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3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4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6.xml" ContentType="application/vnd.openxmlformats-officedocument.drawing+xml"/>
  <Override PartName="/xl/charts/chart41.xml" ContentType="application/vnd.openxmlformats-officedocument.drawingml.chart+xml"/>
  <Override PartName="/xl/drawings/drawing17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370"/>
  <workbookPr/>
  <mc:AlternateContent xmlns:mc="http://schemas.openxmlformats.org/markup-compatibility/2006">
    <mc:Choice Requires="x15">
      <x15ac:absPath xmlns:x15ac="http://schemas.microsoft.com/office/spreadsheetml/2010/11/ac" url="D:\Users\amonged\Documents\TI\Pág Web\Financiero\2020\"/>
    </mc:Choice>
  </mc:AlternateContent>
  <xr:revisionPtr revIDLastSave="0" documentId="13_ncr:40009_{2EE75D32-804D-4396-BE8E-684D437FF951}" xr6:coauthVersionLast="36" xr6:coauthVersionMax="36" xr10:uidLastSave="{00000000-0000-0000-0000-000000000000}"/>
  <bookViews>
    <workbookView xWindow="0" yWindow="0" windowWidth="19200" windowHeight="11385" firstSheet="3" activeTab="3"/>
  </bookViews>
  <sheets>
    <sheet name="Resumen Estado" sheetId="1" state="hidden" r:id="rId1"/>
    <sheet name="analisis 789-06" sheetId="2" state="hidden" r:id="rId2"/>
    <sheet name="analisis 789 al 06" sheetId="3" state="hidden" r:id="rId3"/>
    <sheet name="ANALISIS POR PROG" sheetId="4" r:id="rId4"/>
    <sheet name="Partidas mayor al 50%" sheetId="5" state="hidden" r:id="rId5"/>
    <sheet name="Estado" sheetId="6" state="hidden" r:id="rId6"/>
    <sheet name="Hoja4" sheetId="7" state="hidden" r:id="rId7"/>
    <sheet name="Resumen por Partida" sheetId="8" r:id="rId8"/>
    <sheet name="SIGAF 2018" sheetId="9" state="hidden" r:id="rId9"/>
    <sheet name="SUB 100% 2020 Octubre" sheetId="10" state="hidden" r:id="rId10"/>
    <sheet name="SUB 100% 2020 Agosto" sheetId="11" state="hidden" r:id="rId11"/>
    <sheet name="SIGAF DIC 20" sheetId="12" state="hidden" r:id="rId12"/>
    <sheet name="COMPORT. RESUMEN" sheetId="13" r:id="rId13"/>
    <sheet name="MENSUAL" sheetId="14" r:id="rId14"/>
    <sheet name="Ejecucion por Programas" sheetId="15" state="hidden" r:id="rId15"/>
    <sheet name="Comprometido por programas" sheetId="16" state="hidden" r:id="rId16"/>
    <sheet name="Ejecución 78900 al 78906" sheetId="17" state="hidden" r:id="rId17"/>
    <sheet name="Comprometido 78900 al 78906" sheetId="18" state="hidden" r:id="rId18"/>
    <sheet name="2018-1" sheetId="19" state="hidden" r:id="rId19"/>
    <sheet name="2018" sheetId="20" state="hidden" r:id="rId20"/>
    <sheet name="FEBRERO" sheetId="21" state="hidden" r:id="rId21"/>
    <sheet name="cuota marzo" sheetId="22" state="hidden" r:id="rId22"/>
    <sheet name="Por cuenta Abril" sheetId="23" state="hidden" r:id="rId23"/>
    <sheet name="MARZO" sheetId="24" state="hidden" r:id="rId24"/>
    <sheet name="Hoja1" sheetId="25" state="hidden" r:id="rId25"/>
    <sheet name="Hoja3" sheetId="26" state="hidden" r:id="rId26"/>
    <sheet name="RESUMEN OCTUBRE-DICIEMBRE 2020" sheetId="27" state="hidden" r:id="rId27"/>
    <sheet name="Resumen programa Noviembre 2020" sheetId="28" state="hidden" r:id="rId28"/>
    <sheet name="Resumen programa octubre" sheetId="29" state="hidden" r:id="rId29"/>
    <sheet name="MAYO" sheetId="30" state="hidden" r:id="rId30"/>
    <sheet name="Abril" sheetId="31" state="hidden" r:id="rId31"/>
    <sheet name="Hoja16" sheetId="32" state="hidden" r:id="rId32"/>
    <sheet name="Hoja15" sheetId="33" state="hidden" r:id="rId33"/>
    <sheet name="Hoja14" sheetId="34" state="hidden" r:id="rId34"/>
    <sheet name="Hoja13" sheetId="35" state="hidden" r:id="rId35"/>
    <sheet name="Hoja12" sheetId="36" state="hidden" r:id="rId36"/>
    <sheet name="Hoja11" sheetId="37" state="hidden" r:id="rId37"/>
    <sheet name="Hoja8" sheetId="38" state="hidden" r:id="rId38"/>
    <sheet name="Hoja7" sheetId="39" state="hidden" r:id="rId39"/>
    <sheet name="Hoja6" sheetId="40" state="hidden" r:id="rId40"/>
    <sheet name="Hoja5" sheetId="41" state="hidden" r:id="rId41"/>
    <sheet name="Hoja2" sheetId="42" state="hidden" r:id="rId42"/>
    <sheet name="2019" sheetId="43" state="hidden" r:id="rId43"/>
    <sheet name="RESUMEN" sheetId="44" r:id="rId44"/>
    <sheet name="COMPARATIVO" sheetId="45" r:id="rId45"/>
    <sheet name="DEVENGADO MENSUAL" sheetId="46" state="hidden" r:id="rId46"/>
    <sheet name="AGOST" sheetId="47" state="hidden" r:id="rId47"/>
    <sheet name="JULIO 2019" sheetId="48" state="hidden" r:id="rId48"/>
    <sheet name="JUNIO 2019" sheetId="49" state="hidden" r:id="rId49"/>
    <sheet name="MAYO 2019" sheetId="50" state="hidden" r:id="rId50"/>
    <sheet name="ABRIL 2019" sheetId="51" state="hidden" r:id="rId51"/>
    <sheet name="MARZO 2019" sheetId="52" state="hidden" r:id="rId52"/>
    <sheet name="ENERO 2019" sheetId="53" state="hidden" r:id="rId53"/>
    <sheet name="FEBRERO 2019" sheetId="54" state="hidden" r:id="rId54"/>
    <sheet name="DICIEMBRE 2018" sheetId="55" state="hidden" r:id="rId55"/>
    <sheet name="NOVIEMBRE 2018" sheetId="56" state="hidden" r:id="rId56"/>
    <sheet name="Hoja9" sheetId="57" state="hidden" r:id="rId57"/>
    <sheet name="Hoja10" sheetId="58" state="hidden" r:id="rId58"/>
    <sheet name="proyeccion" sheetId="59" state="hidden" r:id="rId59"/>
  </sheets>
  <definedNames>
    <definedName name="_xlnm._FilterDatabase" localSheetId="30" hidden="1">Abril!$A$1:$M$832</definedName>
    <definedName name="_xlnm._FilterDatabase" localSheetId="21" hidden="1">'cuota marzo'!$A$1:$O$889</definedName>
    <definedName name="_xlnm._FilterDatabase" localSheetId="20" hidden="1">FEBRERO!$A$1:$N$826</definedName>
    <definedName name="_xlnm._FilterDatabase" localSheetId="24" hidden="1">Hoja1!$A$1:$Q$850</definedName>
    <definedName name="_xlnm._FilterDatabase" localSheetId="25" hidden="1">Hoja3!$A$1:$Q$850</definedName>
    <definedName name="_xlnm._FilterDatabase" localSheetId="23" hidden="1">MARZO!$A$1:$N$825</definedName>
    <definedName name="_xlnm._FilterDatabase" localSheetId="29" hidden="1">MAYO!$A$1:$N$836</definedName>
    <definedName name="_xlnm._FilterDatabase" localSheetId="27" hidden="1">'Resumen programa Noviembre 2020'!$A$1:$P$850</definedName>
    <definedName name="_xlnm._FilterDatabase" localSheetId="28" hidden="1">'Resumen programa octubre'!$A$1:$M$850</definedName>
    <definedName name="_xlnm._FilterDatabase" localSheetId="11" hidden="1">'SIGAF DIC 20'!$A$1:$Q$850</definedName>
    <definedName name="_xlnm._FilterDatabase" localSheetId="10" hidden="1">'SUB 100% 2020 Agosto'!$A$1:$Q$833</definedName>
    <definedName name="__xlfn_IFERROR">#N/A</definedName>
    <definedName name="__xlnm._FilterDatabase" localSheetId="30">Abril!$A$1:$M$832</definedName>
    <definedName name="__xlnm._FilterDatabase" localSheetId="21">'cuota marzo'!$A$1:$O$889</definedName>
    <definedName name="__xlnm._FilterDatabase" localSheetId="20">FEBRERO!$A$1:$N$826</definedName>
    <definedName name="__xlnm._FilterDatabase" localSheetId="24">Hoja1!$A$1:$Q$850</definedName>
    <definedName name="__xlnm._FilterDatabase" localSheetId="25">Hoja3!$A$1:$Q$850</definedName>
    <definedName name="__xlnm._FilterDatabase" localSheetId="23">MARZO!$A$1:$N$825</definedName>
    <definedName name="__xlnm._FilterDatabase" localSheetId="29">MAYO!$A$1:$N$836</definedName>
    <definedName name="__xlnm._FilterDatabase" localSheetId="27">'Resumen programa Noviembre 2020'!$A$1:$P$850</definedName>
    <definedName name="__xlnm._FilterDatabase" localSheetId="28">'Resumen programa octubre'!$A$1:$M$850</definedName>
    <definedName name="__xlnm._FilterDatabase" localSheetId="11">'SIGAF DIC 20'!$A$1:$Q$850</definedName>
    <definedName name="__xlnm._FilterDatabase" localSheetId="10">'SUB 100% 2020 Agosto'!$A$1:$Q$833</definedName>
    <definedName name="__xlnm.Print_Area" localSheetId="3">'ANALISIS POR PROG'!$B$1:$O$57</definedName>
    <definedName name="__xlnm.Print_Area" localSheetId="5">Estado!$A$1:$R$285</definedName>
    <definedName name="__xlnm.Print_Area" localSheetId="43">RESUMEN!$C$2:$F$23</definedName>
    <definedName name="__xlnm__FilterDatabase" localSheetId="30">Abril!$A$1:$M$832</definedName>
    <definedName name="__xlnm__FilterDatabase" localSheetId="21">'cuota marzo'!$A$1:$O$889</definedName>
    <definedName name="__xlnm__FilterDatabase" localSheetId="20">FEBRERO!$A$1:$N$826</definedName>
    <definedName name="__xlnm__FilterDatabase" localSheetId="24">Hoja1!$A$1:$Q$850</definedName>
    <definedName name="__xlnm__FilterDatabase" localSheetId="25">Hoja3!$A$1:$Q$850</definedName>
    <definedName name="__xlnm__FilterDatabase" localSheetId="23">MARZO!$A$1:$N$825</definedName>
    <definedName name="__xlnm__FilterDatabase" localSheetId="29">MAYO!$A$1:$N$836</definedName>
    <definedName name="__xlnm__FilterDatabase" localSheetId="27">'Resumen programa Noviembre 2020'!$A$1:$P$850</definedName>
    <definedName name="__xlnm__FilterDatabase" localSheetId="28">'Resumen programa octubre'!$A$1:$M$850</definedName>
    <definedName name="__xlnm__FilterDatabase" localSheetId="11">'SIGAF DIC 20'!$A$1:$Q$850</definedName>
    <definedName name="__xlnm__FilterDatabase" localSheetId="10">'SUB 100% 2020 Agosto'!$A$1:$Q$833</definedName>
    <definedName name="__xlnm_Print_Area" localSheetId="3">'ANALISIS POR PROG'!$B$1:$O$57</definedName>
    <definedName name="__xlnm_Print_Area" localSheetId="5">Estado!$A$1:$R$285</definedName>
    <definedName name="__xlnm_Print_Area" localSheetId="43">RESUMEN!$C$2:$F$23</definedName>
    <definedName name="_xlnm.Print_Area" localSheetId="3">'ANALISIS POR PROG'!$B$1:$O$57</definedName>
    <definedName name="_xlnm.Print_Area" localSheetId="5">Estado!$A$1:$R$285</definedName>
    <definedName name="_xlnm.Print_Area" localSheetId="43">RESUMEN!$C$2:$F$23</definedName>
  </definedNames>
  <calcPr calcId="191029"/>
</workbook>
</file>

<file path=xl/calcChain.xml><?xml version="1.0" encoding="utf-8"?>
<calcChain xmlns="http://schemas.openxmlformats.org/spreadsheetml/2006/main">
  <c r="B2" i="20" l="1"/>
  <c r="C6" i="20"/>
  <c r="D6" i="20"/>
  <c r="E6" i="20"/>
  <c r="F6" i="20"/>
  <c r="G6" i="20"/>
  <c r="K6" i="20" s="1"/>
  <c r="J6" i="20"/>
  <c r="L6" i="20"/>
  <c r="M6" i="20" s="1"/>
  <c r="N6" i="20"/>
  <c r="O6" i="20"/>
  <c r="C7" i="20"/>
  <c r="E7" i="20"/>
  <c r="F7" i="20"/>
  <c r="G7" i="20"/>
  <c r="K7" i="20" s="1"/>
  <c r="H7" i="20"/>
  <c r="I7" i="20"/>
  <c r="J7" i="20"/>
  <c r="L7" i="20"/>
  <c r="M7" i="20"/>
  <c r="N7" i="20"/>
  <c r="O7" i="20" s="1"/>
  <c r="C8" i="20"/>
  <c r="O8" i="20" s="1"/>
  <c r="D8" i="20"/>
  <c r="E8" i="20"/>
  <c r="G8" i="20"/>
  <c r="J8" i="20"/>
  <c r="K8" i="20"/>
  <c r="L8" i="20"/>
  <c r="M8" i="20" s="1"/>
  <c r="N8" i="20"/>
  <c r="C9" i="20"/>
  <c r="D9" i="20"/>
  <c r="E9" i="20"/>
  <c r="F9" i="20"/>
  <c r="G9" i="20"/>
  <c r="K9" i="20" s="1"/>
  <c r="J9" i="20"/>
  <c r="L9" i="20"/>
  <c r="M9" i="20" s="1"/>
  <c r="N9" i="20"/>
  <c r="O9" i="20"/>
  <c r="C10" i="20"/>
  <c r="E10" i="20"/>
  <c r="F10" i="20"/>
  <c r="G10" i="20"/>
  <c r="H10" i="20" s="1"/>
  <c r="I10" i="20"/>
  <c r="J10" i="20"/>
  <c r="K10" i="20" s="1"/>
  <c r="L10" i="20"/>
  <c r="M10" i="20"/>
  <c r="N10" i="20"/>
  <c r="O10" i="20"/>
  <c r="C11" i="20"/>
  <c r="D7" i="20" s="1"/>
  <c r="E11" i="20"/>
  <c r="F11" i="20"/>
  <c r="J11" i="20"/>
  <c r="N11" i="20"/>
  <c r="O11" i="20" s="1"/>
  <c r="C12" i="20"/>
  <c r="E12" i="20"/>
  <c r="G12" i="20"/>
  <c r="L12" i="20"/>
  <c r="N12" i="20"/>
  <c r="C3" i="19"/>
  <c r="B5" i="19"/>
  <c r="B7" i="19"/>
  <c r="C7" i="19"/>
  <c r="D7" i="19"/>
  <c r="D3" i="19" s="1"/>
  <c r="E7" i="19"/>
  <c r="B9" i="19"/>
  <c r="B11" i="19"/>
  <c r="C11" i="19"/>
  <c r="D11" i="19"/>
  <c r="E11" i="19"/>
  <c r="B13" i="19"/>
  <c r="B15" i="19"/>
  <c r="C15" i="19"/>
  <c r="E15" i="19" s="1"/>
  <c r="D15" i="19"/>
  <c r="B17" i="19"/>
  <c r="B19" i="19"/>
  <c r="C19" i="19"/>
  <c r="E19" i="19" s="1"/>
  <c r="D19" i="19"/>
  <c r="B21" i="19"/>
  <c r="B23" i="19"/>
  <c r="E23" i="19" s="1"/>
  <c r="C23" i="19"/>
  <c r="D23" i="19"/>
  <c r="B6" i="43"/>
  <c r="B8" i="43"/>
  <c r="C8" i="43"/>
  <c r="D8" i="43"/>
  <c r="D4" i="43" s="1"/>
  <c r="E8" i="43"/>
  <c r="B10" i="43"/>
  <c r="B12" i="43"/>
  <c r="B4" i="43" s="1"/>
  <c r="C12" i="43"/>
  <c r="C4" i="43" s="1"/>
  <c r="E4" i="43" s="1"/>
  <c r="D12" i="43"/>
  <c r="B14" i="43"/>
  <c r="B16" i="43"/>
  <c r="C16" i="43"/>
  <c r="E16" i="43" s="1"/>
  <c r="D16" i="43"/>
  <c r="B18" i="43"/>
  <c r="B20" i="43"/>
  <c r="E20" i="43" s="1"/>
  <c r="C20" i="43"/>
  <c r="D20" i="43"/>
  <c r="B22" i="43"/>
  <c r="B24" i="43"/>
  <c r="C24" i="43"/>
  <c r="D24" i="43"/>
  <c r="E24" i="43"/>
  <c r="B2" i="3"/>
  <c r="C6" i="3"/>
  <c r="E6" i="3"/>
  <c r="F6" i="3"/>
  <c r="G6" i="3"/>
  <c r="H6" i="3"/>
  <c r="I6" i="3"/>
  <c r="I13" i="3" s="1"/>
  <c r="J13" i="3" s="1"/>
  <c r="K6" i="3"/>
  <c r="L6" i="3"/>
  <c r="M6" i="3"/>
  <c r="N6" i="3"/>
  <c r="C7" i="3"/>
  <c r="D7" i="3"/>
  <c r="E7" i="3"/>
  <c r="F7" i="3" s="1"/>
  <c r="G7" i="3"/>
  <c r="H7" i="3" s="1"/>
  <c r="I7" i="3"/>
  <c r="J7" i="3" s="1"/>
  <c r="K7" i="3"/>
  <c r="L7" i="3"/>
  <c r="M7" i="3"/>
  <c r="N7" i="3" s="1"/>
  <c r="C8" i="3"/>
  <c r="E8" i="3"/>
  <c r="F8" i="3"/>
  <c r="G8" i="3"/>
  <c r="H8" i="3" s="1"/>
  <c r="I8" i="3"/>
  <c r="J8" i="3"/>
  <c r="K8" i="3"/>
  <c r="L8" i="3"/>
  <c r="M8" i="3"/>
  <c r="N8" i="3"/>
  <c r="C9" i="3"/>
  <c r="D9" i="3" s="1"/>
  <c r="E9" i="3"/>
  <c r="F9" i="3" s="1"/>
  <c r="G9" i="3"/>
  <c r="H9" i="3" s="1"/>
  <c r="I9" i="3"/>
  <c r="J9" i="3"/>
  <c r="K9" i="3"/>
  <c r="L9" i="3" s="1"/>
  <c r="M9" i="3"/>
  <c r="N9" i="3" s="1"/>
  <c r="R9" i="3"/>
  <c r="C10" i="3"/>
  <c r="D10" i="3"/>
  <c r="E10" i="3"/>
  <c r="F10" i="3" s="1"/>
  <c r="G10" i="3"/>
  <c r="H10" i="3" s="1"/>
  <c r="I10" i="3"/>
  <c r="J10" i="3" s="1"/>
  <c r="K10" i="3"/>
  <c r="L10" i="3"/>
  <c r="M10" i="3"/>
  <c r="N10" i="3" s="1"/>
  <c r="R10" i="3"/>
  <c r="C11" i="3"/>
  <c r="D11" i="3" s="1"/>
  <c r="E11" i="3"/>
  <c r="F11" i="3"/>
  <c r="G11" i="3"/>
  <c r="H11" i="3" s="1"/>
  <c r="I11" i="3"/>
  <c r="J11" i="3" s="1"/>
  <c r="K11" i="3"/>
  <c r="L11" i="3" s="1"/>
  <c r="M11" i="3"/>
  <c r="N11" i="3"/>
  <c r="C12" i="3"/>
  <c r="E12" i="3"/>
  <c r="F12" i="3"/>
  <c r="G12" i="3"/>
  <c r="H12" i="3"/>
  <c r="I12" i="3"/>
  <c r="J12" i="3" s="1"/>
  <c r="K12" i="3"/>
  <c r="L12" i="3"/>
  <c r="M12" i="3"/>
  <c r="N12" i="3"/>
  <c r="C13" i="3"/>
  <c r="D6" i="3" s="1"/>
  <c r="E13" i="3"/>
  <c r="E14" i="3" s="1"/>
  <c r="M13" i="3"/>
  <c r="B2" i="2"/>
  <c r="C6" i="2"/>
  <c r="F6" i="2" s="1"/>
  <c r="E6" i="2"/>
  <c r="G6" i="2"/>
  <c r="I6" i="2"/>
  <c r="K6" i="2"/>
  <c r="O6" i="2" s="1"/>
  <c r="M6" i="2"/>
  <c r="C7" i="2"/>
  <c r="E7" i="2"/>
  <c r="F7" i="2" s="1"/>
  <c r="G7" i="2"/>
  <c r="H7" i="2"/>
  <c r="I7" i="2"/>
  <c r="J7" i="2"/>
  <c r="K7" i="2"/>
  <c r="O7" i="2" s="1"/>
  <c r="L7" i="2"/>
  <c r="M7" i="2"/>
  <c r="N7" i="2" s="1"/>
  <c r="C8" i="2"/>
  <c r="E8" i="2"/>
  <c r="F8" i="2" s="1"/>
  <c r="G8" i="2"/>
  <c r="G20" i="2" s="1"/>
  <c r="H8" i="2"/>
  <c r="I8" i="2"/>
  <c r="J8" i="2" s="1"/>
  <c r="K8" i="2"/>
  <c r="L8" i="2" s="1"/>
  <c r="M8" i="2"/>
  <c r="N8" i="2" s="1"/>
  <c r="C9" i="2"/>
  <c r="F9" i="2" s="1"/>
  <c r="E9" i="2"/>
  <c r="G9" i="2"/>
  <c r="I9" i="2"/>
  <c r="K9" i="2"/>
  <c r="O9" i="2" s="1"/>
  <c r="M9" i="2"/>
  <c r="C10" i="2"/>
  <c r="E10" i="2"/>
  <c r="F10" i="2"/>
  <c r="G10" i="2"/>
  <c r="H10" i="2" s="1"/>
  <c r="I10" i="2"/>
  <c r="J10" i="2" s="1"/>
  <c r="K10" i="2"/>
  <c r="L10" i="2" s="1"/>
  <c r="M10" i="2"/>
  <c r="N10" i="2"/>
  <c r="C11" i="2"/>
  <c r="E11" i="2"/>
  <c r="F11" i="2"/>
  <c r="G11" i="2"/>
  <c r="H11" i="2"/>
  <c r="I11" i="2"/>
  <c r="I20" i="2" s="1"/>
  <c r="K11" i="2"/>
  <c r="O11" i="2" s="1"/>
  <c r="L11" i="2"/>
  <c r="M11" i="2"/>
  <c r="N11" i="2"/>
  <c r="C12" i="2"/>
  <c r="F12" i="2" s="1"/>
  <c r="E12" i="2"/>
  <c r="G12" i="2"/>
  <c r="H12" i="2" s="1"/>
  <c r="I12" i="2"/>
  <c r="J12" i="2" s="1"/>
  <c r="K12" i="2"/>
  <c r="O12" i="2" s="1"/>
  <c r="L12" i="2"/>
  <c r="M12" i="2"/>
  <c r="R12" i="2"/>
  <c r="C13" i="2"/>
  <c r="E13" i="2"/>
  <c r="F13" i="2"/>
  <c r="G13" i="2"/>
  <c r="H13" i="2" s="1"/>
  <c r="I13" i="2"/>
  <c r="J13" i="2" s="1"/>
  <c r="K13" i="2"/>
  <c r="L13" i="2" s="1"/>
  <c r="M13" i="2"/>
  <c r="N13" i="2"/>
  <c r="R13" i="2"/>
  <c r="C14" i="2"/>
  <c r="E14" i="2"/>
  <c r="F14" i="2" s="1"/>
  <c r="G14" i="2"/>
  <c r="H14" i="2"/>
  <c r="I14" i="2"/>
  <c r="J14" i="2" s="1"/>
  <c r="K14" i="2"/>
  <c r="L14" i="2" s="1"/>
  <c r="M14" i="2"/>
  <c r="N14" i="2" s="1"/>
  <c r="C15" i="2"/>
  <c r="F15" i="2" s="1"/>
  <c r="E15" i="2"/>
  <c r="G15" i="2"/>
  <c r="I15" i="2"/>
  <c r="K15" i="2"/>
  <c r="O15" i="2" s="1"/>
  <c r="M15" i="2"/>
  <c r="C16" i="2"/>
  <c r="E16" i="2"/>
  <c r="F16" i="2"/>
  <c r="G16" i="2"/>
  <c r="H16" i="2" s="1"/>
  <c r="I16" i="2"/>
  <c r="J16" i="2" s="1"/>
  <c r="K16" i="2"/>
  <c r="L16" i="2" s="1"/>
  <c r="M16" i="2"/>
  <c r="N16" i="2"/>
  <c r="C17" i="2"/>
  <c r="E17" i="2"/>
  <c r="F17" i="2"/>
  <c r="G17" i="2"/>
  <c r="H17" i="2"/>
  <c r="I17" i="2"/>
  <c r="J17" i="2" s="1"/>
  <c r="K17" i="2"/>
  <c r="O17" i="2" s="1"/>
  <c r="L17" i="2"/>
  <c r="M17" i="2"/>
  <c r="N17" i="2"/>
  <c r="C18" i="2"/>
  <c r="E18" i="2"/>
  <c r="F18" i="2" s="1"/>
  <c r="G18" i="2"/>
  <c r="H18" i="2" s="1"/>
  <c r="I18" i="2"/>
  <c r="J18" i="2" s="1"/>
  <c r="K18" i="2"/>
  <c r="O18" i="2" s="1"/>
  <c r="L18" i="2"/>
  <c r="M18" i="2"/>
  <c r="N18" i="2" s="1"/>
  <c r="C19" i="2"/>
  <c r="E19" i="2"/>
  <c r="F19" i="2"/>
  <c r="G19" i="2"/>
  <c r="H19" i="2" s="1"/>
  <c r="I19" i="2"/>
  <c r="J19" i="2"/>
  <c r="K19" i="2"/>
  <c r="L19" i="2"/>
  <c r="M19" i="2"/>
  <c r="N19" i="2"/>
  <c r="K20" i="2"/>
  <c r="O8" i="2" s="1"/>
  <c r="B2" i="4"/>
  <c r="C6" i="4"/>
  <c r="E6" i="4"/>
  <c r="F6" i="4"/>
  <c r="G6" i="4"/>
  <c r="H6" i="4"/>
  <c r="I6" i="4"/>
  <c r="I20" i="4" s="1"/>
  <c r="K6" i="4"/>
  <c r="L6" i="4"/>
  <c r="M6" i="4"/>
  <c r="N6" i="4"/>
  <c r="C7" i="4"/>
  <c r="E7" i="4"/>
  <c r="E20" i="4" s="1"/>
  <c r="G7" i="4"/>
  <c r="H7" i="4"/>
  <c r="I7" i="4"/>
  <c r="J7" i="4"/>
  <c r="K7" i="4"/>
  <c r="L7" i="4"/>
  <c r="M7" i="4"/>
  <c r="M20" i="4" s="1"/>
  <c r="C8" i="4"/>
  <c r="E8" i="4"/>
  <c r="F8" i="4"/>
  <c r="G8" i="4"/>
  <c r="H8" i="4"/>
  <c r="I8" i="4"/>
  <c r="J8" i="4" s="1"/>
  <c r="K8" i="4"/>
  <c r="L8" i="4"/>
  <c r="M8" i="4"/>
  <c r="N8" i="4"/>
  <c r="C9" i="4"/>
  <c r="E9" i="4"/>
  <c r="F9" i="4" s="1"/>
  <c r="G9" i="4"/>
  <c r="H9" i="4"/>
  <c r="I9" i="4"/>
  <c r="J9" i="4"/>
  <c r="K9" i="4"/>
  <c r="L9" i="4"/>
  <c r="M9" i="4"/>
  <c r="N9" i="4" s="1"/>
  <c r="C10" i="4"/>
  <c r="E10" i="4"/>
  <c r="F10" i="4"/>
  <c r="G10" i="4"/>
  <c r="H10" i="4"/>
  <c r="I10" i="4"/>
  <c r="J10" i="4" s="1"/>
  <c r="K10" i="4"/>
  <c r="L10" i="4"/>
  <c r="M10" i="4"/>
  <c r="N10" i="4"/>
  <c r="C11" i="4"/>
  <c r="E11" i="4"/>
  <c r="F11" i="4" s="1"/>
  <c r="G11" i="4"/>
  <c r="H11" i="4"/>
  <c r="I11" i="4"/>
  <c r="J11" i="4"/>
  <c r="K11" i="4"/>
  <c r="L11" i="4"/>
  <c r="M11" i="4"/>
  <c r="N11" i="4" s="1"/>
  <c r="C12" i="4"/>
  <c r="E12" i="4"/>
  <c r="F12" i="4"/>
  <c r="G12" i="4"/>
  <c r="H12" i="4"/>
  <c r="I12" i="4"/>
  <c r="J12" i="4" s="1"/>
  <c r="K12" i="4"/>
  <c r="L12" i="4"/>
  <c r="M12" i="4"/>
  <c r="N12" i="4"/>
  <c r="C13" i="4"/>
  <c r="E13" i="4"/>
  <c r="F13" i="4" s="1"/>
  <c r="G13" i="4"/>
  <c r="H13" i="4"/>
  <c r="I13" i="4"/>
  <c r="J13" i="4"/>
  <c r="K13" i="4"/>
  <c r="L13" i="4"/>
  <c r="M13" i="4"/>
  <c r="N13" i="4" s="1"/>
  <c r="C14" i="4"/>
  <c r="E14" i="4"/>
  <c r="F14" i="4"/>
  <c r="G14" i="4"/>
  <c r="H14" i="4"/>
  <c r="I14" i="4"/>
  <c r="J14" i="4" s="1"/>
  <c r="K14" i="4"/>
  <c r="L14" i="4"/>
  <c r="M14" i="4"/>
  <c r="N14" i="4"/>
  <c r="C15" i="4"/>
  <c r="E15" i="4"/>
  <c r="F15" i="4" s="1"/>
  <c r="G15" i="4"/>
  <c r="H15" i="4"/>
  <c r="I15" i="4"/>
  <c r="J15" i="4"/>
  <c r="K15" i="4"/>
  <c r="L15" i="4"/>
  <c r="M15" i="4"/>
  <c r="N15" i="4" s="1"/>
  <c r="C16" i="4"/>
  <c r="E16" i="4"/>
  <c r="F16" i="4"/>
  <c r="G16" i="4"/>
  <c r="H16" i="4"/>
  <c r="I16" i="4"/>
  <c r="J16" i="4" s="1"/>
  <c r="K16" i="4"/>
  <c r="L16" i="4"/>
  <c r="M16" i="4"/>
  <c r="N16" i="4"/>
  <c r="C17" i="4"/>
  <c r="E17" i="4"/>
  <c r="F17" i="4" s="1"/>
  <c r="G17" i="4"/>
  <c r="H17" i="4"/>
  <c r="I17" i="4"/>
  <c r="J17" i="4"/>
  <c r="K17" i="4"/>
  <c r="L17" i="4"/>
  <c r="M17" i="4"/>
  <c r="N17" i="4" s="1"/>
  <c r="C18" i="4"/>
  <c r="E18" i="4"/>
  <c r="F18" i="4"/>
  <c r="G18" i="4"/>
  <c r="H18" i="4"/>
  <c r="I18" i="4"/>
  <c r="J18" i="4" s="1"/>
  <c r="K18" i="4"/>
  <c r="L18" i="4"/>
  <c r="M18" i="4"/>
  <c r="N18" i="4"/>
  <c r="C19" i="4"/>
  <c r="C20" i="4" s="1"/>
  <c r="E19" i="4"/>
  <c r="F19" i="4" s="1"/>
  <c r="G19" i="4"/>
  <c r="H19" i="4"/>
  <c r="I19" i="4"/>
  <c r="J19" i="4"/>
  <c r="K19" i="4"/>
  <c r="L19" i="4"/>
  <c r="M19" i="4"/>
  <c r="N19" i="4" s="1"/>
  <c r="G20" i="4"/>
  <c r="K20" i="4"/>
  <c r="G2" i="45"/>
  <c r="H2" i="45"/>
  <c r="B3" i="45"/>
  <c r="B4" i="45"/>
  <c r="B8" i="45" s="1"/>
  <c r="B5" i="45"/>
  <c r="B6" i="45"/>
  <c r="C6" i="45" s="1"/>
  <c r="E6" i="45"/>
  <c r="B7" i="45"/>
  <c r="D8" i="45"/>
  <c r="E5" i="45" s="1"/>
  <c r="B12" i="45"/>
  <c r="B17" i="45" s="1"/>
  <c r="E12" i="45"/>
  <c r="B13" i="45"/>
  <c r="C13" i="45" s="1"/>
  <c r="E13" i="45"/>
  <c r="B14" i="45"/>
  <c r="C14" i="45" s="1"/>
  <c r="E14" i="45"/>
  <c r="B15" i="45"/>
  <c r="C15" i="45"/>
  <c r="E15" i="45"/>
  <c r="B16" i="45"/>
  <c r="E16" i="45"/>
  <c r="D17" i="45"/>
  <c r="A2" i="18"/>
  <c r="AD5" i="18"/>
  <c r="AE5" i="18"/>
  <c r="AH5" i="18"/>
  <c r="AI5" i="18"/>
  <c r="AD6" i="18"/>
  <c r="AH6" i="18"/>
  <c r="AI6" i="18"/>
  <c r="AJ6" i="18"/>
  <c r="AK6" i="18"/>
  <c r="AL6" i="18"/>
  <c r="AM6" i="18"/>
  <c r="AN6" i="18"/>
  <c r="AO6" i="18"/>
  <c r="AP6" i="18"/>
  <c r="AQ6" i="18"/>
  <c r="AR6" i="18"/>
  <c r="AS6" i="18"/>
  <c r="Z7" i="18"/>
  <c r="AA7" i="18"/>
  <c r="AD7" i="18"/>
  <c r="AH7" i="18"/>
  <c r="Z8" i="18"/>
  <c r="AA8" i="18"/>
  <c r="AS7" i="18" s="1"/>
  <c r="AD8" i="18"/>
  <c r="AH8" i="18"/>
  <c r="Z9" i="18"/>
  <c r="AA9" i="18"/>
  <c r="AS8" i="18" s="1"/>
  <c r="AD9" i="18"/>
  <c r="AH9" i="18"/>
  <c r="AS9" i="18"/>
  <c r="Z10" i="18"/>
  <c r="AA10" i="18"/>
  <c r="AD10" i="18"/>
  <c r="AH10" i="18"/>
  <c r="Z11" i="18"/>
  <c r="AA11" i="18"/>
  <c r="AS10" i="18" s="1"/>
  <c r="AD11" i="18"/>
  <c r="AH11" i="18"/>
  <c r="Z12" i="18"/>
  <c r="AA12" i="18"/>
  <c r="AS11" i="18" s="1"/>
  <c r="AD12" i="18"/>
  <c r="AH12" i="18"/>
  <c r="Z13" i="18"/>
  <c r="AA13" i="18"/>
  <c r="AS12" i="18" s="1"/>
  <c r="AD13" i="18"/>
  <c r="AE13" i="18"/>
  <c r="AF13" i="18"/>
  <c r="AH13" i="18"/>
  <c r="AI13" i="18"/>
  <c r="AJ13" i="18"/>
  <c r="AK13" i="18"/>
  <c r="AL13" i="18"/>
  <c r="AM13" i="18"/>
  <c r="AN13" i="18"/>
  <c r="AO13" i="18"/>
  <c r="AP13" i="18"/>
  <c r="AQ13" i="18"/>
  <c r="AR13" i="18"/>
  <c r="AS13" i="18"/>
  <c r="A2" i="16"/>
  <c r="AD5" i="16"/>
  <c r="AE5" i="16"/>
  <c r="AH5" i="16"/>
  <c r="AI5" i="16"/>
  <c r="AD6" i="16"/>
  <c r="AH6" i="16"/>
  <c r="AS6" i="16"/>
  <c r="Z7" i="16"/>
  <c r="AA7" i="16"/>
  <c r="AD7" i="16"/>
  <c r="AH7" i="16"/>
  <c r="AS7" i="16"/>
  <c r="Z8" i="16"/>
  <c r="AA8" i="16"/>
  <c r="AD8" i="16"/>
  <c r="AH8" i="16"/>
  <c r="Z9" i="16"/>
  <c r="AA9" i="16"/>
  <c r="AS8" i="16" s="1"/>
  <c r="AD9" i="16"/>
  <c r="AH9" i="16"/>
  <c r="Z10" i="16"/>
  <c r="AA10" i="16"/>
  <c r="AS9" i="16" s="1"/>
  <c r="AD10" i="16"/>
  <c r="AH10" i="16"/>
  <c r="Z11" i="16"/>
  <c r="AA11" i="16"/>
  <c r="AS10" i="16" s="1"/>
  <c r="AD11" i="16"/>
  <c r="AH11" i="16"/>
  <c r="Z12" i="16"/>
  <c r="AA12" i="16"/>
  <c r="AS11" i="16" s="1"/>
  <c r="AD12" i="16"/>
  <c r="AH12" i="16"/>
  <c r="AS12" i="16"/>
  <c r="Z13" i="16"/>
  <c r="AA13" i="16"/>
  <c r="AD13" i="16"/>
  <c r="AH13" i="16"/>
  <c r="AS13" i="16"/>
  <c r="Z14" i="16"/>
  <c r="AA14" i="16"/>
  <c r="AD14" i="16"/>
  <c r="AH14" i="16"/>
  <c r="Z15" i="16"/>
  <c r="AA15" i="16"/>
  <c r="AS14" i="16" s="1"/>
  <c r="AD15" i="16"/>
  <c r="AH15" i="16"/>
  <c r="AS15" i="16"/>
  <c r="Z16" i="16"/>
  <c r="AA16" i="16"/>
  <c r="AD16" i="16"/>
  <c r="AH16" i="16"/>
  <c r="Z17" i="16"/>
  <c r="AA17" i="16"/>
  <c r="AS16" i="16" s="1"/>
  <c r="AD17" i="16"/>
  <c r="AH17" i="16"/>
  <c r="Z18" i="16"/>
  <c r="Z21" i="16" s="1"/>
  <c r="AA18" i="16"/>
  <c r="AS17" i="16" s="1"/>
  <c r="AD18" i="16"/>
  <c r="AH18" i="16"/>
  <c r="AS18" i="16"/>
  <c r="Z19" i="16"/>
  <c r="AA19" i="16"/>
  <c r="AD19" i="16"/>
  <c r="AH19" i="16"/>
  <c r="Z20" i="16"/>
  <c r="AA20" i="16"/>
  <c r="AS19" i="16" s="1"/>
  <c r="M4" i="22"/>
  <c r="P4" i="22"/>
  <c r="M5" i="22"/>
  <c r="P5" i="22"/>
  <c r="M7" i="22"/>
  <c r="P7" i="22"/>
  <c r="M13" i="22"/>
  <c r="P13" i="22"/>
  <c r="M16" i="22"/>
  <c r="P16" i="22"/>
  <c r="M20" i="22"/>
  <c r="P20" i="22"/>
  <c r="M37" i="22"/>
  <c r="P37" i="22"/>
  <c r="M48" i="22"/>
  <c r="P48" i="22"/>
  <c r="M54" i="22"/>
  <c r="P54" i="22"/>
  <c r="F63" i="22"/>
  <c r="G63" i="22"/>
  <c r="H63" i="22"/>
  <c r="I63" i="22"/>
  <c r="J63" i="22"/>
  <c r="K63" i="22"/>
  <c r="M63" i="22" s="1"/>
  <c r="N63" i="22"/>
  <c r="P63" i="22"/>
  <c r="M65" i="22"/>
  <c r="P65" i="22"/>
  <c r="M66" i="22"/>
  <c r="P66" i="22"/>
  <c r="M68" i="22"/>
  <c r="P68" i="22"/>
  <c r="M74" i="22"/>
  <c r="P74" i="22"/>
  <c r="M77" i="22"/>
  <c r="P77" i="22"/>
  <c r="M81" i="22"/>
  <c r="P81" i="22"/>
  <c r="M111" i="22"/>
  <c r="P111" i="22"/>
  <c r="M129" i="22"/>
  <c r="P129" i="22"/>
  <c r="M134" i="22"/>
  <c r="P134" i="22"/>
  <c r="F147" i="22"/>
  <c r="G147" i="22"/>
  <c r="H147" i="22"/>
  <c r="I147" i="22"/>
  <c r="J147" i="22"/>
  <c r="K147" i="22"/>
  <c r="M147" i="22" s="1"/>
  <c r="N147" i="22"/>
  <c r="P147" i="22"/>
  <c r="F149" i="22"/>
  <c r="G149" i="22"/>
  <c r="H149" i="22"/>
  <c r="I149" i="22"/>
  <c r="J149" i="22"/>
  <c r="K149" i="22"/>
  <c r="N149" i="22"/>
  <c r="P149" i="22"/>
  <c r="F150" i="22"/>
  <c r="K150" i="22"/>
  <c r="N150" i="22"/>
  <c r="P150" i="22" s="1"/>
  <c r="F151" i="22"/>
  <c r="K151" i="22"/>
  <c r="M151" i="22"/>
  <c r="N151" i="22"/>
  <c r="P151" i="22"/>
  <c r="F152" i="22"/>
  <c r="K152" i="22"/>
  <c r="M152" i="22" s="1"/>
  <c r="N152" i="22"/>
  <c r="P152" i="22"/>
  <c r="F153" i="22"/>
  <c r="K153" i="22"/>
  <c r="M153" i="22" s="1"/>
  <c r="N153" i="22"/>
  <c r="P153" i="22"/>
  <c r="M157" i="22"/>
  <c r="P157" i="22"/>
  <c r="M158" i="22"/>
  <c r="P158" i="22"/>
  <c r="M161" i="22"/>
  <c r="P161" i="22"/>
  <c r="M163" i="22"/>
  <c r="P163" i="22"/>
  <c r="M169" i="22"/>
  <c r="P169" i="22"/>
  <c r="M172" i="22"/>
  <c r="P172" i="22"/>
  <c r="M176" i="22"/>
  <c r="P176" i="22"/>
  <c r="M216" i="22"/>
  <c r="P216" i="22"/>
  <c r="M239" i="22"/>
  <c r="P239" i="22"/>
  <c r="M247" i="22"/>
  <c r="P247" i="22"/>
  <c r="F257" i="22"/>
  <c r="M257" i="22" s="1"/>
  <c r="K257" i="22"/>
  <c r="N257" i="22"/>
  <c r="P257" i="22" s="1"/>
  <c r="M259" i="22"/>
  <c r="P259" i="22"/>
  <c r="M260" i="22"/>
  <c r="P260" i="22"/>
  <c r="M262" i="22"/>
  <c r="P262" i="22"/>
  <c r="M266" i="22"/>
  <c r="P266" i="22"/>
  <c r="M272" i="22"/>
  <c r="P272" i="22"/>
  <c r="M275" i="22"/>
  <c r="P275" i="22"/>
  <c r="M279" i="22"/>
  <c r="P279" i="22"/>
  <c r="M322" i="22"/>
  <c r="P322" i="22"/>
  <c r="M352" i="22"/>
  <c r="P352" i="22"/>
  <c r="M367" i="22"/>
  <c r="P367" i="22"/>
  <c r="M381" i="22"/>
  <c r="P381" i="22"/>
  <c r="F385" i="22"/>
  <c r="K385" i="22"/>
  <c r="N385" i="22"/>
  <c r="M387" i="22"/>
  <c r="P387" i="22"/>
  <c r="M388" i="22"/>
  <c r="P388" i="22"/>
  <c r="M390" i="22"/>
  <c r="P390" i="22"/>
  <c r="M392" i="22"/>
  <c r="P392" i="22"/>
  <c r="M398" i="22"/>
  <c r="P398" i="22"/>
  <c r="M401" i="22"/>
  <c r="P401" i="22"/>
  <c r="M405" i="22"/>
  <c r="P405" i="22"/>
  <c r="M417" i="22"/>
  <c r="P417" i="22"/>
  <c r="M445" i="22"/>
  <c r="P445" i="22"/>
  <c r="M453" i="22"/>
  <c r="P453" i="22"/>
  <c r="F460" i="22"/>
  <c r="K460" i="22"/>
  <c r="M460" i="22" s="1"/>
  <c r="N460" i="22"/>
  <c r="P460" i="22"/>
  <c r="M462" i="22"/>
  <c r="P462" i="22"/>
  <c r="M463" i="22"/>
  <c r="P463" i="22"/>
  <c r="M465" i="22"/>
  <c r="P465" i="22"/>
  <c r="M471" i="22"/>
  <c r="P471" i="22"/>
  <c r="M474" i="22"/>
  <c r="P474" i="22"/>
  <c r="M478" i="22"/>
  <c r="P478" i="22"/>
  <c r="M486" i="22"/>
  <c r="P486" i="22"/>
  <c r="M504" i="22"/>
  <c r="P504" i="22"/>
  <c r="M509" i="22"/>
  <c r="P509" i="22"/>
  <c r="F516" i="22"/>
  <c r="K516" i="22"/>
  <c r="M516" i="22"/>
  <c r="N516" i="22"/>
  <c r="P516" i="22" s="1"/>
  <c r="M518" i="22"/>
  <c r="P518" i="22"/>
  <c r="M519" i="22"/>
  <c r="P519" i="22"/>
  <c r="M521" i="22"/>
  <c r="P521" i="22"/>
  <c r="M523" i="22"/>
  <c r="P523" i="22"/>
  <c r="M529" i="22"/>
  <c r="P529" i="22"/>
  <c r="M532" i="22"/>
  <c r="P532" i="22"/>
  <c r="M536" i="22"/>
  <c r="P536" i="22"/>
  <c r="M542" i="22"/>
  <c r="P542" i="22"/>
  <c r="M553" i="22"/>
  <c r="P553" i="22"/>
  <c r="M556" i="22"/>
  <c r="P556" i="22"/>
  <c r="F563" i="22"/>
  <c r="K563" i="22"/>
  <c r="M563" i="22" s="1"/>
  <c r="N563" i="22"/>
  <c r="P563" i="22" s="1"/>
  <c r="M565" i="22"/>
  <c r="P565" i="22"/>
  <c r="M566" i="22"/>
  <c r="P566" i="22"/>
  <c r="M568" i="22"/>
  <c r="P568" i="22"/>
  <c r="M570" i="22"/>
  <c r="P570" i="22"/>
  <c r="M576" i="22"/>
  <c r="P576" i="22"/>
  <c r="M579" i="22"/>
  <c r="P579" i="22"/>
  <c r="M583" i="22"/>
  <c r="P583" i="22"/>
  <c r="M596" i="22"/>
  <c r="P596" i="22"/>
  <c r="M621" i="22"/>
  <c r="P621" i="22"/>
  <c r="M627" i="22"/>
  <c r="P627" i="22"/>
  <c r="F634" i="22"/>
  <c r="K634" i="22"/>
  <c r="M634" i="22" s="1"/>
  <c r="N634" i="22"/>
  <c r="P634" i="22" s="1"/>
  <c r="M636" i="22"/>
  <c r="P636" i="22"/>
  <c r="M637" i="22"/>
  <c r="P637" i="22"/>
  <c r="M639" i="22"/>
  <c r="P639" i="22"/>
  <c r="M645" i="22"/>
  <c r="P645" i="22"/>
  <c r="M648" i="22"/>
  <c r="P648" i="22"/>
  <c r="M652" i="22"/>
  <c r="P652" i="22"/>
  <c r="M658" i="22"/>
  <c r="P658" i="22"/>
  <c r="F665" i="22"/>
  <c r="P665" i="22" s="1"/>
  <c r="K665" i="22"/>
  <c r="M665" i="22"/>
  <c r="N665" i="22"/>
  <c r="M667" i="22"/>
  <c r="P667" i="22"/>
  <c r="M668" i="22"/>
  <c r="P668" i="22"/>
  <c r="M670" i="22"/>
  <c r="P670" i="22"/>
  <c r="M676" i="22"/>
  <c r="P676" i="22"/>
  <c r="M679" i="22"/>
  <c r="P679" i="22"/>
  <c r="M683" i="22"/>
  <c r="P683" i="22"/>
  <c r="M688" i="22"/>
  <c r="P688" i="22"/>
  <c r="F695" i="22"/>
  <c r="K695" i="22"/>
  <c r="M695" i="22"/>
  <c r="N695" i="22"/>
  <c r="P695" i="22" s="1"/>
  <c r="F698" i="22"/>
  <c r="G698" i="22"/>
  <c r="H698" i="22"/>
  <c r="I698" i="22"/>
  <c r="J698" i="22"/>
  <c r="K698" i="22"/>
  <c r="M698" i="22" s="1"/>
  <c r="L698" i="22"/>
  <c r="N698" i="22"/>
  <c r="P698" i="22" s="1"/>
  <c r="F699" i="22"/>
  <c r="K699" i="22"/>
  <c r="N699" i="22"/>
  <c r="P699" i="22" s="1"/>
  <c r="F700" i="22"/>
  <c r="K700" i="22"/>
  <c r="M700" i="22" s="1"/>
  <c r="N700" i="22"/>
  <c r="P700" i="22" s="1"/>
  <c r="F701" i="22"/>
  <c r="K701" i="22"/>
  <c r="M701" i="22" s="1"/>
  <c r="N701" i="22"/>
  <c r="P701" i="22"/>
  <c r="F702" i="22"/>
  <c r="K702" i="22"/>
  <c r="M702" i="22" s="1"/>
  <c r="N702" i="22"/>
  <c r="P702" i="22"/>
  <c r="M708" i="22"/>
  <c r="P708" i="22"/>
  <c r="M709" i="22"/>
  <c r="P709" i="22"/>
  <c r="M711" i="22"/>
  <c r="P711" i="22"/>
  <c r="M717" i="22"/>
  <c r="P717" i="22"/>
  <c r="M720" i="22"/>
  <c r="P720" i="22"/>
  <c r="M724" i="22"/>
  <c r="P724" i="22"/>
  <c r="M751" i="22"/>
  <c r="P751" i="22"/>
  <c r="M770" i="22"/>
  <c r="P770" i="22"/>
  <c r="M778" i="22"/>
  <c r="P778" i="22"/>
  <c r="F788" i="22"/>
  <c r="K788" i="22"/>
  <c r="M788" i="22" s="1"/>
  <c r="N788" i="22"/>
  <c r="P788" i="22" s="1"/>
  <c r="M801" i="22"/>
  <c r="P801" i="22"/>
  <c r="M802" i="22"/>
  <c r="P802" i="22"/>
  <c r="M804" i="22"/>
  <c r="P804" i="22"/>
  <c r="M810" i="22"/>
  <c r="P810" i="22"/>
  <c r="M813" i="22"/>
  <c r="P813" i="22"/>
  <c r="M817" i="22"/>
  <c r="P817" i="22"/>
  <c r="F822" i="22"/>
  <c r="M822" i="22" s="1"/>
  <c r="K822" i="22"/>
  <c r="N822" i="22"/>
  <c r="P822" i="22"/>
  <c r="M824" i="22"/>
  <c r="P824" i="22"/>
  <c r="M825" i="22"/>
  <c r="P825" i="22"/>
  <c r="M827" i="22"/>
  <c r="P827" i="22"/>
  <c r="M833" i="22"/>
  <c r="P833" i="22"/>
  <c r="M836" i="22"/>
  <c r="P836" i="22"/>
  <c r="M840" i="22"/>
  <c r="P840" i="22"/>
  <c r="M844" i="22"/>
  <c r="P844" i="22"/>
  <c r="F849" i="22"/>
  <c r="K849" i="22"/>
  <c r="M849" i="22" s="1"/>
  <c r="N849" i="22"/>
  <c r="P849" i="22"/>
  <c r="F851" i="22"/>
  <c r="F856" i="22" s="1"/>
  <c r="K851" i="22"/>
  <c r="N851" i="22"/>
  <c r="P851" i="22"/>
  <c r="F852" i="22"/>
  <c r="K852" i="22"/>
  <c r="M852" i="22"/>
  <c r="N852" i="22"/>
  <c r="P852" i="22" s="1"/>
  <c r="F853" i="22"/>
  <c r="P853" i="22" s="1"/>
  <c r="K853" i="22"/>
  <c r="M853" i="22"/>
  <c r="N853" i="22"/>
  <c r="F854" i="22"/>
  <c r="K854" i="22"/>
  <c r="M854" i="22" s="1"/>
  <c r="N854" i="22"/>
  <c r="P854" i="22" s="1"/>
  <c r="F855" i="22"/>
  <c r="M855" i="22" s="1"/>
  <c r="K855" i="22"/>
  <c r="N855" i="22"/>
  <c r="P855" i="22" s="1"/>
  <c r="K856" i="22"/>
  <c r="N856" i="22"/>
  <c r="M859" i="22"/>
  <c r="P859" i="22"/>
  <c r="M860" i="22"/>
  <c r="P860" i="22"/>
  <c r="M862" i="22"/>
  <c r="P862" i="22"/>
  <c r="M868" i="22"/>
  <c r="P868" i="22"/>
  <c r="M871" i="22"/>
  <c r="P871" i="22"/>
  <c r="M876" i="22"/>
  <c r="P876" i="22"/>
  <c r="M879" i="22"/>
  <c r="P879" i="22"/>
  <c r="F890" i="22"/>
  <c r="M890" i="22" s="1"/>
  <c r="K890" i="22"/>
  <c r="N890" i="22"/>
  <c r="B2" i="46"/>
  <c r="B5" i="46"/>
  <c r="C5" i="46" s="1"/>
  <c r="C15" i="46" s="1"/>
  <c r="D5" i="46"/>
  <c r="F5" i="46"/>
  <c r="E5" i="46" s="1"/>
  <c r="G5" i="46"/>
  <c r="G124" i="46" s="1"/>
  <c r="B6" i="46"/>
  <c r="C6" i="46" s="1"/>
  <c r="D6" i="46"/>
  <c r="F6" i="46"/>
  <c r="G6" i="46"/>
  <c r="B7" i="46"/>
  <c r="C7" i="46"/>
  <c r="D7" i="46"/>
  <c r="F7" i="46"/>
  <c r="E7" i="46" s="1"/>
  <c r="G7" i="46"/>
  <c r="B8" i="46"/>
  <c r="D8" i="46"/>
  <c r="E8" i="46"/>
  <c r="F8" i="46"/>
  <c r="G8" i="46"/>
  <c r="B9" i="46"/>
  <c r="C9" i="46" s="1"/>
  <c r="D9" i="46"/>
  <c r="B128" i="46" s="1"/>
  <c r="F9" i="46"/>
  <c r="E9" i="46" s="1"/>
  <c r="G9" i="46"/>
  <c r="G128" i="46" s="1"/>
  <c r="B10" i="46"/>
  <c r="C10" i="46" s="1"/>
  <c r="D10" i="46"/>
  <c r="F10" i="46"/>
  <c r="G10" i="46"/>
  <c r="B11" i="46"/>
  <c r="C11" i="46"/>
  <c r="D11" i="46"/>
  <c r="F11" i="46"/>
  <c r="G11" i="46"/>
  <c r="B12" i="46"/>
  <c r="D12" i="46"/>
  <c r="E12" i="46"/>
  <c r="F12" i="46"/>
  <c r="G12" i="46"/>
  <c r="B13" i="46"/>
  <c r="C13" i="46" s="1"/>
  <c r="D13" i="46"/>
  <c r="F13" i="46"/>
  <c r="E13" i="46" s="1"/>
  <c r="G13" i="46"/>
  <c r="G132" i="46" s="1"/>
  <c r="B14" i="46"/>
  <c r="B19" i="46"/>
  <c r="B22" i="46"/>
  <c r="D22" i="46"/>
  <c r="E22" i="46"/>
  <c r="F22" i="46"/>
  <c r="G22" i="46"/>
  <c r="B23" i="46"/>
  <c r="C23" i="46"/>
  <c r="D23" i="46"/>
  <c r="F23" i="46"/>
  <c r="E23" i="46" s="1"/>
  <c r="G23" i="46"/>
  <c r="B24" i="46"/>
  <c r="D24" i="46"/>
  <c r="E24" i="46"/>
  <c r="F24" i="46"/>
  <c r="G24" i="46"/>
  <c r="B25" i="46"/>
  <c r="C25" i="46" s="1"/>
  <c r="D25" i="46"/>
  <c r="E25" i="46"/>
  <c r="F25" i="46"/>
  <c r="G25" i="46"/>
  <c r="B26" i="46"/>
  <c r="D26" i="46"/>
  <c r="E26" i="46"/>
  <c r="F26" i="46"/>
  <c r="G26" i="46"/>
  <c r="B27" i="46"/>
  <c r="C27" i="46"/>
  <c r="D27" i="46"/>
  <c r="F27" i="46"/>
  <c r="E27" i="46" s="1"/>
  <c r="G27" i="46"/>
  <c r="B28" i="46"/>
  <c r="D28" i="46"/>
  <c r="E28" i="46"/>
  <c r="F28" i="46"/>
  <c r="G28" i="46"/>
  <c r="B29" i="46"/>
  <c r="D29" i="46"/>
  <c r="E29" i="46"/>
  <c r="F29" i="46"/>
  <c r="G29" i="46"/>
  <c r="B30" i="46"/>
  <c r="C30" i="46" s="1"/>
  <c r="D30" i="46"/>
  <c r="E30" i="46"/>
  <c r="F30" i="46"/>
  <c r="G30" i="46"/>
  <c r="B31" i="46"/>
  <c r="K15" i="46" s="1"/>
  <c r="B35" i="46"/>
  <c r="B38" i="46"/>
  <c r="C38" i="46"/>
  <c r="C48" i="46" s="1"/>
  <c r="D38" i="46"/>
  <c r="F38" i="46"/>
  <c r="E38" i="46" s="1"/>
  <c r="G38" i="46"/>
  <c r="B39" i="46"/>
  <c r="C39" i="46" s="1"/>
  <c r="D39" i="46"/>
  <c r="E39" i="46"/>
  <c r="F39" i="46"/>
  <c r="E40" i="46" s="1"/>
  <c r="G39" i="46"/>
  <c r="B40" i="46"/>
  <c r="C40" i="46" s="1"/>
  <c r="D40" i="46"/>
  <c r="F40" i="46"/>
  <c r="G40" i="46"/>
  <c r="G126" i="46" s="1"/>
  <c r="B41" i="46"/>
  <c r="C41" i="46" s="1"/>
  <c r="D41" i="46"/>
  <c r="F41" i="46"/>
  <c r="G41" i="46"/>
  <c r="B42" i="46"/>
  <c r="C42" i="46"/>
  <c r="D42" i="46"/>
  <c r="F42" i="46"/>
  <c r="G42" i="46"/>
  <c r="B43" i="46"/>
  <c r="D43" i="46"/>
  <c r="E43" i="46"/>
  <c r="F43" i="46"/>
  <c r="G43" i="46"/>
  <c r="B44" i="46"/>
  <c r="C44" i="46" s="1"/>
  <c r="D44" i="46"/>
  <c r="F44" i="46"/>
  <c r="E44" i="46" s="1"/>
  <c r="G44" i="46"/>
  <c r="G130" i="46" s="1"/>
  <c r="B45" i="46"/>
  <c r="C45" i="46" s="1"/>
  <c r="D45" i="46"/>
  <c r="F45" i="46"/>
  <c r="G45" i="46"/>
  <c r="B46" i="46"/>
  <c r="C46" i="46"/>
  <c r="D46" i="46"/>
  <c r="F46" i="46"/>
  <c r="E46" i="46" s="1"/>
  <c r="G46" i="46"/>
  <c r="B47" i="46"/>
  <c r="K48" i="46"/>
  <c r="B51" i="46"/>
  <c r="B54" i="46"/>
  <c r="C54" i="46"/>
  <c r="D54" i="46"/>
  <c r="E54" i="46"/>
  <c r="F54" i="46"/>
  <c r="G54" i="46"/>
  <c r="B55" i="46"/>
  <c r="C55" i="46" s="1"/>
  <c r="D55" i="46"/>
  <c r="E55" i="46"/>
  <c r="F55" i="46"/>
  <c r="G55" i="46"/>
  <c r="G125" i="46" s="1"/>
  <c r="B56" i="46"/>
  <c r="C56" i="46" s="1"/>
  <c r="D56" i="46"/>
  <c r="E56" i="46"/>
  <c r="F56" i="46"/>
  <c r="G56" i="46"/>
  <c r="B57" i="46"/>
  <c r="C57" i="46"/>
  <c r="D57" i="46"/>
  <c r="F57" i="46"/>
  <c r="E57" i="46" s="1"/>
  <c r="G57" i="46"/>
  <c r="B58" i="46"/>
  <c r="C58" i="46"/>
  <c r="D58" i="46"/>
  <c r="E58" i="46"/>
  <c r="F58" i="46"/>
  <c r="G58" i="46"/>
  <c r="B59" i="46"/>
  <c r="C59" i="46" s="1"/>
  <c r="D59" i="46"/>
  <c r="E59" i="46"/>
  <c r="F59" i="46"/>
  <c r="G59" i="46"/>
  <c r="G129" i="46" s="1"/>
  <c r="B60" i="46"/>
  <c r="C60" i="46" s="1"/>
  <c r="D60" i="46"/>
  <c r="E60" i="46"/>
  <c r="F60" i="46"/>
  <c r="G60" i="46"/>
  <c r="B61" i="46"/>
  <c r="C61" i="46"/>
  <c r="D61" i="46"/>
  <c r="F61" i="46"/>
  <c r="E61" i="46" s="1"/>
  <c r="G61" i="46"/>
  <c r="B62" i="46"/>
  <c r="C62" i="46"/>
  <c r="D62" i="46"/>
  <c r="E62" i="46"/>
  <c r="F62" i="46"/>
  <c r="G62" i="46"/>
  <c r="B63" i="46"/>
  <c r="B66" i="46"/>
  <c r="B69" i="46"/>
  <c r="B78" i="46" s="1"/>
  <c r="D69" i="46"/>
  <c r="E69" i="46"/>
  <c r="F69" i="46"/>
  <c r="G69" i="46"/>
  <c r="B70" i="46"/>
  <c r="C70" i="46" s="1"/>
  <c r="D70" i="46"/>
  <c r="F70" i="46"/>
  <c r="E70" i="46" s="1"/>
  <c r="G70" i="46"/>
  <c r="B71" i="46"/>
  <c r="C71" i="46"/>
  <c r="D71" i="46"/>
  <c r="F71" i="46"/>
  <c r="G71" i="46"/>
  <c r="B72" i="46"/>
  <c r="C72" i="46" s="1"/>
  <c r="D72" i="46"/>
  <c r="E72" i="46"/>
  <c r="F72" i="46"/>
  <c r="G72" i="46"/>
  <c r="B73" i="46"/>
  <c r="C73" i="46" s="1"/>
  <c r="D73" i="46"/>
  <c r="E73" i="46"/>
  <c r="F73" i="46"/>
  <c r="G73" i="46"/>
  <c r="B74" i="46"/>
  <c r="C74" i="46" s="1"/>
  <c r="D74" i="46"/>
  <c r="F74" i="46"/>
  <c r="E74" i="46" s="1"/>
  <c r="G74" i="46"/>
  <c r="B75" i="46"/>
  <c r="C75" i="46"/>
  <c r="D75" i="46"/>
  <c r="F75" i="46"/>
  <c r="G75" i="46"/>
  <c r="B76" i="46"/>
  <c r="C76" i="46" s="1"/>
  <c r="D76" i="46"/>
  <c r="E76" i="46"/>
  <c r="F76" i="46"/>
  <c r="G76" i="46"/>
  <c r="B77" i="46"/>
  <c r="C77" i="46" s="1"/>
  <c r="D77" i="46"/>
  <c r="E77" i="46"/>
  <c r="F77" i="46"/>
  <c r="G77" i="46"/>
  <c r="B86" i="46"/>
  <c r="B87" i="46"/>
  <c r="B89" i="46"/>
  <c r="B91" i="46"/>
  <c r="B113" i="46"/>
  <c r="B117" i="46"/>
  <c r="B121" i="46"/>
  <c r="J123" i="46"/>
  <c r="B125" i="46"/>
  <c r="B126" i="46"/>
  <c r="B127" i="46"/>
  <c r="G127" i="46"/>
  <c r="B129" i="46"/>
  <c r="B130" i="46"/>
  <c r="B131" i="46"/>
  <c r="G131" i="46"/>
  <c r="A2" i="17"/>
  <c r="AD5" i="17"/>
  <c r="AE5" i="17"/>
  <c r="AH5" i="17"/>
  <c r="AI5" i="17"/>
  <c r="AD6" i="17"/>
  <c r="AF6" i="17"/>
  <c r="AH6" i="17"/>
  <c r="AI6" i="17"/>
  <c r="AJ6" i="17"/>
  <c r="AK6" i="17"/>
  <c r="AL6" i="17"/>
  <c r="AM6" i="17"/>
  <c r="AN6" i="17"/>
  <c r="AO6" i="17"/>
  <c r="AP6" i="17"/>
  <c r="AQ6" i="17"/>
  <c r="AR6" i="17"/>
  <c r="AS6" i="17"/>
  <c r="Z7" i="17"/>
  <c r="AA7" i="17"/>
  <c r="AD7" i="17"/>
  <c r="AF7" i="17"/>
  <c r="AH7" i="17"/>
  <c r="AJ7" i="17"/>
  <c r="AK7" i="17"/>
  <c r="AL7" i="17"/>
  <c r="AM7" i="17"/>
  <c r="AN7" i="17"/>
  <c r="AO7" i="17"/>
  <c r="AP7" i="17"/>
  <c r="AQ7" i="17"/>
  <c r="AR7" i="17"/>
  <c r="Z8" i="17"/>
  <c r="AA8" i="17"/>
  <c r="AS7" i="17" s="1"/>
  <c r="AD8" i="17"/>
  <c r="AF8" i="17"/>
  <c r="AH8" i="17"/>
  <c r="AJ8" i="17"/>
  <c r="AK8" i="17"/>
  <c r="AL8" i="17"/>
  <c r="AM8" i="17"/>
  <c r="AN8" i="17"/>
  <c r="AO8" i="17"/>
  <c r="AP8" i="17"/>
  <c r="AQ8" i="17"/>
  <c r="AR8" i="17"/>
  <c r="Z9" i="17"/>
  <c r="Z14" i="17" s="1"/>
  <c r="AA9" i="17"/>
  <c r="AS8" i="17" s="1"/>
  <c r="AD9" i="17"/>
  <c r="AF9" i="17"/>
  <c r="AH9" i="17"/>
  <c r="AJ9" i="17"/>
  <c r="AK9" i="17"/>
  <c r="AL9" i="17"/>
  <c r="AM9" i="17"/>
  <c r="AN9" i="17"/>
  <c r="AO9" i="17"/>
  <c r="AP9" i="17"/>
  <c r="AQ9" i="17"/>
  <c r="AR9" i="17"/>
  <c r="AS9" i="17"/>
  <c r="Z10" i="17"/>
  <c r="AA10" i="17"/>
  <c r="AD10" i="17"/>
  <c r="AF10" i="17"/>
  <c r="AH10" i="17"/>
  <c r="AJ10" i="17"/>
  <c r="AK10" i="17"/>
  <c r="AL10" i="17"/>
  <c r="AM10" i="17"/>
  <c r="AN10" i="17"/>
  <c r="AO10" i="17"/>
  <c r="AP10" i="17"/>
  <c r="AQ10" i="17"/>
  <c r="AR10" i="17"/>
  <c r="Z11" i="17"/>
  <c r="AA11" i="17"/>
  <c r="AS10" i="17" s="1"/>
  <c r="AD11" i="17"/>
  <c r="AF11" i="17"/>
  <c r="AH11" i="17"/>
  <c r="AJ11" i="17"/>
  <c r="AK11" i="17"/>
  <c r="AL11" i="17"/>
  <c r="AM11" i="17"/>
  <c r="AN11" i="17"/>
  <c r="AO11" i="17"/>
  <c r="AP11" i="17"/>
  <c r="AQ11" i="17"/>
  <c r="AR11" i="17"/>
  <c r="Z12" i="17"/>
  <c r="AA12" i="17"/>
  <c r="AS11" i="17" s="1"/>
  <c r="AD12" i="17"/>
  <c r="AF12" i="17"/>
  <c r="AH12" i="17"/>
  <c r="AJ12" i="17"/>
  <c r="AK12" i="17"/>
  <c r="AL12" i="17"/>
  <c r="AM12" i="17"/>
  <c r="AN12" i="17"/>
  <c r="AO12" i="17"/>
  <c r="AP12" i="17"/>
  <c r="AQ12" i="17"/>
  <c r="AR12" i="17"/>
  <c r="Z13" i="17"/>
  <c r="AA13" i="17"/>
  <c r="AS12" i="17" s="1"/>
  <c r="AD13" i="17"/>
  <c r="AE13" i="17"/>
  <c r="AF13" i="17"/>
  <c r="AH13" i="17"/>
  <c r="AI13" i="17"/>
  <c r="AJ13" i="17"/>
  <c r="AK13" i="17"/>
  <c r="AL13" i="17"/>
  <c r="AM13" i="17"/>
  <c r="AN13" i="17"/>
  <c r="AO13" i="17"/>
  <c r="AP13" i="17"/>
  <c r="AQ13" i="17"/>
  <c r="AR13" i="17"/>
  <c r="AS13" i="17"/>
  <c r="A2" i="15"/>
  <c r="AW5" i="15"/>
  <c r="AX5" i="15"/>
  <c r="BA5" i="15"/>
  <c r="BB5" i="15"/>
  <c r="AW6" i="15"/>
  <c r="AY6" i="15"/>
  <c r="BA6" i="15"/>
  <c r="BC6" i="15"/>
  <c r="BD6" i="15"/>
  <c r="BE6" i="15"/>
  <c r="BF6" i="15"/>
  <c r="BG6" i="15"/>
  <c r="BH6" i="15"/>
  <c r="BI6" i="15"/>
  <c r="BJ6" i="15"/>
  <c r="BK6" i="15"/>
  <c r="Z7" i="15"/>
  <c r="AA7" i="15"/>
  <c r="BL6" i="15" s="1"/>
  <c r="AW7" i="15"/>
  <c r="AY7" i="15"/>
  <c r="BA7" i="15"/>
  <c r="BC7" i="15"/>
  <c r="BD7" i="15"/>
  <c r="BE7" i="15"/>
  <c r="BF7" i="15"/>
  <c r="BG7" i="15"/>
  <c r="BH7" i="15"/>
  <c r="BI7" i="15"/>
  <c r="BJ7" i="15"/>
  <c r="BK7" i="15"/>
  <c r="Z8" i="15"/>
  <c r="AA8" i="15"/>
  <c r="BL7" i="15" s="1"/>
  <c r="AW8" i="15"/>
  <c r="AY8" i="15"/>
  <c r="BA8" i="15"/>
  <c r="BC8" i="15"/>
  <c r="BD8" i="15"/>
  <c r="BE8" i="15"/>
  <c r="BF8" i="15"/>
  <c r="BG8" i="15"/>
  <c r="BH8" i="15"/>
  <c r="BI8" i="15"/>
  <c r="BJ8" i="15"/>
  <c r="BK8" i="15"/>
  <c r="BL8" i="15"/>
  <c r="Z9" i="15"/>
  <c r="AA9" i="15"/>
  <c r="AW9" i="15"/>
  <c r="AY9" i="15"/>
  <c r="BA9" i="15"/>
  <c r="BC9" i="15"/>
  <c r="BD9" i="15"/>
  <c r="BE9" i="15"/>
  <c r="BF9" i="15"/>
  <c r="BG9" i="15"/>
  <c r="BH9" i="15"/>
  <c r="BI9" i="15"/>
  <c r="BJ9" i="15"/>
  <c r="BK9" i="15"/>
  <c r="BL9" i="15"/>
  <c r="Z10" i="15"/>
  <c r="AA10" i="15"/>
  <c r="AW10" i="15"/>
  <c r="AY10" i="15"/>
  <c r="BA10" i="15"/>
  <c r="BC10" i="15"/>
  <c r="BD10" i="15"/>
  <c r="BE10" i="15"/>
  <c r="BF10" i="15"/>
  <c r="BG10" i="15"/>
  <c r="BH10" i="15"/>
  <c r="BI10" i="15"/>
  <c r="BJ10" i="15"/>
  <c r="BK10" i="15"/>
  <c r="Z11" i="15"/>
  <c r="AA11" i="15"/>
  <c r="BL10" i="15" s="1"/>
  <c r="AW11" i="15"/>
  <c r="AY11" i="15"/>
  <c r="BA11" i="15"/>
  <c r="BC11" i="15"/>
  <c r="BD11" i="15"/>
  <c r="BE11" i="15"/>
  <c r="BF11" i="15"/>
  <c r="BG11" i="15"/>
  <c r="BH11" i="15"/>
  <c r="BI11" i="15"/>
  <c r="BJ11" i="15"/>
  <c r="BK11" i="15"/>
  <c r="Z12" i="15"/>
  <c r="AA12" i="15"/>
  <c r="BL11" i="15" s="1"/>
  <c r="AW12" i="15"/>
  <c r="AY12" i="15"/>
  <c r="BA12" i="15"/>
  <c r="BC12" i="15"/>
  <c r="BD12" i="15"/>
  <c r="BE12" i="15"/>
  <c r="BF12" i="15"/>
  <c r="BG12" i="15"/>
  <c r="BH12" i="15"/>
  <c r="BI12" i="15"/>
  <c r="BJ12" i="15"/>
  <c r="BK12" i="15"/>
  <c r="BL12" i="15"/>
  <c r="Z13" i="15"/>
  <c r="AA13" i="15"/>
  <c r="AW13" i="15"/>
  <c r="AY13" i="15"/>
  <c r="BA13" i="15"/>
  <c r="BC13" i="15"/>
  <c r="BD13" i="15"/>
  <c r="BE13" i="15"/>
  <c r="BF13" i="15"/>
  <c r="BG13" i="15"/>
  <c r="BH13" i="15"/>
  <c r="BI13" i="15"/>
  <c r="BJ13" i="15"/>
  <c r="BK13" i="15"/>
  <c r="BL13" i="15"/>
  <c r="Z14" i="15"/>
  <c r="AA14" i="15"/>
  <c r="AW14" i="15"/>
  <c r="AY14" i="15"/>
  <c r="BA14" i="15"/>
  <c r="BC14" i="15"/>
  <c r="BD14" i="15"/>
  <c r="BE14" i="15"/>
  <c r="BF14" i="15"/>
  <c r="BG14" i="15"/>
  <c r="BH14" i="15"/>
  <c r="BI14" i="15"/>
  <c r="BJ14" i="15"/>
  <c r="BK14" i="15"/>
  <c r="Z15" i="15"/>
  <c r="AA15" i="15"/>
  <c r="BL14" i="15" s="1"/>
  <c r="AW15" i="15"/>
  <c r="AY15" i="15"/>
  <c r="BA15" i="15"/>
  <c r="BC15" i="15"/>
  <c r="BD15" i="15"/>
  <c r="BE15" i="15"/>
  <c r="BF15" i="15"/>
  <c r="BG15" i="15"/>
  <c r="BH15" i="15"/>
  <c r="BI15" i="15"/>
  <c r="BJ15" i="15"/>
  <c r="BK15" i="15"/>
  <c r="Z16" i="15"/>
  <c r="AA16" i="15"/>
  <c r="BL15" i="15" s="1"/>
  <c r="AW16" i="15"/>
  <c r="AY16" i="15"/>
  <c r="BA16" i="15"/>
  <c r="BC16" i="15"/>
  <c r="BD16" i="15"/>
  <c r="BE16" i="15"/>
  <c r="BF16" i="15"/>
  <c r="BG16" i="15"/>
  <c r="BH16" i="15"/>
  <c r="BI16" i="15"/>
  <c r="BJ16" i="15"/>
  <c r="BK16" i="15"/>
  <c r="Z17" i="15"/>
  <c r="AA17" i="15"/>
  <c r="BL16" i="15" s="1"/>
  <c r="AW17" i="15"/>
  <c r="AY17" i="15"/>
  <c r="BA17" i="15"/>
  <c r="BC17" i="15"/>
  <c r="BD17" i="15"/>
  <c r="BE17" i="15"/>
  <c r="BF17" i="15"/>
  <c r="BG17" i="15"/>
  <c r="BH17" i="15"/>
  <c r="BI17" i="15"/>
  <c r="BJ17" i="15"/>
  <c r="BK17" i="15"/>
  <c r="BL17" i="15"/>
  <c r="Z18" i="15"/>
  <c r="AA18" i="15"/>
  <c r="AW18" i="15"/>
  <c r="AY18" i="15"/>
  <c r="BA18" i="15"/>
  <c r="BC18" i="15"/>
  <c r="BD18" i="15"/>
  <c r="BE18" i="15"/>
  <c r="BF18" i="15"/>
  <c r="BG18" i="15"/>
  <c r="BH18" i="15"/>
  <c r="BI18" i="15"/>
  <c r="BJ18" i="15"/>
  <c r="BK18" i="15"/>
  <c r="Z19" i="15"/>
  <c r="AA19" i="15"/>
  <c r="BL18" i="15" s="1"/>
  <c r="AW19" i="15"/>
  <c r="AY19" i="15"/>
  <c r="BA19" i="15"/>
  <c r="BC19" i="15"/>
  <c r="BD19" i="15"/>
  <c r="BE19" i="15"/>
  <c r="BF19" i="15"/>
  <c r="BG19" i="15"/>
  <c r="BH19" i="15"/>
  <c r="BI19" i="15"/>
  <c r="BJ19" i="15"/>
  <c r="BK19" i="15"/>
  <c r="Z20" i="15"/>
  <c r="AA20" i="15"/>
  <c r="BL19" i="15" s="1"/>
  <c r="Z21" i="15"/>
  <c r="C10" i="6"/>
  <c r="D10" i="6"/>
  <c r="E10" i="6"/>
  <c r="F10" i="6" s="1"/>
  <c r="G10" i="6"/>
  <c r="G21" i="4" s="1"/>
  <c r="H10" i="6"/>
  <c r="I10" i="6"/>
  <c r="J10" i="6" s="1"/>
  <c r="K10" i="6"/>
  <c r="K21" i="4" s="1"/>
  <c r="M10" i="6"/>
  <c r="N10" i="6" s="1"/>
  <c r="O10" i="6"/>
  <c r="P10" i="6" s="1"/>
  <c r="Q10" i="6"/>
  <c r="R10" i="6" s="1"/>
  <c r="C11" i="6"/>
  <c r="C4" i="13" s="1"/>
  <c r="D11" i="6"/>
  <c r="D4" i="13" s="1"/>
  <c r="E11" i="6"/>
  <c r="G11" i="6"/>
  <c r="G4" i="13" s="1"/>
  <c r="I11" i="6"/>
  <c r="K11" i="6"/>
  <c r="K4" i="13" s="1"/>
  <c r="M11" i="6"/>
  <c r="O11" i="6"/>
  <c r="Q11" i="6"/>
  <c r="C12" i="6"/>
  <c r="D12" i="6"/>
  <c r="E12" i="6"/>
  <c r="F12" i="6" s="1"/>
  <c r="G12" i="6"/>
  <c r="H12" i="6"/>
  <c r="I12" i="6"/>
  <c r="J12" i="6" s="1"/>
  <c r="K12" i="6"/>
  <c r="L12" i="6" s="1"/>
  <c r="M12" i="6"/>
  <c r="N12" i="6" s="1"/>
  <c r="O12" i="6"/>
  <c r="P12" i="6" s="1"/>
  <c r="Q12" i="6"/>
  <c r="R12" i="6" s="1"/>
  <c r="C13" i="6"/>
  <c r="D13" i="6"/>
  <c r="E13" i="6"/>
  <c r="G13" i="6"/>
  <c r="H13" i="6" s="1"/>
  <c r="I13" i="6"/>
  <c r="J13" i="6" s="1"/>
  <c r="K13" i="6"/>
  <c r="L13" i="6" s="1"/>
  <c r="M13" i="6"/>
  <c r="N13" i="6" s="1"/>
  <c r="O13" i="6"/>
  <c r="P13" i="6" s="1"/>
  <c r="Q13" i="6"/>
  <c r="R13" i="6" s="1"/>
  <c r="C14" i="6"/>
  <c r="D14" i="6"/>
  <c r="E14" i="6"/>
  <c r="F14" i="6" s="1"/>
  <c r="G14" i="6"/>
  <c r="H14" i="6"/>
  <c r="I14" i="6"/>
  <c r="J14" i="6" s="1"/>
  <c r="K14" i="6"/>
  <c r="L14" i="6" s="1"/>
  <c r="M14" i="6"/>
  <c r="N14" i="6" s="1"/>
  <c r="O14" i="6"/>
  <c r="P14" i="6" s="1"/>
  <c r="Q14" i="6"/>
  <c r="R14" i="6" s="1"/>
  <c r="C15" i="6"/>
  <c r="D15" i="6"/>
  <c r="E15" i="6"/>
  <c r="G15" i="6"/>
  <c r="H15" i="6" s="1"/>
  <c r="I15" i="6"/>
  <c r="J15" i="6" s="1"/>
  <c r="K15" i="6"/>
  <c r="L15" i="6" s="1"/>
  <c r="M15" i="6"/>
  <c r="N15" i="6" s="1"/>
  <c r="O15" i="6"/>
  <c r="P15" i="6" s="1"/>
  <c r="Q15" i="6"/>
  <c r="R15" i="6" s="1"/>
  <c r="C16" i="6"/>
  <c r="D16" i="6"/>
  <c r="E16" i="6"/>
  <c r="F16" i="6" s="1"/>
  <c r="G16" i="6"/>
  <c r="H16" i="6"/>
  <c r="I16" i="6"/>
  <c r="J16" i="6" s="1"/>
  <c r="K16" i="6"/>
  <c r="L16" i="6"/>
  <c r="M16" i="6"/>
  <c r="N16" i="6" s="1"/>
  <c r="O16" i="6"/>
  <c r="P16" i="6" s="1"/>
  <c r="Q16" i="6"/>
  <c r="R16" i="6" s="1"/>
  <c r="C17" i="6"/>
  <c r="D17" i="6"/>
  <c r="E17" i="6"/>
  <c r="G17" i="6"/>
  <c r="H17" i="6" s="1"/>
  <c r="I17" i="6"/>
  <c r="J17" i="6" s="1"/>
  <c r="K17" i="6"/>
  <c r="L17" i="6" s="1"/>
  <c r="M17" i="6"/>
  <c r="N17" i="6" s="1"/>
  <c r="O17" i="6"/>
  <c r="P17" i="6" s="1"/>
  <c r="Q17" i="6"/>
  <c r="R17" i="6" s="1"/>
  <c r="C18" i="6"/>
  <c r="D18" i="6"/>
  <c r="E18" i="6"/>
  <c r="F18" i="6" s="1"/>
  <c r="G18" i="6"/>
  <c r="H18" i="6"/>
  <c r="I18" i="6"/>
  <c r="J18" i="6" s="1"/>
  <c r="K18" i="6"/>
  <c r="L18" i="6"/>
  <c r="M18" i="6"/>
  <c r="N18" i="6" s="1"/>
  <c r="O18" i="6"/>
  <c r="P18" i="6" s="1"/>
  <c r="Q18" i="6"/>
  <c r="R18" i="6" s="1"/>
  <c r="C19" i="6"/>
  <c r="D19" i="6"/>
  <c r="E19" i="6"/>
  <c r="G19" i="6"/>
  <c r="H19" i="6" s="1"/>
  <c r="I19" i="6"/>
  <c r="J19" i="6" s="1"/>
  <c r="K19" i="6"/>
  <c r="L19" i="6" s="1"/>
  <c r="M19" i="6"/>
  <c r="N19" i="6" s="1"/>
  <c r="O19" i="6"/>
  <c r="P19" i="6" s="1"/>
  <c r="Q19" i="6"/>
  <c r="R19" i="6" s="1"/>
  <c r="C20" i="6"/>
  <c r="D20" i="6"/>
  <c r="E20" i="6"/>
  <c r="F20" i="6" s="1"/>
  <c r="G20" i="6"/>
  <c r="H20" i="6"/>
  <c r="I20" i="6"/>
  <c r="J20" i="6" s="1"/>
  <c r="K20" i="6"/>
  <c r="L20" i="6"/>
  <c r="M20" i="6"/>
  <c r="N20" i="6" s="1"/>
  <c r="O20" i="6"/>
  <c r="P20" i="6" s="1"/>
  <c r="Q20" i="6"/>
  <c r="R20" i="6" s="1"/>
  <c r="C21" i="6"/>
  <c r="D21" i="6"/>
  <c r="E21" i="6"/>
  <c r="G21" i="6"/>
  <c r="H21" i="6" s="1"/>
  <c r="I21" i="6"/>
  <c r="J21" i="6" s="1"/>
  <c r="K21" i="6"/>
  <c r="L21" i="6" s="1"/>
  <c r="M21" i="6"/>
  <c r="N21" i="6" s="1"/>
  <c r="O21" i="6"/>
  <c r="P21" i="6" s="1"/>
  <c r="Q21" i="6"/>
  <c r="R21" i="6" s="1"/>
  <c r="C22" i="6"/>
  <c r="D22" i="6"/>
  <c r="E22" i="6"/>
  <c r="F22" i="6" s="1"/>
  <c r="G22" i="6"/>
  <c r="H22" i="6"/>
  <c r="I22" i="6"/>
  <c r="J22" i="6" s="1"/>
  <c r="K22" i="6"/>
  <c r="L22" i="6"/>
  <c r="M22" i="6"/>
  <c r="N22" i="6" s="1"/>
  <c r="O22" i="6"/>
  <c r="P22" i="6" s="1"/>
  <c r="Q22" i="6"/>
  <c r="R22" i="6" s="1"/>
  <c r="C23" i="6"/>
  <c r="D23" i="6"/>
  <c r="E23" i="6"/>
  <c r="G23" i="6"/>
  <c r="H23" i="6" s="1"/>
  <c r="I23" i="6"/>
  <c r="J23" i="6" s="1"/>
  <c r="K23" i="6"/>
  <c r="L23" i="6" s="1"/>
  <c r="M23" i="6"/>
  <c r="N23" i="6" s="1"/>
  <c r="O23" i="6"/>
  <c r="P23" i="6" s="1"/>
  <c r="Q23" i="6"/>
  <c r="R23" i="6" s="1"/>
  <c r="C24" i="6"/>
  <c r="D24" i="6"/>
  <c r="E24" i="6"/>
  <c r="F24" i="6" s="1"/>
  <c r="G24" i="6"/>
  <c r="H24" i="6"/>
  <c r="I24" i="6"/>
  <c r="J24" i="6" s="1"/>
  <c r="K24" i="6"/>
  <c r="L24" i="6"/>
  <c r="M24" i="6"/>
  <c r="N24" i="6" s="1"/>
  <c r="O24" i="6"/>
  <c r="P24" i="6" s="1"/>
  <c r="Q24" i="6"/>
  <c r="R24" i="6" s="1"/>
  <c r="C25" i="6"/>
  <c r="D25" i="6"/>
  <c r="E25" i="6"/>
  <c r="G25" i="6"/>
  <c r="H25" i="6" s="1"/>
  <c r="I25" i="6"/>
  <c r="J25" i="6" s="1"/>
  <c r="K25" i="6"/>
  <c r="L25" i="6" s="1"/>
  <c r="M25" i="6"/>
  <c r="N25" i="6" s="1"/>
  <c r="O25" i="6"/>
  <c r="P25" i="6" s="1"/>
  <c r="Q25" i="6"/>
  <c r="R25" i="6" s="1"/>
  <c r="C26" i="6"/>
  <c r="D26" i="6"/>
  <c r="E26" i="6"/>
  <c r="F26" i="6" s="1"/>
  <c r="G26" i="6"/>
  <c r="H26" i="6"/>
  <c r="I26" i="6"/>
  <c r="J26" i="6" s="1"/>
  <c r="K26" i="6"/>
  <c r="L26" i="6"/>
  <c r="M26" i="6"/>
  <c r="N26" i="6" s="1"/>
  <c r="O26" i="6"/>
  <c r="P26" i="6" s="1"/>
  <c r="Q26" i="6"/>
  <c r="R26" i="6" s="1"/>
  <c r="C28" i="6"/>
  <c r="D28" i="6"/>
  <c r="E28" i="6"/>
  <c r="F28" i="6" s="1"/>
  <c r="G28" i="6"/>
  <c r="H28" i="6"/>
  <c r="I28" i="6"/>
  <c r="K28" i="6"/>
  <c r="L28" i="6"/>
  <c r="M28" i="6"/>
  <c r="N28" i="6" s="1"/>
  <c r="O28" i="6"/>
  <c r="P28" i="6" s="1"/>
  <c r="Q28" i="6"/>
  <c r="R28" i="6" s="1"/>
  <c r="C29" i="6"/>
  <c r="D29" i="6"/>
  <c r="D27" i="6" s="1"/>
  <c r="E29" i="6"/>
  <c r="G29" i="6"/>
  <c r="I29" i="6"/>
  <c r="J29" i="6" s="1"/>
  <c r="K29" i="6"/>
  <c r="M29" i="6"/>
  <c r="N29" i="6" s="1"/>
  <c r="O29" i="6"/>
  <c r="P29" i="6" s="1"/>
  <c r="Q29" i="6"/>
  <c r="C30" i="6"/>
  <c r="D30" i="6"/>
  <c r="E30" i="6"/>
  <c r="F30" i="6" s="1"/>
  <c r="G30" i="6"/>
  <c r="H30" i="6"/>
  <c r="I30" i="6"/>
  <c r="J30" i="6" s="1"/>
  <c r="K30" i="6"/>
  <c r="L30" i="6"/>
  <c r="M30" i="6"/>
  <c r="N30" i="6" s="1"/>
  <c r="O30" i="6"/>
  <c r="P30" i="6" s="1"/>
  <c r="Q30" i="6"/>
  <c r="R30" i="6" s="1"/>
  <c r="C31" i="6"/>
  <c r="C27" i="6" s="1"/>
  <c r="D31" i="6"/>
  <c r="E31" i="6"/>
  <c r="G31" i="6"/>
  <c r="I31" i="6"/>
  <c r="K31" i="6"/>
  <c r="M31" i="6"/>
  <c r="O31" i="6"/>
  <c r="Q31" i="6"/>
  <c r="C32" i="6"/>
  <c r="D32" i="6"/>
  <c r="E32" i="6"/>
  <c r="F32" i="6" s="1"/>
  <c r="G32" i="6"/>
  <c r="H32" i="6"/>
  <c r="I32" i="6"/>
  <c r="J32" i="6" s="1"/>
  <c r="K32" i="6"/>
  <c r="L32" i="6"/>
  <c r="M32" i="6"/>
  <c r="N32" i="6" s="1"/>
  <c r="O32" i="6"/>
  <c r="P32" i="6" s="1"/>
  <c r="Q32" i="6"/>
  <c r="R32" i="6" s="1"/>
  <c r="C33" i="6"/>
  <c r="D33" i="6"/>
  <c r="E33" i="6"/>
  <c r="G33" i="6"/>
  <c r="I33" i="6"/>
  <c r="J33" i="6" s="1"/>
  <c r="K33" i="6"/>
  <c r="M33" i="6"/>
  <c r="N33" i="6" s="1"/>
  <c r="O33" i="6"/>
  <c r="P33" i="6" s="1"/>
  <c r="Q33" i="6"/>
  <c r="C34" i="6"/>
  <c r="D34" i="6"/>
  <c r="E34" i="6"/>
  <c r="F34" i="6" s="1"/>
  <c r="G34" i="6"/>
  <c r="H34" i="6"/>
  <c r="I34" i="6"/>
  <c r="J34" i="6" s="1"/>
  <c r="K34" i="6"/>
  <c r="L34" i="6"/>
  <c r="M34" i="6"/>
  <c r="N34" i="6" s="1"/>
  <c r="O34" i="6"/>
  <c r="P34" i="6" s="1"/>
  <c r="Q34" i="6"/>
  <c r="R34" i="6" s="1"/>
  <c r="C35" i="6"/>
  <c r="D35" i="6"/>
  <c r="E35" i="6"/>
  <c r="G35" i="6"/>
  <c r="I35" i="6"/>
  <c r="K35" i="6"/>
  <c r="M35" i="6"/>
  <c r="O35" i="6"/>
  <c r="Q35" i="6"/>
  <c r="C36" i="6"/>
  <c r="D36" i="6"/>
  <c r="E36" i="6"/>
  <c r="F36" i="6" s="1"/>
  <c r="G36" i="6"/>
  <c r="H36" i="6"/>
  <c r="I36" i="6"/>
  <c r="J36" i="6" s="1"/>
  <c r="K36" i="6"/>
  <c r="L36" i="6"/>
  <c r="M36" i="6"/>
  <c r="N36" i="6" s="1"/>
  <c r="O36" i="6"/>
  <c r="P36" i="6" s="1"/>
  <c r="Q36" i="6"/>
  <c r="R36" i="6" s="1"/>
  <c r="C37" i="6"/>
  <c r="P37" i="6" s="1"/>
  <c r="D37" i="6"/>
  <c r="E37" i="6"/>
  <c r="G37" i="6"/>
  <c r="I37" i="6"/>
  <c r="J37" i="6" s="1"/>
  <c r="K37" i="6"/>
  <c r="L37" i="6"/>
  <c r="M37" i="6"/>
  <c r="N37" i="6" s="1"/>
  <c r="O37" i="6"/>
  <c r="Q37" i="6"/>
  <c r="R37" i="6"/>
  <c r="C38" i="6"/>
  <c r="D38" i="6"/>
  <c r="E38" i="6"/>
  <c r="F38" i="6" s="1"/>
  <c r="G38" i="6"/>
  <c r="H38" i="6" s="1"/>
  <c r="I38" i="6"/>
  <c r="J38" i="6" s="1"/>
  <c r="K38" i="6"/>
  <c r="L38" i="6" s="1"/>
  <c r="M38" i="6"/>
  <c r="N38" i="6" s="1"/>
  <c r="O38" i="6"/>
  <c r="P38" i="6" s="1"/>
  <c r="Q38" i="6"/>
  <c r="R38" i="6"/>
  <c r="C39" i="6"/>
  <c r="D39" i="6"/>
  <c r="E39" i="6"/>
  <c r="G39" i="6"/>
  <c r="H39" i="6"/>
  <c r="I39" i="6"/>
  <c r="J39" i="6" s="1"/>
  <c r="K39" i="6"/>
  <c r="L39" i="6" s="1"/>
  <c r="M39" i="6"/>
  <c r="N39" i="6" s="1"/>
  <c r="O39" i="6"/>
  <c r="P39" i="6"/>
  <c r="Q39" i="6"/>
  <c r="R39" i="6" s="1"/>
  <c r="C40" i="6"/>
  <c r="D40" i="6"/>
  <c r="E40" i="6"/>
  <c r="F40" i="6"/>
  <c r="G40" i="6"/>
  <c r="H40" i="6" s="1"/>
  <c r="I40" i="6"/>
  <c r="J40" i="6" s="1"/>
  <c r="K40" i="6"/>
  <c r="L40" i="6"/>
  <c r="M40" i="6"/>
  <c r="N40" i="6"/>
  <c r="O40" i="6"/>
  <c r="P40" i="6" s="1"/>
  <c r="Q40" i="6"/>
  <c r="R40" i="6" s="1"/>
  <c r="C41" i="6"/>
  <c r="D41" i="6"/>
  <c r="E41" i="6"/>
  <c r="F41" i="6"/>
  <c r="G41" i="6"/>
  <c r="H41" i="6" s="1"/>
  <c r="I41" i="6"/>
  <c r="J41" i="6"/>
  <c r="K41" i="6"/>
  <c r="L41" i="6" s="1"/>
  <c r="M41" i="6"/>
  <c r="N41" i="6"/>
  <c r="O41" i="6"/>
  <c r="P41" i="6" s="1"/>
  <c r="Q41" i="6"/>
  <c r="R41" i="6" s="1"/>
  <c r="C43" i="6"/>
  <c r="J43" i="6" s="1"/>
  <c r="D43" i="6"/>
  <c r="E43" i="6"/>
  <c r="F43" i="6" s="1"/>
  <c r="G43" i="6"/>
  <c r="I43" i="6"/>
  <c r="I42" i="6" s="1"/>
  <c r="K43" i="6"/>
  <c r="L43" i="6"/>
  <c r="M43" i="6"/>
  <c r="N43" i="6"/>
  <c r="O43" i="6"/>
  <c r="O42" i="6" s="1"/>
  <c r="Q43" i="6"/>
  <c r="R43" i="6" s="1"/>
  <c r="C44" i="6"/>
  <c r="D44" i="6"/>
  <c r="E44" i="6"/>
  <c r="F44" i="6" s="1"/>
  <c r="G44" i="6"/>
  <c r="H44" i="6" s="1"/>
  <c r="I44" i="6"/>
  <c r="J44" i="6" s="1"/>
  <c r="K44" i="6"/>
  <c r="K42" i="6" s="1"/>
  <c r="L44" i="6"/>
  <c r="M44" i="6"/>
  <c r="N44" i="6"/>
  <c r="O44" i="6"/>
  <c r="Q44" i="6"/>
  <c r="R44" i="6" s="1"/>
  <c r="C45" i="6"/>
  <c r="D45" i="6"/>
  <c r="D42" i="6" s="1"/>
  <c r="E45" i="6"/>
  <c r="F45" i="6" s="1"/>
  <c r="G45" i="6"/>
  <c r="H45" i="6" s="1"/>
  <c r="I45" i="6"/>
  <c r="J45" i="6"/>
  <c r="K45" i="6"/>
  <c r="L45" i="6" s="1"/>
  <c r="M45" i="6"/>
  <c r="M42" i="6" s="1"/>
  <c r="N45" i="6"/>
  <c r="O45" i="6"/>
  <c r="Q45" i="6"/>
  <c r="R45" i="6" s="1"/>
  <c r="C46" i="6"/>
  <c r="F46" i="6" s="1"/>
  <c r="D46" i="6"/>
  <c r="E46" i="6"/>
  <c r="G46" i="6"/>
  <c r="I46" i="6"/>
  <c r="K46" i="6"/>
  <c r="L46" i="6"/>
  <c r="M46" i="6"/>
  <c r="N46" i="6" s="1"/>
  <c r="O46" i="6"/>
  <c r="Q46" i="6"/>
  <c r="R46" i="6" s="1"/>
  <c r="C47" i="6"/>
  <c r="R47" i="6" s="1"/>
  <c r="D47" i="6"/>
  <c r="E47" i="6"/>
  <c r="F47" i="6" s="1"/>
  <c r="G47" i="6"/>
  <c r="I47" i="6"/>
  <c r="K47" i="6"/>
  <c r="L47" i="6"/>
  <c r="M47" i="6"/>
  <c r="N47" i="6"/>
  <c r="O47" i="6"/>
  <c r="Q47" i="6"/>
  <c r="C48" i="6"/>
  <c r="D48" i="6"/>
  <c r="E48" i="6"/>
  <c r="F48" i="6" s="1"/>
  <c r="G48" i="6"/>
  <c r="H48" i="6" s="1"/>
  <c r="I48" i="6"/>
  <c r="J48" i="6" s="1"/>
  <c r="K48" i="6"/>
  <c r="L48" i="6"/>
  <c r="M48" i="6"/>
  <c r="N48" i="6"/>
  <c r="O48" i="6"/>
  <c r="Q48" i="6"/>
  <c r="R48" i="6" s="1"/>
  <c r="C49" i="6"/>
  <c r="D49" i="6"/>
  <c r="E49" i="6"/>
  <c r="F49" i="6" s="1"/>
  <c r="G49" i="6"/>
  <c r="H49" i="6" s="1"/>
  <c r="I49" i="6"/>
  <c r="J49" i="6"/>
  <c r="K49" i="6"/>
  <c r="L49" i="6" s="1"/>
  <c r="M49" i="6"/>
  <c r="N49" i="6"/>
  <c r="O49" i="6"/>
  <c r="Q49" i="6"/>
  <c r="R49" i="6" s="1"/>
  <c r="C50" i="6"/>
  <c r="F50" i="6" s="1"/>
  <c r="D50" i="6"/>
  <c r="E50" i="6"/>
  <c r="G50" i="6"/>
  <c r="I50" i="6"/>
  <c r="K50" i="6"/>
  <c r="L50" i="6"/>
  <c r="M50" i="6"/>
  <c r="N50" i="6" s="1"/>
  <c r="O50" i="6"/>
  <c r="Q50" i="6"/>
  <c r="R50" i="6" s="1"/>
  <c r="C51" i="6"/>
  <c r="R51" i="6" s="1"/>
  <c r="D51" i="6"/>
  <c r="E51" i="6"/>
  <c r="F51" i="6" s="1"/>
  <c r="G51" i="6"/>
  <c r="I51" i="6"/>
  <c r="K51" i="6"/>
  <c r="L51" i="6"/>
  <c r="M51" i="6"/>
  <c r="N51" i="6"/>
  <c r="O51" i="6"/>
  <c r="Q51" i="6"/>
  <c r="C52" i="6"/>
  <c r="D52" i="6"/>
  <c r="E52" i="6"/>
  <c r="F52" i="6" s="1"/>
  <c r="G52" i="6"/>
  <c r="H52" i="6" s="1"/>
  <c r="I52" i="6"/>
  <c r="J52" i="6" s="1"/>
  <c r="K52" i="6"/>
  <c r="L52" i="6"/>
  <c r="M52" i="6"/>
  <c r="N52" i="6"/>
  <c r="O52" i="6"/>
  <c r="Q52" i="6"/>
  <c r="R52" i="6" s="1"/>
  <c r="C53" i="6"/>
  <c r="D53" i="6"/>
  <c r="E53" i="6"/>
  <c r="F53" i="6" s="1"/>
  <c r="G53" i="6"/>
  <c r="H53" i="6" s="1"/>
  <c r="I53" i="6"/>
  <c r="J53" i="6"/>
  <c r="K53" i="6"/>
  <c r="L53" i="6" s="1"/>
  <c r="M53" i="6"/>
  <c r="N53" i="6"/>
  <c r="O53" i="6"/>
  <c r="P53" i="6" s="1"/>
  <c r="Q53" i="6"/>
  <c r="R53" i="6" s="1"/>
  <c r="C54" i="6"/>
  <c r="F54" i="6" s="1"/>
  <c r="D54" i="6"/>
  <c r="E54" i="6"/>
  <c r="G54" i="6"/>
  <c r="I54" i="6"/>
  <c r="K54" i="6"/>
  <c r="L54" i="6"/>
  <c r="M54" i="6"/>
  <c r="N54" i="6" s="1"/>
  <c r="O54" i="6"/>
  <c r="Q54" i="6"/>
  <c r="R54" i="6" s="1"/>
  <c r="C55" i="6"/>
  <c r="R55" i="6" s="1"/>
  <c r="D55" i="6"/>
  <c r="E55" i="6"/>
  <c r="F55" i="6" s="1"/>
  <c r="G55" i="6"/>
  <c r="I55" i="6"/>
  <c r="K55" i="6"/>
  <c r="L55" i="6"/>
  <c r="M55" i="6"/>
  <c r="N55" i="6"/>
  <c r="O55" i="6"/>
  <c r="Q55" i="6"/>
  <c r="C56" i="6"/>
  <c r="D56" i="6"/>
  <c r="E56" i="6"/>
  <c r="F56" i="6" s="1"/>
  <c r="G56" i="6"/>
  <c r="H56" i="6" s="1"/>
  <c r="I56" i="6"/>
  <c r="J56" i="6" s="1"/>
  <c r="K56" i="6"/>
  <c r="L56" i="6"/>
  <c r="M56" i="6"/>
  <c r="N56" i="6"/>
  <c r="O56" i="6"/>
  <c r="P56" i="6" s="1"/>
  <c r="Q56" i="6"/>
  <c r="R56" i="6" s="1"/>
  <c r="C57" i="6"/>
  <c r="D57" i="6"/>
  <c r="E57" i="6"/>
  <c r="F57" i="6" s="1"/>
  <c r="G57" i="6"/>
  <c r="H57" i="6" s="1"/>
  <c r="I57" i="6"/>
  <c r="J57" i="6"/>
  <c r="K57" i="6"/>
  <c r="L57" i="6" s="1"/>
  <c r="M57" i="6"/>
  <c r="N57" i="6" s="1"/>
  <c r="O57" i="6"/>
  <c r="P57" i="6" s="1"/>
  <c r="Q57" i="6"/>
  <c r="R57" i="6" s="1"/>
  <c r="C59" i="6"/>
  <c r="R59" i="6" s="1"/>
  <c r="D59" i="6"/>
  <c r="E59" i="6"/>
  <c r="F59" i="6" s="1"/>
  <c r="G59" i="6"/>
  <c r="I59" i="6"/>
  <c r="J59" i="6" s="1"/>
  <c r="K59" i="6"/>
  <c r="L59" i="6"/>
  <c r="M59" i="6"/>
  <c r="N59" i="6"/>
  <c r="O59" i="6"/>
  <c r="O58" i="6" s="1"/>
  <c r="Q59" i="6"/>
  <c r="C60" i="6"/>
  <c r="D60" i="6"/>
  <c r="E60" i="6"/>
  <c r="F60" i="6" s="1"/>
  <c r="G60" i="6"/>
  <c r="H60" i="6" s="1"/>
  <c r="I60" i="6"/>
  <c r="J60" i="6" s="1"/>
  <c r="K60" i="6"/>
  <c r="L60" i="6" s="1"/>
  <c r="M60" i="6"/>
  <c r="N60" i="6"/>
  <c r="O60" i="6"/>
  <c r="P60" i="6" s="1"/>
  <c r="Q60" i="6"/>
  <c r="R60" i="6" s="1"/>
  <c r="C61" i="6"/>
  <c r="D61" i="6"/>
  <c r="D58" i="6" s="1"/>
  <c r="E61" i="6"/>
  <c r="F61" i="6" s="1"/>
  <c r="G61" i="6"/>
  <c r="H61" i="6" s="1"/>
  <c r="I61" i="6"/>
  <c r="J61" i="6"/>
  <c r="K61" i="6"/>
  <c r="L61" i="6" s="1"/>
  <c r="M61" i="6"/>
  <c r="M58" i="6" s="1"/>
  <c r="O61" i="6"/>
  <c r="P61" i="6" s="1"/>
  <c r="Q61" i="6"/>
  <c r="R61" i="6" s="1"/>
  <c r="C62" i="6"/>
  <c r="F62" i="6" s="1"/>
  <c r="D62" i="6"/>
  <c r="E62" i="6"/>
  <c r="G62" i="6"/>
  <c r="I62" i="6"/>
  <c r="K62" i="6"/>
  <c r="L62" i="6"/>
  <c r="M62" i="6"/>
  <c r="N62" i="6" s="1"/>
  <c r="O62" i="6"/>
  <c r="Q62" i="6"/>
  <c r="R62" i="6" s="1"/>
  <c r="C63" i="6"/>
  <c r="R63" i="6" s="1"/>
  <c r="D63" i="6"/>
  <c r="E63" i="6"/>
  <c r="F63" i="6" s="1"/>
  <c r="G63" i="6"/>
  <c r="I63" i="6"/>
  <c r="J63" i="6" s="1"/>
  <c r="K63" i="6"/>
  <c r="L63" i="6"/>
  <c r="M63" i="6"/>
  <c r="N63" i="6"/>
  <c r="O63" i="6"/>
  <c r="Q63" i="6"/>
  <c r="C64" i="6"/>
  <c r="D64" i="6"/>
  <c r="E64" i="6"/>
  <c r="F64" i="6" s="1"/>
  <c r="G64" i="6"/>
  <c r="H64" i="6" s="1"/>
  <c r="I64" i="6"/>
  <c r="J64" i="6" s="1"/>
  <c r="K64" i="6"/>
  <c r="L64" i="6" s="1"/>
  <c r="M64" i="6"/>
  <c r="N64" i="6"/>
  <c r="O64" i="6"/>
  <c r="P64" i="6" s="1"/>
  <c r="Q64" i="6"/>
  <c r="R64" i="6" s="1"/>
  <c r="C65" i="6"/>
  <c r="D65" i="6"/>
  <c r="E65" i="6"/>
  <c r="F65" i="6"/>
  <c r="G65" i="6"/>
  <c r="H65" i="6" s="1"/>
  <c r="I65" i="6"/>
  <c r="J65" i="6"/>
  <c r="K65" i="6"/>
  <c r="L65" i="6" s="1"/>
  <c r="M65" i="6"/>
  <c r="N65" i="6" s="1"/>
  <c r="O65" i="6"/>
  <c r="P65" i="6" s="1"/>
  <c r="Q65" i="6"/>
  <c r="R65" i="6" s="1"/>
  <c r="C66" i="6"/>
  <c r="F66" i="6" s="1"/>
  <c r="D66" i="6"/>
  <c r="E66" i="6"/>
  <c r="G66" i="6"/>
  <c r="I66" i="6"/>
  <c r="K66" i="6"/>
  <c r="L66" i="6"/>
  <c r="M66" i="6"/>
  <c r="N66" i="6" s="1"/>
  <c r="O66" i="6"/>
  <c r="Q66" i="6"/>
  <c r="C67" i="6"/>
  <c r="R67" i="6" s="1"/>
  <c r="D67" i="6"/>
  <c r="E67" i="6"/>
  <c r="F67" i="6" s="1"/>
  <c r="G67" i="6"/>
  <c r="I67" i="6"/>
  <c r="J67" i="6" s="1"/>
  <c r="K67" i="6"/>
  <c r="L67" i="6"/>
  <c r="M67" i="6"/>
  <c r="N67" i="6"/>
  <c r="O67" i="6"/>
  <c r="Q67" i="6"/>
  <c r="C68" i="6"/>
  <c r="D68" i="6"/>
  <c r="E68" i="6"/>
  <c r="F68" i="6" s="1"/>
  <c r="G68" i="6"/>
  <c r="H68" i="6" s="1"/>
  <c r="I68" i="6"/>
  <c r="J68" i="6" s="1"/>
  <c r="K68" i="6"/>
  <c r="L68" i="6" s="1"/>
  <c r="M68" i="6"/>
  <c r="N68" i="6"/>
  <c r="O68" i="6"/>
  <c r="P68" i="6" s="1"/>
  <c r="Q68" i="6"/>
  <c r="R68" i="6" s="1"/>
  <c r="C69" i="6"/>
  <c r="D69" i="6"/>
  <c r="E69" i="6"/>
  <c r="F69" i="6"/>
  <c r="G69" i="6"/>
  <c r="H69" i="6" s="1"/>
  <c r="I69" i="6"/>
  <c r="J69" i="6"/>
  <c r="K69" i="6"/>
  <c r="L69" i="6" s="1"/>
  <c r="M69" i="6"/>
  <c r="N69" i="6" s="1"/>
  <c r="O69" i="6"/>
  <c r="P69" i="6" s="1"/>
  <c r="Q69" i="6"/>
  <c r="R69" i="6" s="1"/>
  <c r="C70" i="6"/>
  <c r="F70" i="6" s="1"/>
  <c r="D70" i="6"/>
  <c r="E70" i="6"/>
  <c r="G70" i="6"/>
  <c r="I70" i="6"/>
  <c r="K70" i="6"/>
  <c r="L70" i="6"/>
  <c r="M70" i="6"/>
  <c r="N70" i="6" s="1"/>
  <c r="O70" i="6"/>
  <c r="Q70" i="6"/>
  <c r="C71" i="6"/>
  <c r="R71" i="6" s="1"/>
  <c r="D71" i="6"/>
  <c r="E71" i="6"/>
  <c r="F71" i="6" s="1"/>
  <c r="G71" i="6"/>
  <c r="I71" i="6"/>
  <c r="J71" i="6" s="1"/>
  <c r="K71" i="6"/>
  <c r="L71" i="6"/>
  <c r="M71" i="6"/>
  <c r="N71" i="6"/>
  <c r="O71" i="6"/>
  <c r="Q71" i="6"/>
  <c r="C72" i="6"/>
  <c r="D72" i="6"/>
  <c r="E72" i="6"/>
  <c r="F72" i="6" s="1"/>
  <c r="G72" i="6"/>
  <c r="H72" i="6" s="1"/>
  <c r="I72" i="6"/>
  <c r="J72" i="6" s="1"/>
  <c r="K72" i="6"/>
  <c r="L72" i="6" s="1"/>
  <c r="M72" i="6"/>
  <c r="N72" i="6" s="1"/>
  <c r="O72" i="6"/>
  <c r="P72" i="6" s="1"/>
  <c r="Q72" i="6"/>
  <c r="R72" i="6" s="1"/>
  <c r="C74" i="6"/>
  <c r="C73" i="6" s="1"/>
  <c r="D74" i="6"/>
  <c r="D73" i="6" s="1"/>
  <c r="E74" i="6"/>
  <c r="G74" i="6"/>
  <c r="I74" i="6"/>
  <c r="J74" i="6" s="1"/>
  <c r="K74" i="6"/>
  <c r="L74" i="6"/>
  <c r="M74" i="6"/>
  <c r="N74" i="6" s="1"/>
  <c r="O74" i="6"/>
  <c r="Q74" i="6"/>
  <c r="C75" i="6"/>
  <c r="R75" i="6" s="1"/>
  <c r="D75" i="6"/>
  <c r="E75" i="6"/>
  <c r="F75" i="6" s="1"/>
  <c r="G75" i="6"/>
  <c r="I75" i="6"/>
  <c r="J75" i="6" s="1"/>
  <c r="K75" i="6"/>
  <c r="K73" i="6" s="1"/>
  <c r="L73" i="6" s="1"/>
  <c r="M75" i="6"/>
  <c r="N75" i="6"/>
  <c r="O75" i="6"/>
  <c r="O73" i="6" s="1"/>
  <c r="P73" i="6" s="1"/>
  <c r="Q75" i="6"/>
  <c r="C76" i="6"/>
  <c r="D76" i="6"/>
  <c r="E76" i="6"/>
  <c r="F76" i="6" s="1"/>
  <c r="G76" i="6"/>
  <c r="H76" i="6" s="1"/>
  <c r="I76" i="6"/>
  <c r="J76" i="6" s="1"/>
  <c r="K76" i="6"/>
  <c r="L76" i="6" s="1"/>
  <c r="M76" i="6"/>
  <c r="N76" i="6" s="1"/>
  <c r="O76" i="6"/>
  <c r="P76" i="6" s="1"/>
  <c r="Q76" i="6"/>
  <c r="R76" i="6" s="1"/>
  <c r="C77" i="6"/>
  <c r="D77" i="6"/>
  <c r="E77" i="6"/>
  <c r="F77" i="6"/>
  <c r="G77" i="6"/>
  <c r="H77" i="6" s="1"/>
  <c r="I77" i="6"/>
  <c r="J77" i="6"/>
  <c r="K77" i="6"/>
  <c r="L77" i="6" s="1"/>
  <c r="M77" i="6"/>
  <c r="N77" i="6" s="1"/>
  <c r="O77" i="6"/>
  <c r="P77" i="6" s="1"/>
  <c r="Q77" i="6"/>
  <c r="R77" i="6" s="1"/>
  <c r="C78" i="6"/>
  <c r="F78" i="6" s="1"/>
  <c r="D78" i="6"/>
  <c r="E78" i="6"/>
  <c r="G78" i="6"/>
  <c r="I78" i="6"/>
  <c r="J78" i="6" s="1"/>
  <c r="K78" i="6"/>
  <c r="L78" i="6"/>
  <c r="M78" i="6"/>
  <c r="N78" i="6" s="1"/>
  <c r="O78" i="6"/>
  <c r="Q78" i="6"/>
  <c r="C79" i="6"/>
  <c r="R79" i="6" s="1"/>
  <c r="D79" i="6"/>
  <c r="E79" i="6"/>
  <c r="F79" i="6" s="1"/>
  <c r="G79" i="6"/>
  <c r="I79" i="6"/>
  <c r="J79" i="6" s="1"/>
  <c r="K79" i="6"/>
  <c r="L79" i="6" s="1"/>
  <c r="M79" i="6"/>
  <c r="N79" i="6"/>
  <c r="O79" i="6"/>
  <c r="P79" i="6" s="1"/>
  <c r="Q79" i="6"/>
  <c r="C80" i="6"/>
  <c r="D80" i="6"/>
  <c r="E80" i="6"/>
  <c r="F80" i="6"/>
  <c r="G80" i="6"/>
  <c r="H80" i="6" s="1"/>
  <c r="I80" i="6"/>
  <c r="J80" i="6" s="1"/>
  <c r="K80" i="6"/>
  <c r="L80" i="6" s="1"/>
  <c r="M80" i="6"/>
  <c r="N80" i="6" s="1"/>
  <c r="O80" i="6"/>
  <c r="P80" i="6" s="1"/>
  <c r="Q80" i="6"/>
  <c r="R80" i="6" s="1"/>
  <c r="C81" i="6"/>
  <c r="D81" i="6"/>
  <c r="E81" i="6"/>
  <c r="F81" i="6"/>
  <c r="G81" i="6"/>
  <c r="H81" i="6" s="1"/>
  <c r="I81" i="6"/>
  <c r="J81" i="6"/>
  <c r="K81" i="6"/>
  <c r="L81" i="6" s="1"/>
  <c r="M81" i="6"/>
  <c r="N81" i="6" s="1"/>
  <c r="O81" i="6"/>
  <c r="P81" i="6" s="1"/>
  <c r="Q81" i="6"/>
  <c r="R81" i="6"/>
  <c r="C82" i="6"/>
  <c r="F82" i="6" s="1"/>
  <c r="D82" i="6"/>
  <c r="E82" i="6"/>
  <c r="G82" i="6"/>
  <c r="I82" i="6"/>
  <c r="J82" i="6" s="1"/>
  <c r="K82" i="6"/>
  <c r="L82" i="6"/>
  <c r="M82" i="6"/>
  <c r="N82" i="6" s="1"/>
  <c r="O82" i="6"/>
  <c r="Q82" i="6"/>
  <c r="C83" i="6"/>
  <c r="R83" i="6" s="1"/>
  <c r="D83" i="6"/>
  <c r="E83" i="6"/>
  <c r="F83" i="6" s="1"/>
  <c r="G83" i="6"/>
  <c r="I83" i="6"/>
  <c r="J83" i="6" s="1"/>
  <c r="K83" i="6"/>
  <c r="L83" i="6" s="1"/>
  <c r="M83" i="6"/>
  <c r="N83" i="6"/>
  <c r="O83" i="6"/>
  <c r="P83" i="6" s="1"/>
  <c r="Q83" i="6"/>
  <c r="C84" i="6"/>
  <c r="D84" i="6"/>
  <c r="E84" i="6"/>
  <c r="F84" i="6"/>
  <c r="G84" i="6"/>
  <c r="H84" i="6" s="1"/>
  <c r="I84" i="6"/>
  <c r="J84" i="6" s="1"/>
  <c r="K84" i="6"/>
  <c r="L84" i="6" s="1"/>
  <c r="M84" i="6"/>
  <c r="N84" i="6" s="1"/>
  <c r="O84" i="6"/>
  <c r="P84" i="6" s="1"/>
  <c r="Q84" i="6"/>
  <c r="R84" i="6" s="1"/>
  <c r="C85" i="6"/>
  <c r="D85" i="6"/>
  <c r="E85" i="6"/>
  <c r="F85" i="6"/>
  <c r="G85" i="6"/>
  <c r="H85" i="6" s="1"/>
  <c r="I85" i="6"/>
  <c r="J85" i="6"/>
  <c r="K85" i="6"/>
  <c r="L85" i="6" s="1"/>
  <c r="M85" i="6"/>
  <c r="N85" i="6" s="1"/>
  <c r="O85" i="6"/>
  <c r="P85" i="6" s="1"/>
  <c r="Q85" i="6"/>
  <c r="R85" i="6"/>
  <c r="C86" i="6"/>
  <c r="F86" i="6" s="1"/>
  <c r="D86" i="6"/>
  <c r="E86" i="6"/>
  <c r="G86" i="6"/>
  <c r="I86" i="6"/>
  <c r="J86" i="6" s="1"/>
  <c r="K86" i="6"/>
  <c r="L86" i="6"/>
  <c r="M86" i="6"/>
  <c r="N86" i="6" s="1"/>
  <c r="O86" i="6"/>
  <c r="Q86" i="6"/>
  <c r="C87" i="6"/>
  <c r="R87" i="6" s="1"/>
  <c r="D87" i="6"/>
  <c r="E87" i="6"/>
  <c r="F87" i="6" s="1"/>
  <c r="G87" i="6"/>
  <c r="I87" i="6"/>
  <c r="J87" i="6" s="1"/>
  <c r="K87" i="6"/>
  <c r="L87" i="6" s="1"/>
  <c r="M87" i="6"/>
  <c r="N87" i="6"/>
  <c r="O87" i="6"/>
  <c r="P87" i="6" s="1"/>
  <c r="Q87" i="6"/>
  <c r="C89" i="6"/>
  <c r="D89" i="6"/>
  <c r="E89" i="6"/>
  <c r="F89" i="6"/>
  <c r="G89" i="6"/>
  <c r="H89" i="6" s="1"/>
  <c r="I89" i="6"/>
  <c r="I88" i="6" s="1"/>
  <c r="J89" i="6"/>
  <c r="K89" i="6"/>
  <c r="L89" i="6" s="1"/>
  <c r="M89" i="6"/>
  <c r="N89" i="6" s="1"/>
  <c r="O89" i="6"/>
  <c r="P89" i="6" s="1"/>
  <c r="Q89" i="6"/>
  <c r="R89" i="6"/>
  <c r="C90" i="6"/>
  <c r="F90" i="6" s="1"/>
  <c r="D90" i="6"/>
  <c r="D88" i="6" s="1"/>
  <c r="E90" i="6"/>
  <c r="G90" i="6"/>
  <c r="I90" i="6"/>
  <c r="J90" i="6" s="1"/>
  <c r="K90" i="6"/>
  <c r="L90" i="6"/>
  <c r="M90" i="6"/>
  <c r="N90" i="6" s="1"/>
  <c r="O90" i="6"/>
  <c r="Q90" i="6"/>
  <c r="C91" i="6"/>
  <c r="R91" i="6" s="1"/>
  <c r="D91" i="6"/>
  <c r="E91" i="6"/>
  <c r="F91" i="6" s="1"/>
  <c r="G91" i="6"/>
  <c r="I91" i="6"/>
  <c r="J91" i="6" s="1"/>
  <c r="K91" i="6"/>
  <c r="L91" i="6" s="1"/>
  <c r="M91" i="6"/>
  <c r="N91" i="6"/>
  <c r="O91" i="6"/>
  <c r="P91" i="6" s="1"/>
  <c r="Q91" i="6"/>
  <c r="C92" i="6"/>
  <c r="D92" i="6"/>
  <c r="E92" i="6"/>
  <c r="F92" i="6"/>
  <c r="G92" i="6"/>
  <c r="H92" i="6" s="1"/>
  <c r="I92" i="6"/>
  <c r="J92" i="6" s="1"/>
  <c r="K92" i="6"/>
  <c r="L92" i="6" s="1"/>
  <c r="M92" i="6"/>
  <c r="N92" i="6" s="1"/>
  <c r="O92" i="6"/>
  <c r="P92" i="6" s="1"/>
  <c r="Q92" i="6"/>
  <c r="R92" i="6" s="1"/>
  <c r="C93" i="6"/>
  <c r="D93" i="6"/>
  <c r="E93" i="6"/>
  <c r="F93" i="6"/>
  <c r="G93" i="6"/>
  <c r="H93" i="6" s="1"/>
  <c r="I93" i="6"/>
  <c r="J93" i="6"/>
  <c r="K93" i="6"/>
  <c r="L93" i="6" s="1"/>
  <c r="M93" i="6"/>
  <c r="N93" i="6" s="1"/>
  <c r="O93" i="6"/>
  <c r="P93" i="6" s="1"/>
  <c r="Q93" i="6"/>
  <c r="R93" i="6"/>
  <c r="C94" i="6"/>
  <c r="R94" i="6" s="1"/>
  <c r="D94" i="6"/>
  <c r="E94" i="6"/>
  <c r="F94" i="6"/>
  <c r="G94" i="6"/>
  <c r="I94" i="6"/>
  <c r="J94" i="6" s="1"/>
  <c r="K94" i="6"/>
  <c r="L94" i="6"/>
  <c r="M94" i="6"/>
  <c r="N94" i="6" s="1"/>
  <c r="O94" i="6"/>
  <c r="P94" i="6" s="1"/>
  <c r="Q94" i="6"/>
  <c r="C95" i="6"/>
  <c r="D95" i="6"/>
  <c r="E95" i="6"/>
  <c r="F95" i="6" s="1"/>
  <c r="G95" i="6"/>
  <c r="I95" i="6"/>
  <c r="J95" i="6" s="1"/>
  <c r="K95" i="6"/>
  <c r="L95" i="6" s="1"/>
  <c r="M95" i="6"/>
  <c r="N95" i="6"/>
  <c r="O95" i="6"/>
  <c r="P95" i="6" s="1"/>
  <c r="Q95" i="6"/>
  <c r="R95" i="6"/>
  <c r="C96" i="6"/>
  <c r="D96" i="6"/>
  <c r="E96" i="6"/>
  <c r="F96" i="6"/>
  <c r="G96" i="6"/>
  <c r="H96" i="6" s="1"/>
  <c r="I96" i="6"/>
  <c r="J96" i="6" s="1"/>
  <c r="K96" i="6"/>
  <c r="L96" i="6" s="1"/>
  <c r="M96" i="6"/>
  <c r="N96" i="6" s="1"/>
  <c r="O96" i="6"/>
  <c r="P96" i="6" s="1"/>
  <c r="Q96" i="6"/>
  <c r="R96" i="6" s="1"/>
  <c r="C97" i="6"/>
  <c r="D97" i="6"/>
  <c r="E97" i="6"/>
  <c r="F97" i="6"/>
  <c r="G97" i="6"/>
  <c r="H97" i="6" s="1"/>
  <c r="I97" i="6"/>
  <c r="J97" i="6"/>
  <c r="K97" i="6"/>
  <c r="L97" i="6" s="1"/>
  <c r="M97" i="6"/>
  <c r="N97" i="6" s="1"/>
  <c r="O97" i="6"/>
  <c r="P97" i="6" s="1"/>
  <c r="Q97" i="6"/>
  <c r="R97" i="6"/>
  <c r="C98" i="6"/>
  <c r="R98" i="6" s="1"/>
  <c r="D98" i="6"/>
  <c r="E98" i="6"/>
  <c r="F98" i="6"/>
  <c r="G98" i="6"/>
  <c r="I98" i="6"/>
  <c r="J98" i="6" s="1"/>
  <c r="K98" i="6"/>
  <c r="L98" i="6"/>
  <c r="M98" i="6"/>
  <c r="N98" i="6" s="1"/>
  <c r="O98" i="6"/>
  <c r="P98" i="6" s="1"/>
  <c r="Q98" i="6"/>
  <c r="C99" i="6"/>
  <c r="D99" i="6"/>
  <c r="E99" i="6"/>
  <c r="F99" i="6" s="1"/>
  <c r="G99" i="6"/>
  <c r="I99" i="6"/>
  <c r="J99" i="6" s="1"/>
  <c r="K99" i="6"/>
  <c r="L99" i="6" s="1"/>
  <c r="M99" i="6"/>
  <c r="N99" i="6"/>
  <c r="O99" i="6"/>
  <c r="P99" i="6" s="1"/>
  <c r="Q99" i="6"/>
  <c r="R99" i="6"/>
  <c r="C100" i="6"/>
  <c r="D100" i="6"/>
  <c r="E100" i="6"/>
  <c r="F100" i="6"/>
  <c r="G100" i="6"/>
  <c r="H100" i="6" s="1"/>
  <c r="I100" i="6"/>
  <c r="J100" i="6" s="1"/>
  <c r="K100" i="6"/>
  <c r="L100" i="6" s="1"/>
  <c r="M100" i="6"/>
  <c r="N100" i="6" s="1"/>
  <c r="O100" i="6"/>
  <c r="P100" i="6" s="1"/>
  <c r="Q100" i="6"/>
  <c r="R100" i="6" s="1"/>
  <c r="C101" i="6"/>
  <c r="D101" i="6"/>
  <c r="E101" i="6"/>
  <c r="F101" i="6" s="1"/>
  <c r="G101" i="6"/>
  <c r="H101" i="6" s="1"/>
  <c r="I101" i="6"/>
  <c r="J101" i="6" s="1"/>
  <c r="K101" i="6"/>
  <c r="L101" i="6" s="1"/>
  <c r="M101" i="6"/>
  <c r="N101" i="6" s="1"/>
  <c r="O101" i="6"/>
  <c r="P101" i="6" s="1"/>
  <c r="Q101" i="6"/>
  <c r="R101" i="6"/>
  <c r="C102" i="6"/>
  <c r="D102" i="6"/>
  <c r="E102" i="6"/>
  <c r="F102" i="6"/>
  <c r="G102" i="6"/>
  <c r="H102" i="6" s="1"/>
  <c r="I102" i="6"/>
  <c r="J102" i="6" s="1"/>
  <c r="K102" i="6"/>
  <c r="L102" i="6" s="1"/>
  <c r="M102" i="6"/>
  <c r="N102" i="6" s="1"/>
  <c r="O102" i="6"/>
  <c r="P102" i="6" s="1"/>
  <c r="Q102" i="6"/>
  <c r="R102" i="6" s="1"/>
  <c r="C103" i="6"/>
  <c r="D103" i="6"/>
  <c r="E103" i="6"/>
  <c r="F103" i="6"/>
  <c r="G103" i="6"/>
  <c r="I103" i="6"/>
  <c r="J103" i="6" s="1"/>
  <c r="K103" i="6"/>
  <c r="L103" i="6" s="1"/>
  <c r="M103" i="6"/>
  <c r="N103" i="6" s="1"/>
  <c r="O103" i="6"/>
  <c r="P103" i="6" s="1"/>
  <c r="Q103" i="6"/>
  <c r="R103" i="6"/>
  <c r="C105" i="6"/>
  <c r="D105" i="6"/>
  <c r="D104" i="6" s="1"/>
  <c r="E105" i="6"/>
  <c r="F105" i="6" s="1"/>
  <c r="G105" i="6"/>
  <c r="H105" i="6" s="1"/>
  <c r="I105" i="6"/>
  <c r="I104" i="6" s="1"/>
  <c r="K105" i="6"/>
  <c r="L105" i="6" s="1"/>
  <c r="M105" i="6"/>
  <c r="N105" i="6" s="1"/>
  <c r="O105" i="6"/>
  <c r="P105" i="6" s="1"/>
  <c r="Q105" i="6"/>
  <c r="R105" i="6"/>
  <c r="C106" i="6"/>
  <c r="D106" i="6"/>
  <c r="E106" i="6"/>
  <c r="F106" i="6"/>
  <c r="G106" i="6"/>
  <c r="H106" i="6" s="1"/>
  <c r="I106" i="6"/>
  <c r="J106" i="6" s="1"/>
  <c r="K106" i="6"/>
  <c r="K104" i="6" s="1"/>
  <c r="M106" i="6"/>
  <c r="N106" i="6" s="1"/>
  <c r="O106" i="6"/>
  <c r="P106" i="6" s="1"/>
  <c r="Q106" i="6"/>
  <c r="R106" i="6" s="1"/>
  <c r="C107" i="6"/>
  <c r="D107" i="6"/>
  <c r="E107" i="6"/>
  <c r="F107" i="6"/>
  <c r="G107" i="6"/>
  <c r="I107" i="6"/>
  <c r="J107" i="6" s="1"/>
  <c r="K107" i="6"/>
  <c r="L107" i="6" s="1"/>
  <c r="M107" i="6"/>
  <c r="N107" i="6" s="1"/>
  <c r="O107" i="6"/>
  <c r="P107" i="6" s="1"/>
  <c r="Q107" i="6"/>
  <c r="R107" i="6"/>
  <c r="C108" i="6"/>
  <c r="R108" i="6" s="1"/>
  <c r="D108" i="6"/>
  <c r="E108" i="6"/>
  <c r="F108" i="6"/>
  <c r="G108" i="6"/>
  <c r="I108" i="6"/>
  <c r="J108" i="6" s="1"/>
  <c r="K108" i="6"/>
  <c r="L108" i="6" s="1"/>
  <c r="M108" i="6"/>
  <c r="N108" i="6" s="1"/>
  <c r="O108" i="6"/>
  <c r="P108" i="6" s="1"/>
  <c r="Q108" i="6"/>
  <c r="C109" i="6"/>
  <c r="D109" i="6"/>
  <c r="E109" i="6"/>
  <c r="F109" i="6" s="1"/>
  <c r="G109" i="6"/>
  <c r="H109" i="6" s="1"/>
  <c r="I109" i="6"/>
  <c r="J109" i="6" s="1"/>
  <c r="K109" i="6"/>
  <c r="L109" i="6" s="1"/>
  <c r="M109" i="6"/>
  <c r="N109" i="6" s="1"/>
  <c r="O109" i="6"/>
  <c r="P109" i="6" s="1"/>
  <c r="Q109" i="6"/>
  <c r="R109" i="6"/>
  <c r="C110" i="6"/>
  <c r="D110" i="6"/>
  <c r="E110" i="6"/>
  <c r="F110" i="6"/>
  <c r="G110" i="6"/>
  <c r="H110" i="6" s="1"/>
  <c r="I110" i="6"/>
  <c r="J110" i="6" s="1"/>
  <c r="K110" i="6"/>
  <c r="L110" i="6" s="1"/>
  <c r="M110" i="6"/>
  <c r="N110" i="6" s="1"/>
  <c r="O110" i="6"/>
  <c r="P110" i="6" s="1"/>
  <c r="Q110" i="6"/>
  <c r="R110" i="6" s="1"/>
  <c r="C111" i="6"/>
  <c r="D111" i="6"/>
  <c r="E111" i="6"/>
  <c r="F111" i="6"/>
  <c r="G111" i="6"/>
  <c r="I111" i="6"/>
  <c r="J111" i="6" s="1"/>
  <c r="K111" i="6"/>
  <c r="L111" i="6" s="1"/>
  <c r="M111" i="6"/>
  <c r="N111" i="6" s="1"/>
  <c r="O111" i="6"/>
  <c r="P111" i="6" s="1"/>
  <c r="Q111" i="6"/>
  <c r="R111" i="6"/>
  <c r="C112" i="6"/>
  <c r="R112" i="6" s="1"/>
  <c r="D112" i="6"/>
  <c r="E112" i="6"/>
  <c r="F112" i="6"/>
  <c r="G112" i="6"/>
  <c r="I112" i="6"/>
  <c r="J112" i="6" s="1"/>
  <c r="K112" i="6"/>
  <c r="L112" i="6" s="1"/>
  <c r="M112" i="6"/>
  <c r="N112" i="6" s="1"/>
  <c r="O112" i="6"/>
  <c r="P112" i="6" s="1"/>
  <c r="Q112" i="6"/>
  <c r="C113" i="6"/>
  <c r="D113" i="6"/>
  <c r="E113" i="6"/>
  <c r="F113" i="6" s="1"/>
  <c r="G113" i="6"/>
  <c r="H113" i="6" s="1"/>
  <c r="I113" i="6"/>
  <c r="J113" i="6" s="1"/>
  <c r="K113" i="6"/>
  <c r="L113" i="6" s="1"/>
  <c r="M113" i="6"/>
  <c r="N113" i="6" s="1"/>
  <c r="O113" i="6"/>
  <c r="P113" i="6" s="1"/>
  <c r="Q113" i="6"/>
  <c r="R113" i="6"/>
  <c r="C114" i="6"/>
  <c r="D114" i="6"/>
  <c r="E114" i="6"/>
  <c r="F114" i="6"/>
  <c r="G114" i="6"/>
  <c r="H114" i="6" s="1"/>
  <c r="I114" i="6"/>
  <c r="J114" i="6" s="1"/>
  <c r="K114" i="6"/>
  <c r="L114" i="6" s="1"/>
  <c r="M114" i="6"/>
  <c r="N114" i="6" s="1"/>
  <c r="O114" i="6"/>
  <c r="P114" i="6" s="1"/>
  <c r="Q114" i="6"/>
  <c r="R114" i="6" s="1"/>
  <c r="C115" i="6"/>
  <c r="D115" i="6"/>
  <c r="E115" i="6"/>
  <c r="F115" i="6"/>
  <c r="G115" i="6"/>
  <c r="I115" i="6"/>
  <c r="J115" i="6" s="1"/>
  <c r="K115" i="6"/>
  <c r="L115" i="6"/>
  <c r="M115" i="6"/>
  <c r="N115" i="6" s="1"/>
  <c r="O115" i="6"/>
  <c r="P115" i="6" s="1"/>
  <c r="Q115" i="6"/>
  <c r="R115" i="6"/>
  <c r="C116" i="6"/>
  <c r="R116" i="6" s="1"/>
  <c r="D116" i="6"/>
  <c r="E116" i="6"/>
  <c r="F116" i="6"/>
  <c r="G116" i="6"/>
  <c r="I116" i="6"/>
  <c r="J116" i="6" s="1"/>
  <c r="K116" i="6"/>
  <c r="L116" i="6" s="1"/>
  <c r="M116" i="6"/>
  <c r="O116" i="6"/>
  <c r="P116" i="6" s="1"/>
  <c r="Q116" i="6"/>
  <c r="C117" i="6"/>
  <c r="D117" i="6"/>
  <c r="E117" i="6"/>
  <c r="F117" i="6" s="1"/>
  <c r="G117" i="6"/>
  <c r="H117" i="6"/>
  <c r="I117" i="6"/>
  <c r="J117" i="6"/>
  <c r="K117" i="6"/>
  <c r="L117" i="6"/>
  <c r="M117" i="6"/>
  <c r="N117" i="6" s="1"/>
  <c r="O117" i="6"/>
  <c r="P117" i="6"/>
  <c r="Q117" i="6"/>
  <c r="R117" i="6"/>
  <c r="C118" i="6"/>
  <c r="D118" i="6"/>
  <c r="E118" i="6"/>
  <c r="F118" i="6" s="1"/>
  <c r="G118" i="6"/>
  <c r="H118" i="6"/>
  <c r="I118" i="6"/>
  <c r="J118" i="6"/>
  <c r="K118" i="6"/>
  <c r="L118" i="6"/>
  <c r="M118" i="6"/>
  <c r="N118" i="6" s="1"/>
  <c r="O118" i="6"/>
  <c r="P118" i="6"/>
  <c r="Q118" i="6"/>
  <c r="R118" i="6"/>
  <c r="C119" i="6"/>
  <c r="D119" i="6"/>
  <c r="E119" i="6"/>
  <c r="F119" i="6" s="1"/>
  <c r="G119" i="6"/>
  <c r="H119" i="6"/>
  <c r="I119" i="6"/>
  <c r="J119" i="6"/>
  <c r="K119" i="6"/>
  <c r="L119" i="6"/>
  <c r="M119" i="6"/>
  <c r="N119" i="6" s="1"/>
  <c r="O119" i="6"/>
  <c r="P119" i="6"/>
  <c r="Q119" i="6"/>
  <c r="R119" i="6"/>
  <c r="C120" i="6"/>
  <c r="D120" i="6"/>
  <c r="E120" i="6"/>
  <c r="F120" i="6" s="1"/>
  <c r="G120" i="6"/>
  <c r="H120" i="6"/>
  <c r="I120" i="6"/>
  <c r="J120" i="6"/>
  <c r="K120" i="6"/>
  <c r="L120" i="6"/>
  <c r="M120" i="6"/>
  <c r="N120" i="6" s="1"/>
  <c r="O120" i="6"/>
  <c r="P120" i="6"/>
  <c r="Q120" i="6"/>
  <c r="R120" i="6"/>
  <c r="C121" i="6"/>
  <c r="C5" i="13" s="1"/>
  <c r="D121" i="6"/>
  <c r="D5" i="13" s="1"/>
  <c r="E121" i="6"/>
  <c r="E5" i="13" s="1"/>
  <c r="F5" i="13" s="1"/>
  <c r="G121" i="6"/>
  <c r="G5" i="13" s="1"/>
  <c r="H5" i="13" s="1"/>
  <c r="H121" i="6"/>
  <c r="I121" i="6"/>
  <c r="I5" i="13" s="1"/>
  <c r="K121" i="6"/>
  <c r="K5" i="13" s="1"/>
  <c r="L5" i="13" s="1"/>
  <c r="L121" i="6"/>
  <c r="M121" i="6"/>
  <c r="M5" i="13" s="1"/>
  <c r="N5" i="13" s="1"/>
  <c r="O121" i="6"/>
  <c r="O5" i="13" s="1"/>
  <c r="P5" i="13" s="1"/>
  <c r="P121" i="6"/>
  <c r="Q121" i="6"/>
  <c r="Q5" i="13" s="1"/>
  <c r="R5" i="13" s="1"/>
  <c r="C122" i="6"/>
  <c r="D122" i="6"/>
  <c r="E122" i="6"/>
  <c r="F122" i="6" s="1"/>
  <c r="G122" i="6"/>
  <c r="H122" i="6"/>
  <c r="I122" i="6"/>
  <c r="J122" i="6" s="1"/>
  <c r="K122" i="6"/>
  <c r="L122" i="6"/>
  <c r="M122" i="6"/>
  <c r="N122" i="6" s="1"/>
  <c r="O122" i="6"/>
  <c r="P122" i="6"/>
  <c r="Q122" i="6"/>
  <c r="R122" i="6" s="1"/>
  <c r="C123" i="6"/>
  <c r="D123" i="6"/>
  <c r="E123" i="6"/>
  <c r="F123" i="6" s="1"/>
  <c r="G123" i="6"/>
  <c r="H123" i="6"/>
  <c r="I123" i="6"/>
  <c r="J123" i="6" s="1"/>
  <c r="K123" i="6"/>
  <c r="L123" i="6"/>
  <c r="M123" i="6"/>
  <c r="N123" i="6" s="1"/>
  <c r="O123" i="6"/>
  <c r="P123" i="6"/>
  <c r="Q123" i="6"/>
  <c r="R123" i="6" s="1"/>
  <c r="C124" i="6"/>
  <c r="D124" i="6"/>
  <c r="E124" i="6"/>
  <c r="F124" i="6" s="1"/>
  <c r="G124" i="6"/>
  <c r="H124" i="6"/>
  <c r="I124" i="6"/>
  <c r="J124" i="6" s="1"/>
  <c r="K124" i="6"/>
  <c r="L124" i="6"/>
  <c r="M124" i="6"/>
  <c r="N124" i="6" s="1"/>
  <c r="O124" i="6"/>
  <c r="P124" i="6"/>
  <c r="Q124" i="6"/>
  <c r="R124" i="6" s="1"/>
  <c r="C125" i="6"/>
  <c r="D125" i="6"/>
  <c r="E125" i="6"/>
  <c r="F125" i="6" s="1"/>
  <c r="G125" i="6"/>
  <c r="H125" i="6"/>
  <c r="I125" i="6"/>
  <c r="J125" i="6" s="1"/>
  <c r="K125" i="6"/>
  <c r="L125" i="6"/>
  <c r="M125" i="6"/>
  <c r="N125" i="6" s="1"/>
  <c r="O125" i="6"/>
  <c r="P125" i="6"/>
  <c r="Q125" i="6"/>
  <c r="R125" i="6" s="1"/>
  <c r="C126" i="6"/>
  <c r="D126" i="6"/>
  <c r="E126" i="6"/>
  <c r="F126" i="6" s="1"/>
  <c r="G126" i="6"/>
  <c r="H126" i="6"/>
  <c r="I126" i="6"/>
  <c r="J126" i="6" s="1"/>
  <c r="K126" i="6"/>
  <c r="L126" i="6"/>
  <c r="M126" i="6"/>
  <c r="N126" i="6" s="1"/>
  <c r="O126" i="6"/>
  <c r="P126" i="6"/>
  <c r="Q126" i="6"/>
  <c r="R126" i="6" s="1"/>
  <c r="C127" i="6"/>
  <c r="D127" i="6"/>
  <c r="E127" i="6"/>
  <c r="F127" i="6" s="1"/>
  <c r="G127" i="6"/>
  <c r="H127" i="6"/>
  <c r="I127" i="6"/>
  <c r="J127" i="6" s="1"/>
  <c r="K127" i="6"/>
  <c r="L127" i="6"/>
  <c r="M127" i="6"/>
  <c r="N127" i="6" s="1"/>
  <c r="O127" i="6"/>
  <c r="P127" i="6"/>
  <c r="Q127" i="6"/>
  <c r="R127" i="6" s="1"/>
  <c r="C128" i="6"/>
  <c r="D128" i="6"/>
  <c r="E128" i="6"/>
  <c r="F128" i="6" s="1"/>
  <c r="G128" i="6"/>
  <c r="H128" i="6"/>
  <c r="I128" i="6"/>
  <c r="J128" i="6" s="1"/>
  <c r="K128" i="6"/>
  <c r="L128" i="6"/>
  <c r="M128" i="6"/>
  <c r="N128" i="6" s="1"/>
  <c r="O128" i="6"/>
  <c r="P128" i="6"/>
  <c r="Q128" i="6"/>
  <c r="R128" i="6" s="1"/>
  <c r="C129" i="6"/>
  <c r="D129" i="6"/>
  <c r="E129" i="6"/>
  <c r="F129" i="6" s="1"/>
  <c r="G129" i="6"/>
  <c r="H129" i="6"/>
  <c r="I129" i="6"/>
  <c r="J129" i="6" s="1"/>
  <c r="K129" i="6"/>
  <c r="L129" i="6"/>
  <c r="M129" i="6"/>
  <c r="N129" i="6" s="1"/>
  <c r="O129" i="6"/>
  <c r="P129" i="6"/>
  <c r="Q129" i="6"/>
  <c r="R129" i="6" s="1"/>
  <c r="C130" i="6"/>
  <c r="D130" i="6"/>
  <c r="E130" i="6"/>
  <c r="F130" i="6" s="1"/>
  <c r="G130" i="6"/>
  <c r="H130" i="6" s="1"/>
  <c r="I130" i="6"/>
  <c r="J130" i="6" s="1"/>
  <c r="K130" i="6"/>
  <c r="L130" i="6"/>
  <c r="M130" i="6"/>
  <c r="N130" i="6" s="1"/>
  <c r="O130" i="6"/>
  <c r="P130" i="6" s="1"/>
  <c r="Q130" i="6"/>
  <c r="R130" i="6" s="1"/>
  <c r="C131" i="6"/>
  <c r="D131" i="6"/>
  <c r="E131" i="6"/>
  <c r="F131" i="6" s="1"/>
  <c r="G131" i="6"/>
  <c r="H131" i="6" s="1"/>
  <c r="I131" i="6"/>
  <c r="J131" i="6" s="1"/>
  <c r="K131" i="6"/>
  <c r="L131" i="6"/>
  <c r="M131" i="6"/>
  <c r="N131" i="6" s="1"/>
  <c r="O131" i="6"/>
  <c r="P131" i="6" s="1"/>
  <c r="Q131" i="6"/>
  <c r="R131" i="6" s="1"/>
  <c r="C132" i="6"/>
  <c r="D132" i="6"/>
  <c r="E132" i="6"/>
  <c r="F132" i="6" s="1"/>
  <c r="G132" i="6"/>
  <c r="H132" i="6" s="1"/>
  <c r="I132" i="6"/>
  <c r="J132" i="6" s="1"/>
  <c r="K132" i="6"/>
  <c r="L132" i="6"/>
  <c r="M132" i="6"/>
  <c r="N132" i="6" s="1"/>
  <c r="O132" i="6"/>
  <c r="P132" i="6" s="1"/>
  <c r="Q132" i="6"/>
  <c r="R132" i="6" s="1"/>
  <c r="C133" i="6"/>
  <c r="D133" i="6"/>
  <c r="E133" i="6"/>
  <c r="F133" i="6" s="1"/>
  <c r="G133" i="6"/>
  <c r="H133" i="6" s="1"/>
  <c r="I133" i="6"/>
  <c r="J133" i="6" s="1"/>
  <c r="K133" i="6"/>
  <c r="L133" i="6"/>
  <c r="M133" i="6"/>
  <c r="N133" i="6" s="1"/>
  <c r="O133" i="6"/>
  <c r="P133" i="6" s="1"/>
  <c r="Q133" i="6"/>
  <c r="R133" i="6" s="1"/>
  <c r="C134" i="6"/>
  <c r="D134" i="6"/>
  <c r="E134" i="6"/>
  <c r="F134" i="6" s="1"/>
  <c r="G134" i="6"/>
  <c r="H134" i="6" s="1"/>
  <c r="I134" i="6"/>
  <c r="J134" i="6" s="1"/>
  <c r="K134" i="6"/>
  <c r="L134" i="6"/>
  <c r="M134" i="6"/>
  <c r="N134" i="6" s="1"/>
  <c r="O134" i="6"/>
  <c r="P134" i="6" s="1"/>
  <c r="Q134" i="6"/>
  <c r="R134" i="6" s="1"/>
  <c r="C135" i="6"/>
  <c r="D135" i="6"/>
  <c r="E135" i="6"/>
  <c r="F135" i="6" s="1"/>
  <c r="G135" i="6"/>
  <c r="H135" i="6" s="1"/>
  <c r="I135" i="6"/>
  <c r="J135" i="6" s="1"/>
  <c r="K135" i="6"/>
  <c r="L135" i="6"/>
  <c r="M135" i="6"/>
  <c r="N135" i="6" s="1"/>
  <c r="O135" i="6"/>
  <c r="P135" i="6" s="1"/>
  <c r="Q135" i="6"/>
  <c r="R135" i="6" s="1"/>
  <c r="C136" i="6"/>
  <c r="D136" i="6"/>
  <c r="E136" i="6"/>
  <c r="F136" i="6" s="1"/>
  <c r="G136" i="6"/>
  <c r="H136" i="6" s="1"/>
  <c r="I136" i="6"/>
  <c r="J136" i="6" s="1"/>
  <c r="K136" i="6"/>
  <c r="L136" i="6"/>
  <c r="M136" i="6"/>
  <c r="N136" i="6" s="1"/>
  <c r="O136" i="6"/>
  <c r="P136" i="6" s="1"/>
  <c r="Q136" i="6"/>
  <c r="R136" i="6" s="1"/>
  <c r="C137" i="6"/>
  <c r="D137" i="6"/>
  <c r="E137" i="6"/>
  <c r="F137" i="6" s="1"/>
  <c r="G137" i="6"/>
  <c r="H137" i="6" s="1"/>
  <c r="I137" i="6"/>
  <c r="J137" i="6" s="1"/>
  <c r="K137" i="6"/>
  <c r="L137" i="6"/>
  <c r="M137" i="6"/>
  <c r="N137" i="6" s="1"/>
  <c r="O137" i="6"/>
  <c r="P137" i="6" s="1"/>
  <c r="Q137" i="6"/>
  <c r="R137" i="6" s="1"/>
  <c r="C138" i="6"/>
  <c r="D138" i="6"/>
  <c r="E138" i="6"/>
  <c r="F138" i="6" s="1"/>
  <c r="G138" i="6"/>
  <c r="H138" i="6" s="1"/>
  <c r="I138" i="6"/>
  <c r="J138" i="6" s="1"/>
  <c r="K138" i="6"/>
  <c r="L138" i="6"/>
  <c r="M138" i="6"/>
  <c r="N138" i="6" s="1"/>
  <c r="O138" i="6"/>
  <c r="P138" i="6" s="1"/>
  <c r="Q138" i="6"/>
  <c r="R138" i="6" s="1"/>
  <c r="C139" i="6"/>
  <c r="D139" i="6"/>
  <c r="E139" i="6"/>
  <c r="F139" i="6" s="1"/>
  <c r="G139" i="6"/>
  <c r="H139" i="6" s="1"/>
  <c r="I139" i="6"/>
  <c r="J139" i="6" s="1"/>
  <c r="K139" i="6"/>
  <c r="L139" i="6"/>
  <c r="M139" i="6"/>
  <c r="N139" i="6" s="1"/>
  <c r="O139" i="6"/>
  <c r="P139" i="6" s="1"/>
  <c r="Q139" i="6"/>
  <c r="R139" i="6" s="1"/>
  <c r="C140" i="6"/>
  <c r="D140" i="6"/>
  <c r="E140" i="6"/>
  <c r="F140" i="6" s="1"/>
  <c r="G140" i="6"/>
  <c r="H140" i="6" s="1"/>
  <c r="I140" i="6"/>
  <c r="J140" i="6" s="1"/>
  <c r="K140" i="6"/>
  <c r="L140" i="6"/>
  <c r="M140" i="6"/>
  <c r="N140" i="6" s="1"/>
  <c r="O140" i="6"/>
  <c r="P140" i="6" s="1"/>
  <c r="Q140" i="6"/>
  <c r="R140" i="6" s="1"/>
  <c r="C141" i="6"/>
  <c r="D141" i="6"/>
  <c r="E141" i="6"/>
  <c r="F141" i="6" s="1"/>
  <c r="G141" i="6"/>
  <c r="H141" i="6" s="1"/>
  <c r="I141" i="6"/>
  <c r="J141" i="6" s="1"/>
  <c r="K141" i="6"/>
  <c r="L141" i="6"/>
  <c r="M141" i="6"/>
  <c r="N141" i="6" s="1"/>
  <c r="O141" i="6"/>
  <c r="P141" i="6" s="1"/>
  <c r="Q141" i="6"/>
  <c r="R141" i="6" s="1"/>
  <c r="C142" i="6"/>
  <c r="D142" i="6"/>
  <c r="E142" i="6"/>
  <c r="F142" i="6" s="1"/>
  <c r="G142" i="6"/>
  <c r="H142" i="6" s="1"/>
  <c r="I142" i="6"/>
  <c r="J142" i="6" s="1"/>
  <c r="K142" i="6"/>
  <c r="L142" i="6"/>
  <c r="M142" i="6"/>
  <c r="N142" i="6" s="1"/>
  <c r="O142" i="6"/>
  <c r="P142" i="6" s="1"/>
  <c r="Q142" i="6"/>
  <c r="R142" i="6" s="1"/>
  <c r="C143" i="6"/>
  <c r="D143" i="6"/>
  <c r="E143" i="6"/>
  <c r="F143" i="6" s="1"/>
  <c r="G143" i="6"/>
  <c r="H143" i="6" s="1"/>
  <c r="I143" i="6"/>
  <c r="J143" i="6" s="1"/>
  <c r="K143" i="6"/>
  <c r="L143" i="6"/>
  <c r="M143" i="6"/>
  <c r="N143" i="6" s="1"/>
  <c r="O143" i="6"/>
  <c r="P143" i="6" s="1"/>
  <c r="Q143" i="6"/>
  <c r="R143" i="6" s="1"/>
  <c r="C144" i="6"/>
  <c r="D144" i="6"/>
  <c r="E144" i="6"/>
  <c r="F144" i="6" s="1"/>
  <c r="G144" i="6"/>
  <c r="H144" i="6" s="1"/>
  <c r="I144" i="6"/>
  <c r="J144" i="6" s="1"/>
  <c r="K144" i="6"/>
  <c r="L144" i="6" s="1"/>
  <c r="M144" i="6"/>
  <c r="N144" i="6" s="1"/>
  <c r="O144" i="6"/>
  <c r="P144" i="6" s="1"/>
  <c r="Q144" i="6"/>
  <c r="R144" i="6" s="1"/>
  <c r="C145" i="6"/>
  <c r="D145" i="6"/>
  <c r="E145" i="6"/>
  <c r="F145" i="6" s="1"/>
  <c r="G145" i="6"/>
  <c r="H145" i="6" s="1"/>
  <c r="I145" i="6"/>
  <c r="J145" i="6" s="1"/>
  <c r="K145" i="6"/>
  <c r="L145" i="6" s="1"/>
  <c r="M145" i="6"/>
  <c r="N145" i="6" s="1"/>
  <c r="O145" i="6"/>
  <c r="P145" i="6" s="1"/>
  <c r="Q145" i="6"/>
  <c r="R145" i="6" s="1"/>
  <c r="C146" i="6"/>
  <c r="D146" i="6"/>
  <c r="E146" i="6"/>
  <c r="F146" i="6" s="1"/>
  <c r="G146" i="6"/>
  <c r="H146" i="6" s="1"/>
  <c r="I146" i="6"/>
  <c r="J146" i="6" s="1"/>
  <c r="K146" i="6"/>
  <c r="L146" i="6" s="1"/>
  <c r="M146" i="6"/>
  <c r="N146" i="6" s="1"/>
  <c r="O146" i="6"/>
  <c r="P146" i="6" s="1"/>
  <c r="Q146" i="6"/>
  <c r="R146" i="6" s="1"/>
  <c r="C147" i="6"/>
  <c r="D147" i="6"/>
  <c r="E147" i="6"/>
  <c r="F147" i="6" s="1"/>
  <c r="G147" i="6"/>
  <c r="H147" i="6" s="1"/>
  <c r="I147" i="6"/>
  <c r="J147" i="6" s="1"/>
  <c r="K147" i="6"/>
  <c r="L147" i="6" s="1"/>
  <c r="M147" i="6"/>
  <c r="N147" i="6" s="1"/>
  <c r="O147" i="6"/>
  <c r="P147" i="6" s="1"/>
  <c r="Q147" i="6"/>
  <c r="R147" i="6" s="1"/>
  <c r="C148" i="6"/>
  <c r="D148" i="6"/>
  <c r="E148" i="6"/>
  <c r="F148" i="6" s="1"/>
  <c r="G148" i="6"/>
  <c r="H148" i="6" s="1"/>
  <c r="I148" i="6"/>
  <c r="J148" i="6" s="1"/>
  <c r="K148" i="6"/>
  <c r="L148" i="6" s="1"/>
  <c r="M148" i="6"/>
  <c r="N148" i="6" s="1"/>
  <c r="O148" i="6"/>
  <c r="P148" i="6" s="1"/>
  <c r="Q148" i="6"/>
  <c r="R148" i="6" s="1"/>
  <c r="C149" i="6"/>
  <c r="D149" i="6"/>
  <c r="E149" i="6"/>
  <c r="F149" i="6" s="1"/>
  <c r="G149" i="6"/>
  <c r="H149" i="6" s="1"/>
  <c r="I149" i="6"/>
  <c r="J149" i="6" s="1"/>
  <c r="K149" i="6"/>
  <c r="L149" i="6" s="1"/>
  <c r="M149" i="6"/>
  <c r="N149" i="6" s="1"/>
  <c r="O149" i="6"/>
  <c r="P149" i="6" s="1"/>
  <c r="Q149" i="6"/>
  <c r="R149" i="6" s="1"/>
  <c r="C150" i="6"/>
  <c r="D150" i="6"/>
  <c r="E150" i="6"/>
  <c r="F150" i="6" s="1"/>
  <c r="G150" i="6"/>
  <c r="H150" i="6" s="1"/>
  <c r="I150" i="6"/>
  <c r="J150" i="6" s="1"/>
  <c r="K150" i="6"/>
  <c r="L150" i="6" s="1"/>
  <c r="M150" i="6"/>
  <c r="N150" i="6" s="1"/>
  <c r="O150" i="6"/>
  <c r="P150" i="6" s="1"/>
  <c r="Q150" i="6"/>
  <c r="R150" i="6" s="1"/>
  <c r="C151" i="6"/>
  <c r="D151" i="6"/>
  <c r="E151" i="6"/>
  <c r="F151" i="6" s="1"/>
  <c r="G151" i="6"/>
  <c r="H151" i="6" s="1"/>
  <c r="I151" i="6"/>
  <c r="J151" i="6" s="1"/>
  <c r="K151" i="6"/>
  <c r="L151" i="6" s="1"/>
  <c r="M151" i="6"/>
  <c r="N151" i="6" s="1"/>
  <c r="O151" i="6"/>
  <c r="P151" i="6" s="1"/>
  <c r="Q151" i="6"/>
  <c r="R151" i="6" s="1"/>
  <c r="C152" i="6"/>
  <c r="D152" i="6"/>
  <c r="E152" i="6"/>
  <c r="F152" i="6" s="1"/>
  <c r="G152" i="6"/>
  <c r="H152" i="6" s="1"/>
  <c r="I152" i="6"/>
  <c r="J152" i="6" s="1"/>
  <c r="K152" i="6"/>
  <c r="L152" i="6" s="1"/>
  <c r="M152" i="6"/>
  <c r="N152" i="6" s="1"/>
  <c r="O152" i="6"/>
  <c r="P152" i="6" s="1"/>
  <c r="Q152" i="6"/>
  <c r="R152" i="6" s="1"/>
  <c r="C153" i="6"/>
  <c r="D153" i="6"/>
  <c r="E153" i="6"/>
  <c r="F153" i="6" s="1"/>
  <c r="G153" i="6"/>
  <c r="H153" i="6" s="1"/>
  <c r="I153" i="6"/>
  <c r="J153" i="6" s="1"/>
  <c r="K153" i="6"/>
  <c r="L153" i="6" s="1"/>
  <c r="M153" i="6"/>
  <c r="N153" i="6" s="1"/>
  <c r="O153" i="6"/>
  <c r="P153" i="6" s="1"/>
  <c r="Q153" i="6"/>
  <c r="R153" i="6" s="1"/>
  <c r="C154" i="6"/>
  <c r="D154" i="6"/>
  <c r="E154" i="6"/>
  <c r="F154" i="6" s="1"/>
  <c r="G154" i="6"/>
  <c r="H154" i="6" s="1"/>
  <c r="I154" i="6"/>
  <c r="J154" i="6" s="1"/>
  <c r="K154" i="6"/>
  <c r="L154" i="6" s="1"/>
  <c r="M154" i="6"/>
  <c r="N154" i="6" s="1"/>
  <c r="O154" i="6"/>
  <c r="P154" i="6" s="1"/>
  <c r="Q154" i="6"/>
  <c r="R154" i="6" s="1"/>
  <c r="C155" i="6"/>
  <c r="D155" i="6"/>
  <c r="E155" i="6"/>
  <c r="F155" i="6" s="1"/>
  <c r="G155" i="6"/>
  <c r="H155" i="6" s="1"/>
  <c r="I155" i="6"/>
  <c r="J155" i="6" s="1"/>
  <c r="K155" i="6"/>
  <c r="L155" i="6" s="1"/>
  <c r="M155" i="6"/>
  <c r="N155" i="6" s="1"/>
  <c r="O155" i="6"/>
  <c r="P155" i="6" s="1"/>
  <c r="Q155" i="6"/>
  <c r="R155" i="6" s="1"/>
  <c r="C156" i="6"/>
  <c r="D156" i="6"/>
  <c r="E156" i="6"/>
  <c r="F156" i="6" s="1"/>
  <c r="G156" i="6"/>
  <c r="H156" i="6" s="1"/>
  <c r="I156" i="6"/>
  <c r="J156" i="6" s="1"/>
  <c r="K156" i="6"/>
  <c r="L156" i="6" s="1"/>
  <c r="M156" i="6"/>
  <c r="N156" i="6" s="1"/>
  <c r="O156" i="6"/>
  <c r="P156" i="6" s="1"/>
  <c r="Q156" i="6"/>
  <c r="R156" i="6" s="1"/>
  <c r="C157" i="6"/>
  <c r="D157" i="6"/>
  <c r="E157" i="6"/>
  <c r="F157" i="6" s="1"/>
  <c r="G157" i="6"/>
  <c r="H157" i="6" s="1"/>
  <c r="I157" i="6"/>
  <c r="J157" i="6" s="1"/>
  <c r="K157" i="6"/>
  <c r="L157" i="6" s="1"/>
  <c r="M157" i="6"/>
  <c r="N157" i="6" s="1"/>
  <c r="O157" i="6"/>
  <c r="P157" i="6" s="1"/>
  <c r="Q157" i="6"/>
  <c r="R157" i="6" s="1"/>
  <c r="C158" i="6"/>
  <c r="D158" i="6"/>
  <c r="E158" i="6"/>
  <c r="F158" i="6" s="1"/>
  <c r="G158" i="6"/>
  <c r="H158" i="6" s="1"/>
  <c r="I158" i="6"/>
  <c r="J158" i="6" s="1"/>
  <c r="K158" i="6"/>
  <c r="L158" i="6" s="1"/>
  <c r="M158" i="6"/>
  <c r="N158" i="6" s="1"/>
  <c r="O158" i="6"/>
  <c r="P158" i="6" s="1"/>
  <c r="Q158" i="6"/>
  <c r="R158" i="6" s="1"/>
  <c r="C159" i="6"/>
  <c r="D159" i="6"/>
  <c r="E159" i="6"/>
  <c r="F159" i="6" s="1"/>
  <c r="G159" i="6"/>
  <c r="H159" i="6" s="1"/>
  <c r="I159" i="6"/>
  <c r="J159" i="6" s="1"/>
  <c r="K159" i="6"/>
  <c r="L159" i="6" s="1"/>
  <c r="M159" i="6"/>
  <c r="N159" i="6" s="1"/>
  <c r="O159" i="6"/>
  <c r="P159" i="6" s="1"/>
  <c r="Q159" i="6"/>
  <c r="R159" i="6" s="1"/>
  <c r="C160" i="6"/>
  <c r="D160" i="6"/>
  <c r="E160" i="6"/>
  <c r="F160" i="6" s="1"/>
  <c r="G160" i="6"/>
  <c r="H160" i="6" s="1"/>
  <c r="I160" i="6"/>
  <c r="J160" i="6" s="1"/>
  <c r="K160" i="6"/>
  <c r="L160" i="6" s="1"/>
  <c r="M160" i="6"/>
  <c r="N160" i="6" s="1"/>
  <c r="O160" i="6"/>
  <c r="P160" i="6" s="1"/>
  <c r="Q160" i="6"/>
  <c r="R160" i="6" s="1"/>
  <c r="C161" i="6"/>
  <c r="D161" i="6"/>
  <c r="E161" i="6"/>
  <c r="F161" i="6" s="1"/>
  <c r="G161" i="6"/>
  <c r="H161" i="6" s="1"/>
  <c r="I161" i="6"/>
  <c r="J161" i="6" s="1"/>
  <c r="K161" i="6"/>
  <c r="L161" i="6" s="1"/>
  <c r="M161" i="6"/>
  <c r="N161" i="6" s="1"/>
  <c r="O161" i="6"/>
  <c r="P161" i="6" s="1"/>
  <c r="Q161" i="6"/>
  <c r="R161" i="6" s="1"/>
  <c r="C162" i="6"/>
  <c r="D162" i="6"/>
  <c r="E162" i="6"/>
  <c r="F162" i="6" s="1"/>
  <c r="G162" i="6"/>
  <c r="H162" i="6" s="1"/>
  <c r="I162" i="6"/>
  <c r="J162" i="6" s="1"/>
  <c r="K162" i="6"/>
  <c r="L162" i="6" s="1"/>
  <c r="M162" i="6"/>
  <c r="N162" i="6" s="1"/>
  <c r="O162" i="6"/>
  <c r="P162" i="6" s="1"/>
  <c r="Q162" i="6"/>
  <c r="R162" i="6" s="1"/>
  <c r="C163" i="6"/>
  <c r="D163" i="6"/>
  <c r="E163" i="6"/>
  <c r="F163" i="6" s="1"/>
  <c r="G163" i="6"/>
  <c r="H163" i="6" s="1"/>
  <c r="I163" i="6"/>
  <c r="J163" i="6" s="1"/>
  <c r="K163" i="6"/>
  <c r="L163" i="6" s="1"/>
  <c r="M163" i="6"/>
  <c r="N163" i="6" s="1"/>
  <c r="O163" i="6"/>
  <c r="P163" i="6" s="1"/>
  <c r="Q163" i="6"/>
  <c r="R163" i="6" s="1"/>
  <c r="C164" i="6"/>
  <c r="D164" i="6"/>
  <c r="E164" i="6"/>
  <c r="F164" i="6" s="1"/>
  <c r="G164" i="6"/>
  <c r="H164" i="6" s="1"/>
  <c r="I164" i="6"/>
  <c r="J164" i="6" s="1"/>
  <c r="K164" i="6"/>
  <c r="L164" i="6" s="1"/>
  <c r="M164" i="6"/>
  <c r="N164" i="6" s="1"/>
  <c r="O164" i="6"/>
  <c r="P164" i="6" s="1"/>
  <c r="Q164" i="6"/>
  <c r="R164" i="6" s="1"/>
  <c r="C165" i="6"/>
  <c r="D165" i="6"/>
  <c r="E165" i="6"/>
  <c r="F165" i="6" s="1"/>
  <c r="G165" i="6"/>
  <c r="I165" i="6"/>
  <c r="J165" i="6" s="1"/>
  <c r="K165" i="6"/>
  <c r="L165" i="6" s="1"/>
  <c r="M165" i="6"/>
  <c r="O165" i="6"/>
  <c r="P165" i="6" s="1"/>
  <c r="Q165" i="6"/>
  <c r="R165" i="6" s="1"/>
  <c r="C166" i="6"/>
  <c r="D166" i="6"/>
  <c r="E166" i="6"/>
  <c r="G166" i="6"/>
  <c r="H166" i="6" s="1"/>
  <c r="I166" i="6"/>
  <c r="K166" i="6"/>
  <c r="M166" i="6"/>
  <c r="N166" i="6" s="1"/>
  <c r="O166" i="6"/>
  <c r="P166" i="6" s="1"/>
  <c r="Q166" i="6"/>
  <c r="R166" i="6" s="1"/>
  <c r="C167" i="6"/>
  <c r="D167" i="6"/>
  <c r="E167" i="6"/>
  <c r="F167" i="6" s="1"/>
  <c r="G167" i="6"/>
  <c r="H167" i="6" s="1"/>
  <c r="I167" i="6"/>
  <c r="K167" i="6"/>
  <c r="L167" i="6" s="1"/>
  <c r="M167" i="6"/>
  <c r="N167" i="6" s="1"/>
  <c r="O167" i="6"/>
  <c r="P167" i="6" s="1"/>
  <c r="Q167" i="6"/>
  <c r="R167" i="6" s="1"/>
  <c r="C168" i="6"/>
  <c r="D168" i="6"/>
  <c r="E168" i="6"/>
  <c r="F168" i="6" s="1"/>
  <c r="G168" i="6"/>
  <c r="H168" i="6" s="1"/>
  <c r="I168" i="6"/>
  <c r="J168" i="6" s="1"/>
  <c r="K168" i="6"/>
  <c r="L168" i="6" s="1"/>
  <c r="M168" i="6"/>
  <c r="N168" i="6" s="1"/>
  <c r="O168" i="6"/>
  <c r="P168" i="6" s="1"/>
  <c r="Q168" i="6"/>
  <c r="R168" i="6" s="1"/>
  <c r="C169" i="6"/>
  <c r="D169" i="6"/>
  <c r="E169" i="6"/>
  <c r="G169" i="6"/>
  <c r="H169" i="6" s="1"/>
  <c r="I169" i="6"/>
  <c r="J169" i="6" s="1"/>
  <c r="K169" i="6"/>
  <c r="L169" i="6" s="1"/>
  <c r="M169" i="6"/>
  <c r="N169" i="6" s="1"/>
  <c r="O169" i="6"/>
  <c r="Q169" i="6"/>
  <c r="R169" i="6" s="1"/>
  <c r="C170" i="6"/>
  <c r="D170" i="6"/>
  <c r="E170" i="6"/>
  <c r="F170" i="6" s="1"/>
  <c r="G170" i="6"/>
  <c r="H170" i="6" s="1"/>
  <c r="I170" i="6"/>
  <c r="J170" i="6" s="1"/>
  <c r="K170" i="6"/>
  <c r="L170" i="6" s="1"/>
  <c r="M170" i="6"/>
  <c r="N170" i="6" s="1"/>
  <c r="O170" i="6"/>
  <c r="P170" i="6" s="1"/>
  <c r="Q170" i="6"/>
  <c r="R170" i="6" s="1"/>
  <c r="C171" i="6"/>
  <c r="D171" i="6"/>
  <c r="E171" i="6"/>
  <c r="F171" i="6" s="1"/>
  <c r="G171" i="6"/>
  <c r="H171" i="6" s="1"/>
  <c r="I171" i="6"/>
  <c r="J171" i="6" s="1"/>
  <c r="K171" i="6"/>
  <c r="L171" i="6" s="1"/>
  <c r="M171" i="6"/>
  <c r="N171" i="6" s="1"/>
  <c r="O171" i="6"/>
  <c r="P171" i="6" s="1"/>
  <c r="Q171" i="6"/>
  <c r="R171" i="6" s="1"/>
  <c r="C172" i="6"/>
  <c r="D172" i="6"/>
  <c r="E172" i="6"/>
  <c r="F172" i="6" s="1"/>
  <c r="G172" i="6"/>
  <c r="I172" i="6"/>
  <c r="J172" i="6" s="1"/>
  <c r="K172" i="6"/>
  <c r="L172" i="6" s="1"/>
  <c r="M172" i="6"/>
  <c r="O172" i="6"/>
  <c r="Q172" i="6"/>
  <c r="R172" i="6" s="1"/>
  <c r="C173" i="6"/>
  <c r="D173" i="6"/>
  <c r="E173" i="6"/>
  <c r="F173" i="6" s="1"/>
  <c r="G173" i="6"/>
  <c r="H173" i="6" s="1"/>
  <c r="I173" i="6"/>
  <c r="J173" i="6" s="1"/>
  <c r="K173" i="6"/>
  <c r="L173" i="6" s="1"/>
  <c r="M173" i="6"/>
  <c r="O173" i="6"/>
  <c r="P173" i="6" s="1"/>
  <c r="Q173" i="6"/>
  <c r="R173" i="6" s="1"/>
  <c r="C174" i="6"/>
  <c r="D174" i="6"/>
  <c r="E174" i="6"/>
  <c r="G174" i="6"/>
  <c r="I174" i="6"/>
  <c r="K174" i="6"/>
  <c r="M174" i="6"/>
  <c r="O174" i="6"/>
  <c r="Q174" i="6"/>
  <c r="R174" i="6" s="1"/>
  <c r="C175" i="6"/>
  <c r="C6" i="13" s="1"/>
  <c r="D175" i="6"/>
  <c r="D6" i="13" s="1"/>
  <c r="E175" i="6"/>
  <c r="G175" i="6"/>
  <c r="I175" i="6"/>
  <c r="K175" i="6"/>
  <c r="M175" i="6"/>
  <c r="O175" i="6"/>
  <c r="Q175" i="6"/>
  <c r="C176" i="6"/>
  <c r="D176" i="6"/>
  <c r="E176" i="6"/>
  <c r="G176" i="6"/>
  <c r="I176" i="6"/>
  <c r="J176" i="6" s="1"/>
  <c r="K176" i="6"/>
  <c r="L176" i="6" s="1"/>
  <c r="M176" i="6"/>
  <c r="N176" i="6" s="1"/>
  <c r="O176" i="6"/>
  <c r="P176" i="6" s="1"/>
  <c r="Q176" i="6"/>
  <c r="R176" i="6" s="1"/>
  <c r="S176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C181" i="6"/>
  <c r="J181" i="6" s="1"/>
  <c r="D181" i="6"/>
  <c r="E181" i="6"/>
  <c r="F181" i="6"/>
  <c r="G181" i="6"/>
  <c r="H181" i="6"/>
  <c r="I181" i="6"/>
  <c r="K181" i="6"/>
  <c r="L181" i="6" s="1"/>
  <c r="M181" i="6"/>
  <c r="N181" i="6"/>
  <c r="O181" i="6"/>
  <c r="P181" i="6"/>
  <c r="Q181" i="6"/>
  <c r="C182" i="6"/>
  <c r="N182" i="6" s="1"/>
  <c r="D182" i="6"/>
  <c r="E182" i="6"/>
  <c r="F182" i="6"/>
  <c r="G182" i="6"/>
  <c r="I182" i="6"/>
  <c r="K182" i="6"/>
  <c r="L182" i="6"/>
  <c r="M182" i="6"/>
  <c r="O182" i="6"/>
  <c r="Q182" i="6"/>
  <c r="C183" i="6"/>
  <c r="D183" i="6"/>
  <c r="E183" i="6"/>
  <c r="G183" i="6"/>
  <c r="I183" i="6"/>
  <c r="K183" i="6"/>
  <c r="L183" i="6"/>
  <c r="M183" i="6"/>
  <c r="O183" i="6"/>
  <c r="Q183" i="6"/>
  <c r="C184" i="6"/>
  <c r="D184" i="6"/>
  <c r="E184" i="6"/>
  <c r="F184" i="6"/>
  <c r="G184" i="6"/>
  <c r="H184" i="6"/>
  <c r="I184" i="6"/>
  <c r="K184" i="6"/>
  <c r="L184" i="6" s="1"/>
  <c r="M184" i="6"/>
  <c r="N184" i="6"/>
  <c r="O184" i="6"/>
  <c r="P184" i="6"/>
  <c r="Q184" i="6"/>
  <c r="C185" i="6"/>
  <c r="D185" i="6"/>
  <c r="E185" i="6"/>
  <c r="F185" i="6"/>
  <c r="G185" i="6"/>
  <c r="H185" i="6"/>
  <c r="I185" i="6"/>
  <c r="K185" i="6"/>
  <c r="L185" i="6" s="1"/>
  <c r="M185" i="6"/>
  <c r="N185" i="6"/>
  <c r="O185" i="6"/>
  <c r="P185" i="6"/>
  <c r="Q185" i="6"/>
  <c r="C186" i="6"/>
  <c r="N186" i="6" s="1"/>
  <c r="D186" i="6"/>
  <c r="E186" i="6"/>
  <c r="F186" i="6"/>
  <c r="G186" i="6"/>
  <c r="I186" i="6"/>
  <c r="K186" i="6"/>
  <c r="L186" i="6" s="1"/>
  <c r="M186" i="6"/>
  <c r="O186" i="6"/>
  <c r="Q186" i="6"/>
  <c r="C187" i="6"/>
  <c r="D187" i="6"/>
  <c r="E187" i="6"/>
  <c r="G187" i="6"/>
  <c r="H187" i="6"/>
  <c r="I187" i="6"/>
  <c r="K187" i="6"/>
  <c r="L187" i="6"/>
  <c r="M187" i="6"/>
  <c r="O187" i="6"/>
  <c r="Q187" i="6"/>
  <c r="C188" i="6"/>
  <c r="D188" i="6"/>
  <c r="E188" i="6"/>
  <c r="F188" i="6"/>
  <c r="G188" i="6"/>
  <c r="H188" i="6"/>
  <c r="I188" i="6"/>
  <c r="K188" i="6"/>
  <c r="L188" i="6" s="1"/>
  <c r="M188" i="6"/>
  <c r="N188" i="6"/>
  <c r="O188" i="6"/>
  <c r="P188" i="6"/>
  <c r="Q188" i="6"/>
  <c r="C189" i="6"/>
  <c r="D189" i="6"/>
  <c r="E189" i="6"/>
  <c r="F189" i="6"/>
  <c r="G189" i="6"/>
  <c r="H189" i="6"/>
  <c r="I189" i="6"/>
  <c r="K189" i="6"/>
  <c r="L189" i="6" s="1"/>
  <c r="M189" i="6"/>
  <c r="N189" i="6"/>
  <c r="O189" i="6"/>
  <c r="P189" i="6"/>
  <c r="Q189" i="6"/>
  <c r="C190" i="6"/>
  <c r="N190" i="6" s="1"/>
  <c r="D190" i="6"/>
  <c r="E190" i="6"/>
  <c r="F190" i="6"/>
  <c r="G190" i="6"/>
  <c r="H190" i="6"/>
  <c r="I190" i="6"/>
  <c r="K190" i="6"/>
  <c r="L190" i="6" s="1"/>
  <c r="M190" i="6"/>
  <c r="O190" i="6"/>
  <c r="Q190" i="6"/>
  <c r="C191" i="6"/>
  <c r="D191" i="6"/>
  <c r="E191" i="6"/>
  <c r="F191" i="6"/>
  <c r="G191" i="6"/>
  <c r="H191" i="6"/>
  <c r="I191" i="6"/>
  <c r="K191" i="6"/>
  <c r="L191" i="6"/>
  <c r="M191" i="6"/>
  <c r="O191" i="6"/>
  <c r="Q191" i="6"/>
  <c r="C192" i="6"/>
  <c r="D192" i="6"/>
  <c r="E192" i="6"/>
  <c r="F192" i="6"/>
  <c r="G192" i="6"/>
  <c r="H192" i="6"/>
  <c r="I192" i="6"/>
  <c r="K192" i="6"/>
  <c r="L192" i="6" s="1"/>
  <c r="M192" i="6"/>
  <c r="N192" i="6"/>
  <c r="O192" i="6"/>
  <c r="P192" i="6"/>
  <c r="Q192" i="6"/>
  <c r="C193" i="6"/>
  <c r="D193" i="6"/>
  <c r="E193" i="6"/>
  <c r="F193" i="6"/>
  <c r="G193" i="6"/>
  <c r="H193" i="6"/>
  <c r="I193" i="6"/>
  <c r="K193" i="6"/>
  <c r="L193" i="6" s="1"/>
  <c r="M193" i="6"/>
  <c r="N193" i="6"/>
  <c r="O193" i="6"/>
  <c r="P193" i="6"/>
  <c r="Q193" i="6"/>
  <c r="C194" i="6"/>
  <c r="N194" i="6" s="1"/>
  <c r="D194" i="6"/>
  <c r="E194" i="6"/>
  <c r="F194" i="6"/>
  <c r="G194" i="6"/>
  <c r="H194" i="6"/>
  <c r="I194" i="6"/>
  <c r="K194" i="6"/>
  <c r="L194" i="6" s="1"/>
  <c r="M194" i="6"/>
  <c r="O194" i="6"/>
  <c r="Q194" i="6"/>
  <c r="C195" i="6"/>
  <c r="D195" i="6"/>
  <c r="E195" i="6"/>
  <c r="F195" i="6"/>
  <c r="G195" i="6"/>
  <c r="H195" i="6"/>
  <c r="I195" i="6"/>
  <c r="K195" i="6"/>
  <c r="L195" i="6" s="1"/>
  <c r="M195" i="6"/>
  <c r="O195" i="6"/>
  <c r="Q195" i="6"/>
  <c r="C196" i="6"/>
  <c r="D196" i="6"/>
  <c r="E196" i="6"/>
  <c r="F196" i="6"/>
  <c r="G196" i="6"/>
  <c r="H196" i="6"/>
  <c r="I196" i="6"/>
  <c r="K196" i="6"/>
  <c r="L196" i="6" s="1"/>
  <c r="M196" i="6"/>
  <c r="N196" i="6"/>
  <c r="O196" i="6"/>
  <c r="P196" i="6"/>
  <c r="Q196" i="6"/>
  <c r="C197" i="6"/>
  <c r="D197" i="6"/>
  <c r="E197" i="6"/>
  <c r="F197" i="6"/>
  <c r="G197" i="6"/>
  <c r="H197" i="6"/>
  <c r="I197" i="6"/>
  <c r="K197" i="6"/>
  <c r="L197" i="6" s="1"/>
  <c r="M197" i="6"/>
  <c r="N197" i="6"/>
  <c r="O197" i="6"/>
  <c r="P197" i="6"/>
  <c r="Q197" i="6"/>
  <c r="C198" i="6"/>
  <c r="N198" i="6" s="1"/>
  <c r="D198" i="6"/>
  <c r="E198" i="6"/>
  <c r="F198" i="6"/>
  <c r="G198" i="6"/>
  <c r="H198" i="6"/>
  <c r="I198" i="6"/>
  <c r="K198" i="6"/>
  <c r="L198" i="6" s="1"/>
  <c r="M198" i="6"/>
  <c r="O198" i="6"/>
  <c r="Q198" i="6"/>
  <c r="C199" i="6"/>
  <c r="D199" i="6"/>
  <c r="E199" i="6"/>
  <c r="F199" i="6"/>
  <c r="G199" i="6"/>
  <c r="H199" i="6"/>
  <c r="I199" i="6"/>
  <c r="K199" i="6"/>
  <c r="L199" i="6" s="1"/>
  <c r="M199" i="6"/>
  <c r="O199" i="6"/>
  <c r="Q199" i="6"/>
  <c r="C200" i="6"/>
  <c r="D200" i="6"/>
  <c r="E200" i="6"/>
  <c r="F200" i="6"/>
  <c r="G200" i="6"/>
  <c r="H200" i="6"/>
  <c r="I200" i="6"/>
  <c r="K200" i="6"/>
  <c r="L200" i="6" s="1"/>
  <c r="M200" i="6"/>
  <c r="N200" i="6"/>
  <c r="O200" i="6"/>
  <c r="Q200" i="6"/>
  <c r="C201" i="6"/>
  <c r="D201" i="6"/>
  <c r="E201" i="6"/>
  <c r="F201" i="6"/>
  <c r="G201" i="6"/>
  <c r="H201" i="6"/>
  <c r="I201" i="6"/>
  <c r="K201" i="6"/>
  <c r="L201" i="6" s="1"/>
  <c r="M201" i="6"/>
  <c r="N201" i="6"/>
  <c r="O201" i="6"/>
  <c r="P201" i="6"/>
  <c r="Q201" i="6"/>
  <c r="C202" i="6"/>
  <c r="N202" i="6" s="1"/>
  <c r="D202" i="6"/>
  <c r="E202" i="6"/>
  <c r="F202" i="6"/>
  <c r="G202" i="6"/>
  <c r="H202" i="6"/>
  <c r="I202" i="6"/>
  <c r="K202" i="6"/>
  <c r="L202" i="6" s="1"/>
  <c r="M202" i="6"/>
  <c r="O202" i="6"/>
  <c r="Q202" i="6"/>
  <c r="C203" i="6"/>
  <c r="D203" i="6"/>
  <c r="E203" i="6"/>
  <c r="F203" i="6"/>
  <c r="G203" i="6"/>
  <c r="H203" i="6"/>
  <c r="I203" i="6"/>
  <c r="K203" i="6"/>
  <c r="L203" i="6" s="1"/>
  <c r="M203" i="6"/>
  <c r="O203" i="6"/>
  <c r="Q203" i="6"/>
  <c r="C204" i="6"/>
  <c r="D204" i="6"/>
  <c r="E204" i="6"/>
  <c r="F204" i="6"/>
  <c r="G204" i="6"/>
  <c r="H204" i="6"/>
  <c r="I204" i="6"/>
  <c r="K204" i="6"/>
  <c r="L204" i="6" s="1"/>
  <c r="M204" i="6"/>
  <c r="N204" i="6"/>
  <c r="O204" i="6"/>
  <c r="P204" i="6"/>
  <c r="Q204" i="6"/>
  <c r="C205" i="6"/>
  <c r="D205" i="6"/>
  <c r="E205" i="6"/>
  <c r="F205" i="6"/>
  <c r="G205" i="6"/>
  <c r="H205" i="6"/>
  <c r="I205" i="6"/>
  <c r="K205" i="6"/>
  <c r="L205" i="6" s="1"/>
  <c r="M205" i="6"/>
  <c r="N205" i="6"/>
  <c r="O205" i="6"/>
  <c r="P205" i="6"/>
  <c r="Q205" i="6"/>
  <c r="C206" i="6"/>
  <c r="N206" i="6" s="1"/>
  <c r="D206" i="6"/>
  <c r="E206" i="6"/>
  <c r="F206" i="6"/>
  <c r="G206" i="6"/>
  <c r="H206" i="6"/>
  <c r="I206" i="6"/>
  <c r="K206" i="6"/>
  <c r="L206" i="6" s="1"/>
  <c r="M206" i="6"/>
  <c r="O206" i="6"/>
  <c r="Q206" i="6"/>
  <c r="C207" i="6"/>
  <c r="D207" i="6"/>
  <c r="E207" i="6"/>
  <c r="F207" i="6"/>
  <c r="G207" i="6"/>
  <c r="H207" i="6"/>
  <c r="I207" i="6"/>
  <c r="K207" i="6"/>
  <c r="L207" i="6" s="1"/>
  <c r="M207" i="6"/>
  <c r="O207" i="6"/>
  <c r="Q207" i="6"/>
  <c r="C208" i="6"/>
  <c r="D208" i="6"/>
  <c r="D7" i="13" s="1"/>
  <c r="E208" i="6"/>
  <c r="E7" i="13" s="1"/>
  <c r="F208" i="6"/>
  <c r="G208" i="6"/>
  <c r="G7" i="13" s="1"/>
  <c r="H208" i="6"/>
  <c r="I208" i="6"/>
  <c r="I7" i="13" s="1"/>
  <c r="K208" i="6"/>
  <c r="K7" i="13" s="1"/>
  <c r="M208" i="6"/>
  <c r="M7" i="13" s="1"/>
  <c r="N208" i="6"/>
  <c r="O208" i="6"/>
  <c r="O7" i="13" s="1"/>
  <c r="Q208" i="6"/>
  <c r="Q7" i="13" s="1"/>
  <c r="C209" i="6"/>
  <c r="D209" i="6"/>
  <c r="E209" i="6"/>
  <c r="F209" i="6"/>
  <c r="G209" i="6"/>
  <c r="H209" i="6"/>
  <c r="I209" i="6"/>
  <c r="K209" i="6"/>
  <c r="L209" i="6" s="1"/>
  <c r="M209" i="6"/>
  <c r="N209" i="6"/>
  <c r="O209" i="6"/>
  <c r="P209" i="6" s="1"/>
  <c r="Q209" i="6"/>
  <c r="C210" i="6"/>
  <c r="N210" i="6" s="1"/>
  <c r="D210" i="6"/>
  <c r="E210" i="6"/>
  <c r="F210" i="6"/>
  <c r="G210" i="6"/>
  <c r="H210" i="6"/>
  <c r="I210" i="6"/>
  <c r="K210" i="6"/>
  <c r="L210" i="6" s="1"/>
  <c r="M210" i="6"/>
  <c r="O210" i="6"/>
  <c r="P210" i="6" s="1"/>
  <c r="Q210" i="6"/>
  <c r="C211" i="6"/>
  <c r="D211" i="6"/>
  <c r="E211" i="6"/>
  <c r="F211" i="6"/>
  <c r="G211" i="6"/>
  <c r="H211" i="6"/>
  <c r="I211" i="6"/>
  <c r="K211" i="6"/>
  <c r="L211" i="6" s="1"/>
  <c r="M211" i="6"/>
  <c r="O211" i="6"/>
  <c r="P211" i="6" s="1"/>
  <c r="Q211" i="6"/>
  <c r="C212" i="6"/>
  <c r="D212" i="6"/>
  <c r="E212" i="6"/>
  <c r="F212" i="6"/>
  <c r="G212" i="6"/>
  <c r="H212" i="6"/>
  <c r="I212" i="6"/>
  <c r="K212" i="6"/>
  <c r="L212" i="6" s="1"/>
  <c r="M212" i="6"/>
  <c r="N212" i="6"/>
  <c r="O212" i="6"/>
  <c r="P212" i="6" s="1"/>
  <c r="Q212" i="6"/>
  <c r="C213" i="6"/>
  <c r="D213" i="6"/>
  <c r="E213" i="6"/>
  <c r="F213" i="6"/>
  <c r="G213" i="6"/>
  <c r="H213" i="6"/>
  <c r="I213" i="6"/>
  <c r="K213" i="6"/>
  <c r="L213" i="6" s="1"/>
  <c r="M213" i="6"/>
  <c r="N213" i="6"/>
  <c r="O213" i="6"/>
  <c r="P213" i="6" s="1"/>
  <c r="Q213" i="6"/>
  <c r="C214" i="6"/>
  <c r="N214" i="6" s="1"/>
  <c r="D214" i="6"/>
  <c r="E214" i="6"/>
  <c r="F214" i="6"/>
  <c r="G214" i="6"/>
  <c r="H214" i="6"/>
  <c r="I214" i="6"/>
  <c r="K214" i="6"/>
  <c r="L214" i="6" s="1"/>
  <c r="M214" i="6"/>
  <c r="O214" i="6"/>
  <c r="P214" i="6" s="1"/>
  <c r="Q214" i="6"/>
  <c r="C215" i="6"/>
  <c r="D215" i="6"/>
  <c r="E215" i="6"/>
  <c r="F215" i="6"/>
  <c r="G215" i="6"/>
  <c r="H215" i="6"/>
  <c r="I215" i="6"/>
  <c r="K215" i="6"/>
  <c r="L215" i="6" s="1"/>
  <c r="M215" i="6"/>
  <c r="O215" i="6"/>
  <c r="P215" i="6" s="1"/>
  <c r="Q215" i="6"/>
  <c r="C216" i="6"/>
  <c r="D216" i="6"/>
  <c r="E216" i="6"/>
  <c r="F216" i="6"/>
  <c r="G216" i="6"/>
  <c r="H216" i="6"/>
  <c r="I216" i="6"/>
  <c r="K216" i="6"/>
  <c r="L216" i="6" s="1"/>
  <c r="M216" i="6"/>
  <c r="N216" i="6"/>
  <c r="O216" i="6"/>
  <c r="P216" i="6" s="1"/>
  <c r="Q216" i="6"/>
  <c r="C217" i="6"/>
  <c r="D217" i="6"/>
  <c r="E217" i="6"/>
  <c r="F217" i="6"/>
  <c r="G217" i="6"/>
  <c r="H217" i="6"/>
  <c r="I217" i="6"/>
  <c r="K217" i="6"/>
  <c r="L217" i="6" s="1"/>
  <c r="M217" i="6"/>
  <c r="N217" i="6"/>
  <c r="O217" i="6"/>
  <c r="P217" i="6" s="1"/>
  <c r="Q217" i="6"/>
  <c r="C218" i="6"/>
  <c r="N218" i="6" s="1"/>
  <c r="D218" i="6"/>
  <c r="E218" i="6"/>
  <c r="F218" i="6"/>
  <c r="G218" i="6"/>
  <c r="H218" i="6"/>
  <c r="I218" i="6"/>
  <c r="K218" i="6"/>
  <c r="L218" i="6" s="1"/>
  <c r="M218" i="6"/>
  <c r="O218" i="6"/>
  <c r="P218" i="6" s="1"/>
  <c r="Q218" i="6"/>
  <c r="C219" i="6"/>
  <c r="D219" i="6"/>
  <c r="E219" i="6"/>
  <c r="F219" i="6"/>
  <c r="G219" i="6"/>
  <c r="H219" i="6"/>
  <c r="I219" i="6"/>
  <c r="K219" i="6"/>
  <c r="L219" i="6" s="1"/>
  <c r="M219" i="6"/>
  <c r="O219" i="6"/>
  <c r="P219" i="6" s="1"/>
  <c r="Q219" i="6"/>
  <c r="C220" i="6"/>
  <c r="J220" i="6" s="1"/>
  <c r="D220" i="6"/>
  <c r="E220" i="6"/>
  <c r="F220" i="6"/>
  <c r="G220" i="6"/>
  <c r="H220" i="6"/>
  <c r="I220" i="6"/>
  <c r="K220" i="6"/>
  <c r="L220" i="6" s="1"/>
  <c r="M220" i="6"/>
  <c r="N220" i="6"/>
  <c r="O220" i="6"/>
  <c r="P220" i="6" s="1"/>
  <c r="Q220" i="6"/>
  <c r="R220" i="6" s="1"/>
  <c r="C221" i="6"/>
  <c r="D221" i="6"/>
  <c r="E221" i="6"/>
  <c r="F221" i="6"/>
  <c r="G221" i="6"/>
  <c r="H221" i="6"/>
  <c r="I221" i="6"/>
  <c r="J221" i="6" s="1"/>
  <c r="K221" i="6"/>
  <c r="L221" i="6" s="1"/>
  <c r="M221" i="6"/>
  <c r="N221" i="6"/>
  <c r="O221" i="6"/>
  <c r="P221" i="6" s="1"/>
  <c r="Q221" i="6"/>
  <c r="R221" i="6" s="1"/>
  <c r="C222" i="6"/>
  <c r="N222" i="6" s="1"/>
  <c r="D222" i="6"/>
  <c r="E222" i="6"/>
  <c r="F222" i="6"/>
  <c r="G222" i="6"/>
  <c r="H222" i="6"/>
  <c r="I222" i="6"/>
  <c r="J222" i="6" s="1"/>
  <c r="K222" i="6"/>
  <c r="L222" i="6" s="1"/>
  <c r="M222" i="6"/>
  <c r="O222" i="6"/>
  <c r="P222" i="6" s="1"/>
  <c r="Q222" i="6"/>
  <c r="R222" i="6" s="1"/>
  <c r="C223" i="6"/>
  <c r="D223" i="6"/>
  <c r="E223" i="6"/>
  <c r="G223" i="6"/>
  <c r="H223" i="6" s="1"/>
  <c r="I223" i="6"/>
  <c r="J223" i="6" s="1"/>
  <c r="K223" i="6"/>
  <c r="M223" i="6"/>
  <c r="O223" i="6"/>
  <c r="Q223" i="6"/>
  <c r="R223" i="6" s="1"/>
  <c r="C225" i="6"/>
  <c r="D225" i="6"/>
  <c r="E225" i="6"/>
  <c r="G225" i="6"/>
  <c r="I225" i="6"/>
  <c r="K225" i="6"/>
  <c r="M225" i="6"/>
  <c r="O225" i="6"/>
  <c r="Q225" i="6"/>
  <c r="R225" i="6" s="1"/>
  <c r="C226" i="6"/>
  <c r="L226" i="6"/>
  <c r="N226" i="6"/>
  <c r="C227" i="6"/>
  <c r="D227" i="6"/>
  <c r="E227" i="6"/>
  <c r="F227" i="6"/>
  <c r="G227" i="6"/>
  <c r="G226" i="6" s="1"/>
  <c r="H227" i="6"/>
  <c r="I227" i="6"/>
  <c r="I226" i="6" s="1"/>
  <c r="J226" i="6" s="1"/>
  <c r="J227" i="6"/>
  <c r="K227" i="6"/>
  <c r="K226" i="6" s="1"/>
  <c r="L227" i="6"/>
  <c r="M227" i="6"/>
  <c r="M226" i="6" s="1"/>
  <c r="N227" i="6"/>
  <c r="O227" i="6"/>
  <c r="O226" i="6" s="1"/>
  <c r="P227" i="6"/>
  <c r="Q227" i="6"/>
  <c r="Q226" i="6" s="1"/>
  <c r="R226" i="6" s="1"/>
  <c r="R227" i="6"/>
  <c r="C228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C229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C231" i="6"/>
  <c r="D231" i="6"/>
  <c r="D230" i="6" s="1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 s="1"/>
  <c r="Q233" i="6"/>
  <c r="R233" i="6"/>
  <c r="C234" i="6"/>
  <c r="D234" i="6"/>
  <c r="E234" i="6"/>
  <c r="F234" i="6" s="1"/>
  <c r="G234" i="6"/>
  <c r="H234" i="6" s="1"/>
  <c r="I234" i="6"/>
  <c r="J234" i="6"/>
  <c r="K234" i="6"/>
  <c r="L234" i="6"/>
  <c r="M234" i="6"/>
  <c r="N234" i="6"/>
  <c r="O234" i="6"/>
  <c r="P234" i="6" s="1"/>
  <c r="Q234" i="6"/>
  <c r="R234" i="6" s="1"/>
  <c r="C235" i="6"/>
  <c r="D235" i="6"/>
  <c r="E235" i="6"/>
  <c r="F235" i="6"/>
  <c r="G235" i="6"/>
  <c r="H235" i="6" s="1"/>
  <c r="I235" i="6"/>
  <c r="J235" i="6"/>
  <c r="K235" i="6"/>
  <c r="L235" i="6"/>
  <c r="M235" i="6"/>
  <c r="N235" i="6"/>
  <c r="O235" i="6"/>
  <c r="P235" i="6" s="1"/>
  <c r="Q235" i="6"/>
  <c r="R235" i="6" s="1"/>
  <c r="C236" i="6"/>
  <c r="R236" i="6" s="1"/>
  <c r="D236" i="6"/>
  <c r="E236" i="6"/>
  <c r="F236" i="6" s="1"/>
  <c r="G236" i="6"/>
  <c r="I236" i="6"/>
  <c r="K236" i="6"/>
  <c r="L236" i="6"/>
  <c r="M236" i="6"/>
  <c r="N236" i="6" s="1"/>
  <c r="O236" i="6"/>
  <c r="Q236" i="6"/>
  <c r="C237" i="6"/>
  <c r="J237" i="6" s="1"/>
  <c r="D237" i="6"/>
  <c r="E237" i="6"/>
  <c r="F237" i="6" s="1"/>
  <c r="G237" i="6"/>
  <c r="I237" i="6"/>
  <c r="K237" i="6"/>
  <c r="L237" i="6"/>
  <c r="M237" i="6"/>
  <c r="N237" i="6"/>
  <c r="O237" i="6"/>
  <c r="Q237" i="6"/>
  <c r="R237" i="6" s="1"/>
  <c r="C238" i="6"/>
  <c r="D238" i="6"/>
  <c r="E238" i="6"/>
  <c r="F238" i="6" s="1"/>
  <c r="G238" i="6"/>
  <c r="H238" i="6" s="1"/>
  <c r="I238" i="6"/>
  <c r="J238" i="6" s="1"/>
  <c r="K238" i="6"/>
  <c r="L238" i="6"/>
  <c r="M238" i="6"/>
  <c r="N238" i="6"/>
  <c r="O238" i="6"/>
  <c r="P238" i="6" s="1"/>
  <c r="Q238" i="6"/>
  <c r="R238" i="6" s="1"/>
  <c r="C239" i="6"/>
  <c r="D239" i="6"/>
  <c r="E239" i="6"/>
  <c r="F239" i="6"/>
  <c r="G239" i="6"/>
  <c r="H239" i="6" s="1"/>
  <c r="I239" i="6"/>
  <c r="J239" i="6"/>
  <c r="K239" i="6"/>
  <c r="L239" i="6" s="1"/>
  <c r="M239" i="6"/>
  <c r="N239" i="6"/>
  <c r="O239" i="6"/>
  <c r="P239" i="6" s="1"/>
  <c r="Q239" i="6"/>
  <c r="R239" i="6" s="1"/>
  <c r="C240" i="6"/>
  <c r="R240" i="6" s="1"/>
  <c r="D240" i="6"/>
  <c r="E240" i="6"/>
  <c r="F240" i="6" s="1"/>
  <c r="G240" i="6"/>
  <c r="I240" i="6"/>
  <c r="K240" i="6"/>
  <c r="L240" i="6"/>
  <c r="M240" i="6"/>
  <c r="N240" i="6" s="1"/>
  <c r="O240" i="6"/>
  <c r="Q240" i="6"/>
  <c r="C241" i="6"/>
  <c r="J241" i="6" s="1"/>
  <c r="D241" i="6"/>
  <c r="E241" i="6"/>
  <c r="F241" i="6" s="1"/>
  <c r="G241" i="6"/>
  <c r="I241" i="6"/>
  <c r="K241" i="6"/>
  <c r="L241" i="6"/>
  <c r="M241" i="6"/>
  <c r="N241" i="6"/>
  <c r="O241" i="6"/>
  <c r="Q241" i="6"/>
  <c r="R241" i="6" s="1"/>
  <c r="C242" i="6"/>
  <c r="D242" i="6"/>
  <c r="E242" i="6"/>
  <c r="F242" i="6" s="1"/>
  <c r="G242" i="6"/>
  <c r="H242" i="6" s="1"/>
  <c r="I242" i="6"/>
  <c r="J242" i="6" s="1"/>
  <c r="K242" i="6"/>
  <c r="L242" i="6"/>
  <c r="M242" i="6"/>
  <c r="N242" i="6"/>
  <c r="O242" i="6"/>
  <c r="P242" i="6" s="1"/>
  <c r="Q242" i="6"/>
  <c r="R242" i="6" s="1"/>
  <c r="C243" i="6"/>
  <c r="D243" i="6"/>
  <c r="E243" i="6"/>
  <c r="F243" i="6"/>
  <c r="G243" i="6"/>
  <c r="H243" i="6" s="1"/>
  <c r="I243" i="6"/>
  <c r="J243" i="6"/>
  <c r="K243" i="6"/>
  <c r="L243" i="6" s="1"/>
  <c r="M243" i="6"/>
  <c r="N243" i="6" s="1"/>
  <c r="O243" i="6"/>
  <c r="P243" i="6" s="1"/>
  <c r="Q243" i="6"/>
  <c r="R243" i="6" s="1"/>
  <c r="C244" i="6"/>
  <c r="F244" i="6" s="1"/>
  <c r="D244" i="6"/>
  <c r="E244" i="6"/>
  <c r="G244" i="6"/>
  <c r="I244" i="6"/>
  <c r="K244" i="6"/>
  <c r="L244" i="6"/>
  <c r="M244" i="6"/>
  <c r="N244" i="6" s="1"/>
  <c r="O244" i="6"/>
  <c r="Q244" i="6"/>
  <c r="C245" i="6"/>
  <c r="R245" i="6" s="1"/>
  <c r="D245" i="6"/>
  <c r="E245" i="6"/>
  <c r="F245" i="6" s="1"/>
  <c r="G245" i="6"/>
  <c r="I245" i="6"/>
  <c r="J245" i="6" s="1"/>
  <c r="K245" i="6"/>
  <c r="L245" i="6"/>
  <c r="M245" i="6"/>
  <c r="N245" i="6" s="1"/>
  <c r="O245" i="6"/>
  <c r="Q245" i="6"/>
  <c r="C246" i="6"/>
  <c r="D246" i="6"/>
  <c r="E246" i="6"/>
  <c r="F246" i="6" s="1"/>
  <c r="G246" i="6"/>
  <c r="H246" i="6" s="1"/>
  <c r="I246" i="6"/>
  <c r="J246" i="6" s="1"/>
  <c r="K246" i="6"/>
  <c r="L246" i="6" s="1"/>
  <c r="M246" i="6"/>
  <c r="N246" i="6" s="1"/>
  <c r="O246" i="6"/>
  <c r="P246" i="6" s="1"/>
  <c r="Q246" i="6"/>
  <c r="R246" i="6" s="1"/>
  <c r="C247" i="6"/>
  <c r="D247" i="6"/>
  <c r="E247" i="6"/>
  <c r="F247" i="6"/>
  <c r="G247" i="6"/>
  <c r="H247" i="6" s="1"/>
  <c r="I247" i="6"/>
  <c r="J247" i="6" s="1"/>
  <c r="K247" i="6"/>
  <c r="L247" i="6" s="1"/>
  <c r="M247" i="6"/>
  <c r="N247" i="6" s="1"/>
  <c r="O247" i="6"/>
  <c r="P247" i="6" s="1"/>
  <c r="Q247" i="6"/>
  <c r="R247" i="6" s="1"/>
  <c r="C248" i="6"/>
  <c r="F248" i="6" s="1"/>
  <c r="D248" i="6"/>
  <c r="E248" i="6"/>
  <c r="G248" i="6"/>
  <c r="I248" i="6"/>
  <c r="J248" i="6"/>
  <c r="K248" i="6"/>
  <c r="L248" i="6" s="1"/>
  <c r="M248" i="6"/>
  <c r="N248" i="6" s="1"/>
  <c r="O248" i="6"/>
  <c r="Q248" i="6"/>
  <c r="R248" i="6"/>
  <c r="C249" i="6"/>
  <c r="R249" i="6" s="1"/>
  <c r="D249" i="6"/>
  <c r="E249" i="6"/>
  <c r="F249" i="6" s="1"/>
  <c r="G249" i="6"/>
  <c r="I249" i="6"/>
  <c r="J249" i="6" s="1"/>
  <c r="K249" i="6"/>
  <c r="L249" i="6"/>
  <c r="M249" i="6"/>
  <c r="N249" i="6" s="1"/>
  <c r="O249" i="6"/>
  <c r="Q249" i="6"/>
  <c r="C250" i="6"/>
  <c r="D250" i="6"/>
  <c r="E250" i="6"/>
  <c r="F250" i="6"/>
  <c r="G250" i="6"/>
  <c r="H250" i="6" s="1"/>
  <c r="I250" i="6"/>
  <c r="J250" i="6" s="1"/>
  <c r="K250" i="6"/>
  <c r="L250" i="6" s="1"/>
  <c r="M250" i="6"/>
  <c r="N250" i="6"/>
  <c r="O250" i="6"/>
  <c r="P250" i="6" s="1"/>
  <c r="Q250" i="6"/>
  <c r="R250" i="6" s="1"/>
  <c r="C251" i="6"/>
  <c r="D251" i="6"/>
  <c r="E251" i="6"/>
  <c r="F251" i="6"/>
  <c r="G251" i="6"/>
  <c r="H251" i="6" s="1"/>
  <c r="I251" i="6"/>
  <c r="J251" i="6" s="1"/>
  <c r="K251" i="6"/>
  <c r="L251" i="6" s="1"/>
  <c r="M251" i="6"/>
  <c r="N251" i="6" s="1"/>
  <c r="O251" i="6"/>
  <c r="P251" i="6" s="1"/>
  <c r="Q251" i="6"/>
  <c r="R251" i="6"/>
  <c r="C252" i="6"/>
  <c r="F252" i="6" s="1"/>
  <c r="D252" i="6"/>
  <c r="E252" i="6"/>
  <c r="G252" i="6"/>
  <c r="I252" i="6"/>
  <c r="J252" i="6"/>
  <c r="K252" i="6"/>
  <c r="L252" i="6" s="1"/>
  <c r="M252" i="6"/>
  <c r="N252" i="6" s="1"/>
  <c r="O252" i="6"/>
  <c r="Q252" i="6"/>
  <c r="R252" i="6"/>
  <c r="C253" i="6"/>
  <c r="R253" i="6" s="1"/>
  <c r="D253" i="6"/>
  <c r="E253" i="6"/>
  <c r="F253" i="6" s="1"/>
  <c r="G253" i="6"/>
  <c r="I253" i="6"/>
  <c r="J253" i="6" s="1"/>
  <c r="K253" i="6"/>
  <c r="L253" i="6"/>
  <c r="M253" i="6"/>
  <c r="N253" i="6" s="1"/>
  <c r="O253" i="6"/>
  <c r="Q253" i="6"/>
  <c r="C254" i="6"/>
  <c r="D254" i="6"/>
  <c r="E254" i="6"/>
  <c r="F254" i="6"/>
  <c r="G254" i="6"/>
  <c r="H254" i="6" s="1"/>
  <c r="I254" i="6"/>
  <c r="J254" i="6" s="1"/>
  <c r="K254" i="6"/>
  <c r="L254" i="6" s="1"/>
  <c r="M254" i="6"/>
  <c r="N254" i="6" s="1"/>
  <c r="O254" i="6"/>
  <c r="P254" i="6" s="1"/>
  <c r="Q254" i="6"/>
  <c r="R254" i="6" s="1"/>
  <c r="C255" i="6"/>
  <c r="D255" i="6"/>
  <c r="E255" i="6"/>
  <c r="F255" i="6"/>
  <c r="G255" i="6"/>
  <c r="H255" i="6" s="1"/>
  <c r="I255" i="6"/>
  <c r="J255" i="6" s="1"/>
  <c r="K255" i="6"/>
  <c r="L255" i="6" s="1"/>
  <c r="M255" i="6"/>
  <c r="N255" i="6" s="1"/>
  <c r="O255" i="6"/>
  <c r="P255" i="6" s="1"/>
  <c r="Q255" i="6"/>
  <c r="R255" i="6"/>
  <c r="C256" i="6"/>
  <c r="F256" i="6" s="1"/>
  <c r="D256" i="6"/>
  <c r="E256" i="6"/>
  <c r="G256" i="6"/>
  <c r="I256" i="6"/>
  <c r="J256" i="6" s="1"/>
  <c r="K256" i="6"/>
  <c r="L256" i="6" s="1"/>
  <c r="M256" i="6"/>
  <c r="N256" i="6" s="1"/>
  <c r="O256" i="6"/>
  <c r="P256" i="6" s="1"/>
  <c r="Q256" i="6"/>
  <c r="R256" i="6"/>
  <c r="C257" i="6"/>
  <c r="F257" i="6" s="1"/>
  <c r="D257" i="6"/>
  <c r="E257" i="6"/>
  <c r="G257" i="6"/>
  <c r="I257" i="6"/>
  <c r="J257" i="6" s="1"/>
  <c r="K257" i="6"/>
  <c r="L257" i="6" s="1"/>
  <c r="M257" i="6"/>
  <c r="N257" i="6" s="1"/>
  <c r="O257" i="6"/>
  <c r="P257" i="6" s="1"/>
  <c r="Q257" i="6"/>
  <c r="C258" i="6"/>
  <c r="D258" i="6"/>
  <c r="E258" i="6"/>
  <c r="F258" i="6"/>
  <c r="G258" i="6"/>
  <c r="H258" i="6" s="1"/>
  <c r="I258" i="6"/>
  <c r="J258" i="6" s="1"/>
  <c r="K258" i="6"/>
  <c r="L258" i="6" s="1"/>
  <c r="M258" i="6"/>
  <c r="N258" i="6" s="1"/>
  <c r="O258" i="6"/>
  <c r="P258" i="6" s="1"/>
  <c r="Q258" i="6"/>
  <c r="R258" i="6"/>
  <c r="C259" i="6"/>
  <c r="D259" i="6"/>
  <c r="E259" i="6"/>
  <c r="F259" i="6"/>
  <c r="G259" i="6"/>
  <c r="H259" i="6" s="1"/>
  <c r="I259" i="6"/>
  <c r="J259" i="6" s="1"/>
  <c r="K259" i="6"/>
  <c r="L259" i="6" s="1"/>
  <c r="M259" i="6"/>
  <c r="N259" i="6" s="1"/>
  <c r="O259" i="6"/>
  <c r="P259" i="6" s="1"/>
  <c r="Q259" i="6"/>
  <c r="R259" i="6"/>
  <c r="C260" i="6"/>
  <c r="D260" i="6"/>
  <c r="E260" i="6"/>
  <c r="F260" i="6"/>
  <c r="G260" i="6"/>
  <c r="I260" i="6"/>
  <c r="J260" i="6" s="1"/>
  <c r="K260" i="6"/>
  <c r="L260" i="6" s="1"/>
  <c r="M260" i="6"/>
  <c r="N260" i="6" s="1"/>
  <c r="O260" i="6"/>
  <c r="P260" i="6" s="1"/>
  <c r="Q260" i="6"/>
  <c r="R260" i="6"/>
  <c r="C261" i="6"/>
  <c r="D261" i="6"/>
  <c r="E261" i="6"/>
  <c r="F261" i="6"/>
  <c r="G261" i="6"/>
  <c r="I261" i="6"/>
  <c r="J261" i="6" s="1"/>
  <c r="K261" i="6"/>
  <c r="L261" i="6" s="1"/>
  <c r="M261" i="6"/>
  <c r="N261" i="6" s="1"/>
  <c r="O261" i="6"/>
  <c r="P261" i="6" s="1"/>
  <c r="Q261" i="6"/>
  <c r="R261" i="6"/>
  <c r="C262" i="6"/>
  <c r="D262" i="6"/>
  <c r="E262" i="6"/>
  <c r="F262" i="6"/>
  <c r="G262" i="6"/>
  <c r="H262" i="6" s="1"/>
  <c r="I262" i="6"/>
  <c r="J262" i="6" s="1"/>
  <c r="K262" i="6"/>
  <c r="L262" i="6" s="1"/>
  <c r="M262" i="6"/>
  <c r="N262" i="6" s="1"/>
  <c r="O262" i="6"/>
  <c r="P262" i="6" s="1"/>
  <c r="Q262" i="6"/>
  <c r="R262" i="6"/>
  <c r="C263" i="6"/>
  <c r="D263" i="6"/>
  <c r="E263" i="6"/>
  <c r="F263" i="6"/>
  <c r="G263" i="6"/>
  <c r="H263" i="6" s="1"/>
  <c r="I263" i="6"/>
  <c r="J263" i="6" s="1"/>
  <c r="K263" i="6"/>
  <c r="L263" i="6" s="1"/>
  <c r="M263" i="6"/>
  <c r="N263" i="6" s="1"/>
  <c r="O263" i="6"/>
  <c r="P263" i="6" s="1"/>
  <c r="Q263" i="6"/>
  <c r="R263" i="6"/>
  <c r="C264" i="6"/>
  <c r="D264" i="6"/>
  <c r="E264" i="6"/>
  <c r="F264" i="6"/>
  <c r="G264" i="6"/>
  <c r="I264" i="6"/>
  <c r="J264" i="6" s="1"/>
  <c r="K264" i="6"/>
  <c r="L264" i="6" s="1"/>
  <c r="M264" i="6"/>
  <c r="N264" i="6" s="1"/>
  <c r="O264" i="6"/>
  <c r="P264" i="6" s="1"/>
  <c r="Q264" i="6"/>
  <c r="R264" i="6"/>
  <c r="C265" i="6"/>
  <c r="D265" i="6"/>
  <c r="E265" i="6"/>
  <c r="F265" i="6"/>
  <c r="G265" i="6"/>
  <c r="I265" i="6"/>
  <c r="J265" i="6" s="1"/>
  <c r="K265" i="6"/>
  <c r="L265" i="6" s="1"/>
  <c r="M265" i="6"/>
  <c r="N265" i="6" s="1"/>
  <c r="O265" i="6"/>
  <c r="P265" i="6" s="1"/>
  <c r="Q265" i="6"/>
  <c r="R265" i="6"/>
  <c r="C266" i="6"/>
  <c r="D266" i="6"/>
  <c r="E266" i="6"/>
  <c r="F266" i="6"/>
  <c r="G266" i="6"/>
  <c r="H266" i="6" s="1"/>
  <c r="I266" i="6"/>
  <c r="J266" i="6" s="1"/>
  <c r="K266" i="6"/>
  <c r="L266" i="6" s="1"/>
  <c r="M266" i="6"/>
  <c r="N266" i="6" s="1"/>
  <c r="O266" i="6"/>
  <c r="P266" i="6" s="1"/>
  <c r="Q266" i="6"/>
  <c r="R266" i="6"/>
  <c r="C267" i="6"/>
  <c r="D267" i="6"/>
  <c r="E267" i="6"/>
  <c r="F267" i="6"/>
  <c r="G267" i="6"/>
  <c r="H267" i="6" s="1"/>
  <c r="I267" i="6"/>
  <c r="J267" i="6" s="1"/>
  <c r="K267" i="6"/>
  <c r="L267" i="6" s="1"/>
  <c r="M267" i="6"/>
  <c r="N267" i="6" s="1"/>
  <c r="O267" i="6"/>
  <c r="P267" i="6" s="1"/>
  <c r="Q267" i="6"/>
  <c r="R267" i="6" s="1"/>
  <c r="C268" i="6"/>
  <c r="D268" i="6"/>
  <c r="E268" i="6"/>
  <c r="F268" i="6"/>
  <c r="G268" i="6"/>
  <c r="I268" i="6"/>
  <c r="J268" i="6" s="1"/>
  <c r="K268" i="6"/>
  <c r="L268" i="6" s="1"/>
  <c r="M268" i="6"/>
  <c r="N268" i="6" s="1"/>
  <c r="O268" i="6"/>
  <c r="P268" i="6" s="1"/>
  <c r="Q268" i="6"/>
  <c r="R268" i="6"/>
  <c r="D269" i="6"/>
  <c r="C270" i="6"/>
  <c r="D270" i="6"/>
  <c r="E270" i="6"/>
  <c r="E269" i="6" s="1"/>
  <c r="G270" i="6"/>
  <c r="H270" i="6" s="1"/>
  <c r="I270" i="6"/>
  <c r="J270" i="6" s="1"/>
  <c r="K270" i="6"/>
  <c r="L270" i="6" s="1"/>
  <c r="M270" i="6"/>
  <c r="M269" i="6" s="1"/>
  <c r="N270" i="6"/>
  <c r="O270" i="6"/>
  <c r="P270" i="6" s="1"/>
  <c r="Q270" i="6"/>
  <c r="Q269" i="6" s="1"/>
  <c r="R270" i="6"/>
  <c r="C271" i="6"/>
  <c r="D271" i="6"/>
  <c r="E271" i="6"/>
  <c r="F271" i="6"/>
  <c r="G271" i="6"/>
  <c r="H271" i="6" s="1"/>
  <c r="I271" i="6"/>
  <c r="J271" i="6" s="1"/>
  <c r="K271" i="6"/>
  <c r="L271" i="6" s="1"/>
  <c r="M271" i="6"/>
  <c r="N271" i="6" s="1"/>
  <c r="O271" i="6"/>
  <c r="P271" i="6" s="1"/>
  <c r="Q271" i="6"/>
  <c r="R271" i="6"/>
  <c r="C272" i="6"/>
  <c r="D272" i="6"/>
  <c r="E272" i="6"/>
  <c r="G272" i="6"/>
  <c r="I272" i="6"/>
  <c r="K272" i="6"/>
  <c r="L272" i="6" s="1"/>
  <c r="M272" i="6"/>
  <c r="O272" i="6"/>
  <c r="Q272" i="6"/>
  <c r="C273" i="6"/>
  <c r="C9" i="13" s="1"/>
  <c r="E273" i="6"/>
  <c r="I273" i="6"/>
  <c r="K273" i="6"/>
  <c r="K9" i="13" s="1"/>
  <c r="R273" i="6"/>
  <c r="C274" i="6"/>
  <c r="D274" i="6"/>
  <c r="D273" i="6" s="1"/>
  <c r="D9" i="13" s="1"/>
  <c r="E274" i="6"/>
  <c r="F274" i="6" s="1"/>
  <c r="G274" i="6"/>
  <c r="I274" i="6"/>
  <c r="J274" i="6" s="1"/>
  <c r="K274" i="6"/>
  <c r="L274" i="6"/>
  <c r="M274" i="6"/>
  <c r="M273" i="6" s="1"/>
  <c r="N274" i="6"/>
  <c r="O274" i="6"/>
  <c r="P274" i="6" s="1"/>
  <c r="Q274" i="6"/>
  <c r="Q273" i="6" s="1"/>
  <c r="Q9" i="13" s="1"/>
  <c r="R274" i="6"/>
  <c r="G275" i="6"/>
  <c r="I275" i="6"/>
  <c r="Q275" i="6"/>
  <c r="C276" i="6"/>
  <c r="D276" i="6"/>
  <c r="E276" i="6"/>
  <c r="G276" i="6"/>
  <c r="H276" i="6" s="1"/>
  <c r="I276" i="6"/>
  <c r="J276" i="6"/>
  <c r="K276" i="6"/>
  <c r="L276" i="6" s="1"/>
  <c r="M276" i="6"/>
  <c r="O276" i="6"/>
  <c r="Q276" i="6"/>
  <c r="R276" i="6"/>
  <c r="C277" i="6"/>
  <c r="R277" i="6" s="1"/>
  <c r="D277" i="6"/>
  <c r="E277" i="6"/>
  <c r="E275" i="6" s="1"/>
  <c r="G277" i="6"/>
  <c r="I277" i="6"/>
  <c r="J277" i="6"/>
  <c r="K277" i="6"/>
  <c r="L277" i="6" s="1"/>
  <c r="M277" i="6"/>
  <c r="N277" i="6"/>
  <c r="O277" i="6"/>
  <c r="Q277" i="6"/>
  <c r="D278" i="6"/>
  <c r="D10" i="13" s="1"/>
  <c r="K278" i="6"/>
  <c r="D279" i="6"/>
  <c r="E279" i="6"/>
  <c r="K279" i="6"/>
  <c r="C280" i="6"/>
  <c r="D280" i="6"/>
  <c r="E280" i="6"/>
  <c r="G280" i="6"/>
  <c r="I280" i="6"/>
  <c r="K280" i="6"/>
  <c r="M280" i="6"/>
  <c r="O280" i="6"/>
  <c r="P280" i="6" s="1"/>
  <c r="Q280" i="6"/>
  <c r="L2" i="25"/>
  <c r="N2" i="25"/>
  <c r="P2" i="25"/>
  <c r="L3" i="25"/>
  <c r="N3" i="25"/>
  <c r="P3" i="25"/>
  <c r="L4" i="25"/>
  <c r="N4" i="25"/>
  <c r="P4" i="25"/>
  <c r="L5" i="25"/>
  <c r="N5" i="25"/>
  <c r="P5" i="25"/>
  <c r="L6" i="25"/>
  <c r="N6" i="25"/>
  <c r="P6" i="25"/>
  <c r="L7" i="25"/>
  <c r="N7" i="25"/>
  <c r="P7" i="25"/>
  <c r="L8" i="25"/>
  <c r="N8" i="25"/>
  <c r="P8" i="25"/>
  <c r="L9" i="25"/>
  <c r="N9" i="25"/>
  <c r="P9" i="25"/>
  <c r="L10" i="25"/>
  <c r="N10" i="25"/>
  <c r="P10" i="25"/>
  <c r="L11" i="25"/>
  <c r="N11" i="25"/>
  <c r="P11" i="25"/>
  <c r="L12" i="25"/>
  <c r="N12" i="25"/>
  <c r="P12" i="25"/>
  <c r="L13" i="25"/>
  <c r="N13" i="25"/>
  <c r="P13" i="25"/>
  <c r="L14" i="25"/>
  <c r="N14" i="25"/>
  <c r="P14" i="25"/>
  <c r="L15" i="25"/>
  <c r="N15" i="25"/>
  <c r="P15" i="25"/>
  <c r="L16" i="25"/>
  <c r="N16" i="25"/>
  <c r="P16" i="25"/>
  <c r="L17" i="25"/>
  <c r="N17" i="25"/>
  <c r="P17" i="25"/>
  <c r="L18" i="25"/>
  <c r="N18" i="25"/>
  <c r="P18" i="25"/>
  <c r="L19" i="25"/>
  <c r="N19" i="25"/>
  <c r="P19" i="25"/>
  <c r="L20" i="25"/>
  <c r="N20" i="25"/>
  <c r="P20" i="25"/>
  <c r="L21" i="25"/>
  <c r="N21" i="25"/>
  <c r="P21" i="25"/>
  <c r="L22" i="25"/>
  <c r="N22" i="25"/>
  <c r="P22" i="25"/>
  <c r="L23" i="25"/>
  <c r="N23" i="25"/>
  <c r="P23" i="25"/>
  <c r="L24" i="25"/>
  <c r="N24" i="25"/>
  <c r="P24" i="25"/>
  <c r="L25" i="25"/>
  <c r="N25" i="25"/>
  <c r="P25" i="25"/>
  <c r="L26" i="25"/>
  <c r="N26" i="25"/>
  <c r="P26" i="25"/>
  <c r="L27" i="25"/>
  <c r="N27" i="25"/>
  <c r="P27" i="25"/>
  <c r="L28" i="25"/>
  <c r="N28" i="25"/>
  <c r="P28" i="25"/>
  <c r="L29" i="25"/>
  <c r="N29" i="25"/>
  <c r="P29" i="25"/>
  <c r="L30" i="25"/>
  <c r="N30" i="25"/>
  <c r="P30" i="25"/>
  <c r="L31" i="25"/>
  <c r="N31" i="25"/>
  <c r="P31" i="25"/>
  <c r="L32" i="25"/>
  <c r="N32" i="25"/>
  <c r="P32" i="25"/>
  <c r="L33" i="25"/>
  <c r="N33" i="25"/>
  <c r="P33" i="25"/>
  <c r="L34" i="25"/>
  <c r="N34" i="25"/>
  <c r="P34" i="25"/>
  <c r="L35" i="25"/>
  <c r="N35" i="25"/>
  <c r="P35" i="25"/>
  <c r="L36" i="25"/>
  <c r="N36" i="25"/>
  <c r="P36" i="25"/>
  <c r="L37" i="25"/>
  <c r="N37" i="25"/>
  <c r="P37" i="25"/>
  <c r="L38" i="25"/>
  <c r="N38" i="25"/>
  <c r="P38" i="25"/>
  <c r="L39" i="25"/>
  <c r="N39" i="25"/>
  <c r="P39" i="25"/>
  <c r="L40" i="25"/>
  <c r="N40" i="25"/>
  <c r="P40" i="25"/>
  <c r="L41" i="25"/>
  <c r="N41" i="25"/>
  <c r="P41" i="25"/>
  <c r="L42" i="25"/>
  <c r="N42" i="25"/>
  <c r="P42" i="25"/>
  <c r="L43" i="25"/>
  <c r="N43" i="25"/>
  <c r="P43" i="25"/>
  <c r="L44" i="25"/>
  <c r="N44" i="25"/>
  <c r="P44" i="25"/>
  <c r="L45" i="25"/>
  <c r="N45" i="25"/>
  <c r="P45" i="25"/>
  <c r="L46" i="25"/>
  <c r="N46" i="25"/>
  <c r="P46" i="25"/>
  <c r="L47" i="25"/>
  <c r="N47" i="25"/>
  <c r="P47" i="25"/>
  <c r="L48" i="25"/>
  <c r="N48" i="25"/>
  <c r="P48" i="25"/>
  <c r="L49" i="25"/>
  <c r="N49" i="25"/>
  <c r="P49" i="25"/>
  <c r="L50" i="25"/>
  <c r="N50" i="25"/>
  <c r="P50" i="25"/>
  <c r="L51" i="25"/>
  <c r="N51" i="25"/>
  <c r="P51" i="25"/>
  <c r="L52" i="25"/>
  <c r="N52" i="25"/>
  <c r="P52" i="25"/>
  <c r="L53" i="25"/>
  <c r="N53" i="25"/>
  <c r="P53" i="25"/>
  <c r="L54" i="25"/>
  <c r="N54" i="25"/>
  <c r="P54" i="25"/>
  <c r="L55" i="25"/>
  <c r="N55" i="25"/>
  <c r="P55" i="25"/>
  <c r="L56" i="25"/>
  <c r="N56" i="25"/>
  <c r="P56" i="25"/>
  <c r="L57" i="25"/>
  <c r="N57" i="25"/>
  <c r="P57" i="25"/>
  <c r="L58" i="25"/>
  <c r="N58" i="25"/>
  <c r="P58" i="25"/>
  <c r="L59" i="25"/>
  <c r="N59" i="25"/>
  <c r="P59" i="25"/>
  <c r="L60" i="25"/>
  <c r="N60" i="25"/>
  <c r="P60" i="25"/>
  <c r="L61" i="25"/>
  <c r="N61" i="25"/>
  <c r="P61" i="25"/>
  <c r="L62" i="25"/>
  <c r="N62" i="25"/>
  <c r="P62" i="25"/>
  <c r="L63" i="25"/>
  <c r="N63" i="25"/>
  <c r="P63" i="25"/>
  <c r="L64" i="25"/>
  <c r="N64" i="25"/>
  <c r="P64" i="25"/>
  <c r="L65" i="25"/>
  <c r="N65" i="25"/>
  <c r="P65" i="25"/>
  <c r="L66" i="25"/>
  <c r="N66" i="25"/>
  <c r="P66" i="25"/>
  <c r="L67" i="25"/>
  <c r="N67" i="25"/>
  <c r="P67" i="25"/>
  <c r="L68" i="25"/>
  <c r="N68" i="25"/>
  <c r="P68" i="25"/>
  <c r="L69" i="25"/>
  <c r="N69" i="25"/>
  <c r="P69" i="25"/>
  <c r="L70" i="25"/>
  <c r="N70" i="25"/>
  <c r="P70" i="25"/>
  <c r="L71" i="25"/>
  <c r="N71" i="25"/>
  <c r="P71" i="25"/>
  <c r="L72" i="25"/>
  <c r="N72" i="25"/>
  <c r="P72" i="25"/>
  <c r="L73" i="25"/>
  <c r="N73" i="25"/>
  <c r="P73" i="25"/>
  <c r="L74" i="25"/>
  <c r="N74" i="25"/>
  <c r="P74" i="25"/>
  <c r="L75" i="25"/>
  <c r="N75" i="25"/>
  <c r="P75" i="25"/>
  <c r="L76" i="25"/>
  <c r="N76" i="25"/>
  <c r="P76" i="25"/>
  <c r="L77" i="25"/>
  <c r="N77" i="25"/>
  <c r="P77" i="25"/>
  <c r="L78" i="25"/>
  <c r="N78" i="25"/>
  <c r="P78" i="25"/>
  <c r="L79" i="25"/>
  <c r="N79" i="25"/>
  <c r="P79" i="25"/>
  <c r="L80" i="25"/>
  <c r="N80" i="25"/>
  <c r="P80" i="25"/>
  <c r="L81" i="25"/>
  <c r="N81" i="25"/>
  <c r="P81" i="25"/>
  <c r="L82" i="25"/>
  <c r="N82" i="25"/>
  <c r="P82" i="25"/>
  <c r="L83" i="25"/>
  <c r="N83" i="25"/>
  <c r="P83" i="25"/>
  <c r="L84" i="25"/>
  <c r="N84" i="25"/>
  <c r="P84" i="25"/>
  <c r="L85" i="25"/>
  <c r="N85" i="25"/>
  <c r="P85" i="25"/>
  <c r="L86" i="25"/>
  <c r="N86" i="25"/>
  <c r="P86" i="25"/>
  <c r="L87" i="25"/>
  <c r="N87" i="25"/>
  <c r="P87" i="25"/>
  <c r="L88" i="25"/>
  <c r="N88" i="25"/>
  <c r="P88" i="25"/>
  <c r="L89" i="25"/>
  <c r="N89" i="25"/>
  <c r="P89" i="25"/>
  <c r="L90" i="25"/>
  <c r="N90" i="25"/>
  <c r="P90" i="25"/>
  <c r="L91" i="25"/>
  <c r="N91" i="25"/>
  <c r="P91" i="25"/>
  <c r="L92" i="25"/>
  <c r="N92" i="25"/>
  <c r="P92" i="25"/>
  <c r="L93" i="25"/>
  <c r="N93" i="25"/>
  <c r="P93" i="25"/>
  <c r="L94" i="25"/>
  <c r="N94" i="25"/>
  <c r="P94" i="25"/>
  <c r="L95" i="25"/>
  <c r="N95" i="25"/>
  <c r="P95" i="25"/>
  <c r="L96" i="25"/>
  <c r="N96" i="25"/>
  <c r="P96" i="25"/>
  <c r="L97" i="25"/>
  <c r="N97" i="25"/>
  <c r="P97" i="25"/>
  <c r="L98" i="25"/>
  <c r="N98" i="25"/>
  <c r="P98" i="25"/>
  <c r="L99" i="25"/>
  <c r="N99" i="25"/>
  <c r="P99" i="25"/>
  <c r="L100" i="25"/>
  <c r="N100" i="25"/>
  <c r="P100" i="25"/>
  <c r="L101" i="25"/>
  <c r="N101" i="25"/>
  <c r="P101" i="25"/>
  <c r="L102" i="25"/>
  <c r="N102" i="25"/>
  <c r="P102" i="25"/>
  <c r="L103" i="25"/>
  <c r="N103" i="25"/>
  <c r="P103" i="25"/>
  <c r="L104" i="25"/>
  <c r="N104" i="25"/>
  <c r="P104" i="25"/>
  <c r="L105" i="25"/>
  <c r="N105" i="25"/>
  <c r="P105" i="25"/>
  <c r="L106" i="25"/>
  <c r="N106" i="25"/>
  <c r="P106" i="25"/>
  <c r="L107" i="25"/>
  <c r="N107" i="25"/>
  <c r="P107" i="25"/>
  <c r="L108" i="25"/>
  <c r="N108" i="25"/>
  <c r="P108" i="25"/>
  <c r="L109" i="25"/>
  <c r="N109" i="25"/>
  <c r="P109" i="25"/>
  <c r="L110" i="25"/>
  <c r="N110" i="25"/>
  <c r="P110" i="25"/>
  <c r="L111" i="25"/>
  <c r="N111" i="25"/>
  <c r="P111" i="25"/>
  <c r="L112" i="25"/>
  <c r="N112" i="25"/>
  <c r="P112" i="25"/>
  <c r="L113" i="25"/>
  <c r="N113" i="25"/>
  <c r="P113" i="25"/>
  <c r="L114" i="25"/>
  <c r="N114" i="25"/>
  <c r="P114" i="25"/>
  <c r="L115" i="25"/>
  <c r="N115" i="25"/>
  <c r="P115" i="25"/>
  <c r="L116" i="25"/>
  <c r="N116" i="25"/>
  <c r="P116" i="25"/>
  <c r="L117" i="25"/>
  <c r="N117" i="25"/>
  <c r="P117" i="25"/>
  <c r="L118" i="25"/>
  <c r="N118" i="25"/>
  <c r="P118" i="25"/>
  <c r="L119" i="25"/>
  <c r="N119" i="25"/>
  <c r="P119" i="25"/>
  <c r="L120" i="25"/>
  <c r="N120" i="25"/>
  <c r="P120" i="25"/>
  <c r="L121" i="25"/>
  <c r="N121" i="25"/>
  <c r="P121" i="25"/>
  <c r="L122" i="25"/>
  <c r="N122" i="25"/>
  <c r="P122" i="25"/>
  <c r="L123" i="25"/>
  <c r="N123" i="25"/>
  <c r="P123" i="25"/>
  <c r="L124" i="25"/>
  <c r="N124" i="25"/>
  <c r="P124" i="25"/>
  <c r="L125" i="25"/>
  <c r="N125" i="25"/>
  <c r="P125" i="25"/>
  <c r="L126" i="25"/>
  <c r="N126" i="25"/>
  <c r="P126" i="25"/>
  <c r="L127" i="25"/>
  <c r="N127" i="25"/>
  <c r="P127" i="25"/>
  <c r="L128" i="25"/>
  <c r="N128" i="25"/>
  <c r="P128" i="25"/>
  <c r="L129" i="25"/>
  <c r="N129" i="25"/>
  <c r="P129" i="25"/>
  <c r="L130" i="25"/>
  <c r="N130" i="25"/>
  <c r="P130" i="25"/>
  <c r="L131" i="25"/>
  <c r="N131" i="25"/>
  <c r="P131" i="25"/>
  <c r="L132" i="25"/>
  <c r="N132" i="25"/>
  <c r="P132" i="25"/>
  <c r="L133" i="25"/>
  <c r="N133" i="25"/>
  <c r="P133" i="25"/>
  <c r="L134" i="25"/>
  <c r="N134" i="25"/>
  <c r="P134" i="25"/>
  <c r="L135" i="25"/>
  <c r="N135" i="25"/>
  <c r="P135" i="25"/>
  <c r="L136" i="25"/>
  <c r="N136" i="25"/>
  <c r="P136" i="25"/>
  <c r="L137" i="25"/>
  <c r="N137" i="25"/>
  <c r="P137" i="25"/>
  <c r="L138" i="25"/>
  <c r="N138" i="25"/>
  <c r="P138" i="25"/>
  <c r="L139" i="25"/>
  <c r="N139" i="25"/>
  <c r="P139" i="25"/>
  <c r="L140" i="25"/>
  <c r="N140" i="25"/>
  <c r="P140" i="25"/>
  <c r="L141" i="25"/>
  <c r="N141" i="25"/>
  <c r="P141" i="25"/>
  <c r="L142" i="25"/>
  <c r="N142" i="25"/>
  <c r="P142" i="25"/>
  <c r="L143" i="25"/>
  <c r="N143" i="25"/>
  <c r="P143" i="25"/>
  <c r="L144" i="25"/>
  <c r="N144" i="25"/>
  <c r="P144" i="25"/>
  <c r="L145" i="25"/>
  <c r="N145" i="25"/>
  <c r="P145" i="25"/>
  <c r="L146" i="25"/>
  <c r="N146" i="25"/>
  <c r="P146" i="25"/>
  <c r="L147" i="25"/>
  <c r="N147" i="25"/>
  <c r="P147" i="25"/>
  <c r="L148" i="25"/>
  <c r="N148" i="25"/>
  <c r="P148" i="25"/>
  <c r="L149" i="25"/>
  <c r="N149" i="25"/>
  <c r="P149" i="25"/>
  <c r="L150" i="25"/>
  <c r="N150" i="25"/>
  <c r="P150" i="25"/>
  <c r="L151" i="25"/>
  <c r="N151" i="25"/>
  <c r="P151" i="25"/>
  <c r="L152" i="25"/>
  <c r="N152" i="25"/>
  <c r="P152" i="25"/>
  <c r="L153" i="25"/>
  <c r="N153" i="25"/>
  <c r="P153" i="25"/>
  <c r="L154" i="25"/>
  <c r="N154" i="25"/>
  <c r="P154" i="25"/>
  <c r="L155" i="25"/>
  <c r="N155" i="25"/>
  <c r="P155" i="25"/>
  <c r="L156" i="25"/>
  <c r="N156" i="25"/>
  <c r="P156" i="25"/>
  <c r="L157" i="25"/>
  <c r="N157" i="25"/>
  <c r="P157" i="25"/>
  <c r="L158" i="25"/>
  <c r="N158" i="25"/>
  <c r="P158" i="25"/>
  <c r="L159" i="25"/>
  <c r="N159" i="25"/>
  <c r="P159" i="25"/>
  <c r="L160" i="25"/>
  <c r="N160" i="25"/>
  <c r="P160" i="25"/>
  <c r="L161" i="25"/>
  <c r="N161" i="25"/>
  <c r="P161" i="25"/>
  <c r="L162" i="25"/>
  <c r="N162" i="25"/>
  <c r="P162" i="25"/>
  <c r="L163" i="25"/>
  <c r="N163" i="25"/>
  <c r="P163" i="25"/>
  <c r="L164" i="25"/>
  <c r="N164" i="25"/>
  <c r="P164" i="25"/>
  <c r="L165" i="25"/>
  <c r="N165" i="25"/>
  <c r="P165" i="25"/>
  <c r="L166" i="25"/>
  <c r="N166" i="25"/>
  <c r="P166" i="25"/>
  <c r="L167" i="25"/>
  <c r="N167" i="25"/>
  <c r="P167" i="25"/>
  <c r="L168" i="25"/>
  <c r="N168" i="25"/>
  <c r="P168" i="25"/>
  <c r="L169" i="25"/>
  <c r="N169" i="25"/>
  <c r="P169" i="25"/>
  <c r="L170" i="25"/>
  <c r="N170" i="25"/>
  <c r="P170" i="25"/>
  <c r="L171" i="25"/>
  <c r="N171" i="25"/>
  <c r="P171" i="25"/>
  <c r="L172" i="25"/>
  <c r="N172" i="25"/>
  <c r="P172" i="25"/>
  <c r="L173" i="25"/>
  <c r="N173" i="25"/>
  <c r="P173" i="25"/>
  <c r="L174" i="25"/>
  <c r="N174" i="25"/>
  <c r="P174" i="25"/>
  <c r="L175" i="25"/>
  <c r="N175" i="25"/>
  <c r="P175" i="25"/>
  <c r="L176" i="25"/>
  <c r="N176" i="25"/>
  <c r="P176" i="25"/>
  <c r="L177" i="25"/>
  <c r="N177" i="25"/>
  <c r="P177" i="25"/>
  <c r="L178" i="25"/>
  <c r="N178" i="25"/>
  <c r="P178" i="25"/>
  <c r="L179" i="25"/>
  <c r="N179" i="25"/>
  <c r="P179" i="25"/>
  <c r="L180" i="25"/>
  <c r="N180" i="25"/>
  <c r="P180" i="25"/>
  <c r="L181" i="25"/>
  <c r="N181" i="25"/>
  <c r="P181" i="25"/>
  <c r="L182" i="25"/>
  <c r="N182" i="25"/>
  <c r="P182" i="25"/>
  <c r="L183" i="25"/>
  <c r="N183" i="25"/>
  <c r="P183" i="25"/>
  <c r="L184" i="25"/>
  <c r="N184" i="25"/>
  <c r="P184" i="25"/>
  <c r="L185" i="25"/>
  <c r="N185" i="25"/>
  <c r="P185" i="25"/>
  <c r="L186" i="25"/>
  <c r="N186" i="25"/>
  <c r="P186" i="25"/>
  <c r="L187" i="25"/>
  <c r="N187" i="25"/>
  <c r="P187" i="25"/>
  <c r="L188" i="25"/>
  <c r="N188" i="25"/>
  <c r="P188" i="25"/>
  <c r="L189" i="25"/>
  <c r="N189" i="25"/>
  <c r="P189" i="25"/>
  <c r="L190" i="25"/>
  <c r="N190" i="25"/>
  <c r="P190" i="25"/>
  <c r="L191" i="25"/>
  <c r="N191" i="25"/>
  <c r="P191" i="25"/>
  <c r="L192" i="25"/>
  <c r="N192" i="25"/>
  <c r="P192" i="25"/>
  <c r="L193" i="25"/>
  <c r="N193" i="25"/>
  <c r="P193" i="25"/>
  <c r="L194" i="25"/>
  <c r="N194" i="25"/>
  <c r="P194" i="25"/>
  <c r="L195" i="25"/>
  <c r="N195" i="25"/>
  <c r="P195" i="25"/>
  <c r="L196" i="25"/>
  <c r="N196" i="25"/>
  <c r="P196" i="25"/>
  <c r="L197" i="25"/>
  <c r="N197" i="25"/>
  <c r="P197" i="25"/>
  <c r="L198" i="25"/>
  <c r="N198" i="25"/>
  <c r="P198" i="25"/>
  <c r="L199" i="25"/>
  <c r="N199" i="25"/>
  <c r="P199" i="25"/>
  <c r="L200" i="25"/>
  <c r="N200" i="25"/>
  <c r="P200" i="25"/>
  <c r="L201" i="25"/>
  <c r="N201" i="25"/>
  <c r="P201" i="25"/>
  <c r="L202" i="25"/>
  <c r="N202" i="25"/>
  <c r="P202" i="25"/>
  <c r="L203" i="25"/>
  <c r="N203" i="25"/>
  <c r="P203" i="25"/>
  <c r="L204" i="25"/>
  <c r="N204" i="25"/>
  <c r="P204" i="25"/>
  <c r="L205" i="25"/>
  <c r="N205" i="25"/>
  <c r="P205" i="25"/>
  <c r="L206" i="25"/>
  <c r="N206" i="25"/>
  <c r="P206" i="25"/>
  <c r="L207" i="25"/>
  <c r="N207" i="25"/>
  <c r="P207" i="25"/>
  <c r="L208" i="25"/>
  <c r="N208" i="25"/>
  <c r="P208" i="25"/>
  <c r="L209" i="25"/>
  <c r="N209" i="25"/>
  <c r="P209" i="25"/>
  <c r="L210" i="25"/>
  <c r="N210" i="25"/>
  <c r="P210" i="25"/>
  <c r="L211" i="25"/>
  <c r="N211" i="25"/>
  <c r="P211" i="25"/>
  <c r="L212" i="25"/>
  <c r="N212" i="25"/>
  <c r="P212" i="25"/>
  <c r="L213" i="25"/>
  <c r="N213" i="25"/>
  <c r="P213" i="25"/>
  <c r="L214" i="25"/>
  <c r="N214" i="25"/>
  <c r="P214" i="25"/>
  <c r="L215" i="25"/>
  <c r="N215" i="25"/>
  <c r="P215" i="25"/>
  <c r="L216" i="25"/>
  <c r="N216" i="25"/>
  <c r="P216" i="25"/>
  <c r="L217" i="25"/>
  <c r="N217" i="25"/>
  <c r="P217" i="25"/>
  <c r="L218" i="25"/>
  <c r="N218" i="25"/>
  <c r="P218" i="25"/>
  <c r="L219" i="25"/>
  <c r="N219" i="25"/>
  <c r="P219" i="25"/>
  <c r="L220" i="25"/>
  <c r="N220" i="25"/>
  <c r="P220" i="25"/>
  <c r="L221" i="25"/>
  <c r="N221" i="25"/>
  <c r="P221" i="25"/>
  <c r="L222" i="25"/>
  <c r="N222" i="25"/>
  <c r="P222" i="25"/>
  <c r="L223" i="25"/>
  <c r="N223" i="25"/>
  <c r="P223" i="25"/>
  <c r="L224" i="25"/>
  <c r="N224" i="25"/>
  <c r="P224" i="25"/>
  <c r="L225" i="25"/>
  <c r="N225" i="25"/>
  <c r="P225" i="25"/>
  <c r="L226" i="25"/>
  <c r="N226" i="25"/>
  <c r="P226" i="25"/>
  <c r="L227" i="25"/>
  <c r="N227" i="25"/>
  <c r="P227" i="25"/>
  <c r="L228" i="25"/>
  <c r="N228" i="25"/>
  <c r="P228" i="25"/>
  <c r="L229" i="25"/>
  <c r="N229" i="25"/>
  <c r="P229" i="25"/>
  <c r="L230" i="25"/>
  <c r="N230" i="25"/>
  <c r="P230" i="25"/>
  <c r="L231" i="25"/>
  <c r="N231" i="25"/>
  <c r="P231" i="25"/>
  <c r="L232" i="25"/>
  <c r="N232" i="25"/>
  <c r="P232" i="25"/>
  <c r="L233" i="25"/>
  <c r="N233" i="25"/>
  <c r="P233" i="25"/>
  <c r="L234" i="25"/>
  <c r="N234" i="25"/>
  <c r="P234" i="25"/>
  <c r="L235" i="25"/>
  <c r="N235" i="25"/>
  <c r="P235" i="25"/>
  <c r="L236" i="25"/>
  <c r="N236" i="25"/>
  <c r="P236" i="25"/>
  <c r="L237" i="25"/>
  <c r="N237" i="25"/>
  <c r="P237" i="25"/>
  <c r="L238" i="25"/>
  <c r="N238" i="25"/>
  <c r="P238" i="25"/>
  <c r="L239" i="25"/>
  <c r="N239" i="25"/>
  <c r="P239" i="25"/>
  <c r="L240" i="25"/>
  <c r="N240" i="25"/>
  <c r="P240" i="25"/>
  <c r="L241" i="25"/>
  <c r="N241" i="25"/>
  <c r="P241" i="25"/>
  <c r="L242" i="25"/>
  <c r="N242" i="25"/>
  <c r="P242" i="25"/>
  <c r="L243" i="25"/>
  <c r="N243" i="25"/>
  <c r="P243" i="25"/>
  <c r="L244" i="25"/>
  <c r="N244" i="25"/>
  <c r="P244" i="25"/>
  <c r="L245" i="25"/>
  <c r="N245" i="25"/>
  <c r="P245" i="25"/>
  <c r="L246" i="25"/>
  <c r="N246" i="25"/>
  <c r="P246" i="25"/>
  <c r="L247" i="25"/>
  <c r="N247" i="25"/>
  <c r="P247" i="25"/>
  <c r="L248" i="25"/>
  <c r="N248" i="25"/>
  <c r="P248" i="25"/>
  <c r="L249" i="25"/>
  <c r="N249" i="25"/>
  <c r="P249" i="25"/>
  <c r="L250" i="25"/>
  <c r="N250" i="25"/>
  <c r="P250" i="25"/>
  <c r="L251" i="25"/>
  <c r="N251" i="25"/>
  <c r="P251" i="25"/>
  <c r="L252" i="25"/>
  <c r="N252" i="25"/>
  <c r="P252" i="25"/>
  <c r="L253" i="25"/>
  <c r="N253" i="25"/>
  <c r="P253" i="25"/>
  <c r="L254" i="25"/>
  <c r="N254" i="25"/>
  <c r="P254" i="25"/>
  <c r="L255" i="25"/>
  <c r="N255" i="25"/>
  <c r="P255" i="25"/>
  <c r="L256" i="25"/>
  <c r="N256" i="25"/>
  <c r="P256" i="25"/>
  <c r="L257" i="25"/>
  <c r="N257" i="25"/>
  <c r="P257" i="25"/>
  <c r="L258" i="25"/>
  <c r="N258" i="25"/>
  <c r="P258" i="25"/>
  <c r="L259" i="25"/>
  <c r="N259" i="25"/>
  <c r="P259" i="25"/>
  <c r="L260" i="25"/>
  <c r="N260" i="25"/>
  <c r="P260" i="25"/>
  <c r="L261" i="25"/>
  <c r="N261" i="25"/>
  <c r="P261" i="25"/>
  <c r="L262" i="25"/>
  <c r="N262" i="25"/>
  <c r="P262" i="25"/>
  <c r="L263" i="25"/>
  <c r="N263" i="25"/>
  <c r="P263" i="25"/>
  <c r="L264" i="25"/>
  <c r="N264" i="25"/>
  <c r="P264" i="25"/>
  <c r="L265" i="25"/>
  <c r="N265" i="25"/>
  <c r="P265" i="25"/>
  <c r="L266" i="25"/>
  <c r="N266" i="25"/>
  <c r="P266" i="25"/>
  <c r="L267" i="25"/>
  <c r="N267" i="25"/>
  <c r="P267" i="25"/>
  <c r="L268" i="25"/>
  <c r="N268" i="25"/>
  <c r="P268" i="25"/>
  <c r="L269" i="25"/>
  <c r="N269" i="25"/>
  <c r="P269" i="25"/>
  <c r="L270" i="25"/>
  <c r="N270" i="25"/>
  <c r="P270" i="25"/>
  <c r="L271" i="25"/>
  <c r="N271" i="25"/>
  <c r="P271" i="25"/>
  <c r="L272" i="25"/>
  <c r="N272" i="25"/>
  <c r="P272" i="25"/>
  <c r="L273" i="25"/>
  <c r="N273" i="25"/>
  <c r="P273" i="25"/>
  <c r="L274" i="25"/>
  <c r="N274" i="25"/>
  <c r="P274" i="25"/>
  <c r="L275" i="25"/>
  <c r="N275" i="25"/>
  <c r="P275" i="25"/>
  <c r="L276" i="25"/>
  <c r="N276" i="25"/>
  <c r="P276" i="25"/>
  <c r="L277" i="25"/>
  <c r="N277" i="25"/>
  <c r="P277" i="25"/>
  <c r="L278" i="25"/>
  <c r="N278" i="25"/>
  <c r="P278" i="25"/>
  <c r="L279" i="25"/>
  <c r="N279" i="25"/>
  <c r="P279" i="25"/>
  <c r="L280" i="25"/>
  <c r="N280" i="25"/>
  <c r="P280" i="25"/>
  <c r="L281" i="25"/>
  <c r="N281" i="25"/>
  <c r="P281" i="25"/>
  <c r="L282" i="25"/>
  <c r="N282" i="25"/>
  <c r="P282" i="25"/>
  <c r="L283" i="25"/>
  <c r="N283" i="25"/>
  <c r="P283" i="25"/>
  <c r="L284" i="25"/>
  <c r="N284" i="25"/>
  <c r="P284" i="25"/>
  <c r="L285" i="25"/>
  <c r="N285" i="25"/>
  <c r="P285" i="25"/>
  <c r="L286" i="25"/>
  <c r="N286" i="25"/>
  <c r="P286" i="25"/>
  <c r="L287" i="25"/>
  <c r="N287" i="25"/>
  <c r="P287" i="25"/>
  <c r="L288" i="25"/>
  <c r="N288" i="25"/>
  <c r="P288" i="25"/>
  <c r="L289" i="25"/>
  <c r="N289" i="25"/>
  <c r="P289" i="25"/>
  <c r="L290" i="25"/>
  <c r="N290" i="25"/>
  <c r="P290" i="25"/>
  <c r="L291" i="25"/>
  <c r="N291" i="25"/>
  <c r="P291" i="25"/>
  <c r="L292" i="25"/>
  <c r="N292" i="25"/>
  <c r="P292" i="25"/>
  <c r="L293" i="25"/>
  <c r="N293" i="25"/>
  <c r="P293" i="25"/>
  <c r="L294" i="25"/>
  <c r="N294" i="25"/>
  <c r="P294" i="25"/>
  <c r="L295" i="25"/>
  <c r="N295" i="25"/>
  <c r="P295" i="25"/>
  <c r="L296" i="25"/>
  <c r="N296" i="25"/>
  <c r="P296" i="25"/>
  <c r="L297" i="25"/>
  <c r="N297" i="25"/>
  <c r="P297" i="25"/>
  <c r="L298" i="25"/>
  <c r="N298" i="25"/>
  <c r="P298" i="25"/>
  <c r="L299" i="25"/>
  <c r="N299" i="25"/>
  <c r="P299" i="25"/>
  <c r="L300" i="25"/>
  <c r="N300" i="25"/>
  <c r="P300" i="25"/>
  <c r="L301" i="25"/>
  <c r="N301" i="25"/>
  <c r="P301" i="25"/>
  <c r="L302" i="25"/>
  <c r="N302" i="25"/>
  <c r="P302" i="25"/>
  <c r="L303" i="25"/>
  <c r="N303" i="25"/>
  <c r="P303" i="25"/>
  <c r="L304" i="25"/>
  <c r="N304" i="25"/>
  <c r="P304" i="25"/>
  <c r="L305" i="25"/>
  <c r="N305" i="25"/>
  <c r="P305" i="25"/>
  <c r="L306" i="25"/>
  <c r="N306" i="25"/>
  <c r="P306" i="25"/>
  <c r="L307" i="25"/>
  <c r="N307" i="25"/>
  <c r="P307" i="25"/>
  <c r="L308" i="25"/>
  <c r="N308" i="25"/>
  <c r="P308" i="25"/>
  <c r="L309" i="25"/>
  <c r="N309" i="25"/>
  <c r="P309" i="25"/>
  <c r="L310" i="25"/>
  <c r="N310" i="25"/>
  <c r="P310" i="25"/>
  <c r="L311" i="25"/>
  <c r="N311" i="25"/>
  <c r="P311" i="25"/>
  <c r="L312" i="25"/>
  <c r="N312" i="25"/>
  <c r="P312" i="25"/>
  <c r="L313" i="25"/>
  <c r="N313" i="25"/>
  <c r="P313" i="25"/>
  <c r="L314" i="25"/>
  <c r="N314" i="25"/>
  <c r="P314" i="25"/>
  <c r="L315" i="25"/>
  <c r="N315" i="25"/>
  <c r="P315" i="25"/>
  <c r="L316" i="25"/>
  <c r="N316" i="25"/>
  <c r="P316" i="25"/>
  <c r="L317" i="25"/>
  <c r="N317" i="25"/>
  <c r="P317" i="25"/>
  <c r="L318" i="25"/>
  <c r="N318" i="25"/>
  <c r="P318" i="25"/>
  <c r="L319" i="25"/>
  <c r="N319" i="25"/>
  <c r="P319" i="25"/>
  <c r="L320" i="25"/>
  <c r="N320" i="25"/>
  <c r="P320" i="25"/>
  <c r="L321" i="25"/>
  <c r="N321" i="25"/>
  <c r="P321" i="25"/>
  <c r="L322" i="25"/>
  <c r="N322" i="25"/>
  <c r="P322" i="25"/>
  <c r="L323" i="25"/>
  <c r="N323" i="25"/>
  <c r="P323" i="25"/>
  <c r="L324" i="25"/>
  <c r="N324" i="25"/>
  <c r="P324" i="25"/>
  <c r="L325" i="25"/>
  <c r="N325" i="25"/>
  <c r="P325" i="25"/>
  <c r="L326" i="25"/>
  <c r="N326" i="25"/>
  <c r="P326" i="25"/>
  <c r="L327" i="25"/>
  <c r="N327" i="25"/>
  <c r="P327" i="25"/>
  <c r="L328" i="25"/>
  <c r="N328" i="25"/>
  <c r="P328" i="25"/>
  <c r="L329" i="25"/>
  <c r="N329" i="25"/>
  <c r="P329" i="25"/>
  <c r="L330" i="25"/>
  <c r="N330" i="25"/>
  <c r="P330" i="25"/>
  <c r="L331" i="25"/>
  <c r="N331" i="25"/>
  <c r="P331" i="25"/>
  <c r="L332" i="25"/>
  <c r="N332" i="25"/>
  <c r="P332" i="25"/>
  <c r="L333" i="25"/>
  <c r="N333" i="25"/>
  <c r="P333" i="25"/>
  <c r="L334" i="25"/>
  <c r="N334" i="25"/>
  <c r="P334" i="25"/>
  <c r="L335" i="25"/>
  <c r="N335" i="25"/>
  <c r="P335" i="25"/>
  <c r="L336" i="25"/>
  <c r="N336" i="25"/>
  <c r="P336" i="25"/>
  <c r="L337" i="25"/>
  <c r="N337" i="25"/>
  <c r="P337" i="25"/>
  <c r="L338" i="25"/>
  <c r="N338" i="25"/>
  <c r="P338" i="25"/>
  <c r="L339" i="25"/>
  <c r="N339" i="25"/>
  <c r="P339" i="25"/>
  <c r="L340" i="25"/>
  <c r="N340" i="25"/>
  <c r="P340" i="25"/>
  <c r="L341" i="25"/>
  <c r="N341" i="25"/>
  <c r="P341" i="25"/>
  <c r="L342" i="25"/>
  <c r="N342" i="25"/>
  <c r="P342" i="25"/>
  <c r="L343" i="25"/>
  <c r="N343" i="25"/>
  <c r="P343" i="25"/>
  <c r="L344" i="25"/>
  <c r="N344" i="25"/>
  <c r="P344" i="25"/>
  <c r="L345" i="25"/>
  <c r="N345" i="25"/>
  <c r="P345" i="25"/>
  <c r="L346" i="25"/>
  <c r="N346" i="25"/>
  <c r="P346" i="25"/>
  <c r="L347" i="25"/>
  <c r="N347" i="25"/>
  <c r="P347" i="25"/>
  <c r="L348" i="25"/>
  <c r="N348" i="25"/>
  <c r="P348" i="25"/>
  <c r="L349" i="25"/>
  <c r="N349" i="25"/>
  <c r="P349" i="25"/>
  <c r="L350" i="25"/>
  <c r="N350" i="25"/>
  <c r="P350" i="25"/>
  <c r="L351" i="25"/>
  <c r="N351" i="25"/>
  <c r="P351" i="25"/>
  <c r="L352" i="25"/>
  <c r="N352" i="25"/>
  <c r="P352" i="25"/>
  <c r="L353" i="25"/>
  <c r="N353" i="25"/>
  <c r="P353" i="25"/>
  <c r="L354" i="25"/>
  <c r="N354" i="25"/>
  <c r="P354" i="25"/>
  <c r="L355" i="25"/>
  <c r="N355" i="25"/>
  <c r="P355" i="25"/>
  <c r="L356" i="25"/>
  <c r="N356" i="25"/>
  <c r="P356" i="25"/>
  <c r="L357" i="25"/>
  <c r="N357" i="25"/>
  <c r="P357" i="25"/>
  <c r="L358" i="25"/>
  <c r="N358" i="25"/>
  <c r="P358" i="25"/>
  <c r="L359" i="25"/>
  <c r="N359" i="25"/>
  <c r="P359" i="25"/>
  <c r="L360" i="25"/>
  <c r="N360" i="25"/>
  <c r="P360" i="25"/>
  <c r="L361" i="25"/>
  <c r="N361" i="25"/>
  <c r="P361" i="25"/>
  <c r="L362" i="25"/>
  <c r="N362" i="25"/>
  <c r="P362" i="25"/>
  <c r="L363" i="25"/>
  <c r="N363" i="25"/>
  <c r="P363" i="25"/>
  <c r="L364" i="25"/>
  <c r="N364" i="25"/>
  <c r="P364" i="25"/>
  <c r="L365" i="25"/>
  <c r="N365" i="25"/>
  <c r="P365" i="25"/>
  <c r="L366" i="25"/>
  <c r="N366" i="25"/>
  <c r="P366" i="25"/>
  <c r="L367" i="25"/>
  <c r="N367" i="25"/>
  <c r="P367" i="25"/>
  <c r="L368" i="25"/>
  <c r="N368" i="25"/>
  <c r="P368" i="25"/>
  <c r="L369" i="25"/>
  <c r="N369" i="25"/>
  <c r="P369" i="25"/>
  <c r="L370" i="25"/>
  <c r="N370" i="25"/>
  <c r="P370" i="25"/>
  <c r="L371" i="25"/>
  <c r="N371" i="25"/>
  <c r="P371" i="25"/>
  <c r="L372" i="25"/>
  <c r="N372" i="25"/>
  <c r="P372" i="25"/>
  <c r="L373" i="25"/>
  <c r="N373" i="25"/>
  <c r="P373" i="25"/>
  <c r="L374" i="25"/>
  <c r="N374" i="25"/>
  <c r="P374" i="25"/>
  <c r="L375" i="25"/>
  <c r="N375" i="25"/>
  <c r="P375" i="25"/>
  <c r="L376" i="25"/>
  <c r="N376" i="25"/>
  <c r="P376" i="25"/>
  <c r="L377" i="25"/>
  <c r="N377" i="25"/>
  <c r="P377" i="25"/>
  <c r="L378" i="25"/>
  <c r="N378" i="25"/>
  <c r="P378" i="25"/>
  <c r="L379" i="25"/>
  <c r="N379" i="25"/>
  <c r="P379" i="25"/>
  <c r="L380" i="25"/>
  <c r="N380" i="25"/>
  <c r="P380" i="25"/>
  <c r="L381" i="25"/>
  <c r="N381" i="25"/>
  <c r="P381" i="25"/>
  <c r="L382" i="25"/>
  <c r="N382" i="25"/>
  <c r="P382" i="25"/>
  <c r="L383" i="25"/>
  <c r="N383" i="25"/>
  <c r="P383" i="25"/>
  <c r="L384" i="25"/>
  <c r="N384" i="25"/>
  <c r="P384" i="25"/>
  <c r="L385" i="25"/>
  <c r="N385" i="25"/>
  <c r="P385" i="25"/>
  <c r="L386" i="25"/>
  <c r="N386" i="25"/>
  <c r="P386" i="25"/>
  <c r="L387" i="25"/>
  <c r="N387" i="25"/>
  <c r="P387" i="25"/>
  <c r="L388" i="25"/>
  <c r="N388" i="25"/>
  <c r="P388" i="25"/>
  <c r="L389" i="25"/>
  <c r="N389" i="25"/>
  <c r="P389" i="25"/>
  <c r="L390" i="25"/>
  <c r="N390" i="25"/>
  <c r="P390" i="25"/>
  <c r="L391" i="25"/>
  <c r="N391" i="25"/>
  <c r="P391" i="25"/>
  <c r="L392" i="25"/>
  <c r="N392" i="25"/>
  <c r="P392" i="25"/>
  <c r="L393" i="25"/>
  <c r="N393" i="25"/>
  <c r="P393" i="25"/>
  <c r="L394" i="25"/>
  <c r="N394" i="25"/>
  <c r="P394" i="25"/>
  <c r="L395" i="25"/>
  <c r="N395" i="25"/>
  <c r="P395" i="25"/>
  <c r="L396" i="25"/>
  <c r="N396" i="25"/>
  <c r="P396" i="25"/>
  <c r="L397" i="25"/>
  <c r="N397" i="25"/>
  <c r="P397" i="25"/>
  <c r="L398" i="25"/>
  <c r="N398" i="25"/>
  <c r="P398" i="25"/>
  <c r="L399" i="25"/>
  <c r="N399" i="25"/>
  <c r="P399" i="25"/>
  <c r="L400" i="25"/>
  <c r="N400" i="25"/>
  <c r="P400" i="25"/>
  <c r="L401" i="25"/>
  <c r="N401" i="25"/>
  <c r="P401" i="25"/>
  <c r="L402" i="25"/>
  <c r="N402" i="25"/>
  <c r="P402" i="25"/>
  <c r="L403" i="25"/>
  <c r="N403" i="25"/>
  <c r="P403" i="25"/>
  <c r="L404" i="25"/>
  <c r="N404" i="25"/>
  <c r="P404" i="25"/>
  <c r="L405" i="25"/>
  <c r="N405" i="25"/>
  <c r="P405" i="25"/>
  <c r="L406" i="25"/>
  <c r="N406" i="25"/>
  <c r="P406" i="25"/>
  <c r="L407" i="25"/>
  <c r="N407" i="25"/>
  <c r="P407" i="25"/>
  <c r="L408" i="25"/>
  <c r="N408" i="25"/>
  <c r="P408" i="25"/>
  <c r="L409" i="25"/>
  <c r="N409" i="25"/>
  <c r="P409" i="25"/>
  <c r="L410" i="25"/>
  <c r="N410" i="25"/>
  <c r="P410" i="25"/>
  <c r="L411" i="25"/>
  <c r="N411" i="25"/>
  <c r="P411" i="25"/>
  <c r="L412" i="25"/>
  <c r="N412" i="25"/>
  <c r="P412" i="25"/>
  <c r="L413" i="25"/>
  <c r="N413" i="25"/>
  <c r="P413" i="25"/>
  <c r="L414" i="25"/>
  <c r="N414" i="25"/>
  <c r="P414" i="25"/>
  <c r="L415" i="25"/>
  <c r="N415" i="25"/>
  <c r="P415" i="25"/>
  <c r="L416" i="25"/>
  <c r="N416" i="25"/>
  <c r="P416" i="25"/>
  <c r="L417" i="25"/>
  <c r="N417" i="25"/>
  <c r="P417" i="25"/>
  <c r="L418" i="25"/>
  <c r="N418" i="25"/>
  <c r="P418" i="25"/>
  <c r="L419" i="25"/>
  <c r="N419" i="25"/>
  <c r="P419" i="25"/>
  <c r="L420" i="25"/>
  <c r="N420" i="25"/>
  <c r="P420" i="25"/>
  <c r="L421" i="25"/>
  <c r="N421" i="25"/>
  <c r="P421" i="25"/>
  <c r="L422" i="25"/>
  <c r="N422" i="25"/>
  <c r="P422" i="25"/>
  <c r="L423" i="25"/>
  <c r="N423" i="25"/>
  <c r="P423" i="25"/>
  <c r="L424" i="25"/>
  <c r="N424" i="25"/>
  <c r="P424" i="25"/>
  <c r="L425" i="25"/>
  <c r="N425" i="25"/>
  <c r="P425" i="25"/>
  <c r="L426" i="25"/>
  <c r="N426" i="25"/>
  <c r="P426" i="25"/>
  <c r="L427" i="25"/>
  <c r="N427" i="25"/>
  <c r="P427" i="25"/>
  <c r="L428" i="25"/>
  <c r="N428" i="25"/>
  <c r="P428" i="25"/>
  <c r="L429" i="25"/>
  <c r="N429" i="25"/>
  <c r="P429" i="25"/>
  <c r="L430" i="25"/>
  <c r="N430" i="25"/>
  <c r="P430" i="25"/>
  <c r="L431" i="25"/>
  <c r="N431" i="25"/>
  <c r="P431" i="25"/>
  <c r="L432" i="25"/>
  <c r="N432" i="25"/>
  <c r="P432" i="25"/>
  <c r="L433" i="25"/>
  <c r="N433" i="25"/>
  <c r="P433" i="25"/>
  <c r="L434" i="25"/>
  <c r="N434" i="25"/>
  <c r="P434" i="25"/>
  <c r="L435" i="25"/>
  <c r="N435" i="25"/>
  <c r="P435" i="25"/>
  <c r="L436" i="25"/>
  <c r="N436" i="25"/>
  <c r="P436" i="25"/>
  <c r="L437" i="25"/>
  <c r="N437" i="25"/>
  <c r="P437" i="25"/>
  <c r="L438" i="25"/>
  <c r="N438" i="25"/>
  <c r="P438" i="25"/>
  <c r="L439" i="25"/>
  <c r="N439" i="25"/>
  <c r="P439" i="25"/>
  <c r="L440" i="25"/>
  <c r="N440" i="25"/>
  <c r="P440" i="25"/>
  <c r="L441" i="25"/>
  <c r="N441" i="25"/>
  <c r="P441" i="25"/>
  <c r="L442" i="25"/>
  <c r="N442" i="25"/>
  <c r="P442" i="25"/>
  <c r="L443" i="25"/>
  <c r="N443" i="25"/>
  <c r="P443" i="25"/>
  <c r="L444" i="25"/>
  <c r="N444" i="25"/>
  <c r="P444" i="25"/>
  <c r="L445" i="25"/>
  <c r="N445" i="25"/>
  <c r="P445" i="25"/>
  <c r="L446" i="25"/>
  <c r="N446" i="25"/>
  <c r="P446" i="25"/>
  <c r="L447" i="25"/>
  <c r="N447" i="25"/>
  <c r="P447" i="25"/>
  <c r="L448" i="25"/>
  <c r="N448" i="25"/>
  <c r="P448" i="25"/>
  <c r="L449" i="25"/>
  <c r="N449" i="25"/>
  <c r="P449" i="25"/>
  <c r="L450" i="25"/>
  <c r="N450" i="25"/>
  <c r="P450" i="25"/>
  <c r="L451" i="25"/>
  <c r="N451" i="25"/>
  <c r="P451" i="25"/>
  <c r="L452" i="25"/>
  <c r="N452" i="25"/>
  <c r="P452" i="25"/>
  <c r="L453" i="25"/>
  <c r="N453" i="25"/>
  <c r="P453" i="25"/>
  <c r="L454" i="25"/>
  <c r="N454" i="25"/>
  <c r="P454" i="25"/>
  <c r="L455" i="25"/>
  <c r="N455" i="25"/>
  <c r="P455" i="25"/>
  <c r="L456" i="25"/>
  <c r="N456" i="25"/>
  <c r="P456" i="25"/>
  <c r="L457" i="25"/>
  <c r="N457" i="25"/>
  <c r="P457" i="25"/>
  <c r="L458" i="25"/>
  <c r="N458" i="25"/>
  <c r="P458" i="25"/>
  <c r="L459" i="25"/>
  <c r="N459" i="25"/>
  <c r="P459" i="25"/>
  <c r="L460" i="25"/>
  <c r="N460" i="25"/>
  <c r="P460" i="25"/>
  <c r="L461" i="25"/>
  <c r="N461" i="25"/>
  <c r="P461" i="25"/>
  <c r="L462" i="25"/>
  <c r="N462" i="25"/>
  <c r="P462" i="25"/>
  <c r="L463" i="25"/>
  <c r="N463" i="25"/>
  <c r="P463" i="25"/>
  <c r="L464" i="25"/>
  <c r="N464" i="25"/>
  <c r="P464" i="25"/>
  <c r="L465" i="25"/>
  <c r="N465" i="25"/>
  <c r="P465" i="25"/>
  <c r="L466" i="25"/>
  <c r="N466" i="25"/>
  <c r="P466" i="25"/>
  <c r="L467" i="25"/>
  <c r="N467" i="25"/>
  <c r="P467" i="25"/>
  <c r="L468" i="25"/>
  <c r="N468" i="25"/>
  <c r="P468" i="25"/>
  <c r="L469" i="25"/>
  <c r="N469" i="25"/>
  <c r="P469" i="25"/>
  <c r="L470" i="25"/>
  <c r="N470" i="25"/>
  <c r="P470" i="25"/>
  <c r="L471" i="25"/>
  <c r="N471" i="25"/>
  <c r="P471" i="25"/>
  <c r="L472" i="25"/>
  <c r="N472" i="25"/>
  <c r="P472" i="25"/>
  <c r="L473" i="25"/>
  <c r="N473" i="25"/>
  <c r="P473" i="25"/>
  <c r="L474" i="25"/>
  <c r="N474" i="25"/>
  <c r="P474" i="25"/>
  <c r="L475" i="25"/>
  <c r="N475" i="25"/>
  <c r="P475" i="25"/>
  <c r="L476" i="25"/>
  <c r="N476" i="25"/>
  <c r="P476" i="25"/>
  <c r="L477" i="25"/>
  <c r="N477" i="25"/>
  <c r="P477" i="25"/>
  <c r="L478" i="25"/>
  <c r="N478" i="25"/>
  <c r="P478" i="25"/>
  <c r="L479" i="25"/>
  <c r="N479" i="25"/>
  <c r="P479" i="25"/>
  <c r="L480" i="25"/>
  <c r="N480" i="25"/>
  <c r="P480" i="25"/>
  <c r="L481" i="25"/>
  <c r="N481" i="25"/>
  <c r="P481" i="25"/>
  <c r="L482" i="25"/>
  <c r="N482" i="25"/>
  <c r="P482" i="25"/>
  <c r="L483" i="25"/>
  <c r="N483" i="25"/>
  <c r="P483" i="25"/>
  <c r="L484" i="25"/>
  <c r="N484" i="25"/>
  <c r="P484" i="25"/>
  <c r="L485" i="25"/>
  <c r="N485" i="25"/>
  <c r="P485" i="25"/>
  <c r="L486" i="25"/>
  <c r="N486" i="25"/>
  <c r="P486" i="25"/>
  <c r="L487" i="25"/>
  <c r="N487" i="25"/>
  <c r="P487" i="25"/>
  <c r="L488" i="25"/>
  <c r="N488" i="25"/>
  <c r="P488" i="25"/>
  <c r="L489" i="25"/>
  <c r="N489" i="25"/>
  <c r="P489" i="25"/>
  <c r="L490" i="25"/>
  <c r="N490" i="25"/>
  <c r="P490" i="25"/>
  <c r="L491" i="25"/>
  <c r="N491" i="25"/>
  <c r="P491" i="25"/>
  <c r="L492" i="25"/>
  <c r="N492" i="25"/>
  <c r="P492" i="25"/>
  <c r="L493" i="25"/>
  <c r="N493" i="25"/>
  <c r="P493" i="25"/>
  <c r="L494" i="25"/>
  <c r="N494" i="25"/>
  <c r="P494" i="25"/>
  <c r="L495" i="25"/>
  <c r="N495" i="25"/>
  <c r="P495" i="25"/>
  <c r="L496" i="25"/>
  <c r="N496" i="25"/>
  <c r="P496" i="25"/>
  <c r="L497" i="25"/>
  <c r="N497" i="25"/>
  <c r="P497" i="25"/>
  <c r="L498" i="25"/>
  <c r="N498" i="25"/>
  <c r="P498" i="25"/>
  <c r="L499" i="25"/>
  <c r="N499" i="25"/>
  <c r="P499" i="25"/>
  <c r="L500" i="25"/>
  <c r="N500" i="25"/>
  <c r="P500" i="25"/>
  <c r="L501" i="25"/>
  <c r="N501" i="25"/>
  <c r="P501" i="25"/>
  <c r="L502" i="25"/>
  <c r="N502" i="25"/>
  <c r="P502" i="25"/>
  <c r="L503" i="25"/>
  <c r="N503" i="25"/>
  <c r="P503" i="25"/>
  <c r="L504" i="25"/>
  <c r="N504" i="25"/>
  <c r="P504" i="25"/>
  <c r="L505" i="25"/>
  <c r="N505" i="25"/>
  <c r="P505" i="25"/>
  <c r="L506" i="25"/>
  <c r="N506" i="25"/>
  <c r="P506" i="25"/>
  <c r="L507" i="25"/>
  <c r="N507" i="25"/>
  <c r="P507" i="25"/>
  <c r="L508" i="25"/>
  <c r="N508" i="25"/>
  <c r="P508" i="25"/>
  <c r="L509" i="25"/>
  <c r="N509" i="25"/>
  <c r="P509" i="25"/>
  <c r="L510" i="25"/>
  <c r="N510" i="25"/>
  <c r="P510" i="25"/>
  <c r="L511" i="25"/>
  <c r="N511" i="25"/>
  <c r="P511" i="25"/>
  <c r="L512" i="25"/>
  <c r="N512" i="25"/>
  <c r="P512" i="25"/>
  <c r="L513" i="25"/>
  <c r="N513" i="25"/>
  <c r="P513" i="25"/>
  <c r="L514" i="25"/>
  <c r="N514" i="25"/>
  <c r="P514" i="25"/>
  <c r="L515" i="25"/>
  <c r="N515" i="25"/>
  <c r="P515" i="25"/>
  <c r="L516" i="25"/>
  <c r="N516" i="25"/>
  <c r="P516" i="25"/>
  <c r="L517" i="25"/>
  <c r="N517" i="25"/>
  <c r="P517" i="25"/>
  <c r="L518" i="25"/>
  <c r="N518" i="25"/>
  <c r="P518" i="25"/>
  <c r="L519" i="25"/>
  <c r="N519" i="25"/>
  <c r="P519" i="25"/>
  <c r="L520" i="25"/>
  <c r="N520" i="25"/>
  <c r="P520" i="25"/>
  <c r="L521" i="25"/>
  <c r="N521" i="25"/>
  <c r="P521" i="25"/>
  <c r="L522" i="25"/>
  <c r="N522" i="25"/>
  <c r="P522" i="25"/>
  <c r="L523" i="25"/>
  <c r="N523" i="25"/>
  <c r="P523" i="25"/>
  <c r="L524" i="25"/>
  <c r="N524" i="25"/>
  <c r="P524" i="25"/>
  <c r="L525" i="25"/>
  <c r="N525" i="25"/>
  <c r="P525" i="25"/>
  <c r="L526" i="25"/>
  <c r="N526" i="25"/>
  <c r="P526" i="25"/>
  <c r="L527" i="25"/>
  <c r="N527" i="25"/>
  <c r="P527" i="25"/>
  <c r="L528" i="25"/>
  <c r="N528" i="25"/>
  <c r="P528" i="25"/>
  <c r="L529" i="25"/>
  <c r="N529" i="25"/>
  <c r="P529" i="25"/>
  <c r="L530" i="25"/>
  <c r="N530" i="25"/>
  <c r="P530" i="25"/>
  <c r="L531" i="25"/>
  <c r="N531" i="25"/>
  <c r="P531" i="25"/>
  <c r="L532" i="25"/>
  <c r="N532" i="25"/>
  <c r="P532" i="25"/>
  <c r="L533" i="25"/>
  <c r="N533" i="25"/>
  <c r="P533" i="25"/>
  <c r="L534" i="25"/>
  <c r="N534" i="25"/>
  <c r="P534" i="25"/>
  <c r="L535" i="25"/>
  <c r="N535" i="25"/>
  <c r="P535" i="25"/>
  <c r="L536" i="25"/>
  <c r="N536" i="25"/>
  <c r="P536" i="25"/>
  <c r="L537" i="25"/>
  <c r="N537" i="25"/>
  <c r="P537" i="25"/>
  <c r="L538" i="25"/>
  <c r="N538" i="25"/>
  <c r="P538" i="25"/>
  <c r="L539" i="25"/>
  <c r="N539" i="25"/>
  <c r="P539" i="25"/>
  <c r="L540" i="25"/>
  <c r="N540" i="25"/>
  <c r="P540" i="25"/>
  <c r="L541" i="25"/>
  <c r="N541" i="25"/>
  <c r="P541" i="25"/>
  <c r="L542" i="25"/>
  <c r="N542" i="25"/>
  <c r="P542" i="25"/>
  <c r="L543" i="25"/>
  <c r="N543" i="25"/>
  <c r="P543" i="25"/>
  <c r="L544" i="25"/>
  <c r="N544" i="25"/>
  <c r="P544" i="25"/>
  <c r="L545" i="25"/>
  <c r="N545" i="25"/>
  <c r="P545" i="25"/>
  <c r="L546" i="25"/>
  <c r="N546" i="25"/>
  <c r="P546" i="25"/>
  <c r="L547" i="25"/>
  <c r="N547" i="25"/>
  <c r="P547" i="25"/>
  <c r="L548" i="25"/>
  <c r="N548" i="25"/>
  <c r="P548" i="25"/>
  <c r="L549" i="25"/>
  <c r="N549" i="25"/>
  <c r="P549" i="25"/>
  <c r="L550" i="25"/>
  <c r="N550" i="25"/>
  <c r="P550" i="25"/>
  <c r="L551" i="25"/>
  <c r="N551" i="25"/>
  <c r="P551" i="25"/>
  <c r="L552" i="25"/>
  <c r="N552" i="25"/>
  <c r="P552" i="25"/>
  <c r="L553" i="25"/>
  <c r="N553" i="25"/>
  <c r="P553" i="25"/>
  <c r="L554" i="25"/>
  <c r="N554" i="25"/>
  <c r="P554" i="25"/>
  <c r="L555" i="25"/>
  <c r="N555" i="25"/>
  <c r="P555" i="25"/>
  <c r="L556" i="25"/>
  <c r="N556" i="25"/>
  <c r="P556" i="25"/>
  <c r="L557" i="25"/>
  <c r="N557" i="25"/>
  <c r="P557" i="25"/>
  <c r="L558" i="25"/>
  <c r="N558" i="25"/>
  <c r="P558" i="25"/>
  <c r="L559" i="25"/>
  <c r="N559" i="25"/>
  <c r="P559" i="25"/>
  <c r="L560" i="25"/>
  <c r="N560" i="25"/>
  <c r="P560" i="25"/>
  <c r="L561" i="25"/>
  <c r="N561" i="25"/>
  <c r="P561" i="25"/>
  <c r="L562" i="25"/>
  <c r="N562" i="25"/>
  <c r="P562" i="25"/>
  <c r="L563" i="25"/>
  <c r="N563" i="25"/>
  <c r="P563" i="25"/>
  <c r="L564" i="25"/>
  <c r="N564" i="25"/>
  <c r="P564" i="25"/>
  <c r="L565" i="25"/>
  <c r="N565" i="25"/>
  <c r="P565" i="25"/>
  <c r="L566" i="25"/>
  <c r="N566" i="25"/>
  <c r="P566" i="25"/>
  <c r="L567" i="25"/>
  <c r="N567" i="25"/>
  <c r="P567" i="25"/>
  <c r="L568" i="25"/>
  <c r="N568" i="25"/>
  <c r="P568" i="25"/>
  <c r="L569" i="25"/>
  <c r="N569" i="25"/>
  <c r="P569" i="25"/>
  <c r="L570" i="25"/>
  <c r="N570" i="25"/>
  <c r="P570" i="25"/>
  <c r="L571" i="25"/>
  <c r="N571" i="25"/>
  <c r="P571" i="25"/>
  <c r="L572" i="25"/>
  <c r="N572" i="25"/>
  <c r="P572" i="25"/>
  <c r="L573" i="25"/>
  <c r="N573" i="25"/>
  <c r="P573" i="25"/>
  <c r="L574" i="25"/>
  <c r="N574" i="25"/>
  <c r="P574" i="25"/>
  <c r="L575" i="25"/>
  <c r="N575" i="25"/>
  <c r="P575" i="25"/>
  <c r="L576" i="25"/>
  <c r="N576" i="25"/>
  <c r="P576" i="25"/>
  <c r="L577" i="25"/>
  <c r="N577" i="25"/>
  <c r="P577" i="25"/>
  <c r="L578" i="25"/>
  <c r="N578" i="25"/>
  <c r="P578" i="25"/>
  <c r="L579" i="25"/>
  <c r="N579" i="25"/>
  <c r="P579" i="25"/>
  <c r="L580" i="25"/>
  <c r="N580" i="25"/>
  <c r="P580" i="25"/>
  <c r="L581" i="25"/>
  <c r="N581" i="25"/>
  <c r="P581" i="25"/>
  <c r="L582" i="25"/>
  <c r="N582" i="25"/>
  <c r="P582" i="25"/>
  <c r="L583" i="25"/>
  <c r="N583" i="25"/>
  <c r="P583" i="25"/>
  <c r="L584" i="25"/>
  <c r="N584" i="25"/>
  <c r="P584" i="25"/>
  <c r="L585" i="25"/>
  <c r="N585" i="25"/>
  <c r="P585" i="25"/>
  <c r="L586" i="25"/>
  <c r="N586" i="25"/>
  <c r="P586" i="25"/>
  <c r="L587" i="25"/>
  <c r="N587" i="25"/>
  <c r="P587" i="25"/>
  <c r="L588" i="25"/>
  <c r="N588" i="25"/>
  <c r="P588" i="25"/>
  <c r="L589" i="25"/>
  <c r="N589" i="25"/>
  <c r="P589" i="25"/>
  <c r="L590" i="25"/>
  <c r="N590" i="25"/>
  <c r="P590" i="25"/>
  <c r="L591" i="25"/>
  <c r="N591" i="25"/>
  <c r="P591" i="25"/>
  <c r="L592" i="25"/>
  <c r="N592" i="25"/>
  <c r="P592" i="25"/>
  <c r="L593" i="25"/>
  <c r="N593" i="25"/>
  <c r="P593" i="25"/>
  <c r="L594" i="25"/>
  <c r="N594" i="25"/>
  <c r="P594" i="25"/>
  <c r="L595" i="25"/>
  <c r="N595" i="25"/>
  <c r="P595" i="25"/>
  <c r="L596" i="25"/>
  <c r="N596" i="25"/>
  <c r="P596" i="25"/>
  <c r="L597" i="25"/>
  <c r="N597" i="25"/>
  <c r="P597" i="25"/>
  <c r="L598" i="25"/>
  <c r="N598" i="25"/>
  <c r="P598" i="25"/>
  <c r="L599" i="25"/>
  <c r="N599" i="25"/>
  <c r="P599" i="25"/>
  <c r="L600" i="25"/>
  <c r="N600" i="25"/>
  <c r="P600" i="25"/>
  <c r="L601" i="25"/>
  <c r="N601" i="25"/>
  <c r="P601" i="25"/>
  <c r="L602" i="25"/>
  <c r="N602" i="25"/>
  <c r="P602" i="25"/>
  <c r="L603" i="25"/>
  <c r="N603" i="25"/>
  <c r="P603" i="25"/>
  <c r="L604" i="25"/>
  <c r="N604" i="25"/>
  <c r="P604" i="25"/>
  <c r="L605" i="25"/>
  <c r="N605" i="25"/>
  <c r="P605" i="25"/>
  <c r="L606" i="25"/>
  <c r="N606" i="25"/>
  <c r="P606" i="25"/>
  <c r="L607" i="25"/>
  <c r="N607" i="25"/>
  <c r="P607" i="25"/>
  <c r="L608" i="25"/>
  <c r="N608" i="25"/>
  <c r="P608" i="25"/>
  <c r="L609" i="25"/>
  <c r="N609" i="25"/>
  <c r="P609" i="25"/>
  <c r="L610" i="25"/>
  <c r="N610" i="25"/>
  <c r="P610" i="25"/>
  <c r="L611" i="25"/>
  <c r="N611" i="25"/>
  <c r="P611" i="25"/>
  <c r="L612" i="25"/>
  <c r="N612" i="25"/>
  <c r="P612" i="25"/>
  <c r="L613" i="25"/>
  <c r="N613" i="25"/>
  <c r="P613" i="25"/>
  <c r="L614" i="25"/>
  <c r="N614" i="25"/>
  <c r="P614" i="25"/>
  <c r="L615" i="25"/>
  <c r="N615" i="25"/>
  <c r="P615" i="25"/>
  <c r="L616" i="25"/>
  <c r="N616" i="25"/>
  <c r="P616" i="25"/>
  <c r="L617" i="25"/>
  <c r="N617" i="25"/>
  <c r="P617" i="25"/>
  <c r="L618" i="25"/>
  <c r="N618" i="25"/>
  <c r="P618" i="25"/>
  <c r="L619" i="25"/>
  <c r="N619" i="25"/>
  <c r="P619" i="25"/>
  <c r="L620" i="25"/>
  <c r="N620" i="25"/>
  <c r="P620" i="25"/>
  <c r="L621" i="25"/>
  <c r="N621" i="25"/>
  <c r="P621" i="25"/>
  <c r="L622" i="25"/>
  <c r="N622" i="25"/>
  <c r="P622" i="25"/>
  <c r="L623" i="25"/>
  <c r="N623" i="25"/>
  <c r="P623" i="25"/>
  <c r="L624" i="25"/>
  <c r="N624" i="25"/>
  <c r="P624" i="25"/>
  <c r="L625" i="25"/>
  <c r="N625" i="25"/>
  <c r="P625" i="25"/>
  <c r="L626" i="25"/>
  <c r="N626" i="25"/>
  <c r="P626" i="25"/>
  <c r="L627" i="25"/>
  <c r="N627" i="25"/>
  <c r="P627" i="25"/>
  <c r="L628" i="25"/>
  <c r="N628" i="25"/>
  <c r="P628" i="25"/>
  <c r="L629" i="25"/>
  <c r="N629" i="25"/>
  <c r="P629" i="25"/>
  <c r="L630" i="25"/>
  <c r="N630" i="25"/>
  <c r="P630" i="25"/>
  <c r="L631" i="25"/>
  <c r="N631" i="25"/>
  <c r="P631" i="25"/>
  <c r="L632" i="25"/>
  <c r="N632" i="25"/>
  <c r="P632" i="25"/>
  <c r="L633" i="25"/>
  <c r="N633" i="25"/>
  <c r="P633" i="25"/>
  <c r="L634" i="25"/>
  <c r="N634" i="25"/>
  <c r="P634" i="25"/>
  <c r="L635" i="25"/>
  <c r="N635" i="25"/>
  <c r="P635" i="25"/>
  <c r="L636" i="25"/>
  <c r="N636" i="25"/>
  <c r="P636" i="25"/>
  <c r="L637" i="25"/>
  <c r="N637" i="25"/>
  <c r="P637" i="25"/>
  <c r="L638" i="25"/>
  <c r="N638" i="25"/>
  <c r="P638" i="25"/>
  <c r="L639" i="25"/>
  <c r="N639" i="25"/>
  <c r="P639" i="25"/>
  <c r="L640" i="25"/>
  <c r="N640" i="25"/>
  <c r="P640" i="25"/>
  <c r="L641" i="25"/>
  <c r="N641" i="25"/>
  <c r="P641" i="25"/>
  <c r="L642" i="25"/>
  <c r="N642" i="25"/>
  <c r="P642" i="25"/>
  <c r="L643" i="25"/>
  <c r="N643" i="25"/>
  <c r="P643" i="25"/>
  <c r="L644" i="25"/>
  <c r="N644" i="25"/>
  <c r="P644" i="25"/>
  <c r="L645" i="25"/>
  <c r="N645" i="25"/>
  <c r="P645" i="25"/>
  <c r="L646" i="25"/>
  <c r="N646" i="25"/>
  <c r="P646" i="25"/>
  <c r="L647" i="25"/>
  <c r="N647" i="25"/>
  <c r="P647" i="25"/>
  <c r="L648" i="25"/>
  <c r="N648" i="25"/>
  <c r="P648" i="25"/>
  <c r="L649" i="25"/>
  <c r="N649" i="25"/>
  <c r="P649" i="25"/>
  <c r="L650" i="25"/>
  <c r="N650" i="25"/>
  <c r="P650" i="25"/>
  <c r="L651" i="25"/>
  <c r="N651" i="25"/>
  <c r="P651" i="25"/>
  <c r="L652" i="25"/>
  <c r="N652" i="25"/>
  <c r="P652" i="25"/>
  <c r="L653" i="25"/>
  <c r="N653" i="25"/>
  <c r="P653" i="25"/>
  <c r="L654" i="25"/>
  <c r="N654" i="25"/>
  <c r="P654" i="25"/>
  <c r="L655" i="25"/>
  <c r="N655" i="25"/>
  <c r="P655" i="25"/>
  <c r="L656" i="25"/>
  <c r="N656" i="25"/>
  <c r="P656" i="25"/>
  <c r="L657" i="25"/>
  <c r="N657" i="25"/>
  <c r="P657" i="25"/>
  <c r="L658" i="25"/>
  <c r="N658" i="25"/>
  <c r="P658" i="25"/>
  <c r="L659" i="25"/>
  <c r="N659" i="25"/>
  <c r="P659" i="25"/>
  <c r="L660" i="25"/>
  <c r="N660" i="25"/>
  <c r="P660" i="25"/>
  <c r="L661" i="25"/>
  <c r="N661" i="25"/>
  <c r="P661" i="25"/>
  <c r="L662" i="25"/>
  <c r="N662" i="25"/>
  <c r="P662" i="25"/>
  <c r="L663" i="25"/>
  <c r="N663" i="25"/>
  <c r="P663" i="25"/>
  <c r="L664" i="25"/>
  <c r="N664" i="25"/>
  <c r="P664" i="25"/>
  <c r="L665" i="25"/>
  <c r="N665" i="25"/>
  <c r="P665" i="25"/>
  <c r="L666" i="25"/>
  <c r="N666" i="25"/>
  <c r="P666" i="25"/>
  <c r="L667" i="25"/>
  <c r="N667" i="25"/>
  <c r="P667" i="25"/>
  <c r="L668" i="25"/>
  <c r="N668" i="25"/>
  <c r="P668" i="25"/>
  <c r="L669" i="25"/>
  <c r="N669" i="25"/>
  <c r="P669" i="25"/>
  <c r="L670" i="25"/>
  <c r="N670" i="25"/>
  <c r="P670" i="25"/>
  <c r="L671" i="25"/>
  <c r="N671" i="25"/>
  <c r="P671" i="25"/>
  <c r="L672" i="25"/>
  <c r="N672" i="25"/>
  <c r="P672" i="25"/>
  <c r="L673" i="25"/>
  <c r="N673" i="25"/>
  <c r="P673" i="25"/>
  <c r="L674" i="25"/>
  <c r="N674" i="25"/>
  <c r="P674" i="25"/>
  <c r="L675" i="25"/>
  <c r="N675" i="25"/>
  <c r="P675" i="25"/>
  <c r="L676" i="25"/>
  <c r="N676" i="25"/>
  <c r="P676" i="25"/>
  <c r="L677" i="25"/>
  <c r="N677" i="25"/>
  <c r="P677" i="25"/>
  <c r="L678" i="25"/>
  <c r="N678" i="25"/>
  <c r="P678" i="25"/>
  <c r="L679" i="25"/>
  <c r="N679" i="25"/>
  <c r="P679" i="25"/>
  <c r="L680" i="25"/>
  <c r="N680" i="25"/>
  <c r="P680" i="25"/>
  <c r="L681" i="25"/>
  <c r="N681" i="25"/>
  <c r="P681" i="25"/>
  <c r="L682" i="25"/>
  <c r="N682" i="25"/>
  <c r="P682" i="25"/>
  <c r="L683" i="25"/>
  <c r="N683" i="25"/>
  <c r="P683" i="25"/>
  <c r="L684" i="25"/>
  <c r="N684" i="25"/>
  <c r="P684" i="25"/>
  <c r="L685" i="25"/>
  <c r="N685" i="25"/>
  <c r="P685" i="25"/>
  <c r="L686" i="25"/>
  <c r="N686" i="25"/>
  <c r="P686" i="25"/>
  <c r="L687" i="25"/>
  <c r="N687" i="25"/>
  <c r="P687" i="25"/>
  <c r="L688" i="25"/>
  <c r="N688" i="25"/>
  <c r="P688" i="25"/>
  <c r="L689" i="25"/>
  <c r="N689" i="25"/>
  <c r="P689" i="25"/>
  <c r="L690" i="25"/>
  <c r="N690" i="25"/>
  <c r="P690" i="25"/>
  <c r="L691" i="25"/>
  <c r="N691" i="25"/>
  <c r="P691" i="25"/>
  <c r="L692" i="25"/>
  <c r="N692" i="25"/>
  <c r="P692" i="25"/>
  <c r="L693" i="25"/>
  <c r="N693" i="25"/>
  <c r="P693" i="25"/>
  <c r="L694" i="25"/>
  <c r="N694" i="25"/>
  <c r="P694" i="25"/>
  <c r="L695" i="25"/>
  <c r="N695" i="25"/>
  <c r="P695" i="25"/>
  <c r="L696" i="25"/>
  <c r="N696" i="25"/>
  <c r="P696" i="25"/>
  <c r="L697" i="25"/>
  <c r="N697" i="25"/>
  <c r="P697" i="25"/>
  <c r="L698" i="25"/>
  <c r="N698" i="25"/>
  <c r="P698" i="25"/>
  <c r="L699" i="25"/>
  <c r="N699" i="25"/>
  <c r="P699" i="25"/>
  <c r="L700" i="25"/>
  <c r="N700" i="25"/>
  <c r="P700" i="25"/>
  <c r="L701" i="25"/>
  <c r="N701" i="25"/>
  <c r="P701" i="25"/>
  <c r="L702" i="25"/>
  <c r="N702" i="25"/>
  <c r="P702" i="25"/>
  <c r="L703" i="25"/>
  <c r="N703" i="25"/>
  <c r="P703" i="25"/>
  <c r="L704" i="25"/>
  <c r="N704" i="25"/>
  <c r="P704" i="25"/>
  <c r="L705" i="25"/>
  <c r="N705" i="25"/>
  <c r="P705" i="25"/>
  <c r="L706" i="25"/>
  <c r="N706" i="25"/>
  <c r="P706" i="25"/>
  <c r="L707" i="25"/>
  <c r="N707" i="25"/>
  <c r="P707" i="25"/>
  <c r="L708" i="25"/>
  <c r="N708" i="25"/>
  <c r="P708" i="25"/>
  <c r="L709" i="25"/>
  <c r="N709" i="25"/>
  <c r="P709" i="25"/>
  <c r="L710" i="25"/>
  <c r="N710" i="25"/>
  <c r="P710" i="25"/>
  <c r="L711" i="25"/>
  <c r="N711" i="25"/>
  <c r="P711" i="25"/>
  <c r="L712" i="25"/>
  <c r="N712" i="25"/>
  <c r="P712" i="25"/>
  <c r="L713" i="25"/>
  <c r="N713" i="25"/>
  <c r="P713" i="25"/>
  <c r="L714" i="25"/>
  <c r="N714" i="25"/>
  <c r="P714" i="25"/>
  <c r="L715" i="25"/>
  <c r="N715" i="25"/>
  <c r="P715" i="25"/>
  <c r="L716" i="25"/>
  <c r="N716" i="25"/>
  <c r="P716" i="25"/>
  <c r="L717" i="25"/>
  <c r="N717" i="25"/>
  <c r="P717" i="25"/>
  <c r="L718" i="25"/>
  <c r="N718" i="25"/>
  <c r="P718" i="25"/>
  <c r="L719" i="25"/>
  <c r="N719" i="25"/>
  <c r="P719" i="25"/>
  <c r="L720" i="25"/>
  <c r="N720" i="25"/>
  <c r="P720" i="25"/>
  <c r="L721" i="25"/>
  <c r="N721" i="25"/>
  <c r="P721" i="25"/>
  <c r="L722" i="25"/>
  <c r="N722" i="25"/>
  <c r="P722" i="25"/>
  <c r="L723" i="25"/>
  <c r="N723" i="25"/>
  <c r="P723" i="25"/>
  <c r="L724" i="25"/>
  <c r="N724" i="25"/>
  <c r="P724" i="25"/>
  <c r="L725" i="25"/>
  <c r="N725" i="25"/>
  <c r="P725" i="25"/>
  <c r="L726" i="25"/>
  <c r="N726" i="25"/>
  <c r="P726" i="25"/>
  <c r="L727" i="25"/>
  <c r="N727" i="25"/>
  <c r="P727" i="25"/>
  <c r="L728" i="25"/>
  <c r="N728" i="25"/>
  <c r="P728" i="25"/>
  <c r="L729" i="25"/>
  <c r="N729" i="25"/>
  <c r="P729" i="25"/>
  <c r="L730" i="25"/>
  <c r="N730" i="25"/>
  <c r="P730" i="25"/>
  <c r="L731" i="25"/>
  <c r="N731" i="25"/>
  <c r="P731" i="25"/>
  <c r="L732" i="25"/>
  <c r="N732" i="25"/>
  <c r="P732" i="25"/>
  <c r="L733" i="25"/>
  <c r="N733" i="25"/>
  <c r="P733" i="25"/>
  <c r="L734" i="25"/>
  <c r="N734" i="25"/>
  <c r="P734" i="25"/>
  <c r="L735" i="25"/>
  <c r="N735" i="25"/>
  <c r="P735" i="25"/>
  <c r="L736" i="25"/>
  <c r="N736" i="25"/>
  <c r="P736" i="25"/>
  <c r="L737" i="25"/>
  <c r="N737" i="25"/>
  <c r="P737" i="25"/>
  <c r="L738" i="25"/>
  <c r="N738" i="25"/>
  <c r="P738" i="25"/>
  <c r="L739" i="25"/>
  <c r="N739" i="25"/>
  <c r="P739" i="25"/>
  <c r="L740" i="25"/>
  <c r="N740" i="25"/>
  <c r="P740" i="25"/>
  <c r="L741" i="25"/>
  <c r="N741" i="25"/>
  <c r="P741" i="25"/>
  <c r="L742" i="25"/>
  <c r="N742" i="25"/>
  <c r="P742" i="25"/>
  <c r="L743" i="25"/>
  <c r="N743" i="25"/>
  <c r="P743" i="25"/>
  <c r="L744" i="25"/>
  <c r="N744" i="25"/>
  <c r="P744" i="25"/>
  <c r="L745" i="25"/>
  <c r="N745" i="25"/>
  <c r="P745" i="25"/>
  <c r="L746" i="25"/>
  <c r="N746" i="25"/>
  <c r="P746" i="25"/>
  <c r="L747" i="25"/>
  <c r="N747" i="25"/>
  <c r="P747" i="25"/>
  <c r="L748" i="25"/>
  <c r="N748" i="25"/>
  <c r="P748" i="25"/>
  <c r="L749" i="25"/>
  <c r="N749" i="25"/>
  <c r="P749" i="25"/>
  <c r="L750" i="25"/>
  <c r="N750" i="25"/>
  <c r="P750" i="25"/>
  <c r="L751" i="25"/>
  <c r="N751" i="25"/>
  <c r="P751" i="25"/>
  <c r="L752" i="25"/>
  <c r="N752" i="25"/>
  <c r="P752" i="25"/>
  <c r="L753" i="25"/>
  <c r="N753" i="25"/>
  <c r="P753" i="25"/>
  <c r="L754" i="25"/>
  <c r="N754" i="25"/>
  <c r="P754" i="25"/>
  <c r="L755" i="25"/>
  <c r="N755" i="25"/>
  <c r="P755" i="25"/>
  <c r="L756" i="25"/>
  <c r="N756" i="25"/>
  <c r="P756" i="25"/>
  <c r="L757" i="25"/>
  <c r="N757" i="25"/>
  <c r="P757" i="25"/>
  <c r="L758" i="25"/>
  <c r="N758" i="25"/>
  <c r="P758" i="25"/>
  <c r="L759" i="25"/>
  <c r="N759" i="25"/>
  <c r="P759" i="25"/>
  <c r="L760" i="25"/>
  <c r="N760" i="25"/>
  <c r="P760" i="25"/>
  <c r="L761" i="25"/>
  <c r="N761" i="25"/>
  <c r="P761" i="25"/>
  <c r="L762" i="25"/>
  <c r="N762" i="25"/>
  <c r="P762" i="25"/>
  <c r="L763" i="25"/>
  <c r="N763" i="25"/>
  <c r="P763" i="25"/>
  <c r="L764" i="25"/>
  <c r="N764" i="25"/>
  <c r="P764" i="25"/>
  <c r="L765" i="25"/>
  <c r="N765" i="25"/>
  <c r="P765" i="25"/>
  <c r="L766" i="25"/>
  <c r="N766" i="25"/>
  <c r="P766" i="25"/>
  <c r="L767" i="25"/>
  <c r="N767" i="25"/>
  <c r="P767" i="25"/>
  <c r="L768" i="25"/>
  <c r="N768" i="25"/>
  <c r="P768" i="25"/>
  <c r="L769" i="25"/>
  <c r="N769" i="25"/>
  <c r="P769" i="25"/>
  <c r="L770" i="25"/>
  <c r="N770" i="25"/>
  <c r="P770" i="25"/>
  <c r="L771" i="25"/>
  <c r="N771" i="25"/>
  <c r="P771" i="25"/>
  <c r="L772" i="25"/>
  <c r="N772" i="25"/>
  <c r="P772" i="25"/>
  <c r="L773" i="25"/>
  <c r="N773" i="25"/>
  <c r="P773" i="25"/>
  <c r="L774" i="25"/>
  <c r="N774" i="25"/>
  <c r="P774" i="25"/>
  <c r="L775" i="25"/>
  <c r="N775" i="25"/>
  <c r="P775" i="25"/>
  <c r="L776" i="25"/>
  <c r="N776" i="25"/>
  <c r="P776" i="25"/>
  <c r="L777" i="25"/>
  <c r="N777" i="25"/>
  <c r="P777" i="25"/>
  <c r="L778" i="25"/>
  <c r="N778" i="25"/>
  <c r="P778" i="25"/>
  <c r="L779" i="25"/>
  <c r="N779" i="25"/>
  <c r="P779" i="25"/>
  <c r="L780" i="25"/>
  <c r="N780" i="25"/>
  <c r="P780" i="25"/>
  <c r="L781" i="25"/>
  <c r="N781" i="25"/>
  <c r="P781" i="25"/>
  <c r="L782" i="25"/>
  <c r="N782" i="25"/>
  <c r="P782" i="25"/>
  <c r="L783" i="25"/>
  <c r="N783" i="25"/>
  <c r="P783" i="25"/>
  <c r="L784" i="25"/>
  <c r="N784" i="25"/>
  <c r="P784" i="25"/>
  <c r="L785" i="25"/>
  <c r="N785" i="25"/>
  <c r="P785" i="25"/>
  <c r="L786" i="25"/>
  <c r="N786" i="25"/>
  <c r="P786" i="25"/>
  <c r="L787" i="25"/>
  <c r="N787" i="25"/>
  <c r="P787" i="25"/>
  <c r="L788" i="25"/>
  <c r="N788" i="25"/>
  <c r="P788" i="25"/>
  <c r="L789" i="25"/>
  <c r="N789" i="25"/>
  <c r="P789" i="25"/>
  <c r="L790" i="25"/>
  <c r="N790" i="25"/>
  <c r="P790" i="25"/>
  <c r="L791" i="25"/>
  <c r="N791" i="25"/>
  <c r="P791" i="25"/>
  <c r="L792" i="25"/>
  <c r="N792" i="25"/>
  <c r="P792" i="25"/>
  <c r="L793" i="25"/>
  <c r="N793" i="25"/>
  <c r="P793" i="25"/>
  <c r="L794" i="25"/>
  <c r="N794" i="25"/>
  <c r="P794" i="25"/>
  <c r="L795" i="25"/>
  <c r="N795" i="25"/>
  <c r="P795" i="25"/>
  <c r="L796" i="25"/>
  <c r="N796" i="25"/>
  <c r="P796" i="25"/>
  <c r="L797" i="25"/>
  <c r="N797" i="25"/>
  <c r="P797" i="25"/>
  <c r="L798" i="25"/>
  <c r="N798" i="25"/>
  <c r="P798" i="25"/>
  <c r="L799" i="25"/>
  <c r="N799" i="25"/>
  <c r="P799" i="25"/>
  <c r="L800" i="25"/>
  <c r="N800" i="25"/>
  <c r="P800" i="25"/>
  <c r="L801" i="25"/>
  <c r="N801" i="25"/>
  <c r="P801" i="25"/>
  <c r="L802" i="25"/>
  <c r="N802" i="25"/>
  <c r="P802" i="25"/>
  <c r="L803" i="25"/>
  <c r="N803" i="25"/>
  <c r="P803" i="25"/>
  <c r="L804" i="25"/>
  <c r="N804" i="25"/>
  <c r="P804" i="25"/>
  <c r="L805" i="25"/>
  <c r="N805" i="25"/>
  <c r="P805" i="25"/>
  <c r="L806" i="25"/>
  <c r="N806" i="25"/>
  <c r="P806" i="25"/>
  <c r="L807" i="25"/>
  <c r="N807" i="25"/>
  <c r="P807" i="25"/>
  <c r="L808" i="25"/>
  <c r="N808" i="25"/>
  <c r="P808" i="25"/>
  <c r="L809" i="25"/>
  <c r="N809" i="25"/>
  <c r="P809" i="25"/>
  <c r="L810" i="25"/>
  <c r="N810" i="25"/>
  <c r="P810" i="25"/>
  <c r="L811" i="25"/>
  <c r="N811" i="25"/>
  <c r="P811" i="25"/>
  <c r="L812" i="25"/>
  <c r="N812" i="25"/>
  <c r="P812" i="25"/>
  <c r="L813" i="25"/>
  <c r="N813" i="25"/>
  <c r="P813" i="25"/>
  <c r="L814" i="25"/>
  <c r="N814" i="25"/>
  <c r="P814" i="25"/>
  <c r="L815" i="25"/>
  <c r="N815" i="25"/>
  <c r="P815" i="25"/>
  <c r="L816" i="25"/>
  <c r="N816" i="25"/>
  <c r="P816" i="25"/>
  <c r="L817" i="25"/>
  <c r="N817" i="25"/>
  <c r="P817" i="25"/>
  <c r="L818" i="25"/>
  <c r="N818" i="25"/>
  <c r="P818" i="25"/>
  <c r="L819" i="25"/>
  <c r="N819" i="25"/>
  <c r="P819" i="25"/>
  <c r="L820" i="25"/>
  <c r="N820" i="25"/>
  <c r="P820" i="25"/>
  <c r="L821" i="25"/>
  <c r="N821" i="25"/>
  <c r="P821" i="25"/>
  <c r="L822" i="25"/>
  <c r="N822" i="25"/>
  <c r="P822" i="25"/>
  <c r="L823" i="25"/>
  <c r="N823" i="25"/>
  <c r="P823" i="25"/>
  <c r="L824" i="25"/>
  <c r="N824" i="25"/>
  <c r="P824" i="25"/>
  <c r="L825" i="25"/>
  <c r="N825" i="25"/>
  <c r="P825" i="25"/>
  <c r="L826" i="25"/>
  <c r="N826" i="25"/>
  <c r="P826" i="25"/>
  <c r="L827" i="25"/>
  <c r="N827" i="25"/>
  <c r="P827" i="25"/>
  <c r="L828" i="25"/>
  <c r="N828" i="25"/>
  <c r="P828" i="25"/>
  <c r="L829" i="25"/>
  <c r="N829" i="25"/>
  <c r="P829" i="25"/>
  <c r="L830" i="25"/>
  <c r="N830" i="25"/>
  <c r="P830" i="25"/>
  <c r="L831" i="25"/>
  <c r="N831" i="25"/>
  <c r="P831" i="25"/>
  <c r="L832" i="25"/>
  <c r="N832" i="25"/>
  <c r="P832" i="25"/>
  <c r="L833" i="25"/>
  <c r="N833" i="25"/>
  <c r="P833" i="25"/>
  <c r="L834" i="25"/>
  <c r="N834" i="25"/>
  <c r="P834" i="25"/>
  <c r="L835" i="25"/>
  <c r="N835" i="25"/>
  <c r="P835" i="25"/>
  <c r="L836" i="25"/>
  <c r="N836" i="25"/>
  <c r="P836" i="25"/>
  <c r="L837" i="25"/>
  <c r="N837" i="25"/>
  <c r="P837" i="25"/>
  <c r="L838" i="25"/>
  <c r="N838" i="25"/>
  <c r="P838" i="25"/>
  <c r="L839" i="25"/>
  <c r="N839" i="25"/>
  <c r="P839" i="25"/>
  <c r="L840" i="25"/>
  <c r="N840" i="25"/>
  <c r="P840" i="25"/>
  <c r="L841" i="25"/>
  <c r="N841" i="25"/>
  <c r="P841" i="25"/>
  <c r="L842" i="25"/>
  <c r="N842" i="25"/>
  <c r="P842" i="25"/>
  <c r="L843" i="25"/>
  <c r="N843" i="25"/>
  <c r="P843" i="25"/>
  <c r="L844" i="25"/>
  <c r="N844" i="25"/>
  <c r="P844" i="25"/>
  <c r="L845" i="25"/>
  <c r="N845" i="25"/>
  <c r="P845" i="25"/>
  <c r="L846" i="25"/>
  <c r="N846" i="25"/>
  <c r="P846" i="25"/>
  <c r="L847" i="25"/>
  <c r="N847" i="25"/>
  <c r="P847" i="25"/>
  <c r="L848" i="25"/>
  <c r="N848" i="25"/>
  <c r="P848" i="25"/>
  <c r="L849" i="25"/>
  <c r="N849" i="25"/>
  <c r="P849" i="25"/>
  <c r="B2" i="58"/>
  <c r="C6" i="58"/>
  <c r="C11" i="58" s="1"/>
  <c r="O11" i="58" s="1"/>
  <c r="E6" i="58"/>
  <c r="G6" i="58"/>
  <c r="H6" i="58" s="1"/>
  <c r="J6" i="58"/>
  <c r="L6" i="58"/>
  <c r="L11" i="58" s="1"/>
  <c r="N6" i="58"/>
  <c r="C7" i="58"/>
  <c r="E7" i="58"/>
  <c r="F7" i="58" s="1"/>
  <c r="G7" i="58"/>
  <c r="H7" i="58" s="1"/>
  <c r="J7" i="58"/>
  <c r="K7" i="58"/>
  <c r="L7" i="58"/>
  <c r="M7" i="58"/>
  <c r="N7" i="58"/>
  <c r="O7" i="58" s="1"/>
  <c r="C8" i="58"/>
  <c r="E8" i="58"/>
  <c r="F8" i="58"/>
  <c r="G8" i="58"/>
  <c r="H8" i="58"/>
  <c r="I8" i="58"/>
  <c r="J8" i="58"/>
  <c r="K8" i="58" s="1"/>
  <c r="L8" i="58"/>
  <c r="M8" i="58"/>
  <c r="N8" i="58"/>
  <c r="O8" i="58"/>
  <c r="C9" i="58"/>
  <c r="E9" i="58"/>
  <c r="F9" i="58" s="1"/>
  <c r="G9" i="58"/>
  <c r="H9" i="58" s="1"/>
  <c r="J9" i="58"/>
  <c r="L9" i="58"/>
  <c r="M9" i="58"/>
  <c r="N9" i="58"/>
  <c r="O9" i="58"/>
  <c r="C10" i="58"/>
  <c r="H10" i="58" s="1"/>
  <c r="E10" i="58"/>
  <c r="F10" i="58"/>
  <c r="G10" i="58"/>
  <c r="J10" i="58"/>
  <c r="K10" i="58"/>
  <c r="L10" i="58"/>
  <c r="M10" i="58" s="1"/>
  <c r="N10" i="58"/>
  <c r="O10" i="58" s="1"/>
  <c r="J11" i="58"/>
  <c r="N11" i="58"/>
  <c r="C12" i="58"/>
  <c r="E12" i="58"/>
  <c r="G12" i="58"/>
  <c r="L12" i="58"/>
  <c r="N12" i="58"/>
  <c r="B2" i="37"/>
  <c r="C6" i="37"/>
  <c r="C20" i="37" s="1"/>
  <c r="D6" i="37"/>
  <c r="E6" i="37"/>
  <c r="F6" i="37"/>
  <c r="G6" i="37"/>
  <c r="L7" i="16" s="1"/>
  <c r="L21" i="16" s="1"/>
  <c r="I6" i="37"/>
  <c r="J6" i="37"/>
  <c r="K6" i="37"/>
  <c r="L6" i="37"/>
  <c r="O6" i="37"/>
  <c r="P6" i="37" s="1"/>
  <c r="C7" i="37"/>
  <c r="D7" i="37" s="1"/>
  <c r="E7" i="37"/>
  <c r="F7" i="37" s="1"/>
  <c r="G7" i="37"/>
  <c r="J7" i="37"/>
  <c r="K7" i="37" s="1"/>
  <c r="L7" i="37"/>
  <c r="L8" i="15" s="1"/>
  <c r="M7" i="37"/>
  <c r="O7" i="37"/>
  <c r="P7" i="37"/>
  <c r="C8" i="37"/>
  <c r="E8" i="37"/>
  <c r="F8" i="37"/>
  <c r="G8" i="37"/>
  <c r="L9" i="16" s="1"/>
  <c r="H8" i="37"/>
  <c r="M9" i="16" s="1"/>
  <c r="AM8" i="16" s="1"/>
  <c r="J8" i="37"/>
  <c r="K8" i="37" s="1"/>
  <c r="L8" i="37"/>
  <c r="O8" i="37"/>
  <c r="P8" i="37" s="1"/>
  <c r="C9" i="37"/>
  <c r="K9" i="37" s="1"/>
  <c r="D9" i="37"/>
  <c r="E9" i="37"/>
  <c r="G9" i="37"/>
  <c r="H9" i="37" s="1"/>
  <c r="J9" i="37"/>
  <c r="L9" i="37"/>
  <c r="O9" i="37"/>
  <c r="P9" i="37"/>
  <c r="C10" i="37"/>
  <c r="D10" i="37" s="1"/>
  <c r="E10" i="37"/>
  <c r="G10" i="37"/>
  <c r="I10" i="37"/>
  <c r="J10" i="37"/>
  <c r="K10" i="37"/>
  <c r="L10" i="37"/>
  <c r="O10" i="37"/>
  <c r="C11" i="37"/>
  <c r="D11" i="37" s="1"/>
  <c r="E11" i="37"/>
  <c r="G11" i="37"/>
  <c r="I11" i="37"/>
  <c r="J11" i="37"/>
  <c r="K11" i="37"/>
  <c r="L11" i="37"/>
  <c r="O11" i="37"/>
  <c r="P11" i="37"/>
  <c r="C12" i="37"/>
  <c r="D12" i="37"/>
  <c r="E12" i="37"/>
  <c r="F12" i="37" s="1"/>
  <c r="G12" i="37"/>
  <c r="J12" i="37"/>
  <c r="K12" i="37" s="1"/>
  <c r="L12" i="37"/>
  <c r="M12" i="37"/>
  <c r="O12" i="37"/>
  <c r="P12" i="37"/>
  <c r="C13" i="37"/>
  <c r="D13" i="37" s="1"/>
  <c r="E13" i="37"/>
  <c r="G13" i="37"/>
  <c r="J13" i="37"/>
  <c r="L13" i="37"/>
  <c r="O13" i="37"/>
  <c r="P13" i="37"/>
  <c r="C14" i="37"/>
  <c r="D14" i="37"/>
  <c r="E14" i="37"/>
  <c r="F14" i="37" s="1"/>
  <c r="G14" i="37"/>
  <c r="J14" i="37"/>
  <c r="K14" i="37"/>
  <c r="L14" i="37"/>
  <c r="O14" i="37"/>
  <c r="P14" i="37"/>
  <c r="C15" i="37"/>
  <c r="E15" i="37"/>
  <c r="G15" i="37"/>
  <c r="H15" i="37" s="1"/>
  <c r="J15" i="37"/>
  <c r="K15" i="37"/>
  <c r="L15" i="37"/>
  <c r="O15" i="37"/>
  <c r="P15" i="37" s="1"/>
  <c r="C16" i="37"/>
  <c r="H16" i="37" s="1"/>
  <c r="M17" i="16" s="1"/>
  <c r="AM16" i="16" s="1"/>
  <c r="D16" i="37"/>
  <c r="E16" i="37"/>
  <c r="F16" i="37"/>
  <c r="G16" i="37"/>
  <c r="L17" i="16" s="1"/>
  <c r="I16" i="37"/>
  <c r="J16" i="37"/>
  <c r="K16" i="37" s="1"/>
  <c r="L16" i="37"/>
  <c r="L17" i="15" s="1"/>
  <c r="M16" i="37"/>
  <c r="O16" i="37"/>
  <c r="C17" i="37"/>
  <c r="E17" i="37"/>
  <c r="F17" i="37" s="1"/>
  <c r="G17" i="37"/>
  <c r="H17" i="37" s="1"/>
  <c r="M18" i="16" s="1"/>
  <c r="AM17" i="16" s="1"/>
  <c r="J17" i="37"/>
  <c r="L17" i="37"/>
  <c r="L18" i="15" s="1"/>
  <c r="O17" i="37"/>
  <c r="P17" i="37"/>
  <c r="C18" i="37"/>
  <c r="F18" i="37" s="1"/>
  <c r="D18" i="37"/>
  <c r="E18" i="37"/>
  <c r="G18" i="37"/>
  <c r="L19" i="16" s="1"/>
  <c r="H18" i="37"/>
  <c r="M19" i="16" s="1"/>
  <c r="AM18" i="16" s="1"/>
  <c r="I18" i="37"/>
  <c r="J18" i="37"/>
  <c r="K18" i="37"/>
  <c r="L18" i="37"/>
  <c r="O18" i="37"/>
  <c r="P18" i="37" s="1"/>
  <c r="C19" i="37"/>
  <c r="D19" i="37"/>
  <c r="E19" i="37"/>
  <c r="F19" i="37" s="1"/>
  <c r="G19" i="37"/>
  <c r="I19" i="37"/>
  <c r="J19" i="37"/>
  <c r="K19" i="37" s="1"/>
  <c r="L19" i="37"/>
  <c r="L20" i="15" s="1"/>
  <c r="M19" i="37"/>
  <c r="O19" i="37"/>
  <c r="P19" i="37"/>
  <c r="E20" i="37"/>
  <c r="F20" i="37"/>
  <c r="G20" i="37"/>
  <c r="J20" i="37"/>
  <c r="K20" i="37"/>
  <c r="O20" i="37"/>
  <c r="P20" i="37" s="1"/>
  <c r="C21" i="37"/>
  <c r="E21" i="37"/>
  <c r="G21" i="37"/>
  <c r="L21" i="37"/>
  <c r="O21" i="37"/>
  <c r="B2" i="36"/>
  <c r="C6" i="36"/>
  <c r="C20" i="36" s="1"/>
  <c r="E6" i="36"/>
  <c r="E20" i="36" s="1"/>
  <c r="G6" i="36"/>
  <c r="H6" i="36"/>
  <c r="J6" i="36"/>
  <c r="J20" i="36" s="1"/>
  <c r="K20" i="36" s="1"/>
  <c r="L6" i="36"/>
  <c r="M6" i="36" s="1"/>
  <c r="O6" i="36"/>
  <c r="C7" i="36"/>
  <c r="D7" i="36"/>
  <c r="E7" i="36"/>
  <c r="F7" i="36" s="1"/>
  <c r="G7" i="36"/>
  <c r="J8" i="16" s="1"/>
  <c r="H7" i="36"/>
  <c r="I7" i="36"/>
  <c r="K8" i="16" s="1"/>
  <c r="AL7" i="16" s="1"/>
  <c r="J7" i="36"/>
  <c r="K7" i="36" s="1"/>
  <c r="L7" i="36"/>
  <c r="J8" i="15" s="1"/>
  <c r="M7" i="36"/>
  <c r="O7" i="36"/>
  <c r="P7" i="36" s="1"/>
  <c r="C8" i="36"/>
  <c r="D8" i="36" s="1"/>
  <c r="E8" i="36"/>
  <c r="G8" i="36"/>
  <c r="J9" i="16" s="1"/>
  <c r="J8" i="36"/>
  <c r="K8" i="36" s="1"/>
  <c r="L8" i="36"/>
  <c r="J9" i="15" s="1"/>
  <c r="M8" i="36"/>
  <c r="O8" i="36"/>
  <c r="C9" i="36"/>
  <c r="D9" i="36" s="1"/>
  <c r="E9" i="36"/>
  <c r="F9" i="36" s="1"/>
  <c r="G9" i="36"/>
  <c r="H9" i="36" s="1"/>
  <c r="J9" i="36"/>
  <c r="L9" i="36"/>
  <c r="M9" i="36" s="1"/>
  <c r="O9" i="36"/>
  <c r="C10" i="36"/>
  <c r="E10" i="36"/>
  <c r="F10" i="36"/>
  <c r="G10" i="36"/>
  <c r="H10" i="36"/>
  <c r="I10" i="36"/>
  <c r="J10" i="36"/>
  <c r="K10" i="36"/>
  <c r="L10" i="36"/>
  <c r="O10" i="36"/>
  <c r="P10" i="36" s="1"/>
  <c r="C11" i="36"/>
  <c r="E11" i="36"/>
  <c r="F11" i="36" s="1"/>
  <c r="G11" i="36"/>
  <c r="H11" i="36"/>
  <c r="J11" i="36"/>
  <c r="K11" i="36"/>
  <c r="L11" i="36"/>
  <c r="O11" i="36"/>
  <c r="P11" i="36"/>
  <c r="C12" i="36"/>
  <c r="E12" i="36"/>
  <c r="F12" i="36"/>
  <c r="G12" i="36"/>
  <c r="H12" i="36"/>
  <c r="J12" i="36"/>
  <c r="K12" i="36" s="1"/>
  <c r="L12" i="36"/>
  <c r="O12" i="36"/>
  <c r="P12" i="36" s="1"/>
  <c r="C13" i="36"/>
  <c r="E13" i="36"/>
  <c r="F13" i="36" s="1"/>
  <c r="G13" i="36"/>
  <c r="H13" i="36" s="1"/>
  <c r="J13" i="36"/>
  <c r="K13" i="36" s="1"/>
  <c r="L13" i="36"/>
  <c r="O13" i="36"/>
  <c r="P13" i="36" s="1"/>
  <c r="C14" i="36"/>
  <c r="F14" i="36" s="1"/>
  <c r="E14" i="36"/>
  <c r="G14" i="36"/>
  <c r="H14" i="36" s="1"/>
  <c r="J14" i="36"/>
  <c r="L14" i="36"/>
  <c r="O14" i="36"/>
  <c r="P14" i="36"/>
  <c r="C15" i="36"/>
  <c r="E15" i="36"/>
  <c r="F15" i="36" s="1"/>
  <c r="G15" i="36"/>
  <c r="J15" i="36"/>
  <c r="K15" i="36"/>
  <c r="L15" i="36"/>
  <c r="M15" i="36"/>
  <c r="O15" i="36"/>
  <c r="P15" i="36"/>
  <c r="C16" i="36"/>
  <c r="E16" i="36"/>
  <c r="G16" i="36"/>
  <c r="J17" i="16" s="1"/>
  <c r="I16" i="36"/>
  <c r="K17" i="16" s="1"/>
  <c r="AL16" i="16" s="1"/>
  <c r="J16" i="36"/>
  <c r="K16" i="36" s="1"/>
  <c r="L16" i="36"/>
  <c r="O16" i="36"/>
  <c r="C17" i="36"/>
  <c r="E17" i="36"/>
  <c r="F17" i="36" s="1"/>
  <c r="G17" i="36"/>
  <c r="H17" i="36"/>
  <c r="J17" i="36"/>
  <c r="K17" i="36" s="1"/>
  <c r="L17" i="36"/>
  <c r="O17" i="36"/>
  <c r="P17" i="36" s="1"/>
  <c r="C18" i="36"/>
  <c r="I18" i="36" s="1"/>
  <c r="K19" i="16" s="1"/>
  <c r="AL18" i="16" s="1"/>
  <c r="E18" i="36"/>
  <c r="F18" i="36"/>
  <c r="G18" i="36"/>
  <c r="J19" i="16" s="1"/>
  <c r="H18" i="36"/>
  <c r="J18" i="36"/>
  <c r="K18" i="36"/>
  <c r="L18" i="36"/>
  <c r="O18" i="36"/>
  <c r="P18" i="36"/>
  <c r="C19" i="36"/>
  <c r="D19" i="36"/>
  <c r="E19" i="36"/>
  <c r="F19" i="36"/>
  <c r="G19" i="36"/>
  <c r="J19" i="36"/>
  <c r="K19" i="36" s="1"/>
  <c r="L19" i="36"/>
  <c r="J20" i="15" s="1"/>
  <c r="M19" i="36"/>
  <c r="O19" i="36"/>
  <c r="P19" i="36"/>
  <c r="G20" i="36"/>
  <c r="I20" i="36" s="1"/>
  <c r="K21" i="16" s="1"/>
  <c r="O20" i="36"/>
  <c r="P20" i="36"/>
  <c r="C21" i="36"/>
  <c r="E21" i="36"/>
  <c r="G21" i="36"/>
  <c r="L21" i="36"/>
  <c r="O21" i="36"/>
  <c r="B2" i="35"/>
  <c r="C6" i="35"/>
  <c r="C20" i="35" s="1"/>
  <c r="D7" i="35" s="1"/>
  <c r="D6" i="35"/>
  <c r="E6" i="35"/>
  <c r="G6" i="35"/>
  <c r="H6" i="35"/>
  <c r="J6" i="35"/>
  <c r="K6" i="35" s="1"/>
  <c r="L6" i="35"/>
  <c r="M6" i="35"/>
  <c r="O6" i="35"/>
  <c r="P6" i="35"/>
  <c r="C7" i="35"/>
  <c r="E7" i="35"/>
  <c r="F7" i="35" s="1"/>
  <c r="G7" i="35"/>
  <c r="H8" i="16" s="1"/>
  <c r="J7" i="35"/>
  <c r="K7" i="35" s="1"/>
  <c r="L7" i="35"/>
  <c r="O7" i="35"/>
  <c r="P7" i="35" s="1"/>
  <c r="C8" i="35"/>
  <c r="P8" i="35" s="1"/>
  <c r="D8" i="35"/>
  <c r="E8" i="35"/>
  <c r="F8" i="35" s="1"/>
  <c r="G8" i="35"/>
  <c r="H9" i="16" s="1"/>
  <c r="H8" i="35"/>
  <c r="I8" i="35"/>
  <c r="I9" i="16" s="1"/>
  <c r="AK8" i="16" s="1"/>
  <c r="J8" i="35"/>
  <c r="L8" i="35"/>
  <c r="H9" i="15" s="1"/>
  <c r="O8" i="35"/>
  <c r="C9" i="35"/>
  <c r="D9" i="35" s="1"/>
  <c r="E9" i="35"/>
  <c r="F9" i="35" s="1"/>
  <c r="G9" i="35"/>
  <c r="H9" i="35"/>
  <c r="J9" i="35"/>
  <c r="L9" i="35"/>
  <c r="M9" i="35" s="1"/>
  <c r="O9" i="35"/>
  <c r="C10" i="35"/>
  <c r="E10" i="35"/>
  <c r="F10" i="35"/>
  <c r="G10" i="35"/>
  <c r="H10" i="35"/>
  <c r="I10" i="35"/>
  <c r="J10" i="35"/>
  <c r="K10" i="35"/>
  <c r="L10" i="35"/>
  <c r="O10" i="35"/>
  <c r="P10" i="35"/>
  <c r="C11" i="35"/>
  <c r="E11" i="35"/>
  <c r="F11" i="35" s="1"/>
  <c r="G11" i="35"/>
  <c r="H11" i="35"/>
  <c r="J11" i="35"/>
  <c r="K11" i="35" s="1"/>
  <c r="L11" i="35"/>
  <c r="O11" i="35"/>
  <c r="P11" i="35" s="1"/>
  <c r="C12" i="35"/>
  <c r="F12" i="35" s="1"/>
  <c r="E12" i="35"/>
  <c r="G12" i="35"/>
  <c r="J12" i="35"/>
  <c r="L12" i="35"/>
  <c r="O12" i="35"/>
  <c r="P12" i="35" s="1"/>
  <c r="C13" i="35"/>
  <c r="H13" i="35" s="1"/>
  <c r="E13" i="35"/>
  <c r="G13" i="35"/>
  <c r="J13" i="35"/>
  <c r="L13" i="35"/>
  <c r="M13" i="35" s="1"/>
  <c r="O13" i="35"/>
  <c r="P13" i="35" s="1"/>
  <c r="C14" i="35"/>
  <c r="F14" i="35" s="1"/>
  <c r="E14" i="35"/>
  <c r="G14" i="35"/>
  <c r="H14" i="35"/>
  <c r="I14" i="35"/>
  <c r="J14" i="35"/>
  <c r="L14" i="35"/>
  <c r="O14" i="35"/>
  <c r="P14" i="35" s="1"/>
  <c r="C15" i="35"/>
  <c r="E15" i="35"/>
  <c r="F15" i="35" s="1"/>
  <c r="G15" i="35"/>
  <c r="J15" i="35"/>
  <c r="K15" i="35"/>
  <c r="L15" i="35"/>
  <c r="O15" i="35"/>
  <c r="P15" i="35" s="1"/>
  <c r="C16" i="35"/>
  <c r="P16" i="35" s="1"/>
  <c r="E16" i="35"/>
  <c r="F16" i="35"/>
  <c r="G16" i="35"/>
  <c r="H16" i="35"/>
  <c r="J16" i="35"/>
  <c r="K16" i="35"/>
  <c r="L16" i="35"/>
  <c r="O16" i="35"/>
  <c r="C17" i="35"/>
  <c r="E17" i="35"/>
  <c r="G17" i="35"/>
  <c r="H17" i="35"/>
  <c r="J17" i="35"/>
  <c r="L17" i="35"/>
  <c r="H18" i="15" s="1"/>
  <c r="O17" i="35"/>
  <c r="P17" i="35"/>
  <c r="C18" i="35"/>
  <c r="E18" i="35"/>
  <c r="F18" i="35"/>
  <c r="G18" i="35"/>
  <c r="H19" i="16" s="1"/>
  <c r="H18" i="35"/>
  <c r="I18" i="35"/>
  <c r="I19" i="16" s="1"/>
  <c r="AK18" i="16" s="1"/>
  <c r="J18" i="35"/>
  <c r="K18" i="35"/>
  <c r="L18" i="35"/>
  <c r="O18" i="35"/>
  <c r="P18" i="35"/>
  <c r="C19" i="35"/>
  <c r="D19" i="35"/>
  <c r="E19" i="35"/>
  <c r="F19" i="35" s="1"/>
  <c r="G19" i="35"/>
  <c r="J19" i="35"/>
  <c r="K19" i="35" s="1"/>
  <c r="L19" i="35"/>
  <c r="H20" i="15" s="1"/>
  <c r="M19" i="35"/>
  <c r="O19" i="35"/>
  <c r="P19" i="35"/>
  <c r="G20" i="35"/>
  <c r="I20" i="35" s="1"/>
  <c r="I21" i="16" s="1"/>
  <c r="O20" i="35"/>
  <c r="P20" i="35" s="1"/>
  <c r="C21" i="35"/>
  <c r="E21" i="35"/>
  <c r="G21" i="35"/>
  <c r="L21" i="35"/>
  <c r="O21" i="35"/>
  <c r="B2" i="34"/>
  <c r="C6" i="34"/>
  <c r="C20" i="34" s="1"/>
  <c r="D15" i="34" s="1"/>
  <c r="E6" i="34"/>
  <c r="G6" i="34"/>
  <c r="J6" i="34"/>
  <c r="L6" i="34"/>
  <c r="M6" i="34" s="1"/>
  <c r="O6" i="34"/>
  <c r="C7" i="34"/>
  <c r="E7" i="34"/>
  <c r="F7" i="34"/>
  <c r="G7" i="34"/>
  <c r="H7" i="34" s="1"/>
  <c r="G8" i="16" s="1"/>
  <c r="J7" i="34"/>
  <c r="K7" i="34" s="1"/>
  <c r="L7" i="34"/>
  <c r="F8" i="15" s="1"/>
  <c r="O7" i="34"/>
  <c r="P7" i="34" s="1"/>
  <c r="C8" i="34"/>
  <c r="P8" i="34" s="1"/>
  <c r="D8" i="34"/>
  <c r="E8" i="34"/>
  <c r="G8" i="34"/>
  <c r="F9" i="16" s="1"/>
  <c r="J8" i="34"/>
  <c r="K8" i="34" s="1"/>
  <c r="L8" i="34"/>
  <c r="F9" i="15" s="1"/>
  <c r="M8" i="34"/>
  <c r="O8" i="34"/>
  <c r="C9" i="34"/>
  <c r="E9" i="34"/>
  <c r="F9" i="34"/>
  <c r="G9" i="34"/>
  <c r="H9" i="34"/>
  <c r="J9" i="34"/>
  <c r="K9" i="34" s="1"/>
  <c r="L9" i="34"/>
  <c r="M9" i="34"/>
  <c r="O9" i="34"/>
  <c r="P9" i="34" s="1"/>
  <c r="C10" i="34"/>
  <c r="E10" i="34"/>
  <c r="F10" i="34"/>
  <c r="G10" i="34"/>
  <c r="J10" i="34"/>
  <c r="K10" i="34"/>
  <c r="L10" i="34"/>
  <c r="M10" i="34"/>
  <c r="O10" i="34"/>
  <c r="C11" i="34"/>
  <c r="E11" i="34"/>
  <c r="F11" i="34" s="1"/>
  <c r="G11" i="34"/>
  <c r="J11" i="34"/>
  <c r="L11" i="34"/>
  <c r="M11" i="34"/>
  <c r="O11" i="34"/>
  <c r="C12" i="34"/>
  <c r="E12" i="34"/>
  <c r="F12" i="34" s="1"/>
  <c r="G12" i="34"/>
  <c r="H12" i="34" s="1"/>
  <c r="J12" i="34"/>
  <c r="K12" i="34"/>
  <c r="L12" i="34"/>
  <c r="O12" i="34"/>
  <c r="P12" i="34"/>
  <c r="C13" i="34"/>
  <c r="E13" i="34"/>
  <c r="F13" i="34"/>
  <c r="G13" i="34"/>
  <c r="H13" i="34"/>
  <c r="J13" i="34"/>
  <c r="K13" i="34"/>
  <c r="L13" i="34"/>
  <c r="O13" i="34"/>
  <c r="P13" i="34"/>
  <c r="C14" i="34"/>
  <c r="E14" i="34"/>
  <c r="G14" i="34"/>
  <c r="I14" i="34"/>
  <c r="J14" i="34"/>
  <c r="L14" i="34"/>
  <c r="M14" i="34" s="1"/>
  <c r="O14" i="34"/>
  <c r="C15" i="34"/>
  <c r="E15" i="34"/>
  <c r="F15" i="34"/>
  <c r="G15" i="34"/>
  <c r="H15" i="34"/>
  <c r="J15" i="34"/>
  <c r="K15" i="34" s="1"/>
  <c r="L15" i="34"/>
  <c r="M15" i="34"/>
  <c r="O15" i="34"/>
  <c r="P15" i="34" s="1"/>
  <c r="C16" i="34"/>
  <c r="D16" i="34" s="1"/>
  <c r="E16" i="34"/>
  <c r="G16" i="34"/>
  <c r="H16" i="34" s="1"/>
  <c r="G17" i="16" s="1"/>
  <c r="J16" i="34"/>
  <c r="L16" i="34"/>
  <c r="F17" i="15" s="1"/>
  <c r="O16" i="34"/>
  <c r="C17" i="34"/>
  <c r="E17" i="34"/>
  <c r="G17" i="34"/>
  <c r="H17" i="34"/>
  <c r="G18" i="16" s="1"/>
  <c r="J17" i="34"/>
  <c r="K17" i="34"/>
  <c r="L17" i="34"/>
  <c r="F18" i="15" s="1"/>
  <c r="O17" i="34"/>
  <c r="P17" i="34" s="1"/>
  <c r="C18" i="34"/>
  <c r="E18" i="34"/>
  <c r="F18" i="34"/>
  <c r="G18" i="34"/>
  <c r="F19" i="16" s="1"/>
  <c r="J18" i="34"/>
  <c r="K18" i="34"/>
  <c r="L18" i="34"/>
  <c r="O18" i="34"/>
  <c r="P18" i="34" s="1"/>
  <c r="C19" i="34"/>
  <c r="D19" i="34" s="1"/>
  <c r="E19" i="34"/>
  <c r="G19" i="34"/>
  <c r="J19" i="34"/>
  <c r="L19" i="34"/>
  <c r="F20" i="15" s="1"/>
  <c r="O19" i="34"/>
  <c r="P19" i="34" s="1"/>
  <c r="E20" i="34"/>
  <c r="F20" i="34" s="1"/>
  <c r="G20" i="34"/>
  <c r="J20" i="34"/>
  <c r="K20" i="34" s="1"/>
  <c r="O20" i="34"/>
  <c r="P20" i="34" s="1"/>
  <c r="C21" i="34"/>
  <c r="E21" i="34"/>
  <c r="G21" i="34"/>
  <c r="L21" i="34"/>
  <c r="O21" i="34"/>
  <c r="B2" i="33"/>
  <c r="C6" i="33"/>
  <c r="C20" i="33" s="1"/>
  <c r="D7" i="33" s="1"/>
  <c r="E6" i="33"/>
  <c r="G6" i="33"/>
  <c r="H6" i="33" s="1"/>
  <c r="J6" i="33"/>
  <c r="L6" i="33"/>
  <c r="M6" i="33" s="1"/>
  <c r="O6" i="33"/>
  <c r="O20" i="33" s="1"/>
  <c r="P20" i="33" s="1"/>
  <c r="C7" i="33"/>
  <c r="E7" i="33"/>
  <c r="F7" i="33"/>
  <c r="G7" i="33"/>
  <c r="D8" i="16" s="1"/>
  <c r="J7" i="33"/>
  <c r="K7" i="33" s="1"/>
  <c r="L7" i="33"/>
  <c r="D8" i="15" s="1"/>
  <c r="M7" i="33"/>
  <c r="O7" i="33"/>
  <c r="P7" i="33"/>
  <c r="C8" i="33"/>
  <c r="P8" i="33" s="1"/>
  <c r="E8" i="33"/>
  <c r="G8" i="33"/>
  <c r="D9" i="16" s="1"/>
  <c r="J8" i="33"/>
  <c r="L8" i="33"/>
  <c r="D9" i="15" s="1"/>
  <c r="O8" i="33"/>
  <c r="C9" i="33"/>
  <c r="D9" i="33" s="1"/>
  <c r="E9" i="33"/>
  <c r="G9" i="33"/>
  <c r="H9" i="33"/>
  <c r="J9" i="33"/>
  <c r="L9" i="33"/>
  <c r="M9" i="33" s="1"/>
  <c r="O9" i="33"/>
  <c r="C10" i="33"/>
  <c r="E10" i="33"/>
  <c r="F10" i="33"/>
  <c r="G10" i="33"/>
  <c r="H10" i="33"/>
  <c r="I10" i="33"/>
  <c r="J10" i="33"/>
  <c r="K10" i="33"/>
  <c r="L10" i="33"/>
  <c r="O10" i="33"/>
  <c r="P10" i="33"/>
  <c r="C11" i="33"/>
  <c r="E11" i="33"/>
  <c r="F11" i="33" s="1"/>
  <c r="G11" i="33"/>
  <c r="H11" i="33"/>
  <c r="J11" i="33"/>
  <c r="K11" i="33"/>
  <c r="L11" i="33"/>
  <c r="O11" i="33"/>
  <c r="P11" i="33"/>
  <c r="C12" i="33"/>
  <c r="E12" i="33"/>
  <c r="F12" i="33"/>
  <c r="G12" i="33"/>
  <c r="H12" i="33"/>
  <c r="J12" i="33"/>
  <c r="K12" i="33" s="1"/>
  <c r="L12" i="33"/>
  <c r="O12" i="33"/>
  <c r="P12" i="33" s="1"/>
  <c r="C13" i="33"/>
  <c r="E13" i="33"/>
  <c r="G13" i="33"/>
  <c r="H13" i="33"/>
  <c r="J13" i="33"/>
  <c r="K13" i="33"/>
  <c r="L13" i="33"/>
  <c r="M13" i="33" s="1"/>
  <c r="O13" i="33"/>
  <c r="P13" i="33" s="1"/>
  <c r="C14" i="33"/>
  <c r="F14" i="33" s="1"/>
  <c r="E14" i="33"/>
  <c r="G14" i="33"/>
  <c r="H14" i="33" s="1"/>
  <c r="J14" i="33"/>
  <c r="K14" i="33" s="1"/>
  <c r="L14" i="33"/>
  <c r="O14" i="33"/>
  <c r="P14" i="33" s="1"/>
  <c r="C15" i="33"/>
  <c r="M15" i="33" s="1"/>
  <c r="E15" i="33"/>
  <c r="F15" i="33" s="1"/>
  <c r="G15" i="33"/>
  <c r="H15" i="33" s="1"/>
  <c r="J15" i="33"/>
  <c r="L15" i="33"/>
  <c r="O15" i="33"/>
  <c r="P15" i="33"/>
  <c r="C16" i="33"/>
  <c r="E16" i="33"/>
  <c r="F16" i="33"/>
  <c r="G16" i="33"/>
  <c r="I16" i="33"/>
  <c r="J16" i="33"/>
  <c r="K16" i="33"/>
  <c r="L16" i="33"/>
  <c r="O16" i="33"/>
  <c r="P16" i="33"/>
  <c r="C17" i="33"/>
  <c r="F17" i="33" s="1"/>
  <c r="E17" i="33"/>
  <c r="G17" i="33"/>
  <c r="H17" i="33"/>
  <c r="J17" i="33"/>
  <c r="K17" i="33" s="1"/>
  <c r="L17" i="33"/>
  <c r="D18" i="15" s="1"/>
  <c r="O17" i="33"/>
  <c r="C18" i="33"/>
  <c r="E18" i="33"/>
  <c r="F18" i="33"/>
  <c r="G18" i="33"/>
  <c r="D19" i="16" s="1"/>
  <c r="H18" i="33"/>
  <c r="I18" i="33"/>
  <c r="J18" i="33"/>
  <c r="K18" i="33"/>
  <c r="L18" i="33"/>
  <c r="O18" i="33"/>
  <c r="P18" i="33"/>
  <c r="C19" i="33"/>
  <c r="D19" i="33"/>
  <c r="E19" i="33"/>
  <c r="F19" i="33" s="1"/>
  <c r="G19" i="33"/>
  <c r="I19" i="33"/>
  <c r="J19" i="33"/>
  <c r="K19" i="33"/>
  <c r="L19" i="33"/>
  <c r="D20" i="15" s="1"/>
  <c r="O19" i="33"/>
  <c r="P19" i="33" s="1"/>
  <c r="E20" i="33"/>
  <c r="J20" i="33"/>
  <c r="K20" i="33"/>
  <c r="C21" i="33"/>
  <c r="E21" i="33"/>
  <c r="G21" i="33"/>
  <c r="L21" i="33"/>
  <c r="O21" i="33"/>
  <c r="B2" i="32"/>
  <c r="C6" i="32"/>
  <c r="F6" i="32" s="1"/>
  <c r="E6" i="32"/>
  <c r="G6" i="32"/>
  <c r="H6" i="32" s="1"/>
  <c r="J6" i="32"/>
  <c r="K6" i="32" s="1"/>
  <c r="L6" i="32"/>
  <c r="M6" i="32" s="1"/>
  <c r="O6" i="32"/>
  <c r="P6" i="32" s="1"/>
  <c r="C7" i="32"/>
  <c r="E7" i="32"/>
  <c r="F7" i="32"/>
  <c r="G7" i="32"/>
  <c r="H7" i="32" s="1"/>
  <c r="J7" i="32"/>
  <c r="K7" i="32" s="1"/>
  <c r="L7" i="32"/>
  <c r="B8" i="15" s="1"/>
  <c r="O7" i="32"/>
  <c r="P7" i="32"/>
  <c r="C8" i="32"/>
  <c r="K8" i="32" s="1"/>
  <c r="E8" i="32"/>
  <c r="G8" i="32"/>
  <c r="B9" i="16" s="1"/>
  <c r="J8" i="32"/>
  <c r="L8" i="32"/>
  <c r="B9" i="15" s="1"/>
  <c r="M8" i="32"/>
  <c r="O8" i="32"/>
  <c r="P8" i="32"/>
  <c r="C9" i="32"/>
  <c r="E9" i="32"/>
  <c r="G9" i="32"/>
  <c r="H9" i="32"/>
  <c r="J9" i="32"/>
  <c r="K9" i="32"/>
  <c r="L9" i="32"/>
  <c r="M9" i="32" s="1"/>
  <c r="O9" i="32"/>
  <c r="C10" i="32"/>
  <c r="F10" i="32" s="1"/>
  <c r="E10" i="32"/>
  <c r="G10" i="32"/>
  <c r="H10" i="32"/>
  <c r="J10" i="32"/>
  <c r="L10" i="32"/>
  <c r="O10" i="32"/>
  <c r="P10" i="32" s="1"/>
  <c r="C11" i="32"/>
  <c r="F11" i="32" s="1"/>
  <c r="E11" i="32"/>
  <c r="G11" i="32"/>
  <c r="J11" i="32"/>
  <c r="K11" i="32" s="1"/>
  <c r="L11" i="32"/>
  <c r="M11" i="32"/>
  <c r="O11" i="32"/>
  <c r="C12" i="32"/>
  <c r="E12" i="32"/>
  <c r="F12" i="32"/>
  <c r="G12" i="32"/>
  <c r="I12" i="32"/>
  <c r="J12" i="32"/>
  <c r="K12" i="32" s="1"/>
  <c r="L12" i="32"/>
  <c r="O12" i="32"/>
  <c r="P12" i="32" s="1"/>
  <c r="C13" i="32"/>
  <c r="E13" i="32"/>
  <c r="F13" i="32"/>
  <c r="G13" i="32"/>
  <c r="H13" i="32" s="1"/>
  <c r="J13" i="32"/>
  <c r="K13" i="32"/>
  <c r="L13" i="32"/>
  <c r="M13" i="32"/>
  <c r="O13" i="32"/>
  <c r="P13" i="32"/>
  <c r="C14" i="32"/>
  <c r="F14" i="32" s="1"/>
  <c r="E14" i="32"/>
  <c r="G14" i="32"/>
  <c r="H14" i="32" s="1"/>
  <c r="J14" i="32"/>
  <c r="L14" i="32"/>
  <c r="O14" i="32"/>
  <c r="C15" i="32"/>
  <c r="F15" i="32" s="1"/>
  <c r="E15" i="32"/>
  <c r="G15" i="32"/>
  <c r="H15" i="32" s="1"/>
  <c r="J15" i="32"/>
  <c r="L15" i="32"/>
  <c r="M15" i="32"/>
  <c r="O15" i="32"/>
  <c r="C16" i="32"/>
  <c r="F16" i="32" s="1"/>
  <c r="E16" i="32"/>
  <c r="G16" i="32"/>
  <c r="I16" i="32" s="1"/>
  <c r="J16" i="32"/>
  <c r="K16" i="32"/>
  <c r="L16" i="32"/>
  <c r="O16" i="32"/>
  <c r="P16" i="32" s="1"/>
  <c r="C17" i="32"/>
  <c r="E17" i="32"/>
  <c r="F17" i="32"/>
  <c r="G17" i="32"/>
  <c r="H17" i="32"/>
  <c r="J17" i="32"/>
  <c r="K17" i="32"/>
  <c r="L17" i="32"/>
  <c r="O17" i="32"/>
  <c r="P17" i="32"/>
  <c r="C18" i="32"/>
  <c r="K18" i="32" s="1"/>
  <c r="E18" i="32"/>
  <c r="F18" i="32"/>
  <c r="G18" i="32"/>
  <c r="H18" i="32"/>
  <c r="J18" i="32"/>
  <c r="L18" i="32"/>
  <c r="O18" i="32"/>
  <c r="P18" i="32"/>
  <c r="C19" i="32"/>
  <c r="E19" i="32"/>
  <c r="G19" i="32"/>
  <c r="I19" i="32" s="1"/>
  <c r="J19" i="32"/>
  <c r="K19" i="32" s="1"/>
  <c r="L19" i="32"/>
  <c r="B20" i="15" s="1"/>
  <c r="M19" i="32"/>
  <c r="O19" i="32"/>
  <c r="O20" i="32"/>
  <c r="B2" i="42"/>
  <c r="C6" i="42"/>
  <c r="D6" i="42"/>
  <c r="E6" i="42"/>
  <c r="F6" i="42"/>
  <c r="G6" i="42"/>
  <c r="H6" i="42" s="1"/>
  <c r="Y7" i="16" s="1"/>
  <c r="AR6" i="16" s="1"/>
  <c r="J6" i="42"/>
  <c r="K6" i="42"/>
  <c r="L6" i="42"/>
  <c r="X7" i="15" s="1"/>
  <c r="X21" i="15" s="1"/>
  <c r="M6" i="42"/>
  <c r="O6" i="42"/>
  <c r="P6" i="42"/>
  <c r="Q6" i="42"/>
  <c r="C7" i="42"/>
  <c r="K7" i="42" s="1"/>
  <c r="E7" i="42"/>
  <c r="G7" i="42"/>
  <c r="H7" i="42"/>
  <c r="Y8" i="16" s="1"/>
  <c r="AR7" i="16" s="1"/>
  <c r="J7" i="42"/>
  <c r="L7" i="42"/>
  <c r="X8" i="15" s="1"/>
  <c r="O7" i="42"/>
  <c r="C8" i="42"/>
  <c r="D8" i="42" s="1"/>
  <c r="E8" i="42"/>
  <c r="F8" i="42" s="1"/>
  <c r="G8" i="42"/>
  <c r="H8" i="42" s="1"/>
  <c r="Y9" i="16" s="1"/>
  <c r="AR8" i="16" s="1"/>
  <c r="J8" i="42"/>
  <c r="K8" i="42"/>
  <c r="L8" i="42"/>
  <c r="X9" i="15" s="1"/>
  <c r="M8" i="42"/>
  <c r="O8" i="42"/>
  <c r="P8" i="42" s="1"/>
  <c r="Q8" i="42"/>
  <c r="C9" i="42"/>
  <c r="D9" i="42"/>
  <c r="E9" i="42"/>
  <c r="F9" i="42" s="1"/>
  <c r="G9" i="42"/>
  <c r="I9" i="42"/>
  <c r="J9" i="42"/>
  <c r="K9" i="42" s="1"/>
  <c r="L9" i="42"/>
  <c r="M9" i="42"/>
  <c r="O9" i="42"/>
  <c r="P9" i="42"/>
  <c r="C10" i="42"/>
  <c r="D10" i="42"/>
  <c r="E10" i="42"/>
  <c r="F10" i="42" s="1"/>
  <c r="G10" i="42"/>
  <c r="I10" i="42"/>
  <c r="J10" i="42"/>
  <c r="K10" i="42" s="1"/>
  <c r="L10" i="42"/>
  <c r="M10" i="42"/>
  <c r="O10" i="42"/>
  <c r="P10" i="42" s="1"/>
  <c r="C11" i="42"/>
  <c r="D11" i="42" s="1"/>
  <c r="E11" i="42"/>
  <c r="F11" i="42" s="1"/>
  <c r="G11" i="42"/>
  <c r="J11" i="42"/>
  <c r="L11" i="42"/>
  <c r="M11" i="42" s="1"/>
  <c r="O11" i="42"/>
  <c r="P11" i="42" s="1"/>
  <c r="C12" i="42"/>
  <c r="E12" i="42"/>
  <c r="F12" i="42"/>
  <c r="G12" i="42"/>
  <c r="H12" i="42"/>
  <c r="J12" i="42"/>
  <c r="K12" i="42" s="1"/>
  <c r="L12" i="42"/>
  <c r="O12" i="42"/>
  <c r="P12" i="42"/>
  <c r="T12" i="42"/>
  <c r="C13" i="42"/>
  <c r="F13" i="42" s="1"/>
  <c r="E13" i="42"/>
  <c r="G13" i="42"/>
  <c r="H13" i="42" s="1"/>
  <c r="J13" i="42"/>
  <c r="L13" i="42"/>
  <c r="O13" i="42"/>
  <c r="T13" i="42"/>
  <c r="C14" i="42"/>
  <c r="D14" i="42" s="1"/>
  <c r="E14" i="42"/>
  <c r="G14" i="42"/>
  <c r="H14" i="42"/>
  <c r="J14" i="42"/>
  <c r="K14" i="42" s="1"/>
  <c r="L14" i="42"/>
  <c r="M14" i="42"/>
  <c r="O14" i="42"/>
  <c r="C15" i="42"/>
  <c r="D15" i="42"/>
  <c r="E15" i="42"/>
  <c r="F15" i="42"/>
  <c r="G15" i="42"/>
  <c r="I15" i="42" s="1"/>
  <c r="J15" i="42"/>
  <c r="K15" i="42"/>
  <c r="L15" i="42"/>
  <c r="M15" i="42"/>
  <c r="O15" i="42"/>
  <c r="P15" i="42"/>
  <c r="C16" i="42"/>
  <c r="I16" i="42" s="1"/>
  <c r="E16" i="42"/>
  <c r="G16" i="42"/>
  <c r="X17" i="16" s="1"/>
  <c r="J16" i="42"/>
  <c r="L16" i="42"/>
  <c r="X17" i="15" s="1"/>
  <c r="O16" i="42"/>
  <c r="C17" i="42"/>
  <c r="E17" i="42"/>
  <c r="F17" i="42"/>
  <c r="G17" i="42"/>
  <c r="X18" i="16" s="1"/>
  <c r="H17" i="42"/>
  <c r="Y18" i="16" s="1"/>
  <c r="AR17" i="16" s="1"/>
  <c r="I17" i="42"/>
  <c r="J17" i="42"/>
  <c r="K17" i="42"/>
  <c r="L17" i="42"/>
  <c r="X18" i="15" s="1"/>
  <c r="O17" i="42"/>
  <c r="P17" i="42"/>
  <c r="C18" i="42"/>
  <c r="D18" i="42" s="1"/>
  <c r="E18" i="42"/>
  <c r="G18" i="42"/>
  <c r="J18" i="42"/>
  <c r="L18" i="42"/>
  <c r="Q18" i="42" s="1"/>
  <c r="O18" i="42"/>
  <c r="P18" i="42"/>
  <c r="C19" i="42"/>
  <c r="D19" i="42"/>
  <c r="E19" i="42"/>
  <c r="F19" i="42"/>
  <c r="G19" i="42"/>
  <c r="I19" i="42"/>
  <c r="J19" i="42"/>
  <c r="K19" i="42" s="1"/>
  <c r="L19" i="42"/>
  <c r="M19" i="42"/>
  <c r="O19" i="42"/>
  <c r="P19" i="42"/>
  <c r="C20" i="42"/>
  <c r="E20" i="42"/>
  <c r="F20" i="42"/>
  <c r="J20" i="42"/>
  <c r="K20" i="42" s="1"/>
  <c r="L20" i="42"/>
  <c r="O20" i="42"/>
  <c r="P20" i="42" s="1"/>
  <c r="C21" i="42"/>
  <c r="E21" i="42"/>
  <c r="G21" i="42"/>
  <c r="L21" i="42"/>
  <c r="O21" i="42"/>
  <c r="L2" i="26"/>
  <c r="N2" i="26"/>
  <c r="P2" i="26"/>
  <c r="L3" i="26"/>
  <c r="N3" i="26"/>
  <c r="P3" i="26"/>
  <c r="L4" i="26"/>
  <c r="N4" i="26"/>
  <c r="P4" i="26"/>
  <c r="L5" i="26"/>
  <c r="N5" i="26"/>
  <c r="P5" i="26"/>
  <c r="L6" i="26"/>
  <c r="N6" i="26"/>
  <c r="P6" i="26"/>
  <c r="L7" i="26"/>
  <c r="N7" i="26"/>
  <c r="P7" i="26"/>
  <c r="L8" i="26"/>
  <c r="N8" i="26"/>
  <c r="P8" i="26"/>
  <c r="L9" i="26"/>
  <c r="N9" i="26"/>
  <c r="P9" i="26"/>
  <c r="L10" i="26"/>
  <c r="N10" i="26"/>
  <c r="P10" i="26"/>
  <c r="L11" i="26"/>
  <c r="N11" i="26"/>
  <c r="P11" i="26"/>
  <c r="L12" i="26"/>
  <c r="N12" i="26"/>
  <c r="P12" i="26"/>
  <c r="L13" i="26"/>
  <c r="N13" i="26"/>
  <c r="P13" i="26"/>
  <c r="L14" i="26"/>
  <c r="N14" i="26"/>
  <c r="P14" i="26"/>
  <c r="L15" i="26"/>
  <c r="N15" i="26"/>
  <c r="P15" i="26"/>
  <c r="L16" i="26"/>
  <c r="N16" i="26"/>
  <c r="P16" i="26"/>
  <c r="L17" i="26"/>
  <c r="N17" i="26"/>
  <c r="P17" i="26"/>
  <c r="L18" i="26"/>
  <c r="N18" i="26"/>
  <c r="P18" i="26"/>
  <c r="L19" i="26"/>
  <c r="N19" i="26"/>
  <c r="P19" i="26"/>
  <c r="L20" i="26"/>
  <c r="N20" i="26"/>
  <c r="P20" i="26"/>
  <c r="L21" i="26"/>
  <c r="N21" i="26"/>
  <c r="P21" i="26"/>
  <c r="L22" i="26"/>
  <c r="N22" i="26"/>
  <c r="P22" i="26"/>
  <c r="L23" i="26"/>
  <c r="N23" i="26"/>
  <c r="P23" i="26"/>
  <c r="L24" i="26"/>
  <c r="N24" i="26"/>
  <c r="P24" i="26"/>
  <c r="L25" i="26"/>
  <c r="N25" i="26"/>
  <c r="P25" i="26"/>
  <c r="L26" i="26"/>
  <c r="N26" i="26"/>
  <c r="P26" i="26"/>
  <c r="L27" i="26"/>
  <c r="N27" i="26"/>
  <c r="P27" i="26"/>
  <c r="L28" i="26"/>
  <c r="N28" i="26"/>
  <c r="P28" i="26"/>
  <c r="L29" i="26"/>
  <c r="N29" i="26"/>
  <c r="P29" i="26"/>
  <c r="L30" i="26"/>
  <c r="N30" i="26"/>
  <c r="P30" i="26"/>
  <c r="L31" i="26"/>
  <c r="N31" i="26"/>
  <c r="P31" i="26"/>
  <c r="L32" i="26"/>
  <c r="N32" i="26"/>
  <c r="P32" i="26"/>
  <c r="L33" i="26"/>
  <c r="N33" i="26"/>
  <c r="P33" i="26"/>
  <c r="L34" i="26"/>
  <c r="N34" i="26"/>
  <c r="P34" i="26"/>
  <c r="L35" i="26"/>
  <c r="N35" i="26"/>
  <c r="P35" i="26"/>
  <c r="L36" i="26"/>
  <c r="N36" i="26"/>
  <c r="P36" i="26"/>
  <c r="L37" i="26"/>
  <c r="N37" i="26"/>
  <c r="P37" i="26"/>
  <c r="L38" i="26"/>
  <c r="N38" i="26"/>
  <c r="P38" i="26"/>
  <c r="L39" i="26"/>
  <c r="N39" i="26"/>
  <c r="P39" i="26"/>
  <c r="L40" i="26"/>
  <c r="N40" i="26"/>
  <c r="P40" i="26"/>
  <c r="L41" i="26"/>
  <c r="N41" i="26"/>
  <c r="P41" i="26"/>
  <c r="L42" i="26"/>
  <c r="N42" i="26"/>
  <c r="P42" i="26"/>
  <c r="L43" i="26"/>
  <c r="N43" i="26"/>
  <c r="P43" i="26"/>
  <c r="L44" i="26"/>
  <c r="N44" i="26"/>
  <c r="P44" i="26"/>
  <c r="L45" i="26"/>
  <c r="N45" i="26"/>
  <c r="P45" i="26"/>
  <c r="L46" i="26"/>
  <c r="N46" i="26"/>
  <c r="P46" i="26"/>
  <c r="L47" i="26"/>
  <c r="N47" i="26"/>
  <c r="P47" i="26"/>
  <c r="L48" i="26"/>
  <c r="N48" i="26"/>
  <c r="P48" i="26"/>
  <c r="L49" i="26"/>
  <c r="N49" i="26"/>
  <c r="P49" i="26"/>
  <c r="L50" i="26"/>
  <c r="N50" i="26"/>
  <c r="P50" i="26"/>
  <c r="L51" i="26"/>
  <c r="N51" i="26"/>
  <c r="P51" i="26"/>
  <c r="L52" i="26"/>
  <c r="N52" i="26"/>
  <c r="P52" i="26"/>
  <c r="L53" i="26"/>
  <c r="N53" i="26"/>
  <c r="P53" i="26"/>
  <c r="L54" i="26"/>
  <c r="N54" i="26"/>
  <c r="P54" i="26"/>
  <c r="L55" i="26"/>
  <c r="N55" i="26"/>
  <c r="P55" i="26"/>
  <c r="L56" i="26"/>
  <c r="N56" i="26"/>
  <c r="P56" i="26"/>
  <c r="L57" i="26"/>
  <c r="N57" i="26"/>
  <c r="P57" i="26"/>
  <c r="L58" i="26"/>
  <c r="N58" i="26"/>
  <c r="P58" i="26"/>
  <c r="L59" i="26"/>
  <c r="N59" i="26"/>
  <c r="P59" i="26"/>
  <c r="L60" i="26"/>
  <c r="N60" i="26"/>
  <c r="P60" i="26"/>
  <c r="L61" i="26"/>
  <c r="N61" i="26"/>
  <c r="P61" i="26"/>
  <c r="L62" i="26"/>
  <c r="N62" i="26"/>
  <c r="P62" i="26"/>
  <c r="L63" i="26"/>
  <c r="N63" i="26"/>
  <c r="P63" i="26"/>
  <c r="L64" i="26"/>
  <c r="N64" i="26"/>
  <c r="P64" i="26"/>
  <c r="L65" i="26"/>
  <c r="N65" i="26"/>
  <c r="P65" i="26"/>
  <c r="L66" i="26"/>
  <c r="N66" i="26"/>
  <c r="P66" i="26"/>
  <c r="L67" i="26"/>
  <c r="N67" i="26"/>
  <c r="P67" i="26"/>
  <c r="L68" i="26"/>
  <c r="N68" i="26"/>
  <c r="P68" i="26"/>
  <c r="L69" i="26"/>
  <c r="N69" i="26"/>
  <c r="P69" i="26"/>
  <c r="L70" i="26"/>
  <c r="N70" i="26"/>
  <c r="P70" i="26"/>
  <c r="L71" i="26"/>
  <c r="N71" i="26"/>
  <c r="P71" i="26"/>
  <c r="L72" i="26"/>
  <c r="N72" i="26"/>
  <c r="P72" i="26"/>
  <c r="L73" i="26"/>
  <c r="N73" i="26"/>
  <c r="P73" i="26"/>
  <c r="L74" i="26"/>
  <c r="N74" i="26"/>
  <c r="P74" i="26"/>
  <c r="L75" i="26"/>
  <c r="N75" i="26"/>
  <c r="P75" i="26"/>
  <c r="L76" i="26"/>
  <c r="N76" i="26"/>
  <c r="P76" i="26"/>
  <c r="L77" i="26"/>
  <c r="N77" i="26"/>
  <c r="P77" i="26"/>
  <c r="L78" i="26"/>
  <c r="N78" i="26"/>
  <c r="P78" i="26"/>
  <c r="L79" i="26"/>
  <c r="N79" i="26"/>
  <c r="P79" i="26"/>
  <c r="L80" i="26"/>
  <c r="N80" i="26"/>
  <c r="P80" i="26"/>
  <c r="L81" i="26"/>
  <c r="N81" i="26"/>
  <c r="P81" i="26"/>
  <c r="L82" i="26"/>
  <c r="N82" i="26"/>
  <c r="P82" i="26"/>
  <c r="L83" i="26"/>
  <c r="N83" i="26"/>
  <c r="P83" i="26"/>
  <c r="L84" i="26"/>
  <c r="N84" i="26"/>
  <c r="P84" i="26"/>
  <c r="L85" i="26"/>
  <c r="N85" i="26"/>
  <c r="P85" i="26"/>
  <c r="L86" i="26"/>
  <c r="N86" i="26"/>
  <c r="P86" i="26"/>
  <c r="L87" i="26"/>
  <c r="N87" i="26"/>
  <c r="P87" i="26"/>
  <c r="L88" i="26"/>
  <c r="N88" i="26"/>
  <c r="P88" i="26"/>
  <c r="L89" i="26"/>
  <c r="N89" i="26"/>
  <c r="P89" i="26"/>
  <c r="L90" i="26"/>
  <c r="N90" i="26"/>
  <c r="P90" i="26"/>
  <c r="L91" i="26"/>
  <c r="N91" i="26"/>
  <c r="P91" i="26"/>
  <c r="L92" i="26"/>
  <c r="N92" i="26"/>
  <c r="P92" i="26"/>
  <c r="L93" i="26"/>
  <c r="N93" i="26"/>
  <c r="P93" i="26"/>
  <c r="L94" i="26"/>
  <c r="N94" i="26"/>
  <c r="P94" i="26"/>
  <c r="L95" i="26"/>
  <c r="N95" i="26"/>
  <c r="P95" i="26"/>
  <c r="L96" i="26"/>
  <c r="N96" i="26"/>
  <c r="P96" i="26"/>
  <c r="L97" i="26"/>
  <c r="N97" i="26"/>
  <c r="P97" i="26"/>
  <c r="L98" i="26"/>
  <c r="N98" i="26"/>
  <c r="P98" i="26"/>
  <c r="L99" i="26"/>
  <c r="N99" i="26"/>
  <c r="P99" i="26"/>
  <c r="L100" i="26"/>
  <c r="N100" i="26"/>
  <c r="P100" i="26"/>
  <c r="L101" i="26"/>
  <c r="N101" i="26"/>
  <c r="P101" i="26"/>
  <c r="L102" i="26"/>
  <c r="N102" i="26"/>
  <c r="P102" i="26"/>
  <c r="L103" i="26"/>
  <c r="N103" i="26"/>
  <c r="P103" i="26"/>
  <c r="L104" i="26"/>
  <c r="N104" i="26"/>
  <c r="P104" i="26"/>
  <c r="L105" i="26"/>
  <c r="N105" i="26"/>
  <c r="P105" i="26"/>
  <c r="L106" i="26"/>
  <c r="N106" i="26"/>
  <c r="P106" i="26"/>
  <c r="L107" i="26"/>
  <c r="N107" i="26"/>
  <c r="P107" i="26"/>
  <c r="L108" i="26"/>
  <c r="N108" i="26"/>
  <c r="P108" i="26"/>
  <c r="L109" i="26"/>
  <c r="N109" i="26"/>
  <c r="P109" i="26"/>
  <c r="L110" i="26"/>
  <c r="N110" i="26"/>
  <c r="P110" i="26"/>
  <c r="L111" i="26"/>
  <c r="N111" i="26"/>
  <c r="P111" i="26"/>
  <c r="L112" i="26"/>
  <c r="N112" i="26"/>
  <c r="P112" i="26"/>
  <c r="L113" i="26"/>
  <c r="N113" i="26"/>
  <c r="P113" i="26"/>
  <c r="L114" i="26"/>
  <c r="N114" i="26"/>
  <c r="P114" i="26"/>
  <c r="L115" i="26"/>
  <c r="N115" i="26"/>
  <c r="P115" i="26"/>
  <c r="L116" i="26"/>
  <c r="N116" i="26"/>
  <c r="P116" i="26"/>
  <c r="L117" i="26"/>
  <c r="N117" i="26"/>
  <c r="P117" i="26"/>
  <c r="L118" i="26"/>
  <c r="N118" i="26"/>
  <c r="P118" i="26"/>
  <c r="L119" i="26"/>
  <c r="N119" i="26"/>
  <c r="P119" i="26"/>
  <c r="L120" i="26"/>
  <c r="N120" i="26"/>
  <c r="P120" i="26"/>
  <c r="L121" i="26"/>
  <c r="N121" i="26"/>
  <c r="P121" i="26"/>
  <c r="L122" i="26"/>
  <c r="N122" i="26"/>
  <c r="P122" i="26"/>
  <c r="L123" i="26"/>
  <c r="N123" i="26"/>
  <c r="P123" i="26"/>
  <c r="L124" i="26"/>
  <c r="N124" i="26"/>
  <c r="P124" i="26"/>
  <c r="L125" i="26"/>
  <c r="N125" i="26"/>
  <c r="P125" i="26"/>
  <c r="L126" i="26"/>
  <c r="N126" i="26"/>
  <c r="P126" i="26"/>
  <c r="L127" i="26"/>
  <c r="N127" i="26"/>
  <c r="P127" i="26"/>
  <c r="L128" i="26"/>
  <c r="N128" i="26"/>
  <c r="P128" i="26"/>
  <c r="L129" i="26"/>
  <c r="N129" i="26"/>
  <c r="P129" i="26"/>
  <c r="L130" i="26"/>
  <c r="N130" i="26"/>
  <c r="P130" i="26"/>
  <c r="L131" i="26"/>
  <c r="N131" i="26"/>
  <c r="P131" i="26"/>
  <c r="L132" i="26"/>
  <c r="N132" i="26"/>
  <c r="P132" i="26"/>
  <c r="L133" i="26"/>
  <c r="N133" i="26"/>
  <c r="P133" i="26"/>
  <c r="L134" i="26"/>
  <c r="N134" i="26"/>
  <c r="P134" i="26"/>
  <c r="L135" i="26"/>
  <c r="N135" i="26"/>
  <c r="P135" i="26"/>
  <c r="L136" i="26"/>
  <c r="N136" i="26"/>
  <c r="P136" i="26"/>
  <c r="L137" i="26"/>
  <c r="N137" i="26"/>
  <c r="P137" i="26"/>
  <c r="L138" i="26"/>
  <c r="N138" i="26"/>
  <c r="P138" i="26"/>
  <c r="L139" i="26"/>
  <c r="N139" i="26"/>
  <c r="P139" i="26"/>
  <c r="L140" i="26"/>
  <c r="N140" i="26"/>
  <c r="P140" i="26"/>
  <c r="L141" i="26"/>
  <c r="N141" i="26"/>
  <c r="P141" i="26"/>
  <c r="L142" i="26"/>
  <c r="N142" i="26"/>
  <c r="P142" i="26"/>
  <c r="L143" i="26"/>
  <c r="N143" i="26"/>
  <c r="P143" i="26"/>
  <c r="L144" i="26"/>
  <c r="N144" i="26"/>
  <c r="P144" i="26"/>
  <c r="L145" i="26"/>
  <c r="N145" i="26"/>
  <c r="P145" i="26"/>
  <c r="L146" i="26"/>
  <c r="N146" i="26"/>
  <c r="P146" i="26"/>
  <c r="L147" i="26"/>
  <c r="N147" i="26"/>
  <c r="P147" i="26"/>
  <c r="L148" i="26"/>
  <c r="N148" i="26"/>
  <c r="P148" i="26"/>
  <c r="L149" i="26"/>
  <c r="N149" i="26"/>
  <c r="P149" i="26"/>
  <c r="L150" i="26"/>
  <c r="N150" i="26"/>
  <c r="P150" i="26"/>
  <c r="L151" i="26"/>
  <c r="N151" i="26"/>
  <c r="P151" i="26"/>
  <c r="L152" i="26"/>
  <c r="N152" i="26"/>
  <c r="P152" i="26"/>
  <c r="L153" i="26"/>
  <c r="N153" i="26"/>
  <c r="P153" i="26"/>
  <c r="L154" i="26"/>
  <c r="N154" i="26"/>
  <c r="P154" i="26"/>
  <c r="L155" i="26"/>
  <c r="N155" i="26"/>
  <c r="P155" i="26"/>
  <c r="L156" i="26"/>
  <c r="N156" i="26"/>
  <c r="P156" i="26"/>
  <c r="L157" i="26"/>
  <c r="N157" i="26"/>
  <c r="P157" i="26"/>
  <c r="L158" i="26"/>
  <c r="N158" i="26"/>
  <c r="P158" i="26"/>
  <c r="L159" i="26"/>
  <c r="N159" i="26"/>
  <c r="P159" i="26"/>
  <c r="L160" i="26"/>
  <c r="N160" i="26"/>
  <c r="P160" i="26"/>
  <c r="L161" i="26"/>
  <c r="N161" i="26"/>
  <c r="P161" i="26"/>
  <c r="L162" i="26"/>
  <c r="N162" i="26"/>
  <c r="P162" i="26"/>
  <c r="L163" i="26"/>
  <c r="N163" i="26"/>
  <c r="P163" i="26"/>
  <c r="L164" i="26"/>
  <c r="N164" i="26"/>
  <c r="P164" i="26"/>
  <c r="L165" i="26"/>
  <c r="N165" i="26"/>
  <c r="P165" i="26"/>
  <c r="L166" i="26"/>
  <c r="N166" i="26"/>
  <c r="P166" i="26"/>
  <c r="L167" i="26"/>
  <c r="N167" i="26"/>
  <c r="P167" i="26"/>
  <c r="L168" i="26"/>
  <c r="N168" i="26"/>
  <c r="P168" i="26"/>
  <c r="L169" i="26"/>
  <c r="N169" i="26"/>
  <c r="P169" i="26"/>
  <c r="L170" i="26"/>
  <c r="N170" i="26"/>
  <c r="P170" i="26"/>
  <c r="L171" i="26"/>
  <c r="N171" i="26"/>
  <c r="P171" i="26"/>
  <c r="L172" i="26"/>
  <c r="N172" i="26"/>
  <c r="P172" i="26"/>
  <c r="L173" i="26"/>
  <c r="N173" i="26"/>
  <c r="P173" i="26"/>
  <c r="L174" i="26"/>
  <c r="N174" i="26"/>
  <c r="P174" i="26"/>
  <c r="L175" i="26"/>
  <c r="N175" i="26"/>
  <c r="P175" i="26"/>
  <c r="L176" i="26"/>
  <c r="N176" i="26"/>
  <c r="P176" i="26"/>
  <c r="L177" i="26"/>
  <c r="N177" i="26"/>
  <c r="P177" i="26"/>
  <c r="L178" i="26"/>
  <c r="N178" i="26"/>
  <c r="P178" i="26"/>
  <c r="L179" i="26"/>
  <c r="N179" i="26"/>
  <c r="P179" i="26"/>
  <c r="L180" i="26"/>
  <c r="N180" i="26"/>
  <c r="P180" i="26"/>
  <c r="L181" i="26"/>
  <c r="N181" i="26"/>
  <c r="P181" i="26"/>
  <c r="L182" i="26"/>
  <c r="N182" i="26"/>
  <c r="P182" i="26"/>
  <c r="L183" i="26"/>
  <c r="N183" i="26"/>
  <c r="P183" i="26"/>
  <c r="L184" i="26"/>
  <c r="N184" i="26"/>
  <c r="P184" i="26"/>
  <c r="L185" i="26"/>
  <c r="N185" i="26"/>
  <c r="P185" i="26"/>
  <c r="L186" i="26"/>
  <c r="N186" i="26"/>
  <c r="P186" i="26"/>
  <c r="L187" i="26"/>
  <c r="N187" i="26"/>
  <c r="P187" i="26"/>
  <c r="L188" i="26"/>
  <c r="N188" i="26"/>
  <c r="P188" i="26"/>
  <c r="L189" i="26"/>
  <c r="N189" i="26"/>
  <c r="P189" i="26"/>
  <c r="L190" i="26"/>
  <c r="N190" i="26"/>
  <c r="P190" i="26"/>
  <c r="L191" i="26"/>
  <c r="N191" i="26"/>
  <c r="P191" i="26"/>
  <c r="L192" i="26"/>
  <c r="N192" i="26"/>
  <c r="P192" i="26"/>
  <c r="L193" i="26"/>
  <c r="N193" i="26"/>
  <c r="P193" i="26"/>
  <c r="L194" i="26"/>
  <c r="N194" i="26"/>
  <c r="P194" i="26"/>
  <c r="L195" i="26"/>
  <c r="N195" i="26"/>
  <c r="P195" i="26"/>
  <c r="L196" i="26"/>
  <c r="N196" i="26"/>
  <c r="P196" i="26"/>
  <c r="L197" i="26"/>
  <c r="N197" i="26"/>
  <c r="P197" i="26"/>
  <c r="L198" i="26"/>
  <c r="N198" i="26"/>
  <c r="P198" i="26"/>
  <c r="L199" i="26"/>
  <c r="N199" i="26"/>
  <c r="P199" i="26"/>
  <c r="L200" i="26"/>
  <c r="N200" i="26"/>
  <c r="P200" i="26"/>
  <c r="L201" i="26"/>
  <c r="N201" i="26"/>
  <c r="P201" i="26"/>
  <c r="L202" i="26"/>
  <c r="N202" i="26"/>
  <c r="P202" i="26"/>
  <c r="L203" i="26"/>
  <c r="N203" i="26"/>
  <c r="P203" i="26"/>
  <c r="L204" i="26"/>
  <c r="N204" i="26"/>
  <c r="P204" i="26"/>
  <c r="L205" i="26"/>
  <c r="N205" i="26"/>
  <c r="P205" i="26"/>
  <c r="L206" i="26"/>
  <c r="N206" i="26"/>
  <c r="P206" i="26"/>
  <c r="L207" i="26"/>
  <c r="N207" i="26"/>
  <c r="P207" i="26"/>
  <c r="L208" i="26"/>
  <c r="N208" i="26"/>
  <c r="P208" i="26"/>
  <c r="L209" i="26"/>
  <c r="N209" i="26"/>
  <c r="P209" i="26"/>
  <c r="L210" i="26"/>
  <c r="N210" i="26"/>
  <c r="P210" i="26"/>
  <c r="L211" i="26"/>
  <c r="N211" i="26"/>
  <c r="P211" i="26"/>
  <c r="L212" i="26"/>
  <c r="N212" i="26"/>
  <c r="P212" i="26"/>
  <c r="L213" i="26"/>
  <c r="N213" i="26"/>
  <c r="P213" i="26"/>
  <c r="L214" i="26"/>
  <c r="N214" i="26"/>
  <c r="P214" i="26"/>
  <c r="L215" i="26"/>
  <c r="N215" i="26"/>
  <c r="P215" i="26"/>
  <c r="L216" i="26"/>
  <c r="N216" i="26"/>
  <c r="P216" i="26"/>
  <c r="L217" i="26"/>
  <c r="N217" i="26"/>
  <c r="P217" i="26"/>
  <c r="L218" i="26"/>
  <c r="N218" i="26"/>
  <c r="P218" i="26"/>
  <c r="L219" i="26"/>
  <c r="N219" i="26"/>
  <c r="P219" i="26"/>
  <c r="L220" i="26"/>
  <c r="N220" i="26"/>
  <c r="P220" i="26"/>
  <c r="L221" i="26"/>
  <c r="N221" i="26"/>
  <c r="P221" i="26"/>
  <c r="L222" i="26"/>
  <c r="N222" i="26"/>
  <c r="P222" i="26"/>
  <c r="L223" i="26"/>
  <c r="N223" i="26"/>
  <c r="P223" i="26"/>
  <c r="L224" i="26"/>
  <c r="N224" i="26"/>
  <c r="P224" i="26"/>
  <c r="L225" i="26"/>
  <c r="N225" i="26"/>
  <c r="P225" i="26"/>
  <c r="L226" i="26"/>
  <c r="N226" i="26"/>
  <c r="P226" i="26"/>
  <c r="L227" i="26"/>
  <c r="N227" i="26"/>
  <c r="P227" i="26"/>
  <c r="L228" i="26"/>
  <c r="N228" i="26"/>
  <c r="P228" i="26"/>
  <c r="L229" i="26"/>
  <c r="N229" i="26"/>
  <c r="P229" i="26"/>
  <c r="L230" i="26"/>
  <c r="N230" i="26"/>
  <c r="P230" i="26"/>
  <c r="L231" i="26"/>
  <c r="N231" i="26"/>
  <c r="P231" i="26"/>
  <c r="L232" i="26"/>
  <c r="N232" i="26"/>
  <c r="P232" i="26"/>
  <c r="L233" i="26"/>
  <c r="N233" i="26"/>
  <c r="P233" i="26"/>
  <c r="L234" i="26"/>
  <c r="N234" i="26"/>
  <c r="P234" i="26"/>
  <c r="L235" i="26"/>
  <c r="N235" i="26"/>
  <c r="P235" i="26"/>
  <c r="L236" i="26"/>
  <c r="N236" i="26"/>
  <c r="P236" i="26"/>
  <c r="L237" i="26"/>
  <c r="N237" i="26"/>
  <c r="P237" i="26"/>
  <c r="L238" i="26"/>
  <c r="N238" i="26"/>
  <c r="P238" i="26"/>
  <c r="L239" i="26"/>
  <c r="N239" i="26"/>
  <c r="P239" i="26"/>
  <c r="L240" i="26"/>
  <c r="N240" i="26"/>
  <c r="P240" i="26"/>
  <c r="L241" i="26"/>
  <c r="N241" i="26"/>
  <c r="P241" i="26"/>
  <c r="L242" i="26"/>
  <c r="N242" i="26"/>
  <c r="P242" i="26"/>
  <c r="L243" i="26"/>
  <c r="N243" i="26"/>
  <c r="P243" i="26"/>
  <c r="L244" i="26"/>
  <c r="N244" i="26"/>
  <c r="P244" i="26"/>
  <c r="L245" i="26"/>
  <c r="N245" i="26"/>
  <c r="P245" i="26"/>
  <c r="L246" i="26"/>
  <c r="N246" i="26"/>
  <c r="P246" i="26"/>
  <c r="L247" i="26"/>
  <c r="N247" i="26"/>
  <c r="P247" i="26"/>
  <c r="L248" i="26"/>
  <c r="N248" i="26"/>
  <c r="P248" i="26"/>
  <c r="L249" i="26"/>
  <c r="N249" i="26"/>
  <c r="P249" i="26"/>
  <c r="L250" i="26"/>
  <c r="N250" i="26"/>
  <c r="P250" i="26"/>
  <c r="L251" i="26"/>
  <c r="N251" i="26"/>
  <c r="P251" i="26"/>
  <c r="L252" i="26"/>
  <c r="N252" i="26"/>
  <c r="P252" i="26"/>
  <c r="L253" i="26"/>
  <c r="N253" i="26"/>
  <c r="P253" i="26"/>
  <c r="L254" i="26"/>
  <c r="N254" i="26"/>
  <c r="P254" i="26"/>
  <c r="L255" i="26"/>
  <c r="N255" i="26"/>
  <c r="P255" i="26"/>
  <c r="L256" i="26"/>
  <c r="N256" i="26"/>
  <c r="P256" i="26"/>
  <c r="L257" i="26"/>
  <c r="N257" i="26"/>
  <c r="P257" i="26"/>
  <c r="L258" i="26"/>
  <c r="N258" i="26"/>
  <c r="P258" i="26"/>
  <c r="L259" i="26"/>
  <c r="N259" i="26"/>
  <c r="P259" i="26"/>
  <c r="L260" i="26"/>
  <c r="N260" i="26"/>
  <c r="P260" i="26"/>
  <c r="L261" i="26"/>
  <c r="N261" i="26"/>
  <c r="P261" i="26"/>
  <c r="L262" i="26"/>
  <c r="N262" i="26"/>
  <c r="P262" i="26"/>
  <c r="L263" i="26"/>
  <c r="N263" i="26"/>
  <c r="P263" i="26"/>
  <c r="L264" i="26"/>
  <c r="N264" i="26"/>
  <c r="P264" i="26"/>
  <c r="L265" i="26"/>
  <c r="N265" i="26"/>
  <c r="P265" i="26"/>
  <c r="L266" i="26"/>
  <c r="N266" i="26"/>
  <c r="P266" i="26"/>
  <c r="L267" i="26"/>
  <c r="N267" i="26"/>
  <c r="P267" i="26"/>
  <c r="L268" i="26"/>
  <c r="N268" i="26"/>
  <c r="P268" i="26"/>
  <c r="L269" i="26"/>
  <c r="N269" i="26"/>
  <c r="P269" i="26"/>
  <c r="L270" i="26"/>
  <c r="N270" i="26"/>
  <c r="P270" i="26"/>
  <c r="L271" i="26"/>
  <c r="N271" i="26"/>
  <c r="P271" i="26"/>
  <c r="L272" i="26"/>
  <c r="N272" i="26"/>
  <c r="P272" i="26"/>
  <c r="L273" i="26"/>
  <c r="N273" i="26"/>
  <c r="P273" i="26"/>
  <c r="L274" i="26"/>
  <c r="N274" i="26"/>
  <c r="P274" i="26"/>
  <c r="L275" i="26"/>
  <c r="N275" i="26"/>
  <c r="P275" i="26"/>
  <c r="L276" i="26"/>
  <c r="N276" i="26"/>
  <c r="P276" i="26"/>
  <c r="L277" i="26"/>
  <c r="N277" i="26"/>
  <c r="P277" i="26"/>
  <c r="L278" i="26"/>
  <c r="N278" i="26"/>
  <c r="P278" i="26"/>
  <c r="L279" i="26"/>
  <c r="N279" i="26"/>
  <c r="P279" i="26"/>
  <c r="L280" i="26"/>
  <c r="N280" i="26"/>
  <c r="P280" i="26"/>
  <c r="L281" i="26"/>
  <c r="N281" i="26"/>
  <c r="P281" i="26"/>
  <c r="L282" i="26"/>
  <c r="N282" i="26"/>
  <c r="P282" i="26"/>
  <c r="L283" i="26"/>
  <c r="N283" i="26"/>
  <c r="P283" i="26"/>
  <c r="L284" i="26"/>
  <c r="N284" i="26"/>
  <c r="P284" i="26"/>
  <c r="L285" i="26"/>
  <c r="N285" i="26"/>
  <c r="P285" i="26"/>
  <c r="L286" i="26"/>
  <c r="N286" i="26"/>
  <c r="P286" i="26"/>
  <c r="L287" i="26"/>
  <c r="N287" i="26"/>
  <c r="P287" i="26"/>
  <c r="L288" i="26"/>
  <c r="N288" i="26"/>
  <c r="P288" i="26"/>
  <c r="L289" i="26"/>
  <c r="N289" i="26"/>
  <c r="P289" i="26"/>
  <c r="L290" i="26"/>
  <c r="N290" i="26"/>
  <c r="P290" i="26"/>
  <c r="L291" i="26"/>
  <c r="N291" i="26"/>
  <c r="P291" i="26"/>
  <c r="L292" i="26"/>
  <c r="N292" i="26"/>
  <c r="P292" i="26"/>
  <c r="L293" i="26"/>
  <c r="N293" i="26"/>
  <c r="P293" i="26"/>
  <c r="L294" i="26"/>
  <c r="N294" i="26"/>
  <c r="P294" i="26"/>
  <c r="L295" i="26"/>
  <c r="N295" i="26"/>
  <c r="P295" i="26"/>
  <c r="L296" i="26"/>
  <c r="N296" i="26"/>
  <c r="P296" i="26"/>
  <c r="L297" i="26"/>
  <c r="N297" i="26"/>
  <c r="P297" i="26"/>
  <c r="L298" i="26"/>
  <c r="N298" i="26"/>
  <c r="P298" i="26"/>
  <c r="L299" i="26"/>
  <c r="N299" i="26"/>
  <c r="P299" i="26"/>
  <c r="L300" i="26"/>
  <c r="N300" i="26"/>
  <c r="P300" i="26"/>
  <c r="L301" i="26"/>
  <c r="N301" i="26"/>
  <c r="P301" i="26"/>
  <c r="L302" i="26"/>
  <c r="N302" i="26"/>
  <c r="P302" i="26"/>
  <c r="L303" i="26"/>
  <c r="N303" i="26"/>
  <c r="P303" i="26"/>
  <c r="L304" i="26"/>
  <c r="N304" i="26"/>
  <c r="P304" i="26"/>
  <c r="L305" i="26"/>
  <c r="N305" i="26"/>
  <c r="P305" i="26"/>
  <c r="L306" i="26"/>
  <c r="N306" i="26"/>
  <c r="P306" i="26"/>
  <c r="L307" i="26"/>
  <c r="N307" i="26"/>
  <c r="P307" i="26"/>
  <c r="L308" i="26"/>
  <c r="N308" i="26"/>
  <c r="P308" i="26"/>
  <c r="L309" i="26"/>
  <c r="N309" i="26"/>
  <c r="P309" i="26"/>
  <c r="L310" i="26"/>
  <c r="N310" i="26"/>
  <c r="P310" i="26"/>
  <c r="L311" i="26"/>
  <c r="N311" i="26"/>
  <c r="P311" i="26"/>
  <c r="L312" i="26"/>
  <c r="N312" i="26"/>
  <c r="P312" i="26"/>
  <c r="L313" i="26"/>
  <c r="N313" i="26"/>
  <c r="P313" i="26"/>
  <c r="L314" i="26"/>
  <c r="N314" i="26"/>
  <c r="P314" i="26"/>
  <c r="L315" i="26"/>
  <c r="N315" i="26"/>
  <c r="P315" i="26"/>
  <c r="L316" i="26"/>
  <c r="N316" i="26"/>
  <c r="P316" i="26"/>
  <c r="L317" i="26"/>
  <c r="N317" i="26"/>
  <c r="P317" i="26"/>
  <c r="L318" i="26"/>
  <c r="N318" i="26"/>
  <c r="P318" i="26"/>
  <c r="L319" i="26"/>
  <c r="N319" i="26"/>
  <c r="P319" i="26"/>
  <c r="L320" i="26"/>
  <c r="N320" i="26"/>
  <c r="P320" i="26"/>
  <c r="L321" i="26"/>
  <c r="N321" i="26"/>
  <c r="P321" i="26"/>
  <c r="L322" i="26"/>
  <c r="N322" i="26"/>
  <c r="P322" i="26"/>
  <c r="L323" i="26"/>
  <c r="N323" i="26"/>
  <c r="P323" i="26"/>
  <c r="L324" i="26"/>
  <c r="N324" i="26"/>
  <c r="P324" i="26"/>
  <c r="L325" i="26"/>
  <c r="N325" i="26"/>
  <c r="P325" i="26"/>
  <c r="L326" i="26"/>
  <c r="N326" i="26"/>
  <c r="P326" i="26"/>
  <c r="L327" i="26"/>
  <c r="N327" i="26"/>
  <c r="P327" i="26"/>
  <c r="L328" i="26"/>
  <c r="N328" i="26"/>
  <c r="P328" i="26"/>
  <c r="L329" i="26"/>
  <c r="N329" i="26"/>
  <c r="P329" i="26"/>
  <c r="L330" i="26"/>
  <c r="N330" i="26"/>
  <c r="P330" i="26"/>
  <c r="L331" i="26"/>
  <c r="N331" i="26"/>
  <c r="P331" i="26"/>
  <c r="L332" i="26"/>
  <c r="N332" i="26"/>
  <c r="P332" i="26"/>
  <c r="L333" i="26"/>
  <c r="N333" i="26"/>
  <c r="P333" i="26"/>
  <c r="L334" i="26"/>
  <c r="N334" i="26"/>
  <c r="P334" i="26"/>
  <c r="L335" i="26"/>
  <c r="N335" i="26"/>
  <c r="P335" i="26"/>
  <c r="L336" i="26"/>
  <c r="N336" i="26"/>
  <c r="P336" i="26"/>
  <c r="L337" i="26"/>
  <c r="N337" i="26"/>
  <c r="P337" i="26"/>
  <c r="L338" i="26"/>
  <c r="N338" i="26"/>
  <c r="P338" i="26"/>
  <c r="L339" i="26"/>
  <c r="N339" i="26"/>
  <c r="P339" i="26"/>
  <c r="L340" i="26"/>
  <c r="N340" i="26"/>
  <c r="P340" i="26"/>
  <c r="L341" i="26"/>
  <c r="N341" i="26"/>
  <c r="P341" i="26"/>
  <c r="L342" i="26"/>
  <c r="N342" i="26"/>
  <c r="P342" i="26"/>
  <c r="L343" i="26"/>
  <c r="N343" i="26"/>
  <c r="P343" i="26"/>
  <c r="L344" i="26"/>
  <c r="N344" i="26"/>
  <c r="P344" i="26"/>
  <c r="L345" i="26"/>
  <c r="N345" i="26"/>
  <c r="P345" i="26"/>
  <c r="L346" i="26"/>
  <c r="N346" i="26"/>
  <c r="P346" i="26"/>
  <c r="L347" i="26"/>
  <c r="N347" i="26"/>
  <c r="P347" i="26"/>
  <c r="L348" i="26"/>
  <c r="N348" i="26"/>
  <c r="P348" i="26"/>
  <c r="L349" i="26"/>
  <c r="N349" i="26"/>
  <c r="P349" i="26"/>
  <c r="L350" i="26"/>
  <c r="N350" i="26"/>
  <c r="P350" i="26"/>
  <c r="L351" i="26"/>
  <c r="N351" i="26"/>
  <c r="P351" i="26"/>
  <c r="L352" i="26"/>
  <c r="N352" i="26"/>
  <c r="P352" i="26"/>
  <c r="L353" i="26"/>
  <c r="N353" i="26"/>
  <c r="P353" i="26"/>
  <c r="L354" i="26"/>
  <c r="N354" i="26"/>
  <c r="P354" i="26"/>
  <c r="L355" i="26"/>
  <c r="N355" i="26"/>
  <c r="P355" i="26"/>
  <c r="L356" i="26"/>
  <c r="N356" i="26"/>
  <c r="P356" i="26"/>
  <c r="L357" i="26"/>
  <c r="N357" i="26"/>
  <c r="P357" i="26"/>
  <c r="L358" i="26"/>
  <c r="N358" i="26"/>
  <c r="P358" i="26"/>
  <c r="L359" i="26"/>
  <c r="N359" i="26"/>
  <c r="P359" i="26"/>
  <c r="L360" i="26"/>
  <c r="N360" i="26"/>
  <c r="P360" i="26"/>
  <c r="L361" i="26"/>
  <c r="N361" i="26"/>
  <c r="P361" i="26"/>
  <c r="L362" i="26"/>
  <c r="N362" i="26"/>
  <c r="P362" i="26"/>
  <c r="L363" i="26"/>
  <c r="N363" i="26"/>
  <c r="P363" i="26"/>
  <c r="L364" i="26"/>
  <c r="N364" i="26"/>
  <c r="P364" i="26"/>
  <c r="L365" i="26"/>
  <c r="N365" i="26"/>
  <c r="P365" i="26"/>
  <c r="L366" i="26"/>
  <c r="N366" i="26"/>
  <c r="P366" i="26"/>
  <c r="L367" i="26"/>
  <c r="N367" i="26"/>
  <c r="P367" i="26"/>
  <c r="L368" i="26"/>
  <c r="N368" i="26"/>
  <c r="P368" i="26"/>
  <c r="L369" i="26"/>
  <c r="N369" i="26"/>
  <c r="P369" i="26"/>
  <c r="L370" i="26"/>
  <c r="N370" i="26"/>
  <c r="P370" i="26"/>
  <c r="L371" i="26"/>
  <c r="N371" i="26"/>
  <c r="P371" i="26"/>
  <c r="L372" i="26"/>
  <c r="N372" i="26"/>
  <c r="P372" i="26"/>
  <c r="L373" i="26"/>
  <c r="N373" i="26"/>
  <c r="P373" i="26"/>
  <c r="L374" i="26"/>
  <c r="N374" i="26"/>
  <c r="P374" i="26"/>
  <c r="L375" i="26"/>
  <c r="N375" i="26"/>
  <c r="P375" i="26"/>
  <c r="L376" i="26"/>
  <c r="N376" i="26"/>
  <c r="P376" i="26"/>
  <c r="L377" i="26"/>
  <c r="N377" i="26"/>
  <c r="P377" i="26"/>
  <c r="L378" i="26"/>
  <c r="N378" i="26"/>
  <c r="P378" i="26"/>
  <c r="L379" i="26"/>
  <c r="N379" i="26"/>
  <c r="P379" i="26"/>
  <c r="L380" i="26"/>
  <c r="N380" i="26"/>
  <c r="P380" i="26"/>
  <c r="L381" i="26"/>
  <c r="N381" i="26"/>
  <c r="P381" i="26"/>
  <c r="L382" i="26"/>
  <c r="N382" i="26"/>
  <c r="P382" i="26"/>
  <c r="L383" i="26"/>
  <c r="N383" i="26"/>
  <c r="P383" i="26"/>
  <c r="L384" i="26"/>
  <c r="N384" i="26"/>
  <c r="P384" i="26"/>
  <c r="L385" i="26"/>
  <c r="N385" i="26"/>
  <c r="P385" i="26"/>
  <c r="L386" i="26"/>
  <c r="N386" i="26"/>
  <c r="P386" i="26"/>
  <c r="L387" i="26"/>
  <c r="N387" i="26"/>
  <c r="P387" i="26"/>
  <c r="L388" i="26"/>
  <c r="N388" i="26"/>
  <c r="P388" i="26"/>
  <c r="L389" i="26"/>
  <c r="N389" i="26"/>
  <c r="P389" i="26"/>
  <c r="L390" i="26"/>
  <c r="N390" i="26"/>
  <c r="P390" i="26"/>
  <c r="L391" i="26"/>
  <c r="N391" i="26"/>
  <c r="P391" i="26"/>
  <c r="L392" i="26"/>
  <c r="N392" i="26"/>
  <c r="P392" i="26"/>
  <c r="L393" i="26"/>
  <c r="N393" i="26"/>
  <c r="P393" i="26"/>
  <c r="L394" i="26"/>
  <c r="N394" i="26"/>
  <c r="P394" i="26"/>
  <c r="L395" i="26"/>
  <c r="N395" i="26"/>
  <c r="P395" i="26"/>
  <c r="L396" i="26"/>
  <c r="N396" i="26"/>
  <c r="P396" i="26"/>
  <c r="L397" i="26"/>
  <c r="N397" i="26"/>
  <c r="P397" i="26"/>
  <c r="L398" i="26"/>
  <c r="N398" i="26"/>
  <c r="P398" i="26"/>
  <c r="L399" i="26"/>
  <c r="N399" i="26"/>
  <c r="P399" i="26"/>
  <c r="L400" i="26"/>
  <c r="N400" i="26"/>
  <c r="P400" i="26"/>
  <c r="L401" i="26"/>
  <c r="N401" i="26"/>
  <c r="P401" i="26"/>
  <c r="L402" i="26"/>
  <c r="N402" i="26"/>
  <c r="P402" i="26"/>
  <c r="L403" i="26"/>
  <c r="N403" i="26"/>
  <c r="P403" i="26"/>
  <c r="L404" i="26"/>
  <c r="N404" i="26"/>
  <c r="P404" i="26"/>
  <c r="L405" i="26"/>
  <c r="N405" i="26"/>
  <c r="P405" i="26"/>
  <c r="L406" i="26"/>
  <c r="N406" i="26"/>
  <c r="P406" i="26"/>
  <c r="L407" i="26"/>
  <c r="N407" i="26"/>
  <c r="P407" i="26"/>
  <c r="L408" i="26"/>
  <c r="N408" i="26"/>
  <c r="P408" i="26"/>
  <c r="L409" i="26"/>
  <c r="N409" i="26"/>
  <c r="P409" i="26"/>
  <c r="L410" i="26"/>
  <c r="N410" i="26"/>
  <c r="P410" i="26"/>
  <c r="L411" i="26"/>
  <c r="N411" i="26"/>
  <c r="P411" i="26"/>
  <c r="L412" i="26"/>
  <c r="N412" i="26"/>
  <c r="P412" i="26"/>
  <c r="L413" i="26"/>
  <c r="N413" i="26"/>
  <c r="P413" i="26"/>
  <c r="L414" i="26"/>
  <c r="N414" i="26"/>
  <c r="P414" i="26"/>
  <c r="L415" i="26"/>
  <c r="N415" i="26"/>
  <c r="P415" i="26"/>
  <c r="L416" i="26"/>
  <c r="N416" i="26"/>
  <c r="P416" i="26"/>
  <c r="L417" i="26"/>
  <c r="N417" i="26"/>
  <c r="P417" i="26"/>
  <c r="L418" i="26"/>
  <c r="N418" i="26"/>
  <c r="P418" i="26"/>
  <c r="L419" i="26"/>
  <c r="N419" i="26"/>
  <c r="P419" i="26"/>
  <c r="L420" i="26"/>
  <c r="N420" i="26"/>
  <c r="P420" i="26"/>
  <c r="L421" i="26"/>
  <c r="N421" i="26"/>
  <c r="P421" i="26"/>
  <c r="L422" i="26"/>
  <c r="N422" i="26"/>
  <c r="P422" i="26"/>
  <c r="L423" i="26"/>
  <c r="N423" i="26"/>
  <c r="P423" i="26"/>
  <c r="L424" i="26"/>
  <c r="N424" i="26"/>
  <c r="P424" i="26"/>
  <c r="L425" i="26"/>
  <c r="N425" i="26"/>
  <c r="P425" i="26"/>
  <c r="L426" i="26"/>
  <c r="N426" i="26"/>
  <c r="P426" i="26"/>
  <c r="L427" i="26"/>
  <c r="N427" i="26"/>
  <c r="P427" i="26"/>
  <c r="L428" i="26"/>
  <c r="N428" i="26"/>
  <c r="P428" i="26"/>
  <c r="L429" i="26"/>
  <c r="N429" i="26"/>
  <c r="P429" i="26"/>
  <c r="L430" i="26"/>
  <c r="N430" i="26"/>
  <c r="P430" i="26"/>
  <c r="L431" i="26"/>
  <c r="N431" i="26"/>
  <c r="P431" i="26"/>
  <c r="L432" i="26"/>
  <c r="N432" i="26"/>
  <c r="P432" i="26"/>
  <c r="L433" i="26"/>
  <c r="N433" i="26"/>
  <c r="P433" i="26"/>
  <c r="L434" i="26"/>
  <c r="N434" i="26"/>
  <c r="P434" i="26"/>
  <c r="L435" i="26"/>
  <c r="N435" i="26"/>
  <c r="P435" i="26"/>
  <c r="L436" i="26"/>
  <c r="N436" i="26"/>
  <c r="P436" i="26"/>
  <c r="L437" i="26"/>
  <c r="N437" i="26"/>
  <c r="P437" i="26"/>
  <c r="L438" i="26"/>
  <c r="N438" i="26"/>
  <c r="P438" i="26"/>
  <c r="L439" i="26"/>
  <c r="N439" i="26"/>
  <c r="P439" i="26"/>
  <c r="L440" i="26"/>
  <c r="N440" i="26"/>
  <c r="P440" i="26"/>
  <c r="L441" i="26"/>
  <c r="N441" i="26"/>
  <c r="P441" i="26"/>
  <c r="L442" i="26"/>
  <c r="N442" i="26"/>
  <c r="P442" i="26"/>
  <c r="L443" i="26"/>
  <c r="N443" i="26"/>
  <c r="P443" i="26"/>
  <c r="L444" i="26"/>
  <c r="N444" i="26"/>
  <c r="P444" i="26"/>
  <c r="L445" i="26"/>
  <c r="N445" i="26"/>
  <c r="P445" i="26"/>
  <c r="L446" i="26"/>
  <c r="N446" i="26"/>
  <c r="P446" i="26"/>
  <c r="L447" i="26"/>
  <c r="N447" i="26"/>
  <c r="P447" i="26"/>
  <c r="L448" i="26"/>
  <c r="N448" i="26"/>
  <c r="P448" i="26"/>
  <c r="L449" i="26"/>
  <c r="N449" i="26"/>
  <c r="P449" i="26"/>
  <c r="L450" i="26"/>
  <c r="N450" i="26"/>
  <c r="P450" i="26"/>
  <c r="L451" i="26"/>
  <c r="N451" i="26"/>
  <c r="P451" i="26"/>
  <c r="L452" i="26"/>
  <c r="N452" i="26"/>
  <c r="P452" i="26"/>
  <c r="L453" i="26"/>
  <c r="N453" i="26"/>
  <c r="P453" i="26"/>
  <c r="L454" i="26"/>
  <c r="N454" i="26"/>
  <c r="P454" i="26"/>
  <c r="L455" i="26"/>
  <c r="N455" i="26"/>
  <c r="P455" i="26"/>
  <c r="L456" i="26"/>
  <c r="N456" i="26"/>
  <c r="P456" i="26"/>
  <c r="L457" i="26"/>
  <c r="N457" i="26"/>
  <c r="P457" i="26"/>
  <c r="L458" i="26"/>
  <c r="N458" i="26"/>
  <c r="P458" i="26"/>
  <c r="L459" i="26"/>
  <c r="N459" i="26"/>
  <c r="P459" i="26"/>
  <c r="L460" i="26"/>
  <c r="N460" i="26"/>
  <c r="P460" i="26"/>
  <c r="L461" i="26"/>
  <c r="N461" i="26"/>
  <c r="P461" i="26"/>
  <c r="L462" i="26"/>
  <c r="N462" i="26"/>
  <c r="P462" i="26"/>
  <c r="L463" i="26"/>
  <c r="N463" i="26"/>
  <c r="P463" i="26"/>
  <c r="L464" i="26"/>
  <c r="N464" i="26"/>
  <c r="P464" i="26"/>
  <c r="L465" i="26"/>
  <c r="N465" i="26"/>
  <c r="P465" i="26"/>
  <c r="L466" i="26"/>
  <c r="N466" i="26"/>
  <c r="P466" i="26"/>
  <c r="L467" i="26"/>
  <c r="N467" i="26"/>
  <c r="P467" i="26"/>
  <c r="L468" i="26"/>
  <c r="N468" i="26"/>
  <c r="P468" i="26"/>
  <c r="L469" i="26"/>
  <c r="N469" i="26"/>
  <c r="P469" i="26"/>
  <c r="L470" i="26"/>
  <c r="N470" i="26"/>
  <c r="P470" i="26"/>
  <c r="L471" i="26"/>
  <c r="N471" i="26"/>
  <c r="P471" i="26"/>
  <c r="L472" i="26"/>
  <c r="N472" i="26"/>
  <c r="P472" i="26"/>
  <c r="L473" i="26"/>
  <c r="N473" i="26"/>
  <c r="P473" i="26"/>
  <c r="L474" i="26"/>
  <c r="N474" i="26"/>
  <c r="P474" i="26"/>
  <c r="L475" i="26"/>
  <c r="N475" i="26"/>
  <c r="P475" i="26"/>
  <c r="L476" i="26"/>
  <c r="N476" i="26"/>
  <c r="P476" i="26"/>
  <c r="L477" i="26"/>
  <c r="N477" i="26"/>
  <c r="P477" i="26"/>
  <c r="L478" i="26"/>
  <c r="N478" i="26"/>
  <c r="P478" i="26"/>
  <c r="L479" i="26"/>
  <c r="N479" i="26"/>
  <c r="P479" i="26"/>
  <c r="L480" i="26"/>
  <c r="N480" i="26"/>
  <c r="P480" i="26"/>
  <c r="L481" i="26"/>
  <c r="N481" i="26"/>
  <c r="P481" i="26"/>
  <c r="L482" i="26"/>
  <c r="N482" i="26"/>
  <c r="P482" i="26"/>
  <c r="L483" i="26"/>
  <c r="N483" i="26"/>
  <c r="P483" i="26"/>
  <c r="L484" i="26"/>
  <c r="N484" i="26"/>
  <c r="P484" i="26"/>
  <c r="L485" i="26"/>
  <c r="N485" i="26"/>
  <c r="P485" i="26"/>
  <c r="L486" i="26"/>
  <c r="N486" i="26"/>
  <c r="P486" i="26"/>
  <c r="L487" i="26"/>
  <c r="N487" i="26"/>
  <c r="P487" i="26"/>
  <c r="L488" i="26"/>
  <c r="N488" i="26"/>
  <c r="P488" i="26"/>
  <c r="L489" i="26"/>
  <c r="N489" i="26"/>
  <c r="P489" i="26"/>
  <c r="L490" i="26"/>
  <c r="N490" i="26"/>
  <c r="P490" i="26"/>
  <c r="L491" i="26"/>
  <c r="N491" i="26"/>
  <c r="P491" i="26"/>
  <c r="L492" i="26"/>
  <c r="N492" i="26"/>
  <c r="P492" i="26"/>
  <c r="L493" i="26"/>
  <c r="N493" i="26"/>
  <c r="P493" i="26"/>
  <c r="L494" i="26"/>
  <c r="N494" i="26"/>
  <c r="P494" i="26"/>
  <c r="L495" i="26"/>
  <c r="N495" i="26"/>
  <c r="P495" i="26"/>
  <c r="L496" i="26"/>
  <c r="N496" i="26"/>
  <c r="P496" i="26"/>
  <c r="L497" i="26"/>
  <c r="N497" i="26"/>
  <c r="P497" i="26"/>
  <c r="L498" i="26"/>
  <c r="N498" i="26"/>
  <c r="P498" i="26"/>
  <c r="L499" i="26"/>
  <c r="N499" i="26"/>
  <c r="P499" i="26"/>
  <c r="L500" i="26"/>
  <c r="N500" i="26"/>
  <c r="P500" i="26"/>
  <c r="L501" i="26"/>
  <c r="N501" i="26"/>
  <c r="P501" i="26"/>
  <c r="L502" i="26"/>
  <c r="N502" i="26"/>
  <c r="P502" i="26"/>
  <c r="L503" i="26"/>
  <c r="N503" i="26"/>
  <c r="P503" i="26"/>
  <c r="L504" i="26"/>
  <c r="N504" i="26"/>
  <c r="P504" i="26"/>
  <c r="L505" i="26"/>
  <c r="N505" i="26"/>
  <c r="P505" i="26"/>
  <c r="L506" i="26"/>
  <c r="N506" i="26"/>
  <c r="P506" i="26"/>
  <c r="L507" i="26"/>
  <c r="N507" i="26"/>
  <c r="P507" i="26"/>
  <c r="L508" i="26"/>
  <c r="N508" i="26"/>
  <c r="P508" i="26"/>
  <c r="L509" i="26"/>
  <c r="N509" i="26"/>
  <c r="P509" i="26"/>
  <c r="L510" i="26"/>
  <c r="N510" i="26"/>
  <c r="P510" i="26"/>
  <c r="L511" i="26"/>
  <c r="N511" i="26"/>
  <c r="P511" i="26"/>
  <c r="L512" i="26"/>
  <c r="N512" i="26"/>
  <c r="P512" i="26"/>
  <c r="L513" i="26"/>
  <c r="N513" i="26"/>
  <c r="P513" i="26"/>
  <c r="L514" i="26"/>
  <c r="N514" i="26"/>
  <c r="P514" i="26"/>
  <c r="L515" i="26"/>
  <c r="N515" i="26"/>
  <c r="P515" i="26"/>
  <c r="L516" i="26"/>
  <c r="N516" i="26"/>
  <c r="P516" i="26"/>
  <c r="L517" i="26"/>
  <c r="N517" i="26"/>
  <c r="P517" i="26"/>
  <c r="L518" i="26"/>
  <c r="N518" i="26"/>
  <c r="P518" i="26"/>
  <c r="L519" i="26"/>
  <c r="N519" i="26"/>
  <c r="P519" i="26"/>
  <c r="L520" i="26"/>
  <c r="N520" i="26"/>
  <c r="P520" i="26"/>
  <c r="L521" i="26"/>
  <c r="N521" i="26"/>
  <c r="P521" i="26"/>
  <c r="L522" i="26"/>
  <c r="N522" i="26"/>
  <c r="P522" i="26"/>
  <c r="L523" i="26"/>
  <c r="N523" i="26"/>
  <c r="P523" i="26"/>
  <c r="L524" i="26"/>
  <c r="N524" i="26"/>
  <c r="P524" i="26"/>
  <c r="L525" i="26"/>
  <c r="N525" i="26"/>
  <c r="P525" i="26"/>
  <c r="L526" i="26"/>
  <c r="N526" i="26"/>
  <c r="P526" i="26"/>
  <c r="L527" i="26"/>
  <c r="N527" i="26"/>
  <c r="P527" i="26"/>
  <c r="L528" i="26"/>
  <c r="N528" i="26"/>
  <c r="P528" i="26"/>
  <c r="L529" i="26"/>
  <c r="N529" i="26"/>
  <c r="P529" i="26"/>
  <c r="L530" i="26"/>
  <c r="N530" i="26"/>
  <c r="P530" i="26"/>
  <c r="L531" i="26"/>
  <c r="N531" i="26"/>
  <c r="P531" i="26"/>
  <c r="L532" i="26"/>
  <c r="N532" i="26"/>
  <c r="P532" i="26"/>
  <c r="L533" i="26"/>
  <c r="N533" i="26"/>
  <c r="P533" i="26"/>
  <c r="L534" i="26"/>
  <c r="N534" i="26"/>
  <c r="P534" i="26"/>
  <c r="L535" i="26"/>
  <c r="N535" i="26"/>
  <c r="P535" i="26"/>
  <c r="L536" i="26"/>
  <c r="N536" i="26"/>
  <c r="P536" i="26"/>
  <c r="L537" i="26"/>
  <c r="N537" i="26"/>
  <c r="P537" i="26"/>
  <c r="L538" i="26"/>
  <c r="N538" i="26"/>
  <c r="P538" i="26"/>
  <c r="L539" i="26"/>
  <c r="N539" i="26"/>
  <c r="P539" i="26"/>
  <c r="L540" i="26"/>
  <c r="N540" i="26"/>
  <c r="P540" i="26"/>
  <c r="L541" i="26"/>
  <c r="N541" i="26"/>
  <c r="P541" i="26"/>
  <c r="L542" i="26"/>
  <c r="N542" i="26"/>
  <c r="P542" i="26"/>
  <c r="L543" i="26"/>
  <c r="N543" i="26"/>
  <c r="P543" i="26"/>
  <c r="L544" i="26"/>
  <c r="N544" i="26"/>
  <c r="P544" i="26"/>
  <c r="L545" i="26"/>
  <c r="N545" i="26"/>
  <c r="P545" i="26"/>
  <c r="L546" i="26"/>
  <c r="N546" i="26"/>
  <c r="P546" i="26"/>
  <c r="L547" i="26"/>
  <c r="N547" i="26"/>
  <c r="P547" i="26"/>
  <c r="L548" i="26"/>
  <c r="N548" i="26"/>
  <c r="P548" i="26"/>
  <c r="L549" i="26"/>
  <c r="N549" i="26"/>
  <c r="P549" i="26"/>
  <c r="L550" i="26"/>
  <c r="N550" i="26"/>
  <c r="P550" i="26"/>
  <c r="L551" i="26"/>
  <c r="N551" i="26"/>
  <c r="P551" i="26"/>
  <c r="L552" i="26"/>
  <c r="N552" i="26"/>
  <c r="P552" i="26"/>
  <c r="L553" i="26"/>
  <c r="N553" i="26"/>
  <c r="P553" i="26"/>
  <c r="L554" i="26"/>
  <c r="N554" i="26"/>
  <c r="P554" i="26"/>
  <c r="L555" i="26"/>
  <c r="N555" i="26"/>
  <c r="P555" i="26"/>
  <c r="L556" i="26"/>
  <c r="N556" i="26"/>
  <c r="P556" i="26"/>
  <c r="L557" i="26"/>
  <c r="N557" i="26"/>
  <c r="P557" i="26"/>
  <c r="L558" i="26"/>
  <c r="N558" i="26"/>
  <c r="P558" i="26"/>
  <c r="L559" i="26"/>
  <c r="N559" i="26"/>
  <c r="P559" i="26"/>
  <c r="L560" i="26"/>
  <c r="N560" i="26"/>
  <c r="P560" i="26"/>
  <c r="L561" i="26"/>
  <c r="N561" i="26"/>
  <c r="P561" i="26"/>
  <c r="L562" i="26"/>
  <c r="N562" i="26"/>
  <c r="P562" i="26"/>
  <c r="L563" i="26"/>
  <c r="N563" i="26"/>
  <c r="P563" i="26"/>
  <c r="L564" i="26"/>
  <c r="N564" i="26"/>
  <c r="P564" i="26"/>
  <c r="L565" i="26"/>
  <c r="N565" i="26"/>
  <c r="P565" i="26"/>
  <c r="L566" i="26"/>
  <c r="N566" i="26"/>
  <c r="P566" i="26"/>
  <c r="L567" i="26"/>
  <c r="N567" i="26"/>
  <c r="P567" i="26"/>
  <c r="L568" i="26"/>
  <c r="N568" i="26"/>
  <c r="P568" i="26"/>
  <c r="L569" i="26"/>
  <c r="N569" i="26"/>
  <c r="P569" i="26"/>
  <c r="L570" i="26"/>
  <c r="N570" i="26"/>
  <c r="P570" i="26"/>
  <c r="L571" i="26"/>
  <c r="N571" i="26"/>
  <c r="P571" i="26"/>
  <c r="L572" i="26"/>
  <c r="N572" i="26"/>
  <c r="P572" i="26"/>
  <c r="L573" i="26"/>
  <c r="N573" i="26"/>
  <c r="P573" i="26"/>
  <c r="L574" i="26"/>
  <c r="N574" i="26"/>
  <c r="P574" i="26"/>
  <c r="L575" i="26"/>
  <c r="N575" i="26"/>
  <c r="P575" i="26"/>
  <c r="L576" i="26"/>
  <c r="N576" i="26"/>
  <c r="P576" i="26"/>
  <c r="L577" i="26"/>
  <c r="N577" i="26"/>
  <c r="P577" i="26"/>
  <c r="L578" i="26"/>
  <c r="N578" i="26"/>
  <c r="P578" i="26"/>
  <c r="L579" i="26"/>
  <c r="N579" i="26"/>
  <c r="P579" i="26"/>
  <c r="L580" i="26"/>
  <c r="N580" i="26"/>
  <c r="P580" i="26"/>
  <c r="L581" i="26"/>
  <c r="N581" i="26"/>
  <c r="P581" i="26"/>
  <c r="L582" i="26"/>
  <c r="N582" i="26"/>
  <c r="P582" i="26"/>
  <c r="L583" i="26"/>
  <c r="N583" i="26"/>
  <c r="P583" i="26"/>
  <c r="L584" i="26"/>
  <c r="N584" i="26"/>
  <c r="P584" i="26"/>
  <c r="L585" i="26"/>
  <c r="N585" i="26"/>
  <c r="P585" i="26"/>
  <c r="L586" i="26"/>
  <c r="N586" i="26"/>
  <c r="P586" i="26"/>
  <c r="L587" i="26"/>
  <c r="N587" i="26"/>
  <c r="P587" i="26"/>
  <c r="L588" i="26"/>
  <c r="N588" i="26"/>
  <c r="P588" i="26"/>
  <c r="L589" i="26"/>
  <c r="N589" i="26"/>
  <c r="P589" i="26"/>
  <c r="L590" i="26"/>
  <c r="N590" i="26"/>
  <c r="P590" i="26"/>
  <c r="L591" i="26"/>
  <c r="N591" i="26"/>
  <c r="P591" i="26"/>
  <c r="L592" i="26"/>
  <c r="N592" i="26"/>
  <c r="P592" i="26"/>
  <c r="L593" i="26"/>
  <c r="N593" i="26"/>
  <c r="P593" i="26"/>
  <c r="L594" i="26"/>
  <c r="N594" i="26"/>
  <c r="P594" i="26"/>
  <c r="L595" i="26"/>
  <c r="N595" i="26"/>
  <c r="P595" i="26"/>
  <c r="L596" i="26"/>
  <c r="N596" i="26"/>
  <c r="P596" i="26"/>
  <c r="L597" i="26"/>
  <c r="N597" i="26"/>
  <c r="P597" i="26"/>
  <c r="L598" i="26"/>
  <c r="N598" i="26"/>
  <c r="P598" i="26"/>
  <c r="L599" i="26"/>
  <c r="N599" i="26"/>
  <c r="P599" i="26"/>
  <c r="L600" i="26"/>
  <c r="N600" i="26"/>
  <c r="P600" i="26"/>
  <c r="L601" i="26"/>
  <c r="N601" i="26"/>
  <c r="P601" i="26"/>
  <c r="L602" i="26"/>
  <c r="N602" i="26"/>
  <c r="P602" i="26"/>
  <c r="L603" i="26"/>
  <c r="N603" i="26"/>
  <c r="P603" i="26"/>
  <c r="L604" i="26"/>
  <c r="N604" i="26"/>
  <c r="P604" i="26"/>
  <c r="L605" i="26"/>
  <c r="N605" i="26"/>
  <c r="P605" i="26"/>
  <c r="L606" i="26"/>
  <c r="N606" i="26"/>
  <c r="P606" i="26"/>
  <c r="L607" i="26"/>
  <c r="N607" i="26"/>
  <c r="P607" i="26"/>
  <c r="L608" i="26"/>
  <c r="N608" i="26"/>
  <c r="P608" i="26"/>
  <c r="L609" i="26"/>
  <c r="N609" i="26"/>
  <c r="P609" i="26"/>
  <c r="L610" i="26"/>
  <c r="N610" i="26"/>
  <c r="P610" i="26"/>
  <c r="L611" i="26"/>
  <c r="N611" i="26"/>
  <c r="P611" i="26"/>
  <c r="L612" i="26"/>
  <c r="N612" i="26"/>
  <c r="P612" i="26"/>
  <c r="L613" i="26"/>
  <c r="N613" i="26"/>
  <c r="P613" i="26"/>
  <c r="L614" i="26"/>
  <c r="N614" i="26"/>
  <c r="P614" i="26"/>
  <c r="L615" i="26"/>
  <c r="N615" i="26"/>
  <c r="P615" i="26"/>
  <c r="L616" i="26"/>
  <c r="N616" i="26"/>
  <c r="P616" i="26"/>
  <c r="L617" i="26"/>
  <c r="N617" i="26"/>
  <c r="P617" i="26"/>
  <c r="L618" i="26"/>
  <c r="N618" i="26"/>
  <c r="P618" i="26"/>
  <c r="L619" i="26"/>
  <c r="N619" i="26"/>
  <c r="P619" i="26"/>
  <c r="L620" i="26"/>
  <c r="N620" i="26"/>
  <c r="P620" i="26"/>
  <c r="L621" i="26"/>
  <c r="N621" i="26"/>
  <c r="P621" i="26"/>
  <c r="L622" i="26"/>
  <c r="N622" i="26"/>
  <c r="P622" i="26"/>
  <c r="L623" i="26"/>
  <c r="N623" i="26"/>
  <c r="P623" i="26"/>
  <c r="L624" i="26"/>
  <c r="N624" i="26"/>
  <c r="P624" i="26"/>
  <c r="L625" i="26"/>
  <c r="N625" i="26"/>
  <c r="P625" i="26"/>
  <c r="L626" i="26"/>
  <c r="N626" i="26"/>
  <c r="P626" i="26"/>
  <c r="L627" i="26"/>
  <c r="N627" i="26"/>
  <c r="P627" i="26"/>
  <c r="L628" i="26"/>
  <c r="N628" i="26"/>
  <c r="P628" i="26"/>
  <c r="L629" i="26"/>
  <c r="N629" i="26"/>
  <c r="P629" i="26"/>
  <c r="L630" i="26"/>
  <c r="N630" i="26"/>
  <c r="P630" i="26"/>
  <c r="L631" i="26"/>
  <c r="N631" i="26"/>
  <c r="P631" i="26"/>
  <c r="L632" i="26"/>
  <c r="N632" i="26"/>
  <c r="P632" i="26"/>
  <c r="L633" i="26"/>
  <c r="N633" i="26"/>
  <c r="P633" i="26"/>
  <c r="L634" i="26"/>
  <c r="N634" i="26"/>
  <c r="P634" i="26"/>
  <c r="L635" i="26"/>
  <c r="N635" i="26"/>
  <c r="P635" i="26"/>
  <c r="L636" i="26"/>
  <c r="N636" i="26"/>
  <c r="P636" i="26"/>
  <c r="L637" i="26"/>
  <c r="N637" i="26"/>
  <c r="P637" i="26"/>
  <c r="L638" i="26"/>
  <c r="N638" i="26"/>
  <c r="P638" i="26"/>
  <c r="L639" i="26"/>
  <c r="N639" i="26"/>
  <c r="P639" i="26"/>
  <c r="L640" i="26"/>
  <c r="N640" i="26"/>
  <c r="P640" i="26"/>
  <c r="L641" i="26"/>
  <c r="N641" i="26"/>
  <c r="P641" i="26"/>
  <c r="L642" i="26"/>
  <c r="N642" i="26"/>
  <c r="P642" i="26"/>
  <c r="L643" i="26"/>
  <c r="N643" i="26"/>
  <c r="P643" i="26"/>
  <c r="L644" i="26"/>
  <c r="N644" i="26"/>
  <c r="P644" i="26"/>
  <c r="L645" i="26"/>
  <c r="N645" i="26"/>
  <c r="P645" i="26"/>
  <c r="L646" i="26"/>
  <c r="N646" i="26"/>
  <c r="P646" i="26"/>
  <c r="L647" i="26"/>
  <c r="N647" i="26"/>
  <c r="P647" i="26"/>
  <c r="L648" i="26"/>
  <c r="N648" i="26"/>
  <c r="P648" i="26"/>
  <c r="L649" i="26"/>
  <c r="N649" i="26"/>
  <c r="P649" i="26"/>
  <c r="L650" i="26"/>
  <c r="N650" i="26"/>
  <c r="P650" i="26"/>
  <c r="L651" i="26"/>
  <c r="N651" i="26"/>
  <c r="P651" i="26"/>
  <c r="L652" i="26"/>
  <c r="N652" i="26"/>
  <c r="P652" i="26"/>
  <c r="L653" i="26"/>
  <c r="N653" i="26"/>
  <c r="P653" i="26"/>
  <c r="L654" i="26"/>
  <c r="N654" i="26"/>
  <c r="P654" i="26"/>
  <c r="L655" i="26"/>
  <c r="N655" i="26"/>
  <c r="P655" i="26"/>
  <c r="L656" i="26"/>
  <c r="N656" i="26"/>
  <c r="P656" i="26"/>
  <c r="L657" i="26"/>
  <c r="N657" i="26"/>
  <c r="P657" i="26"/>
  <c r="L658" i="26"/>
  <c r="N658" i="26"/>
  <c r="P658" i="26"/>
  <c r="L659" i="26"/>
  <c r="N659" i="26"/>
  <c r="P659" i="26"/>
  <c r="L660" i="26"/>
  <c r="N660" i="26"/>
  <c r="P660" i="26"/>
  <c r="L661" i="26"/>
  <c r="N661" i="26"/>
  <c r="P661" i="26"/>
  <c r="L662" i="26"/>
  <c r="N662" i="26"/>
  <c r="P662" i="26"/>
  <c r="L663" i="26"/>
  <c r="N663" i="26"/>
  <c r="P663" i="26"/>
  <c r="L664" i="26"/>
  <c r="N664" i="26"/>
  <c r="P664" i="26"/>
  <c r="L665" i="26"/>
  <c r="N665" i="26"/>
  <c r="P665" i="26"/>
  <c r="L666" i="26"/>
  <c r="N666" i="26"/>
  <c r="P666" i="26"/>
  <c r="L667" i="26"/>
  <c r="N667" i="26"/>
  <c r="P667" i="26"/>
  <c r="L668" i="26"/>
  <c r="N668" i="26"/>
  <c r="P668" i="26"/>
  <c r="L669" i="26"/>
  <c r="N669" i="26"/>
  <c r="P669" i="26"/>
  <c r="L670" i="26"/>
  <c r="N670" i="26"/>
  <c r="P670" i="26"/>
  <c r="L671" i="26"/>
  <c r="N671" i="26"/>
  <c r="P671" i="26"/>
  <c r="L672" i="26"/>
  <c r="N672" i="26"/>
  <c r="P672" i="26"/>
  <c r="L673" i="26"/>
  <c r="N673" i="26"/>
  <c r="P673" i="26"/>
  <c r="L674" i="26"/>
  <c r="N674" i="26"/>
  <c r="P674" i="26"/>
  <c r="L675" i="26"/>
  <c r="N675" i="26"/>
  <c r="P675" i="26"/>
  <c r="L676" i="26"/>
  <c r="N676" i="26"/>
  <c r="P676" i="26"/>
  <c r="L677" i="26"/>
  <c r="N677" i="26"/>
  <c r="P677" i="26"/>
  <c r="L678" i="26"/>
  <c r="N678" i="26"/>
  <c r="P678" i="26"/>
  <c r="L679" i="26"/>
  <c r="N679" i="26"/>
  <c r="P679" i="26"/>
  <c r="L680" i="26"/>
  <c r="N680" i="26"/>
  <c r="P680" i="26"/>
  <c r="L681" i="26"/>
  <c r="N681" i="26"/>
  <c r="P681" i="26"/>
  <c r="L682" i="26"/>
  <c r="N682" i="26"/>
  <c r="P682" i="26"/>
  <c r="L683" i="26"/>
  <c r="N683" i="26"/>
  <c r="P683" i="26"/>
  <c r="L684" i="26"/>
  <c r="N684" i="26"/>
  <c r="P684" i="26"/>
  <c r="L685" i="26"/>
  <c r="N685" i="26"/>
  <c r="P685" i="26"/>
  <c r="L686" i="26"/>
  <c r="N686" i="26"/>
  <c r="P686" i="26"/>
  <c r="L687" i="26"/>
  <c r="N687" i="26"/>
  <c r="P687" i="26"/>
  <c r="L688" i="26"/>
  <c r="N688" i="26"/>
  <c r="P688" i="26"/>
  <c r="L689" i="26"/>
  <c r="N689" i="26"/>
  <c r="P689" i="26"/>
  <c r="L690" i="26"/>
  <c r="N690" i="26"/>
  <c r="P690" i="26"/>
  <c r="L691" i="26"/>
  <c r="N691" i="26"/>
  <c r="P691" i="26"/>
  <c r="L692" i="26"/>
  <c r="N692" i="26"/>
  <c r="P692" i="26"/>
  <c r="L693" i="26"/>
  <c r="N693" i="26"/>
  <c r="P693" i="26"/>
  <c r="L694" i="26"/>
  <c r="N694" i="26"/>
  <c r="P694" i="26"/>
  <c r="L695" i="26"/>
  <c r="N695" i="26"/>
  <c r="P695" i="26"/>
  <c r="L696" i="26"/>
  <c r="N696" i="26"/>
  <c r="P696" i="26"/>
  <c r="L697" i="26"/>
  <c r="N697" i="26"/>
  <c r="P697" i="26"/>
  <c r="L698" i="26"/>
  <c r="N698" i="26"/>
  <c r="P698" i="26"/>
  <c r="L699" i="26"/>
  <c r="N699" i="26"/>
  <c r="P699" i="26"/>
  <c r="L700" i="26"/>
  <c r="N700" i="26"/>
  <c r="P700" i="26"/>
  <c r="L701" i="26"/>
  <c r="N701" i="26"/>
  <c r="P701" i="26"/>
  <c r="L702" i="26"/>
  <c r="N702" i="26"/>
  <c r="P702" i="26"/>
  <c r="L703" i="26"/>
  <c r="N703" i="26"/>
  <c r="P703" i="26"/>
  <c r="L704" i="26"/>
  <c r="N704" i="26"/>
  <c r="P704" i="26"/>
  <c r="L705" i="26"/>
  <c r="N705" i="26"/>
  <c r="P705" i="26"/>
  <c r="L706" i="26"/>
  <c r="N706" i="26"/>
  <c r="P706" i="26"/>
  <c r="L707" i="26"/>
  <c r="N707" i="26"/>
  <c r="P707" i="26"/>
  <c r="L708" i="26"/>
  <c r="N708" i="26"/>
  <c r="P708" i="26"/>
  <c r="L709" i="26"/>
  <c r="N709" i="26"/>
  <c r="P709" i="26"/>
  <c r="L710" i="26"/>
  <c r="N710" i="26"/>
  <c r="P710" i="26"/>
  <c r="L711" i="26"/>
  <c r="N711" i="26"/>
  <c r="P711" i="26"/>
  <c r="L712" i="26"/>
  <c r="N712" i="26"/>
  <c r="P712" i="26"/>
  <c r="L713" i="26"/>
  <c r="N713" i="26"/>
  <c r="P713" i="26"/>
  <c r="L714" i="26"/>
  <c r="N714" i="26"/>
  <c r="P714" i="26"/>
  <c r="L715" i="26"/>
  <c r="N715" i="26"/>
  <c r="P715" i="26"/>
  <c r="L716" i="26"/>
  <c r="N716" i="26"/>
  <c r="P716" i="26"/>
  <c r="L717" i="26"/>
  <c r="N717" i="26"/>
  <c r="P717" i="26"/>
  <c r="L718" i="26"/>
  <c r="N718" i="26"/>
  <c r="P718" i="26"/>
  <c r="L719" i="26"/>
  <c r="N719" i="26"/>
  <c r="P719" i="26"/>
  <c r="L720" i="26"/>
  <c r="N720" i="26"/>
  <c r="P720" i="26"/>
  <c r="L721" i="26"/>
  <c r="N721" i="26"/>
  <c r="P721" i="26"/>
  <c r="L722" i="26"/>
  <c r="N722" i="26"/>
  <c r="P722" i="26"/>
  <c r="L723" i="26"/>
  <c r="N723" i="26"/>
  <c r="P723" i="26"/>
  <c r="L724" i="26"/>
  <c r="N724" i="26"/>
  <c r="P724" i="26"/>
  <c r="L725" i="26"/>
  <c r="N725" i="26"/>
  <c r="P725" i="26"/>
  <c r="L726" i="26"/>
  <c r="N726" i="26"/>
  <c r="P726" i="26"/>
  <c r="L727" i="26"/>
  <c r="N727" i="26"/>
  <c r="P727" i="26"/>
  <c r="L728" i="26"/>
  <c r="N728" i="26"/>
  <c r="P728" i="26"/>
  <c r="L729" i="26"/>
  <c r="N729" i="26"/>
  <c r="P729" i="26"/>
  <c r="L730" i="26"/>
  <c r="N730" i="26"/>
  <c r="P730" i="26"/>
  <c r="L731" i="26"/>
  <c r="N731" i="26"/>
  <c r="P731" i="26"/>
  <c r="L732" i="26"/>
  <c r="N732" i="26"/>
  <c r="P732" i="26"/>
  <c r="L733" i="26"/>
  <c r="N733" i="26"/>
  <c r="P733" i="26"/>
  <c r="L734" i="26"/>
  <c r="N734" i="26"/>
  <c r="P734" i="26"/>
  <c r="L735" i="26"/>
  <c r="N735" i="26"/>
  <c r="P735" i="26"/>
  <c r="L736" i="26"/>
  <c r="N736" i="26"/>
  <c r="P736" i="26"/>
  <c r="L737" i="26"/>
  <c r="N737" i="26"/>
  <c r="P737" i="26"/>
  <c r="L738" i="26"/>
  <c r="N738" i="26"/>
  <c r="P738" i="26"/>
  <c r="L739" i="26"/>
  <c r="N739" i="26"/>
  <c r="P739" i="26"/>
  <c r="L740" i="26"/>
  <c r="N740" i="26"/>
  <c r="P740" i="26"/>
  <c r="L741" i="26"/>
  <c r="N741" i="26"/>
  <c r="P741" i="26"/>
  <c r="L742" i="26"/>
  <c r="N742" i="26"/>
  <c r="P742" i="26"/>
  <c r="L743" i="26"/>
  <c r="N743" i="26"/>
  <c r="P743" i="26"/>
  <c r="L744" i="26"/>
  <c r="N744" i="26"/>
  <c r="P744" i="26"/>
  <c r="L745" i="26"/>
  <c r="N745" i="26"/>
  <c r="P745" i="26"/>
  <c r="L746" i="26"/>
  <c r="N746" i="26"/>
  <c r="P746" i="26"/>
  <c r="L747" i="26"/>
  <c r="N747" i="26"/>
  <c r="P747" i="26"/>
  <c r="L748" i="26"/>
  <c r="N748" i="26"/>
  <c r="P748" i="26"/>
  <c r="L749" i="26"/>
  <c r="N749" i="26"/>
  <c r="P749" i="26"/>
  <c r="L750" i="26"/>
  <c r="N750" i="26"/>
  <c r="P750" i="26"/>
  <c r="L751" i="26"/>
  <c r="N751" i="26"/>
  <c r="P751" i="26"/>
  <c r="L752" i="26"/>
  <c r="N752" i="26"/>
  <c r="P752" i="26"/>
  <c r="L753" i="26"/>
  <c r="N753" i="26"/>
  <c r="P753" i="26"/>
  <c r="L754" i="26"/>
  <c r="N754" i="26"/>
  <c r="P754" i="26"/>
  <c r="L755" i="26"/>
  <c r="N755" i="26"/>
  <c r="P755" i="26"/>
  <c r="L756" i="26"/>
  <c r="N756" i="26"/>
  <c r="P756" i="26"/>
  <c r="L757" i="26"/>
  <c r="N757" i="26"/>
  <c r="P757" i="26"/>
  <c r="L758" i="26"/>
  <c r="N758" i="26"/>
  <c r="P758" i="26"/>
  <c r="L759" i="26"/>
  <c r="N759" i="26"/>
  <c r="P759" i="26"/>
  <c r="L760" i="26"/>
  <c r="N760" i="26"/>
  <c r="P760" i="26"/>
  <c r="L761" i="26"/>
  <c r="N761" i="26"/>
  <c r="P761" i="26"/>
  <c r="L762" i="26"/>
  <c r="N762" i="26"/>
  <c r="P762" i="26"/>
  <c r="L763" i="26"/>
  <c r="N763" i="26"/>
  <c r="P763" i="26"/>
  <c r="L764" i="26"/>
  <c r="N764" i="26"/>
  <c r="P764" i="26"/>
  <c r="L765" i="26"/>
  <c r="N765" i="26"/>
  <c r="P765" i="26"/>
  <c r="L766" i="26"/>
  <c r="N766" i="26"/>
  <c r="P766" i="26"/>
  <c r="L767" i="26"/>
  <c r="N767" i="26"/>
  <c r="P767" i="26"/>
  <c r="L768" i="26"/>
  <c r="N768" i="26"/>
  <c r="P768" i="26"/>
  <c r="L769" i="26"/>
  <c r="N769" i="26"/>
  <c r="P769" i="26"/>
  <c r="L770" i="26"/>
  <c r="N770" i="26"/>
  <c r="P770" i="26"/>
  <c r="L771" i="26"/>
  <c r="N771" i="26"/>
  <c r="P771" i="26"/>
  <c r="L772" i="26"/>
  <c r="N772" i="26"/>
  <c r="P772" i="26"/>
  <c r="L773" i="26"/>
  <c r="N773" i="26"/>
  <c r="P773" i="26"/>
  <c r="L774" i="26"/>
  <c r="N774" i="26"/>
  <c r="P774" i="26"/>
  <c r="L775" i="26"/>
  <c r="N775" i="26"/>
  <c r="P775" i="26"/>
  <c r="L776" i="26"/>
  <c r="N776" i="26"/>
  <c r="P776" i="26"/>
  <c r="L777" i="26"/>
  <c r="N777" i="26"/>
  <c r="P777" i="26"/>
  <c r="L778" i="26"/>
  <c r="N778" i="26"/>
  <c r="P778" i="26"/>
  <c r="L779" i="26"/>
  <c r="N779" i="26"/>
  <c r="P779" i="26"/>
  <c r="L780" i="26"/>
  <c r="N780" i="26"/>
  <c r="P780" i="26"/>
  <c r="L781" i="26"/>
  <c r="N781" i="26"/>
  <c r="P781" i="26"/>
  <c r="L782" i="26"/>
  <c r="N782" i="26"/>
  <c r="P782" i="26"/>
  <c r="L783" i="26"/>
  <c r="N783" i="26"/>
  <c r="P783" i="26"/>
  <c r="L784" i="26"/>
  <c r="N784" i="26"/>
  <c r="P784" i="26"/>
  <c r="L785" i="26"/>
  <c r="N785" i="26"/>
  <c r="P785" i="26"/>
  <c r="L786" i="26"/>
  <c r="N786" i="26"/>
  <c r="P786" i="26"/>
  <c r="L787" i="26"/>
  <c r="N787" i="26"/>
  <c r="P787" i="26"/>
  <c r="L788" i="26"/>
  <c r="N788" i="26"/>
  <c r="P788" i="26"/>
  <c r="L789" i="26"/>
  <c r="N789" i="26"/>
  <c r="P789" i="26"/>
  <c r="L790" i="26"/>
  <c r="N790" i="26"/>
  <c r="P790" i="26"/>
  <c r="L791" i="26"/>
  <c r="N791" i="26"/>
  <c r="P791" i="26"/>
  <c r="L792" i="26"/>
  <c r="N792" i="26"/>
  <c r="P792" i="26"/>
  <c r="L793" i="26"/>
  <c r="N793" i="26"/>
  <c r="P793" i="26"/>
  <c r="L794" i="26"/>
  <c r="N794" i="26"/>
  <c r="P794" i="26"/>
  <c r="L795" i="26"/>
  <c r="N795" i="26"/>
  <c r="P795" i="26"/>
  <c r="L796" i="26"/>
  <c r="N796" i="26"/>
  <c r="P796" i="26"/>
  <c r="L797" i="26"/>
  <c r="N797" i="26"/>
  <c r="P797" i="26"/>
  <c r="L798" i="26"/>
  <c r="N798" i="26"/>
  <c r="P798" i="26"/>
  <c r="L799" i="26"/>
  <c r="N799" i="26"/>
  <c r="P799" i="26"/>
  <c r="L800" i="26"/>
  <c r="N800" i="26"/>
  <c r="P800" i="26"/>
  <c r="L801" i="26"/>
  <c r="N801" i="26"/>
  <c r="P801" i="26"/>
  <c r="L802" i="26"/>
  <c r="N802" i="26"/>
  <c r="P802" i="26"/>
  <c r="L803" i="26"/>
  <c r="N803" i="26"/>
  <c r="P803" i="26"/>
  <c r="L804" i="26"/>
  <c r="N804" i="26"/>
  <c r="P804" i="26"/>
  <c r="L805" i="26"/>
  <c r="N805" i="26"/>
  <c r="P805" i="26"/>
  <c r="L806" i="26"/>
  <c r="N806" i="26"/>
  <c r="P806" i="26"/>
  <c r="L807" i="26"/>
  <c r="N807" i="26"/>
  <c r="P807" i="26"/>
  <c r="L808" i="26"/>
  <c r="N808" i="26"/>
  <c r="P808" i="26"/>
  <c r="L809" i="26"/>
  <c r="N809" i="26"/>
  <c r="P809" i="26"/>
  <c r="L810" i="26"/>
  <c r="N810" i="26"/>
  <c r="P810" i="26"/>
  <c r="L811" i="26"/>
  <c r="N811" i="26"/>
  <c r="P811" i="26"/>
  <c r="L812" i="26"/>
  <c r="N812" i="26"/>
  <c r="P812" i="26"/>
  <c r="L813" i="26"/>
  <c r="N813" i="26"/>
  <c r="P813" i="26"/>
  <c r="L814" i="26"/>
  <c r="N814" i="26"/>
  <c r="P814" i="26"/>
  <c r="L815" i="26"/>
  <c r="N815" i="26"/>
  <c r="P815" i="26"/>
  <c r="L816" i="26"/>
  <c r="N816" i="26"/>
  <c r="P816" i="26"/>
  <c r="L817" i="26"/>
  <c r="N817" i="26"/>
  <c r="P817" i="26"/>
  <c r="L818" i="26"/>
  <c r="N818" i="26"/>
  <c r="P818" i="26"/>
  <c r="L819" i="26"/>
  <c r="N819" i="26"/>
  <c r="P819" i="26"/>
  <c r="L820" i="26"/>
  <c r="N820" i="26"/>
  <c r="P820" i="26"/>
  <c r="L821" i="26"/>
  <c r="N821" i="26"/>
  <c r="P821" i="26"/>
  <c r="L822" i="26"/>
  <c r="N822" i="26"/>
  <c r="P822" i="26"/>
  <c r="L823" i="26"/>
  <c r="N823" i="26"/>
  <c r="P823" i="26"/>
  <c r="L824" i="26"/>
  <c r="N824" i="26"/>
  <c r="P824" i="26"/>
  <c r="L825" i="26"/>
  <c r="N825" i="26"/>
  <c r="P825" i="26"/>
  <c r="L826" i="26"/>
  <c r="N826" i="26"/>
  <c r="P826" i="26"/>
  <c r="L827" i="26"/>
  <c r="N827" i="26"/>
  <c r="P827" i="26"/>
  <c r="L828" i="26"/>
  <c r="N828" i="26"/>
  <c r="P828" i="26"/>
  <c r="L829" i="26"/>
  <c r="N829" i="26"/>
  <c r="P829" i="26"/>
  <c r="L830" i="26"/>
  <c r="N830" i="26"/>
  <c r="P830" i="26"/>
  <c r="L831" i="26"/>
  <c r="N831" i="26"/>
  <c r="P831" i="26"/>
  <c r="L832" i="26"/>
  <c r="N832" i="26"/>
  <c r="P832" i="26"/>
  <c r="L833" i="26"/>
  <c r="N833" i="26"/>
  <c r="P833" i="26"/>
  <c r="L834" i="26"/>
  <c r="N834" i="26"/>
  <c r="P834" i="26"/>
  <c r="L835" i="26"/>
  <c r="N835" i="26"/>
  <c r="P835" i="26"/>
  <c r="L836" i="26"/>
  <c r="N836" i="26"/>
  <c r="P836" i="26"/>
  <c r="L837" i="26"/>
  <c r="N837" i="26"/>
  <c r="P837" i="26"/>
  <c r="L838" i="26"/>
  <c r="N838" i="26"/>
  <c r="P838" i="26"/>
  <c r="L839" i="26"/>
  <c r="N839" i="26"/>
  <c r="P839" i="26"/>
  <c r="L840" i="26"/>
  <c r="N840" i="26"/>
  <c r="P840" i="26"/>
  <c r="L841" i="26"/>
  <c r="N841" i="26"/>
  <c r="P841" i="26"/>
  <c r="L842" i="26"/>
  <c r="N842" i="26"/>
  <c r="P842" i="26"/>
  <c r="L843" i="26"/>
  <c r="N843" i="26"/>
  <c r="P843" i="26"/>
  <c r="L844" i="26"/>
  <c r="N844" i="26"/>
  <c r="P844" i="26"/>
  <c r="L845" i="26"/>
  <c r="N845" i="26"/>
  <c r="P845" i="26"/>
  <c r="L846" i="26"/>
  <c r="N846" i="26"/>
  <c r="P846" i="26"/>
  <c r="L847" i="26"/>
  <c r="N847" i="26"/>
  <c r="P847" i="26"/>
  <c r="L848" i="26"/>
  <c r="N848" i="26"/>
  <c r="P848" i="26"/>
  <c r="L849" i="26"/>
  <c r="N849" i="26"/>
  <c r="P849" i="26"/>
  <c r="B3" i="7"/>
  <c r="C3" i="7"/>
  <c r="B4" i="7"/>
  <c r="F4" i="7" s="1"/>
  <c r="C4" i="7"/>
  <c r="E4" i="7"/>
  <c r="G4" i="7"/>
  <c r="I4" i="7"/>
  <c r="K4" i="7"/>
  <c r="B5" i="7"/>
  <c r="C5" i="7" s="1"/>
  <c r="B6" i="7"/>
  <c r="D6" i="7" s="1"/>
  <c r="C6" i="7"/>
  <c r="E6" i="7"/>
  <c r="F6" i="7"/>
  <c r="G6" i="7"/>
  <c r="J6" i="7" s="1"/>
  <c r="H6" i="7"/>
  <c r="I6" i="7"/>
  <c r="K6" i="7"/>
  <c r="M6" i="7"/>
  <c r="B7" i="7"/>
  <c r="C7" i="7"/>
  <c r="D7" i="7"/>
  <c r="F7" i="7"/>
  <c r="G7" i="7"/>
  <c r="K7" i="7"/>
  <c r="M7" i="7" s="1"/>
  <c r="B8" i="7"/>
  <c r="C8" i="7" s="1"/>
  <c r="E8" i="7"/>
  <c r="B9" i="7"/>
  <c r="F9" i="7" s="1"/>
  <c r="D9" i="7"/>
  <c r="E9" i="7"/>
  <c r="G9" i="7"/>
  <c r="I9" i="7"/>
  <c r="K9" i="7"/>
  <c r="B10" i="7"/>
  <c r="B11" i="7"/>
  <c r="C11" i="7" s="1"/>
  <c r="D11" i="7"/>
  <c r="G11" i="7"/>
  <c r="I11" i="7"/>
  <c r="K11" i="7"/>
  <c r="M11" i="7" s="1"/>
  <c r="B12" i="7"/>
  <c r="D12" i="7" s="1"/>
  <c r="F12" i="7"/>
  <c r="H12" i="7"/>
  <c r="B13" i="7"/>
  <c r="G13" i="7" s="1"/>
  <c r="C13" i="7"/>
  <c r="E13" i="7"/>
  <c r="I13" i="7"/>
  <c r="K13" i="7"/>
  <c r="B14" i="7"/>
  <c r="B15" i="7"/>
  <c r="G15" i="7" s="1"/>
  <c r="C15" i="7"/>
  <c r="D15" i="7"/>
  <c r="E15" i="7"/>
  <c r="F15" i="7"/>
  <c r="H15" i="7"/>
  <c r="I15" i="7"/>
  <c r="K15" i="7"/>
  <c r="M15" i="7"/>
  <c r="B16" i="7"/>
  <c r="D16" i="7"/>
  <c r="F16" i="7"/>
  <c r="I16" i="7"/>
  <c r="B17" i="7"/>
  <c r="G17" i="7" s="1"/>
  <c r="C17" i="7"/>
  <c r="D17" i="7"/>
  <c r="F17" i="7"/>
  <c r="H17" i="7"/>
  <c r="I17" i="7"/>
  <c r="J17" i="7"/>
  <c r="K17" i="7"/>
  <c r="L17" i="7"/>
  <c r="M17" i="7"/>
  <c r="B18" i="7"/>
  <c r="D18" i="7"/>
  <c r="L18" i="7" s="1"/>
  <c r="E18" i="7"/>
  <c r="F18" i="7"/>
  <c r="G18" i="7"/>
  <c r="J18" i="7" s="1"/>
  <c r="H18" i="7"/>
  <c r="I18" i="7"/>
  <c r="B19" i="7"/>
  <c r="C19" i="7"/>
  <c r="D19" i="7"/>
  <c r="B20" i="7"/>
  <c r="H20" i="7"/>
  <c r="I20" i="7"/>
  <c r="B21" i="7"/>
  <c r="G21" i="7" s="1"/>
  <c r="D21" i="7"/>
  <c r="E21" i="7"/>
  <c r="F21" i="7"/>
  <c r="H21" i="7"/>
  <c r="K21" i="7"/>
  <c r="M21" i="7"/>
  <c r="B22" i="7"/>
  <c r="B23" i="7"/>
  <c r="D23" i="7"/>
  <c r="K23" i="7"/>
  <c r="M23" i="7" s="1"/>
  <c r="I27" i="8" s="1"/>
  <c r="B24" i="7"/>
  <c r="H24" i="7"/>
  <c r="B25" i="7"/>
  <c r="C25" i="7" s="1"/>
  <c r="H25" i="7"/>
  <c r="B26" i="7"/>
  <c r="E26" i="7"/>
  <c r="H26" i="7"/>
  <c r="B27" i="7"/>
  <c r="E27" i="7" s="1"/>
  <c r="I27" i="7"/>
  <c r="K27" i="7"/>
  <c r="B28" i="7"/>
  <c r="C28" i="7" s="1"/>
  <c r="B29" i="7"/>
  <c r="G29" i="7" s="1"/>
  <c r="C29" i="7"/>
  <c r="E29" i="7"/>
  <c r="I29" i="7"/>
  <c r="K29" i="7"/>
  <c r="B30" i="7"/>
  <c r="F30" i="7" s="1"/>
  <c r="B31" i="7"/>
  <c r="G31" i="7" s="1"/>
  <c r="C31" i="7"/>
  <c r="D31" i="7"/>
  <c r="E31" i="7"/>
  <c r="F31" i="7"/>
  <c r="H31" i="7"/>
  <c r="I31" i="7"/>
  <c r="J31" i="7" s="1"/>
  <c r="K31" i="7"/>
  <c r="L31" i="7"/>
  <c r="M31" i="7"/>
  <c r="B32" i="7"/>
  <c r="F32" i="7" s="1"/>
  <c r="D32" i="7"/>
  <c r="B33" i="7"/>
  <c r="G33" i="7" s="1"/>
  <c r="C33" i="7"/>
  <c r="D33" i="7"/>
  <c r="F33" i="7"/>
  <c r="H33" i="7"/>
  <c r="I33" i="7"/>
  <c r="J33" i="7" s="1"/>
  <c r="K33" i="7"/>
  <c r="L33" i="7"/>
  <c r="M33" i="7"/>
  <c r="B34" i="7"/>
  <c r="D34" i="7"/>
  <c r="L34" i="7" s="1"/>
  <c r="E34" i="7"/>
  <c r="F34" i="7"/>
  <c r="G34" i="7"/>
  <c r="H34" i="7"/>
  <c r="I34" i="7"/>
  <c r="B35" i="7"/>
  <c r="G35" i="7" s="1"/>
  <c r="C35" i="7"/>
  <c r="D35" i="7"/>
  <c r="M35" i="7" s="1"/>
  <c r="F35" i="7"/>
  <c r="K35" i="7"/>
  <c r="B36" i="7"/>
  <c r="F36" i="7" s="1"/>
  <c r="D36" i="7"/>
  <c r="L36" i="7" s="1"/>
  <c r="E36" i="7"/>
  <c r="G36" i="7"/>
  <c r="J36" i="7" s="1"/>
  <c r="F40" i="8" s="1"/>
  <c r="H36" i="7"/>
  <c r="I36" i="7"/>
  <c r="B37" i="7"/>
  <c r="G37" i="7" s="1"/>
  <c r="D37" i="7"/>
  <c r="E37" i="7"/>
  <c r="F37" i="7"/>
  <c r="H37" i="7"/>
  <c r="K37" i="7"/>
  <c r="B38" i="7"/>
  <c r="D38" i="7"/>
  <c r="E38" i="7"/>
  <c r="G38" i="7"/>
  <c r="B39" i="7"/>
  <c r="D39" i="7" s="1"/>
  <c r="B40" i="7"/>
  <c r="D40" i="7" s="1"/>
  <c r="E40" i="7"/>
  <c r="F40" i="7"/>
  <c r="G40" i="7"/>
  <c r="H40" i="7"/>
  <c r="B41" i="7"/>
  <c r="D41" i="7"/>
  <c r="E41" i="7"/>
  <c r="H41" i="7"/>
  <c r="K41" i="7"/>
  <c r="M41" i="7" s="1"/>
  <c r="I45" i="8" s="1"/>
  <c r="B42" i="7"/>
  <c r="H42" i="7" s="1"/>
  <c r="E42" i="7"/>
  <c r="B43" i="7"/>
  <c r="E43" i="7" s="1"/>
  <c r="K43" i="7"/>
  <c r="B44" i="7"/>
  <c r="E44" i="7"/>
  <c r="F44" i="7"/>
  <c r="H44" i="7"/>
  <c r="B45" i="7"/>
  <c r="C45" i="7"/>
  <c r="E45" i="7"/>
  <c r="I45" i="7"/>
  <c r="K45" i="7"/>
  <c r="B46" i="7"/>
  <c r="F46" i="7" s="1"/>
  <c r="B47" i="7"/>
  <c r="G47" i="7" s="1"/>
  <c r="C47" i="7"/>
  <c r="D47" i="7"/>
  <c r="E47" i="7"/>
  <c r="F47" i="7"/>
  <c r="H47" i="7"/>
  <c r="I47" i="7"/>
  <c r="J47" i="7" s="1"/>
  <c r="K47" i="7"/>
  <c r="M47" i="7"/>
  <c r="B48" i="7"/>
  <c r="I48" i="7" s="1"/>
  <c r="D48" i="7"/>
  <c r="F48" i="7"/>
  <c r="B49" i="7"/>
  <c r="G49" i="7" s="1"/>
  <c r="C49" i="7"/>
  <c r="D49" i="7"/>
  <c r="F49" i="7"/>
  <c r="H49" i="7"/>
  <c r="I49" i="7"/>
  <c r="J49" i="7"/>
  <c r="K49" i="7"/>
  <c r="L49" i="7"/>
  <c r="M49" i="7"/>
  <c r="B50" i="7"/>
  <c r="D50" i="7"/>
  <c r="L50" i="7" s="1"/>
  <c r="E50" i="7"/>
  <c r="F50" i="7"/>
  <c r="G50" i="7"/>
  <c r="J50" i="7" s="1"/>
  <c r="H50" i="7"/>
  <c r="I50" i="7"/>
  <c r="B51" i="7"/>
  <c r="G51" i="7" s="1"/>
  <c r="C51" i="7"/>
  <c r="D51" i="7"/>
  <c r="F51" i="7"/>
  <c r="K51" i="7"/>
  <c r="M51" i="7"/>
  <c r="B52" i="7"/>
  <c r="F52" i="7" s="1"/>
  <c r="D52" i="7"/>
  <c r="L52" i="7" s="1"/>
  <c r="E52" i="7"/>
  <c r="G52" i="7"/>
  <c r="H52" i="7"/>
  <c r="I52" i="7"/>
  <c r="J52" i="7" s="1"/>
  <c r="B53" i="7"/>
  <c r="G53" i="7" s="1"/>
  <c r="D53" i="7"/>
  <c r="E53" i="7"/>
  <c r="F53" i="7"/>
  <c r="H53" i="7"/>
  <c r="K53" i="7"/>
  <c r="B54" i="7"/>
  <c r="D54" i="7"/>
  <c r="E54" i="7"/>
  <c r="G54" i="7"/>
  <c r="B55" i="7"/>
  <c r="D55" i="7"/>
  <c r="H55" i="7"/>
  <c r="K55" i="7"/>
  <c r="M55" i="7" s="1"/>
  <c r="I59" i="8" s="1"/>
  <c r="B56" i="7"/>
  <c r="D56" i="7" s="1"/>
  <c r="E56" i="7"/>
  <c r="F56" i="7"/>
  <c r="G56" i="7"/>
  <c r="H56" i="7"/>
  <c r="B57" i="7"/>
  <c r="D57" i="7" s="1"/>
  <c r="H57" i="7"/>
  <c r="B58" i="7"/>
  <c r="E58" i="7"/>
  <c r="H58" i="7"/>
  <c r="B59" i="7"/>
  <c r="E59" i="7" s="1"/>
  <c r="K59" i="7"/>
  <c r="B60" i="7"/>
  <c r="E60" i="7" s="1"/>
  <c r="H60" i="7"/>
  <c r="B61" i="7"/>
  <c r="C61" i="7" s="1"/>
  <c r="B65" i="8" s="1"/>
  <c r="E61" i="7"/>
  <c r="B62" i="7"/>
  <c r="F62" i="7" s="1"/>
  <c r="B63" i="7"/>
  <c r="G63" i="7" s="1"/>
  <c r="C63" i="7"/>
  <c r="D63" i="7"/>
  <c r="E63" i="7"/>
  <c r="F63" i="7"/>
  <c r="H63" i="7"/>
  <c r="I63" i="7"/>
  <c r="J63" i="7" s="1"/>
  <c r="K63" i="7"/>
  <c r="L63" i="7"/>
  <c r="M63" i="7"/>
  <c r="B64" i="7"/>
  <c r="F64" i="7" s="1"/>
  <c r="D64" i="7"/>
  <c r="I64" i="7"/>
  <c r="B65" i="7"/>
  <c r="G65" i="7" s="1"/>
  <c r="C65" i="7"/>
  <c r="D65" i="7"/>
  <c r="F65" i="7"/>
  <c r="H65" i="7"/>
  <c r="I65" i="7"/>
  <c r="J65" i="7" s="1"/>
  <c r="K65" i="7"/>
  <c r="M65" i="7"/>
  <c r="B66" i="7"/>
  <c r="D66" i="7"/>
  <c r="L66" i="7" s="1"/>
  <c r="E66" i="7"/>
  <c r="F66" i="7"/>
  <c r="G66" i="7"/>
  <c r="H66" i="7"/>
  <c r="I66" i="7"/>
  <c r="B67" i="7"/>
  <c r="G67" i="7" s="1"/>
  <c r="C67" i="7"/>
  <c r="D67" i="7"/>
  <c r="F67" i="7"/>
  <c r="K67" i="7"/>
  <c r="M67" i="7"/>
  <c r="B68" i="7"/>
  <c r="F68" i="7" s="1"/>
  <c r="D68" i="7"/>
  <c r="L68" i="7" s="1"/>
  <c r="E68" i="7"/>
  <c r="G68" i="7"/>
  <c r="J68" i="7" s="1"/>
  <c r="H68" i="7"/>
  <c r="I68" i="7"/>
  <c r="B69" i="7"/>
  <c r="G69" i="7" s="1"/>
  <c r="D69" i="7"/>
  <c r="E69" i="7"/>
  <c r="F69" i="7"/>
  <c r="H69" i="7"/>
  <c r="K69" i="7"/>
  <c r="B70" i="7"/>
  <c r="E70" i="7" s="1"/>
  <c r="D70" i="7"/>
  <c r="G70" i="7"/>
  <c r="B71" i="7"/>
  <c r="D71" i="7"/>
  <c r="H71" i="7"/>
  <c r="I71" i="7"/>
  <c r="K71" i="7"/>
  <c r="M71" i="7"/>
  <c r="B72" i="7"/>
  <c r="D72" i="7" s="1"/>
  <c r="E72" i="7"/>
  <c r="F72" i="7"/>
  <c r="G72" i="7"/>
  <c r="H72" i="7"/>
  <c r="B73" i="7"/>
  <c r="E73" i="7" s="1"/>
  <c r="C73" i="7"/>
  <c r="D73" i="7"/>
  <c r="K73" i="7"/>
  <c r="M73" i="7"/>
  <c r="B74" i="7"/>
  <c r="I74" i="7" s="1"/>
  <c r="E74" i="7"/>
  <c r="H74" i="7"/>
  <c r="B75" i="7"/>
  <c r="E75" i="7"/>
  <c r="F75" i="7"/>
  <c r="H75" i="7"/>
  <c r="I75" i="7"/>
  <c r="B76" i="7"/>
  <c r="E76" i="7" s="1"/>
  <c r="D76" i="7"/>
  <c r="F76" i="7"/>
  <c r="H76" i="7"/>
  <c r="B77" i="7"/>
  <c r="C77" i="7"/>
  <c r="E77" i="7"/>
  <c r="I77" i="7"/>
  <c r="K77" i="7"/>
  <c r="B78" i="7"/>
  <c r="F78" i="7" s="1"/>
  <c r="H78" i="7"/>
  <c r="B79" i="7"/>
  <c r="G79" i="7" s="1"/>
  <c r="C79" i="7"/>
  <c r="D79" i="7"/>
  <c r="L79" i="7" s="1"/>
  <c r="E79" i="7"/>
  <c r="F79" i="7"/>
  <c r="H79" i="7"/>
  <c r="I79" i="7"/>
  <c r="J79" i="7" s="1"/>
  <c r="K79" i="7"/>
  <c r="M79" i="7"/>
  <c r="B80" i="7"/>
  <c r="D80" i="7" s="1"/>
  <c r="I80" i="7"/>
  <c r="B81" i="7"/>
  <c r="G81" i="7" s="1"/>
  <c r="C81" i="7"/>
  <c r="D81" i="7"/>
  <c r="F81" i="7"/>
  <c r="H81" i="7"/>
  <c r="L81" i="7" s="1"/>
  <c r="H85" i="8" s="1"/>
  <c r="I81" i="7"/>
  <c r="J81" i="7"/>
  <c r="K81" i="7"/>
  <c r="M81" i="7"/>
  <c r="B82" i="7"/>
  <c r="C82" i="7" s="1"/>
  <c r="B83" i="7"/>
  <c r="C83" i="7" s="1"/>
  <c r="B87" i="8" s="1"/>
  <c r="F83" i="7"/>
  <c r="K83" i="7"/>
  <c r="B84" i="7"/>
  <c r="D84" i="7"/>
  <c r="E84" i="7"/>
  <c r="F84" i="7"/>
  <c r="G84" i="7"/>
  <c r="H84" i="7"/>
  <c r="J84" i="7" s="1"/>
  <c r="I84" i="7"/>
  <c r="B85" i="7"/>
  <c r="G85" i="7" s="1"/>
  <c r="D85" i="7"/>
  <c r="E85" i="7"/>
  <c r="F85" i="7"/>
  <c r="H85" i="7"/>
  <c r="K85" i="7"/>
  <c r="M85" i="7"/>
  <c r="B86" i="7"/>
  <c r="D86" i="7"/>
  <c r="E86" i="7"/>
  <c r="G86" i="7"/>
  <c r="B87" i="7"/>
  <c r="D87" i="7" s="1"/>
  <c r="I87" i="7"/>
  <c r="K87" i="7"/>
  <c r="M87" i="7" s="1"/>
  <c r="I91" i="8" s="1"/>
  <c r="B88" i="7"/>
  <c r="D88" i="7" s="1"/>
  <c r="E88" i="7"/>
  <c r="F88" i="7"/>
  <c r="G88" i="7"/>
  <c r="H88" i="7"/>
  <c r="B89" i="7"/>
  <c r="B90" i="7"/>
  <c r="B91" i="7"/>
  <c r="B92" i="7"/>
  <c r="D92" i="7"/>
  <c r="E92" i="7"/>
  <c r="F92" i="7"/>
  <c r="H92" i="7"/>
  <c r="B93" i="7"/>
  <c r="C93" i="7" s="1"/>
  <c r="I93" i="7"/>
  <c r="K93" i="7"/>
  <c r="B94" i="7"/>
  <c r="F94" i="7" s="1"/>
  <c r="I94" i="7"/>
  <c r="B95" i="7"/>
  <c r="G95" i="7" s="1"/>
  <c r="C95" i="7"/>
  <c r="D95" i="7"/>
  <c r="E95" i="7"/>
  <c r="F95" i="7"/>
  <c r="I95" i="7"/>
  <c r="K95" i="7"/>
  <c r="M95" i="7"/>
  <c r="I99" i="8" s="1"/>
  <c r="B96" i="7"/>
  <c r="I96" i="7" s="1"/>
  <c r="D96" i="7"/>
  <c r="F96" i="7"/>
  <c r="B97" i="7"/>
  <c r="G97" i="7" s="1"/>
  <c r="C97" i="7"/>
  <c r="D97" i="7"/>
  <c r="E97" i="7"/>
  <c r="F97" i="7"/>
  <c r="H97" i="7"/>
  <c r="L97" i="7" s="1"/>
  <c r="I97" i="7"/>
  <c r="K97" i="7"/>
  <c r="M97" i="7"/>
  <c r="B98" i="7"/>
  <c r="D98" i="7"/>
  <c r="E98" i="7"/>
  <c r="F98" i="7"/>
  <c r="G98" i="7"/>
  <c r="I98" i="7"/>
  <c r="B99" i="7"/>
  <c r="C99" i="7" s="1"/>
  <c r="B100" i="7"/>
  <c r="D100" i="7"/>
  <c r="E100" i="7"/>
  <c r="F100" i="7"/>
  <c r="G100" i="7"/>
  <c r="H100" i="7"/>
  <c r="I100" i="7"/>
  <c r="B101" i="7"/>
  <c r="G101" i="7" s="1"/>
  <c r="D101" i="7"/>
  <c r="E101" i="7"/>
  <c r="F101" i="7"/>
  <c r="H101" i="7"/>
  <c r="K101" i="7"/>
  <c r="M101" i="7"/>
  <c r="B102" i="7"/>
  <c r="D102" i="7" s="1"/>
  <c r="G102" i="7"/>
  <c r="B103" i="7"/>
  <c r="D103" i="7" s="1"/>
  <c r="H103" i="7"/>
  <c r="D104" i="7"/>
  <c r="E104" i="7"/>
  <c r="F104" i="7"/>
  <c r="G104" i="7"/>
  <c r="H104" i="7"/>
  <c r="I104" i="7"/>
  <c r="K104" i="7"/>
  <c r="D105" i="7"/>
  <c r="E105" i="7"/>
  <c r="F105" i="7"/>
  <c r="G105" i="7"/>
  <c r="H105" i="7"/>
  <c r="I105" i="7"/>
  <c r="K105" i="7"/>
  <c r="M105" i="7"/>
  <c r="B106" i="7"/>
  <c r="C106" i="7"/>
  <c r="D106" i="7"/>
  <c r="F106" i="7"/>
  <c r="H106" i="7"/>
  <c r="K106" i="7"/>
  <c r="B107" i="7"/>
  <c r="D107" i="7"/>
  <c r="L107" i="7" s="1"/>
  <c r="E107" i="7"/>
  <c r="F107" i="7"/>
  <c r="G107" i="7"/>
  <c r="J107" i="7" s="1"/>
  <c r="H107" i="7"/>
  <c r="I107" i="7"/>
  <c r="B108" i="7"/>
  <c r="E108" i="7"/>
  <c r="H108" i="7"/>
  <c r="B109" i="7"/>
  <c r="E109" i="7"/>
  <c r="H109" i="7"/>
  <c r="B110" i="7"/>
  <c r="I110" i="7" s="1"/>
  <c r="E110" i="7"/>
  <c r="B111" i="7"/>
  <c r="F111" i="7" s="1"/>
  <c r="B112" i="7"/>
  <c r="D112" i="7" s="1"/>
  <c r="C112" i="7"/>
  <c r="E112" i="7"/>
  <c r="I112" i="7"/>
  <c r="K112" i="7"/>
  <c r="B113" i="7"/>
  <c r="F113" i="7" s="1"/>
  <c r="B114" i="7"/>
  <c r="E114" i="7" s="1"/>
  <c r="C114" i="7"/>
  <c r="F114" i="7"/>
  <c r="I114" i="7"/>
  <c r="K114" i="7"/>
  <c r="B115" i="7"/>
  <c r="C115" i="7" s="1"/>
  <c r="B116" i="7"/>
  <c r="E116" i="7" s="1"/>
  <c r="C116" i="7"/>
  <c r="F116" i="7"/>
  <c r="K116" i="7"/>
  <c r="B117" i="7"/>
  <c r="F117" i="7" s="1"/>
  <c r="D117" i="7"/>
  <c r="G117" i="7"/>
  <c r="I117" i="7"/>
  <c r="B118" i="7"/>
  <c r="G118" i="7" s="1"/>
  <c r="C118" i="7"/>
  <c r="D118" i="7"/>
  <c r="E118" i="7"/>
  <c r="F118" i="7"/>
  <c r="I118" i="7"/>
  <c r="K118" i="7"/>
  <c r="M118" i="7"/>
  <c r="I122" i="8" s="1"/>
  <c r="B119" i="7"/>
  <c r="D119" i="7"/>
  <c r="G119" i="7"/>
  <c r="I119" i="7"/>
  <c r="B120" i="7"/>
  <c r="G120" i="7" s="1"/>
  <c r="C120" i="7"/>
  <c r="D120" i="7"/>
  <c r="E120" i="7"/>
  <c r="F120" i="7"/>
  <c r="H120" i="7"/>
  <c r="I120" i="7"/>
  <c r="J120" i="7"/>
  <c r="K120" i="7"/>
  <c r="L120" i="7"/>
  <c r="M120" i="7"/>
  <c r="B121" i="7"/>
  <c r="G121" i="7" s="1"/>
  <c r="D121" i="7"/>
  <c r="B122" i="7"/>
  <c r="F122" i="7"/>
  <c r="I122" i="7"/>
  <c r="K122" i="7"/>
  <c r="B123" i="7"/>
  <c r="D123" i="7"/>
  <c r="E123" i="7"/>
  <c r="F123" i="7"/>
  <c r="G123" i="7"/>
  <c r="H123" i="7"/>
  <c r="I123" i="7"/>
  <c r="B124" i="7"/>
  <c r="D124" i="7" s="1"/>
  <c r="B125" i="7"/>
  <c r="E125" i="7"/>
  <c r="B126" i="7"/>
  <c r="F126" i="7" s="1"/>
  <c r="D126" i="7"/>
  <c r="E126" i="7"/>
  <c r="H126" i="7"/>
  <c r="I126" i="7"/>
  <c r="K126" i="7"/>
  <c r="M126" i="7" s="1"/>
  <c r="I130" i="8" s="1"/>
  <c r="B127" i="7"/>
  <c r="D127" i="7" s="1"/>
  <c r="G127" i="7"/>
  <c r="B128" i="7"/>
  <c r="E128" i="7"/>
  <c r="K128" i="7"/>
  <c r="B129" i="7"/>
  <c r="F129" i="7" s="1"/>
  <c r="E129" i="7"/>
  <c r="G129" i="7"/>
  <c r="I129" i="7"/>
  <c r="B130" i="7"/>
  <c r="G130" i="7" s="1"/>
  <c r="C130" i="7"/>
  <c r="E130" i="7"/>
  <c r="H130" i="7"/>
  <c r="I130" i="7"/>
  <c r="B131" i="7"/>
  <c r="C131" i="7" s="1"/>
  <c r="B132" i="7"/>
  <c r="E132" i="7" s="1"/>
  <c r="B133" i="7"/>
  <c r="D133" i="7"/>
  <c r="L133" i="7" s="1"/>
  <c r="H137" i="8" s="1"/>
  <c r="E133" i="7"/>
  <c r="G133" i="7"/>
  <c r="H133" i="7"/>
  <c r="I133" i="7"/>
  <c r="B134" i="7"/>
  <c r="B135" i="7"/>
  <c r="D135" i="7"/>
  <c r="F135" i="7"/>
  <c r="G135" i="7"/>
  <c r="H135" i="7"/>
  <c r="J135" i="7" s="1"/>
  <c r="I135" i="7"/>
  <c r="B136" i="7"/>
  <c r="G136" i="7" s="1"/>
  <c r="C136" i="7"/>
  <c r="D136" i="7"/>
  <c r="E136" i="7"/>
  <c r="F136" i="7"/>
  <c r="H136" i="7"/>
  <c r="I136" i="7"/>
  <c r="L136" i="7" s="1"/>
  <c r="K136" i="7"/>
  <c r="M136" i="7"/>
  <c r="B137" i="7"/>
  <c r="B138" i="7"/>
  <c r="F138" i="7" s="1"/>
  <c r="C138" i="7"/>
  <c r="D138" i="7"/>
  <c r="H138" i="7"/>
  <c r="I138" i="7"/>
  <c r="K138" i="7"/>
  <c r="M138" i="7" s="1"/>
  <c r="I142" i="8" s="1"/>
  <c r="B139" i="7"/>
  <c r="D139" i="7"/>
  <c r="E139" i="7"/>
  <c r="F139" i="7"/>
  <c r="G139" i="7"/>
  <c r="H139" i="7"/>
  <c r="J139" i="7" s="1"/>
  <c r="I139" i="7"/>
  <c r="B140" i="7"/>
  <c r="C140" i="7"/>
  <c r="D140" i="7"/>
  <c r="E140" i="7"/>
  <c r="F140" i="7"/>
  <c r="H140" i="7"/>
  <c r="K140" i="7"/>
  <c r="M140" i="7" s="1"/>
  <c r="B141" i="7"/>
  <c r="E141" i="7" s="1"/>
  <c r="H141" i="7"/>
  <c r="I141" i="7"/>
  <c r="B142" i="7"/>
  <c r="D142" i="7"/>
  <c r="F142" i="7"/>
  <c r="H142" i="7"/>
  <c r="K142" i="7"/>
  <c r="M142" i="7" s="1"/>
  <c r="B143" i="7"/>
  <c r="E143" i="7"/>
  <c r="B144" i="7"/>
  <c r="C144" i="7"/>
  <c r="B145" i="7"/>
  <c r="C145" i="7" s="1"/>
  <c r="B146" i="7"/>
  <c r="E146" i="7"/>
  <c r="E145" i="7" s="1"/>
  <c r="H146" i="7"/>
  <c r="H145" i="7" s="1"/>
  <c r="K146" i="7"/>
  <c r="B147" i="7"/>
  <c r="E147" i="7" s="1"/>
  <c r="F147" i="7"/>
  <c r="D148" i="7"/>
  <c r="D149" i="7"/>
  <c r="H149" i="7"/>
  <c r="H148" i="7" s="1"/>
  <c r="K149" i="7"/>
  <c r="D150" i="7"/>
  <c r="F150" i="7"/>
  <c r="F149" i="7" s="1"/>
  <c r="F148" i="7" s="1"/>
  <c r="G150" i="7"/>
  <c r="J150" i="7" s="1"/>
  <c r="J149" i="7" s="1"/>
  <c r="J148" i="7" s="1"/>
  <c r="H150" i="7"/>
  <c r="I150" i="7"/>
  <c r="I149" i="7" s="1"/>
  <c r="I148" i="7" s="1"/>
  <c r="K150" i="7"/>
  <c r="M150" i="7" s="1"/>
  <c r="B2" i="41"/>
  <c r="C6" i="41"/>
  <c r="D6" i="41"/>
  <c r="E6" i="41"/>
  <c r="E20" i="41" s="1"/>
  <c r="F6" i="41"/>
  <c r="G6" i="41"/>
  <c r="V7" i="16" s="1"/>
  <c r="V21" i="16" s="1"/>
  <c r="H6" i="41"/>
  <c r="W7" i="16" s="1"/>
  <c r="AQ6" i="16" s="1"/>
  <c r="I6" i="41"/>
  <c r="J6" i="41"/>
  <c r="K6" i="41"/>
  <c r="L6" i="41"/>
  <c r="O6" i="41"/>
  <c r="C7" i="41"/>
  <c r="E7" i="41"/>
  <c r="G7" i="41"/>
  <c r="J7" i="41"/>
  <c r="L7" i="41"/>
  <c r="O7" i="41"/>
  <c r="C8" i="41"/>
  <c r="K8" i="41" s="1"/>
  <c r="D8" i="41"/>
  <c r="E8" i="41"/>
  <c r="F8" i="41"/>
  <c r="G8" i="41"/>
  <c r="I8" i="41"/>
  <c r="J8" i="41"/>
  <c r="L8" i="41"/>
  <c r="M8" i="41"/>
  <c r="O8" i="41"/>
  <c r="P8" i="41"/>
  <c r="C9" i="41"/>
  <c r="E9" i="41"/>
  <c r="F9" i="41"/>
  <c r="G9" i="41"/>
  <c r="H9" i="41"/>
  <c r="I9" i="41"/>
  <c r="J9" i="41"/>
  <c r="K9" i="41" s="1"/>
  <c r="L9" i="41"/>
  <c r="M9" i="41"/>
  <c r="O9" i="41"/>
  <c r="P9" i="41"/>
  <c r="C10" i="41"/>
  <c r="D10" i="41"/>
  <c r="E10" i="41"/>
  <c r="G10" i="41"/>
  <c r="I10" i="41"/>
  <c r="J10" i="41"/>
  <c r="K10" i="41" s="1"/>
  <c r="L10" i="41"/>
  <c r="M10" i="41"/>
  <c r="O10" i="41"/>
  <c r="P10" i="41"/>
  <c r="C11" i="41"/>
  <c r="E11" i="41"/>
  <c r="G11" i="41"/>
  <c r="J11" i="41"/>
  <c r="L11" i="41"/>
  <c r="O11" i="41"/>
  <c r="C12" i="41"/>
  <c r="E12" i="41"/>
  <c r="F12" i="41" s="1"/>
  <c r="G12" i="41"/>
  <c r="I12" i="41" s="1"/>
  <c r="J12" i="41"/>
  <c r="L12" i="41"/>
  <c r="M12" i="41"/>
  <c r="O12" i="41"/>
  <c r="P12" i="41"/>
  <c r="C13" i="41"/>
  <c r="H13" i="41" s="1"/>
  <c r="E13" i="41"/>
  <c r="G13" i="41"/>
  <c r="J13" i="41"/>
  <c r="K13" i="41" s="1"/>
  <c r="L13" i="41"/>
  <c r="M13" i="41"/>
  <c r="O13" i="41"/>
  <c r="C14" i="41"/>
  <c r="H14" i="41" s="1"/>
  <c r="E14" i="41"/>
  <c r="G14" i="41"/>
  <c r="I14" i="41"/>
  <c r="J14" i="41"/>
  <c r="L14" i="41"/>
  <c r="O14" i="41"/>
  <c r="C15" i="41"/>
  <c r="E15" i="41"/>
  <c r="G15" i="41"/>
  <c r="J15" i="41"/>
  <c r="K15" i="41" s="1"/>
  <c r="L15" i="41"/>
  <c r="O15" i="41"/>
  <c r="P15" i="41" s="1"/>
  <c r="C16" i="41"/>
  <c r="K16" i="41" s="1"/>
  <c r="D16" i="41"/>
  <c r="E16" i="41"/>
  <c r="F16" i="41"/>
  <c r="G16" i="41"/>
  <c r="I16" i="41"/>
  <c r="J16" i="41"/>
  <c r="L16" i="41"/>
  <c r="M16" i="41"/>
  <c r="O16" i="41"/>
  <c r="P16" i="41"/>
  <c r="C17" i="41"/>
  <c r="E17" i="41"/>
  <c r="F17" i="41"/>
  <c r="G17" i="41"/>
  <c r="V18" i="16" s="1"/>
  <c r="H17" i="41"/>
  <c r="W18" i="16" s="1"/>
  <c r="AQ17" i="16" s="1"/>
  <c r="I17" i="41"/>
  <c r="J17" i="41"/>
  <c r="K17" i="41" s="1"/>
  <c r="L17" i="41"/>
  <c r="V18" i="15" s="1"/>
  <c r="M17" i="41"/>
  <c r="O17" i="41"/>
  <c r="P17" i="41"/>
  <c r="C18" i="41"/>
  <c r="D18" i="41"/>
  <c r="E18" i="41"/>
  <c r="G18" i="41"/>
  <c r="I18" i="41" s="1"/>
  <c r="J18" i="41"/>
  <c r="K18" i="41" s="1"/>
  <c r="L18" i="41"/>
  <c r="V19" i="15" s="1"/>
  <c r="M18" i="41"/>
  <c r="O18" i="41"/>
  <c r="P18" i="41"/>
  <c r="C19" i="41"/>
  <c r="F19" i="41" s="1"/>
  <c r="D19" i="41"/>
  <c r="E19" i="41"/>
  <c r="G19" i="41"/>
  <c r="J19" i="41"/>
  <c r="K19" i="41"/>
  <c r="L19" i="41"/>
  <c r="M19" i="41"/>
  <c r="O19" i="41"/>
  <c r="P19" i="41" s="1"/>
  <c r="C20" i="41"/>
  <c r="F20" i="41"/>
  <c r="G20" i="41"/>
  <c r="I20" i="41" s="1"/>
  <c r="H20" i="41"/>
  <c r="W21" i="16" s="1"/>
  <c r="J20" i="41"/>
  <c r="L20" i="41"/>
  <c r="C21" i="41"/>
  <c r="E21" i="41"/>
  <c r="G21" i="41"/>
  <c r="L21" i="41"/>
  <c r="O21" i="41"/>
  <c r="B2" i="40"/>
  <c r="C6" i="40"/>
  <c r="D6" i="40"/>
  <c r="E6" i="40"/>
  <c r="G6" i="40"/>
  <c r="J6" i="40"/>
  <c r="J20" i="40" s="1"/>
  <c r="K20" i="40" s="1"/>
  <c r="L6" i="40"/>
  <c r="M6" i="40"/>
  <c r="O6" i="40"/>
  <c r="C7" i="40"/>
  <c r="D7" i="40"/>
  <c r="E7" i="40"/>
  <c r="F7" i="40" s="1"/>
  <c r="G7" i="40"/>
  <c r="H7" i="40"/>
  <c r="U8" i="16" s="1"/>
  <c r="AP7" i="16" s="1"/>
  <c r="J7" i="40"/>
  <c r="K7" i="40" s="1"/>
  <c r="L7" i="40"/>
  <c r="O7" i="40"/>
  <c r="P7" i="40" s="1"/>
  <c r="Q7" i="40"/>
  <c r="C8" i="40"/>
  <c r="D8" i="40"/>
  <c r="E8" i="40"/>
  <c r="F8" i="40" s="1"/>
  <c r="G8" i="40"/>
  <c r="J8" i="40"/>
  <c r="K8" i="40" s="1"/>
  <c r="L8" i="40"/>
  <c r="O8" i="40"/>
  <c r="P8" i="40"/>
  <c r="C9" i="40"/>
  <c r="D9" i="40" s="1"/>
  <c r="E9" i="40"/>
  <c r="F9" i="40"/>
  <c r="G9" i="40"/>
  <c r="J9" i="40"/>
  <c r="K9" i="40" s="1"/>
  <c r="L9" i="40"/>
  <c r="O9" i="40"/>
  <c r="P9" i="40"/>
  <c r="Q9" i="40"/>
  <c r="C10" i="40"/>
  <c r="D10" i="40"/>
  <c r="E10" i="40"/>
  <c r="F10" i="40" s="1"/>
  <c r="G10" i="40"/>
  <c r="H10" i="40"/>
  <c r="I10" i="40"/>
  <c r="J10" i="40"/>
  <c r="K10" i="40" s="1"/>
  <c r="L10" i="40"/>
  <c r="M10" i="40"/>
  <c r="O10" i="40"/>
  <c r="P10" i="40" s="1"/>
  <c r="Q10" i="40"/>
  <c r="C11" i="40"/>
  <c r="D11" i="40"/>
  <c r="E11" i="40"/>
  <c r="F11" i="40" s="1"/>
  <c r="G11" i="40"/>
  <c r="H11" i="40"/>
  <c r="J11" i="40"/>
  <c r="K11" i="40"/>
  <c r="L11" i="40"/>
  <c r="M11" i="40"/>
  <c r="O11" i="40"/>
  <c r="P11" i="40" s="1"/>
  <c r="Q11" i="40"/>
  <c r="C12" i="40"/>
  <c r="D12" i="40"/>
  <c r="E12" i="40"/>
  <c r="F12" i="40" s="1"/>
  <c r="G12" i="40"/>
  <c r="H12" i="40" s="1"/>
  <c r="J12" i="40"/>
  <c r="K12" i="40" s="1"/>
  <c r="L12" i="40"/>
  <c r="O12" i="40"/>
  <c r="P12" i="40" s="1"/>
  <c r="C13" i="40"/>
  <c r="D13" i="40" s="1"/>
  <c r="E13" i="40"/>
  <c r="F13" i="40"/>
  <c r="G13" i="40"/>
  <c r="H13" i="40"/>
  <c r="J13" i="40"/>
  <c r="K13" i="40" s="1"/>
  <c r="L13" i="40"/>
  <c r="O13" i="40"/>
  <c r="P13" i="40"/>
  <c r="Q13" i="40"/>
  <c r="C14" i="40"/>
  <c r="E14" i="40"/>
  <c r="F14" i="40"/>
  <c r="G14" i="40"/>
  <c r="I14" i="40"/>
  <c r="J14" i="40"/>
  <c r="K14" i="40"/>
  <c r="L14" i="40"/>
  <c r="Q14" i="40" s="1"/>
  <c r="M14" i="40"/>
  <c r="O14" i="40"/>
  <c r="P14" i="40" s="1"/>
  <c r="C15" i="40"/>
  <c r="D15" i="40"/>
  <c r="E15" i="40"/>
  <c r="F15" i="40"/>
  <c r="G15" i="40"/>
  <c r="H15" i="40"/>
  <c r="J15" i="40"/>
  <c r="K15" i="40" s="1"/>
  <c r="L15" i="40"/>
  <c r="M15" i="40"/>
  <c r="O15" i="40"/>
  <c r="P15" i="40"/>
  <c r="C16" i="40"/>
  <c r="D16" i="40"/>
  <c r="E16" i="40"/>
  <c r="F16" i="40"/>
  <c r="G16" i="40"/>
  <c r="I16" i="40"/>
  <c r="J16" i="40"/>
  <c r="K16" i="40" s="1"/>
  <c r="L16" i="40"/>
  <c r="O16" i="40"/>
  <c r="P16" i="40"/>
  <c r="C17" i="40"/>
  <c r="D17" i="40"/>
  <c r="E17" i="40"/>
  <c r="F17" i="40"/>
  <c r="G17" i="40"/>
  <c r="J17" i="40"/>
  <c r="K17" i="40" s="1"/>
  <c r="L17" i="40"/>
  <c r="O17" i="40"/>
  <c r="P17" i="40"/>
  <c r="Q17" i="40"/>
  <c r="C18" i="40"/>
  <c r="D18" i="40"/>
  <c r="E18" i="40"/>
  <c r="F18" i="40" s="1"/>
  <c r="G18" i="40"/>
  <c r="T19" i="16" s="1"/>
  <c r="H18" i="40"/>
  <c r="U19" i="16" s="1"/>
  <c r="AP18" i="16" s="1"/>
  <c r="I18" i="40"/>
  <c r="J18" i="40"/>
  <c r="K18" i="40" s="1"/>
  <c r="L18" i="40"/>
  <c r="T19" i="15" s="1"/>
  <c r="M18" i="40"/>
  <c r="O18" i="40"/>
  <c r="P18" i="40" s="1"/>
  <c r="Q18" i="40"/>
  <c r="C19" i="40"/>
  <c r="D19" i="40"/>
  <c r="E19" i="40"/>
  <c r="F19" i="40" s="1"/>
  <c r="G19" i="40"/>
  <c r="H19" i="40"/>
  <c r="U20" i="16" s="1"/>
  <c r="AP19" i="16" s="1"/>
  <c r="J19" i="40"/>
  <c r="K19" i="40"/>
  <c r="L19" i="40"/>
  <c r="T20" i="15" s="1"/>
  <c r="M19" i="40"/>
  <c r="O19" i="40"/>
  <c r="P19" i="40" s="1"/>
  <c r="Q19" i="40"/>
  <c r="C20" i="40"/>
  <c r="L20" i="40"/>
  <c r="M20" i="40"/>
  <c r="C21" i="40"/>
  <c r="E21" i="40"/>
  <c r="G21" i="40"/>
  <c r="L21" i="40"/>
  <c r="O21" i="40"/>
  <c r="B2" i="39"/>
  <c r="C6" i="39"/>
  <c r="E6" i="39"/>
  <c r="F6" i="39" s="1"/>
  <c r="G6" i="39"/>
  <c r="J6" i="39"/>
  <c r="L6" i="39"/>
  <c r="O6" i="39"/>
  <c r="C7" i="39"/>
  <c r="E7" i="39"/>
  <c r="F7" i="39"/>
  <c r="G7" i="39"/>
  <c r="P8" i="16" s="1"/>
  <c r="H7" i="39"/>
  <c r="Q8" i="16" s="1"/>
  <c r="AO7" i="16" s="1"/>
  <c r="I7" i="39"/>
  <c r="J7" i="39"/>
  <c r="K7" i="39" s="1"/>
  <c r="L7" i="39"/>
  <c r="M7" i="39"/>
  <c r="O7" i="39"/>
  <c r="P7" i="39"/>
  <c r="C8" i="39"/>
  <c r="P8" i="39" s="1"/>
  <c r="E8" i="39"/>
  <c r="F8" i="39" s="1"/>
  <c r="G8" i="39"/>
  <c r="P9" i="16" s="1"/>
  <c r="H8" i="39"/>
  <c r="Q9" i="16" s="1"/>
  <c r="AO8" i="16" s="1"/>
  <c r="I8" i="39"/>
  <c r="J8" i="39"/>
  <c r="K8" i="39"/>
  <c r="L8" i="39"/>
  <c r="M8" i="39"/>
  <c r="O8" i="39"/>
  <c r="C9" i="39"/>
  <c r="E9" i="39"/>
  <c r="F9" i="39"/>
  <c r="G9" i="39"/>
  <c r="H9" i="39"/>
  <c r="J9" i="39"/>
  <c r="K9" i="39" s="1"/>
  <c r="L9" i="39"/>
  <c r="M9" i="39"/>
  <c r="O9" i="39"/>
  <c r="P9" i="39"/>
  <c r="C10" i="39"/>
  <c r="E10" i="39"/>
  <c r="F10" i="39"/>
  <c r="G10" i="39"/>
  <c r="H10" i="39"/>
  <c r="I10" i="39"/>
  <c r="J10" i="39"/>
  <c r="K10" i="39"/>
  <c r="L10" i="39"/>
  <c r="M10" i="39"/>
  <c r="O10" i="39"/>
  <c r="P10" i="39" s="1"/>
  <c r="C11" i="39"/>
  <c r="E11" i="39"/>
  <c r="F11" i="39"/>
  <c r="G11" i="39"/>
  <c r="H11" i="39"/>
  <c r="I11" i="39"/>
  <c r="J11" i="39"/>
  <c r="K11" i="39"/>
  <c r="L11" i="39"/>
  <c r="O11" i="39"/>
  <c r="P11" i="39" s="1"/>
  <c r="C12" i="39"/>
  <c r="E12" i="39"/>
  <c r="F12" i="39" s="1"/>
  <c r="G12" i="39"/>
  <c r="I12" i="39" s="1"/>
  <c r="H12" i="39"/>
  <c r="J12" i="39"/>
  <c r="K12" i="39"/>
  <c r="L12" i="39"/>
  <c r="M12" i="39"/>
  <c r="O12" i="39"/>
  <c r="P12" i="39"/>
  <c r="C13" i="39"/>
  <c r="E13" i="39"/>
  <c r="G13" i="39"/>
  <c r="H13" i="39"/>
  <c r="J13" i="39"/>
  <c r="K13" i="39"/>
  <c r="L13" i="39"/>
  <c r="O13" i="39"/>
  <c r="C14" i="39"/>
  <c r="E14" i="39"/>
  <c r="G14" i="39"/>
  <c r="J14" i="39"/>
  <c r="L14" i="39"/>
  <c r="O14" i="39"/>
  <c r="C15" i="39"/>
  <c r="E15" i="39"/>
  <c r="F15" i="39" s="1"/>
  <c r="G15" i="39"/>
  <c r="H15" i="39"/>
  <c r="J15" i="39"/>
  <c r="K15" i="39" s="1"/>
  <c r="L15" i="39"/>
  <c r="O15" i="39"/>
  <c r="P15" i="39" s="1"/>
  <c r="C16" i="39"/>
  <c r="P16" i="39" s="1"/>
  <c r="E16" i="39"/>
  <c r="G16" i="39"/>
  <c r="P17" i="16" s="1"/>
  <c r="H16" i="39"/>
  <c r="Q17" i="16" s="1"/>
  <c r="AO16" i="16" s="1"/>
  <c r="J16" i="39"/>
  <c r="L16" i="39"/>
  <c r="O16" i="39"/>
  <c r="C17" i="39"/>
  <c r="E17" i="39"/>
  <c r="F17" i="39" s="1"/>
  <c r="G17" i="39"/>
  <c r="H17" i="39"/>
  <c r="Q18" i="16" s="1"/>
  <c r="AO17" i="16" s="1"/>
  <c r="J17" i="39"/>
  <c r="L17" i="39"/>
  <c r="O17" i="39"/>
  <c r="C18" i="39"/>
  <c r="E18" i="39"/>
  <c r="F18" i="39" s="1"/>
  <c r="G18" i="39"/>
  <c r="P19" i="16" s="1"/>
  <c r="H18" i="39"/>
  <c r="Q19" i="16" s="1"/>
  <c r="AO18" i="16" s="1"/>
  <c r="J18" i="39"/>
  <c r="K18" i="39" s="1"/>
  <c r="L18" i="39"/>
  <c r="M18" i="39"/>
  <c r="O18" i="39"/>
  <c r="C19" i="39"/>
  <c r="E19" i="39"/>
  <c r="F19" i="39" s="1"/>
  <c r="G19" i="39"/>
  <c r="P20" i="16" s="1"/>
  <c r="H19" i="39"/>
  <c r="Q20" i="16" s="1"/>
  <c r="AO19" i="16" s="1"/>
  <c r="J19" i="39"/>
  <c r="L19" i="39"/>
  <c r="M19" i="39"/>
  <c r="O19" i="39"/>
  <c r="E20" i="39"/>
  <c r="G20" i="39"/>
  <c r="C21" i="39"/>
  <c r="E21" i="39"/>
  <c r="G21" i="39"/>
  <c r="L21" i="39"/>
  <c r="O21" i="39"/>
  <c r="B2" i="38"/>
  <c r="C6" i="38"/>
  <c r="I6" i="38" s="1"/>
  <c r="E6" i="38"/>
  <c r="G6" i="38"/>
  <c r="J6" i="38"/>
  <c r="J20" i="38" s="1"/>
  <c r="K6" i="38"/>
  <c r="L6" i="38"/>
  <c r="O6" i="38"/>
  <c r="C7" i="38"/>
  <c r="E7" i="38"/>
  <c r="F7" i="38"/>
  <c r="G7" i="38"/>
  <c r="J7" i="38"/>
  <c r="K7" i="38"/>
  <c r="L7" i="38"/>
  <c r="O7" i="38"/>
  <c r="P7" i="38"/>
  <c r="C8" i="38"/>
  <c r="E8" i="38"/>
  <c r="F8" i="38"/>
  <c r="G8" i="38"/>
  <c r="I8" i="38"/>
  <c r="J8" i="38"/>
  <c r="K8" i="38" s="1"/>
  <c r="L8" i="38"/>
  <c r="O8" i="38"/>
  <c r="P8" i="38" s="1"/>
  <c r="C9" i="38"/>
  <c r="E9" i="38"/>
  <c r="F9" i="38"/>
  <c r="G9" i="38"/>
  <c r="J9" i="38"/>
  <c r="K9" i="38" s="1"/>
  <c r="L9" i="38"/>
  <c r="O9" i="38"/>
  <c r="C10" i="38"/>
  <c r="E10" i="38"/>
  <c r="F10" i="38" s="1"/>
  <c r="G10" i="38"/>
  <c r="J10" i="38"/>
  <c r="K10" i="38" s="1"/>
  <c r="L10" i="38"/>
  <c r="M10" i="38"/>
  <c r="O10" i="38"/>
  <c r="P10" i="38" s="1"/>
  <c r="C11" i="38"/>
  <c r="E11" i="38"/>
  <c r="G11" i="38"/>
  <c r="J11" i="38"/>
  <c r="L11" i="38"/>
  <c r="O11" i="38"/>
  <c r="C12" i="38"/>
  <c r="E12" i="38"/>
  <c r="F12" i="38" s="1"/>
  <c r="G12" i="38"/>
  <c r="J12" i="38"/>
  <c r="K12" i="38" s="1"/>
  <c r="L12" i="38"/>
  <c r="M12" i="38"/>
  <c r="O12" i="38"/>
  <c r="P12" i="38" s="1"/>
  <c r="C13" i="38"/>
  <c r="E13" i="38"/>
  <c r="G13" i="38"/>
  <c r="J13" i="38"/>
  <c r="L13" i="38"/>
  <c r="O13" i="38"/>
  <c r="P13" i="38" s="1"/>
  <c r="C14" i="38"/>
  <c r="E14" i="38"/>
  <c r="F14" i="38" s="1"/>
  <c r="G14" i="38"/>
  <c r="H14" i="38"/>
  <c r="I14" i="38"/>
  <c r="J14" i="38"/>
  <c r="K14" i="38" s="1"/>
  <c r="L14" i="38"/>
  <c r="M14" i="38"/>
  <c r="O14" i="38"/>
  <c r="P14" i="38" s="1"/>
  <c r="C15" i="38"/>
  <c r="E15" i="38"/>
  <c r="F15" i="38"/>
  <c r="G15" i="38"/>
  <c r="J15" i="38"/>
  <c r="L15" i="38"/>
  <c r="M15" i="38"/>
  <c r="O15" i="38"/>
  <c r="C16" i="38"/>
  <c r="E16" i="38"/>
  <c r="F16" i="38"/>
  <c r="G16" i="38"/>
  <c r="N17" i="16" s="1"/>
  <c r="H16" i="38"/>
  <c r="O17" i="16" s="1"/>
  <c r="AN16" i="16" s="1"/>
  <c r="I16" i="38"/>
  <c r="J16" i="38"/>
  <c r="K16" i="38"/>
  <c r="L16" i="38"/>
  <c r="O16" i="38"/>
  <c r="P16" i="38"/>
  <c r="C17" i="38"/>
  <c r="E17" i="38"/>
  <c r="F17" i="38" s="1"/>
  <c r="G17" i="38"/>
  <c r="I17" i="38"/>
  <c r="J17" i="38"/>
  <c r="K17" i="38"/>
  <c r="L17" i="38"/>
  <c r="N18" i="15" s="1"/>
  <c r="M17" i="38"/>
  <c r="O17" i="38"/>
  <c r="P17" i="38" s="1"/>
  <c r="C18" i="38"/>
  <c r="E18" i="38"/>
  <c r="F18" i="38"/>
  <c r="G18" i="38"/>
  <c r="N19" i="16" s="1"/>
  <c r="H18" i="38"/>
  <c r="O19" i="16" s="1"/>
  <c r="AN18" i="16" s="1"/>
  <c r="I18" i="38"/>
  <c r="J18" i="38"/>
  <c r="K18" i="38" s="1"/>
  <c r="L18" i="38"/>
  <c r="N19" i="15" s="1"/>
  <c r="M18" i="38"/>
  <c r="O18" i="38"/>
  <c r="P18" i="38"/>
  <c r="C19" i="38"/>
  <c r="P19" i="38" s="1"/>
  <c r="E19" i="38"/>
  <c r="F19" i="38" s="1"/>
  <c r="G19" i="38"/>
  <c r="N20" i="16" s="1"/>
  <c r="H19" i="38"/>
  <c r="O20" i="16" s="1"/>
  <c r="AN19" i="16" s="1"/>
  <c r="I19" i="38"/>
  <c r="J19" i="38"/>
  <c r="K19" i="38"/>
  <c r="L19" i="38"/>
  <c r="N20" i="15" s="1"/>
  <c r="M19" i="38"/>
  <c r="O19" i="38"/>
  <c r="E20" i="38"/>
  <c r="G20" i="38"/>
  <c r="O20" i="38"/>
  <c r="C21" i="38"/>
  <c r="E21" i="38"/>
  <c r="G21" i="38"/>
  <c r="L21" i="38"/>
  <c r="O21" i="38"/>
  <c r="A1" i="57"/>
  <c r="C4" i="57"/>
  <c r="D4" i="57"/>
  <c r="E4" i="57"/>
  <c r="G4" i="57"/>
  <c r="I4" i="57"/>
  <c r="I11" i="57" s="1"/>
  <c r="D16" i="57" s="1"/>
  <c r="K4" i="57"/>
  <c r="M4" i="57"/>
  <c r="O4" i="57"/>
  <c r="Q4" i="57"/>
  <c r="Q11" i="57" s="1"/>
  <c r="C5" i="57"/>
  <c r="R5" i="57" s="1"/>
  <c r="D5" i="57"/>
  <c r="E5" i="57"/>
  <c r="G5" i="57"/>
  <c r="H5" i="57"/>
  <c r="I5" i="57"/>
  <c r="K5" i="57"/>
  <c r="M5" i="57"/>
  <c r="N5" i="57" s="1"/>
  <c r="O5" i="57"/>
  <c r="Q5" i="57"/>
  <c r="C6" i="57"/>
  <c r="D6" i="57"/>
  <c r="E6" i="57"/>
  <c r="G6" i="57"/>
  <c r="I6" i="57"/>
  <c r="K6" i="57"/>
  <c r="M6" i="57"/>
  <c r="O6" i="57"/>
  <c r="Q6" i="57"/>
  <c r="C7" i="57"/>
  <c r="R7" i="57" s="1"/>
  <c r="D7" i="57"/>
  <c r="E7" i="57"/>
  <c r="G7" i="57"/>
  <c r="H7" i="57"/>
  <c r="I7" i="57"/>
  <c r="K7" i="57"/>
  <c r="L7" i="57" s="1"/>
  <c r="M7" i="57"/>
  <c r="N7" i="57" s="1"/>
  <c r="O7" i="57"/>
  <c r="P7" i="57"/>
  <c r="Q7" i="57"/>
  <c r="C8" i="57"/>
  <c r="R8" i="57" s="1"/>
  <c r="D8" i="57"/>
  <c r="E8" i="57"/>
  <c r="G8" i="57"/>
  <c r="H8" i="57"/>
  <c r="I8" i="57"/>
  <c r="K8" i="57"/>
  <c r="L8" i="57" s="1"/>
  <c r="M8" i="57"/>
  <c r="N8" i="57" s="1"/>
  <c r="O8" i="57"/>
  <c r="P8" i="57"/>
  <c r="Q8" i="57"/>
  <c r="C9" i="57"/>
  <c r="H9" i="57" s="1"/>
  <c r="D9" i="57"/>
  <c r="E9" i="57"/>
  <c r="G9" i="57"/>
  <c r="I9" i="57"/>
  <c r="K9" i="57"/>
  <c r="L9" i="57"/>
  <c r="M9" i="57"/>
  <c r="N9" i="57"/>
  <c r="O9" i="57"/>
  <c r="Q9" i="57"/>
  <c r="R9" i="57" s="1"/>
  <c r="C10" i="57"/>
  <c r="D10" i="57"/>
  <c r="E10" i="57"/>
  <c r="F10" i="57" s="1"/>
  <c r="G10" i="57"/>
  <c r="H10" i="57" s="1"/>
  <c r="I10" i="57"/>
  <c r="K10" i="57"/>
  <c r="L10" i="57"/>
  <c r="M10" i="57"/>
  <c r="N10" i="57"/>
  <c r="O10" i="57"/>
  <c r="P10" i="57" s="1"/>
  <c r="Q10" i="57"/>
  <c r="R10" i="57"/>
  <c r="C11" i="57"/>
  <c r="D11" i="57"/>
  <c r="E12" i="57" s="1"/>
  <c r="G11" i="57"/>
  <c r="H11" i="57" s="1"/>
  <c r="M11" i="57"/>
  <c r="O11" i="57"/>
  <c r="D12" i="57"/>
  <c r="J12" i="57"/>
  <c r="P12" i="57"/>
  <c r="R12" i="57"/>
  <c r="D15" i="57"/>
  <c r="C15" i="57" s="1"/>
  <c r="D18" i="57"/>
  <c r="C18" i="57" s="1"/>
  <c r="D23" i="57"/>
  <c r="L2" i="5"/>
  <c r="N2" i="5"/>
  <c r="P2" i="5"/>
  <c r="L3" i="5"/>
  <c r="N3" i="5"/>
  <c r="P3" i="5"/>
  <c r="L4" i="5"/>
  <c r="N4" i="5"/>
  <c r="P4" i="5"/>
  <c r="R4" i="5"/>
  <c r="L5" i="5"/>
  <c r="N5" i="5"/>
  <c r="P5" i="5"/>
  <c r="R5" i="5"/>
  <c r="L6" i="5"/>
  <c r="N6" i="5"/>
  <c r="P6" i="5"/>
  <c r="R6" i="5"/>
  <c r="L7" i="5"/>
  <c r="N7" i="5"/>
  <c r="P7" i="5"/>
  <c r="R7" i="5"/>
  <c r="L8" i="5"/>
  <c r="N8" i="5"/>
  <c r="P8" i="5"/>
  <c r="R8" i="5"/>
  <c r="L9" i="5"/>
  <c r="N9" i="5"/>
  <c r="P9" i="5"/>
  <c r="R9" i="5"/>
  <c r="L10" i="5"/>
  <c r="N10" i="5"/>
  <c r="P10" i="5"/>
  <c r="R10" i="5"/>
  <c r="L11" i="5"/>
  <c r="N11" i="5"/>
  <c r="P11" i="5"/>
  <c r="R11" i="5"/>
  <c r="L12" i="5"/>
  <c r="N12" i="5"/>
  <c r="P12" i="5"/>
  <c r="R12" i="5"/>
  <c r="L13" i="5"/>
  <c r="N13" i="5"/>
  <c r="P13" i="5"/>
  <c r="R13" i="5"/>
  <c r="L14" i="5"/>
  <c r="N14" i="5"/>
  <c r="P14" i="5"/>
  <c r="R14" i="5"/>
  <c r="L15" i="5"/>
  <c r="N15" i="5"/>
  <c r="P15" i="5"/>
  <c r="R15" i="5"/>
  <c r="L16" i="5"/>
  <c r="N16" i="5"/>
  <c r="P16" i="5"/>
  <c r="R16" i="5"/>
  <c r="L17" i="5"/>
  <c r="N17" i="5"/>
  <c r="P17" i="5"/>
  <c r="R17" i="5"/>
  <c r="L18" i="5"/>
  <c r="N18" i="5"/>
  <c r="P18" i="5"/>
  <c r="R18" i="5"/>
  <c r="L19" i="5"/>
  <c r="N19" i="5"/>
  <c r="P19" i="5"/>
  <c r="R19" i="5"/>
  <c r="L20" i="5"/>
  <c r="N20" i="5"/>
  <c r="P20" i="5"/>
  <c r="R20" i="5"/>
  <c r="L21" i="5"/>
  <c r="N21" i="5"/>
  <c r="P21" i="5"/>
  <c r="R21" i="5"/>
  <c r="L22" i="5"/>
  <c r="N22" i="5"/>
  <c r="P22" i="5"/>
  <c r="R22" i="5"/>
  <c r="L23" i="5"/>
  <c r="N23" i="5"/>
  <c r="P23" i="5"/>
  <c r="R23" i="5"/>
  <c r="L24" i="5"/>
  <c r="N24" i="5"/>
  <c r="P24" i="5"/>
  <c r="R24" i="5"/>
  <c r="L25" i="5"/>
  <c r="N25" i="5"/>
  <c r="P25" i="5"/>
  <c r="R25" i="5"/>
  <c r="L26" i="5"/>
  <c r="N26" i="5"/>
  <c r="P26" i="5"/>
  <c r="R26" i="5"/>
  <c r="L27" i="5"/>
  <c r="N27" i="5"/>
  <c r="P27" i="5"/>
  <c r="R27" i="5"/>
  <c r="L28" i="5"/>
  <c r="N28" i="5"/>
  <c r="P28" i="5"/>
  <c r="R28" i="5"/>
  <c r="L29" i="5"/>
  <c r="N29" i="5"/>
  <c r="P29" i="5"/>
  <c r="R29" i="5"/>
  <c r="L30" i="5"/>
  <c r="N30" i="5"/>
  <c r="P30" i="5"/>
  <c r="R30" i="5"/>
  <c r="L31" i="5"/>
  <c r="N31" i="5"/>
  <c r="P31" i="5"/>
  <c r="R31" i="5"/>
  <c r="L32" i="5"/>
  <c r="N32" i="5"/>
  <c r="P32" i="5"/>
  <c r="R32" i="5"/>
  <c r="L33" i="5"/>
  <c r="N33" i="5"/>
  <c r="P33" i="5"/>
  <c r="R33" i="5"/>
  <c r="L34" i="5"/>
  <c r="N34" i="5"/>
  <c r="P34" i="5"/>
  <c r="R34" i="5"/>
  <c r="L35" i="5"/>
  <c r="N35" i="5"/>
  <c r="P35" i="5"/>
  <c r="R35" i="5"/>
  <c r="L36" i="5"/>
  <c r="N36" i="5"/>
  <c r="P36" i="5"/>
  <c r="R36" i="5"/>
  <c r="L37" i="5"/>
  <c r="N37" i="5"/>
  <c r="P37" i="5"/>
  <c r="R37" i="5"/>
  <c r="L38" i="5"/>
  <c r="N38" i="5"/>
  <c r="P38" i="5"/>
  <c r="R38" i="5"/>
  <c r="L39" i="5"/>
  <c r="N39" i="5"/>
  <c r="P39" i="5"/>
  <c r="R39" i="5"/>
  <c r="L40" i="5"/>
  <c r="N40" i="5"/>
  <c r="P40" i="5"/>
  <c r="R40" i="5"/>
  <c r="L41" i="5"/>
  <c r="N41" i="5"/>
  <c r="P41" i="5"/>
  <c r="R41" i="5"/>
  <c r="L42" i="5"/>
  <c r="N42" i="5"/>
  <c r="P42" i="5"/>
  <c r="R42" i="5"/>
  <c r="L43" i="5"/>
  <c r="N43" i="5"/>
  <c r="P43" i="5"/>
  <c r="R43" i="5"/>
  <c r="L44" i="5"/>
  <c r="N44" i="5"/>
  <c r="P44" i="5"/>
  <c r="R44" i="5"/>
  <c r="L45" i="5"/>
  <c r="N45" i="5"/>
  <c r="P45" i="5"/>
  <c r="R45" i="5"/>
  <c r="L46" i="5"/>
  <c r="N46" i="5"/>
  <c r="P46" i="5"/>
  <c r="R46" i="5"/>
  <c r="L47" i="5"/>
  <c r="N47" i="5"/>
  <c r="P47" i="5"/>
  <c r="R47" i="5"/>
  <c r="L48" i="5"/>
  <c r="N48" i="5"/>
  <c r="P48" i="5"/>
  <c r="R48" i="5"/>
  <c r="L49" i="5"/>
  <c r="N49" i="5"/>
  <c r="P49" i="5"/>
  <c r="R49" i="5"/>
  <c r="L50" i="5"/>
  <c r="N50" i="5"/>
  <c r="P50" i="5"/>
  <c r="R50" i="5"/>
  <c r="L51" i="5"/>
  <c r="N51" i="5"/>
  <c r="P51" i="5"/>
  <c r="R51" i="5"/>
  <c r="L52" i="5"/>
  <c r="N52" i="5"/>
  <c r="P52" i="5"/>
  <c r="R52" i="5"/>
  <c r="L53" i="5"/>
  <c r="N53" i="5"/>
  <c r="P53" i="5"/>
  <c r="R53" i="5"/>
  <c r="L54" i="5"/>
  <c r="N54" i="5"/>
  <c r="P54" i="5"/>
  <c r="R54" i="5"/>
  <c r="L55" i="5"/>
  <c r="N55" i="5"/>
  <c r="P55" i="5"/>
  <c r="R55" i="5"/>
  <c r="L56" i="5"/>
  <c r="N56" i="5"/>
  <c r="P56" i="5"/>
  <c r="R56" i="5"/>
  <c r="L57" i="5"/>
  <c r="N57" i="5"/>
  <c r="P57" i="5"/>
  <c r="R57" i="5"/>
  <c r="L58" i="5"/>
  <c r="N58" i="5"/>
  <c r="P58" i="5"/>
  <c r="R58" i="5"/>
  <c r="L59" i="5"/>
  <c r="N59" i="5"/>
  <c r="P59" i="5"/>
  <c r="R59" i="5"/>
  <c r="L60" i="5"/>
  <c r="N60" i="5"/>
  <c r="P60" i="5"/>
  <c r="R60" i="5"/>
  <c r="L61" i="5"/>
  <c r="N61" i="5"/>
  <c r="P61" i="5"/>
  <c r="R61" i="5"/>
  <c r="L62" i="5"/>
  <c r="N62" i="5"/>
  <c r="P62" i="5"/>
  <c r="R62" i="5"/>
  <c r="L63" i="5"/>
  <c r="N63" i="5"/>
  <c r="P63" i="5"/>
  <c r="R63" i="5"/>
  <c r="L64" i="5"/>
  <c r="N64" i="5"/>
  <c r="P64" i="5"/>
  <c r="R64" i="5"/>
  <c r="L65" i="5"/>
  <c r="N65" i="5"/>
  <c r="P65" i="5"/>
  <c r="R65" i="5"/>
  <c r="L66" i="5"/>
  <c r="N66" i="5"/>
  <c r="P66" i="5"/>
  <c r="R66" i="5"/>
  <c r="L67" i="5"/>
  <c r="N67" i="5"/>
  <c r="P67" i="5"/>
  <c r="R67" i="5"/>
  <c r="L68" i="5"/>
  <c r="N68" i="5"/>
  <c r="P68" i="5"/>
  <c r="R68" i="5"/>
  <c r="L69" i="5"/>
  <c r="N69" i="5"/>
  <c r="P69" i="5"/>
  <c r="R69" i="5"/>
  <c r="L70" i="5"/>
  <c r="N70" i="5"/>
  <c r="P70" i="5"/>
  <c r="R70" i="5"/>
  <c r="L71" i="5"/>
  <c r="N71" i="5"/>
  <c r="P71" i="5"/>
  <c r="R71" i="5"/>
  <c r="L72" i="5"/>
  <c r="N72" i="5"/>
  <c r="P72" i="5"/>
  <c r="R72" i="5"/>
  <c r="L73" i="5"/>
  <c r="N73" i="5"/>
  <c r="P73" i="5"/>
  <c r="R73" i="5"/>
  <c r="L74" i="5"/>
  <c r="N74" i="5"/>
  <c r="P74" i="5"/>
  <c r="R74" i="5"/>
  <c r="L75" i="5"/>
  <c r="N75" i="5"/>
  <c r="P75" i="5"/>
  <c r="R75" i="5"/>
  <c r="L76" i="5"/>
  <c r="N76" i="5"/>
  <c r="P76" i="5"/>
  <c r="R76" i="5"/>
  <c r="L77" i="5"/>
  <c r="N77" i="5"/>
  <c r="P77" i="5"/>
  <c r="R77" i="5"/>
  <c r="L78" i="5"/>
  <c r="N78" i="5"/>
  <c r="P78" i="5"/>
  <c r="R78" i="5"/>
  <c r="L79" i="5"/>
  <c r="N79" i="5"/>
  <c r="P79" i="5"/>
  <c r="R79" i="5"/>
  <c r="L80" i="5"/>
  <c r="N80" i="5"/>
  <c r="P80" i="5"/>
  <c r="R80" i="5"/>
  <c r="L81" i="5"/>
  <c r="N81" i="5"/>
  <c r="P81" i="5"/>
  <c r="R81" i="5"/>
  <c r="L82" i="5"/>
  <c r="N82" i="5"/>
  <c r="P82" i="5"/>
  <c r="R82" i="5"/>
  <c r="L83" i="5"/>
  <c r="N83" i="5"/>
  <c r="P83" i="5"/>
  <c r="R83" i="5"/>
  <c r="L84" i="5"/>
  <c r="N84" i="5"/>
  <c r="P84" i="5"/>
  <c r="R84" i="5"/>
  <c r="L85" i="5"/>
  <c r="N85" i="5"/>
  <c r="P85" i="5"/>
  <c r="R85" i="5"/>
  <c r="L86" i="5"/>
  <c r="N86" i="5"/>
  <c r="P86" i="5"/>
  <c r="R86" i="5"/>
  <c r="L87" i="5"/>
  <c r="N87" i="5"/>
  <c r="P87" i="5"/>
  <c r="R87" i="5"/>
  <c r="L88" i="5"/>
  <c r="N88" i="5"/>
  <c r="P88" i="5"/>
  <c r="R88" i="5"/>
  <c r="L89" i="5"/>
  <c r="N89" i="5"/>
  <c r="P89" i="5"/>
  <c r="R89" i="5"/>
  <c r="L90" i="5"/>
  <c r="N90" i="5"/>
  <c r="P90" i="5"/>
  <c r="R90" i="5"/>
  <c r="L91" i="5"/>
  <c r="N91" i="5"/>
  <c r="P91" i="5"/>
  <c r="R91" i="5"/>
  <c r="L92" i="5"/>
  <c r="N92" i="5"/>
  <c r="P92" i="5"/>
  <c r="R92" i="5"/>
  <c r="L93" i="5"/>
  <c r="N93" i="5"/>
  <c r="P93" i="5"/>
  <c r="R93" i="5"/>
  <c r="L94" i="5"/>
  <c r="N94" i="5"/>
  <c r="P94" i="5"/>
  <c r="R94" i="5"/>
  <c r="L95" i="5"/>
  <c r="N95" i="5"/>
  <c r="P95" i="5"/>
  <c r="R95" i="5"/>
  <c r="L96" i="5"/>
  <c r="N96" i="5"/>
  <c r="P96" i="5"/>
  <c r="R96" i="5"/>
  <c r="L97" i="5"/>
  <c r="N97" i="5"/>
  <c r="P97" i="5"/>
  <c r="R97" i="5"/>
  <c r="L98" i="5"/>
  <c r="N98" i="5"/>
  <c r="P98" i="5"/>
  <c r="R98" i="5"/>
  <c r="L99" i="5"/>
  <c r="N99" i="5"/>
  <c r="P99" i="5"/>
  <c r="R99" i="5"/>
  <c r="L100" i="5"/>
  <c r="N100" i="5"/>
  <c r="P100" i="5"/>
  <c r="R100" i="5"/>
  <c r="L101" i="5"/>
  <c r="N101" i="5"/>
  <c r="P101" i="5"/>
  <c r="R101" i="5"/>
  <c r="L102" i="5"/>
  <c r="N102" i="5"/>
  <c r="P102" i="5"/>
  <c r="R102" i="5"/>
  <c r="L103" i="5"/>
  <c r="N103" i="5"/>
  <c r="P103" i="5"/>
  <c r="R103" i="5"/>
  <c r="L104" i="5"/>
  <c r="N104" i="5"/>
  <c r="P104" i="5"/>
  <c r="R104" i="5"/>
  <c r="L105" i="5"/>
  <c r="N105" i="5"/>
  <c r="P105" i="5"/>
  <c r="R105" i="5"/>
  <c r="L106" i="5"/>
  <c r="N106" i="5"/>
  <c r="P106" i="5"/>
  <c r="R106" i="5"/>
  <c r="L107" i="5"/>
  <c r="N107" i="5"/>
  <c r="P107" i="5"/>
  <c r="R107" i="5"/>
  <c r="L108" i="5"/>
  <c r="N108" i="5"/>
  <c r="P108" i="5"/>
  <c r="R108" i="5"/>
  <c r="L109" i="5"/>
  <c r="N109" i="5"/>
  <c r="P109" i="5"/>
  <c r="R109" i="5"/>
  <c r="L110" i="5"/>
  <c r="N110" i="5"/>
  <c r="P110" i="5"/>
  <c r="R110" i="5"/>
  <c r="L111" i="5"/>
  <c r="N111" i="5"/>
  <c r="P111" i="5"/>
  <c r="R111" i="5"/>
  <c r="L112" i="5"/>
  <c r="N112" i="5"/>
  <c r="P112" i="5"/>
  <c r="R112" i="5"/>
  <c r="L113" i="5"/>
  <c r="N113" i="5"/>
  <c r="P113" i="5"/>
  <c r="R113" i="5"/>
  <c r="L114" i="5"/>
  <c r="N114" i="5"/>
  <c r="P114" i="5"/>
  <c r="R114" i="5"/>
  <c r="L115" i="5"/>
  <c r="N115" i="5"/>
  <c r="P115" i="5"/>
  <c r="R115" i="5"/>
  <c r="L116" i="5"/>
  <c r="N116" i="5"/>
  <c r="P116" i="5"/>
  <c r="R116" i="5"/>
  <c r="L117" i="5"/>
  <c r="N117" i="5"/>
  <c r="P117" i="5"/>
  <c r="R117" i="5"/>
  <c r="L118" i="5"/>
  <c r="N118" i="5"/>
  <c r="P118" i="5"/>
  <c r="R118" i="5"/>
  <c r="L119" i="5"/>
  <c r="N119" i="5"/>
  <c r="P119" i="5"/>
  <c r="R119" i="5"/>
  <c r="L120" i="5"/>
  <c r="N120" i="5"/>
  <c r="P120" i="5"/>
  <c r="R120" i="5"/>
  <c r="L121" i="5"/>
  <c r="N121" i="5"/>
  <c r="P121" i="5"/>
  <c r="R121" i="5"/>
  <c r="L122" i="5"/>
  <c r="N122" i="5"/>
  <c r="P122" i="5"/>
  <c r="R122" i="5"/>
  <c r="L123" i="5"/>
  <c r="N123" i="5"/>
  <c r="P123" i="5"/>
  <c r="R123" i="5"/>
  <c r="L124" i="5"/>
  <c r="N124" i="5"/>
  <c r="P124" i="5"/>
  <c r="R124" i="5"/>
  <c r="L125" i="5"/>
  <c r="N125" i="5"/>
  <c r="P125" i="5"/>
  <c r="R125" i="5"/>
  <c r="L126" i="5"/>
  <c r="N126" i="5"/>
  <c r="P126" i="5"/>
  <c r="R126" i="5"/>
  <c r="L127" i="5"/>
  <c r="N127" i="5"/>
  <c r="P127" i="5"/>
  <c r="R127" i="5"/>
  <c r="L128" i="5"/>
  <c r="N128" i="5"/>
  <c r="P128" i="5"/>
  <c r="R128" i="5"/>
  <c r="L129" i="5"/>
  <c r="N129" i="5"/>
  <c r="P129" i="5"/>
  <c r="R129" i="5"/>
  <c r="L130" i="5"/>
  <c r="N130" i="5"/>
  <c r="P130" i="5"/>
  <c r="R130" i="5"/>
  <c r="L131" i="5"/>
  <c r="N131" i="5"/>
  <c r="P131" i="5"/>
  <c r="R131" i="5"/>
  <c r="L132" i="5"/>
  <c r="N132" i="5"/>
  <c r="P132" i="5"/>
  <c r="R132" i="5"/>
  <c r="L133" i="5"/>
  <c r="N133" i="5"/>
  <c r="P133" i="5"/>
  <c r="R133" i="5"/>
  <c r="L134" i="5"/>
  <c r="N134" i="5"/>
  <c r="P134" i="5"/>
  <c r="R134" i="5"/>
  <c r="L135" i="5"/>
  <c r="N135" i="5"/>
  <c r="P135" i="5"/>
  <c r="R135" i="5"/>
  <c r="L136" i="5"/>
  <c r="N136" i="5"/>
  <c r="P136" i="5"/>
  <c r="R136" i="5"/>
  <c r="L137" i="5"/>
  <c r="N137" i="5"/>
  <c r="P137" i="5"/>
  <c r="R137" i="5"/>
  <c r="L138" i="5"/>
  <c r="N138" i="5"/>
  <c r="P138" i="5"/>
  <c r="R138" i="5"/>
  <c r="L139" i="5"/>
  <c r="N139" i="5"/>
  <c r="P139" i="5"/>
  <c r="R139" i="5"/>
  <c r="L140" i="5"/>
  <c r="N140" i="5"/>
  <c r="P140" i="5"/>
  <c r="R140" i="5"/>
  <c r="L141" i="5"/>
  <c r="N141" i="5"/>
  <c r="P141" i="5"/>
  <c r="R141" i="5"/>
  <c r="L142" i="5"/>
  <c r="N142" i="5"/>
  <c r="P142" i="5"/>
  <c r="R142" i="5"/>
  <c r="L143" i="5"/>
  <c r="N143" i="5"/>
  <c r="P143" i="5"/>
  <c r="R143" i="5"/>
  <c r="L144" i="5"/>
  <c r="N144" i="5"/>
  <c r="P144" i="5"/>
  <c r="R144" i="5"/>
  <c r="L145" i="5"/>
  <c r="N145" i="5"/>
  <c r="P145" i="5"/>
  <c r="R145" i="5"/>
  <c r="L146" i="5"/>
  <c r="N146" i="5"/>
  <c r="P146" i="5"/>
  <c r="R146" i="5"/>
  <c r="L147" i="5"/>
  <c r="N147" i="5"/>
  <c r="P147" i="5"/>
  <c r="R147" i="5"/>
  <c r="L148" i="5"/>
  <c r="N148" i="5"/>
  <c r="P148" i="5"/>
  <c r="R148" i="5"/>
  <c r="L149" i="5"/>
  <c r="N149" i="5"/>
  <c r="P149" i="5"/>
  <c r="R149" i="5"/>
  <c r="L150" i="5"/>
  <c r="N150" i="5"/>
  <c r="P150" i="5"/>
  <c r="R150" i="5"/>
  <c r="L151" i="5"/>
  <c r="N151" i="5"/>
  <c r="P151" i="5"/>
  <c r="R151" i="5"/>
  <c r="L152" i="5"/>
  <c r="N152" i="5"/>
  <c r="P152" i="5"/>
  <c r="R152" i="5"/>
  <c r="L153" i="5"/>
  <c r="N153" i="5"/>
  <c r="P153" i="5"/>
  <c r="R153" i="5"/>
  <c r="L154" i="5"/>
  <c r="N154" i="5"/>
  <c r="P154" i="5"/>
  <c r="R154" i="5"/>
  <c r="L155" i="5"/>
  <c r="N155" i="5"/>
  <c r="P155" i="5"/>
  <c r="R155" i="5"/>
  <c r="L156" i="5"/>
  <c r="N156" i="5"/>
  <c r="P156" i="5"/>
  <c r="R156" i="5"/>
  <c r="L157" i="5"/>
  <c r="N157" i="5"/>
  <c r="P157" i="5"/>
  <c r="R157" i="5"/>
  <c r="L158" i="5"/>
  <c r="N158" i="5"/>
  <c r="P158" i="5"/>
  <c r="R158" i="5"/>
  <c r="L159" i="5"/>
  <c r="N159" i="5"/>
  <c r="P159" i="5"/>
  <c r="R159" i="5"/>
  <c r="L160" i="5"/>
  <c r="N160" i="5"/>
  <c r="P160" i="5"/>
  <c r="R160" i="5"/>
  <c r="L161" i="5"/>
  <c r="N161" i="5"/>
  <c r="P161" i="5"/>
  <c r="R161" i="5"/>
  <c r="L162" i="5"/>
  <c r="N162" i="5"/>
  <c r="P162" i="5"/>
  <c r="R162" i="5"/>
  <c r="L163" i="5"/>
  <c r="N163" i="5"/>
  <c r="P163" i="5"/>
  <c r="R163" i="5"/>
  <c r="L164" i="5"/>
  <c r="N164" i="5"/>
  <c r="P164" i="5"/>
  <c r="R164" i="5"/>
  <c r="L165" i="5"/>
  <c r="N165" i="5"/>
  <c r="P165" i="5"/>
  <c r="R165" i="5"/>
  <c r="L166" i="5"/>
  <c r="N166" i="5"/>
  <c r="P166" i="5"/>
  <c r="R166" i="5"/>
  <c r="L167" i="5"/>
  <c r="N167" i="5"/>
  <c r="P167" i="5"/>
  <c r="R167" i="5"/>
  <c r="L168" i="5"/>
  <c r="N168" i="5"/>
  <c r="P168" i="5"/>
  <c r="R168" i="5"/>
  <c r="L169" i="5"/>
  <c r="N169" i="5"/>
  <c r="P169" i="5"/>
  <c r="R169" i="5"/>
  <c r="L170" i="5"/>
  <c r="N170" i="5"/>
  <c r="P170" i="5"/>
  <c r="R170" i="5"/>
  <c r="L171" i="5"/>
  <c r="N171" i="5"/>
  <c r="P171" i="5"/>
  <c r="R171" i="5"/>
  <c r="L172" i="5"/>
  <c r="N172" i="5"/>
  <c r="P172" i="5"/>
  <c r="R172" i="5"/>
  <c r="L173" i="5"/>
  <c r="N173" i="5"/>
  <c r="P173" i="5"/>
  <c r="R173" i="5"/>
  <c r="L174" i="5"/>
  <c r="N174" i="5"/>
  <c r="P174" i="5"/>
  <c r="R174" i="5"/>
  <c r="L175" i="5"/>
  <c r="N175" i="5"/>
  <c r="P175" i="5"/>
  <c r="R175" i="5"/>
  <c r="L176" i="5"/>
  <c r="N176" i="5"/>
  <c r="P176" i="5"/>
  <c r="R176" i="5"/>
  <c r="L177" i="5"/>
  <c r="N177" i="5"/>
  <c r="P177" i="5"/>
  <c r="R177" i="5"/>
  <c r="L178" i="5"/>
  <c r="N178" i="5"/>
  <c r="P178" i="5"/>
  <c r="R178" i="5"/>
  <c r="L179" i="5"/>
  <c r="N179" i="5"/>
  <c r="P179" i="5"/>
  <c r="R179" i="5"/>
  <c r="L180" i="5"/>
  <c r="N180" i="5"/>
  <c r="P180" i="5"/>
  <c r="R180" i="5"/>
  <c r="L181" i="5"/>
  <c r="N181" i="5"/>
  <c r="P181" i="5"/>
  <c r="R181" i="5"/>
  <c r="L182" i="5"/>
  <c r="N182" i="5"/>
  <c r="P182" i="5"/>
  <c r="R182" i="5"/>
  <c r="L183" i="5"/>
  <c r="N183" i="5"/>
  <c r="P183" i="5"/>
  <c r="R183" i="5"/>
  <c r="L184" i="5"/>
  <c r="N184" i="5"/>
  <c r="P184" i="5"/>
  <c r="R184" i="5"/>
  <c r="L185" i="5"/>
  <c r="N185" i="5"/>
  <c r="P185" i="5"/>
  <c r="R185" i="5"/>
  <c r="L186" i="5"/>
  <c r="N186" i="5"/>
  <c r="P186" i="5"/>
  <c r="R186" i="5"/>
  <c r="L187" i="5"/>
  <c r="N187" i="5"/>
  <c r="P187" i="5"/>
  <c r="R187" i="5"/>
  <c r="L188" i="5"/>
  <c r="N188" i="5"/>
  <c r="P188" i="5"/>
  <c r="R188" i="5"/>
  <c r="L189" i="5"/>
  <c r="N189" i="5"/>
  <c r="P189" i="5"/>
  <c r="R189" i="5"/>
  <c r="L190" i="5"/>
  <c r="N190" i="5"/>
  <c r="P190" i="5"/>
  <c r="R190" i="5"/>
  <c r="L191" i="5"/>
  <c r="N191" i="5"/>
  <c r="P191" i="5"/>
  <c r="R191" i="5"/>
  <c r="L192" i="5"/>
  <c r="N192" i="5"/>
  <c r="P192" i="5"/>
  <c r="R192" i="5"/>
  <c r="L193" i="5"/>
  <c r="N193" i="5"/>
  <c r="P193" i="5"/>
  <c r="R193" i="5"/>
  <c r="L194" i="5"/>
  <c r="N194" i="5"/>
  <c r="P194" i="5"/>
  <c r="R194" i="5"/>
  <c r="L195" i="5"/>
  <c r="N195" i="5"/>
  <c r="P195" i="5"/>
  <c r="R195" i="5"/>
  <c r="L196" i="5"/>
  <c r="N196" i="5"/>
  <c r="P196" i="5"/>
  <c r="R196" i="5"/>
  <c r="L197" i="5"/>
  <c r="N197" i="5"/>
  <c r="P197" i="5"/>
  <c r="R197" i="5"/>
  <c r="L198" i="5"/>
  <c r="N198" i="5"/>
  <c r="P198" i="5"/>
  <c r="R198" i="5"/>
  <c r="L199" i="5"/>
  <c r="N199" i="5"/>
  <c r="P199" i="5"/>
  <c r="R199" i="5"/>
  <c r="L200" i="5"/>
  <c r="N200" i="5"/>
  <c r="P200" i="5"/>
  <c r="R200" i="5"/>
  <c r="L201" i="5"/>
  <c r="N201" i="5"/>
  <c r="P201" i="5"/>
  <c r="R201" i="5"/>
  <c r="L202" i="5"/>
  <c r="N202" i="5"/>
  <c r="P202" i="5"/>
  <c r="R202" i="5"/>
  <c r="L203" i="5"/>
  <c r="N203" i="5"/>
  <c r="P203" i="5"/>
  <c r="R203" i="5"/>
  <c r="L204" i="5"/>
  <c r="N204" i="5"/>
  <c r="P204" i="5"/>
  <c r="R204" i="5"/>
  <c r="L205" i="5"/>
  <c r="N205" i="5"/>
  <c r="P205" i="5"/>
  <c r="R205" i="5"/>
  <c r="L206" i="5"/>
  <c r="N206" i="5"/>
  <c r="P206" i="5"/>
  <c r="R206" i="5"/>
  <c r="L207" i="5"/>
  <c r="N207" i="5"/>
  <c r="P207" i="5"/>
  <c r="R207" i="5"/>
  <c r="L208" i="5"/>
  <c r="N208" i="5"/>
  <c r="P208" i="5"/>
  <c r="R208" i="5"/>
  <c r="L209" i="5"/>
  <c r="N209" i="5"/>
  <c r="P209" i="5"/>
  <c r="R209" i="5"/>
  <c r="L210" i="5"/>
  <c r="N210" i="5"/>
  <c r="P210" i="5"/>
  <c r="R210" i="5"/>
  <c r="L211" i="5"/>
  <c r="N211" i="5"/>
  <c r="P211" i="5"/>
  <c r="R211" i="5"/>
  <c r="L212" i="5"/>
  <c r="N212" i="5"/>
  <c r="P212" i="5"/>
  <c r="R212" i="5"/>
  <c r="L213" i="5"/>
  <c r="N213" i="5"/>
  <c r="P213" i="5"/>
  <c r="R213" i="5"/>
  <c r="L214" i="5"/>
  <c r="N214" i="5"/>
  <c r="P214" i="5"/>
  <c r="R214" i="5"/>
  <c r="L215" i="5"/>
  <c r="N215" i="5"/>
  <c r="P215" i="5"/>
  <c r="R215" i="5"/>
  <c r="L216" i="5"/>
  <c r="N216" i="5"/>
  <c r="P216" i="5"/>
  <c r="R216" i="5"/>
  <c r="L217" i="5"/>
  <c r="N217" i="5"/>
  <c r="P217" i="5"/>
  <c r="R217" i="5"/>
  <c r="L218" i="5"/>
  <c r="N218" i="5"/>
  <c r="P218" i="5"/>
  <c r="R218" i="5"/>
  <c r="L219" i="5"/>
  <c r="N219" i="5"/>
  <c r="P219" i="5"/>
  <c r="R219" i="5"/>
  <c r="L220" i="5"/>
  <c r="N220" i="5"/>
  <c r="P220" i="5"/>
  <c r="R220" i="5"/>
  <c r="L221" i="5"/>
  <c r="N221" i="5"/>
  <c r="P221" i="5"/>
  <c r="R221" i="5"/>
  <c r="L222" i="5"/>
  <c r="N222" i="5"/>
  <c r="P222" i="5"/>
  <c r="R222" i="5"/>
  <c r="L223" i="5"/>
  <c r="N223" i="5"/>
  <c r="P223" i="5"/>
  <c r="R223" i="5"/>
  <c r="L224" i="5"/>
  <c r="N224" i="5"/>
  <c r="P224" i="5"/>
  <c r="R224" i="5"/>
  <c r="L225" i="5"/>
  <c r="N225" i="5"/>
  <c r="P225" i="5"/>
  <c r="R225" i="5"/>
  <c r="L226" i="5"/>
  <c r="N226" i="5"/>
  <c r="P226" i="5"/>
  <c r="R226" i="5"/>
  <c r="L227" i="5"/>
  <c r="N227" i="5"/>
  <c r="P227" i="5"/>
  <c r="R227" i="5"/>
  <c r="L228" i="5"/>
  <c r="N228" i="5"/>
  <c r="P228" i="5"/>
  <c r="R228" i="5"/>
  <c r="L229" i="5"/>
  <c r="N229" i="5"/>
  <c r="P229" i="5"/>
  <c r="R229" i="5"/>
  <c r="L230" i="5"/>
  <c r="N230" i="5"/>
  <c r="P230" i="5"/>
  <c r="R230" i="5"/>
  <c r="L231" i="5"/>
  <c r="N231" i="5"/>
  <c r="P231" i="5"/>
  <c r="R231" i="5"/>
  <c r="L232" i="5"/>
  <c r="N232" i="5"/>
  <c r="P232" i="5"/>
  <c r="R232" i="5"/>
  <c r="L233" i="5"/>
  <c r="N233" i="5"/>
  <c r="P233" i="5"/>
  <c r="R233" i="5"/>
  <c r="L234" i="5"/>
  <c r="N234" i="5"/>
  <c r="P234" i="5"/>
  <c r="R234" i="5"/>
  <c r="L235" i="5"/>
  <c r="N235" i="5"/>
  <c r="P235" i="5"/>
  <c r="R235" i="5"/>
  <c r="L236" i="5"/>
  <c r="N236" i="5"/>
  <c r="P236" i="5"/>
  <c r="R236" i="5"/>
  <c r="L237" i="5"/>
  <c r="N237" i="5"/>
  <c r="P237" i="5"/>
  <c r="R237" i="5"/>
  <c r="L238" i="5"/>
  <c r="N238" i="5"/>
  <c r="P238" i="5"/>
  <c r="R238" i="5"/>
  <c r="L239" i="5"/>
  <c r="N239" i="5"/>
  <c r="P239" i="5"/>
  <c r="R239" i="5"/>
  <c r="L240" i="5"/>
  <c r="N240" i="5"/>
  <c r="P240" i="5"/>
  <c r="R240" i="5"/>
  <c r="L241" i="5"/>
  <c r="N241" i="5"/>
  <c r="P241" i="5"/>
  <c r="R241" i="5"/>
  <c r="L242" i="5"/>
  <c r="N242" i="5"/>
  <c r="P242" i="5"/>
  <c r="R242" i="5"/>
  <c r="L243" i="5"/>
  <c r="N243" i="5"/>
  <c r="P243" i="5"/>
  <c r="R243" i="5"/>
  <c r="L244" i="5"/>
  <c r="N244" i="5"/>
  <c r="P244" i="5"/>
  <c r="R244" i="5"/>
  <c r="L245" i="5"/>
  <c r="N245" i="5"/>
  <c r="P245" i="5"/>
  <c r="R245" i="5"/>
  <c r="L246" i="5"/>
  <c r="N246" i="5"/>
  <c r="P246" i="5"/>
  <c r="R246" i="5"/>
  <c r="L247" i="5"/>
  <c r="N247" i="5"/>
  <c r="P247" i="5"/>
  <c r="R247" i="5"/>
  <c r="L248" i="5"/>
  <c r="N248" i="5"/>
  <c r="P248" i="5"/>
  <c r="R248" i="5"/>
  <c r="L249" i="5"/>
  <c r="N249" i="5"/>
  <c r="P249" i="5"/>
  <c r="R249" i="5"/>
  <c r="L250" i="5"/>
  <c r="N250" i="5"/>
  <c r="P250" i="5"/>
  <c r="R250" i="5"/>
  <c r="L251" i="5"/>
  <c r="N251" i="5"/>
  <c r="P251" i="5"/>
  <c r="R251" i="5"/>
  <c r="L252" i="5"/>
  <c r="N252" i="5"/>
  <c r="P252" i="5"/>
  <c r="R252" i="5"/>
  <c r="L253" i="5"/>
  <c r="N253" i="5"/>
  <c r="P253" i="5"/>
  <c r="R253" i="5"/>
  <c r="L254" i="5"/>
  <c r="N254" i="5"/>
  <c r="P254" i="5"/>
  <c r="R254" i="5"/>
  <c r="L255" i="5"/>
  <c r="N255" i="5"/>
  <c r="P255" i="5"/>
  <c r="R255" i="5"/>
  <c r="L256" i="5"/>
  <c r="N256" i="5"/>
  <c r="P256" i="5"/>
  <c r="R256" i="5"/>
  <c r="L257" i="5"/>
  <c r="N257" i="5"/>
  <c r="P257" i="5"/>
  <c r="R257" i="5"/>
  <c r="L258" i="5"/>
  <c r="N258" i="5"/>
  <c r="P258" i="5"/>
  <c r="R258" i="5"/>
  <c r="L259" i="5"/>
  <c r="N259" i="5"/>
  <c r="P259" i="5"/>
  <c r="R259" i="5"/>
  <c r="L260" i="5"/>
  <c r="N260" i="5"/>
  <c r="P260" i="5"/>
  <c r="R260" i="5"/>
  <c r="L261" i="5"/>
  <c r="N261" i="5"/>
  <c r="P261" i="5"/>
  <c r="R261" i="5"/>
  <c r="L262" i="5"/>
  <c r="N262" i="5"/>
  <c r="P262" i="5"/>
  <c r="R262" i="5"/>
  <c r="L263" i="5"/>
  <c r="N263" i="5"/>
  <c r="P263" i="5"/>
  <c r="R263" i="5"/>
  <c r="L264" i="5"/>
  <c r="N264" i="5"/>
  <c r="P264" i="5"/>
  <c r="R264" i="5"/>
  <c r="L265" i="5"/>
  <c r="N265" i="5"/>
  <c r="P265" i="5"/>
  <c r="R265" i="5"/>
  <c r="L266" i="5"/>
  <c r="N266" i="5"/>
  <c r="P266" i="5"/>
  <c r="R266" i="5"/>
  <c r="L267" i="5"/>
  <c r="N267" i="5"/>
  <c r="P267" i="5"/>
  <c r="R267" i="5"/>
  <c r="L268" i="5"/>
  <c r="N268" i="5"/>
  <c r="P268" i="5"/>
  <c r="R268" i="5"/>
  <c r="L269" i="5"/>
  <c r="N269" i="5"/>
  <c r="P269" i="5"/>
  <c r="R269" i="5"/>
  <c r="L270" i="5"/>
  <c r="N270" i="5"/>
  <c r="P270" i="5"/>
  <c r="R270" i="5"/>
  <c r="L271" i="5"/>
  <c r="N271" i="5"/>
  <c r="P271" i="5"/>
  <c r="R271" i="5"/>
  <c r="L272" i="5"/>
  <c r="N272" i="5"/>
  <c r="P272" i="5"/>
  <c r="R272" i="5"/>
  <c r="L273" i="5"/>
  <c r="N273" i="5"/>
  <c r="P273" i="5"/>
  <c r="R273" i="5"/>
  <c r="L274" i="5"/>
  <c r="N274" i="5"/>
  <c r="P274" i="5"/>
  <c r="R274" i="5"/>
  <c r="L275" i="5"/>
  <c r="N275" i="5"/>
  <c r="P275" i="5"/>
  <c r="R275" i="5"/>
  <c r="L276" i="5"/>
  <c r="N276" i="5"/>
  <c r="P276" i="5"/>
  <c r="R276" i="5"/>
  <c r="L277" i="5"/>
  <c r="N277" i="5"/>
  <c r="P277" i="5"/>
  <c r="R277" i="5"/>
  <c r="L278" i="5"/>
  <c r="N278" i="5"/>
  <c r="P278" i="5"/>
  <c r="R278" i="5"/>
  <c r="L279" i="5"/>
  <c r="N279" i="5"/>
  <c r="P279" i="5"/>
  <c r="R279" i="5"/>
  <c r="L280" i="5"/>
  <c r="N280" i="5"/>
  <c r="P280" i="5"/>
  <c r="R280" i="5"/>
  <c r="L281" i="5"/>
  <c r="N281" i="5"/>
  <c r="P281" i="5"/>
  <c r="R281" i="5"/>
  <c r="L282" i="5"/>
  <c r="N282" i="5"/>
  <c r="P282" i="5"/>
  <c r="R282" i="5"/>
  <c r="L283" i="5"/>
  <c r="N283" i="5"/>
  <c r="P283" i="5"/>
  <c r="R283" i="5"/>
  <c r="L284" i="5"/>
  <c r="N284" i="5"/>
  <c r="P284" i="5"/>
  <c r="R284" i="5"/>
  <c r="L285" i="5"/>
  <c r="N285" i="5"/>
  <c r="P285" i="5"/>
  <c r="R285" i="5"/>
  <c r="L286" i="5"/>
  <c r="N286" i="5"/>
  <c r="P286" i="5"/>
  <c r="R286" i="5"/>
  <c r="L287" i="5"/>
  <c r="N287" i="5"/>
  <c r="P287" i="5"/>
  <c r="R287" i="5"/>
  <c r="L288" i="5"/>
  <c r="N288" i="5"/>
  <c r="P288" i="5"/>
  <c r="R288" i="5"/>
  <c r="L289" i="5"/>
  <c r="N289" i="5"/>
  <c r="P289" i="5"/>
  <c r="R289" i="5"/>
  <c r="L290" i="5"/>
  <c r="N290" i="5"/>
  <c r="P290" i="5"/>
  <c r="R290" i="5"/>
  <c r="L291" i="5"/>
  <c r="N291" i="5"/>
  <c r="P291" i="5"/>
  <c r="R291" i="5"/>
  <c r="L292" i="5"/>
  <c r="N292" i="5"/>
  <c r="P292" i="5"/>
  <c r="R292" i="5"/>
  <c r="L293" i="5"/>
  <c r="N293" i="5"/>
  <c r="P293" i="5"/>
  <c r="R293" i="5"/>
  <c r="L294" i="5"/>
  <c r="N294" i="5"/>
  <c r="P294" i="5"/>
  <c r="R294" i="5"/>
  <c r="L295" i="5"/>
  <c r="N295" i="5"/>
  <c r="P295" i="5"/>
  <c r="R295" i="5"/>
  <c r="L296" i="5"/>
  <c r="N296" i="5"/>
  <c r="P296" i="5"/>
  <c r="R296" i="5"/>
  <c r="L297" i="5"/>
  <c r="N297" i="5"/>
  <c r="P297" i="5"/>
  <c r="R297" i="5"/>
  <c r="L298" i="5"/>
  <c r="N298" i="5"/>
  <c r="P298" i="5"/>
  <c r="R298" i="5"/>
  <c r="L299" i="5"/>
  <c r="N299" i="5"/>
  <c r="P299" i="5"/>
  <c r="R299" i="5"/>
  <c r="L300" i="5"/>
  <c r="N300" i="5"/>
  <c r="P300" i="5"/>
  <c r="R300" i="5"/>
  <c r="L301" i="5"/>
  <c r="N301" i="5"/>
  <c r="P301" i="5"/>
  <c r="R301" i="5"/>
  <c r="L302" i="5"/>
  <c r="N302" i="5"/>
  <c r="P302" i="5"/>
  <c r="R302" i="5"/>
  <c r="L303" i="5"/>
  <c r="N303" i="5"/>
  <c r="P303" i="5"/>
  <c r="R303" i="5"/>
  <c r="L304" i="5"/>
  <c r="N304" i="5"/>
  <c r="P304" i="5"/>
  <c r="R304" i="5"/>
  <c r="L305" i="5"/>
  <c r="N305" i="5"/>
  <c r="P305" i="5"/>
  <c r="R305" i="5"/>
  <c r="L306" i="5"/>
  <c r="N306" i="5"/>
  <c r="P306" i="5"/>
  <c r="R306" i="5"/>
  <c r="L307" i="5"/>
  <c r="N307" i="5"/>
  <c r="P307" i="5"/>
  <c r="R307" i="5"/>
  <c r="L308" i="5"/>
  <c r="N308" i="5"/>
  <c r="P308" i="5"/>
  <c r="R308" i="5"/>
  <c r="L309" i="5"/>
  <c r="N309" i="5"/>
  <c r="P309" i="5"/>
  <c r="R309" i="5"/>
  <c r="L310" i="5"/>
  <c r="N310" i="5"/>
  <c r="P310" i="5"/>
  <c r="R310" i="5"/>
  <c r="L311" i="5"/>
  <c r="N311" i="5"/>
  <c r="P311" i="5"/>
  <c r="R311" i="5"/>
  <c r="L312" i="5"/>
  <c r="N312" i="5"/>
  <c r="P312" i="5"/>
  <c r="R312" i="5"/>
  <c r="L313" i="5"/>
  <c r="N313" i="5"/>
  <c r="P313" i="5"/>
  <c r="R313" i="5"/>
  <c r="L314" i="5"/>
  <c r="N314" i="5"/>
  <c r="P314" i="5"/>
  <c r="R314" i="5"/>
  <c r="L315" i="5"/>
  <c r="N315" i="5"/>
  <c r="P315" i="5"/>
  <c r="R315" i="5"/>
  <c r="L316" i="5"/>
  <c r="N316" i="5"/>
  <c r="P316" i="5"/>
  <c r="R316" i="5"/>
  <c r="L317" i="5"/>
  <c r="N317" i="5"/>
  <c r="P317" i="5"/>
  <c r="R317" i="5"/>
  <c r="L318" i="5"/>
  <c r="N318" i="5"/>
  <c r="P318" i="5"/>
  <c r="R318" i="5"/>
  <c r="L319" i="5"/>
  <c r="N319" i="5"/>
  <c r="P319" i="5"/>
  <c r="R319" i="5"/>
  <c r="L320" i="5"/>
  <c r="N320" i="5"/>
  <c r="P320" i="5"/>
  <c r="R320" i="5"/>
  <c r="L321" i="5"/>
  <c r="N321" i="5"/>
  <c r="P321" i="5"/>
  <c r="R321" i="5"/>
  <c r="L322" i="5"/>
  <c r="N322" i="5"/>
  <c r="P322" i="5"/>
  <c r="R322" i="5"/>
  <c r="L323" i="5"/>
  <c r="N323" i="5"/>
  <c r="P323" i="5"/>
  <c r="R323" i="5"/>
  <c r="L324" i="5"/>
  <c r="N324" i="5"/>
  <c r="P324" i="5"/>
  <c r="R324" i="5"/>
  <c r="L325" i="5"/>
  <c r="N325" i="5"/>
  <c r="P325" i="5"/>
  <c r="R325" i="5"/>
  <c r="L326" i="5"/>
  <c r="N326" i="5"/>
  <c r="P326" i="5"/>
  <c r="R326" i="5"/>
  <c r="L327" i="5"/>
  <c r="N327" i="5"/>
  <c r="P327" i="5"/>
  <c r="R327" i="5"/>
  <c r="L328" i="5"/>
  <c r="N328" i="5"/>
  <c r="P328" i="5"/>
  <c r="R328" i="5"/>
  <c r="L329" i="5"/>
  <c r="N329" i="5"/>
  <c r="P329" i="5"/>
  <c r="R329" i="5"/>
  <c r="L330" i="5"/>
  <c r="N330" i="5"/>
  <c r="P330" i="5"/>
  <c r="R330" i="5"/>
  <c r="L331" i="5"/>
  <c r="N331" i="5"/>
  <c r="P331" i="5"/>
  <c r="R331" i="5"/>
  <c r="L332" i="5"/>
  <c r="N332" i="5"/>
  <c r="P332" i="5"/>
  <c r="R332" i="5"/>
  <c r="L333" i="5"/>
  <c r="N333" i="5"/>
  <c r="P333" i="5"/>
  <c r="R333" i="5"/>
  <c r="L334" i="5"/>
  <c r="N334" i="5"/>
  <c r="P334" i="5"/>
  <c r="R334" i="5"/>
  <c r="L335" i="5"/>
  <c r="N335" i="5"/>
  <c r="P335" i="5"/>
  <c r="R335" i="5"/>
  <c r="L336" i="5"/>
  <c r="N336" i="5"/>
  <c r="P336" i="5"/>
  <c r="R336" i="5"/>
  <c r="L337" i="5"/>
  <c r="N337" i="5"/>
  <c r="P337" i="5"/>
  <c r="R337" i="5"/>
  <c r="L338" i="5"/>
  <c r="N338" i="5"/>
  <c r="P338" i="5"/>
  <c r="R338" i="5"/>
  <c r="L339" i="5"/>
  <c r="N339" i="5"/>
  <c r="P339" i="5"/>
  <c r="R339" i="5"/>
  <c r="L340" i="5"/>
  <c r="N340" i="5"/>
  <c r="P340" i="5"/>
  <c r="R340" i="5"/>
  <c r="L341" i="5"/>
  <c r="N341" i="5"/>
  <c r="P341" i="5"/>
  <c r="R341" i="5"/>
  <c r="L342" i="5"/>
  <c r="N342" i="5"/>
  <c r="P342" i="5"/>
  <c r="R342" i="5"/>
  <c r="L343" i="5"/>
  <c r="N343" i="5"/>
  <c r="P343" i="5"/>
  <c r="R343" i="5"/>
  <c r="L344" i="5"/>
  <c r="N344" i="5"/>
  <c r="P344" i="5"/>
  <c r="R344" i="5"/>
  <c r="L345" i="5"/>
  <c r="N345" i="5"/>
  <c r="P345" i="5"/>
  <c r="R345" i="5"/>
  <c r="L346" i="5"/>
  <c r="N346" i="5"/>
  <c r="P346" i="5"/>
  <c r="R346" i="5"/>
  <c r="L347" i="5"/>
  <c r="N347" i="5"/>
  <c r="P347" i="5"/>
  <c r="R347" i="5"/>
  <c r="L348" i="5"/>
  <c r="N348" i="5"/>
  <c r="P348" i="5"/>
  <c r="R348" i="5"/>
  <c r="L349" i="5"/>
  <c r="N349" i="5"/>
  <c r="P349" i="5"/>
  <c r="R349" i="5"/>
  <c r="L350" i="5"/>
  <c r="N350" i="5"/>
  <c r="P350" i="5"/>
  <c r="R350" i="5"/>
  <c r="L351" i="5"/>
  <c r="N351" i="5"/>
  <c r="P351" i="5"/>
  <c r="R351" i="5"/>
  <c r="L352" i="5"/>
  <c r="N352" i="5"/>
  <c r="P352" i="5"/>
  <c r="R352" i="5"/>
  <c r="L353" i="5"/>
  <c r="N353" i="5"/>
  <c r="P353" i="5"/>
  <c r="R353" i="5"/>
  <c r="L354" i="5"/>
  <c r="N354" i="5"/>
  <c r="P354" i="5"/>
  <c r="R354" i="5"/>
  <c r="L355" i="5"/>
  <c r="N355" i="5"/>
  <c r="P355" i="5"/>
  <c r="R355" i="5"/>
  <c r="L356" i="5"/>
  <c r="N356" i="5"/>
  <c r="P356" i="5"/>
  <c r="R356" i="5"/>
  <c r="L357" i="5"/>
  <c r="N357" i="5"/>
  <c r="P357" i="5"/>
  <c r="R357" i="5"/>
  <c r="L358" i="5"/>
  <c r="N358" i="5"/>
  <c r="P358" i="5"/>
  <c r="R358" i="5"/>
  <c r="L359" i="5"/>
  <c r="N359" i="5"/>
  <c r="P359" i="5"/>
  <c r="R359" i="5"/>
  <c r="L360" i="5"/>
  <c r="N360" i="5"/>
  <c r="P360" i="5"/>
  <c r="R360" i="5"/>
  <c r="L361" i="5"/>
  <c r="N361" i="5"/>
  <c r="P361" i="5"/>
  <c r="R361" i="5"/>
  <c r="L362" i="5"/>
  <c r="N362" i="5"/>
  <c r="P362" i="5"/>
  <c r="R362" i="5"/>
  <c r="L363" i="5"/>
  <c r="N363" i="5"/>
  <c r="P363" i="5"/>
  <c r="R363" i="5"/>
  <c r="L364" i="5"/>
  <c r="N364" i="5"/>
  <c r="P364" i="5"/>
  <c r="R364" i="5"/>
  <c r="L365" i="5"/>
  <c r="N365" i="5"/>
  <c r="P365" i="5"/>
  <c r="R365" i="5"/>
  <c r="L366" i="5"/>
  <c r="N366" i="5"/>
  <c r="P366" i="5"/>
  <c r="R366" i="5"/>
  <c r="L367" i="5"/>
  <c r="N367" i="5"/>
  <c r="P367" i="5"/>
  <c r="R367" i="5"/>
  <c r="L368" i="5"/>
  <c r="N368" i="5"/>
  <c r="P368" i="5"/>
  <c r="R368" i="5"/>
  <c r="L369" i="5"/>
  <c r="N369" i="5"/>
  <c r="P369" i="5"/>
  <c r="R369" i="5"/>
  <c r="L370" i="5"/>
  <c r="N370" i="5"/>
  <c r="P370" i="5"/>
  <c r="R370" i="5"/>
  <c r="L371" i="5"/>
  <c r="N371" i="5"/>
  <c r="P371" i="5"/>
  <c r="R371" i="5"/>
  <c r="L372" i="5"/>
  <c r="N372" i="5"/>
  <c r="P372" i="5"/>
  <c r="R372" i="5"/>
  <c r="L373" i="5"/>
  <c r="N373" i="5"/>
  <c r="P373" i="5"/>
  <c r="R373" i="5"/>
  <c r="L374" i="5"/>
  <c r="N374" i="5"/>
  <c r="P374" i="5"/>
  <c r="R374" i="5"/>
  <c r="L375" i="5"/>
  <c r="N375" i="5"/>
  <c r="P375" i="5"/>
  <c r="R375" i="5"/>
  <c r="L376" i="5"/>
  <c r="N376" i="5"/>
  <c r="P376" i="5"/>
  <c r="R376" i="5"/>
  <c r="L377" i="5"/>
  <c r="N377" i="5"/>
  <c r="P377" i="5"/>
  <c r="R377" i="5"/>
  <c r="L378" i="5"/>
  <c r="N378" i="5"/>
  <c r="P378" i="5"/>
  <c r="R378" i="5"/>
  <c r="L379" i="5"/>
  <c r="N379" i="5"/>
  <c r="P379" i="5"/>
  <c r="R379" i="5"/>
  <c r="L380" i="5"/>
  <c r="N380" i="5"/>
  <c r="P380" i="5"/>
  <c r="R380" i="5"/>
  <c r="L381" i="5"/>
  <c r="N381" i="5"/>
  <c r="P381" i="5"/>
  <c r="R381" i="5"/>
  <c r="L382" i="5"/>
  <c r="N382" i="5"/>
  <c r="P382" i="5"/>
  <c r="R382" i="5"/>
  <c r="L383" i="5"/>
  <c r="N383" i="5"/>
  <c r="P383" i="5"/>
  <c r="R383" i="5"/>
  <c r="L384" i="5"/>
  <c r="N384" i="5"/>
  <c r="P384" i="5"/>
  <c r="R384" i="5"/>
  <c r="L385" i="5"/>
  <c r="N385" i="5"/>
  <c r="P385" i="5"/>
  <c r="R385" i="5"/>
  <c r="L386" i="5"/>
  <c r="N386" i="5"/>
  <c r="P386" i="5"/>
  <c r="R386" i="5"/>
  <c r="L387" i="5"/>
  <c r="N387" i="5"/>
  <c r="P387" i="5"/>
  <c r="R387" i="5"/>
  <c r="L388" i="5"/>
  <c r="N388" i="5"/>
  <c r="P388" i="5"/>
  <c r="R388" i="5"/>
  <c r="L389" i="5"/>
  <c r="N389" i="5"/>
  <c r="P389" i="5"/>
  <c r="R389" i="5"/>
  <c r="L390" i="5"/>
  <c r="N390" i="5"/>
  <c r="P390" i="5"/>
  <c r="R390" i="5"/>
  <c r="L391" i="5"/>
  <c r="N391" i="5"/>
  <c r="P391" i="5"/>
  <c r="R391" i="5"/>
  <c r="L392" i="5"/>
  <c r="N392" i="5"/>
  <c r="P392" i="5"/>
  <c r="R392" i="5"/>
  <c r="L393" i="5"/>
  <c r="N393" i="5"/>
  <c r="P393" i="5"/>
  <c r="R393" i="5"/>
  <c r="L394" i="5"/>
  <c r="N394" i="5"/>
  <c r="P394" i="5"/>
  <c r="R394" i="5"/>
  <c r="L395" i="5"/>
  <c r="N395" i="5"/>
  <c r="P395" i="5"/>
  <c r="R395" i="5"/>
  <c r="L396" i="5"/>
  <c r="N396" i="5"/>
  <c r="P396" i="5"/>
  <c r="R396" i="5"/>
  <c r="L397" i="5"/>
  <c r="N397" i="5"/>
  <c r="P397" i="5"/>
  <c r="R397" i="5"/>
  <c r="L398" i="5"/>
  <c r="N398" i="5"/>
  <c r="P398" i="5"/>
  <c r="R398" i="5"/>
  <c r="L399" i="5"/>
  <c r="N399" i="5"/>
  <c r="P399" i="5"/>
  <c r="R399" i="5"/>
  <c r="L400" i="5"/>
  <c r="N400" i="5"/>
  <c r="P400" i="5"/>
  <c r="R400" i="5"/>
  <c r="L401" i="5"/>
  <c r="N401" i="5"/>
  <c r="P401" i="5"/>
  <c r="R401" i="5"/>
  <c r="L402" i="5"/>
  <c r="N402" i="5"/>
  <c r="P402" i="5"/>
  <c r="R402" i="5"/>
  <c r="L403" i="5"/>
  <c r="N403" i="5"/>
  <c r="P403" i="5"/>
  <c r="R403" i="5"/>
  <c r="L404" i="5"/>
  <c r="N404" i="5"/>
  <c r="P404" i="5"/>
  <c r="R404" i="5"/>
  <c r="L405" i="5"/>
  <c r="N405" i="5"/>
  <c r="P405" i="5"/>
  <c r="R405" i="5"/>
  <c r="L406" i="5"/>
  <c r="N406" i="5"/>
  <c r="P406" i="5"/>
  <c r="R406" i="5"/>
  <c r="L407" i="5"/>
  <c r="N407" i="5"/>
  <c r="P407" i="5"/>
  <c r="R407" i="5"/>
  <c r="L408" i="5"/>
  <c r="N408" i="5"/>
  <c r="P408" i="5"/>
  <c r="R408" i="5"/>
  <c r="L409" i="5"/>
  <c r="N409" i="5"/>
  <c r="P409" i="5"/>
  <c r="R409" i="5"/>
  <c r="L410" i="5"/>
  <c r="N410" i="5"/>
  <c r="P410" i="5"/>
  <c r="R410" i="5"/>
  <c r="L411" i="5"/>
  <c r="N411" i="5"/>
  <c r="P411" i="5"/>
  <c r="R411" i="5"/>
  <c r="L412" i="5"/>
  <c r="N412" i="5"/>
  <c r="P412" i="5"/>
  <c r="R412" i="5"/>
  <c r="L413" i="5"/>
  <c r="N413" i="5"/>
  <c r="P413" i="5"/>
  <c r="R413" i="5"/>
  <c r="L414" i="5"/>
  <c r="N414" i="5"/>
  <c r="P414" i="5"/>
  <c r="R414" i="5"/>
  <c r="L415" i="5"/>
  <c r="N415" i="5"/>
  <c r="P415" i="5"/>
  <c r="R415" i="5"/>
  <c r="L416" i="5"/>
  <c r="N416" i="5"/>
  <c r="P416" i="5"/>
  <c r="R416" i="5"/>
  <c r="L417" i="5"/>
  <c r="N417" i="5"/>
  <c r="P417" i="5"/>
  <c r="R417" i="5"/>
  <c r="L418" i="5"/>
  <c r="N418" i="5"/>
  <c r="P418" i="5"/>
  <c r="R418" i="5"/>
  <c r="L419" i="5"/>
  <c r="N419" i="5"/>
  <c r="P419" i="5"/>
  <c r="R419" i="5"/>
  <c r="L420" i="5"/>
  <c r="N420" i="5"/>
  <c r="P420" i="5"/>
  <c r="R420" i="5"/>
  <c r="L421" i="5"/>
  <c r="N421" i="5"/>
  <c r="P421" i="5"/>
  <c r="R421" i="5"/>
  <c r="L422" i="5"/>
  <c r="N422" i="5"/>
  <c r="P422" i="5"/>
  <c r="R422" i="5"/>
  <c r="L423" i="5"/>
  <c r="N423" i="5"/>
  <c r="P423" i="5"/>
  <c r="R423" i="5"/>
  <c r="L424" i="5"/>
  <c r="N424" i="5"/>
  <c r="P424" i="5"/>
  <c r="R424" i="5"/>
  <c r="L425" i="5"/>
  <c r="N425" i="5"/>
  <c r="P425" i="5"/>
  <c r="R425" i="5"/>
  <c r="L426" i="5"/>
  <c r="N426" i="5"/>
  <c r="P426" i="5"/>
  <c r="R426" i="5"/>
  <c r="L427" i="5"/>
  <c r="N427" i="5"/>
  <c r="P427" i="5"/>
  <c r="R427" i="5"/>
  <c r="L428" i="5"/>
  <c r="N428" i="5"/>
  <c r="P428" i="5"/>
  <c r="R428" i="5"/>
  <c r="L429" i="5"/>
  <c r="N429" i="5"/>
  <c r="P429" i="5"/>
  <c r="R429" i="5"/>
  <c r="L430" i="5"/>
  <c r="N430" i="5"/>
  <c r="P430" i="5"/>
  <c r="R430" i="5"/>
  <c r="L431" i="5"/>
  <c r="N431" i="5"/>
  <c r="P431" i="5"/>
  <c r="R431" i="5"/>
  <c r="L432" i="5"/>
  <c r="N432" i="5"/>
  <c r="P432" i="5"/>
  <c r="R432" i="5"/>
  <c r="L433" i="5"/>
  <c r="N433" i="5"/>
  <c r="P433" i="5"/>
  <c r="R433" i="5"/>
  <c r="L434" i="5"/>
  <c r="N434" i="5"/>
  <c r="P434" i="5"/>
  <c r="R434" i="5"/>
  <c r="L435" i="5"/>
  <c r="N435" i="5"/>
  <c r="P435" i="5"/>
  <c r="R435" i="5"/>
  <c r="L436" i="5"/>
  <c r="N436" i="5"/>
  <c r="P436" i="5"/>
  <c r="R436" i="5"/>
  <c r="L437" i="5"/>
  <c r="N437" i="5"/>
  <c r="P437" i="5"/>
  <c r="R437" i="5"/>
  <c r="L438" i="5"/>
  <c r="N438" i="5"/>
  <c r="P438" i="5"/>
  <c r="R438" i="5"/>
  <c r="L439" i="5"/>
  <c r="N439" i="5"/>
  <c r="P439" i="5"/>
  <c r="R439" i="5"/>
  <c r="L440" i="5"/>
  <c r="N440" i="5"/>
  <c r="P440" i="5"/>
  <c r="R440" i="5"/>
  <c r="L441" i="5"/>
  <c r="N441" i="5"/>
  <c r="P441" i="5"/>
  <c r="R441" i="5"/>
  <c r="L442" i="5"/>
  <c r="N442" i="5"/>
  <c r="P442" i="5"/>
  <c r="R442" i="5"/>
  <c r="L443" i="5"/>
  <c r="N443" i="5"/>
  <c r="P443" i="5"/>
  <c r="R443" i="5"/>
  <c r="L444" i="5"/>
  <c r="N444" i="5"/>
  <c r="P444" i="5"/>
  <c r="R444" i="5"/>
  <c r="L445" i="5"/>
  <c r="N445" i="5"/>
  <c r="P445" i="5"/>
  <c r="R445" i="5"/>
  <c r="L446" i="5"/>
  <c r="N446" i="5"/>
  <c r="P446" i="5"/>
  <c r="R446" i="5"/>
  <c r="L447" i="5"/>
  <c r="N447" i="5"/>
  <c r="P447" i="5"/>
  <c r="R447" i="5"/>
  <c r="L448" i="5"/>
  <c r="N448" i="5"/>
  <c r="P448" i="5"/>
  <c r="R448" i="5"/>
  <c r="L449" i="5"/>
  <c r="N449" i="5"/>
  <c r="P449" i="5"/>
  <c r="R449" i="5"/>
  <c r="L450" i="5"/>
  <c r="N450" i="5"/>
  <c r="P450" i="5"/>
  <c r="R450" i="5"/>
  <c r="L451" i="5"/>
  <c r="N451" i="5"/>
  <c r="P451" i="5"/>
  <c r="R451" i="5"/>
  <c r="L452" i="5"/>
  <c r="N452" i="5"/>
  <c r="P452" i="5"/>
  <c r="R452" i="5"/>
  <c r="L453" i="5"/>
  <c r="N453" i="5"/>
  <c r="P453" i="5"/>
  <c r="R453" i="5"/>
  <c r="L454" i="5"/>
  <c r="N454" i="5"/>
  <c r="P454" i="5"/>
  <c r="R454" i="5"/>
  <c r="L455" i="5"/>
  <c r="N455" i="5"/>
  <c r="P455" i="5"/>
  <c r="R455" i="5"/>
  <c r="L456" i="5"/>
  <c r="N456" i="5"/>
  <c r="P456" i="5"/>
  <c r="R456" i="5"/>
  <c r="L457" i="5"/>
  <c r="N457" i="5"/>
  <c r="P457" i="5"/>
  <c r="R457" i="5"/>
  <c r="L4" i="23"/>
  <c r="O4" i="23"/>
  <c r="L5" i="23"/>
  <c r="O5" i="23"/>
  <c r="L6" i="23"/>
  <c r="O6" i="23"/>
  <c r="L7" i="23"/>
  <c r="O7" i="23"/>
  <c r="L8" i="23"/>
  <c r="O8" i="23"/>
  <c r="L9" i="23"/>
  <c r="O9" i="23"/>
  <c r="L10" i="23"/>
  <c r="O10" i="23"/>
  <c r="L11" i="23"/>
  <c r="O11" i="23"/>
  <c r="L12" i="23"/>
  <c r="O12" i="23"/>
  <c r="L13" i="23"/>
  <c r="O13" i="23"/>
  <c r="L14" i="23"/>
  <c r="O14" i="23"/>
  <c r="L15" i="23"/>
  <c r="O15" i="23"/>
  <c r="L16" i="23"/>
  <c r="O16" i="23"/>
  <c r="L17" i="23"/>
  <c r="O17" i="23"/>
  <c r="L18" i="23"/>
  <c r="O18" i="23"/>
  <c r="L19" i="23"/>
  <c r="O19" i="23"/>
  <c r="L20" i="23"/>
  <c r="O20" i="23"/>
  <c r="L21" i="23"/>
  <c r="O21" i="23"/>
  <c r="L22" i="23"/>
  <c r="O22" i="23"/>
  <c r="L23" i="23"/>
  <c r="O23" i="23"/>
  <c r="L24" i="23"/>
  <c r="O24" i="23"/>
  <c r="L25" i="23"/>
  <c r="O25" i="23"/>
  <c r="L26" i="23"/>
  <c r="O26" i="23"/>
  <c r="L27" i="23"/>
  <c r="O27" i="23"/>
  <c r="L28" i="23"/>
  <c r="O28" i="23"/>
  <c r="L29" i="23"/>
  <c r="O29" i="23"/>
  <c r="L30" i="23"/>
  <c r="O30" i="23"/>
  <c r="L31" i="23"/>
  <c r="O31" i="23"/>
  <c r="L32" i="23"/>
  <c r="O32" i="23"/>
  <c r="L33" i="23"/>
  <c r="O33" i="23"/>
  <c r="L34" i="23"/>
  <c r="O34" i="23"/>
  <c r="L35" i="23"/>
  <c r="O35" i="23"/>
  <c r="L36" i="23"/>
  <c r="O36" i="23"/>
  <c r="L37" i="23"/>
  <c r="O37" i="23"/>
  <c r="L38" i="23"/>
  <c r="O38" i="23"/>
  <c r="L39" i="23"/>
  <c r="O39" i="23"/>
  <c r="L40" i="23"/>
  <c r="O40" i="23"/>
  <c r="L41" i="23"/>
  <c r="O41" i="23"/>
  <c r="L42" i="23"/>
  <c r="O42" i="23"/>
  <c r="L43" i="23"/>
  <c r="O43" i="23"/>
  <c r="L44" i="23"/>
  <c r="O44" i="23"/>
  <c r="L45" i="23"/>
  <c r="O45" i="23"/>
  <c r="L46" i="23"/>
  <c r="O46" i="23"/>
  <c r="L47" i="23"/>
  <c r="O47" i="23"/>
  <c r="L48" i="23"/>
  <c r="O48" i="23"/>
  <c r="L49" i="23"/>
  <c r="O49" i="23"/>
  <c r="L50" i="23"/>
  <c r="O50" i="23"/>
  <c r="L51" i="23"/>
  <c r="O51" i="23"/>
  <c r="L52" i="23"/>
  <c r="O52" i="23"/>
  <c r="L53" i="23"/>
  <c r="O53" i="23"/>
  <c r="L54" i="23"/>
  <c r="O54" i="23"/>
  <c r="L55" i="23"/>
  <c r="O55" i="23"/>
  <c r="L56" i="23"/>
  <c r="O56" i="23"/>
  <c r="L57" i="23"/>
  <c r="O57" i="23"/>
  <c r="L58" i="23"/>
  <c r="O58" i="23"/>
  <c r="L59" i="23"/>
  <c r="O59" i="23"/>
  <c r="L60" i="23"/>
  <c r="O60" i="23"/>
  <c r="L61" i="23"/>
  <c r="O61" i="23"/>
  <c r="F62" i="23"/>
  <c r="G62" i="23"/>
  <c r="H62" i="23"/>
  <c r="I62" i="23"/>
  <c r="J62" i="23"/>
  <c r="K62" i="23"/>
  <c r="L62" i="23"/>
  <c r="N62" i="23"/>
  <c r="O62" i="23"/>
  <c r="L64" i="23"/>
  <c r="O64" i="23"/>
  <c r="L65" i="23"/>
  <c r="O65" i="23"/>
  <c r="L66" i="23"/>
  <c r="O66" i="23"/>
  <c r="L67" i="23"/>
  <c r="O67" i="23"/>
  <c r="L68" i="23"/>
  <c r="O68" i="23"/>
  <c r="L69" i="23"/>
  <c r="O69" i="23"/>
  <c r="L70" i="23"/>
  <c r="O70" i="23"/>
  <c r="L71" i="23"/>
  <c r="O71" i="23"/>
  <c r="L72" i="23"/>
  <c r="O72" i="23"/>
  <c r="L73" i="23"/>
  <c r="O73" i="23"/>
  <c r="L74" i="23"/>
  <c r="O74" i="23"/>
  <c r="L75" i="23"/>
  <c r="O75" i="23"/>
  <c r="L76" i="23"/>
  <c r="O76" i="23"/>
  <c r="L77" i="23"/>
  <c r="O77" i="23"/>
  <c r="L78" i="23"/>
  <c r="O78" i="23"/>
  <c r="L79" i="23"/>
  <c r="O79" i="23"/>
  <c r="L80" i="23"/>
  <c r="O80" i="23"/>
  <c r="L81" i="23"/>
  <c r="O81" i="23"/>
  <c r="L82" i="23"/>
  <c r="O82" i="23"/>
  <c r="L83" i="23"/>
  <c r="O83" i="23"/>
  <c r="L84" i="23"/>
  <c r="O84" i="23"/>
  <c r="L85" i="23"/>
  <c r="O85" i="23"/>
  <c r="L86" i="23"/>
  <c r="O86" i="23"/>
  <c r="L87" i="23"/>
  <c r="O87" i="23"/>
  <c r="L88" i="23"/>
  <c r="O88" i="23"/>
  <c r="L89" i="23"/>
  <c r="O89" i="23"/>
  <c r="L90" i="23"/>
  <c r="O90" i="23"/>
  <c r="L91" i="23"/>
  <c r="O91" i="23"/>
  <c r="L92" i="23"/>
  <c r="O92" i="23"/>
  <c r="L93" i="23"/>
  <c r="O93" i="23"/>
  <c r="L94" i="23"/>
  <c r="O94" i="23"/>
  <c r="L95" i="23"/>
  <c r="O95" i="23"/>
  <c r="L96" i="23"/>
  <c r="O96" i="23"/>
  <c r="L97" i="23"/>
  <c r="O97" i="23"/>
  <c r="L98" i="23"/>
  <c r="O98" i="23"/>
  <c r="L99" i="23"/>
  <c r="O99" i="23"/>
  <c r="L100" i="23"/>
  <c r="O100" i="23"/>
  <c r="L101" i="23"/>
  <c r="O101" i="23"/>
  <c r="L102" i="23"/>
  <c r="O102" i="23"/>
  <c r="L103" i="23"/>
  <c r="O103" i="23"/>
  <c r="L104" i="23"/>
  <c r="O104" i="23"/>
  <c r="L105" i="23"/>
  <c r="O105" i="23"/>
  <c r="L106" i="23"/>
  <c r="O106" i="23"/>
  <c r="L107" i="23"/>
  <c r="O107" i="23"/>
  <c r="L108" i="23"/>
  <c r="O108" i="23"/>
  <c r="L109" i="23"/>
  <c r="O109" i="23"/>
  <c r="L110" i="23"/>
  <c r="O110" i="23"/>
  <c r="L111" i="23"/>
  <c r="O111" i="23"/>
  <c r="L112" i="23"/>
  <c r="O112" i="23"/>
  <c r="L113" i="23"/>
  <c r="O113" i="23"/>
  <c r="L114" i="23"/>
  <c r="O114" i="23"/>
  <c r="L115" i="23"/>
  <c r="O115" i="23"/>
  <c r="L116" i="23"/>
  <c r="O116" i="23"/>
  <c r="L117" i="23"/>
  <c r="O117" i="23"/>
  <c r="L118" i="23"/>
  <c r="O118" i="23"/>
  <c r="L119" i="23"/>
  <c r="O119" i="23"/>
  <c r="L120" i="23"/>
  <c r="O120" i="23"/>
  <c r="L121" i="23"/>
  <c r="O121" i="23"/>
  <c r="L122" i="23"/>
  <c r="O122" i="23"/>
  <c r="L123" i="23"/>
  <c r="O123" i="23"/>
  <c r="L124" i="23"/>
  <c r="O124" i="23"/>
  <c r="L125" i="23"/>
  <c r="O125" i="23"/>
  <c r="L126" i="23"/>
  <c r="O126" i="23"/>
  <c r="L127" i="23"/>
  <c r="O127" i="23"/>
  <c r="L128" i="23"/>
  <c r="O128" i="23"/>
  <c r="L129" i="23"/>
  <c r="O129" i="23"/>
  <c r="L130" i="23"/>
  <c r="O130" i="23"/>
  <c r="L131" i="23"/>
  <c r="O131" i="23"/>
  <c r="L132" i="23"/>
  <c r="O132" i="23"/>
  <c r="L133" i="23"/>
  <c r="O133" i="23"/>
  <c r="L134" i="23"/>
  <c r="O134" i="23"/>
  <c r="L135" i="23"/>
  <c r="O135" i="23"/>
  <c r="L136" i="23"/>
  <c r="O136" i="23"/>
  <c r="L137" i="23"/>
  <c r="O137" i="23"/>
  <c r="L138" i="23"/>
  <c r="O138" i="23"/>
  <c r="L139" i="23"/>
  <c r="O139" i="23"/>
  <c r="L140" i="23"/>
  <c r="O140" i="23"/>
  <c r="L141" i="23"/>
  <c r="O141" i="23"/>
  <c r="L142" i="23"/>
  <c r="O142" i="23"/>
  <c r="L143" i="23"/>
  <c r="O143" i="23"/>
  <c r="L144" i="23"/>
  <c r="O144" i="23"/>
  <c r="F145" i="23"/>
  <c r="K145" i="23"/>
  <c r="L145" i="23" s="1"/>
  <c r="N145" i="23"/>
  <c r="O145" i="23" s="1"/>
  <c r="F147" i="23"/>
  <c r="G147" i="23"/>
  <c r="H147" i="23"/>
  <c r="I147" i="23"/>
  <c r="J147" i="23"/>
  <c r="K147" i="23"/>
  <c r="L147" i="23"/>
  <c r="N147" i="23"/>
  <c r="O147" i="23"/>
  <c r="F148" i="23"/>
  <c r="G148" i="23"/>
  <c r="H148" i="23"/>
  <c r="H152" i="23" s="1"/>
  <c r="I148" i="23"/>
  <c r="J148" i="23"/>
  <c r="K148" i="23"/>
  <c r="L148" i="23" s="1"/>
  <c r="N148" i="23"/>
  <c r="O148" i="23" s="1"/>
  <c r="F149" i="23"/>
  <c r="G149" i="23"/>
  <c r="H149" i="23"/>
  <c r="I149" i="23"/>
  <c r="J149" i="23"/>
  <c r="K149" i="23"/>
  <c r="N149" i="23"/>
  <c r="O149" i="23"/>
  <c r="F150" i="23"/>
  <c r="G150" i="23"/>
  <c r="H150" i="23"/>
  <c r="I150" i="23"/>
  <c r="J150" i="23"/>
  <c r="K150" i="23"/>
  <c r="L150" i="23" s="1"/>
  <c r="N150" i="23"/>
  <c r="O150" i="23"/>
  <c r="F151" i="23"/>
  <c r="G151" i="23"/>
  <c r="H151" i="23"/>
  <c r="I151" i="23"/>
  <c r="J151" i="23"/>
  <c r="K151" i="23"/>
  <c r="L151" i="23"/>
  <c r="N151" i="23"/>
  <c r="O151" i="23" s="1"/>
  <c r="G152" i="23"/>
  <c r="I152" i="23"/>
  <c r="L158" i="23"/>
  <c r="O158" i="23"/>
  <c r="L159" i="23"/>
  <c r="O159" i="23"/>
  <c r="L160" i="23"/>
  <c r="O160" i="23"/>
  <c r="L161" i="23"/>
  <c r="O161" i="23"/>
  <c r="L162" i="23"/>
  <c r="O162" i="23"/>
  <c r="L163" i="23"/>
  <c r="O163" i="23"/>
  <c r="L164" i="23"/>
  <c r="O164" i="23"/>
  <c r="L165" i="23"/>
  <c r="O165" i="23"/>
  <c r="L166" i="23"/>
  <c r="O166" i="23"/>
  <c r="L167" i="23"/>
  <c r="O167" i="23"/>
  <c r="L168" i="23"/>
  <c r="O168" i="23"/>
  <c r="L169" i="23"/>
  <c r="O169" i="23"/>
  <c r="L170" i="23"/>
  <c r="O170" i="23"/>
  <c r="L171" i="23"/>
  <c r="O171" i="23"/>
  <c r="L172" i="23"/>
  <c r="O172" i="23"/>
  <c r="L173" i="23"/>
  <c r="O173" i="23"/>
  <c r="L174" i="23"/>
  <c r="O174" i="23"/>
  <c r="L175" i="23"/>
  <c r="O175" i="23"/>
  <c r="L176" i="23"/>
  <c r="O176" i="23"/>
  <c r="L177" i="23"/>
  <c r="O177" i="23"/>
  <c r="L178" i="23"/>
  <c r="O178" i="23"/>
  <c r="L179" i="23"/>
  <c r="O179" i="23"/>
  <c r="L180" i="23"/>
  <c r="O180" i="23"/>
  <c r="L181" i="23"/>
  <c r="O181" i="23"/>
  <c r="L182" i="23"/>
  <c r="O182" i="23"/>
  <c r="L183" i="23"/>
  <c r="O183" i="23"/>
  <c r="L184" i="23"/>
  <c r="O184" i="23"/>
  <c r="L185" i="23"/>
  <c r="O185" i="23"/>
  <c r="L186" i="23"/>
  <c r="O186" i="23"/>
  <c r="L187" i="23"/>
  <c r="O187" i="23"/>
  <c r="L188" i="23"/>
  <c r="O188" i="23"/>
  <c r="L189" i="23"/>
  <c r="O189" i="23"/>
  <c r="L190" i="23"/>
  <c r="O190" i="23"/>
  <c r="L191" i="23"/>
  <c r="O191" i="23"/>
  <c r="L192" i="23"/>
  <c r="O192" i="23"/>
  <c r="L193" i="23"/>
  <c r="O193" i="23"/>
  <c r="L194" i="23"/>
  <c r="O194" i="23"/>
  <c r="L195" i="23"/>
  <c r="O195" i="23"/>
  <c r="L196" i="23"/>
  <c r="O196" i="23"/>
  <c r="L197" i="23"/>
  <c r="O197" i="23"/>
  <c r="L198" i="23"/>
  <c r="O198" i="23"/>
  <c r="L199" i="23"/>
  <c r="O199" i="23"/>
  <c r="L200" i="23"/>
  <c r="O200" i="23"/>
  <c r="L201" i="23"/>
  <c r="O201" i="23"/>
  <c r="L202" i="23"/>
  <c r="O202" i="23"/>
  <c r="L203" i="23"/>
  <c r="O203" i="23"/>
  <c r="L204" i="23"/>
  <c r="O204" i="23"/>
  <c r="L205" i="23"/>
  <c r="O205" i="23"/>
  <c r="L206" i="23"/>
  <c r="O206" i="23"/>
  <c r="L207" i="23"/>
  <c r="O207" i="23"/>
  <c r="L208" i="23"/>
  <c r="O208" i="23"/>
  <c r="L209" i="23"/>
  <c r="O209" i="23"/>
  <c r="L210" i="23"/>
  <c r="O210" i="23"/>
  <c r="L211" i="23"/>
  <c r="O211" i="23"/>
  <c r="L212" i="23"/>
  <c r="O212" i="23"/>
  <c r="L213" i="23"/>
  <c r="O213" i="23"/>
  <c r="L214" i="23"/>
  <c r="O214" i="23"/>
  <c r="L215" i="23"/>
  <c r="O215" i="23"/>
  <c r="L216" i="23"/>
  <c r="O216" i="23"/>
  <c r="L217" i="23"/>
  <c r="O217" i="23"/>
  <c r="L218" i="23"/>
  <c r="O218" i="23"/>
  <c r="L219" i="23"/>
  <c r="O219" i="23"/>
  <c r="L220" i="23"/>
  <c r="O220" i="23"/>
  <c r="L221" i="23"/>
  <c r="O221" i="23"/>
  <c r="L222" i="23"/>
  <c r="O222" i="23"/>
  <c r="L223" i="23"/>
  <c r="O223" i="23"/>
  <c r="L224" i="23"/>
  <c r="O224" i="23"/>
  <c r="L225" i="23"/>
  <c r="O225" i="23"/>
  <c r="L226" i="23"/>
  <c r="O226" i="23"/>
  <c r="L227" i="23"/>
  <c r="O227" i="23"/>
  <c r="L228" i="23"/>
  <c r="O228" i="23"/>
  <c r="L229" i="23"/>
  <c r="O229" i="23"/>
  <c r="L230" i="23"/>
  <c r="O230" i="23"/>
  <c r="L231" i="23"/>
  <c r="O231" i="23"/>
  <c r="L232" i="23"/>
  <c r="O232" i="23"/>
  <c r="L233" i="23"/>
  <c r="O233" i="23"/>
  <c r="L234" i="23"/>
  <c r="O234" i="23"/>
  <c r="L235" i="23"/>
  <c r="O235" i="23"/>
  <c r="L236" i="23"/>
  <c r="O236" i="23"/>
  <c r="L237" i="23"/>
  <c r="O237" i="23"/>
  <c r="L238" i="23"/>
  <c r="O238" i="23"/>
  <c r="L239" i="23"/>
  <c r="O239" i="23"/>
  <c r="L240" i="23"/>
  <c r="O240" i="23"/>
  <c r="L241" i="23"/>
  <c r="O241" i="23"/>
  <c r="L242" i="23"/>
  <c r="O242" i="23"/>
  <c r="L243" i="23"/>
  <c r="O243" i="23"/>
  <c r="L244" i="23"/>
  <c r="O244" i="23"/>
  <c r="L245" i="23"/>
  <c r="O245" i="23"/>
  <c r="L246" i="23"/>
  <c r="O246" i="23"/>
  <c r="L247" i="23"/>
  <c r="O247" i="23"/>
  <c r="L248" i="23"/>
  <c r="O248" i="23"/>
  <c r="L249" i="23"/>
  <c r="O249" i="23"/>
  <c r="L250" i="23"/>
  <c r="O250" i="23"/>
  <c r="L251" i="23"/>
  <c r="O251" i="23"/>
  <c r="L252" i="23"/>
  <c r="O252" i="23"/>
  <c r="L253" i="23"/>
  <c r="O253" i="23"/>
  <c r="L254" i="23"/>
  <c r="O254" i="23"/>
  <c r="L255" i="23"/>
  <c r="O255" i="23"/>
  <c r="L256" i="23"/>
  <c r="O256" i="23"/>
  <c r="L257" i="23"/>
  <c r="O257" i="23"/>
  <c r="L258" i="23"/>
  <c r="O258" i="23"/>
  <c r="L259" i="23"/>
  <c r="O259" i="23"/>
  <c r="L260" i="23"/>
  <c r="O260" i="23"/>
  <c r="L261" i="23"/>
  <c r="O261" i="23"/>
  <c r="L262" i="23"/>
  <c r="O262" i="23"/>
  <c r="L263" i="23"/>
  <c r="O263" i="23"/>
  <c r="L264" i="23"/>
  <c r="O264" i="23"/>
  <c r="L265" i="23"/>
  <c r="O265" i="23"/>
  <c r="L266" i="23"/>
  <c r="O266" i="23"/>
  <c r="L267" i="23"/>
  <c r="O267" i="23"/>
  <c r="L268" i="23"/>
  <c r="O268" i="23"/>
  <c r="L269" i="23"/>
  <c r="O269" i="23"/>
  <c r="L270" i="23"/>
  <c r="O270" i="23"/>
  <c r="L271" i="23"/>
  <c r="O271" i="23"/>
  <c r="L272" i="23"/>
  <c r="O272" i="23"/>
  <c r="L273" i="23"/>
  <c r="O273" i="23"/>
  <c r="L274" i="23"/>
  <c r="O274" i="23"/>
  <c r="L275" i="23"/>
  <c r="O275" i="23"/>
  <c r="L276" i="23"/>
  <c r="O276" i="23"/>
  <c r="L277" i="23"/>
  <c r="O277" i="23"/>
  <c r="L278" i="23"/>
  <c r="O278" i="23"/>
  <c r="L279" i="23"/>
  <c r="O279" i="23"/>
  <c r="L280" i="23"/>
  <c r="O280" i="23"/>
  <c r="L281" i="23"/>
  <c r="O281" i="23"/>
  <c r="L282" i="23"/>
  <c r="O282" i="23"/>
  <c r="L283" i="23"/>
  <c r="O283" i="23"/>
  <c r="F284" i="23"/>
  <c r="K284" i="23"/>
  <c r="L284" i="23" s="1"/>
  <c r="N284" i="23"/>
  <c r="O284" i="23"/>
  <c r="L286" i="23"/>
  <c r="O286" i="23"/>
  <c r="L287" i="23"/>
  <c r="O287" i="23"/>
  <c r="L288" i="23"/>
  <c r="O288" i="23"/>
  <c r="L289" i="23"/>
  <c r="O289" i="23"/>
  <c r="L290" i="23"/>
  <c r="O290" i="23"/>
  <c r="L291" i="23"/>
  <c r="O291" i="23"/>
  <c r="L292" i="23"/>
  <c r="O292" i="23"/>
  <c r="L293" i="23"/>
  <c r="O293" i="23"/>
  <c r="L294" i="23"/>
  <c r="O294" i="23"/>
  <c r="L295" i="23"/>
  <c r="O295" i="23"/>
  <c r="L296" i="23"/>
  <c r="O296" i="23"/>
  <c r="L297" i="23"/>
  <c r="O297" i="23"/>
  <c r="L298" i="23"/>
  <c r="O298" i="23"/>
  <c r="L299" i="23"/>
  <c r="O299" i="23"/>
  <c r="L300" i="23"/>
  <c r="O300" i="23"/>
  <c r="L301" i="23"/>
  <c r="O301" i="23"/>
  <c r="L302" i="23"/>
  <c r="O302" i="23"/>
  <c r="L303" i="23"/>
  <c r="O303" i="23"/>
  <c r="L304" i="23"/>
  <c r="O304" i="23"/>
  <c r="L305" i="23"/>
  <c r="O305" i="23"/>
  <c r="L306" i="23"/>
  <c r="O306" i="23"/>
  <c r="L307" i="23"/>
  <c r="O307" i="23"/>
  <c r="L308" i="23"/>
  <c r="O308" i="23"/>
  <c r="L309" i="23"/>
  <c r="O309" i="23"/>
  <c r="L310" i="23"/>
  <c r="O310" i="23"/>
  <c r="L311" i="23"/>
  <c r="O311" i="23"/>
  <c r="L312" i="23"/>
  <c r="O312" i="23"/>
  <c r="L313" i="23"/>
  <c r="O313" i="23"/>
  <c r="L314" i="23"/>
  <c r="O314" i="23"/>
  <c r="L315" i="23"/>
  <c r="O315" i="23"/>
  <c r="L316" i="23"/>
  <c r="O316" i="23"/>
  <c r="L317" i="23"/>
  <c r="O317" i="23"/>
  <c r="L318" i="23"/>
  <c r="O318" i="23"/>
  <c r="L319" i="23"/>
  <c r="O319" i="23"/>
  <c r="L320" i="23"/>
  <c r="O320" i="23"/>
  <c r="L321" i="23"/>
  <c r="O321" i="23"/>
  <c r="L322" i="23"/>
  <c r="O322" i="23"/>
  <c r="L323" i="23"/>
  <c r="O323" i="23"/>
  <c r="L324" i="23"/>
  <c r="O324" i="23"/>
  <c r="L325" i="23"/>
  <c r="O325" i="23"/>
  <c r="L326" i="23"/>
  <c r="O326" i="23"/>
  <c r="L327" i="23"/>
  <c r="O327" i="23"/>
  <c r="L328" i="23"/>
  <c r="O328" i="23"/>
  <c r="L329" i="23"/>
  <c r="O329" i="23"/>
  <c r="L330" i="23"/>
  <c r="O330" i="23"/>
  <c r="L331" i="23"/>
  <c r="O331" i="23"/>
  <c r="L332" i="23"/>
  <c r="O332" i="23"/>
  <c r="L333" i="23"/>
  <c r="O333" i="23"/>
  <c r="L334" i="23"/>
  <c r="O334" i="23"/>
  <c r="L335" i="23"/>
  <c r="O335" i="23"/>
  <c r="L336" i="23"/>
  <c r="O336" i="23"/>
  <c r="L337" i="23"/>
  <c r="O337" i="23"/>
  <c r="L338" i="23"/>
  <c r="O338" i="23"/>
  <c r="L339" i="23"/>
  <c r="O339" i="23"/>
  <c r="L340" i="23"/>
  <c r="O340" i="23"/>
  <c r="L341" i="23"/>
  <c r="O341" i="23"/>
  <c r="L342" i="23"/>
  <c r="O342" i="23"/>
  <c r="L343" i="23"/>
  <c r="O343" i="23"/>
  <c r="L344" i="23"/>
  <c r="O344" i="23"/>
  <c r="L345" i="23"/>
  <c r="O345" i="23"/>
  <c r="L346" i="23"/>
  <c r="O346" i="23"/>
  <c r="L347" i="23"/>
  <c r="O347" i="23"/>
  <c r="L348" i="23"/>
  <c r="O348" i="23"/>
  <c r="L349" i="23"/>
  <c r="O349" i="23"/>
  <c r="L350" i="23"/>
  <c r="O350" i="23"/>
  <c r="L351" i="23"/>
  <c r="O351" i="23"/>
  <c r="L352" i="23"/>
  <c r="O352" i="23"/>
  <c r="L353" i="23"/>
  <c r="O353" i="23"/>
  <c r="L354" i="23"/>
  <c r="O354" i="23"/>
  <c r="L355" i="23"/>
  <c r="O355" i="23"/>
  <c r="L356" i="23"/>
  <c r="O356" i="23"/>
  <c r="L357" i="23"/>
  <c r="O357" i="23"/>
  <c r="L358" i="23"/>
  <c r="O358" i="23"/>
  <c r="F359" i="23"/>
  <c r="K359" i="23"/>
  <c r="L359" i="23"/>
  <c r="N359" i="23"/>
  <c r="O359" i="23" s="1"/>
  <c r="K361" i="23"/>
  <c r="N361" i="23"/>
  <c r="N414" i="23" s="1"/>
  <c r="O414" i="23" s="1"/>
  <c r="L377" i="23"/>
  <c r="O377" i="23"/>
  <c r="L378" i="23"/>
  <c r="O378" i="23"/>
  <c r="L379" i="23"/>
  <c r="O379" i="23"/>
  <c r="L380" i="23"/>
  <c r="O380" i="23"/>
  <c r="L381" i="23"/>
  <c r="O381" i="23"/>
  <c r="L382" i="23"/>
  <c r="O382" i="23"/>
  <c r="L383" i="23"/>
  <c r="O383" i="23"/>
  <c r="L384" i="23"/>
  <c r="O384" i="23"/>
  <c r="L385" i="23"/>
  <c r="O385" i="23"/>
  <c r="L386" i="23"/>
  <c r="O386" i="23"/>
  <c r="L387" i="23"/>
  <c r="O387" i="23"/>
  <c r="L388" i="23"/>
  <c r="O388" i="23"/>
  <c r="L389" i="23"/>
  <c r="O389" i="23"/>
  <c r="L390" i="23"/>
  <c r="O390" i="23"/>
  <c r="L391" i="23"/>
  <c r="O391" i="23"/>
  <c r="L392" i="23"/>
  <c r="O392" i="23"/>
  <c r="L393" i="23"/>
  <c r="O393" i="23"/>
  <c r="L394" i="23"/>
  <c r="O394" i="23"/>
  <c r="L395" i="23"/>
  <c r="O395" i="23"/>
  <c r="L396" i="23"/>
  <c r="O396" i="23"/>
  <c r="L397" i="23"/>
  <c r="O397" i="23"/>
  <c r="L398" i="23"/>
  <c r="O398" i="23"/>
  <c r="L399" i="23"/>
  <c r="O399" i="23"/>
  <c r="L400" i="23"/>
  <c r="O400" i="23"/>
  <c r="L401" i="23"/>
  <c r="O401" i="23"/>
  <c r="L402" i="23"/>
  <c r="O402" i="23"/>
  <c r="L403" i="23"/>
  <c r="O403" i="23"/>
  <c r="L404" i="23"/>
  <c r="O404" i="23"/>
  <c r="L405" i="23"/>
  <c r="O405" i="23"/>
  <c r="L406" i="23"/>
  <c r="O406" i="23"/>
  <c r="L407" i="23"/>
  <c r="O407" i="23"/>
  <c r="L408" i="23"/>
  <c r="O408" i="23"/>
  <c r="L409" i="23"/>
  <c r="O409" i="23"/>
  <c r="L410" i="23"/>
  <c r="O410" i="23"/>
  <c r="L411" i="23"/>
  <c r="O411" i="23"/>
  <c r="L412" i="23"/>
  <c r="O412" i="23"/>
  <c r="L413" i="23"/>
  <c r="O413" i="23"/>
  <c r="F414" i="23"/>
  <c r="K414" i="23"/>
  <c r="L414" i="23"/>
  <c r="L416" i="23"/>
  <c r="O416" i="23"/>
  <c r="L417" i="23"/>
  <c r="O417" i="23"/>
  <c r="L418" i="23"/>
  <c r="O418" i="23"/>
  <c r="L419" i="23"/>
  <c r="O419" i="23"/>
  <c r="L420" i="23"/>
  <c r="O420" i="23"/>
  <c r="L421" i="23"/>
  <c r="O421" i="23"/>
  <c r="L422" i="23"/>
  <c r="O422" i="23"/>
  <c r="L423" i="23"/>
  <c r="O423" i="23"/>
  <c r="L424" i="23"/>
  <c r="O424" i="23"/>
  <c r="L425" i="23"/>
  <c r="O425" i="23"/>
  <c r="L426" i="23"/>
  <c r="O426" i="23"/>
  <c r="L427" i="23"/>
  <c r="O427" i="23"/>
  <c r="L428" i="23"/>
  <c r="O428" i="23"/>
  <c r="L429" i="23"/>
  <c r="O429" i="23"/>
  <c r="L430" i="23"/>
  <c r="O430" i="23"/>
  <c r="L431" i="23"/>
  <c r="O431" i="23"/>
  <c r="L432" i="23"/>
  <c r="O432" i="23"/>
  <c r="L433" i="23"/>
  <c r="O433" i="23"/>
  <c r="L434" i="23"/>
  <c r="O434" i="23"/>
  <c r="L435" i="23"/>
  <c r="O435" i="23"/>
  <c r="L436" i="23"/>
  <c r="O436" i="23"/>
  <c r="L437" i="23"/>
  <c r="O437" i="23"/>
  <c r="L438" i="23"/>
  <c r="O438" i="23"/>
  <c r="L439" i="23"/>
  <c r="O439" i="23"/>
  <c r="L440" i="23"/>
  <c r="O440" i="23"/>
  <c r="L441" i="23"/>
  <c r="O441" i="23"/>
  <c r="L442" i="23"/>
  <c r="O442" i="23"/>
  <c r="L443" i="23"/>
  <c r="O443" i="23"/>
  <c r="L444" i="23"/>
  <c r="O444" i="23"/>
  <c r="L445" i="23"/>
  <c r="O445" i="23"/>
  <c r="L446" i="23"/>
  <c r="O446" i="23"/>
  <c r="L447" i="23"/>
  <c r="O447" i="23"/>
  <c r="L448" i="23"/>
  <c r="O448" i="23"/>
  <c r="L449" i="23"/>
  <c r="O449" i="23"/>
  <c r="L450" i="23"/>
  <c r="O450" i="23"/>
  <c r="L451" i="23"/>
  <c r="O451" i="23"/>
  <c r="L452" i="23"/>
  <c r="O452" i="23"/>
  <c r="L453" i="23"/>
  <c r="O453" i="23"/>
  <c r="L454" i="23"/>
  <c r="O454" i="23"/>
  <c r="L455" i="23"/>
  <c r="O455" i="23"/>
  <c r="L456" i="23"/>
  <c r="O456" i="23"/>
  <c r="L457" i="23"/>
  <c r="O457" i="23"/>
  <c r="L458" i="23"/>
  <c r="O458" i="23"/>
  <c r="L459" i="23"/>
  <c r="O459" i="23"/>
  <c r="F460" i="23"/>
  <c r="K460" i="23"/>
  <c r="N460" i="23"/>
  <c r="O460" i="23" s="1"/>
  <c r="L462" i="23"/>
  <c r="O462" i="23"/>
  <c r="L463" i="23"/>
  <c r="O463" i="23"/>
  <c r="L464" i="23"/>
  <c r="O464" i="23"/>
  <c r="L465" i="23"/>
  <c r="O465" i="23"/>
  <c r="L466" i="23"/>
  <c r="O466" i="23"/>
  <c r="L467" i="23"/>
  <c r="O467" i="23"/>
  <c r="L468" i="23"/>
  <c r="O468" i="23"/>
  <c r="L469" i="23"/>
  <c r="O469" i="23"/>
  <c r="L470" i="23"/>
  <c r="O470" i="23"/>
  <c r="L471" i="23"/>
  <c r="O471" i="23"/>
  <c r="L472" i="23"/>
  <c r="O472" i="23"/>
  <c r="L473" i="23"/>
  <c r="O473" i="23"/>
  <c r="L474" i="23"/>
  <c r="O474" i="23"/>
  <c r="L475" i="23"/>
  <c r="O475" i="23"/>
  <c r="L476" i="23"/>
  <c r="O476" i="23"/>
  <c r="L477" i="23"/>
  <c r="O477" i="23"/>
  <c r="L478" i="23"/>
  <c r="O478" i="23"/>
  <c r="L479" i="23"/>
  <c r="O479" i="23"/>
  <c r="L480" i="23"/>
  <c r="O480" i="23"/>
  <c r="L481" i="23"/>
  <c r="O481" i="23"/>
  <c r="L482" i="23"/>
  <c r="O482" i="23"/>
  <c r="L483" i="23"/>
  <c r="O483" i="23"/>
  <c r="L484" i="23"/>
  <c r="O484" i="23"/>
  <c r="L485" i="23"/>
  <c r="O485" i="23"/>
  <c r="L486" i="23"/>
  <c r="O486" i="23"/>
  <c r="L487" i="23"/>
  <c r="O487" i="23"/>
  <c r="L488" i="23"/>
  <c r="O488" i="23"/>
  <c r="L489" i="23"/>
  <c r="O489" i="23"/>
  <c r="L490" i="23"/>
  <c r="O490" i="23"/>
  <c r="L491" i="23"/>
  <c r="O491" i="23"/>
  <c r="L492" i="23"/>
  <c r="O492" i="23"/>
  <c r="L493" i="23"/>
  <c r="O493" i="23"/>
  <c r="L494" i="23"/>
  <c r="O494" i="23"/>
  <c r="L495" i="23"/>
  <c r="O495" i="23"/>
  <c r="L496" i="23"/>
  <c r="O496" i="23"/>
  <c r="L497" i="23"/>
  <c r="O497" i="23"/>
  <c r="L498" i="23"/>
  <c r="O498" i="23"/>
  <c r="L499" i="23"/>
  <c r="O499" i="23"/>
  <c r="L500" i="23"/>
  <c r="O500" i="23"/>
  <c r="L501" i="23"/>
  <c r="O501" i="23"/>
  <c r="L502" i="23"/>
  <c r="O502" i="23"/>
  <c r="L503" i="23"/>
  <c r="O503" i="23"/>
  <c r="L504" i="23"/>
  <c r="O504" i="23"/>
  <c r="L505" i="23"/>
  <c r="O505" i="23"/>
  <c r="L506" i="23"/>
  <c r="O506" i="23"/>
  <c r="L507" i="23"/>
  <c r="O507" i="23"/>
  <c r="L508" i="23"/>
  <c r="O508" i="23"/>
  <c r="L509" i="23"/>
  <c r="O509" i="23"/>
  <c r="L510" i="23"/>
  <c r="O510" i="23"/>
  <c r="L511" i="23"/>
  <c r="O511" i="23"/>
  <c r="L512" i="23"/>
  <c r="O512" i="23"/>
  <c r="L513" i="23"/>
  <c r="O513" i="23"/>
  <c r="L514" i="23"/>
  <c r="O514" i="23"/>
  <c r="L515" i="23"/>
  <c r="O515" i="23"/>
  <c r="L516" i="23"/>
  <c r="O516" i="23"/>
  <c r="L517" i="23"/>
  <c r="O517" i="23"/>
  <c r="L518" i="23"/>
  <c r="O518" i="23"/>
  <c r="L519" i="23"/>
  <c r="O519" i="23"/>
  <c r="L520" i="23"/>
  <c r="O520" i="23"/>
  <c r="L521" i="23"/>
  <c r="O521" i="23"/>
  <c r="L522" i="23"/>
  <c r="O522" i="23"/>
  <c r="L523" i="23"/>
  <c r="O523" i="23"/>
  <c r="L524" i="23"/>
  <c r="O524" i="23"/>
  <c r="L525" i="23"/>
  <c r="O525" i="23"/>
  <c r="L526" i="23"/>
  <c r="O526" i="23"/>
  <c r="L527" i="23"/>
  <c r="O527" i="23"/>
  <c r="L528" i="23"/>
  <c r="O528" i="23"/>
  <c r="L529" i="23"/>
  <c r="O529" i="23"/>
  <c r="F530" i="23"/>
  <c r="K530" i="23"/>
  <c r="L530" i="23" s="1"/>
  <c r="N530" i="23"/>
  <c r="O530" i="23"/>
  <c r="L532" i="23"/>
  <c r="O532" i="23"/>
  <c r="L533" i="23"/>
  <c r="O533" i="23"/>
  <c r="L534" i="23"/>
  <c r="O534" i="23"/>
  <c r="L535" i="23"/>
  <c r="O535" i="23"/>
  <c r="L536" i="23"/>
  <c r="O536" i="23"/>
  <c r="L537" i="23"/>
  <c r="O537" i="23"/>
  <c r="L538" i="23"/>
  <c r="O538" i="23"/>
  <c r="L539" i="23"/>
  <c r="O539" i="23"/>
  <c r="L540" i="23"/>
  <c r="O540" i="23"/>
  <c r="L541" i="23"/>
  <c r="O541" i="23"/>
  <c r="L542" i="23"/>
  <c r="O542" i="23"/>
  <c r="L543" i="23"/>
  <c r="O543" i="23"/>
  <c r="L544" i="23"/>
  <c r="O544" i="23"/>
  <c r="L545" i="23"/>
  <c r="O545" i="23"/>
  <c r="L546" i="23"/>
  <c r="O546" i="23"/>
  <c r="L547" i="23"/>
  <c r="O547" i="23"/>
  <c r="L548" i="23"/>
  <c r="O548" i="23"/>
  <c r="L549" i="23"/>
  <c r="O549" i="23"/>
  <c r="L550" i="23"/>
  <c r="O550" i="23"/>
  <c r="L551" i="23"/>
  <c r="O551" i="23"/>
  <c r="L552" i="23"/>
  <c r="O552" i="23"/>
  <c r="L553" i="23"/>
  <c r="O553" i="23"/>
  <c r="L554" i="23"/>
  <c r="O554" i="23"/>
  <c r="L555" i="23"/>
  <c r="O555" i="23"/>
  <c r="L556" i="23"/>
  <c r="O556" i="23"/>
  <c r="L557" i="23"/>
  <c r="O557" i="23"/>
  <c r="L558" i="23"/>
  <c r="O558" i="23"/>
  <c r="L559" i="23"/>
  <c r="O559" i="23"/>
  <c r="F560" i="23"/>
  <c r="K560" i="23"/>
  <c r="L560" i="23" s="1"/>
  <c r="N560" i="23"/>
  <c r="O560" i="23" s="1"/>
  <c r="L562" i="23"/>
  <c r="O562" i="23"/>
  <c r="L563" i="23"/>
  <c r="O563" i="23"/>
  <c r="L564" i="23"/>
  <c r="O564" i="23"/>
  <c r="L565" i="23"/>
  <c r="O565" i="23"/>
  <c r="L566" i="23"/>
  <c r="O566" i="23"/>
  <c r="L567" i="23"/>
  <c r="O567" i="23"/>
  <c r="L568" i="23"/>
  <c r="O568" i="23"/>
  <c r="L569" i="23"/>
  <c r="O569" i="23"/>
  <c r="L570" i="23"/>
  <c r="O570" i="23"/>
  <c r="L571" i="23"/>
  <c r="O571" i="23"/>
  <c r="L572" i="23"/>
  <c r="O572" i="23"/>
  <c r="L573" i="23"/>
  <c r="O573" i="23"/>
  <c r="L574" i="23"/>
  <c r="O574" i="23"/>
  <c r="L575" i="23"/>
  <c r="O575" i="23"/>
  <c r="L576" i="23"/>
  <c r="O576" i="23"/>
  <c r="L577" i="23"/>
  <c r="O577" i="23"/>
  <c r="L578" i="23"/>
  <c r="O578" i="23"/>
  <c r="L579" i="23"/>
  <c r="O579" i="23"/>
  <c r="L580" i="23"/>
  <c r="O580" i="23"/>
  <c r="L581" i="23"/>
  <c r="O581" i="23"/>
  <c r="L582" i="23"/>
  <c r="O582" i="23"/>
  <c r="L583" i="23"/>
  <c r="O583" i="23"/>
  <c r="L584" i="23"/>
  <c r="O584" i="23"/>
  <c r="L585" i="23"/>
  <c r="O585" i="23"/>
  <c r="L586" i="23"/>
  <c r="O586" i="23"/>
  <c r="L587" i="23"/>
  <c r="O587" i="23"/>
  <c r="L588" i="23"/>
  <c r="O588" i="23"/>
  <c r="F589" i="23"/>
  <c r="O589" i="23" s="1"/>
  <c r="K589" i="23"/>
  <c r="N589" i="23"/>
  <c r="F591" i="23"/>
  <c r="K591" i="23"/>
  <c r="N591" i="23"/>
  <c r="O591" i="23" s="1"/>
  <c r="F592" i="23"/>
  <c r="K592" i="23"/>
  <c r="L592" i="23"/>
  <c r="N592" i="23"/>
  <c r="O592" i="23"/>
  <c r="F593" i="23"/>
  <c r="F597" i="23" s="1"/>
  <c r="K593" i="23"/>
  <c r="L593" i="23" s="1"/>
  <c r="N593" i="23"/>
  <c r="O593" i="23"/>
  <c r="F594" i="23"/>
  <c r="K594" i="23"/>
  <c r="L594" i="23"/>
  <c r="N594" i="23"/>
  <c r="O594" i="23"/>
  <c r="F595" i="23"/>
  <c r="L595" i="23" s="1"/>
  <c r="K595" i="23"/>
  <c r="N595" i="23"/>
  <c r="O595" i="23" s="1"/>
  <c r="F596" i="23"/>
  <c r="F788" i="23" s="1"/>
  <c r="K596" i="23"/>
  <c r="L596" i="23" s="1"/>
  <c r="N596" i="23"/>
  <c r="O596" i="23" s="1"/>
  <c r="L600" i="23"/>
  <c r="O600" i="23"/>
  <c r="L601" i="23"/>
  <c r="O601" i="23"/>
  <c r="L602" i="23"/>
  <c r="O602" i="23"/>
  <c r="L603" i="23"/>
  <c r="O603" i="23"/>
  <c r="L604" i="23"/>
  <c r="O604" i="23"/>
  <c r="L605" i="23"/>
  <c r="O605" i="23"/>
  <c r="L606" i="23"/>
  <c r="O606" i="23"/>
  <c r="L607" i="23"/>
  <c r="O607" i="23"/>
  <c r="L608" i="23"/>
  <c r="O608" i="23"/>
  <c r="L609" i="23"/>
  <c r="O609" i="23"/>
  <c r="L610" i="23"/>
  <c r="O610" i="23"/>
  <c r="L611" i="23"/>
  <c r="O611" i="23"/>
  <c r="L612" i="23"/>
  <c r="O612" i="23"/>
  <c r="L613" i="23"/>
  <c r="O613" i="23"/>
  <c r="L614" i="23"/>
  <c r="O614" i="23"/>
  <c r="L615" i="23"/>
  <c r="O615" i="23"/>
  <c r="L616" i="23"/>
  <c r="O616" i="23"/>
  <c r="L617" i="23"/>
  <c r="O617" i="23"/>
  <c r="L618" i="23"/>
  <c r="O618" i="23"/>
  <c r="L619" i="23"/>
  <c r="O619" i="23"/>
  <c r="L620" i="23"/>
  <c r="O620" i="23"/>
  <c r="L621" i="23"/>
  <c r="O621" i="23"/>
  <c r="L622" i="23"/>
  <c r="O622" i="23"/>
  <c r="L623" i="23"/>
  <c r="O623" i="23"/>
  <c r="L624" i="23"/>
  <c r="O624" i="23"/>
  <c r="L625" i="23"/>
  <c r="O625" i="23"/>
  <c r="L626" i="23"/>
  <c r="O626" i="23"/>
  <c r="L627" i="23"/>
  <c r="O627" i="23"/>
  <c r="L628" i="23"/>
  <c r="O628" i="23"/>
  <c r="L629" i="23"/>
  <c r="O629" i="23"/>
  <c r="L630" i="23"/>
  <c r="O630" i="23"/>
  <c r="L631" i="23"/>
  <c r="O631" i="23"/>
  <c r="L632" i="23"/>
  <c r="O632" i="23"/>
  <c r="L633" i="23"/>
  <c r="O633" i="23"/>
  <c r="L634" i="23"/>
  <c r="O634" i="23"/>
  <c r="L635" i="23"/>
  <c r="O635" i="23"/>
  <c r="L636" i="23"/>
  <c r="O636" i="23"/>
  <c r="L637" i="23"/>
  <c r="O637" i="23"/>
  <c r="L638" i="23"/>
  <c r="O638" i="23"/>
  <c r="L639" i="23"/>
  <c r="O639" i="23"/>
  <c r="L640" i="23"/>
  <c r="O640" i="23"/>
  <c r="L641" i="23"/>
  <c r="O641" i="23"/>
  <c r="L642" i="23"/>
  <c r="O642" i="23"/>
  <c r="L643" i="23"/>
  <c r="O643" i="23"/>
  <c r="L644" i="23"/>
  <c r="O644" i="23"/>
  <c r="L645" i="23"/>
  <c r="O645" i="23"/>
  <c r="L646" i="23"/>
  <c r="O646" i="23"/>
  <c r="L647" i="23"/>
  <c r="O647" i="23"/>
  <c r="L648" i="23"/>
  <c r="O648" i="23"/>
  <c r="L649" i="23"/>
  <c r="O649" i="23"/>
  <c r="L650" i="23"/>
  <c r="O650" i="23"/>
  <c r="L651" i="23"/>
  <c r="O651" i="23"/>
  <c r="L652" i="23"/>
  <c r="O652" i="23"/>
  <c r="L653" i="23"/>
  <c r="O653" i="23"/>
  <c r="L654" i="23"/>
  <c r="O654" i="23"/>
  <c r="L655" i="23"/>
  <c r="O655" i="23"/>
  <c r="L656" i="23"/>
  <c r="O656" i="23"/>
  <c r="L657" i="23"/>
  <c r="O657" i="23"/>
  <c r="L658" i="23"/>
  <c r="O658" i="23"/>
  <c r="L659" i="23"/>
  <c r="O659" i="23"/>
  <c r="L660" i="23"/>
  <c r="O660" i="23"/>
  <c r="L661" i="23"/>
  <c r="O661" i="23"/>
  <c r="L662" i="23"/>
  <c r="O662" i="23"/>
  <c r="L663" i="23"/>
  <c r="O663" i="23"/>
  <c r="L664" i="23"/>
  <c r="O664" i="23"/>
  <c r="L665" i="23"/>
  <c r="O665" i="23"/>
  <c r="L666" i="23"/>
  <c r="O666" i="23"/>
  <c r="L667" i="23"/>
  <c r="O667" i="23"/>
  <c r="L668" i="23"/>
  <c r="O668" i="23"/>
  <c r="L669" i="23"/>
  <c r="O669" i="23"/>
  <c r="L670" i="23"/>
  <c r="O670" i="23"/>
  <c r="L671" i="23"/>
  <c r="O671" i="23"/>
  <c r="L672" i="23"/>
  <c r="O672" i="23"/>
  <c r="L673" i="23"/>
  <c r="O673" i="23"/>
  <c r="L674" i="23"/>
  <c r="O674" i="23"/>
  <c r="L675" i="23"/>
  <c r="O675" i="23"/>
  <c r="L676" i="23"/>
  <c r="O676" i="23"/>
  <c r="L677" i="23"/>
  <c r="O677" i="23"/>
  <c r="L678" i="23"/>
  <c r="O678" i="23"/>
  <c r="F679" i="23"/>
  <c r="L679" i="23" s="1"/>
  <c r="K679" i="23"/>
  <c r="N679" i="23"/>
  <c r="L682" i="23"/>
  <c r="O682" i="23"/>
  <c r="L683" i="23"/>
  <c r="O683" i="23"/>
  <c r="L684" i="23"/>
  <c r="O684" i="23"/>
  <c r="L685" i="23"/>
  <c r="O685" i="23"/>
  <c r="L686" i="23"/>
  <c r="O686" i="23"/>
  <c r="F687" i="23"/>
  <c r="K687" i="23"/>
  <c r="L687" i="23" s="1"/>
  <c r="N687" i="23"/>
  <c r="O687" i="23" s="1"/>
  <c r="L689" i="23"/>
  <c r="O689" i="23"/>
  <c r="L690" i="23"/>
  <c r="O690" i="23"/>
  <c r="L691" i="23"/>
  <c r="O691" i="23"/>
  <c r="L692" i="23"/>
  <c r="O692" i="23"/>
  <c r="L693" i="23"/>
  <c r="O693" i="23"/>
  <c r="L694" i="23"/>
  <c r="O694" i="23"/>
  <c r="L695" i="23"/>
  <c r="O695" i="23"/>
  <c r="L696" i="23"/>
  <c r="O696" i="23"/>
  <c r="L697" i="23"/>
  <c r="O697" i="23"/>
  <c r="L698" i="23"/>
  <c r="O698" i="23"/>
  <c r="L699" i="23"/>
  <c r="O699" i="23"/>
  <c r="L700" i="23"/>
  <c r="O700" i="23"/>
  <c r="L701" i="23"/>
  <c r="O701" i="23"/>
  <c r="L702" i="23"/>
  <c r="O702" i="23"/>
  <c r="L703" i="23"/>
  <c r="O703" i="23"/>
  <c r="L704" i="23"/>
  <c r="O704" i="23"/>
  <c r="L705" i="23"/>
  <c r="O705" i="23"/>
  <c r="L706" i="23"/>
  <c r="O706" i="23"/>
  <c r="L707" i="23"/>
  <c r="O707" i="23"/>
  <c r="L708" i="23"/>
  <c r="O708" i="23"/>
  <c r="L709" i="23"/>
  <c r="O709" i="23"/>
  <c r="L710" i="23"/>
  <c r="O710" i="23"/>
  <c r="L711" i="23"/>
  <c r="O711" i="23"/>
  <c r="F712" i="23"/>
  <c r="L712" i="23" s="1"/>
  <c r="K712" i="23"/>
  <c r="N712" i="23"/>
  <c r="O712" i="23" s="1"/>
  <c r="L714" i="23"/>
  <c r="O714" i="23"/>
  <c r="L715" i="23"/>
  <c r="O715" i="23"/>
  <c r="L716" i="23"/>
  <c r="O716" i="23"/>
  <c r="L717" i="23"/>
  <c r="O717" i="23"/>
  <c r="L718" i="23"/>
  <c r="O718" i="23"/>
  <c r="L719" i="23"/>
  <c r="O719" i="23"/>
  <c r="L720" i="23"/>
  <c r="O720" i="23"/>
  <c r="L721" i="23"/>
  <c r="O721" i="23"/>
  <c r="L722" i="23"/>
  <c r="O722" i="23"/>
  <c r="L723" i="23"/>
  <c r="O723" i="23"/>
  <c r="L724" i="23"/>
  <c r="O724" i="23"/>
  <c r="L725" i="23"/>
  <c r="O725" i="23"/>
  <c r="L726" i="23"/>
  <c r="O726" i="23"/>
  <c r="L727" i="23"/>
  <c r="O727" i="23"/>
  <c r="L728" i="23"/>
  <c r="O728" i="23"/>
  <c r="L729" i="23"/>
  <c r="O729" i="23"/>
  <c r="L730" i="23"/>
  <c r="O730" i="23"/>
  <c r="L731" i="23"/>
  <c r="O731" i="23"/>
  <c r="L732" i="23"/>
  <c r="O732" i="23"/>
  <c r="L733" i="23"/>
  <c r="O733" i="23"/>
  <c r="L734" i="23"/>
  <c r="O734" i="23"/>
  <c r="L735" i="23"/>
  <c r="O735" i="23"/>
  <c r="L736" i="23"/>
  <c r="O736" i="23"/>
  <c r="L737" i="23"/>
  <c r="O737" i="23"/>
  <c r="L738" i="23"/>
  <c r="O738" i="23"/>
  <c r="L739" i="23"/>
  <c r="O739" i="23"/>
  <c r="L740" i="23"/>
  <c r="O740" i="23"/>
  <c r="F741" i="23"/>
  <c r="K741" i="23"/>
  <c r="N741" i="23"/>
  <c r="O741" i="23"/>
  <c r="F743" i="23"/>
  <c r="G743" i="23"/>
  <c r="H743" i="23"/>
  <c r="I743" i="23"/>
  <c r="J743" i="23"/>
  <c r="K743" i="23"/>
  <c r="L743" i="23"/>
  <c r="N743" i="23"/>
  <c r="O743" i="23" s="1"/>
  <c r="F744" i="23"/>
  <c r="L744" i="23" s="1"/>
  <c r="K744" i="23"/>
  <c r="N744" i="23"/>
  <c r="O744" i="23" s="1"/>
  <c r="F745" i="23"/>
  <c r="K745" i="23"/>
  <c r="L745" i="23"/>
  <c r="N745" i="23"/>
  <c r="O745" i="23"/>
  <c r="F746" i="23"/>
  <c r="K746" i="23"/>
  <c r="L746" i="23" s="1"/>
  <c r="N746" i="23"/>
  <c r="O746" i="23" s="1"/>
  <c r="F747" i="23"/>
  <c r="K747" i="23"/>
  <c r="L747" i="23" s="1"/>
  <c r="N747" i="23"/>
  <c r="O747" i="23" s="1"/>
  <c r="L750" i="23"/>
  <c r="O750" i="23"/>
  <c r="L751" i="23"/>
  <c r="O751" i="23"/>
  <c r="L752" i="23"/>
  <c r="O752" i="23"/>
  <c r="L753" i="23"/>
  <c r="O753" i="23"/>
  <c r="L754" i="23"/>
  <c r="O754" i="23"/>
  <c r="L755" i="23"/>
  <c r="O755" i="23"/>
  <c r="L756" i="23"/>
  <c r="O756" i="23"/>
  <c r="L757" i="23"/>
  <c r="O757" i="23"/>
  <c r="L758" i="23"/>
  <c r="O758" i="23"/>
  <c r="L759" i="23"/>
  <c r="O759" i="23"/>
  <c r="L760" i="23"/>
  <c r="O760" i="23"/>
  <c r="L761" i="23"/>
  <c r="O761" i="23"/>
  <c r="L762" i="23"/>
  <c r="O762" i="23"/>
  <c r="L763" i="23"/>
  <c r="O763" i="23"/>
  <c r="L764" i="23"/>
  <c r="O764" i="23"/>
  <c r="L765" i="23"/>
  <c r="O765" i="23"/>
  <c r="L766" i="23"/>
  <c r="O766" i="23"/>
  <c r="L767" i="23"/>
  <c r="O767" i="23"/>
  <c r="L768" i="23"/>
  <c r="O768" i="23"/>
  <c r="L769" i="23"/>
  <c r="O769" i="23"/>
  <c r="L770" i="23"/>
  <c r="O770" i="23"/>
  <c r="L771" i="23"/>
  <c r="O771" i="23"/>
  <c r="L772" i="23"/>
  <c r="O772" i="23"/>
  <c r="L773" i="23"/>
  <c r="O773" i="23"/>
  <c r="L774" i="23"/>
  <c r="O774" i="23"/>
  <c r="L775" i="23"/>
  <c r="O775" i="23"/>
  <c r="L776" i="23"/>
  <c r="O776" i="23"/>
  <c r="L777" i="23"/>
  <c r="O777" i="23"/>
  <c r="L778" i="23"/>
  <c r="O778" i="23"/>
  <c r="L779" i="23"/>
  <c r="O779" i="23"/>
  <c r="L780" i="23"/>
  <c r="O780" i="23"/>
  <c r="F781" i="23"/>
  <c r="O781" i="23" s="1"/>
  <c r="K781" i="23"/>
  <c r="N781" i="23"/>
  <c r="F783" i="23"/>
  <c r="F784" i="23"/>
  <c r="F785" i="23"/>
  <c r="F786" i="23"/>
  <c r="F787" i="23"/>
  <c r="B4" i="59"/>
  <c r="B10" i="59" s="1"/>
  <c r="C4" i="59"/>
  <c r="D4" i="59"/>
  <c r="B5" i="59"/>
  <c r="C5" i="59"/>
  <c r="E5" i="59" s="1"/>
  <c r="D5" i="59"/>
  <c r="B6" i="59"/>
  <c r="C6" i="59"/>
  <c r="D6" i="59"/>
  <c r="E6" i="59"/>
  <c r="B7" i="59"/>
  <c r="C7" i="59"/>
  <c r="D7" i="59"/>
  <c r="E7" i="59" s="1"/>
  <c r="F7" i="59" s="1"/>
  <c r="B8" i="59"/>
  <c r="C8" i="59"/>
  <c r="E8" i="59" s="1"/>
  <c r="F8" i="59" s="1"/>
  <c r="B9" i="59"/>
  <c r="C9" i="59"/>
  <c r="E9" i="59"/>
  <c r="F9" i="59" s="1"/>
  <c r="B18" i="59"/>
  <c r="C18" i="59"/>
  <c r="D18" i="59"/>
  <c r="E18" i="59" s="1"/>
  <c r="B19" i="59"/>
  <c r="C19" i="59"/>
  <c r="D19" i="59"/>
  <c r="E19" i="59"/>
  <c r="F19" i="59" s="1"/>
  <c r="B20" i="59"/>
  <c r="C20" i="59"/>
  <c r="E20" i="59" s="1"/>
  <c r="F20" i="59" s="1"/>
  <c r="D20" i="59"/>
  <c r="B21" i="59"/>
  <c r="C21" i="59"/>
  <c r="D21" i="59"/>
  <c r="B22" i="59"/>
  <c r="C22" i="59"/>
  <c r="D22" i="59"/>
  <c r="E22" i="59"/>
  <c r="B23" i="59"/>
  <c r="C23" i="59"/>
  <c r="D23" i="59"/>
  <c r="C4" i="44"/>
  <c r="D4" i="44"/>
  <c r="E4" i="44" s="1"/>
  <c r="F4" i="44"/>
  <c r="C8" i="44"/>
  <c r="D8" i="44"/>
  <c r="E8" i="44"/>
  <c r="F8" i="44"/>
  <c r="C12" i="44"/>
  <c r="C13" i="44" s="1"/>
  <c r="D12" i="44"/>
  <c r="E12" i="44" s="1"/>
  <c r="F12" i="44"/>
  <c r="F13" i="44" s="1"/>
  <c r="D13" i="44"/>
  <c r="E13" i="44" s="1"/>
  <c r="C17" i="44"/>
  <c r="D17" i="44"/>
  <c r="E17" i="44"/>
  <c r="F17" i="44"/>
  <c r="C22" i="44"/>
  <c r="D22" i="44"/>
  <c r="F22" i="44"/>
  <c r="C26" i="44"/>
  <c r="D26" i="44"/>
  <c r="D31" i="44" s="1"/>
  <c r="E26" i="44"/>
  <c r="F26" i="44"/>
  <c r="C30" i="44"/>
  <c r="E30" i="44" s="1"/>
  <c r="D30" i="44"/>
  <c r="F30" i="44"/>
  <c r="F31" i="44"/>
  <c r="C36" i="44"/>
  <c r="E36" i="44" s="1"/>
  <c r="D36" i="44"/>
  <c r="F36" i="44"/>
  <c r="C41" i="44"/>
  <c r="D41" i="44"/>
  <c r="D67" i="44" s="1"/>
  <c r="E41" i="44"/>
  <c r="F41" i="44"/>
  <c r="C45" i="44"/>
  <c r="E45" i="44" s="1"/>
  <c r="D45" i="44"/>
  <c r="F45" i="44"/>
  <c r="C49" i="44"/>
  <c r="D49" i="44"/>
  <c r="E49" i="44"/>
  <c r="F49" i="44"/>
  <c r="C53" i="44"/>
  <c r="E53" i="44" s="1"/>
  <c r="D53" i="44"/>
  <c r="F53" i="44"/>
  <c r="C57" i="44"/>
  <c r="D57" i="44"/>
  <c r="E57" i="44"/>
  <c r="F57" i="44"/>
  <c r="C61" i="44"/>
  <c r="E61" i="44" s="1"/>
  <c r="D61" i="44"/>
  <c r="F61" i="44"/>
  <c r="C65" i="44"/>
  <c r="D65" i="44"/>
  <c r="E65" i="44"/>
  <c r="F65" i="44"/>
  <c r="C67" i="44"/>
  <c r="E67" i="44" s="1"/>
  <c r="B2" i="1"/>
  <c r="A7" i="1"/>
  <c r="H7" i="1" s="1"/>
  <c r="C7" i="1"/>
  <c r="C19" i="1" s="1"/>
  <c r="D7" i="1"/>
  <c r="E7" i="1"/>
  <c r="F7" i="1"/>
  <c r="G7" i="1"/>
  <c r="I7" i="1"/>
  <c r="J7" i="1"/>
  <c r="L7" i="1"/>
  <c r="N7" i="1" s="1"/>
  <c r="M7" i="1"/>
  <c r="A8" i="1"/>
  <c r="E8" i="1" s="1"/>
  <c r="F8" i="1"/>
  <c r="L8" i="1"/>
  <c r="A9" i="1"/>
  <c r="E9" i="1"/>
  <c r="H9" i="1"/>
  <c r="A10" i="1"/>
  <c r="F10" i="1" s="1"/>
  <c r="A11" i="1"/>
  <c r="A12" i="1"/>
  <c r="G12" i="1" s="1"/>
  <c r="G23" i="1" s="1"/>
  <c r="C12" i="1"/>
  <c r="E12" i="1"/>
  <c r="H12" i="1"/>
  <c r="I12" i="1"/>
  <c r="A13" i="1"/>
  <c r="D13" i="1"/>
  <c r="D24" i="1" s="1"/>
  <c r="H13" i="1"/>
  <c r="D19" i="1"/>
  <c r="E19" i="1"/>
  <c r="F19" i="1"/>
  <c r="M19" i="1" s="1"/>
  <c r="G19" i="1"/>
  <c r="H19" i="1"/>
  <c r="L19" i="1"/>
  <c r="O19" i="1"/>
  <c r="E20" i="1"/>
  <c r="C23" i="1"/>
  <c r="E23" i="1"/>
  <c r="H23" i="1"/>
  <c r="I23" i="1"/>
  <c r="H24" i="1"/>
  <c r="E3" i="27"/>
  <c r="E4" i="27"/>
  <c r="H25" i="27"/>
  <c r="J25" i="27"/>
  <c r="L25" i="27"/>
  <c r="H26" i="27"/>
  <c r="J26" i="27"/>
  <c r="L26" i="27"/>
  <c r="H27" i="27"/>
  <c r="J27" i="27"/>
  <c r="L27" i="27"/>
  <c r="H28" i="27"/>
  <c r="J28" i="27"/>
  <c r="L28" i="27"/>
  <c r="H29" i="27"/>
  <c r="J29" i="27"/>
  <c r="L29" i="27"/>
  <c r="H30" i="27"/>
  <c r="J30" i="27"/>
  <c r="L30" i="27"/>
  <c r="H31" i="27"/>
  <c r="J31" i="27"/>
  <c r="L31" i="27"/>
  <c r="H32" i="27"/>
  <c r="J32" i="27"/>
  <c r="L32" i="27"/>
  <c r="H33" i="27"/>
  <c r="J33" i="27"/>
  <c r="L33" i="27"/>
  <c r="H34" i="27"/>
  <c r="J34" i="27"/>
  <c r="L34" i="27"/>
  <c r="H35" i="27"/>
  <c r="J35" i="27"/>
  <c r="L35" i="27"/>
  <c r="H36" i="27"/>
  <c r="J36" i="27"/>
  <c r="L36" i="27"/>
  <c r="H37" i="27"/>
  <c r="J37" i="27"/>
  <c r="L37" i="27"/>
  <c r="H38" i="27"/>
  <c r="J38" i="27"/>
  <c r="L38" i="27"/>
  <c r="H43" i="27"/>
  <c r="J43" i="27"/>
  <c r="L43" i="27"/>
  <c r="H44" i="27"/>
  <c r="J44" i="27"/>
  <c r="L44" i="27"/>
  <c r="H45" i="27"/>
  <c r="J45" i="27"/>
  <c r="L45" i="27"/>
  <c r="H46" i="27"/>
  <c r="J46" i="27"/>
  <c r="L46" i="27"/>
  <c r="H47" i="27"/>
  <c r="J47" i="27"/>
  <c r="L47" i="27"/>
  <c r="H48" i="27"/>
  <c r="J48" i="27"/>
  <c r="L48" i="27"/>
  <c r="H49" i="27"/>
  <c r="J49" i="27"/>
  <c r="L49" i="27"/>
  <c r="H50" i="27"/>
  <c r="J50" i="27"/>
  <c r="L50" i="27"/>
  <c r="H51" i="27"/>
  <c r="J51" i="27"/>
  <c r="L51" i="27"/>
  <c r="H52" i="27"/>
  <c r="J52" i="27"/>
  <c r="L52" i="27"/>
  <c r="H53" i="27"/>
  <c r="J53" i="27"/>
  <c r="L53" i="27"/>
  <c r="H54" i="27"/>
  <c r="J54" i="27"/>
  <c r="L54" i="27"/>
  <c r="H55" i="27"/>
  <c r="J55" i="27"/>
  <c r="L55" i="27"/>
  <c r="H56" i="27"/>
  <c r="J56" i="27"/>
  <c r="L56" i="27"/>
  <c r="H57" i="27"/>
  <c r="J57" i="27"/>
  <c r="L57" i="27"/>
  <c r="H61" i="27"/>
  <c r="J61" i="27"/>
  <c r="L61" i="27"/>
  <c r="H62" i="27"/>
  <c r="J62" i="27"/>
  <c r="L62" i="27"/>
  <c r="H63" i="27"/>
  <c r="J63" i="27"/>
  <c r="L63" i="27"/>
  <c r="H64" i="27"/>
  <c r="J64" i="27"/>
  <c r="L64" i="27"/>
  <c r="H65" i="27"/>
  <c r="J65" i="27"/>
  <c r="L65" i="27"/>
  <c r="H66" i="27"/>
  <c r="J66" i="27"/>
  <c r="L66" i="27"/>
  <c r="H67" i="27"/>
  <c r="J67" i="27"/>
  <c r="L67" i="27"/>
  <c r="H68" i="27"/>
  <c r="J68" i="27"/>
  <c r="L68" i="27"/>
  <c r="H69" i="27"/>
  <c r="J69" i="27"/>
  <c r="L69" i="27"/>
  <c r="H70" i="27"/>
  <c r="J70" i="27"/>
  <c r="L70" i="27"/>
  <c r="H71" i="27"/>
  <c r="J71" i="27"/>
  <c r="L71" i="27"/>
  <c r="H72" i="27"/>
  <c r="J72" i="27"/>
  <c r="L72" i="27"/>
  <c r="H73" i="27"/>
  <c r="J73" i="27"/>
  <c r="L73" i="27"/>
  <c r="H74" i="27"/>
  <c r="J74" i="27"/>
  <c r="L74" i="27"/>
  <c r="H75" i="27"/>
  <c r="J75" i="27"/>
  <c r="L75" i="27"/>
  <c r="H79" i="27"/>
  <c r="J79" i="27"/>
  <c r="L79" i="27"/>
  <c r="H80" i="27"/>
  <c r="J80" i="27"/>
  <c r="L80" i="27"/>
  <c r="H81" i="27"/>
  <c r="J81" i="27"/>
  <c r="L81" i="27"/>
  <c r="H82" i="27"/>
  <c r="J82" i="27"/>
  <c r="L82" i="27"/>
  <c r="H83" i="27"/>
  <c r="J83" i="27"/>
  <c r="L83" i="27"/>
  <c r="H84" i="27"/>
  <c r="J84" i="27"/>
  <c r="L84" i="27"/>
  <c r="H85" i="27"/>
  <c r="J85" i="27"/>
  <c r="L85" i="27"/>
  <c r="H86" i="27"/>
  <c r="J86" i="27"/>
  <c r="L86" i="27"/>
  <c r="H87" i="27"/>
  <c r="J87" i="27"/>
  <c r="L87" i="27"/>
  <c r="H88" i="27"/>
  <c r="J88" i="27"/>
  <c r="L88" i="27"/>
  <c r="H89" i="27"/>
  <c r="J89" i="27"/>
  <c r="L89" i="27"/>
  <c r="H90" i="27"/>
  <c r="J90" i="27"/>
  <c r="L90" i="27"/>
  <c r="H91" i="27"/>
  <c r="J91" i="27"/>
  <c r="L91" i="27"/>
  <c r="H92" i="27"/>
  <c r="J92" i="27"/>
  <c r="L92" i="27"/>
  <c r="H93" i="27"/>
  <c r="J93" i="27"/>
  <c r="L93" i="27"/>
  <c r="H98" i="27"/>
  <c r="J98" i="27"/>
  <c r="L98" i="27"/>
  <c r="H99" i="27"/>
  <c r="J99" i="27"/>
  <c r="L99" i="27"/>
  <c r="H100" i="27"/>
  <c r="J100" i="27"/>
  <c r="L100" i="27"/>
  <c r="H101" i="27"/>
  <c r="J101" i="27"/>
  <c r="L101" i="27"/>
  <c r="H102" i="27"/>
  <c r="J102" i="27"/>
  <c r="L102" i="27"/>
  <c r="H103" i="27"/>
  <c r="J103" i="27"/>
  <c r="L103" i="27"/>
  <c r="H104" i="27"/>
  <c r="J104" i="27"/>
  <c r="L104" i="27"/>
  <c r="H105" i="27"/>
  <c r="J105" i="27"/>
  <c r="L105" i="27"/>
  <c r="H106" i="27"/>
  <c r="J106" i="27"/>
  <c r="L106" i="27"/>
  <c r="H107" i="27"/>
  <c r="J107" i="27"/>
  <c r="L107" i="27"/>
  <c r="H108" i="27"/>
  <c r="J108" i="27"/>
  <c r="L108" i="27"/>
  <c r="H109" i="27"/>
  <c r="J109" i="27"/>
  <c r="L109" i="27"/>
  <c r="H110" i="27"/>
  <c r="J110" i="27"/>
  <c r="L110" i="27"/>
  <c r="H111" i="27"/>
  <c r="J111" i="27"/>
  <c r="L111" i="27"/>
  <c r="H112" i="27"/>
  <c r="J112" i="27"/>
  <c r="L112" i="27"/>
  <c r="J116" i="27"/>
  <c r="K116" i="27"/>
  <c r="L116" i="27" s="1"/>
  <c r="M116" i="27"/>
  <c r="N116" i="27" s="1"/>
  <c r="J118" i="27"/>
  <c r="L118" i="27"/>
  <c r="N118" i="27"/>
  <c r="I119" i="27"/>
  <c r="J119" i="27"/>
  <c r="L119" i="27"/>
  <c r="N119" i="27"/>
  <c r="I120" i="27"/>
  <c r="J120" i="27"/>
  <c r="L120" i="27"/>
  <c r="N120" i="27"/>
  <c r="I121" i="27"/>
  <c r="J121" i="27"/>
  <c r="L121" i="27"/>
  <c r="N121" i="27"/>
  <c r="I122" i="27"/>
  <c r="J122" i="27"/>
  <c r="L122" i="27"/>
  <c r="N122" i="27"/>
  <c r="E127" i="27"/>
  <c r="F127" i="27"/>
  <c r="E138" i="27"/>
  <c r="F138" i="27"/>
  <c r="G138" i="27" s="1"/>
  <c r="E149" i="27"/>
  <c r="F149" i="27"/>
  <c r="G149" i="27"/>
  <c r="E160" i="27"/>
  <c r="F160" i="27"/>
  <c r="G160" i="27" s="1"/>
  <c r="G170" i="27"/>
  <c r="E171" i="27"/>
  <c r="F171" i="27"/>
  <c r="A2" i="8"/>
  <c r="A7" i="8"/>
  <c r="B7" i="8"/>
  <c r="A8" i="8"/>
  <c r="B8" i="8"/>
  <c r="A9" i="8"/>
  <c r="B9" i="8"/>
  <c r="A10" i="8"/>
  <c r="B10" i="8"/>
  <c r="I10" i="8"/>
  <c r="A11" i="8"/>
  <c r="B11" i="8"/>
  <c r="C11" i="8"/>
  <c r="E11" i="8"/>
  <c r="I11" i="8"/>
  <c r="A12" i="8"/>
  <c r="B12" i="8"/>
  <c r="A13" i="8"/>
  <c r="C13" i="8"/>
  <c r="E13" i="8"/>
  <c r="A14" i="8"/>
  <c r="A15" i="8"/>
  <c r="B15" i="8"/>
  <c r="G15" i="8"/>
  <c r="I15" i="8"/>
  <c r="A16" i="8"/>
  <c r="A17" i="8"/>
  <c r="G17" i="8" s="1"/>
  <c r="B17" i="8"/>
  <c r="D17" i="8"/>
  <c r="A18" i="8"/>
  <c r="A19" i="8"/>
  <c r="B19" i="8"/>
  <c r="C19" i="8"/>
  <c r="E19" i="8"/>
  <c r="I19" i="8"/>
  <c r="A20" i="8"/>
  <c r="C20" i="8"/>
  <c r="A21" i="8"/>
  <c r="B21" i="8"/>
  <c r="E21" i="8"/>
  <c r="H21" i="8"/>
  <c r="I21" i="8"/>
  <c r="A22" i="8"/>
  <c r="H22" i="8"/>
  <c r="A23" i="8"/>
  <c r="B23" i="8"/>
  <c r="C23" i="8"/>
  <c r="A24" i="8"/>
  <c r="A25" i="8"/>
  <c r="I25" i="8"/>
  <c r="A26" i="8"/>
  <c r="A27" i="8"/>
  <c r="C27" i="8"/>
  <c r="G27" i="8"/>
  <c r="A28" i="8"/>
  <c r="A29" i="8"/>
  <c r="B29" i="8"/>
  <c r="A30" i="8"/>
  <c r="A31" i="8"/>
  <c r="D31" i="8"/>
  <c r="D30" i="8" s="1"/>
  <c r="G31" i="8"/>
  <c r="G30" i="8" s="1"/>
  <c r="A32" i="8"/>
  <c r="B32" i="8"/>
  <c r="A33" i="8"/>
  <c r="B33" i="8"/>
  <c r="A34" i="8"/>
  <c r="A35" i="8"/>
  <c r="E35" i="8" s="1"/>
  <c r="B35" i="8"/>
  <c r="F35" i="8"/>
  <c r="H35" i="8"/>
  <c r="I35" i="8"/>
  <c r="A36" i="8"/>
  <c r="A37" i="8"/>
  <c r="B37" i="8"/>
  <c r="C37" i="8"/>
  <c r="G37" i="8"/>
  <c r="H37" i="8"/>
  <c r="I37" i="8"/>
  <c r="A38" i="8"/>
  <c r="D38" i="8" s="1"/>
  <c r="C38" i="8"/>
  <c r="H38" i="8"/>
  <c r="A39" i="8"/>
  <c r="B39" i="8"/>
  <c r="I39" i="8"/>
  <c r="A40" i="8"/>
  <c r="D40" i="8"/>
  <c r="H40" i="8"/>
  <c r="A41" i="8"/>
  <c r="C41" i="8" s="1"/>
  <c r="A42" i="8"/>
  <c r="A43" i="8"/>
  <c r="A44" i="8"/>
  <c r="D44" i="8"/>
  <c r="A45" i="8"/>
  <c r="A46" i="8"/>
  <c r="A47" i="8"/>
  <c r="G47" i="8"/>
  <c r="A48" i="8"/>
  <c r="D48" i="8"/>
  <c r="A49" i="8"/>
  <c r="B49" i="8"/>
  <c r="A50" i="8"/>
  <c r="A51" i="8"/>
  <c r="B51" i="8"/>
  <c r="I51" i="8"/>
  <c r="A52" i="8"/>
  <c r="A53" i="8"/>
  <c r="B53" i="8"/>
  <c r="H53" i="8"/>
  <c r="I53" i="8"/>
  <c r="A54" i="8"/>
  <c r="D54" i="8"/>
  <c r="H54" i="8"/>
  <c r="A55" i="8"/>
  <c r="B55" i="8"/>
  <c r="C55" i="8"/>
  <c r="I55" i="8"/>
  <c r="A56" i="8"/>
  <c r="C56" i="8" s="1"/>
  <c r="H56" i="8"/>
  <c r="A57" i="8"/>
  <c r="A58" i="8"/>
  <c r="C58" i="8"/>
  <c r="D58" i="8"/>
  <c r="A59" i="8"/>
  <c r="C59" i="8"/>
  <c r="G59" i="8"/>
  <c r="A60" i="8"/>
  <c r="A61" i="8"/>
  <c r="A62" i="8"/>
  <c r="A63" i="8"/>
  <c r="A64" i="8"/>
  <c r="D64" i="8"/>
  <c r="A65" i="8"/>
  <c r="A66" i="8"/>
  <c r="E66" i="8" s="1"/>
  <c r="E65" i="8" s="1"/>
  <c r="A67" i="8"/>
  <c r="B67" i="8"/>
  <c r="C67" i="8"/>
  <c r="E67" i="8"/>
  <c r="F67" i="8"/>
  <c r="H67" i="8"/>
  <c r="I67" i="8"/>
  <c r="A68" i="8"/>
  <c r="A69" i="8"/>
  <c r="C69" i="8" s="1"/>
  <c r="B69" i="8"/>
  <c r="G69" i="8"/>
  <c r="I69" i="8"/>
  <c r="A70" i="8"/>
  <c r="C70" i="8" s="1"/>
  <c r="E70" i="8"/>
  <c r="H70" i="8"/>
  <c r="A71" i="8"/>
  <c r="B71" i="8"/>
  <c r="I71" i="8"/>
  <c r="A72" i="8"/>
  <c r="H72" i="8"/>
  <c r="A73" i="8"/>
  <c r="C73" i="8"/>
  <c r="A74" i="8"/>
  <c r="A75" i="8"/>
  <c r="C75" i="8" s="1"/>
  <c r="I75" i="8"/>
  <c r="A76" i="8"/>
  <c r="C76" i="8"/>
  <c r="E76" i="8"/>
  <c r="A77" i="8"/>
  <c r="B77" i="8"/>
  <c r="C77" i="8"/>
  <c r="D77" i="8"/>
  <c r="G77" i="8"/>
  <c r="I77" i="8"/>
  <c r="A78" i="8"/>
  <c r="A79" i="8"/>
  <c r="D79" i="8" s="1"/>
  <c r="A80" i="8"/>
  <c r="A81" i="8"/>
  <c r="B81" i="8"/>
  <c r="A82" i="8"/>
  <c r="A83" i="8"/>
  <c r="D83" i="8" s="1"/>
  <c r="B83" i="8"/>
  <c r="H83" i="8"/>
  <c r="I83" i="8"/>
  <c r="A84" i="8"/>
  <c r="A85" i="8"/>
  <c r="B85" i="8"/>
  <c r="C85" i="8"/>
  <c r="F85" i="8"/>
  <c r="G85" i="8"/>
  <c r="I85" i="8"/>
  <c r="A86" i="8"/>
  <c r="B86" i="8"/>
  <c r="A87" i="8"/>
  <c r="A88" i="8"/>
  <c r="E88" i="8"/>
  <c r="F88" i="8"/>
  <c r="A89" i="8"/>
  <c r="D89" i="8" s="1"/>
  <c r="I89" i="8"/>
  <c r="A90" i="8"/>
  <c r="C90" i="8" s="1"/>
  <c r="A91" i="8"/>
  <c r="C91" i="8"/>
  <c r="A92" i="8"/>
  <c r="C92" i="8" s="1"/>
  <c r="A93" i="8"/>
  <c r="A94" i="8"/>
  <c r="A95" i="8"/>
  <c r="A96" i="8"/>
  <c r="C96" i="8"/>
  <c r="E96" i="8"/>
  <c r="A97" i="8"/>
  <c r="B97" i="8"/>
  <c r="A98" i="8"/>
  <c r="E98" i="8"/>
  <c r="A99" i="8"/>
  <c r="B99" i="8"/>
  <c r="C99" i="8"/>
  <c r="D99" i="8"/>
  <c r="A100" i="8"/>
  <c r="C100" i="8" s="1"/>
  <c r="A101" i="8"/>
  <c r="B101" i="8"/>
  <c r="C101" i="8"/>
  <c r="D101" i="8"/>
  <c r="H101" i="8"/>
  <c r="I101" i="8"/>
  <c r="A102" i="8"/>
  <c r="C102" i="8" s="1"/>
  <c r="D102" i="8"/>
  <c r="A103" i="8"/>
  <c r="B103" i="8"/>
  <c r="A104" i="8"/>
  <c r="C104" i="8" s="1"/>
  <c r="A105" i="8"/>
  <c r="I105" i="8"/>
  <c r="A106" i="8"/>
  <c r="A107" i="8"/>
  <c r="C107" i="8"/>
  <c r="A108" i="8"/>
  <c r="B108" i="8"/>
  <c r="D108" i="8"/>
  <c r="A109" i="8"/>
  <c r="B109" i="8"/>
  <c r="C109" i="8"/>
  <c r="C108" i="8" s="1"/>
  <c r="D109" i="8"/>
  <c r="I109" i="8"/>
  <c r="A110" i="8"/>
  <c r="B110" i="8"/>
  <c r="A111" i="8"/>
  <c r="C111" i="8"/>
  <c r="D111" i="8"/>
  <c r="H111" i="8"/>
  <c r="A112" i="8"/>
  <c r="A113" i="8"/>
  <c r="D113" i="8" s="1"/>
  <c r="A114" i="8"/>
  <c r="D114" i="8"/>
  <c r="A116" i="8"/>
  <c r="D116" i="8" s="1"/>
  <c r="B116" i="8"/>
  <c r="A117" i="8"/>
  <c r="A118" i="8"/>
  <c r="D118" i="8" s="1"/>
  <c r="B118" i="8"/>
  <c r="E118" i="8"/>
  <c r="A119" i="8"/>
  <c r="B119" i="8"/>
  <c r="A120" i="8"/>
  <c r="B120" i="8"/>
  <c r="A121" i="8"/>
  <c r="E121" i="8"/>
  <c r="A122" i="8"/>
  <c r="B122" i="8"/>
  <c r="C122" i="8"/>
  <c r="D122" i="8"/>
  <c r="A123" i="8"/>
  <c r="C123" i="8" s="1"/>
  <c r="A124" i="8"/>
  <c r="B124" i="8"/>
  <c r="C124" i="8"/>
  <c r="D124" i="8"/>
  <c r="F124" i="8"/>
  <c r="H124" i="8"/>
  <c r="I124" i="8"/>
  <c r="A125" i="8"/>
  <c r="C125" i="8" s="1"/>
  <c r="A126" i="8"/>
  <c r="G126" i="8"/>
  <c r="A127" i="8"/>
  <c r="C127" i="8"/>
  <c r="E127" i="8"/>
  <c r="A128" i="8"/>
  <c r="A129" i="8"/>
  <c r="A130" i="8"/>
  <c r="C130" i="8"/>
  <c r="D130" i="8"/>
  <c r="A131" i="8"/>
  <c r="C131" i="8"/>
  <c r="A132" i="8"/>
  <c r="A133" i="8"/>
  <c r="A134" i="8"/>
  <c r="B134" i="8"/>
  <c r="D134" i="8"/>
  <c r="A135" i="8"/>
  <c r="B135" i="8"/>
  <c r="A136" i="8"/>
  <c r="A137" i="8"/>
  <c r="C137" i="8"/>
  <c r="A139" i="8"/>
  <c r="A140" i="8"/>
  <c r="B140" i="8"/>
  <c r="E140" i="8"/>
  <c r="E139" i="8" s="1"/>
  <c r="G140" i="8"/>
  <c r="G139" i="8" s="1"/>
  <c r="H140" i="8"/>
  <c r="I140" i="8"/>
  <c r="A141" i="8"/>
  <c r="A142" i="8"/>
  <c r="B142" i="8"/>
  <c r="C142" i="8"/>
  <c r="E142" i="8"/>
  <c r="A143" i="8"/>
  <c r="A144" i="8"/>
  <c r="B144" i="8"/>
  <c r="A145" i="8"/>
  <c r="D145" i="8" s="1"/>
  <c r="A146" i="8"/>
  <c r="E146" i="8"/>
  <c r="I146" i="8"/>
  <c r="A147" i="8"/>
  <c r="B148" i="8"/>
  <c r="A149" i="8"/>
  <c r="B149" i="8"/>
  <c r="A150" i="8"/>
  <c r="A151" i="8"/>
  <c r="D151" i="8"/>
  <c r="D150" i="8" s="1"/>
  <c r="D149" i="8" s="1"/>
  <c r="A152" i="8"/>
  <c r="B152" i="8"/>
  <c r="E152" i="8"/>
  <c r="A153" i="8"/>
  <c r="B153" i="8"/>
  <c r="E153" i="8"/>
  <c r="A154" i="8"/>
  <c r="E154" i="8" s="1"/>
  <c r="B154" i="8"/>
  <c r="C154" i="8"/>
  <c r="C153" i="8" s="1"/>
  <c r="C152" i="8" s="1"/>
  <c r="F154" i="8"/>
  <c r="F153" i="8" s="1"/>
  <c r="F152" i="8" s="1"/>
  <c r="G154" i="8"/>
  <c r="G153" i="8" s="1"/>
  <c r="G152" i="8" s="1"/>
  <c r="I154" i="8"/>
  <c r="L2" i="28"/>
  <c r="N2" i="28"/>
  <c r="P2" i="28"/>
  <c r="L3" i="28"/>
  <c r="N3" i="28"/>
  <c r="P3" i="28"/>
  <c r="L62" i="28"/>
  <c r="N62" i="28"/>
  <c r="P62" i="28"/>
  <c r="L144" i="28"/>
  <c r="N144" i="28"/>
  <c r="P144" i="28"/>
  <c r="L246" i="28"/>
  <c r="N246" i="28"/>
  <c r="P246" i="28"/>
  <c r="L373" i="28"/>
  <c r="N373" i="28"/>
  <c r="P373" i="28"/>
  <c r="L450" i="28"/>
  <c r="N450" i="28"/>
  <c r="P450" i="28"/>
  <c r="L504" i="28"/>
  <c r="N504" i="28"/>
  <c r="P504" i="28"/>
  <c r="L551" i="28"/>
  <c r="N551" i="28"/>
  <c r="P551" i="28"/>
  <c r="L623" i="28"/>
  <c r="N623" i="28"/>
  <c r="P623" i="28"/>
  <c r="L654" i="28"/>
  <c r="N654" i="28"/>
  <c r="P654" i="28"/>
  <c r="L686" i="28"/>
  <c r="N686" i="28"/>
  <c r="P686" i="28"/>
  <c r="L766" i="28"/>
  <c r="N766" i="28"/>
  <c r="P766" i="28"/>
  <c r="L791" i="28"/>
  <c r="N791" i="28"/>
  <c r="P791" i="28"/>
  <c r="L819" i="28"/>
  <c r="N819" i="28"/>
  <c r="P819" i="28"/>
  <c r="L2" i="11"/>
  <c r="N2" i="11"/>
  <c r="P2" i="11"/>
  <c r="L3" i="11"/>
  <c r="N3" i="11"/>
  <c r="P3" i="11"/>
  <c r="L4" i="11"/>
  <c r="N4" i="11"/>
  <c r="P4" i="11"/>
  <c r="L5" i="11"/>
  <c r="N5" i="11"/>
  <c r="P5" i="11"/>
  <c r="L6" i="11"/>
  <c r="N6" i="11"/>
  <c r="P6" i="11"/>
  <c r="L7" i="11"/>
  <c r="N7" i="11"/>
  <c r="P7" i="11"/>
  <c r="L8" i="11"/>
  <c r="N8" i="11"/>
  <c r="P8" i="11"/>
  <c r="L9" i="11"/>
  <c r="N9" i="11"/>
  <c r="P9" i="11"/>
  <c r="L10" i="11"/>
  <c r="N10" i="11"/>
  <c r="P10" i="11"/>
  <c r="L11" i="11"/>
  <c r="N11" i="11"/>
  <c r="P11" i="11"/>
  <c r="L12" i="11"/>
  <c r="N12" i="11"/>
  <c r="P12" i="11"/>
  <c r="L13" i="11"/>
  <c r="N13" i="11"/>
  <c r="P13" i="11"/>
  <c r="L14" i="11"/>
  <c r="N14" i="11"/>
  <c r="P14" i="11"/>
  <c r="L15" i="11"/>
  <c r="N15" i="11"/>
  <c r="P15" i="11"/>
  <c r="L16" i="11"/>
  <c r="N16" i="11"/>
  <c r="P16" i="11"/>
  <c r="L17" i="11"/>
  <c r="N17" i="11"/>
  <c r="P17" i="11"/>
  <c r="L18" i="11"/>
  <c r="N18" i="11"/>
  <c r="P18" i="11"/>
  <c r="L19" i="11"/>
  <c r="N19" i="11"/>
  <c r="P19" i="11"/>
  <c r="L20" i="11"/>
  <c r="N20" i="11"/>
  <c r="P20" i="11"/>
  <c r="L21" i="11"/>
  <c r="N21" i="11"/>
  <c r="P21" i="11"/>
  <c r="L22" i="11"/>
  <c r="N22" i="11"/>
  <c r="P22" i="11"/>
  <c r="L23" i="11"/>
  <c r="N23" i="11"/>
  <c r="P23" i="11"/>
  <c r="L24" i="11"/>
  <c r="N24" i="11"/>
  <c r="P24" i="11"/>
  <c r="L25" i="11"/>
  <c r="N25" i="11"/>
  <c r="P25" i="11"/>
  <c r="L26" i="11"/>
  <c r="N26" i="11"/>
  <c r="P26" i="11"/>
  <c r="L27" i="11"/>
  <c r="N27" i="11"/>
  <c r="P27" i="11"/>
  <c r="L28" i="11"/>
  <c r="N28" i="11"/>
  <c r="P28" i="11"/>
  <c r="L29" i="11"/>
  <c r="N29" i="11"/>
  <c r="P29" i="11"/>
  <c r="L30" i="11"/>
  <c r="N30" i="11"/>
  <c r="P30" i="11"/>
  <c r="L31" i="11"/>
  <c r="N31" i="11"/>
  <c r="P31" i="11"/>
  <c r="L32" i="11"/>
  <c r="N32" i="11"/>
  <c r="P32" i="11"/>
  <c r="L33" i="11"/>
  <c r="N33" i="11"/>
  <c r="P33" i="11"/>
  <c r="L34" i="11"/>
  <c r="N34" i="11"/>
  <c r="P34" i="11"/>
  <c r="L35" i="11"/>
  <c r="N35" i="11"/>
  <c r="P35" i="11"/>
  <c r="L36" i="11"/>
  <c r="N36" i="11"/>
  <c r="P36" i="11"/>
  <c r="L37" i="11"/>
  <c r="N37" i="11"/>
  <c r="P37" i="11"/>
  <c r="L38" i="11"/>
  <c r="N38" i="11"/>
  <c r="P38" i="11"/>
  <c r="L39" i="11"/>
  <c r="N39" i="11"/>
  <c r="P39" i="11"/>
  <c r="L40" i="11"/>
  <c r="N40" i="11"/>
  <c r="P40" i="11"/>
  <c r="L41" i="11"/>
  <c r="N41" i="11"/>
  <c r="P41" i="11"/>
  <c r="L42" i="11"/>
  <c r="N42" i="11"/>
  <c r="P42" i="11"/>
  <c r="L43" i="11"/>
  <c r="N43" i="11"/>
  <c r="P43" i="11"/>
  <c r="L44" i="11"/>
  <c r="N44" i="11"/>
  <c r="P44" i="11"/>
  <c r="L45" i="11"/>
  <c r="N45" i="11"/>
  <c r="P45" i="11"/>
  <c r="L46" i="11"/>
  <c r="N46" i="11"/>
  <c r="P46" i="11"/>
  <c r="L47" i="11"/>
  <c r="N47" i="11"/>
  <c r="P47" i="11"/>
  <c r="L48" i="11"/>
  <c r="N48" i="11"/>
  <c r="P48" i="11"/>
  <c r="L49" i="11"/>
  <c r="N49" i="11"/>
  <c r="P49" i="11"/>
  <c r="L50" i="11"/>
  <c r="N50" i="11"/>
  <c r="P50" i="11"/>
  <c r="L51" i="11"/>
  <c r="N51" i="11"/>
  <c r="P51" i="11"/>
  <c r="L52" i="11"/>
  <c r="N52" i="11"/>
  <c r="P52" i="11"/>
  <c r="L53" i="11"/>
  <c r="N53" i="11"/>
  <c r="P53" i="11"/>
  <c r="L54" i="11"/>
  <c r="N54" i="11"/>
  <c r="P54" i="11"/>
  <c r="L55" i="11"/>
  <c r="N55" i="11"/>
  <c r="P55" i="11"/>
  <c r="L56" i="11"/>
  <c r="N56" i="11"/>
  <c r="P56" i="11"/>
  <c r="L57" i="11"/>
  <c r="N57" i="11"/>
  <c r="P57" i="11"/>
  <c r="L58" i="11"/>
  <c r="N58" i="11"/>
  <c r="P58" i="11"/>
  <c r="L59" i="11"/>
  <c r="N59" i="11"/>
  <c r="P59" i="11"/>
  <c r="L60" i="11"/>
  <c r="N60" i="11"/>
  <c r="P60" i="11"/>
  <c r="L61" i="11"/>
  <c r="N61" i="11"/>
  <c r="P61" i="11"/>
  <c r="L62" i="11"/>
  <c r="N62" i="11"/>
  <c r="P62" i="11"/>
  <c r="L63" i="11"/>
  <c r="N63" i="11"/>
  <c r="P63" i="11"/>
  <c r="L64" i="11"/>
  <c r="N64" i="11"/>
  <c r="P64" i="11"/>
  <c r="L65" i="11"/>
  <c r="N65" i="11"/>
  <c r="P65" i="11"/>
  <c r="L66" i="11"/>
  <c r="N66" i="11"/>
  <c r="P66" i="11"/>
  <c r="L67" i="11"/>
  <c r="N67" i="11"/>
  <c r="P67" i="11"/>
  <c r="L68" i="11"/>
  <c r="N68" i="11"/>
  <c r="P68" i="11"/>
  <c r="L69" i="11"/>
  <c r="N69" i="11"/>
  <c r="P69" i="11"/>
  <c r="L70" i="11"/>
  <c r="N70" i="11"/>
  <c r="P70" i="11"/>
  <c r="L71" i="11"/>
  <c r="N71" i="11"/>
  <c r="P71" i="11"/>
  <c r="L72" i="11"/>
  <c r="N72" i="11"/>
  <c r="P72" i="11"/>
  <c r="L73" i="11"/>
  <c r="N73" i="11"/>
  <c r="P73" i="11"/>
  <c r="L74" i="11"/>
  <c r="N74" i="11"/>
  <c r="P74" i="11"/>
  <c r="L75" i="11"/>
  <c r="N75" i="11"/>
  <c r="P75" i="11"/>
  <c r="L76" i="11"/>
  <c r="N76" i="11"/>
  <c r="P76" i="11"/>
  <c r="L77" i="11"/>
  <c r="N77" i="11"/>
  <c r="P77" i="11"/>
  <c r="L78" i="11"/>
  <c r="N78" i="11"/>
  <c r="P78" i="11"/>
  <c r="L79" i="11"/>
  <c r="N79" i="11"/>
  <c r="P79" i="11"/>
  <c r="L80" i="11"/>
  <c r="N80" i="11"/>
  <c r="P80" i="11"/>
  <c r="L81" i="11"/>
  <c r="N81" i="11"/>
  <c r="P81" i="11"/>
  <c r="L82" i="11"/>
  <c r="N82" i="11"/>
  <c r="P82" i="11"/>
  <c r="L83" i="11"/>
  <c r="N83" i="11"/>
  <c r="P83" i="11"/>
  <c r="L84" i="11"/>
  <c r="N84" i="11"/>
  <c r="P84" i="11"/>
  <c r="L85" i="11"/>
  <c r="N85" i="11"/>
  <c r="P85" i="11"/>
  <c r="L86" i="11"/>
  <c r="N86" i="11"/>
  <c r="P86" i="11"/>
  <c r="L87" i="11"/>
  <c r="N87" i="11"/>
  <c r="P87" i="11"/>
  <c r="L88" i="11"/>
  <c r="N88" i="11"/>
  <c r="P88" i="11"/>
  <c r="L89" i="11"/>
  <c r="N89" i="11"/>
  <c r="P89" i="11"/>
  <c r="L90" i="11"/>
  <c r="N90" i="11"/>
  <c r="P90" i="11"/>
  <c r="L91" i="11"/>
  <c r="N91" i="11"/>
  <c r="P91" i="11"/>
  <c r="L92" i="11"/>
  <c r="N92" i="11"/>
  <c r="P92" i="11"/>
  <c r="L93" i="11"/>
  <c r="N93" i="11"/>
  <c r="P93" i="11"/>
  <c r="L94" i="11"/>
  <c r="N94" i="11"/>
  <c r="P94" i="11"/>
  <c r="L95" i="11"/>
  <c r="N95" i="11"/>
  <c r="P95" i="11"/>
  <c r="L96" i="11"/>
  <c r="N96" i="11"/>
  <c r="P96" i="11"/>
  <c r="L97" i="11"/>
  <c r="N97" i="11"/>
  <c r="P97" i="11"/>
  <c r="L98" i="11"/>
  <c r="N98" i="11"/>
  <c r="P98" i="11"/>
  <c r="L99" i="11"/>
  <c r="N99" i="11"/>
  <c r="P99" i="11"/>
  <c r="L100" i="11"/>
  <c r="N100" i="11"/>
  <c r="P100" i="11"/>
  <c r="L101" i="11"/>
  <c r="N101" i="11"/>
  <c r="P101" i="11"/>
  <c r="L102" i="11"/>
  <c r="N102" i="11"/>
  <c r="P102" i="11"/>
  <c r="L103" i="11"/>
  <c r="N103" i="11"/>
  <c r="P103" i="11"/>
  <c r="L104" i="11"/>
  <c r="N104" i="11"/>
  <c r="P104" i="11"/>
  <c r="L105" i="11"/>
  <c r="N105" i="11"/>
  <c r="P105" i="11"/>
  <c r="L106" i="11"/>
  <c r="N106" i="11"/>
  <c r="P106" i="11"/>
  <c r="L107" i="11"/>
  <c r="N107" i="11"/>
  <c r="P107" i="11"/>
  <c r="L108" i="11"/>
  <c r="N108" i="11"/>
  <c r="P108" i="11"/>
  <c r="L109" i="11"/>
  <c r="N109" i="11"/>
  <c r="P109" i="11"/>
  <c r="L110" i="11"/>
  <c r="N110" i="11"/>
  <c r="P110" i="11"/>
  <c r="L111" i="11"/>
  <c r="N111" i="11"/>
  <c r="P111" i="11"/>
  <c r="L112" i="11"/>
  <c r="N112" i="11"/>
  <c r="P112" i="11"/>
  <c r="L113" i="11"/>
  <c r="N113" i="11"/>
  <c r="P113" i="11"/>
  <c r="L114" i="11"/>
  <c r="N114" i="11"/>
  <c r="P114" i="11"/>
  <c r="L115" i="11"/>
  <c r="N115" i="11"/>
  <c r="P115" i="11"/>
  <c r="L116" i="11"/>
  <c r="N116" i="11"/>
  <c r="P116" i="11"/>
  <c r="L117" i="11"/>
  <c r="N117" i="11"/>
  <c r="P117" i="11"/>
  <c r="L118" i="11"/>
  <c r="N118" i="11"/>
  <c r="P118" i="11"/>
  <c r="L119" i="11"/>
  <c r="N119" i="11"/>
  <c r="P119" i="11"/>
  <c r="L120" i="11"/>
  <c r="N120" i="11"/>
  <c r="P120" i="11"/>
  <c r="L121" i="11"/>
  <c r="N121" i="11"/>
  <c r="P121" i="11"/>
  <c r="L122" i="11"/>
  <c r="N122" i="11"/>
  <c r="P122" i="11"/>
  <c r="L123" i="11"/>
  <c r="N123" i="11"/>
  <c r="P123" i="11"/>
  <c r="L124" i="11"/>
  <c r="N124" i="11"/>
  <c r="P124" i="11"/>
  <c r="L125" i="11"/>
  <c r="N125" i="11"/>
  <c r="P125" i="11"/>
  <c r="L126" i="11"/>
  <c r="N126" i="11"/>
  <c r="P126" i="11"/>
  <c r="L127" i="11"/>
  <c r="N127" i="11"/>
  <c r="P127" i="11"/>
  <c r="L128" i="11"/>
  <c r="N128" i="11"/>
  <c r="P128" i="11"/>
  <c r="L129" i="11"/>
  <c r="N129" i="11"/>
  <c r="P129" i="11"/>
  <c r="L130" i="11"/>
  <c r="N130" i="11"/>
  <c r="P130" i="11"/>
  <c r="L131" i="11"/>
  <c r="N131" i="11"/>
  <c r="P131" i="11"/>
  <c r="L132" i="11"/>
  <c r="N132" i="11"/>
  <c r="P132" i="11"/>
  <c r="L133" i="11"/>
  <c r="N133" i="11"/>
  <c r="P133" i="11"/>
  <c r="L134" i="11"/>
  <c r="N134" i="11"/>
  <c r="P134" i="11"/>
  <c r="L135" i="11"/>
  <c r="N135" i="11"/>
  <c r="P135" i="11"/>
  <c r="L136" i="11"/>
  <c r="N136" i="11"/>
  <c r="P136" i="11"/>
  <c r="L137" i="11"/>
  <c r="N137" i="11"/>
  <c r="P137" i="11"/>
  <c r="L138" i="11"/>
  <c r="N138" i="11"/>
  <c r="P138" i="11"/>
  <c r="L139" i="11"/>
  <c r="N139" i="11"/>
  <c r="P139" i="11"/>
  <c r="L140" i="11"/>
  <c r="N140" i="11"/>
  <c r="P140" i="11"/>
  <c r="L141" i="11"/>
  <c r="N141" i="11"/>
  <c r="P141" i="11"/>
  <c r="L142" i="11"/>
  <c r="N142" i="11"/>
  <c r="P142" i="11"/>
  <c r="L143" i="11"/>
  <c r="N143" i="11"/>
  <c r="P143" i="11"/>
  <c r="L144" i="11"/>
  <c r="N144" i="11"/>
  <c r="P144" i="11"/>
  <c r="L145" i="11"/>
  <c r="N145" i="11"/>
  <c r="P145" i="11"/>
  <c r="L146" i="11"/>
  <c r="N146" i="11"/>
  <c r="P146" i="11"/>
  <c r="L147" i="11"/>
  <c r="N147" i="11"/>
  <c r="P147" i="11"/>
  <c r="L148" i="11"/>
  <c r="N148" i="11"/>
  <c r="P148" i="11"/>
  <c r="L149" i="11"/>
  <c r="N149" i="11"/>
  <c r="P149" i="11"/>
  <c r="L150" i="11"/>
  <c r="N150" i="11"/>
  <c r="P150" i="11"/>
  <c r="L151" i="11"/>
  <c r="N151" i="11"/>
  <c r="P151" i="11"/>
  <c r="L152" i="11"/>
  <c r="N152" i="11"/>
  <c r="P152" i="11"/>
  <c r="L153" i="11"/>
  <c r="N153" i="11"/>
  <c r="P153" i="11"/>
  <c r="L154" i="11"/>
  <c r="N154" i="11"/>
  <c r="P154" i="11"/>
  <c r="L155" i="11"/>
  <c r="N155" i="11"/>
  <c r="P155" i="11"/>
  <c r="L156" i="11"/>
  <c r="N156" i="11"/>
  <c r="P156" i="11"/>
  <c r="L157" i="11"/>
  <c r="N157" i="11"/>
  <c r="P157" i="11"/>
  <c r="L158" i="11"/>
  <c r="N158" i="11"/>
  <c r="P158" i="11"/>
  <c r="L159" i="11"/>
  <c r="N159" i="11"/>
  <c r="P159" i="11"/>
  <c r="L160" i="11"/>
  <c r="N160" i="11"/>
  <c r="P160" i="11"/>
  <c r="L161" i="11"/>
  <c r="N161" i="11"/>
  <c r="P161" i="11"/>
  <c r="L162" i="11"/>
  <c r="N162" i="11"/>
  <c r="P162" i="11"/>
  <c r="L163" i="11"/>
  <c r="N163" i="11"/>
  <c r="P163" i="11"/>
  <c r="L164" i="11"/>
  <c r="N164" i="11"/>
  <c r="P164" i="11"/>
  <c r="L165" i="11"/>
  <c r="N165" i="11"/>
  <c r="P165" i="11"/>
  <c r="L166" i="11"/>
  <c r="N166" i="11"/>
  <c r="P166" i="11"/>
  <c r="L167" i="11"/>
  <c r="N167" i="11"/>
  <c r="P167" i="11"/>
  <c r="L168" i="11"/>
  <c r="N168" i="11"/>
  <c r="P168" i="11"/>
  <c r="L169" i="11"/>
  <c r="N169" i="11"/>
  <c r="P169" i="11"/>
  <c r="L170" i="11"/>
  <c r="N170" i="11"/>
  <c r="P170" i="11"/>
  <c r="L171" i="11"/>
  <c r="N171" i="11"/>
  <c r="P171" i="11"/>
  <c r="L172" i="11"/>
  <c r="N172" i="11"/>
  <c r="P172" i="11"/>
  <c r="L173" i="11"/>
  <c r="N173" i="11"/>
  <c r="P173" i="11"/>
  <c r="L174" i="11"/>
  <c r="N174" i="11"/>
  <c r="P174" i="11"/>
  <c r="L175" i="11"/>
  <c r="N175" i="11"/>
  <c r="P175" i="11"/>
  <c r="L176" i="11"/>
  <c r="N176" i="11"/>
  <c r="P176" i="11"/>
  <c r="L177" i="11"/>
  <c r="N177" i="11"/>
  <c r="P177" i="11"/>
  <c r="L178" i="11"/>
  <c r="N178" i="11"/>
  <c r="P178" i="11"/>
  <c r="L179" i="11"/>
  <c r="N179" i="11"/>
  <c r="P179" i="11"/>
  <c r="L180" i="11"/>
  <c r="N180" i="11"/>
  <c r="P180" i="11"/>
  <c r="L181" i="11"/>
  <c r="N181" i="11"/>
  <c r="P181" i="11"/>
  <c r="L182" i="11"/>
  <c r="N182" i="11"/>
  <c r="P182" i="11"/>
  <c r="L183" i="11"/>
  <c r="N183" i="11"/>
  <c r="P183" i="11"/>
  <c r="L184" i="11"/>
  <c r="N184" i="11"/>
  <c r="P184" i="11"/>
  <c r="L185" i="11"/>
  <c r="N185" i="11"/>
  <c r="P185" i="11"/>
  <c r="L186" i="11"/>
  <c r="N186" i="11"/>
  <c r="P186" i="11"/>
  <c r="L187" i="11"/>
  <c r="N187" i="11"/>
  <c r="P187" i="11"/>
  <c r="L188" i="11"/>
  <c r="N188" i="11"/>
  <c r="P188" i="11"/>
  <c r="L189" i="11"/>
  <c r="N189" i="11"/>
  <c r="P189" i="11"/>
  <c r="L190" i="11"/>
  <c r="N190" i="11"/>
  <c r="P190" i="11"/>
  <c r="L191" i="11"/>
  <c r="N191" i="11"/>
  <c r="P191" i="11"/>
  <c r="L192" i="11"/>
  <c r="N192" i="11"/>
  <c r="P192" i="11"/>
  <c r="L193" i="11"/>
  <c r="N193" i="11"/>
  <c r="P193" i="11"/>
  <c r="L194" i="11"/>
  <c r="N194" i="11"/>
  <c r="P194" i="11"/>
  <c r="L195" i="11"/>
  <c r="N195" i="11"/>
  <c r="P195" i="11"/>
  <c r="L196" i="11"/>
  <c r="N196" i="11"/>
  <c r="P196" i="11"/>
  <c r="L197" i="11"/>
  <c r="N197" i="11"/>
  <c r="P197" i="11"/>
  <c r="L198" i="11"/>
  <c r="N198" i="11"/>
  <c r="P198" i="11"/>
  <c r="L199" i="11"/>
  <c r="N199" i="11"/>
  <c r="P199" i="11"/>
  <c r="L200" i="11"/>
  <c r="N200" i="11"/>
  <c r="P200" i="11"/>
  <c r="L201" i="11"/>
  <c r="N201" i="11"/>
  <c r="P201" i="11"/>
  <c r="L202" i="11"/>
  <c r="N202" i="11"/>
  <c r="P202" i="11"/>
  <c r="L203" i="11"/>
  <c r="N203" i="11"/>
  <c r="P203" i="11"/>
  <c r="L204" i="11"/>
  <c r="N204" i="11"/>
  <c r="P204" i="11"/>
  <c r="L205" i="11"/>
  <c r="N205" i="11"/>
  <c r="P205" i="11"/>
  <c r="L206" i="11"/>
  <c r="N206" i="11"/>
  <c r="P206" i="11"/>
  <c r="L207" i="11"/>
  <c r="N207" i="11"/>
  <c r="P207" i="11"/>
  <c r="L208" i="11"/>
  <c r="N208" i="11"/>
  <c r="P208" i="11"/>
  <c r="L209" i="11"/>
  <c r="N209" i="11"/>
  <c r="P209" i="11"/>
  <c r="L210" i="11"/>
  <c r="N210" i="11"/>
  <c r="P210" i="11"/>
  <c r="L211" i="11"/>
  <c r="N211" i="11"/>
  <c r="P211" i="11"/>
  <c r="L212" i="11"/>
  <c r="N212" i="11"/>
  <c r="P212" i="11"/>
  <c r="L213" i="11"/>
  <c r="N213" i="11"/>
  <c r="P213" i="11"/>
  <c r="L214" i="11"/>
  <c r="N214" i="11"/>
  <c r="P214" i="11"/>
  <c r="L215" i="11"/>
  <c r="N215" i="11"/>
  <c r="P215" i="11"/>
  <c r="L216" i="11"/>
  <c r="N216" i="11"/>
  <c r="P216" i="11"/>
  <c r="L217" i="11"/>
  <c r="N217" i="11"/>
  <c r="P217" i="11"/>
  <c r="L218" i="11"/>
  <c r="N218" i="11"/>
  <c r="P218" i="11"/>
  <c r="L219" i="11"/>
  <c r="N219" i="11"/>
  <c r="P219" i="11"/>
  <c r="L220" i="11"/>
  <c r="N220" i="11"/>
  <c r="P220" i="11"/>
  <c r="L221" i="11"/>
  <c r="N221" i="11"/>
  <c r="P221" i="11"/>
  <c r="L222" i="11"/>
  <c r="N222" i="11"/>
  <c r="P222" i="11"/>
  <c r="L223" i="11"/>
  <c r="N223" i="11"/>
  <c r="P223" i="11"/>
  <c r="L224" i="11"/>
  <c r="N224" i="11"/>
  <c r="P224" i="11"/>
  <c r="L225" i="11"/>
  <c r="N225" i="11"/>
  <c r="P225" i="11"/>
  <c r="L226" i="11"/>
  <c r="N226" i="11"/>
  <c r="P226" i="11"/>
  <c r="L227" i="11"/>
  <c r="N227" i="11"/>
  <c r="P227" i="11"/>
  <c r="L228" i="11"/>
  <c r="N228" i="11"/>
  <c r="P228" i="11"/>
  <c r="L229" i="11"/>
  <c r="N229" i="11"/>
  <c r="P229" i="11"/>
  <c r="L230" i="11"/>
  <c r="N230" i="11"/>
  <c r="P230" i="11"/>
  <c r="L231" i="11"/>
  <c r="N231" i="11"/>
  <c r="P231" i="11"/>
  <c r="L232" i="11"/>
  <c r="N232" i="11"/>
  <c r="P232" i="11"/>
  <c r="L233" i="11"/>
  <c r="N233" i="11"/>
  <c r="P233" i="11"/>
  <c r="L234" i="11"/>
  <c r="N234" i="11"/>
  <c r="P234" i="11"/>
  <c r="L235" i="11"/>
  <c r="N235" i="11"/>
  <c r="P235" i="11"/>
  <c r="L236" i="11"/>
  <c r="N236" i="11"/>
  <c r="P236" i="11"/>
  <c r="L237" i="11"/>
  <c r="N237" i="11"/>
  <c r="P237" i="11"/>
  <c r="L238" i="11"/>
  <c r="N238" i="11"/>
  <c r="P238" i="11"/>
  <c r="L239" i="11"/>
  <c r="N239" i="11"/>
  <c r="P239" i="11"/>
  <c r="L240" i="11"/>
  <c r="N240" i="11"/>
  <c r="P240" i="11"/>
  <c r="L241" i="11"/>
  <c r="N241" i="11"/>
  <c r="P241" i="11"/>
  <c r="L242" i="11"/>
  <c r="N242" i="11"/>
  <c r="P242" i="11"/>
  <c r="L243" i="11"/>
  <c r="N243" i="11"/>
  <c r="P243" i="11"/>
  <c r="L244" i="11"/>
  <c r="N244" i="11"/>
  <c r="P244" i="11"/>
  <c r="L245" i="11"/>
  <c r="N245" i="11"/>
  <c r="P245" i="11"/>
  <c r="L246" i="11"/>
  <c r="N246" i="11"/>
  <c r="P246" i="11"/>
  <c r="L247" i="11"/>
  <c r="N247" i="11"/>
  <c r="P247" i="11"/>
  <c r="L248" i="11"/>
  <c r="N248" i="11"/>
  <c r="P248" i="11"/>
  <c r="L249" i="11"/>
  <c r="N249" i="11"/>
  <c r="P249" i="11"/>
  <c r="L250" i="11"/>
  <c r="N250" i="11"/>
  <c r="P250" i="11"/>
  <c r="L251" i="11"/>
  <c r="N251" i="11"/>
  <c r="P251" i="11"/>
  <c r="L252" i="11"/>
  <c r="N252" i="11"/>
  <c r="P252" i="11"/>
  <c r="L253" i="11"/>
  <c r="N253" i="11"/>
  <c r="P253" i="11"/>
  <c r="L254" i="11"/>
  <c r="N254" i="11"/>
  <c r="P254" i="11"/>
  <c r="L255" i="11"/>
  <c r="N255" i="11"/>
  <c r="P255" i="11"/>
  <c r="L256" i="11"/>
  <c r="N256" i="11"/>
  <c r="P256" i="11"/>
  <c r="L257" i="11"/>
  <c r="N257" i="11"/>
  <c r="P257" i="11"/>
  <c r="L258" i="11"/>
  <c r="N258" i="11"/>
  <c r="P258" i="11"/>
  <c r="L259" i="11"/>
  <c r="N259" i="11"/>
  <c r="P259" i="11"/>
  <c r="L260" i="11"/>
  <c r="N260" i="11"/>
  <c r="P260" i="11"/>
  <c r="L261" i="11"/>
  <c r="N261" i="11"/>
  <c r="P261" i="11"/>
  <c r="L262" i="11"/>
  <c r="N262" i="11"/>
  <c r="P262" i="11"/>
  <c r="L263" i="11"/>
  <c r="N263" i="11"/>
  <c r="P263" i="11"/>
  <c r="L264" i="11"/>
  <c r="N264" i="11"/>
  <c r="P264" i="11"/>
  <c r="L265" i="11"/>
  <c r="N265" i="11"/>
  <c r="P265" i="11"/>
  <c r="L266" i="11"/>
  <c r="N266" i="11"/>
  <c r="P266" i="11"/>
  <c r="L267" i="11"/>
  <c r="N267" i="11"/>
  <c r="P267" i="11"/>
  <c r="L268" i="11"/>
  <c r="N268" i="11"/>
  <c r="P268" i="11"/>
  <c r="L269" i="11"/>
  <c r="N269" i="11"/>
  <c r="P269" i="11"/>
  <c r="L270" i="11"/>
  <c r="N270" i="11"/>
  <c r="P270" i="11"/>
  <c r="L271" i="11"/>
  <c r="N271" i="11"/>
  <c r="P271" i="11"/>
  <c r="L272" i="11"/>
  <c r="N272" i="11"/>
  <c r="P272" i="11"/>
  <c r="L273" i="11"/>
  <c r="N273" i="11"/>
  <c r="P273" i="11"/>
  <c r="L274" i="11"/>
  <c r="N274" i="11"/>
  <c r="P274" i="11"/>
  <c r="L275" i="11"/>
  <c r="N275" i="11"/>
  <c r="P275" i="11"/>
  <c r="L276" i="11"/>
  <c r="N276" i="11"/>
  <c r="P276" i="11"/>
  <c r="L277" i="11"/>
  <c r="N277" i="11"/>
  <c r="P277" i="11"/>
  <c r="L278" i="11"/>
  <c r="N278" i="11"/>
  <c r="P278" i="11"/>
  <c r="L279" i="11"/>
  <c r="N279" i="11"/>
  <c r="P279" i="11"/>
  <c r="L280" i="11"/>
  <c r="N280" i="11"/>
  <c r="P280" i="11"/>
  <c r="L281" i="11"/>
  <c r="N281" i="11"/>
  <c r="P281" i="11"/>
  <c r="L282" i="11"/>
  <c r="N282" i="11"/>
  <c r="P282" i="11"/>
  <c r="L283" i="11"/>
  <c r="N283" i="11"/>
  <c r="P283" i="11"/>
  <c r="L284" i="11"/>
  <c r="N284" i="11"/>
  <c r="P284" i="11"/>
  <c r="L285" i="11"/>
  <c r="N285" i="11"/>
  <c r="P285" i="11"/>
  <c r="L286" i="11"/>
  <c r="N286" i="11"/>
  <c r="P286" i="11"/>
  <c r="L287" i="11"/>
  <c r="N287" i="11"/>
  <c r="P287" i="11"/>
  <c r="L288" i="11"/>
  <c r="N288" i="11"/>
  <c r="P288" i="11"/>
  <c r="L289" i="11"/>
  <c r="N289" i="11"/>
  <c r="P289" i="11"/>
  <c r="L290" i="11"/>
  <c r="N290" i="11"/>
  <c r="P290" i="11"/>
  <c r="L291" i="11"/>
  <c r="N291" i="11"/>
  <c r="P291" i="11"/>
  <c r="L292" i="11"/>
  <c r="N292" i="11"/>
  <c r="P292" i="11"/>
  <c r="L293" i="11"/>
  <c r="N293" i="11"/>
  <c r="P293" i="11"/>
  <c r="L294" i="11"/>
  <c r="N294" i="11"/>
  <c r="P294" i="11"/>
  <c r="L295" i="11"/>
  <c r="N295" i="11"/>
  <c r="P295" i="11"/>
  <c r="L296" i="11"/>
  <c r="N296" i="11"/>
  <c r="P296" i="11"/>
  <c r="L297" i="11"/>
  <c r="N297" i="11"/>
  <c r="P297" i="11"/>
  <c r="L298" i="11"/>
  <c r="N298" i="11"/>
  <c r="P298" i="11"/>
  <c r="L299" i="11"/>
  <c r="N299" i="11"/>
  <c r="P299" i="11"/>
  <c r="L300" i="11"/>
  <c r="N300" i="11"/>
  <c r="P300" i="11"/>
  <c r="L301" i="11"/>
  <c r="N301" i="11"/>
  <c r="P301" i="11"/>
  <c r="L302" i="11"/>
  <c r="N302" i="11"/>
  <c r="P302" i="11"/>
  <c r="L303" i="11"/>
  <c r="N303" i="11"/>
  <c r="P303" i="11"/>
  <c r="L304" i="11"/>
  <c r="N304" i="11"/>
  <c r="P304" i="11"/>
  <c r="L305" i="11"/>
  <c r="N305" i="11"/>
  <c r="P305" i="11"/>
  <c r="L306" i="11"/>
  <c r="N306" i="11"/>
  <c r="P306" i="11"/>
  <c r="L307" i="11"/>
  <c r="N307" i="11"/>
  <c r="P307" i="11"/>
  <c r="L308" i="11"/>
  <c r="N308" i="11"/>
  <c r="P308" i="11"/>
  <c r="L309" i="11"/>
  <c r="N309" i="11"/>
  <c r="P309" i="11"/>
  <c r="L310" i="11"/>
  <c r="N310" i="11"/>
  <c r="P310" i="11"/>
  <c r="L311" i="11"/>
  <c r="N311" i="11"/>
  <c r="P311" i="11"/>
  <c r="L312" i="11"/>
  <c r="N312" i="11"/>
  <c r="P312" i="11"/>
  <c r="L313" i="11"/>
  <c r="N313" i="11"/>
  <c r="P313" i="11"/>
  <c r="L314" i="11"/>
  <c r="N314" i="11"/>
  <c r="P314" i="11"/>
  <c r="L315" i="11"/>
  <c r="N315" i="11"/>
  <c r="P315" i="11"/>
  <c r="L316" i="11"/>
  <c r="N316" i="11"/>
  <c r="P316" i="11"/>
  <c r="L317" i="11"/>
  <c r="N317" i="11"/>
  <c r="P317" i="11"/>
  <c r="L318" i="11"/>
  <c r="N318" i="11"/>
  <c r="P318" i="11"/>
  <c r="L319" i="11"/>
  <c r="N319" i="11"/>
  <c r="P319" i="11"/>
  <c r="L320" i="11"/>
  <c r="N320" i="11"/>
  <c r="P320" i="11"/>
  <c r="L321" i="11"/>
  <c r="N321" i="11"/>
  <c r="P321" i="11"/>
  <c r="L322" i="11"/>
  <c r="N322" i="11"/>
  <c r="P322" i="11"/>
  <c r="L323" i="11"/>
  <c r="N323" i="11"/>
  <c r="P323" i="11"/>
  <c r="L324" i="11"/>
  <c r="N324" i="11"/>
  <c r="P324" i="11"/>
  <c r="L325" i="11"/>
  <c r="N325" i="11"/>
  <c r="P325" i="11"/>
  <c r="L326" i="11"/>
  <c r="N326" i="11"/>
  <c r="P326" i="11"/>
  <c r="L327" i="11"/>
  <c r="N327" i="11"/>
  <c r="P327" i="11"/>
  <c r="L328" i="11"/>
  <c r="N328" i="11"/>
  <c r="P328" i="11"/>
  <c r="L329" i="11"/>
  <c r="N329" i="11"/>
  <c r="P329" i="11"/>
  <c r="L330" i="11"/>
  <c r="N330" i="11"/>
  <c r="P330" i="11"/>
  <c r="L331" i="11"/>
  <c r="N331" i="11"/>
  <c r="P331" i="11"/>
  <c r="L332" i="11"/>
  <c r="N332" i="11"/>
  <c r="P332" i="11"/>
  <c r="L333" i="11"/>
  <c r="N333" i="11"/>
  <c r="P333" i="11"/>
  <c r="L334" i="11"/>
  <c r="N334" i="11"/>
  <c r="P334" i="11"/>
  <c r="L335" i="11"/>
  <c r="N335" i="11"/>
  <c r="P335" i="11"/>
  <c r="L336" i="11"/>
  <c r="N336" i="11"/>
  <c r="P336" i="11"/>
  <c r="L337" i="11"/>
  <c r="N337" i="11"/>
  <c r="P337" i="11"/>
  <c r="L338" i="11"/>
  <c r="N338" i="11"/>
  <c r="P338" i="11"/>
  <c r="L339" i="11"/>
  <c r="N339" i="11"/>
  <c r="P339" i="11"/>
  <c r="L340" i="11"/>
  <c r="N340" i="11"/>
  <c r="P340" i="11"/>
  <c r="L341" i="11"/>
  <c r="N341" i="11"/>
  <c r="P341" i="11"/>
  <c r="L342" i="11"/>
  <c r="N342" i="11"/>
  <c r="P342" i="11"/>
  <c r="L343" i="11"/>
  <c r="N343" i="11"/>
  <c r="P343" i="11"/>
  <c r="L344" i="11"/>
  <c r="N344" i="11"/>
  <c r="P344" i="11"/>
  <c r="L345" i="11"/>
  <c r="N345" i="11"/>
  <c r="P345" i="11"/>
  <c r="L346" i="11"/>
  <c r="N346" i="11"/>
  <c r="P346" i="11"/>
  <c r="L347" i="11"/>
  <c r="N347" i="11"/>
  <c r="P347" i="11"/>
  <c r="L348" i="11"/>
  <c r="N348" i="11"/>
  <c r="P348" i="11"/>
  <c r="L349" i="11"/>
  <c r="N349" i="11"/>
  <c r="P349" i="11"/>
  <c r="L350" i="11"/>
  <c r="N350" i="11"/>
  <c r="P350" i="11"/>
  <c r="L351" i="11"/>
  <c r="N351" i="11"/>
  <c r="P351" i="11"/>
  <c r="L352" i="11"/>
  <c r="N352" i="11"/>
  <c r="P352" i="11"/>
  <c r="L353" i="11"/>
  <c r="N353" i="11"/>
  <c r="P353" i="11"/>
  <c r="L354" i="11"/>
  <c r="N354" i="11"/>
  <c r="P354" i="11"/>
  <c r="L355" i="11"/>
  <c r="N355" i="11"/>
  <c r="P355" i="11"/>
  <c r="L356" i="11"/>
  <c r="N356" i="11"/>
  <c r="P356" i="11"/>
  <c r="L357" i="11"/>
  <c r="N357" i="11"/>
  <c r="P357" i="11"/>
  <c r="L358" i="11"/>
  <c r="N358" i="11"/>
  <c r="P358" i="11"/>
  <c r="L359" i="11"/>
  <c r="N359" i="11"/>
  <c r="P359" i="11"/>
  <c r="L360" i="11"/>
  <c r="N360" i="11"/>
  <c r="P360" i="11"/>
  <c r="L361" i="11"/>
  <c r="N361" i="11"/>
  <c r="P361" i="11"/>
  <c r="L362" i="11"/>
  <c r="N362" i="11"/>
  <c r="P362" i="11"/>
  <c r="L363" i="11"/>
  <c r="N363" i="11"/>
  <c r="P363" i="11"/>
  <c r="L364" i="11"/>
  <c r="N364" i="11"/>
  <c r="P364" i="11"/>
  <c r="L365" i="11"/>
  <c r="N365" i="11"/>
  <c r="P365" i="11"/>
  <c r="L366" i="11"/>
  <c r="N366" i="11"/>
  <c r="P366" i="11"/>
  <c r="L367" i="11"/>
  <c r="N367" i="11"/>
  <c r="P367" i="11"/>
  <c r="L368" i="11"/>
  <c r="N368" i="11"/>
  <c r="P368" i="11"/>
  <c r="L369" i="11"/>
  <c r="N369" i="11"/>
  <c r="P369" i="11"/>
  <c r="L370" i="11"/>
  <c r="N370" i="11"/>
  <c r="P370" i="11"/>
  <c r="L371" i="11"/>
  <c r="N371" i="11"/>
  <c r="P371" i="11"/>
  <c r="L372" i="11"/>
  <c r="N372" i="11"/>
  <c r="P372" i="11"/>
  <c r="L373" i="11"/>
  <c r="N373" i="11"/>
  <c r="P373" i="11"/>
  <c r="L374" i="11"/>
  <c r="N374" i="11"/>
  <c r="P374" i="11"/>
  <c r="L375" i="11"/>
  <c r="N375" i="11"/>
  <c r="P375" i="11"/>
  <c r="L376" i="11"/>
  <c r="N376" i="11"/>
  <c r="P376" i="11"/>
  <c r="L377" i="11"/>
  <c r="N377" i="11"/>
  <c r="P377" i="11"/>
  <c r="L378" i="11"/>
  <c r="N378" i="11"/>
  <c r="P378" i="11"/>
  <c r="L379" i="11"/>
  <c r="N379" i="11"/>
  <c r="P379" i="11"/>
  <c r="L380" i="11"/>
  <c r="N380" i="11"/>
  <c r="P380" i="11"/>
  <c r="L381" i="11"/>
  <c r="N381" i="11"/>
  <c r="P381" i="11"/>
  <c r="L382" i="11"/>
  <c r="N382" i="11"/>
  <c r="P382" i="11"/>
  <c r="L383" i="11"/>
  <c r="N383" i="11"/>
  <c r="P383" i="11"/>
  <c r="L384" i="11"/>
  <c r="N384" i="11"/>
  <c r="P384" i="11"/>
  <c r="L385" i="11"/>
  <c r="N385" i="11"/>
  <c r="P385" i="11"/>
  <c r="L386" i="11"/>
  <c r="N386" i="11"/>
  <c r="P386" i="11"/>
  <c r="L387" i="11"/>
  <c r="N387" i="11"/>
  <c r="P387" i="11"/>
  <c r="L388" i="11"/>
  <c r="N388" i="11"/>
  <c r="P388" i="11"/>
  <c r="L389" i="11"/>
  <c r="N389" i="11"/>
  <c r="P389" i="11"/>
  <c r="L390" i="11"/>
  <c r="N390" i="11"/>
  <c r="P390" i="11"/>
  <c r="L391" i="11"/>
  <c r="N391" i="11"/>
  <c r="P391" i="11"/>
  <c r="L392" i="11"/>
  <c r="N392" i="11"/>
  <c r="P392" i="11"/>
  <c r="L393" i="11"/>
  <c r="N393" i="11"/>
  <c r="P393" i="11"/>
  <c r="L394" i="11"/>
  <c r="N394" i="11"/>
  <c r="P394" i="11"/>
  <c r="L395" i="11"/>
  <c r="N395" i="11"/>
  <c r="P395" i="11"/>
  <c r="L396" i="11"/>
  <c r="N396" i="11"/>
  <c r="P396" i="11"/>
  <c r="L397" i="11"/>
  <c r="N397" i="11"/>
  <c r="P397" i="11"/>
  <c r="L398" i="11"/>
  <c r="N398" i="11"/>
  <c r="P398" i="11"/>
  <c r="L399" i="11"/>
  <c r="N399" i="11"/>
  <c r="P399" i="11"/>
  <c r="L400" i="11"/>
  <c r="N400" i="11"/>
  <c r="P400" i="11"/>
  <c r="L401" i="11"/>
  <c r="N401" i="11"/>
  <c r="P401" i="11"/>
  <c r="L402" i="11"/>
  <c r="N402" i="11"/>
  <c r="P402" i="11"/>
  <c r="L403" i="11"/>
  <c r="N403" i="11"/>
  <c r="P403" i="11"/>
  <c r="L404" i="11"/>
  <c r="N404" i="11"/>
  <c r="P404" i="11"/>
  <c r="L405" i="11"/>
  <c r="N405" i="11"/>
  <c r="P405" i="11"/>
  <c r="L406" i="11"/>
  <c r="N406" i="11"/>
  <c r="P406" i="11"/>
  <c r="L407" i="11"/>
  <c r="N407" i="11"/>
  <c r="P407" i="11"/>
  <c r="L408" i="11"/>
  <c r="N408" i="11"/>
  <c r="P408" i="11"/>
  <c r="L409" i="11"/>
  <c r="N409" i="11"/>
  <c r="P409" i="11"/>
  <c r="L410" i="11"/>
  <c r="N410" i="11"/>
  <c r="P410" i="11"/>
  <c r="L411" i="11"/>
  <c r="N411" i="11"/>
  <c r="P411" i="11"/>
  <c r="L412" i="11"/>
  <c r="N412" i="11"/>
  <c r="P412" i="11"/>
  <c r="L413" i="11"/>
  <c r="N413" i="11"/>
  <c r="P413" i="11"/>
  <c r="L414" i="11"/>
  <c r="N414" i="11"/>
  <c r="P414" i="11"/>
  <c r="L415" i="11"/>
  <c r="N415" i="11"/>
  <c r="P415" i="11"/>
  <c r="L416" i="11"/>
  <c r="N416" i="11"/>
  <c r="P416" i="11"/>
  <c r="L417" i="11"/>
  <c r="N417" i="11"/>
  <c r="P417" i="11"/>
  <c r="L418" i="11"/>
  <c r="N418" i="11"/>
  <c r="P418" i="11"/>
  <c r="L419" i="11"/>
  <c r="N419" i="11"/>
  <c r="P419" i="11"/>
  <c r="L420" i="11"/>
  <c r="N420" i="11"/>
  <c r="P420" i="11"/>
  <c r="L421" i="11"/>
  <c r="N421" i="11"/>
  <c r="P421" i="11"/>
  <c r="L422" i="11"/>
  <c r="N422" i="11"/>
  <c r="P422" i="11"/>
  <c r="L423" i="11"/>
  <c r="N423" i="11"/>
  <c r="P423" i="11"/>
  <c r="L424" i="11"/>
  <c r="N424" i="11"/>
  <c r="P424" i="11"/>
  <c r="L425" i="11"/>
  <c r="N425" i="11"/>
  <c r="P425" i="11"/>
  <c r="L426" i="11"/>
  <c r="N426" i="11"/>
  <c r="P426" i="11"/>
  <c r="L427" i="11"/>
  <c r="N427" i="11"/>
  <c r="P427" i="11"/>
  <c r="L428" i="11"/>
  <c r="N428" i="11"/>
  <c r="P428" i="11"/>
  <c r="L429" i="11"/>
  <c r="N429" i="11"/>
  <c r="P429" i="11"/>
  <c r="L430" i="11"/>
  <c r="N430" i="11"/>
  <c r="P430" i="11"/>
  <c r="L431" i="11"/>
  <c r="N431" i="11"/>
  <c r="P431" i="11"/>
  <c r="L432" i="11"/>
  <c r="N432" i="11"/>
  <c r="P432" i="11"/>
  <c r="L433" i="11"/>
  <c r="N433" i="11"/>
  <c r="P433" i="11"/>
  <c r="L434" i="11"/>
  <c r="N434" i="11"/>
  <c r="P434" i="11"/>
  <c r="L435" i="11"/>
  <c r="N435" i="11"/>
  <c r="P435" i="11"/>
  <c r="L436" i="11"/>
  <c r="N436" i="11"/>
  <c r="P436" i="11"/>
  <c r="L437" i="11"/>
  <c r="N437" i="11"/>
  <c r="P437" i="11"/>
  <c r="L438" i="11"/>
  <c r="N438" i="11"/>
  <c r="P438" i="11"/>
  <c r="L439" i="11"/>
  <c r="N439" i="11"/>
  <c r="P439" i="11"/>
  <c r="L440" i="11"/>
  <c r="N440" i="11"/>
  <c r="P440" i="11"/>
  <c r="L441" i="11"/>
  <c r="N441" i="11"/>
  <c r="P441" i="11"/>
  <c r="L442" i="11"/>
  <c r="N442" i="11"/>
  <c r="P442" i="11"/>
  <c r="L443" i="11"/>
  <c r="N443" i="11"/>
  <c r="P443" i="11"/>
  <c r="L444" i="11"/>
  <c r="N444" i="11"/>
  <c r="P444" i="11"/>
  <c r="L445" i="11"/>
  <c r="N445" i="11"/>
  <c r="P445" i="11"/>
  <c r="L446" i="11"/>
  <c r="N446" i="11"/>
  <c r="P446" i="11"/>
  <c r="L447" i="11"/>
  <c r="N447" i="11"/>
  <c r="P447" i="11"/>
  <c r="L448" i="11"/>
  <c r="N448" i="11"/>
  <c r="P448" i="11"/>
  <c r="L449" i="11"/>
  <c r="N449" i="11"/>
  <c r="P449" i="11"/>
  <c r="L450" i="11"/>
  <c r="N450" i="11"/>
  <c r="P450" i="11"/>
  <c r="L451" i="11"/>
  <c r="N451" i="11"/>
  <c r="P451" i="11"/>
  <c r="L452" i="11"/>
  <c r="N452" i="11"/>
  <c r="P452" i="11"/>
  <c r="L453" i="11"/>
  <c r="N453" i="11"/>
  <c r="P453" i="11"/>
  <c r="L454" i="11"/>
  <c r="N454" i="11"/>
  <c r="P454" i="11"/>
  <c r="L455" i="11"/>
  <c r="N455" i="11"/>
  <c r="P455" i="11"/>
  <c r="L456" i="11"/>
  <c r="N456" i="11"/>
  <c r="P456" i="11"/>
  <c r="L457" i="11"/>
  <c r="N457" i="11"/>
  <c r="P457" i="11"/>
  <c r="L458" i="11"/>
  <c r="N458" i="11"/>
  <c r="P458" i="11"/>
  <c r="L459" i="11"/>
  <c r="N459" i="11"/>
  <c r="P459" i="11"/>
  <c r="L460" i="11"/>
  <c r="N460" i="11"/>
  <c r="P460" i="11"/>
  <c r="L461" i="11"/>
  <c r="N461" i="11"/>
  <c r="P461" i="11"/>
  <c r="L462" i="11"/>
  <c r="N462" i="11"/>
  <c r="P462" i="11"/>
  <c r="L463" i="11"/>
  <c r="N463" i="11"/>
  <c r="P463" i="11"/>
  <c r="L464" i="11"/>
  <c r="N464" i="11"/>
  <c r="P464" i="11"/>
  <c r="L465" i="11"/>
  <c r="N465" i="11"/>
  <c r="P465" i="11"/>
  <c r="L466" i="11"/>
  <c r="N466" i="11"/>
  <c r="P466" i="11"/>
  <c r="L467" i="11"/>
  <c r="N467" i="11"/>
  <c r="P467" i="11"/>
  <c r="L468" i="11"/>
  <c r="N468" i="11"/>
  <c r="P468" i="11"/>
  <c r="L469" i="11"/>
  <c r="N469" i="11"/>
  <c r="P469" i="11"/>
  <c r="L470" i="11"/>
  <c r="N470" i="11"/>
  <c r="P470" i="11"/>
  <c r="L471" i="11"/>
  <c r="N471" i="11"/>
  <c r="P471" i="11"/>
  <c r="L472" i="11"/>
  <c r="N472" i="11"/>
  <c r="P472" i="11"/>
  <c r="L473" i="11"/>
  <c r="N473" i="11"/>
  <c r="P473" i="11"/>
  <c r="L474" i="11"/>
  <c r="N474" i="11"/>
  <c r="P474" i="11"/>
  <c r="L475" i="11"/>
  <c r="N475" i="11"/>
  <c r="P475" i="11"/>
  <c r="L476" i="11"/>
  <c r="N476" i="11"/>
  <c r="P476" i="11"/>
  <c r="L477" i="11"/>
  <c r="N477" i="11"/>
  <c r="P477" i="11"/>
  <c r="L478" i="11"/>
  <c r="N478" i="11"/>
  <c r="P478" i="11"/>
  <c r="L479" i="11"/>
  <c r="N479" i="11"/>
  <c r="P479" i="11"/>
  <c r="L480" i="11"/>
  <c r="N480" i="11"/>
  <c r="P480" i="11"/>
  <c r="L481" i="11"/>
  <c r="N481" i="11"/>
  <c r="P481" i="11"/>
  <c r="L482" i="11"/>
  <c r="N482" i="11"/>
  <c r="P482" i="11"/>
  <c r="L483" i="11"/>
  <c r="N483" i="11"/>
  <c r="P483" i="11"/>
  <c r="L484" i="11"/>
  <c r="N484" i="11"/>
  <c r="P484" i="11"/>
  <c r="L485" i="11"/>
  <c r="N485" i="11"/>
  <c r="P485" i="11"/>
  <c r="L486" i="11"/>
  <c r="N486" i="11"/>
  <c r="P486" i="11"/>
  <c r="L487" i="11"/>
  <c r="N487" i="11"/>
  <c r="P487" i="11"/>
  <c r="L488" i="11"/>
  <c r="N488" i="11"/>
  <c r="P488" i="11"/>
  <c r="L489" i="11"/>
  <c r="N489" i="11"/>
  <c r="P489" i="11"/>
  <c r="L490" i="11"/>
  <c r="N490" i="11"/>
  <c r="P490" i="11"/>
  <c r="L491" i="11"/>
  <c r="N491" i="11"/>
  <c r="P491" i="11"/>
  <c r="L492" i="11"/>
  <c r="N492" i="11"/>
  <c r="P492" i="11"/>
  <c r="L493" i="11"/>
  <c r="N493" i="11"/>
  <c r="P493" i="11"/>
  <c r="L494" i="11"/>
  <c r="N494" i="11"/>
  <c r="P494" i="11"/>
  <c r="L495" i="11"/>
  <c r="N495" i="11"/>
  <c r="P495" i="11"/>
  <c r="L496" i="11"/>
  <c r="N496" i="11"/>
  <c r="P496" i="11"/>
  <c r="L497" i="11"/>
  <c r="N497" i="11"/>
  <c r="P497" i="11"/>
  <c r="L498" i="11"/>
  <c r="N498" i="11"/>
  <c r="P498" i="11"/>
  <c r="L499" i="11"/>
  <c r="N499" i="11"/>
  <c r="P499" i="11"/>
  <c r="L500" i="11"/>
  <c r="N500" i="11"/>
  <c r="P500" i="11"/>
  <c r="L501" i="11"/>
  <c r="N501" i="11"/>
  <c r="P501" i="11"/>
  <c r="L502" i="11"/>
  <c r="N502" i="11"/>
  <c r="P502" i="11"/>
  <c r="L503" i="11"/>
  <c r="N503" i="11"/>
  <c r="P503" i="11"/>
  <c r="L504" i="11"/>
  <c r="N504" i="11"/>
  <c r="P504" i="11"/>
  <c r="L505" i="11"/>
  <c r="N505" i="11"/>
  <c r="P505" i="11"/>
  <c r="L506" i="11"/>
  <c r="N506" i="11"/>
  <c r="P506" i="11"/>
  <c r="L507" i="11"/>
  <c r="N507" i="11"/>
  <c r="P507" i="11"/>
  <c r="L508" i="11"/>
  <c r="N508" i="11"/>
  <c r="P508" i="11"/>
  <c r="L509" i="11"/>
  <c r="N509" i="11"/>
  <c r="P509" i="11"/>
  <c r="L510" i="11"/>
  <c r="N510" i="11"/>
  <c r="P510" i="11"/>
  <c r="L511" i="11"/>
  <c r="N511" i="11"/>
  <c r="P511" i="11"/>
  <c r="L512" i="11"/>
  <c r="N512" i="11"/>
  <c r="P512" i="11"/>
  <c r="L513" i="11"/>
  <c r="N513" i="11"/>
  <c r="P513" i="11"/>
  <c r="L514" i="11"/>
  <c r="N514" i="11"/>
  <c r="P514" i="11"/>
  <c r="L515" i="11"/>
  <c r="N515" i="11"/>
  <c r="P515" i="11"/>
  <c r="L516" i="11"/>
  <c r="N516" i="11"/>
  <c r="P516" i="11"/>
  <c r="L517" i="11"/>
  <c r="N517" i="11"/>
  <c r="P517" i="11"/>
  <c r="L518" i="11"/>
  <c r="N518" i="11"/>
  <c r="P518" i="11"/>
  <c r="L519" i="11"/>
  <c r="N519" i="11"/>
  <c r="P519" i="11"/>
  <c r="L520" i="11"/>
  <c r="N520" i="11"/>
  <c r="P520" i="11"/>
  <c r="L521" i="11"/>
  <c r="N521" i="11"/>
  <c r="P521" i="11"/>
  <c r="L522" i="11"/>
  <c r="N522" i="11"/>
  <c r="P522" i="11"/>
  <c r="L523" i="11"/>
  <c r="N523" i="11"/>
  <c r="P523" i="11"/>
  <c r="L524" i="11"/>
  <c r="N524" i="11"/>
  <c r="P524" i="11"/>
  <c r="L525" i="11"/>
  <c r="N525" i="11"/>
  <c r="P525" i="11"/>
  <c r="L526" i="11"/>
  <c r="N526" i="11"/>
  <c r="P526" i="11"/>
  <c r="L527" i="11"/>
  <c r="N527" i="11"/>
  <c r="P527" i="11"/>
  <c r="L528" i="11"/>
  <c r="N528" i="11"/>
  <c r="P528" i="11"/>
  <c r="L529" i="11"/>
  <c r="N529" i="11"/>
  <c r="P529" i="11"/>
  <c r="L530" i="11"/>
  <c r="N530" i="11"/>
  <c r="P530" i="11"/>
  <c r="L531" i="11"/>
  <c r="N531" i="11"/>
  <c r="P531" i="11"/>
  <c r="L532" i="11"/>
  <c r="N532" i="11"/>
  <c r="P532" i="11"/>
  <c r="L533" i="11"/>
  <c r="N533" i="11"/>
  <c r="P533" i="11"/>
  <c r="L534" i="11"/>
  <c r="N534" i="11"/>
  <c r="P534" i="11"/>
  <c r="L535" i="11"/>
  <c r="N535" i="11"/>
  <c r="P535" i="11"/>
  <c r="L536" i="11"/>
  <c r="N536" i="11"/>
  <c r="P536" i="11"/>
  <c r="L537" i="11"/>
  <c r="N537" i="11"/>
  <c r="P537" i="11"/>
  <c r="L538" i="11"/>
  <c r="N538" i="11"/>
  <c r="P538" i="11"/>
  <c r="L539" i="11"/>
  <c r="N539" i="11"/>
  <c r="P539" i="11"/>
  <c r="L540" i="11"/>
  <c r="N540" i="11"/>
  <c r="P540" i="11"/>
  <c r="L541" i="11"/>
  <c r="N541" i="11"/>
  <c r="P541" i="11"/>
  <c r="L542" i="11"/>
  <c r="N542" i="11"/>
  <c r="P542" i="11"/>
  <c r="L543" i="11"/>
  <c r="N543" i="11"/>
  <c r="P543" i="11"/>
  <c r="L544" i="11"/>
  <c r="N544" i="11"/>
  <c r="P544" i="11"/>
  <c r="L545" i="11"/>
  <c r="N545" i="11"/>
  <c r="P545" i="11"/>
  <c r="L546" i="11"/>
  <c r="N546" i="11"/>
  <c r="P546" i="11"/>
  <c r="L547" i="11"/>
  <c r="N547" i="11"/>
  <c r="P547" i="11"/>
  <c r="L548" i="11"/>
  <c r="N548" i="11"/>
  <c r="P548" i="11"/>
  <c r="L549" i="11"/>
  <c r="N549" i="11"/>
  <c r="P549" i="11"/>
  <c r="L550" i="11"/>
  <c r="N550" i="11"/>
  <c r="P550" i="11"/>
  <c r="L551" i="11"/>
  <c r="N551" i="11"/>
  <c r="P551" i="11"/>
  <c r="L552" i="11"/>
  <c r="N552" i="11"/>
  <c r="P552" i="11"/>
  <c r="L553" i="11"/>
  <c r="N553" i="11"/>
  <c r="P553" i="11"/>
  <c r="L554" i="11"/>
  <c r="N554" i="11"/>
  <c r="P554" i="11"/>
  <c r="L555" i="11"/>
  <c r="N555" i="11"/>
  <c r="P555" i="11"/>
  <c r="L556" i="11"/>
  <c r="N556" i="11"/>
  <c r="P556" i="11"/>
  <c r="L557" i="11"/>
  <c r="N557" i="11"/>
  <c r="P557" i="11"/>
  <c r="L558" i="11"/>
  <c r="N558" i="11"/>
  <c r="P558" i="11"/>
  <c r="L559" i="11"/>
  <c r="N559" i="11"/>
  <c r="P559" i="11"/>
  <c r="L560" i="11"/>
  <c r="N560" i="11"/>
  <c r="P560" i="11"/>
  <c r="L561" i="11"/>
  <c r="N561" i="11"/>
  <c r="P561" i="11"/>
  <c r="L562" i="11"/>
  <c r="N562" i="11"/>
  <c r="P562" i="11"/>
  <c r="L563" i="11"/>
  <c r="N563" i="11"/>
  <c r="P563" i="11"/>
  <c r="L564" i="11"/>
  <c r="N564" i="11"/>
  <c r="P564" i="11"/>
  <c r="L565" i="11"/>
  <c r="N565" i="11"/>
  <c r="P565" i="11"/>
  <c r="L566" i="11"/>
  <c r="N566" i="11"/>
  <c r="P566" i="11"/>
  <c r="L567" i="11"/>
  <c r="N567" i="11"/>
  <c r="P567" i="11"/>
  <c r="L568" i="11"/>
  <c r="N568" i="11"/>
  <c r="P568" i="11"/>
  <c r="L569" i="11"/>
  <c r="N569" i="11"/>
  <c r="P569" i="11"/>
  <c r="L570" i="11"/>
  <c r="N570" i="11"/>
  <c r="P570" i="11"/>
  <c r="L571" i="11"/>
  <c r="N571" i="11"/>
  <c r="P571" i="11"/>
  <c r="L572" i="11"/>
  <c r="N572" i="11"/>
  <c r="P572" i="11"/>
  <c r="L573" i="11"/>
  <c r="N573" i="11"/>
  <c r="P573" i="11"/>
  <c r="L574" i="11"/>
  <c r="N574" i="11"/>
  <c r="P574" i="11"/>
  <c r="L575" i="11"/>
  <c r="N575" i="11"/>
  <c r="P575" i="11"/>
  <c r="L576" i="11"/>
  <c r="N576" i="11"/>
  <c r="P576" i="11"/>
  <c r="L577" i="11"/>
  <c r="N577" i="11"/>
  <c r="P577" i="11"/>
  <c r="L578" i="11"/>
  <c r="N578" i="11"/>
  <c r="P578" i="11"/>
  <c r="L579" i="11"/>
  <c r="N579" i="11"/>
  <c r="P579" i="11"/>
  <c r="L580" i="11"/>
  <c r="N580" i="11"/>
  <c r="P580" i="11"/>
  <c r="L581" i="11"/>
  <c r="N581" i="11"/>
  <c r="P581" i="11"/>
  <c r="L582" i="11"/>
  <c r="N582" i="11"/>
  <c r="P582" i="11"/>
  <c r="L583" i="11"/>
  <c r="N583" i="11"/>
  <c r="P583" i="11"/>
  <c r="L584" i="11"/>
  <c r="N584" i="11"/>
  <c r="P584" i="11"/>
  <c r="L585" i="11"/>
  <c r="N585" i="11"/>
  <c r="P585" i="11"/>
  <c r="L586" i="11"/>
  <c r="N586" i="11"/>
  <c r="P586" i="11"/>
  <c r="L587" i="11"/>
  <c r="N587" i="11"/>
  <c r="P587" i="11"/>
  <c r="L588" i="11"/>
  <c r="N588" i="11"/>
  <c r="P588" i="11"/>
  <c r="L589" i="11"/>
  <c r="N589" i="11"/>
  <c r="P589" i="11"/>
  <c r="L590" i="11"/>
  <c r="N590" i="11"/>
  <c r="P590" i="11"/>
  <c r="L591" i="11"/>
  <c r="N591" i="11"/>
  <c r="P591" i="11"/>
  <c r="L592" i="11"/>
  <c r="N592" i="11"/>
  <c r="P592" i="11"/>
  <c r="L593" i="11"/>
  <c r="N593" i="11"/>
  <c r="P593" i="11"/>
  <c r="L594" i="11"/>
  <c r="N594" i="11"/>
  <c r="P594" i="11"/>
  <c r="L595" i="11"/>
  <c r="N595" i="11"/>
  <c r="P595" i="11"/>
  <c r="L596" i="11"/>
  <c r="N596" i="11"/>
  <c r="P596" i="11"/>
  <c r="L597" i="11"/>
  <c r="N597" i="11"/>
  <c r="P597" i="11"/>
  <c r="L598" i="11"/>
  <c r="N598" i="11"/>
  <c r="P598" i="11"/>
  <c r="L599" i="11"/>
  <c r="N599" i="11"/>
  <c r="P599" i="11"/>
  <c r="L600" i="11"/>
  <c r="N600" i="11"/>
  <c r="P600" i="11"/>
  <c r="L601" i="11"/>
  <c r="N601" i="11"/>
  <c r="P601" i="11"/>
  <c r="L602" i="11"/>
  <c r="N602" i="11"/>
  <c r="P602" i="11"/>
  <c r="L603" i="11"/>
  <c r="N603" i="11"/>
  <c r="P603" i="11"/>
  <c r="L604" i="11"/>
  <c r="N604" i="11"/>
  <c r="P604" i="11"/>
  <c r="L605" i="11"/>
  <c r="N605" i="11"/>
  <c r="P605" i="11"/>
  <c r="L606" i="11"/>
  <c r="N606" i="11"/>
  <c r="P606" i="11"/>
  <c r="L607" i="11"/>
  <c r="N607" i="11"/>
  <c r="P607" i="11"/>
  <c r="L608" i="11"/>
  <c r="N608" i="11"/>
  <c r="P608" i="11"/>
  <c r="L609" i="11"/>
  <c r="N609" i="11"/>
  <c r="P609" i="11"/>
  <c r="L610" i="11"/>
  <c r="N610" i="11"/>
  <c r="P610" i="11"/>
  <c r="L611" i="11"/>
  <c r="N611" i="11"/>
  <c r="P611" i="11"/>
  <c r="L612" i="11"/>
  <c r="N612" i="11"/>
  <c r="P612" i="11"/>
  <c r="L613" i="11"/>
  <c r="N613" i="11"/>
  <c r="P613" i="11"/>
  <c r="L614" i="11"/>
  <c r="N614" i="11"/>
  <c r="P614" i="11"/>
  <c r="L615" i="11"/>
  <c r="N615" i="11"/>
  <c r="P615" i="11"/>
  <c r="L616" i="11"/>
  <c r="N616" i="11"/>
  <c r="P616" i="11"/>
  <c r="L617" i="11"/>
  <c r="N617" i="11"/>
  <c r="P617" i="11"/>
  <c r="L618" i="11"/>
  <c r="N618" i="11"/>
  <c r="P618" i="11"/>
  <c r="L619" i="11"/>
  <c r="N619" i="11"/>
  <c r="P619" i="11"/>
  <c r="L620" i="11"/>
  <c r="N620" i="11"/>
  <c r="P620" i="11"/>
  <c r="L621" i="11"/>
  <c r="N621" i="11"/>
  <c r="P621" i="11"/>
  <c r="L622" i="11"/>
  <c r="N622" i="11"/>
  <c r="P622" i="11"/>
  <c r="L623" i="11"/>
  <c r="N623" i="11"/>
  <c r="P623" i="11"/>
  <c r="L624" i="11"/>
  <c r="N624" i="11"/>
  <c r="P624" i="11"/>
  <c r="L625" i="11"/>
  <c r="N625" i="11"/>
  <c r="P625" i="11"/>
  <c r="L626" i="11"/>
  <c r="N626" i="11"/>
  <c r="P626" i="11"/>
  <c r="L627" i="11"/>
  <c r="N627" i="11"/>
  <c r="P627" i="11"/>
  <c r="L628" i="11"/>
  <c r="N628" i="11"/>
  <c r="P628" i="11"/>
  <c r="L629" i="11"/>
  <c r="N629" i="11"/>
  <c r="P629" i="11"/>
  <c r="L630" i="11"/>
  <c r="N630" i="11"/>
  <c r="P630" i="11"/>
  <c r="L631" i="11"/>
  <c r="N631" i="11"/>
  <c r="P631" i="11"/>
  <c r="L632" i="11"/>
  <c r="N632" i="11"/>
  <c r="P632" i="11"/>
  <c r="L633" i="11"/>
  <c r="N633" i="11"/>
  <c r="P633" i="11"/>
  <c r="L634" i="11"/>
  <c r="N634" i="11"/>
  <c r="P634" i="11"/>
  <c r="L635" i="11"/>
  <c r="N635" i="11"/>
  <c r="P635" i="11"/>
  <c r="L636" i="11"/>
  <c r="N636" i="11"/>
  <c r="P636" i="11"/>
  <c r="L637" i="11"/>
  <c r="N637" i="11"/>
  <c r="P637" i="11"/>
  <c r="L638" i="11"/>
  <c r="N638" i="11"/>
  <c r="P638" i="11"/>
  <c r="L639" i="11"/>
  <c r="N639" i="11"/>
  <c r="P639" i="11"/>
  <c r="L640" i="11"/>
  <c r="N640" i="11"/>
  <c r="P640" i="11"/>
  <c r="L641" i="11"/>
  <c r="N641" i="11"/>
  <c r="P641" i="11"/>
  <c r="L642" i="11"/>
  <c r="N642" i="11"/>
  <c r="P642" i="11"/>
  <c r="L643" i="11"/>
  <c r="N643" i="11"/>
  <c r="P643" i="11"/>
  <c r="L644" i="11"/>
  <c r="N644" i="11"/>
  <c r="P644" i="11"/>
  <c r="L645" i="11"/>
  <c r="N645" i="11"/>
  <c r="P645" i="11"/>
  <c r="L646" i="11"/>
  <c r="N646" i="11"/>
  <c r="P646" i="11"/>
  <c r="L647" i="11"/>
  <c r="N647" i="11"/>
  <c r="P647" i="11"/>
  <c r="L648" i="11"/>
  <c r="N648" i="11"/>
  <c r="P648" i="11"/>
  <c r="L649" i="11"/>
  <c r="N649" i="11"/>
  <c r="P649" i="11"/>
  <c r="L650" i="11"/>
  <c r="N650" i="11"/>
  <c r="P650" i="11"/>
  <c r="L651" i="11"/>
  <c r="N651" i="11"/>
  <c r="P651" i="11"/>
  <c r="L652" i="11"/>
  <c r="N652" i="11"/>
  <c r="P652" i="11"/>
  <c r="L653" i="11"/>
  <c r="N653" i="11"/>
  <c r="P653" i="11"/>
  <c r="L654" i="11"/>
  <c r="N654" i="11"/>
  <c r="P654" i="11"/>
  <c r="L655" i="11"/>
  <c r="N655" i="11"/>
  <c r="P655" i="11"/>
  <c r="L656" i="11"/>
  <c r="N656" i="11"/>
  <c r="P656" i="11"/>
  <c r="L657" i="11"/>
  <c r="N657" i="11"/>
  <c r="P657" i="11"/>
  <c r="L658" i="11"/>
  <c r="N658" i="11"/>
  <c r="P658" i="11"/>
  <c r="L659" i="11"/>
  <c r="N659" i="11"/>
  <c r="P659" i="11"/>
  <c r="L660" i="11"/>
  <c r="N660" i="11"/>
  <c r="P660" i="11"/>
  <c r="L661" i="11"/>
  <c r="N661" i="11"/>
  <c r="P661" i="11"/>
  <c r="L662" i="11"/>
  <c r="N662" i="11"/>
  <c r="P662" i="11"/>
  <c r="L663" i="11"/>
  <c r="N663" i="11"/>
  <c r="P663" i="11"/>
  <c r="L664" i="11"/>
  <c r="N664" i="11"/>
  <c r="P664" i="11"/>
  <c r="L665" i="11"/>
  <c r="N665" i="11"/>
  <c r="P665" i="11"/>
  <c r="L666" i="11"/>
  <c r="N666" i="11"/>
  <c r="P666" i="11"/>
  <c r="L667" i="11"/>
  <c r="N667" i="11"/>
  <c r="P667" i="11"/>
  <c r="L668" i="11"/>
  <c r="N668" i="11"/>
  <c r="P668" i="11"/>
  <c r="L669" i="11"/>
  <c r="N669" i="11"/>
  <c r="P669" i="11"/>
  <c r="L670" i="11"/>
  <c r="N670" i="11"/>
  <c r="P670" i="11"/>
  <c r="L671" i="11"/>
  <c r="N671" i="11"/>
  <c r="P671" i="11"/>
  <c r="L672" i="11"/>
  <c r="N672" i="11"/>
  <c r="P672" i="11"/>
  <c r="L673" i="11"/>
  <c r="N673" i="11"/>
  <c r="P673" i="11"/>
  <c r="L674" i="11"/>
  <c r="N674" i="11"/>
  <c r="P674" i="11"/>
  <c r="L675" i="11"/>
  <c r="N675" i="11"/>
  <c r="P675" i="11"/>
  <c r="L676" i="11"/>
  <c r="N676" i="11"/>
  <c r="P676" i="11"/>
  <c r="L677" i="11"/>
  <c r="N677" i="11"/>
  <c r="P677" i="11"/>
  <c r="L678" i="11"/>
  <c r="N678" i="11"/>
  <c r="P678" i="11"/>
  <c r="L679" i="11"/>
  <c r="N679" i="11"/>
  <c r="P679" i="11"/>
  <c r="L680" i="11"/>
  <c r="N680" i="11"/>
  <c r="P680" i="11"/>
  <c r="L681" i="11"/>
  <c r="N681" i="11"/>
  <c r="P681" i="11"/>
  <c r="L682" i="11"/>
  <c r="N682" i="11"/>
  <c r="P682" i="11"/>
  <c r="L683" i="11"/>
  <c r="N683" i="11"/>
  <c r="P683" i="11"/>
  <c r="L684" i="11"/>
  <c r="N684" i="11"/>
  <c r="P684" i="11"/>
  <c r="L685" i="11"/>
  <c r="N685" i="11"/>
  <c r="P685" i="11"/>
  <c r="L686" i="11"/>
  <c r="N686" i="11"/>
  <c r="P686" i="11"/>
  <c r="L687" i="11"/>
  <c r="N687" i="11"/>
  <c r="P687" i="11"/>
  <c r="L688" i="11"/>
  <c r="N688" i="11"/>
  <c r="P688" i="11"/>
  <c r="L689" i="11"/>
  <c r="N689" i="11"/>
  <c r="P689" i="11"/>
  <c r="L690" i="11"/>
  <c r="N690" i="11"/>
  <c r="P690" i="11"/>
  <c r="L691" i="11"/>
  <c r="N691" i="11"/>
  <c r="P691" i="11"/>
  <c r="L692" i="11"/>
  <c r="N692" i="11"/>
  <c r="P692" i="11"/>
  <c r="L693" i="11"/>
  <c r="N693" i="11"/>
  <c r="P693" i="11"/>
  <c r="L694" i="11"/>
  <c r="N694" i="11"/>
  <c r="P694" i="11"/>
  <c r="L695" i="11"/>
  <c r="N695" i="11"/>
  <c r="P695" i="11"/>
  <c r="L696" i="11"/>
  <c r="N696" i="11"/>
  <c r="P696" i="11"/>
  <c r="L697" i="11"/>
  <c r="N697" i="11"/>
  <c r="P697" i="11"/>
  <c r="L698" i="11"/>
  <c r="N698" i="11"/>
  <c r="P698" i="11"/>
  <c r="L699" i="11"/>
  <c r="N699" i="11"/>
  <c r="P699" i="11"/>
  <c r="L700" i="11"/>
  <c r="N700" i="11"/>
  <c r="P700" i="11"/>
  <c r="L701" i="11"/>
  <c r="N701" i="11"/>
  <c r="P701" i="11"/>
  <c r="L702" i="11"/>
  <c r="N702" i="11"/>
  <c r="P702" i="11"/>
  <c r="L703" i="11"/>
  <c r="N703" i="11"/>
  <c r="P703" i="11"/>
  <c r="L704" i="11"/>
  <c r="N704" i="11"/>
  <c r="P704" i="11"/>
  <c r="L705" i="11"/>
  <c r="N705" i="11"/>
  <c r="P705" i="11"/>
  <c r="L706" i="11"/>
  <c r="N706" i="11"/>
  <c r="P706" i="11"/>
  <c r="L707" i="11"/>
  <c r="N707" i="11"/>
  <c r="P707" i="11"/>
  <c r="L708" i="11"/>
  <c r="N708" i="11"/>
  <c r="P708" i="11"/>
  <c r="L709" i="11"/>
  <c r="N709" i="11"/>
  <c r="P709" i="11"/>
  <c r="L710" i="11"/>
  <c r="N710" i="11"/>
  <c r="P710" i="11"/>
  <c r="L711" i="11"/>
  <c r="N711" i="11"/>
  <c r="P711" i="11"/>
  <c r="L712" i="11"/>
  <c r="N712" i="11"/>
  <c r="P712" i="11"/>
  <c r="L713" i="11"/>
  <c r="N713" i="11"/>
  <c r="P713" i="11"/>
  <c r="L714" i="11"/>
  <c r="N714" i="11"/>
  <c r="P714" i="11"/>
  <c r="L715" i="11"/>
  <c r="N715" i="11"/>
  <c r="P715" i="11"/>
  <c r="L716" i="11"/>
  <c r="N716" i="11"/>
  <c r="P716" i="11"/>
  <c r="L717" i="11"/>
  <c r="N717" i="11"/>
  <c r="P717" i="11"/>
  <c r="L718" i="11"/>
  <c r="N718" i="11"/>
  <c r="P718" i="11"/>
  <c r="L719" i="11"/>
  <c r="N719" i="11"/>
  <c r="P719" i="11"/>
  <c r="L720" i="11"/>
  <c r="N720" i="11"/>
  <c r="P720" i="11"/>
  <c r="L721" i="11"/>
  <c r="N721" i="11"/>
  <c r="P721" i="11"/>
  <c r="L722" i="11"/>
  <c r="N722" i="11"/>
  <c r="P722" i="11"/>
  <c r="L723" i="11"/>
  <c r="N723" i="11"/>
  <c r="P723" i="11"/>
  <c r="L724" i="11"/>
  <c r="N724" i="11"/>
  <c r="P724" i="11"/>
  <c r="L725" i="11"/>
  <c r="N725" i="11"/>
  <c r="P725" i="11"/>
  <c r="L726" i="11"/>
  <c r="N726" i="11"/>
  <c r="P726" i="11"/>
  <c r="L727" i="11"/>
  <c r="N727" i="11"/>
  <c r="P727" i="11"/>
  <c r="L728" i="11"/>
  <c r="N728" i="11"/>
  <c r="P728" i="11"/>
  <c r="L729" i="11"/>
  <c r="N729" i="11"/>
  <c r="P729" i="11"/>
  <c r="L730" i="11"/>
  <c r="N730" i="11"/>
  <c r="P730" i="11"/>
  <c r="L731" i="11"/>
  <c r="N731" i="11"/>
  <c r="P731" i="11"/>
  <c r="L732" i="11"/>
  <c r="N732" i="11"/>
  <c r="P732" i="11"/>
  <c r="L733" i="11"/>
  <c r="N733" i="11"/>
  <c r="P733" i="11"/>
  <c r="L734" i="11"/>
  <c r="N734" i="11"/>
  <c r="P734" i="11"/>
  <c r="L735" i="11"/>
  <c r="N735" i="11"/>
  <c r="P735" i="11"/>
  <c r="L736" i="11"/>
  <c r="N736" i="11"/>
  <c r="P736" i="11"/>
  <c r="L737" i="11"/>
  <c r="N737" i="11"/>
  <c r="P737" i="11"/>
  <c r="L738" i="11"/>
  <c r="N738" i="11"/>
  <c r="P738" i="11"/>
  <c r="L739" i="11"/>
  <c r="N739" i="11"/>
  <c r="P739" i="11"/>
  <c r="L740" i="11"/>
  <c r="N740" i="11"/>
  <c r="P740" i="11"/>
  <c r="L741" i="11"/>
  <c r="N741" i="11"/>
  <c r="P741" i="11"/>
  <c r="L742" i="11"/>
  <c r="N742" i="11"/>
  <c r="P742" i="11"/>
  <c r="L743" i="11"/>
  <c r="N743" i="11"/>
  <c r="P743" i="11"/>
  <c r="L744" i="11"/>
  <c r="N744" i="11"/>
  <c r="P744" i="11"/>
  <c r="L745" i="11"/>
  <c r="N745" i="11"/>
  <c r="P745" i="11"/>
  <c r="L746" i="11"/>
  <c r="N746" i="11"/>
  <c r="P746" i="11"/>
  <c r="L747" i="11"/>
  <c r="N747" i="11"/>
  <c r="P747" i="11"/>
  <c r="L748" i="11"/>
  <c r="N748" i="11"/>
  <c r="P748" i="11"/>
  <c r="L749" i="11"/>
  <c r="N749" i="11"/>
  <c r="P749" i="11"/>
  <c r="L750" i="11"/>
  <c r="N750" i="11"/>
  <c r="P750" i="11"/>
  <c r="L751" i="11"/>
  <c r="N751" i="11"/>
  <c r="P751" i="11"/>
  <c r="L752" i="11"/>
  <c r="N752" i="11"/>
  <c r="P752" i="11"/>
  <c r="L753" i="11"/>
  <c r="N753" i="11"/>
  <c r="P753" i="11"/>
  <c r="L754" i="11"/>
  <c r="N754" i="11"/>
  <c r="P754" i="11"/>
  <c r="L755" i="11"/>
  <c r="N755" i="11"/>
  <c r="P755" i="11"/>
  <c r="L756" i="11"/>
  <c r="N756" i="11"/>
  <c r="P756" i="11"/>
  <c r="L757" i="11"/>
  <c r="N757" i="11"/>
  <c r="P757" i="11"/>
  <c r="L758" i="11"/>
  <c r="N758" i="11"/>
  <c r="P758" i="11"/>
  <c r="L759" i="11"/>
  <c r="N759" i="11"/>
  <c r="P759" i="11"/>
  <c r="L760" i="11"/>
  <c r="N760" i="11"/>
  <c r="P760" i="11"/>
  <c r="L761" i="11"/>
  <c r="N761" i="11"/>
  <c r="P761" i="11"/>
  <c r="L762" i="11"/>
  <c r="N762" i="11"/>
  <c r="P762" i="11"/>
  <c r="L763" i="11"/>
  <c r="N763" i="11"/>
  <c r="P763" i="11"/>
  <c r="L764" i="11"/>
  <c r="N764" i="11"/>
  <c r="P764" i="11"/>
  <c r="L765" i="11"/>
  <c r="N765" i="11"/>
  <c r="P765" i="11"/>
  <c r="L766" i="11"/>
  <c r="N766" i="11"/>
  <c r="P766" i="11"/>
  <c r="L767" i="11"/>
  <c r="N767" i="11"/>
  <c r="P767" i="11"/>
  <c r="L768" i="11"/>
  <c r="N768" i="11"/>
  <c r="P768" i="11"/>
  <c r="L769" i="11"/>
  <c r="N769" i="11"/>
  <c r="P769" i="11"/>
  <c r="L770" i="11"/>
  <c r="N770" i="11"/>
  <c r="P770" i="11"/>
  <c r="L771" i="11"/>
  <c r="N771" i="11"/>
  <c r="P771" i="11"/>
  <c r="L772" i="11"/>
  <c r="N772" i="11"/>
  <c r="P772" i="11"/>
  <c r="L773" i="11"/>
  <c r="N773" i="11"/>
  <c r="P773" i="11"/>
  <c r="L774" i="11"/>
  <c r="N774" i="11"/>
  <c r="P774" i="11"/>
  <c r="L775" i="11"/>
  <c r="N775" i="11"/>
  <c r="P775" i="11"/>
  <c r="L776" i="11"/>
  <c r="N776" i="11"/>
  <c r="P776" i="11"/>
  <c r="L777" i="11"/>
  <c r="N777" i="11"/>
  <c r="P777" i="11"/>
  <c r="L778" i="11"/>
  <c r="N778" i="11"/>
  <c r="P778" i="11"/>
  <c r="L779" i="11"/>
  <c r="N779" i="11"/>
  <c r="P779" i="11"/>
  <c r="L780" i="11"/>
  <c r="N780" i="11"/>
  <c r="P780" i="11"/>
  <c r="L781" i="11"/>
  <c r="N781" i="11"/>
  <c r="P781" i="11"/>
  <c r="L782" i="11"/>
  <c r="N782" i="11"/>
  <c r="P782" i="11"/>
  <c r="L783" i="11"/>
  <c r="N783" i="11"/>
  <c r="P783" i="11"/>
  <c r="L784" i="11"/>
  <c r="N784" i="11"/>
  <c r="P784" i="11"/>
  <c r="L785" i="11"/>
  <c r="N785" i="11"/>
  <c r="P785" i="11"/>
  <c r="L786" i="11"/>
  <c r="N786" i="11"/>
  <c r="P786" i="11"/>
  <c r="L787" i="11"/>
  <c r="N787" i="11"/>
  <c r="P787" i="11"/>
  <c r="L788" i="11"/>
  <c r="N788" i="11"/>
  <c r="P788" i="11"/>
  <c r="L789" i="11"/>
  <c r="N789" i="11"/>
  <c r="P789" i="11"/>
  <c r="L790" i="11"/>
  <c r="N790" i="11"/>
  <c r="P790" i="11"/>
  <c r="L791" i="11"/>
  <c r="N791" i="11"/>
  <c r="P791" i="11"/>
  <c r="L792" i="11"/>
  <c r="N792" i="11"/>
  <c r="P792" i="11"/>
  <c r="L793" i="11"/>
  <c r="N793" i="11"/>
  <c r="P793" i="11"/>
  <c r="L794" i="11"/>
  <c r="N794" i="11"/>
  <c r="P794" i="11"/>
  <c r="L795" i="11"/>
  <c r="N795" i="11"/>
  <c r="P795" i="11"/>
  <c r="L796" i="11"/>
  <c r="N796" i="11"/>
  <c r="P796" i="11"/>
  <c r="L797" i="11"/>
  <c r="N797" i="11"/>
  <c r="P797" i="11"/>
  <c r="L798" i="11"/>
  <c r="N798" i="11"/>
  <c r="P798" i="11"/>
  <c r="L799" i="11"/>
  <c r="N799" i="11"/>
  <c r="P799" i="11"/>
  <c r="L800" i="11"/>
  <c r="N800" i="11"/>
  <c r="P800" i="11"/>
  <c r="L801" i="11"/>
  <c r="N801" i="11"/>
  <c r="P801" i="11"/>
  <c r="L802" i="11"/>
  <c r="N802" i="11"/>
  <c r="P802" i="11"/>
  <c r="L803" i="11"/>
  <c r="N803" i="11"/>
  <c r="P803" i="11"/>
  <c r="L804" i="11"/>
  <c r="N804" i="11"/>
  <c r="P804" i="11"/>
  <c r="L805" i="11"/>
  <c r="N805" i="11"/>
  <c r="P805" i="11"/>
  <c r="L806" i="11"/>
  <c r="N806" i="11"/>
  <c r="P806" i="11"/>
  <c r="L807" i="11"/>
  <c r="N807" i="11"/>
  <c r="P807" i="11"/>
  <c r="L808" i="11"/>
  <c r="N808" i="11"/>
  <c r="P808" i="11"/>
  <c r="L809" i="11"/>
  <c r="N809" i="11"/>
  <c r="P809" i="11"/>
  <c r="L810" i="11"/>
  <c r="N810" i="11"/>
  <c r="P810" i="11"/>
  <c r="L811" i="11"/>
  <c r="N811" i="11"/>
  <c r="P811" i="11"/>
  <c r="L812" i="11"/>
  <c r="N812" i="11"/>
  <c r="P812" i="11"/>
  <c r="L813" i="11"/>
  <c r="N813" i="11"/>
  <c r="P813" i="11"/>
  <c r="L814" i="11"/>
  <c r="N814" i="11"/>
  <c r="P814" i="11"/>
  <c r="L815" i="11"/>
  <c r="N815" i="11"/>
  <c r="P815" i="11"/>
  <c r="L816" i="11"/>
  <c r="N816" i="11"/>
  <c r="P816" i="11"/>
  <c r="L817" i="11"/>
  <c r="N817" i="11"/>
  <c r="P817" i="11"/>
  <c r="L818" i="11"/>
  <c r="N818" i="11"/>
  <c r="P818" i="11"/>
  <c r="L819" i="11"/>
  <c r="N819" i="11"/>
  <c r="P819" i="11"/>
  <c r="L820" i="11"/>
  <c r="N820" i="11"/>
  <c r="P820" i="11"/>
  <c r="L821" i="11"/>
  <c r="N821" i="11"/>
  <c r="P821" i="11"/>
  <c r="L822" i="11"/>
  <c r="N822" i="11"/>
  <c r="P822" i="11"/>
  <c r="L823" i="11"/>
  <c r="N823" i="11"/>
  <c r="P823" i="11"/>
  <c r="L824" i="11"/>
  <c r="N824" i="11"/>
  <c r="P824" i="11"/>
  <c r="L825" i="11"/>
  <c r="N825" i="11"/>
  <c r="P825" i="11"/>
  <c r="L826" i="11"/>
  <c r="N826" i="11"/>
  <c r="P826" i="11"/>
  <c r="L827" i="11"/>
  <c r="N827" i="11"/>
  <c r="P827" i="11"/>
  <c r="L828" i="11"/>
  <c r="N828" i="11"/>
  <c r="P828" i="11"/>
  <c r="L829" i="11"/>
  <c r="N829" i="11"/>
  <c r="P829" i="11"/>
  <c r="L830" i="11"/>
  <c r="N830" i="11"/>
  <c r="P830" i="11"/>
  <c r="L831" i="11"/>
  <c r="N831" i="11"/>
  <c r="P831" i="11"/>
  <c r="L832" i="11"/>
  <c r="N832" i="11"/>
  <c r="P832" i="11"/>
  <c r="L2" i="10"/>
  <c r="N2" i="10"/>
  <c r="P2" i="10"/>
  <c r="L3" i="10"/>
  <c r="N3" i="10"/>
  <c r="P3" i="10"/>
  <c r="L4" i="10"/>
  <c r="N4" i="10"/>
  <c r="P4" i="10"/>
  <c r="L5" i="10"/>
  <c r="N5" i="10"/>
  <c r="P5" i="10"/>
  <c r="L6" i="10"/>
  <c r="N6" i="10"/>
  <c r="P6" i="10"/>
  <c r="L7" i="10"/>
  <c r="N7" i="10"/>
  <c r="P7" i="10"/>
  <c r="L8" i="10"/>
  <c r="N8" i="10"/>
  <c r="P8" i="10"/>
  <c r="L9" i="10"/>
  <c r="N9" i="10"/>
  <c r="P9" i="10"/>
  <c r="L10" i="10"/>
  <c r="N10" i="10"/>
  <c r="P10" i="10"/>
  <c r="L11" i="10"/>
  <c r="N11" i="10"/>
  <c r="P11" i="10"/>
  <c r="L12" i="10"/>
  <c r="N12" i="10"/>
  <c r="P12" i="10"/>
  <c r="L13" i="10"/>
  <c r="N13" i="10"/>
  <c r="P13" i="10"/>
  <c r="L14" i="10"/>
  <c r="N14" i="10"/>
  <c r="P14" i="10"/>
  <c r="L15" i="10"/>
  <c r="N15" i="10"/>
  <c r="P15" i="10"/>
  <c r="L16" i="10"/>
  <c r="N16" i="10"/>
  <c r="P16" i="10"/>
  <c r="L17" i="10"/>
  <c r="N17" i="10"/>
  <c r="P17" i="10"/>
  <c r="L18" i="10"/>
  <c r="N18" i="10"/>
  <c r="P18" i="10"/>
  <c r="L19" i="10"/>
  <c r="N19" i="10"/>
  <c r="P19" i="10"/>
  <c r="L20" i="10"/>
  <c r="N20" i="10"/>
  <c r="P20" i="10"/>
  <c r="L21" i="10"/>
  <c r="N21" i="10"/>
  <c r="P21" i="10"/>
  <c r="L22" i="10"/>
  <c r="N22" i="10"/>
  <c r="P22" i="10"/>
  <c r="L23" i="10"/>
  <c r="N23" i="10"/>
  <c r="P23" i="10"/>
  <c r="L24" i="10"/>
  <c r="N24" i="10"/>
  <c r="P24" i="10"/>
  <c r="L25" i="10"/>
  <c r="N25" i="10"/>
  <c r="P25" i="10"/>
  <c r="L26" i="10"/>
  <c r="N26" i="10"/>
  <c r="P26" i="10"/>
  <c r="L27" i="10"/>
  <c r="N27" i="10"/>
  <c r="P27" i="10"/>
  <c r="L28" i="10"/>
  <c r="N28" i="10"/>
  <c r="P28" i="10"/>
  <c r="L29" i="10"/>
  <c r="N29" i="10"/>
  <c r="P29" i="10"/>
  <c r="L30" i="10"/>
  <c r="N30" i="10"/>
  <c r="P30" i="10"/>
  <c r="L31" i="10"/>
  <c r="N31" i="10"/>
  <c r="P31" i="10"/>
  <c r="L32" i="10"/>
  <c r="N32" i="10"/>
  <c r="P32" i="10"/>
  <c r="L33" i="10"/>
  <c r="N33" i="10"/>
  <c r="P33" i="10"/>
  <c r="L34" i="10"/>
  <c r="N34" i="10"/>
  <c r="P34" i="10"/>
  <c r="L35" i="10"/>
  <c r="N35" i="10"/>
  <c r="P35" i="10"/>
  <c r="L36" i="10"/>
  <c r="N36" i="10"/>
  <c r="P36" i="10"/>
  <c r="L37" i="10"/>
  <c r="N37" i="10"/>
  <c r="P37" i="10"/>
  <c r="L38" i="10"/>
  <c r="N38" i="10"/>
  <c r="P38" i="10"/>
  <c r="L39" i="10"/>
  <c r="N39" i="10"/>
  <c r="P39" i="10"/>
  <c r="L40" i="10"/>
  <c r="N40" i="10"/>
  <c r="P40" i="10"/>
  <c r="L41" i="10"/>
  <c r="N41" i="10"/>
  <c r="P41" i="10"/>
  <c r="L42" i="10"/>
  <c r="N42" i="10"/>
  <c r="P42" i="10"/>
  <c r="L43" i="10"/>
  <c r="N43" i="10"/>
  <c r="P43" i="10"/>
  <c r="L44" i="10"/>
  <c r="N44" i="10"/>
  <c r="P44" i="10"/>
  <c r="L45" i="10"/>
  <c r="N45" i="10"/>
  <c r="P45" i="10"/>
  <c r="L46" i="10"/>
  <c r="N46" i="10"/>
  <c r="P46" i="10"/>
  <c r="L47" i="10"/>
  <c r="N47" i="10"/>
  <c r="P47" i="10"/>
  <c r="L48" i="10"/>
  <c r="N48" i="10"/>
  <c r="P48" i="10"/>
  <c r="L49" i="10"/>
  <c r="N49" i="10"/>
  <c r="P49" i="10"/>
  <c r="L50" i="10"/>
  <c r="N50" i="10"/>
  <c r="P50" i="10"/>
  <c r="L51" i="10"/>
  <c r="N51" i="10"/>
  <c r="P51" i="10"/>
  <c r="L52" i="10"/>
  <c r="N52" i="10"/>
  <c r="P52" i="10"/>
  <c r="L53" i="10"/>
  <c r="N53" i="10"/>
  <c r="P53" i="10"/>
  <c r="L54" i="10"/>
  <c r="N54" i="10"/>
  <c r="P54" i="10"/>
  <c r="L55" i="10"/>
  <c r="N55" i="10"/>
  <c r="P55" i="10"/>
  <c r="L56" i="10"/>
  <c r="N56" i="10"/>
  <c r="P56" i="10"/>
  <c r="L57" i="10"/>
  <c r="N57" i="10"/>
  <c r="P57" i="10"/>
  <c r="L58" i="10"/>
  <c r="N58" i="10"/>
  <c r="P58" i="10"/>
  <c r="L59" i="10"/>
  <c r="N59" i="10"/>
  <c r="P59" i="10"/>
  <c r="L60" i="10"/>
  <c r="N60" i="10"/>
  <c r="P60" i="10"/>
  <c r="L61" i="10"/>
  <c r="N61" i="10"/>
  <c r="P61" i="10"/>
  <c r="L62" i="10"/>
  <c r="N62" i="10"/>
  <c r="P62" i="10"/>
  <c r="L63" i="10"/>
  <c r="N63" i="10"/>
  <c r="P63" i="10"/>
  <c r="L64" i="10"/>
  <c r="N64" i="10"/>
  <c r="P64" i="10"/>
  <c r="L65" i="10"/>
  <c r="N65" i="10"/>
  <c r="P65" i="10"/>
  <c r="L66" i="10"/>
  <c r="N66" i="10"/>
  <c r="P66" i="10"/>
  <c r="L67" i="10"/>
  <c r="N67" i="10"/>
  <c r="P67" i="10"/>
  <c r="L68" i="10"/>
  <c r="N68" i="10"/>
  <c r="P68" i="10"/>
  <c r="L69" i="10"/>
  <c r="N69" i="10"/>
  <c r="P69" i="10"/>
  <c r="L70" i="10"/>
  <c r="N70" i="10"/>
  <c r="P70" i="10"/>
  <c r="L71" i="10"/>
  <c r="N71" i="10"/>
  <c r="P71" i="10"/>
  <c r="L72" i="10"/>
  <c r="N72" i="10"/>
  <c r="P72" i="10"/>
  <c r="L73" i="10"/>
  <c r="N73" i="10"/>
  <c r="P73" i="10"/>
  <c r="L74" i="10"/>
  <c r="N74" i="10"/>
  <c r="P74" i="10"/>
  <c r="L75" i="10"/>
  <c r="N75" i="10"/>
  <c r="P75" i="10"/>
  <c r="L76" i="10"/>
  <c r="N76" i="10"/>
  <c r="P76" i="10"/>
  <c r="L77" i="10"/>
  <c r="N77" i="10"/>
  <c r="P77" i="10"/>
  <c r="L78" i="10"/>
  <c r="N78" i="10"/>
  <c r="P78" i="10"/>
  <c r="L79" i="10"/>
  <c r="N79" i="10"/>
  <c r="P79" i="10"/>
  <c r="L80" i="10"/>
  <c r="N80" i="10"/>
  <c r="P80" i="10"/>
  <c r="L81" i="10"/>
  <c r="N81" i="10"/>
  <c r="P81" i="10"/>
  <c r="L82" i="10"/>
  <c r="N82" i="10"/>
  <c r="P82" i="10"/>
  <c r="L83" i="10"/>
  <c r="N83" i="10"/>
  <c r="P83" i="10"/>
  <c r="L84" i="10"/>
  <c r="N84" i="10"/>
  <c r="P84" i="10"/>
  <c r="L85" i="10"/>
  <c r="N85" i="10"/>
  <c r="P85" i="10"/>
  <c r="L86" i="10"/>
  <c r="N86" i="10"/>
  <c r="P86" i="10"/>
  <c r="L87" i="10"/>
  <c r="N87" i="10"/>
  <c r="P87" i="10"/>
  <c r="L88" i="10"/>
  <c r="N88" i="10"/>
  <c r="P88" i="10"/>
  <c r="L89" i="10"/>
  <c r="N89" i="10"/>
  <c r="P89" i="10"/>
  <c r="L90" i="10"/>
  <c r="N90" i="10"/>
  <c r="P90" i="10"/>
  <c r="L91" i="10"/>
  <c r="N91" i="10"/>
  <c r="P91" i="10"/>
  <c r="L92" i="10"/>
  <c r="N92" i="10"/>
  <c r="P92" i="10"/>
  <c r="L93" i="10"/>
  <c r="N93" i="10"/>
  <c r="P93" i="10"/>
  <c r="L94" i="10"/>
  <c r="N94" i="10"/>
  <c r="P94" i="10"/>
  <c r="L95" i="10"/>
  <c r="N95" i="10"/>
  <c r="P95" i="10"/>
  <c r="L96" i="10"/>
  <c r="N96" i="10"/>
  <c r="P96" i="10"/>
  <c r="L97" i="10"/>
  <c r="N97" i="10"/>
  <c r="P97" i="10"/>
  <c r="L98" i="10"/>
  <c r="N98" i="10"/>
  <c r="P98" i="10"/>
  <c r="L99" i="10"/>
  <c r="N99" i="10"/>
  <c r="P99" i="10"/>
  <c r="L100" i="10"/>
  <c r="N100" i="10"/>
  <c r="P100" i="10"/>
  <c r="L101" i="10"/>
  <c r="N101" i="10"/>
  <c r="P101" i="10"/>
  <c r="L102" i="10"/>
  <c r="N102" i="10"/>
  <c r="P102" i="10"/>
  <c r="L103" i="10"/>
  <c r="N103" i="10"/>
  <c r="P103" i="10"/>
  <c r="L104" i="10"/>
  <c r="N104" i="10"/>
  <c r="P104" i="10"/>
  <c r="L105" i="10"/>
  <c r="N105" i="10"/>
  <c r="P105" i="10"/>
  <c r="L106" i="10"/>
  <c r="N106" i="10"/>
  <c r="P106" i="10"/>
  <c r="L107" i="10"/>
  <c r="N107" i="10"/>
  <c r="P107" i="10"/>
  <c r="L108" i="10"/>
  <c r="N108" i="10"/>
  <c r="P108" i="10"/>
  <c r="L109" i="10"/>
  <c r="N109" i="10"/>
  <c r="P109" i="10"/>
  <c r="L110" i="10"/>
  <c r="N110" i="10"/>
  <c r="P110" i="10"/>
  <c r="L111" i="10"/>
  <c r="N111" i="10"/>
  <c r="P111" i="10"/>
  <c r="L112" i="10"/>
  <c r="N112" i="10"/>
  <c r="P112" i="10"/>
  <c r="L113" i="10"/>
  <c r="N113" i="10"/>
  <c r="P113" i="10"/>
  <c r="L114" i="10"/>
  <c r="N114" i="10"/>
  <c r="P114" i="10"/>
  <c r="L115" i="10"/>
  <c r="N115" i="10"/>
  <c r="P115" i="10"/>
  <c r="L116" i="10"/>
  <c r="N116" i="10"/>
  <c r="P116" i="10"/>
  <c r="L117" i="10"/>
  <c r="N117" i="10"/>
  <c r="P117" i="10"/>
  <c r="L118" i="10"/>
  <c r="N118" i="10"/>
  <c r="P118" i="10"/>
  <c r="L119" i="10"/>
  <c r="N119" i="10"/>
  <c r="P119" i="10"/>
  <c r="L120" i="10"/>
  <c r="N120" i="10"/>
  <c r="P120" i="10"/>
  <c r="L121" i="10"/>
  <c r="N121" i="10"/>
  <c r="P121" i="10"/>
  <c r="L122" i="10"/>
  <c r="N122" i="10"/>
  <c r="P122" i="10"/>
  <c r="L123" i="10"/>
  <c r="N123" i="10"/>
  <c r="P123" i="10"/>
  <c r="L124" i="10"/>
  <c r="N124" i="10"/>
  <c r="P124" i="10"/>
  <c r="L125" i="10"/>
  <c r="N125" i="10"/>
  <c r="P125" i="10"/>
  <c r="L126" i="10"/>
  <c r="N126" i="10"/>
  <c r="P126" i="10"/>
  <c r="L127" i="10"/>
  <c r="N127" i="10"/>
  <c r="P127" i="10"/>
  <c r="L128" i="10"/>
  <c r="N128" i="10"/>
  <c r="P128" i="10"/>
  <c r="L129" i="10"/>
  <c r="N129" i="10"/>
  <c r="P129" i="10"/>
  <c r="L130" i="10"/>
  <c r="N130" i="10"/>
  <c r="P130" i="10"/>
  <c r="L131" i="10"/>
  <c r="N131" i="10"/>
  <c r="P131" i="10"/>
  <c r="L132" i="10"/>
  <c r="N132" i="10"/>
  <c r="P132" i="10"/>
  <c r="L133" i="10"/>
  <c r="N133" i="10"/>
  <c r="P133" i="10"/>
  <c r="L134" i="10"/>
  <c r="N134" i="10"/>
  <c r="P134" i="10"/>
  <c r="L135" i="10"/>
  <c r="N135" i="10"/>
  <c r="P135" i="10"/>
  <c r="L136" i="10"/>
  <c r="N136" i="10"/>
  <c r="P136" i="10"/>
  <c r="L137" i="10"/>
  <c r="N137" i="10"/>
  <c r="P137" i="10"/>
  <c r="L138" i="10"/>
  <c r="N138" i="10"/>
  <c r="P138" i="10"/>
  <c r="L139" i="10"/>
  <c r="N139" i="10"/>
  <c r="P139" i="10"/>
  <c r="L140" i="10"/>
  <c r="N140" i="10"/>
  <c r="P140" i="10"/>
  <c r="L141" i="10"/>
  <c r="N141" i="10"/>
  <c r="P141" i="10"/>
  <c r="L142" i="10"/>
  <c r="N142" i="10"/>
  <c r="P142" i="10"/>
  <c r="L143" i="10"/>
  <c r="N143" i="10"/>
  <c r="P143" i="10"/>
  <c r="L144" i="10"/>
  <c r="N144" i="10"/>
  <c r="P144" i="10"/>
  <c r="L145" i="10"/>
  <c r="N145" i="10"/>
  <c r="P145" i="10"/>
  <c r="L146" i="10"/>
  <c r="N146" i="10"/>
  <c r="P146" i="10"/>
  <c r="L147" i="10"/>
  <c r="N147" i="10"/>
  <c r="P147" i="10"/>
  <c r="L148" i="10"/>
  <c r="N148" i="10"/>
  <c r="P148" i="10"/>
  <c r="L149" i="10"/>
  <c r="N149" i="10"/>
  <c r="P149" i="10"/>
  <c r="L150" i="10"/>
  <c r="N150" i="10"/>
  <c r="P150" i="10"/>
  <c r="L151" i="10"/>
  <c r="N151" i="10"/>
  <c r="P151" i="10"/>
  <c r="L152" i="10"/>
  <c r="N152" i="10"/>
  <c r="P152" i="10"/>
  <c r="L153" i="10"/>
  <c r="N153" i="10"/>
  <c r="P153" i="10"/>
  <c r="L154" i="10"/>
  <c r="N154" i="10"/>
  <c r="P154" i="10"/>
  <c r="L155" i="10"/>
  <c r="N155" i="10"/>
  <c r="P155" i="10"/>
  <c r="L156" i="10"/>
  <c r="N156" i="10"/>
  <c r="P156" i="10"/>
  <c r="L157" i="10"/>
  <c r="N157" i="10"/>
  <c r="P157" i="10"/>
  <c r="L158" i="10"/>
  <c r="N158" i="10"/>
  <c r="P158" i="10"/>
  <c r="L159" i="10"/>
  <c r="N159" i="10"/>
  <c r="P159" i="10"/>
  <c r="L160" i="10"/>
  <c r="N160" i="10"/>
  <c r="P160" i="10"/>
  <c r="L161" i="10"/>
  <c r="N161" i="10"/>
  <c r="P161" i="10"/>
  <c r="L162" i="10"/>
  <c r="N162" i="10"/>
  <c r="P162" i="10"/>
  <c r="L163" i="10"/>
  <c r="N163" i="10"/>
  <c r="P163" i="10"/>
  <c r="L164" i="10"/>
  <c r="N164" i="10"/>
  <c r="P164" i="10"/>
  <c r="L165" i="10"/>
  <c r="N165" i="10"/>
  <c r="P165" i="10"/>
  <c r="L166" i="10"/>
  <c r="N166" i="10"/>
  <c r="P166" i="10"/>
  <c r="L167" i="10"/>
  <c r="N167" i="10"/>
  <c r="P167" i="10"/>
  <c r="L168" i="10"/>
  <c r="N168" i="10"/>
  <c r="P168" i="10"/>
  <c r="L169" i="10"/>
  <c r="N169" i="10"/>
  <c r="P169" i="10"/>
  <c r="L170" i="10"/>
  <c r="N170" i="10"/>
  <c r="P170" i="10"/>
  <c r="L171" i="10"/>
  <c r="N171" i="10"/>
  <c r="P171" i="10"/>
  <c r="L172" i="10"/>
  <c r="N172" i="10"/>
  <c r="P172" i="10"/>
  <c r="L173" i="10"/>
  <c r="N173" i="10"/>
  <c r="P173" i="10"/>
  <c r="L174" i="10"/>
  <c r="N174" i="10"/>
  <c r="P174" i="10"/>
  <c r="L175" i="10"/>
  <c r="N175" i="10"/>
  <c r="P175" i="10"/>
  <c r="L176" i="10"/>
  <c r="N176" i="10"/>
  <c r="P176" i="10"/>
  <c r="L177" i="10"/>
  <c r="N177" i="10"/>
  <c r="P177" i="10"/>
  <c r="L178" i="10"/>
  <c r="N178" i="10"/>
  <c r="P178" i="10"/>
  <c r="L179" i="10"/>
  <c r="N179" i="10"/>
  <c r="P179" i="10"/>
  <c r="L180" i="10"/>
  <c r="N180" i="10"/>
  <c r="P180" i="10"/>
  <c r="L181" i="10"/>
  <c r="N181" i="10"/>
  <c r="P181" i="10"/>
  <c r="L182" i="10"/>
  <c r="N182" i="10"/>
  <c r="P182" i="10"/>
  <c r="L183" i="10"/>
  <c r="N183" i="10"/>
  <c r="P183" i="10"/>
  <c r="L184" i="10"/>
  <c r="N184" i="10"/>
  <c r="P184" i="10"/>
  <c r="L185" i="10"/>
  <c r="N185" i="10"/>
  <c r="P185" i="10"/>
  <c r="L186" i="10"/>
  <c r="N186" i="10"/>
  <c r="P186" i="10"/>
  <c r="L187" i="10"/>
  <c r="N187" i="10"/>
  <c r="P187" i="10"/>
  <c r="L188" i="10"/>
  <c r="N188" i="10"/>
  <c r="P188" i="10"/>
  <c r="L189" i="10"/>
  <c r="N189" i="10"/>
  <c r="P189" i="10"/>
  <c r="L190" i="10"/>
  <c r="N190" i="10"/>
  <c r="P190" i="10"/>
  <c r="L191" i="10"/>
  <c r="N191" i="10"/>
  <c r="P191" i="10"/>
  <c r="L192" i="10"/>
  <c r="N192" i="10"/>
  <c r="P192" i="10"/>
  <c r="L193" i="10"/>
  <c r="N193" i="10"/>
  <c r="P193" i="10"/>
  <c r="L194" i="10"/>
  <c r="N194" i="10"/>
  <c r="P194" i="10"/>
  <c r="L195" i="10"/>
  <c r="N195" i="10"/>
  <c r="P195" i="10"/>
  <c r="L196" i="10"/>
  <c r="N196" i="10"/>
  <c r="P196" i="10"/>
  <c r="L197" i="10"/>
  <c r="N197" i="10"/>
  <c r="P197" i="10"/>
  <c r="L198" i="10"/>
  <c r="N198" i="10"/>
  <c r="P198" i="10"/>
  <c r="L199" i="10"/>
  <c r="N199" i="10"/>
  <c r="P199" i="10"/>
  <c r="L200" i="10"/>
  <c r="N200" i="10"/>
  <c r="P200" i="10"/>
  <c r="L201" i="10"/>
  <c r="N201" i="10"/>
  <c r="P201" i="10"/>
  <c r="L202" i="10"/>
  <c r="N202" i="10"/>
  <c r="P202" i="10"/>
  <c r="L203" i="10"/>
  <c r="N203" i="10"/>
  <c r="P203" i="10"/>
  <c r="L204" i="10"/>
  <c r="N204" i="10"/>
  <c r="P204" i="10"/>
  <c r="L205" i="10"/>
  <c r="N205" i="10"/>
  <c r="P205" i="10"/>
  <c r="L206" i="10"/>
  <c r="N206" i="10"/>
  <c r="P206" i="10"/>
  <c r="L207" i="10"/>
  <c r="N207" i="10"/>
  <c r="P207" i="10"/>
  <c r="L208" i="10"/>
  <c r="N208" i="10"/>
  <c r="P208" i="10"/>
  <c r="L209" i="10"/>
  <c r="N209" i="10"/>
  <c r="P209" i="10"/>
  <c r="L210" i="10"/>
  <c r="N210" i="10"/>
  <c r="P210" i="10"/>
  <c r="L211" i="10"/>
  <c r="N211" i="10"/>
  <c r="P211" i="10"/>
  <c r="L212" i="10"/>
  <c r="N212" i="10"/>
  <c r="P212" i="10"/>
  <c r="L213" i="10"/>
  <c r="N213" i="10"/>
  <c r="P213" i="10"/>
  <c r="L214" i="10"/>
  <c r="N214" i="10"/>
  <c r="P214" i="10"/>
  <c r="L215" i="10"/>
  <c r="N215" i="10"/>
  <c r="P215" i="10"/>
  <c r="L216" i="10"/>
  <c r="N216" i="10"/>
  <c r="P216" i="10"/>
  <c r="L217" i="10"/>
  <c r="N217" i="10"/>
  <c r="P217" i="10"/>
  <c r="L218" i="10"/>
  <c r="N218" i="10"/>
  <c r="P218" i="10"/>
  <c r="L219" i="10"/>
  <c r="N219" i="10"/>
  <c r="P219" i="10"/>
  <c r="L220" i="10"/>
  <c r="N220" i="10"/>
  <c r="P220" i="10"/>
  <c r="L221" i="10"/>
  <c r="N221" i="10"/>
  <c r="P221" i="10"/>
  <c r="L222" i="10"/>
  <c r="N222" i="10"/>
  <c r="P222" i="10"/>
  <c r="L223" i="10"/>
  <c r="N223" i="10"/>
  <c r="P223" i="10"/>
  <c r="L224" i="10"/>
  <c r="N224" i="10"/>
  <c r="P224" i="10"/>
  <c r="L225" i="10"/>
  <c r="N225" i="10"/>
  <c r="P225" i="10"/>
  <c r="L226" i="10"/>
  <c r="N226" i="10"/>
  <c r="P226" i="10"/>
  <c r="L227" i="10"/>
  <c r="N227" i="10"/>
  <c r="P227" i="10"/>
  <c r="L228" i="10"/>
  <c r="N228" i="10"/>
  <c r="P228" i="10"/>
  <c r="L229" i="10"/>
  <c r="N229" i="10"/>
  <c r="P229" i="10"/>
  <c r="L230" i="10"/>
  <c r="N230" i="10"/>
  <c r="P230" i="10"/>
  <c r="L231" i="10"/>
  <c r="N231" i="10"/>
  <c r="P231" i="10"/>
  <c r="L232" i="10"/>
  <c r="N232" i="10"/>
  <c r="P232" i="10"/>
  <c r="L233" i="10"/>
  <c r="N233" i="10"/>
  <c r="P233" i="10"/>
  <c r="L234" i="10"/>
  <c r="N234" i="10"/>
  <c r="P234" i="10"/>
  <c r="L235" i="10"/>
  <c r="N235" i="10"/>
  <c r="P235" i="10"/>
  <c r="L236" i="10"/>
  <c r="N236" i="10"/>
  <c r="P236" i="10"/>
  <c r="L237" i="10"/>
  <c r="N237" i="10"/>
  <c r="P237" i="10"/>
  <c r="L238" i="10"/>
  <c r="N238" i="10"/>
  <c r="P238" i="10"/>
  <c r="L239" i="10"/>
  <c r="N239" i="10"/>
  <c r="P239" i="10"/>
  <c r="L240" i="10"/>
  <c r="N240" i="10"/>
  <c r="P240" i="10"/>
  <c r="L241" i="10"/>
  <c r="N241" i="10"/>
  <c r="P241" i="10"/>
  <c r="L242" i="10"/>
  <c r="N242" i="10"/>
  <c r="P242" i="10"/>
  <c r="L243" i="10"/>
  <c r="N243" i="10"/>
  <c r="P243" i="10"/>
  <c r="L244" i="10"/>
  <c r="N244" i="10"/>
  <c r="P244" i="10"/>
  <c r="L245" i="10"/>
  <c r="N245" i="10"/>
  <c r="P245" i="10"/>
  <c r="L246" i="10"/>
  <c r="N246" i="10"/>
  <c r="P246" i="10"/>
  <c r="L247" i="10"/>
  <c r="N247" i="10"/>
  <c r="P247" i="10"/>
  <c r="L248" i="10"/>
  <c r="N248" i="10"/>
  <c r="P248" i="10"/>
  <c r="L249" i="10"/>
  <c r="N249" i="10"/>
  <c r="P249" i="10"/>
  <c r="L250" i="10"/>
  <c r="N250" i="10"/>
  <c r="P250" i="10"/>
  <c r="L251" i="10"/>
  <c r="N251" i="10"/>
  <c r="P251" i="10"/>
  <c r="L252" i="10"/>
  <c r="N252" i="10"/>
  <c r="P252" i="10"/>
  <c r="L253" i="10"/>
  <c r="N253" i="10"/>
  <c r="P253" i="10"/>
  <c r="L254" i="10"/>
  <c r="N254" i="10"/>
  <c r="P254" i="10"/>
  <c r="L255" i="10"/>
  <c r="N255" i="10"/>
  <c r="P255" i="10"/>
  <c r="L256" i="10"/>
  <c r="N256" i="10"/>
  <c r="P256" i="10"/>
  <c r="L257" i="10"/>
  <c r="N257" i="10"/>
  <c r="P257" i="10"/>
  <c r="L258" i="10"/>
  <c r="N258" i="10"/>
  <c r="P258" i="10"/>
  <c r="L259" i="10"/>
  <c r="N259" i="10"/>
  <c r="P259" i="10"/>
  <c r="L260" i="10"/>
  <c r="N260" i="10"/>
  <c r="P260" i="10"/>
  <c r="L261" i="10"/>
  <c r="N261" i="10"/>
  <c r="P261" i="10"/>
  <c r="L262" i="10"/>
  <c r="N262" i="10"/>
  <c r="P262" i="10"/>
  <c r="L263" i="10"/>
  <c r="N263" i="10"/>
  <c r="P263" i="10"/>
  <c r="L264" i="10"/>
  <c r="N264" i="10"/>
  <c r="P264" i="10"/>
  <c r="L265" i="10"/>
  <c r="N265" i="10"/>
  <c r="P265" i="10"/>
  <c r="L266" i="10"/>
  <c r="N266" i="10"/>
  <c r="P266" i="10"/>
  <c r="L267" i="10"/>
  <c r="N267" i="10"/>
  <c r="P267" i="10"/>
  <c r="L268" i="10"/>
  <c r="N268" i="10"/>
  <c r="P268" i="10"/>
  <c r="L269" i="10"/>
  <c r="N269" i="10"/>
  <c r="P269" i="10"/>
  <c r="L270" i="10"/>
  <c r="N270" i="10"/>
  <c r="P270" i="10"/>
  <c r="L271" i="10"/>
  <c r="N271" i="10"/>
  <c r="P271" i="10"/>
  <c r="L272" i="10"/>
  <c r="N272" i="10"/>
  <c r="P272" i="10"/>
  <c r="L273" i="10"/>
  <c r="N273" i="10"/>
  <c r="P273" i="10"/>
  <c r="L274" i="10"/>
  <c r="N274" i="10"/>
  <c r="P274" i="10"/>
  <c r="L275" i="10"/>
  <c r="N275" i="10"/>
  <c r="P275" i="10"/>
  <c r="L276" i="10"/>
  <c r="N276" i="10"/>
  <c r="P276" i="10"/>
  <c r="L277" i="10"/>
  <c r="N277" i="10"/>
  <c r="P277" i="10"/>
  <c r="L278" i="10"/>
  <c r="N278" i="10"/>
  <c r="P278" i="10"/>
  <c r="L279" i="10"/>
  <c r="N279" i="10"/>
  <c r="P279" i="10"/>
  <c r="L280" i="10"/>
  <c r="N280" i="10"/>
  <c r="P280" i="10"/>
  <c r="L281" i="10"/>
  <c r="N281" i="10"/>
  <c r="P281" i="10"/>
  <c r="L282" i="10"/>
  <c r="N282" i="10"/>
  <c r="P282" i="10"/>
  <c r="L283" i="10"/>
  <c r="N283" i="10"/>
  <c r="P283" i="10"/>
  <c r="L284" i="10"/>
  <c r="N284" i="10"/>
  <c r="P284" i="10"/>
  <c r="L285" i="10"/>
  <c r="N285" i="10"/>
  <c r="P285" i="10"/>
  <c r="L286" i="10"/>
  <c r="N286" i="10"/>
  <c r="P286" i="10"/>
  <c r="L287" i="10"/>
  <c r="N287" i="10"/>
  <c r="P287" i="10"/>
  <c r="L288" i="10"/>
  <c r="N288" i="10"/>
  <c r="P288" i="10"/>
  <c r="L289" i="10"/>
  <c r="N289" i="10"/>
  <c r="P289" i="10"/>
  <c r="L290" i="10"/>
  <c r="N290" i="10"/>
  <c r="P290" i="10"/>
  <c r="L291" i="10"/>
  <c r="N291" i="10"/>
  <c r="P291" i="10"/>
  <c r="L292" i="10"/>
  <c r="N292" i="10"/>
  <c r="P292" i="10"/>
  <c r="L293" i="10"/>
  <c r="N293" i="10"/>
  <c r="P293" i="10"/>
  <c r="L294" i="10"/>
  <c r="N294" i="10"/>
  <c r="P294" i="10"/>
  <c r="L295" i="10"/>
  <c r="N295" i="10"/>
  <c r="P295" i="10"/>
  <c r="L296" i="10"/>
  <c r="N296" i="10"/>
  <c r="P296" i="10"/>
  <c r="L297" i="10"/>
  <c r="N297" i="10"/>
  <c r="P297" i="10"/>
  <c r="L298" i="10"/>
  <c r="N298" i="10"/>
  <c r="P298" i="10"/>
  <c r="L299" i="10"/>
  <c r="N299" i="10"/>
  <c r="P299" i="10"/>
  <c r="L300" i="10"/>
  <c r="N300" i="10"/>
  <c r="P300" i="10"/>
  <c r="L301" i="10"/>
  <c r="N301" i="10"/>
  <c r="P301" i="10"/>
  <c r="L302" i="10"/>
  <c r="N302" i="10"/>
  <c r="P302" i="10"/>
  <c r="L303" i="10"/>
  <c r="N303" i="10"/>
  <c r="P303" i="10"/>
  <c r="L304" i="10"/>
  <c r="N304" i="10"/>
  <c r="P304" i="10"/>
  <c r="L305" i="10"/>
  <c r="N305" i="10"/>
  <c r="P305" i="10"/>
  <c r="L306" i="10"/>
  <c r="N306" i="10"/>
  <c r="P306" i="10"/>
  <c r="L307" i="10"/>
  <c r="N307" i="10"/>
  <c r="P307" i="10"/>
  <c r="L308" i="10"/>
  <c r="N308" i="10"/>
  <c r="P308" i="10"/>
  <c r="L309" i="10"/>
  <c r="N309" i="10"/>
  <c r="P309" i="10"/>
  <c r="L310" i="10"/>
  <c r="N310" i="10"/>
  <c r="P310" i="10"/>
  <c r="L311" i="10"/>
  <c r="N311" i="10"/>
  <c r="P311" i="10"/>
  <c r="L312" i="10"/>
  <c r="N312" i="10"/>
  <c r="P312" i="10"/>
  <c r="L313" i="10"/>
  <c r="N313" i="10"/>
  <c r="P313" i="10"/>
  <c r="L314" i="10"/>
  <c r="N314" i="10"/>
  <c r="P314" i="10"/>
  <c r="L315" i="10"/>
  <c r="N315" i="10"/>
  <c r="P315" i="10"/>
  <c r="L316" i="10"/>
  <c r="N316" i="10"/>
  <c r="P316" i="10"/>
  <c r="L317" i="10"/>
  <c r="N317" i="10"/>
  <c r="P317" i="10"/>
  <c r="L318" i="10"/>
  <c r="N318" i="10"/>
  <c r="P318" i="10"/>
  <c r="L319" i="10"/>
  <c r="N319" i="10"/>
  <c r="P319" i="10"/>
  <c r="L320" i="10"/>
  <c r="N320" i="10"/>
  <c r="P320" i="10"/>
  <c r="L321" i="10"/>
  <c r="N321" i="10"/>
  <c r="P321" i="10"/>
  <c r="L322" i="10"/>
  <c r="N322" i="10"/>
  <c r="P322" i="10"/>
  <c r="L323" i="10"/>
  <c r="N323" i="10"/>
  <c r="P323" i="10"/>
  <c r="L324" i="10"/>
  <c r="N324" i="10"/>
  <c r="P324" i="10"/>
  <c r="L325" i="10"/>
  <c r="N325" i="10"/>
  <c r="P325" i="10"/>
  <c r="L326" i="10"/>
  <c r="N326" i="10"/>
  <c r="P326" i="10"/>
  <c r="L327" i="10"/>
  <c r="N327" i="10"/>
  <c r="P327" i="10"/>
  <c r="L328" i="10"/>
  <c r="N328" i="10"/>
  <c r="P328" i="10"/>
  <c r="L329" i="10"/>
  <c r="N329" i="10"/>
  <c r="P329" i="10"/>
  <c r="L330" i="10"/>
  <c r="N330" i="10"/>
  <c r="P330" i="10"/>
  <c r="L331" i="10"/>
  <c r="N331" i="10"/>
  <c r="P331" i="10"/>
  <c r="L332" i="10"/>
  <c r="N332" i="10"/>
  <c r="P332" i="10"/>
  <c r="L333" i="10"/>
  <c r="N333" i="10"/>
  <c r="P333" i="10"/>
  <c r="L334" i="10"/>
  <c r="N334" i="10"/>
  <c r="P334" i="10"/>
  <c r="L335" i="10"/>
  <c r="N335" i="10"/>
  <c r="P335" i="10"/>
  <c r="L336" i="10"/>
  <c r="N336" i="10"/>
  <c r="P336" i="10"/>
  <c r="L337" i="10"/>
  <c r="N337" i="10"/>
  <c r="P337" i="10"/>
  <c r="L338" i="10"/>
  <c r="N338" i="10"/>
  <c r="P338" i="10"/>
  <c r="L339" i="10"/>
  <c r="N339" i="10"/>
  <c r="P339" i="10"/>
  <c r="L340" i="10"/>
  <c r="N340" i="10"/>
  <c r="P340" i="10"/>
  <c r="L341" i="10"/>
  <c r="N341" i="10"/>
  <c r="P341" i="10"/>
  <c r="L342" i="10"/>
  <c r="N342" i="10"/>
  <c r="P342" i="10"/>
  <c r="L343" i="10"/>
  <c r="N343" i="10"/>
  <c r="P343" i="10"/>
  <c r="L344" i="10"/>
  <c r="N344" i="10"/>
  <c r="P344" i="10"/>
  <c r="L345" i="10"/>
  <c r="N345" i="10"/>
  <c r="P345" i="10"/>
  <c r="L346" i="10"/>
  <c r="N346" i="10"/>
  <c r="P346" i="10"/>
  <c r="L347" i="10"/>
  <c r="N347" i="10"/>
  <c r="P347" i="10"/>
  <c r="L348" i="10"/>
  <c r="N348" i="10"/>
  <c r="P348" i="10"/>
  <c r="L349" i="10"/>
  <c r="N349" i="10"/>
  <c r="P349" i="10"/>
  <c r="L350" i="10"/>
  <c r="N350" i="10"/>
  <c r="P350" i="10"/>
  <c r="L351" i="10"/>
  <c r="N351" i="10"/>
  <c r="P351" i="10"/>
  <c r="L352" i="10"/>
  <c r="N352" i="10"/>
  <c r="P352" i="10"/>
  <c r="L353" i="10"/>
  <c r="N353" i="10"/>
  <c r="P353" i="10"/>
  <c r="L354" i="10"/>
  <c r="N354" i="10"/>
  <c r="P354" i="10"/>
  <c r="L355" i="10"/>
  <c r="N355" i="10"/>
  <c r="P355" i="10"/>
  <c r="L356" i="10"/>
  <c r="N356" i="10"/>
  <c r="P356" i="10"/>
  <c r="L357" i="10"/>
  <c r="N357" i="10"/>
  <c r="P357" i="10"/>
  <c r="L358" i="10"/>
  <c r="N358" i="10"/>
  <c r="P358" i="10"/>
  <c r="L359" i="10"/>
  <c r="N359" i="10"/>
  <c r="P359" i="10"/>
  <c r="L360" i="10"/>
  <c r="N360" i="10"/>
  <c r="P360" i="10"/>
  <c r="L361" i="10"/>
  <c r="N361" i="10"/>
  <c r="P361" i="10"/>
  <c r="L362" i="10"/>
  <c r="N362" i="10"/>
  <c r="P362" i="10"/>
  <c r="L363" i="10"/>
  <c r="N363" i="10"/>
  <c r="P363" i="10"/>
  <c r="L364" i="10"/>
  <c r="N364" i="10"/>
  <c r="P364" i="10"/>
  <c r="L365" i="10"/>
  <c r="N365" i="10"/>
  <c r="P365" i="10"/>
  <c r="L366" i="10"/>
  <c r="N366" i="10"/>
  <c r="P366" i="10"/>
  <c r="L367" i="10"/>
  <c r="N367" i="10"/>
  <c r="P367" i="10"/>
  <c r="L368" i="10"/>
  <c r="N368" i="10"/>
  <c r="P368" i="10"/>
  <c r="L369" i="10"/>
  <c r="N369" i="10"/>
  <c r="P369" i="10"/>
  <c r="L370" i="10"/>
  <c r="N370" i="10"/>
  <c r="P370" i="10"/>
  <c r="L371" i="10"/>
  <c r="N371" i="10"/>
  <c r="P371" i="10"/>
  <c r="L372" i="10"/>
  <c r="N372" i="10"/>
  <c r="P372" i="10"/>
  <c r="L373" i="10"/>
  <c r="N373" i="10"/>
  <c r="P373" i="10"/>
  <c r="L374" i="10"/>
  <c r="N374" i="10"/>
  <c r="P374" i="10"/>
  <c r="L375" i="10"/>
  <c r="N375" i="10"/>
  <c r="P375" i="10"/>
  <c r="L376" i="10"/>
  <c r="N376" i="10"/>
  <c r="P376" i="10"/>
  <c r="L377" i="10"/>
  <c r="N377" i="10"/>
  <c r="P377" i="10"/>
  <c r="L378" i="10"/>
  <c r="N378" i="10"/>
  <c r="P378" i="10"/>
  <c r="L379" i="10"/>
  <c r="N379" i="10"/>
  <c r="P379" i="10"/>
  <c r="L380" i="10"/>
  <c r="N380" i="10"/>
  <c r="P380" i="10"/>
  <c r="L381" i="10"/>
  <c r="N381" i="10"/>
  <c r="P381" i="10"/>
  <c r="L382" i="10"/>
  <c r="N382" i="10"/>
  <c r="P382" i="10"/>
  <c r="L383" i="10"/>
  <c r="N383" i="10"/>
  <c r="P383" i="10"/>
  <c r="L384" i="10"/>
  <c r="N384" i="10"/>
  <c r="P384" i="10"/>
  <c r="L385" i="10"/>
  <c r="N385" i="10"/>
  <c r="P385" i="10"/>
  <c r="L386" i="10"/>
  <c r="N386" i="10"/>
  <c r="P386" i="10"/>
  <c r="L387" i="10"/>
  <c r="N387" i="10"/>
  <c r="P387" i="10"/>
  <c r="L388" i="10"/>
  <c r="N388" i="10"/>
  <c r="P388" i="10"/>
  <c r="L389" i="10"/>
  <c r="N389" i="10"/>
  <c r="P389" i="10"/>
  <c r="L390" i="10"/>
  <c r="N390" i="10"/>
  <c r="P390" i="10"/>
  <c r="L391" i="10"/>
  <c r="N391" i="10"/>
  <c r="P391" i="10"/>
  <c r="L392" i="10"/>
  <c r="N392" i="10"/>
  <c r="P392" i="10"/>
  <c r="L393" i="10"/>
  <c r="N393" i="10"/>
  <c r="P393" i="10"/>
  <c r="L394" i="10"/>
  <c r="N394" i="10"/>
  <c r="P394" i="10"/>
  <c r="L395" i="10"/>
  <c r="N395" i="10"/>
  <c r="P395" i="10"/>
  <c r="L396" i="10"/>
  <c r="N396" i="10"/>
  <c r="P396" i="10"/>
  <c r="L397" i="10"/>
  <c r="N397" i="10"/>
  <c r="P397" i="10"/>
  <c r="S397" i="10"/>
  <c r="L398" i="10"/>
  <c r="N398" i="10"/>
  <c r="P398" i="10"/>
  <c r="L399" i="10"/>
  <c r="N399" i="10"/>
  <c r="P399" i="10"/>
  <c r="L400" i="10"/>
  <c r="N400" i="10"/>
  <c r="P400" i="10"/>
  <c r="L401" i="10"/>
  <c r="N401" i="10"/>
  <c r="P401" i="10"/>
  <c r="L402" i="10"/>
  <c r="N402" i="10"/>
  <c r="P402" i="10"/>
  <c r="L403" i="10"/>
  <c r="N403" i="10"/>
  <c r="P403" i="10"/>
  <c r="L404" i="10"/>
  <c r="N404" i="10"/>
  <c r="P404" i="10"/>
  <c r="L405" i="10"/>
  <c r="N405" i="10"/>
  <c r="P405" i="10"/>
  <c r="L406" i="10"/>
  <c r="N406" i="10"/>
  <c r="P406" i="10"/>
  <c r="L407" i="10"/>
  <c r="N407" i="10"/>
  <c r="P407" i="10"/>
  <c r="L408" i="10"/>
  <c r="N408" i="10"/>
  <c r="P408" i="10"/>
  <c r="L409" i="10"/>
  <c r="N409" i="10"/>
  <c r="P409" i="10"/>
  <c r="L410" i="10"/>
  <c r="N410" i="10"/>
  <c r="P410" i="10"/>
  <c r="L411" i="10"/>
  <c r="N411" i="10"/>
  <c r="P411" i="10"/>
  <c r="L412" i="10"/>
  <c r="N412" i="10"/>
  <c r="P412" i="10"/>
  <c r="L413" i="10"/>
  <c r="N413" i="10"/>
  <c r="P413" i="10"/>
  <c r="L414" i="10"/>
  <c r="N414" i="10"/>
  <c r="P414" i="10"/>
  <c r="L415" i="10"/>
  <c r="N415" i="10"/>
  <c r="P415" i="10"/>
  <c r="L416" i="10"/>
  <c r="N416" i="10"/>
  <c r="P416" i="10"/>
  <c r="L417" i="10"/>
  <c r="N417" i="10"/>
  <c r="P417" i="10"/>
  <c r="L418" i="10"/>
  <c r="N418" i="10"/>
  <c r="P418" i="10"/>
  <c r="L419" i="10"/>
  <c r="N419" i="10"/>
  <c r="P419" i="10"/>
  <c r="L420" i="10"/>
  <c r="N420" i="10"/>
  <c r="P420" i="10"/>
  <c r="L421" i="10"/>
  <c r="N421" i="10"/>
  <c r="P421" i="10"/>
  <c r="L422" i="10"/>
  <c r="N422" i="10"/>
  <c r="P422" i="10"/>
  <c r="L423" i="10"/>
  <c r="N423" i="10"/>
  <c r="P423" i="10"/>
  <c r="L424" i="10"/>
  <c r="N424" i="10"/>
  <c r="P424" i="10"/>
  <c r="L425" i="10"/>
  <c r="N425" i="10"/>
  <c r="P425" i="10"/>
  <c r="L426" i="10"/>
  <c r="N426" i="10"/>
  <c r="P426" i="10"/>
  <c r="L427" i="10"/>
  <c r="N427" i="10"/>
  <c r="P427" i="10"/>
  <c r="L428" i="10"/>
  <c r="N428" i="10"/>
  <c r="P428" i="10"/>
  <c r="L429" i="10"/>
  <c r="N429" i="10"/>
  <c r="P429" i="10"/>
  <c r="L430" i="10"/>
  <c r="N430" i="10"/>
  <c r="P430" i="10"/>
  <c r="L431" i="10"/>
  <c r="N431" i="10"/>
  <c r="P431" i="10"/>
  <c r="L432" i="10"/>
  <c r="N432" i="10"/>
  <c r="P432" i="10"/>
  <c r="L433" i="10"/>
  <c r="N433" i="10"/>
  <c r="P433" i="10"/>
  <c r="L434" i="10"/>
  <c r="N434" i="10"/>
  <c r="P434" i="10"/>
  <c r="L435" i="10"/>
  <c r="N435" i="10"/>
  <c r="P435" i="10"/>
  <c r="L436" i="10"/>
  <c r="N436" i="10"/>
  <c r="P436" i="10"/>
  <c r="L437" i="10"/>
  <c r="N437" i="10"/>
  <c r="P437" i="10"/>
  <c r="L438" i="10"/>
  <c r="N438" i="10"/>
  <c r="P438" i="10"/>
  <c r="L439" i="10"/>
  <c r="N439" i="10"/>
  <c r="P439" i="10"/>
  <c r="L440" i="10"/>
  <c r="N440" i="10"/>
  <c r="P440" i="10"/>
  <c r="L441" i="10"/>
  <c r="N441" i="10"/>
  <c r="P441" i="10"/>
  <c r="L442" i="10"/>
  <c r="N442" i="10"/>
  <c r="P442" i="10"/>
  <c r="L443" i="10"/>
  <c r="N443" i="10"/>
  <c r="P443" i="10"/>
  <c r="L444" i="10"/>
  <c r="N444" i="10"/>
  <c r="P444" i="10"/>
  <c r="L445" i="10"/>
  <c r="N445" i="10"/>
  <c r="P445" i="10"/>
  <c r="L446" i="10"/>
  <c r="N446" i="10"/>
  <c r="P446" i="10"/>
  <c r="L447" i="10"/>
  <c r="N447" i="10"/>
  <c r="P447" i="10"/>
  <c r="L448" i="10"/>
  <c r="N448" i="10"/>
  <c r="P448" i="10"/>
  <c r="L449" i="10"/>
  <c r="N449" i="10"/>
  <c r="P449" i="10"/>
  <c r="L450" i="10"/>
  <c r="N450" i="10"/>
  <c r="P450" i="10"/>
  <c r="L451" i="10"/>
  <c r="N451" i="10"/>
  <c r="P451" i="10"/>
  <c r="L452" i="10"/>
  <c r="N452" i="10"/>
  <c r="P452" i="10"/>
  <c r="L453" i="10"/>
  <c r="N453" i="10"/>
  <c r="P453" i="10"/>
  <c r="L454" i="10"/>
  <c r="N454" i="10"/>
  <c r="P454" i="10"/>
  <c r="L455" i="10"/>
  <c r="N455" i="10"/>
  <c r="P455" i="10"/>
  <c r="L456" i="10"/>
  <c r="N456" i="10"/>
  <c r="P456" i="10"/>
  <c r="L457" i="10"/>
  <c r="N457" i="10"/>
  <c r="P457" i="10"/>
  <c r="L458" i="10"/>
  <c r="N458" i="10"/>
  <c r="P458" i="10"/>
  <c r="L459" i="10"/>
  <c r="N459" i="10"/>
  <c r="P459" i="10"/>
  <c r="L460" i="10"/>
  <c r="N460" i="10"/>
  <c r="P460" i="10"/>
  <c r="L461" i="10"/>
  <c r="N461" i="10"/>
  <c r="P461" i="10"/>
  <c r="L462" i="10"/>
  <c r="N462" i="10"/>
  <c r="P462" i="10"/>
  <c r="L463" i="10"/>
  <c r="N463" i="10"/>
  <c r="P463" i="10"/>
  <c r="L464" i="10"/>
  <c r="N464" i="10"/>
  <c r="P464" i="10"/>
  <c r="L465" i="10"/>
  <c r="N465" i="10"/>
  <c r="P465" i="10"/>
  <c r="L466" i="10"/>
  <c r="N466" i="10"/>
  <c r="P466" i="10"/>
  <c r="L467" i="10"/>
  <c r="N467" i="10"/>
  <c r="P467" i="10"/>
  <c r="L468" i="10"/>
  <c r="N468" i="10"/>
  <c r="P468" i="10"/>
  <c r="L469" i="10"/>
  <c r="N469" i="10"/>
  <c r="P469" i="10"/>
  <c r="L470" i="10"/>
  <c r="N470" i="10"/>
  <c r="P470" i="10"/>
  <c r="L471" i="10"/>
  <c r="N471" i="10"/>
  <c r="P471" i="10"/>
  <c r="L472" i="10"/>
  <c r="N472" i="10"/>
  <c r="P472" i="10"/>
  <c r="L473" i="10"/>
  <c r="N473" i="10"/>
  <c r="P473" i="10"/>
  <c r="L474" i="10"/>
  <c r="N474" i="10"/>
  <c r="P474" i="10"/>
  <c r="L475" i="10"/>
  <c r="N475" i="10"/>
  <c r="P475" i="10"/>
  <c r="L476" i="10"/>
  <c r="N476" i="10"/>
  <c r="P476" i="10"/>
  <c r="L477" i="10"/>
  <c r="N477" i="10"/>
  <c r="P477" i="10"/>
  <c r="L478" i="10"/>
  <c r="N478" i="10"/>
  <c r="P478" i="10"/>
  <c r="L479" i="10"/>
  <c r="N479" i="10"/>
  <c r="P479" i="10"/>
  <c r="L480" i="10"/>
  <c r="N480" i="10"/>
  <c r="P480" i="10"/>
  <c r="L481" i="10"/>
  <c r="N481" i="10"/>
  <c r="P481" i="10"/>
  <c r="L482" i="10"/>
  <c r="N482" i="10"/>
  <c r="P482" i="10"/>
  <c r="L483" i="10"/>
  <c r="N483" i="10"/>
  <c r="P483" i="10"/>
  <c r="L484" i="10"/>
  <c r="N484" i="10"/>
  <c r="P484" i="10"/>
  <c r="L485" i="10"/>
  <c r="N485" i="10"/>
  <c r="P485" i="10"/>
  <c r="L486" i="10"/>
  <c r="N486" i="10"/>
  <c r="P486" i="10"/>
  <c r="L487" i="10"/>
  <c r="N487" i="10"/>
  <c r="P487" i="10"/>
  <c r="L488" i="10"/>
  <c r="N488" i="10"/>
  <c r="P488" i="10"/>
  <c r="L489" i="10"/>
  <c r="N489" i="10"/>
  <c r="P489" i="10"/>
  <c r="L490" i="10"/>
  <c r="N490" i="10"/>
  <c r="P490" i="10"/>
  <c r="L491" i="10"/>
  <c r="N491" i="10"/>
  <c r="P491" i="10"/>
  <c r="L492" i="10"/>
  <c r="N492" i="10"/>
  <c r="P492" i="10"/>
  <c r="L493" i="10"/>
  <c r="N493" i="10"/>
  <c r="P493" i="10"/>
  <c r="L494" i="10"/>
  <c r="N494" i="10"/>
  <c r="P494" i="10"/>
  <c r="L495" i="10"/>
  <c r="N495" i="10"/>
  <c r="P495" i="10"/>
  <c r="L496" i="10"/>
  <c r="N496" i="10"/>
  <c r="P496" i="10"/>
  <c r="L497" i="10"/>
  <c r="N497" i="10"/>
  <c r="P497" i="10"/>
  <c r="L498" i="10"/>
  <c r="N498" i="10"/>
  <c r="P498" i="10"/>
  <c r="L499" i="10"/>
  <c r="N499" i="10"/>
  <c r="P499" i="10"/>
  <c r="L500" i="10"/>
  <c r="N500" i="10"/>
  <c r="P500" i="10"/>
  <c r="L501" i="10"/>
  <c r="N501" i="10"/>
  <c r="P501" i="10"/>
  <c r="L502" i="10"/>
  <c r="N502" i="10"/>
  <c r="P502" i="10"/>
  <c r="L503" i="10"/>
  <c r="N503" i="10"/>
  <c r="P503" i="10"/>
  <c r="L504" i="10"/>
  <c r="N504" i="10"/>
  <c r="P504" i="10"/>
  <c r="L505" i="10"/>
  <c r="N505" i="10"/>
  <c r="P505" i="10"/>
  <c r="L506" i="10"/>
  <c r="N506" i="10"/>
  <c r="P506" i="10"/>
  <c r="L507" i="10"/>
  <c r="N507" i="10"/>
  <c r="P507" i="10"/>
  <c r="L508" i="10"/>
  <c r="N508" i="10"/>
  <c r="P508" i="10"/>
  <c r="L509" i="10"/>
  <c r="N509" i="10"/>
  <c r="P509" i="10"/>
  <c r="L510" i="10"/>
  <c r="N510" i="10"/>
  <c r="P510" i="10"/>
  <c r="L511" i="10"/>
  <c r="N511" i="10"/>
  <c r="P511" i="10"/>
  <c r="L512" i="10"/>
  <c r="N512" i="10"/>
  <c r="P512" i="10"/>
  <c r="L513" i="10"/>
  <c r="N513" i="10"/>
  <c r="P513" i="10"/>
  <c r="L514" i="10"/>
  <c r="N514" i="10"/>
  <c r="P514" i="10"/>
  <c r="L515" i="10"/>
  <c r="N515" i="10"/>
  <c r="P515" i="10"/>
  <c r="L516" i="10"/>
  <c r="N516" i="10"/>
  <c r="P516" i="10"/>
  <c r="L517" i="10"/>
  <c r="N517" i="10"/>
  <c r="P517" i="10"/>
  <c r="L518" i="10"/>
  <c r="N518" i="10"/>
  <c r="P518" i="10"/>
  <c r="L519" i="10"/>
  <c r="N519" i="10"/>
  <c r="P519" i="10"/>
  <c r="L520" i="10"/>
  <c r="N520" i="10"/>
  <c r="P520" i="10"/>
  <c r="L521" i="10"/>
  <c r="N521" i="10"/>
  <c r="P521" i="10"/>
  <c r="L522" i="10"/>
  <c r="N522" i="10"/>
  <c r="P522" i="10"/>
  <c r="L523" i="10"/>
  <c r="N523" i="10"/>
  <c r="P523" i="10"/>
  <c r="L524" i="10"/>
  <c r="N524" i="10"/>
  <c r="P524" i="10"/>
  <c r="L525" i="10"/>
  <c r="N525" i="10"/>
  <c r="P525" i="10"/>
  <c r="L526" i="10"/>
  <c r="N526" i="10"/>
  <c r="P526" i="10"/>
  <c r="L527" i="10"/>
  <c r="N527" i="10"/>
  <c r="P527" i="10"/>
  <c r="L528" i="10"/>
  <c r="N528" i="10"/>
  <c r="P528" i="10"/>
  <c r="L529" i="10"/>
  <c r="N529" i="10"/>
  <c r="P529" i="10"/>
  <c r="L530" i="10"/>
  <c r="N530" i="10"/>
  <c r="P530" i="10"/>
  <c r="L531" i="10"/>
  <c r="N531" i="10"/>
  <c r="P531" i="10"/>
  <c r="L532" i="10"/>
  <c r="N532" i="10"/>
  <c r="P532" i="10"/>
  <c r="L533" i="10"/>
  <c r="N533" i="10"/>
  <c r="P533" i="10"/>
  <c r="L534" i="10"/>
  <c r="N534" i="10"/>
  <c r="P534" i="10"/>
  <c r="L535" i="10"/>
  <c r="N535" i="10"/>
  <c r="P535" i="10"/>
  <c r="L536" i="10"/>
  <c r="N536" i="10"/>
  <c r="P536" i="10"/>
  <c r="L537" i="10"/>
  <c r="N537" i="10"/>
  <c r="P537" i="10"/>
  <c r="L538" i="10"/>
  <c r="N538" i="10"/>
  <c r="P538" i="10"/>
  <c r="L539" i="10"/>
  <c r="N539" i="10"/>
  <c r="P539" i="10"/>
  <c r="L540" i="10"/>
  <c r="N540" i="10"/>
  <c r="P540" i="10"/>
  <c r="L541" i="10"/>
  <c r="N541" i="10"/>
  <c r="P541" i="10"/>
  <c r="L542" i="10"/>
  <c r="N542" i="10"/>
  <c r="P542" i="10"/>
  <c r="L543" i="10"/>
  <c r="N543" i="10"/>
  <c r="P543" i="10"/>
  <c r="L544" i="10"/>
  <c r="N544" i="10"/>
  <c r="P544" i="10"/>
  <c r="L545" i="10"/>
  <c r="N545" i="10"/>
  <c r="P545" i="10"/>
  <c r="L546" i="10"/>
  <c r="N546" i="10"/>
  <c r="P546" i="10"/>
  <c r="L547" i="10"/>
  <c r="N547" i="10"/>
  <c r="P547" i="10"/>
  <c r="L548" i="10"/>
  <c r="N548" i="10"/>
  <c r="P548" i="10"/>
  <c r="L549" i="10"/>
  <c r="N549" i="10"/>
  <c r="P549" i="10"/>
  <c r="L550" i="10"/>
  <c r="N550" i="10"/>
  <c r="P550" i="10"/>
  <c r="L551" i="10"/>
  <c r="N551" i="10"/>
  <c r="P551" i="10"/>
  <c r="L552" i="10"/>
  <c r="N552" i="10"/>
  <c r="P552" i="10"/>
  <c r="L553" i="10"/>
  <c r="N553" i="10"/>
  <c r="P553" i="10"/>
  <c r="L554" i="10"/>
  <c r="N554" i="10"/>
  <c r="P554" i="10"/>
  <c r="L555" i="10"/>
  <c r="N555" i="10"/>
  <c r="P555" i="10"/>
  <c r="L556" i="10"/>
  <c r="N556" i="10"/>
  <c r="P556" i="10"/>
  <c r="L557" i="10"/>
  <c r="N557" i="10"/>
  <c r="P557" i="10"/>
  <c r="L558" i="10"/>
  <c r="N558" i="10"/>
  <c r="P558" i="10"/>
  <c r="L559" i="10"/>
  <c r="N559" i="10"/>
  <c r="P559" i="10"/>
  <c r="L560" i="10"/>
  <c r="N560" i="10"/>
  <c r="P560" i="10"/>
  <c r="L561" i="10"/>
  <c r="N561" i="10"/>
  <c r="P561" i="10"/>
  <c r="L562" i="10"/>
  <c r="N562" i="10"/>
  <c r="P562" i="10"/>
  <c r="L563" i="10"/>
  <c r="N563" i="10"/>
  <c r="P563" i="10"/>
  <c r="L564" i="10"/>
  <c r="N564" i="10"/>
  <c r="P564" i="10"/>
  <c r="L565" i="10"/>
  <c r="N565" i="10"/>
  <c r="P565" i="10"/>
  <c r="L566" i="10"/>
  <c r="N566" i="10"/>
  <c r="P566" i="10"/>
  <c r="L567" i="10"/>
  <c r="N567" i="10"/>
  <c r="P567" i="10"/>
  <c r="L568" i="10"/>
  <c r="N568" i="10"/>
  <c r="P568" i="10"/>
  <c r="L569" i="10"/>
  <c r="N569" i="10"/>
  <c r="P569" i="10"/>
  <c r="L570" i="10"/>
  <c r="N570" i="10"/>
  <c r="P570" i="10"/>
  <c r="L571" i="10"/>
  <c r="N571" i="10"/>
  <c r="P571" i="10"/>
  <c r="L572" i="10"/>
  <c r="N572" i="10"/>
  <c r="P572" i="10"/>
  <c r="L573" i="10"/>
  <c r="N573" i="10"/>
  <c r="P573" i="10"/>
  <c r="L574" i="10"/>
  <c r="N574" i="10"/>
  <c r="P574" i="10"/>
  <c r="L575" i="10"/>
  <c r="N575" i="10"/>
  <c r="P575" i="10"/>
  <c r="L576" i="10"/>
  <c r="N576" i="10"/>
  <c r="P576" i="10"/>
  <c r="L577" i="10"/>
  <c r="N577" i="10"/>
  <c r="P577" i="10"/>
  <c r="L578" i="10"/>
  <c r="N578" i="10"/>
  <c r="P578" i="10"/>
  <c r="L579" i="10"/>
  <c r="N579" i="10"/>
  <c r="P579" i="10"/>
  <c r="L580" i="10"/>
  <c r="N580" i="10"/>
  <c r="P580" i="10"/>
  <c r="L581" i="10"/>
  <c r="N581" i="10"/>
  <c r="P581" i="10"/>
  <c r="L582" i="10"/>
  <c r="N582" i="10"/>
  <c r="P582" i="10"/>
  <c r="L583" i="10"/>
  <c r="N583" i="10"/>
  <c r="P583" i="10"/>
  <c r="L584" i="10"/>
  <c r="N584" i="10"/>
  <c r="P584" i="10"/>
  <c r="L585" i="10"/>
  <c r="N585" i="10"/>
  <c r="P585" i="10"/>
  <c r="L586" i="10"/>
  <c r="N586" i="10"/>
  <c r="P586" i="10"/>
  <c r="L587" i="10"/>
  <c r="N587" i="10"/>
  <c r="P587" i="10"/>
  <c r="L588" i="10"/>
  <c r="N588" i="10"/>
  <c r="P588" i="10"/>
  <c r="L589" i="10"/>
  <c r="N589" i="10"/>
  <c r="P589" i="10"/>
  <c r="L590" i="10"/>
  <c r="N590" i="10"/>
  <c r="P590" i="10"/>
  <c r="L591" i="10"/>
  <c r="N591" i="10"/>
  <c r="P591" i="10"/>
  <c r="L592" i="10"/>
  <c r="N592" i="10"/>
  <c r="P592" i="10"/>
  <c r="L593" i="10"/>
  <c r="N593" i="10"/>
  <c r="P593" i="10"/>
  <c r="S593" i="10"/>
  <c r="L594" i="10"/>
  <c r="N594" i="10"/>
  <c r="P594" i="10"/>
  <c r="L595" i="10"/>
  <c r="N595" i="10"/>
  <c r="P595" i="10"/>
  <c r="L596" i="10"/>
  <c r="N596" i="10"/>
  <c r="P596" i="10"/>
  <c r="L597" i="10"/>
  <c r="N597" i="10"/>
  <c r="P597" i="10"/>
  <c r="L598" i="10"/>
  <c r="N598" i="10"/>
  <c r="P598" i="10"/>
  <c r="L599" i="10"/>
  <c r="N599" i="10"/>
  <c r="P599" i="10"/>
  <c r="L600" i="10"/>
  <c r="N600" i="10"/>
  <c r="P600" i="10"/>
  <c r="L601" i="10"/>
  <c r="N601" i="10"/>
  <c r="P601" i="10"/>
  <c r="L602" i="10"/>
  <c r="N602" i="10"/>
  <c r="P602" i="10"/>
  <c r="L603" i="10"/>
  <c r="N603" i="10"/>
  <c r="P603" i="10"/>
  <c r="L604" i="10"/>
  <c r="N604" i="10"/>
  <c r="P604" i="10"/>
  <c r="L605" i="10"/>
  <c r="N605" i="10"/>
  <c r="P605" i="10"/>
  <c r="L606" i="10"/>
  <c r="N606" i="10"/>
  <c r="P606" i="10"/>
  <c r="L607" i="10"/>
  <c r="N607" i="10"/>
  <c r="P607" i="10"/>
  <c r="L608" i="10"/>
  <c r="N608" i="10"/>
  <c r="P608" i="10"/>
  <c r="L609" i="10"/>
  <c r="N609" i="10"/>
  <c r="P609" i="10"/>
  <c r="L610" i="10"/>
  <c r="N610" i="10"/>
  <c r="P610" i="10"/>
  <c r="L611" i="10"/>
  <c r="N611" i="10"/>
  <c r="P611" i="10"/>
  <c r="L612" i="10"/>
  <c r="N612" i="10"/>
  <c r="P612" i="10"/>
  <c r="L613" i="10"/>
  <c r="N613" i="10"/>
  <c r="P613" i="10"/>
  <c r="L614" i="10"/>
  <c r="N614" i="10"/>
  <c r="P614" i="10"/>
  <c r="L615" i="10"/>
  <c r="N615" i="10"/>
  <c r="P615" i="10"/>
  <c r="L616" i="10"/>
  <c r="N616" i="10"/>
  <c r="P616" i="10"/>
  <c r="L617" i="10"/>
  <c r="N617" i="10"/>
  <c r="P617" i="10"/>
  <c r="L618" i="10"/>
  <c r="N618" i="10"/>
  <c r="P618" i="10"/>
  <c r="L619" i="10"/>
  <c r="N619" i="10"/>
  <c r="P619" i="10"/>
  <c r="L620" i="10"/>
  <c r="N620" i="10"/>
  <c r="P620" i="10"/>
  <c r="L621" i="10"/>
  <c r="N621" i="10"/>
  <c r="P621" i="10"/>
  <c r="L622" i="10"/>
  <c r="N622" i="10"/>
  <c r="P622" i="10"/>
  <c r="L623" i="10"/>
  <c r="N623" i="10"/>
  <c r="P623" i="10"/>
  <c r="L624" i="10"/>
  <c r="N624" i="10"/>
  <c r="P624" i="10"/>
  <c r="L625" i="10"/>
  <c r="N625" i="10"/>
  <c r="P625" i="10"/>
  <c r="L626" i="10"/>
  <c r="N626" i="10"/>
  <c r="P626" i="10"/>
  <c r="L627" i="10"/>
  <c r="N627" i="10"/>
  <c r="P627" i="10"/>
  <c r="L628" i="10"/>
  <c r="N628" i="10"/>
  <c r="P628" i="10"/>
  <c r="L629" i="10"/>
  <c r="N629" i="10"/>
  <c r="P629" i="10"/>
  <c r="L630" i="10"/>
  <c r="N630" i="10"/>
  <c r="P630" i="10"/>
  <c r="L631" i="10"/>
  <c r="N631" i="10"/>
  <c r="P631" i="10"/>
  <c r="L632" i="10"/>
  <c r="N632" i="10"/>
  <c r="P632" i="10"/>
  <c r="L633" i="10"/>
  <c r="N633" i="10"/>
  <c r="P633" i="10"/>
  <c r="L634" i="10"/>
  <c r="N634" i="10"/>
  <c r="P634" i="10"/>
  <c r="L635" i="10"/>
  <c r="N635" i="10"/>
  <c r="P635" i="10"/>
  <c r="L636" i="10"/>
  <c r="N636" i="10"/>
  <c r="P636" i="10"/>
  <c r="L637" i="10"/>
  <c r="N637" i="10"/>
  <c r="P637" i="10"/>
  <c r="L638" i="10"/>
  <c r="N638" i="10"/>
  <c r="P638" i="10"/>
  <c r="L639" i="10"/>
  <c r="N639" i="10"/>
  <c r="P639" i="10"/>
  <c r="L640" i="10"/>
  <c r="N640" i="10"/>
  <c r="P640" i="10"/>
  <c r="L641" i="10"/>
  <c r="N641" i="10"/>
  <c r="P641" i="10"/>
  <c r="L642" i="10"/>
  <c r="N642" i="10"/>
  <c r="P642" i="10"/>
  <c r="L643" i="10"/>
  <c r="N643" i="10"/>
  <c r="P643" i="10"/>
  <c r="L644" i="10"/>
  <c r="N644" i="10"/>
  <c r="P644" i="10"/>
  <c r="L645" i="10"/>
  <c r="N645" i="10"/>
  <c r="P645" i="10"/>
  <c r="L646" i="10"/>
  <c r="N646" i="10"/>
  <c r="P646" i="10"/>
  <c r="L647" i="10"/>
  <c r="N647" i="10"/>
  <c r="P647" i="10"/>
  <c r="L648" i="10"/>
  <c r="N648" i="10"/>
  <c r="P648" i="10"/>
  <c r="L649" i="10"/>
  <c r="N649" i="10"/>
  <c r="P649" i="10"/>
  <c r="L650" i="10"/>
  <c r="N650" i="10"/>
  <c r="P650" i="10"/>
  <c r="L651" i="10"/>
  <c r="N651" i="10"/>
  <c r="P651" i="10"/>
  <c r="L652" i="10"/>
  <c r="N652" i="10"/>
  <c r="P652" i="10"/>
  <c r="L653" i="10"/>
  <c r="N653" i="10"/>
  <c r="P653" i="10"/>
  <c r="L654" i="10"/>
  <c r="N654" i="10"/>
  <c r="P654" i="10"/>
  <c r="L655" i="10"/>
  <c r="N655" i="10"/>
  <c r="P655" i="10"/>
  <c r="L656" i="10"/>
  <c r="N656" i="10"/>
  <c r="P656" i="10"/>
  <c r="L657" i="10"/>
  <c r="N657" i="10"/>
  <c r="P657" i="10"/>
  <c r="L658" i="10"/>
  <c r="N658" i="10"/>
  <c r="P658" i="10"/>
  <c r="L659" i="10"/>
  <c r="N659" i="10"/>
  <c r="P659" i="10"/>
  <c r="L660" i="10"/>
  <c r="N660" i="10"/>
  <c r="P660" i="10"/>
  <c r="L661" i="10"/>
  <c r="N661" i="10"/>
  <c r="P661" i="10"/>
  <c r="L662" i="10"/>
  <c r="N662" i="10"/>
  <c r="P662" i="10"/>
  <c r="L663" i="10"/>
  <c r="N663" i="10"/>
  <c r="P663" i="10"/>
  <c r="L664" i="10"/>
  <c r="N664" i="10"/>
  <c r="P664" i="10"/>
  <c r="L665" i="10"/>
  <c r="N665" i="10"/>
  <c r="P665" i="10"/>
  <c r="L666" i="10"/>
  <c r="N666" i="10"/>
  <c r="P666" i="10"/>
  <c r="L667" i="10"/>
  <c r="N667" i="10"/>
  <c r="P667" i="10"/>
  <c r="L668" i="10"/>
  <c r="N668" i="10"/>
  <c r="P668" i="10"/>
  <c r="L669" i="10"/>
  <c r="N669" i="10"/>
  <c r="P669" i="10"/>
  <c r="L670" i="10"/>
  <c r="N670" i="10"/>
  <c r="P670" i="10"/>
  <c r="L671" i="10"/>
  <c r="N671" i="10"/>
  <c r="P671" i="10"/>
  <c r="L672" i="10"/>
  <c r="N672" i="10"/>
  <c r="P672" i="10"/>
  <c r="L673" i="10"/>
  <c r="N673" i="10"/>
  <c r="P673" i="10"/>
  <c r="L674" i="10"/>
  <c r="N674" i="10"/>
  <c r="P674" i="10"/>
  <c r="L675" i="10"/>
  <c r="N675" i="10"/>
  <c r="P675" i="10"/>
  <c r="L676" i="10"/>
  <c r="N676" i="10"/>
  <c r="P676" i="10"/>
  <c r="L677" i="10"/>
  <c r="N677" i="10"/>
  <c r="P677" i="10"/>
  <c r="L678" i="10"/>
  <c r="N678" i="10"/>
  <c r="P678" i="10"/>
  <c r="L679" i="10"/>
  <c r="N679" i="10"/>
  <c r="P679" i="10"/>
  <c r="L680" i="10"/>
  <c r="N680" i="10"/>
  <c r="P680" i="10"/>
  <c r="L681" i="10"/>
  <c r="N681" i="10"/>
  <c r="P681" i="10"/>
  <c r="L682" i="10"/>
  <c r="N682" i="10"/>
  <c r="P682" i="10"/>
  <c r="L683" i="10"/>
  <c r="N683" i="10"/>
  <c r="P683" i="10"/>
  <c r="L684" i="10"/>
  <c r="N684" i="10"/>
  <c r="P684" i="10"/>
  <c r="L685" i="10"/>
  <c r="N685" i="10"/>
  <c r="P685" i="10"/>
  <c r="L686" i="10"/>
  <c r="N686" i="10"/>
  <c r="P686" i="10"/>
  <c r="L687" i="10"/>
  <c r="N687" i="10"/>
  <c r="P687" i="10"/>
  <c r="L688" i="10"/>
  <c r="N688" i="10"/>
  <c r="P688" i="10"/>
  <c r="L689" i="10"/>
  <c r="N689" i="10"/>
  <c r="P689" i="10"/>
  <c r="L690" i="10"/>
  <c r="N690" i="10"/>
  <c r="P690" i="10"/>
  <c r="L691" i="10"/>
  <c r="N691" i="10"/>
  <c r="P691" i="10"/>
  <c r="L692" i="10"/>
  <c r="N692" i="10"/>
  <c r="P692" i="10"/>
  <c r="L693" i="10"/>
  <c r="N693" i="10"/>
  <c r="P693" i="10"/>
  <c r="L694" i="10"/>
  <c r="N694" i="10"/>
  <c r="P694" i="10"/>
  <c r="L695" i="10"/>
  <c r="N695" i="10"/>
  <c r="P695" i="10"/>
  <c r="L696" i="10"/>
  <c r="N696" i="10"/>
  <c r="P696" i="10"/>
  <c r="L697" i="10"/>
  <c r="N697" i="10"/>
  <c r="P697" i="10"/>
  <c r="L698" i="10"/>
  <c r="N698" i="10"/>
  <c r="P698" i="10"/>
  <c r="L699" i="10"/>
  <c r="N699" i="10"/>
  <c r="P699" i="10"/>
  <c r="L700" i="10"/>
  <c r="N700" i="10"/>
  <c r="P700" i="10"/>
  <c r="L701" i="10"/>
  <c r="N701" i="10"/>
  <c r="P701" i="10"/>
  <c r="L702" i="10"/>
  <c r="N702" i="10"/>
  <c r="P702" i="10"/>
  <c r="L703" i="10"/>
  <c r="N703" i="10"/>
  <c r="P703" i="10"/>
  <c r="L704" i="10"/>
  <c r="N704" i="10"/>
  <c r="P704" i="10"/>
  <c r="L705" i="10"/>
  <c r="N705" i="10"/>
  <c r="P705" i="10"/>
  <c r="L706" i="10"/>
  <c r="N706" i="10"/>
  <c r="P706" i="10"/>
  <c r="L707" i="10"/>
  <c r="N707" i="10"/>
  <c r="P707" i="10"/>
  <c r="L708" i="10"/>
  <c r="N708" i="10"/>
  <c r="P708" i="10"/>
  <c r="L709" i="10"/>
  <c r="N709" i="10"/>
  <c r="P709" i="10"/>
  <c r="L710" i="10"/>
  <c r="N710" i="10"/>
  <c r="P710" i="10"/>
  <c r="L711" i="10"/>
  <c r="N711" i="10"/>
  <c r="P711" i="10"/>
  <c r="L712" i="10"/>
  <c r="N712" i="10"/>
  <c r="P712" i="10"/>
  <c r="L713" i="10"/>
  <c r="N713" i="10"/>
  <c r="P713" i="10"/>
  <c r="L714" i="10"/>
  <c r="N714" i="10"/>
  <c r="P714" i="10"/>
  <c r="L715" i="10"/>
  <c r="N715" i="10"/>
  <c r="P715" i="10"/>
  <c r="L716" i="10"/>
  <c r="N716" i="10"/>
  <c r="P716" i="10"/>
  <c r="L717" i="10"/>
  <c r="N717" i="10"/>
  <c r="P717" i="10"/>
  <c r="L718" i="10"/>
  <c r="N718" i="10"/>
  <c r="P718" i="10"/>
  <c r="L719" i="10"/>
  <c r="N719" i="10"/>
  <c r="P719" i="10"/>
  <c r="L720" i="10"/>
  <c r="N720" i="10"/>
  <c r="P720" i="10"/>
  <c r="L721" i="10"/>
  <c r="N721" i="10"/>
  <c r="P721" i="10"/>
  <c r="L722" i="10"/>
  <c r="N722" i="10"/>
  <c r="P722" i="10"/>
  <c r="L723" i="10"/>
  <c r="N723" i="10"/>
  <c r="P723" i="10"/>
  <c r="L724" i="10"/>
  <c r="N724" i="10"/>
  <c r="P724" i="10"/>
  <c r="L725" i="10"/>
  <c r="N725" i="10"/>
  <c r="P725" i="10"/>
  <c r="L726" i="10"/>
  <c r="N726" i="10"/>
  <c r="P726" i="10"/>
  <c r="L727" i="10"/>
  <c r="N727" i="10"/>
  <c r="P727" i="10"/>
  <c r="L728" i="10"/>
  <c r="N728" i="10"/>
  <c r="P728" i="10"/>
  <c r="L729" i="10"/>
  <c r="N729" i="10"/>
  <c r="P729" i="10"/>
  <c r="L730" i="10"/>
  <c r="N730" i="10"/>
  <c r="P730" i="10"/>
  <c r="L731" i="10"/>
  <c r="N731" i="10"/>
  <c r="P731" i="10"/>
  <c r="L732" i="10"/>
  <c r="N732" i="10"/>
  <c r="P732" i="10"/>
  <c r="L733" i="10"/>
  <c r="N733" i="10"/>
  <c r="P733" i="10"/>
  <c r="L734" i="10"/>
  <c r="N734" i="10"/>
  <c r="P734" i="10"/>
  <c r="L735" i="10"/>
  <c r="N735" i="10"/>
  <c r="P735" i="10"/>
  <c r="L736" i="10"/>
  <c r="N736" i="10"/>
  <c r="P736" i="10"/>
  <c r="L737" i="10"/>
  <c r="N737" i="10"/>
  <c r="P737" i="10"/>
  <c r="L738" i="10"/>
  <c r="N738" i="10"/>
  <c r="P738" i="10"/>
  <c r="L739" i="10"/>
  <c r="N739" i="10"/>
  <c r="P739" i="10"/>
  <c r="L740" i="10"/>
  <c r="N740" i="10"/>
  <c r="P740" i="10"/>
  <c r="L741" i="10"/>
  <c r="N741" i="10"/>
  <c r="P741" i="10"/>
  <c r="L742" i="10"/>
  <c r="N742" i="10"/>
  <c r="P742" i="10"/>
  <c r="L743" i="10"/>
  <c r="N743" i="10"/>
  <c r="P743" i="10"/>
  <c r="L744" i="10"/>
  <c r="N744" i="10"/>
  <c r="P744" i="10"/>
  <c r="L745" i="10"/>
  <c r="N745" i="10"/>
  <c r="P745" i="10"/>
  <c r="L746" i="10"/>
  <c r="N746" i="10"/>
  <c r="P746" i="10"/>
  <c r="L747" i="10"/>
  <c r="N747" i="10"/>
  <c r="P747" i="10"/>
  <c r="L748" i="10"/>
  <c r="N748" i="10"/>
  <c r="P748" i="10"/>
  <c r="L749" i="10"/>
  <c r="N749" i="10"/>
  <c r="P749" i="10"/>
  <c r="L750" i="10"/>
  <c r="N750" i="10"/>
  <c r="P750" i="10"/>
  <c r="L751" i="10"/>
  <c r="N751" i="10"/>
  <c r="P751" i="10"/>
  <c r="L752" i="10"/>
  <c r="N752" i="10"/>
  <c r="P752" i="10"/>
  <c r="L753" i="10"/>
  <c r="N753" i="10"/>
  <c r="P753" i="10"/>
  <c r="L754" i="10"/>
  <c r="N754" i="10"/>
  <c r="P754" i="10"/>
  <c r="L755" i="10"/>
  <c r="N755" i="10"/>
  <c r="P755" i="10"/>
  <c r="L756" i="10"/>
  <c r="N756" i="10"/>
  <c r="P756" i="10"/>
  <c r="L757" i="10"/>
  <c r="N757" i="10"/>
  <c r="P757" i="10"/>
  <c r="L758" i="10"/>
  <c r="N758" i="10"/>
  <c r="P758" i="10"/>
  <c r="L759" i="10"/>
  <c r="N759" i="10"/>
  <c r="P759" i="10"/>
  <c r="L760" i="10"/>
  <c r="N760" i="10"/>
  <c r="P760" i="10"/>
  <c r="L761" i="10"/>
  <c r="N761" i="10"/>
  <c r="P761" i="10"/>
  <c r="L762" i="10"/>
  <c r="N762" i="10"/>
  <c r="P762" i="10"/>
  <c r="L763" i="10"/>
  <c r="N763" i="10"/>
  <c r="P763" i="10"/>
  <c r="L764" i="10"/>
  <c r="N764" i="10"/>
  <c r="P764" i="10"/>
  <c r="L765" i="10"/>
  <c r="N765" i="10"/>
  <c r="P765" i="10"/>
  <c r="L766" i="10"/>
  <c r="N766" i="10"/>
  <c r="P766" i="10"/>
  <c r="L767" i="10"/>
  <c r="N767" i="10"/>
  <c r="P767" i="10"/>
  <c r="L768" i="10"/>
  <c r="N768" i="10"/>
  <c r="P768" i="10"/>
  <c r="L769" i="10"/>
  <c r="N769" i="10"/>
  <c r="P769" i="10"/>
  <c r="L770" i="10"/>
  <c r="N770" i="10"/>
  <c r="P770" i="10"/>
  <c r="L771" i="10"/>
  <c r="N771" i="10"/>
  <c r="P771" i="10"/>
  <c r="L772" i="10"/>
  <c r="N772" i="10"/>
  <c r="P772" i="10"/>
  <c r="L773" i="10"/>
  <c r="N773" i="10"/>
  <c r="P773" i="10"/>
  <c r="L774" i="10"/>
  <c r="N774" i="10"/>
  <c r="P774" i="10"/>
  <c r="L775" i="10"/>
  <c r="N775" i="10"/>
  <c r="P775" i="10"/>
  <c r="L776" i="10"/>
  <c r="N776" i="10"/>
  <c r="P776" i="10"/>
  <c r="L777" i="10"/>
  <c r="N777" i="10"/>
  <c r="P777" i="10"/>
  <c r="L778" i="10"/>
  <c r="N778" i="10"/>
  <c r="P778" i="10"/>
  <c r="L779" i="10"/>
  <c r="N779" i="10"/>
  <c r="P779" i="10"/>
  <c r="L780" i="10"/>
  <c r="N780" i="10"/>
  <c r="P780" i="10"/>
  <c r="L781" i="10"/>
  <c r="N781" i="10"/>
  <c r="P781" i="10"/>
  <c r="L782" i="10"/>
  <c r="N782" i="10"/>
  <c r="P782" i="10"/>
  <c r="L783" i="10"/>
  <c r="N783" i="10"/>
  <c r="P783" i="10"/>
  <c r="L784" i="10"/>
  <c r="N784" i="10"/>
  <c r="P784" i="10"/>
  <c r="L785" i="10"/>
  <c r="N785" i="10"/>
  <c r="P785" i="10"/>
  <c r="L786" i="10"/>
  <c r="N786" i="10"/>
  <c r="P786" i="10"/>
  <c r="L787" i="10"/>
  <c r="N787" i="10"/>
  <c r="P787" i="10"/>
  <c r="L788" i="10"/>
  <c r="N788" i="10"/>
  <c r="P788" i="10"/>
  <c r="L789" i="10"/>
  <c r="N789" i="10"/>
  <c r="P789" i="10"/>
  <c r="L790" i="10"/>
  <c r="N790" i="10"/>
  <c r="P790" i="10"/>
  <c r="L791" i="10"/>
  <c r="N791" i="10"/>
  <c r="P791" i="10"/>
  <c r="L792" i="10"/>
  <c r="N792" i="10"/>
  <c r="P792" i="10"/>
  <c r="L793" i="10"/>
  <c r="N793" i="10"/>
  <c r="P793" i="10"/>
  <c r="L794" i="10"/>
  <c r="N794" i="10"/>
  <c r="P794" i="10"/>
  <c r="L795" i="10"/>
  <c r="N795" i="10"/>
  <c r="P795" i="10"/>
  <c r="L796" i="10"/>
  <c r="N796" i="10"/>
  <c r="P796" i="10"/>
  <c r="L797" i="10"/>
  <c r="N797" i="10"/>
  <c r="P797" i="10"/>
  <c r="L798" i="10"/>
  <c r="N798" i="10"/>
  <c r="P798" i="10"/>
  <c r="L799" i="10"/>
  <c r="N799" i="10"/>
  <c r="P799" i="10"/>
  <c r="L800" i="10"/>
  <c r="N800" i="10"/>
  <c r="P800" i="10"/>
  <c r="L801" i="10"/>
  <c r="N801" i="10"/>
  <c r="P801" i="10"/>
  <c r="L802" i="10"/>
  <c r="N802" i="10"/>
  <c r="P802" i="10"/>
  <c r="L803" i="10"/>
  <c r="N803" i="10"/>
  <c r="P803" i="10"/>
  <c r="L804" i="10"/>
  <c r="N804" i="10"/>
  <c r="P804" i="10"/>
  <c r="L805" i="10"/>
  <c r="N805" i="10"/>
  <c r="P805" i="10"/>
  <c r="L806" i="10"/>
  <c r="N806" i="10"/>
  <c r="P806" i="10"/>
  <c r="L807" i="10"/>
  <c r="N807" i="10"/>
  <c r="P807" i="10"/>
  <c r="L808" i="10"/>
  <c r="N808" i="10"/>
  <c r="P808" i="10"/>
  <c r="L809" i="10"/>
  <c r="N809" i="10"/>
  <c r="P809" i="10"/>
  <c r="L810" i="10"/>
  <c r="N810" i="10"/>
  <c r="P810" i="10"/>
  <c r="L811" i="10"/>
  <c r="N811" i="10"/>
  <c r="P811" i="10"/>
  <c r="L812" i="10"/>
  <c r="N812" i="10"/>
  <c r="P812" i="10"/>
  <c r="L813" i="10"/>
  <c r="N813" i="10"/>
  <c r="P813" i="10"/>
  <c r="L814" i="10"/>
  <c r="N814" i="10"/>
  <c r="P814" i="10"/>
  <c r="L815" i="10"/>
  <c r="N815" i="10"/>
  <c r="P815" i="10"/>
  <c r="L816" i="10"/>
  <c r="N816" i="10"/>
  <c r="P816" i="10"/>
  <c r="L817" i="10"/>
  <c r="N817" i="10"/>
  <c r="P817" i="10"/>
  <c r="L818" i="10"/>
  <c r="N818" i="10"/>
  <c r="P818" i="10"/>
  <c r="L819" i="10"/>
  <c r="N819" i="10"/>
  <c r="P819" i="10"/>
  <c r="L820" i="10"/>
  <c r="N820" i="10"/>
  <c r="P820" i="10"/>
  <c r="L821" i="10"/>
  <c r="N821" i="10"/>
  <c r="P821" i="10"/>
  <c r="L822" i="10"/>
  <c r="N822" i="10"/>
  <c r="P822" i="10"/>
  <c r="L823" i="10"/>
  <c r="N823" i="10"/>
  <c r="P823" i="10"/>
  <c r="L824" i="10"/>
  <c r="N824" i="10"/>
  <c r="P824" i="10"/>
  <c r="L825" i="10"/>
  <c r="N825" i="10"/>
  <c r="P825" i="10"/>
  <c r="L826" i="10"/>
  <c r="N826" i="10"/>
  <c r="P826" i="10"/>
  <c r="L827" i="10"/>
  <c r="N827" i="10"/>
  <c r="P827" i="10"/>
  <c r="L828" i="10"/>
  <c r="N828" i="10"/>
  <c r="P828" i="10"/>
  <c r="L829" i="10"/>
  <c r="N829" i="10"/>
  <c r="P829" i="10"/>
  <c r="L830" i="10"/>
  <c r="N830" i="10"/>
  <c r="P830" i="10"/>
  <c r="L831" i="10"/>
  <c r="N831" i="10"/>
  <c r="P831" i="10"/>
  <c r="L832" i="10"/>
  <c r="N832" i="10"/>
  <c r="P832" i="10"/>
  <c r="L833" i="10"/>
  <c r="N833" i="10"/>
  <c r="P833" i="10"/>
  <c r="L834" i="10"/>
  <c r="N834" i="10"/>
  <c r="P834" i="10"/>
  <c r="L835" i="10"/>
  <c r="N835" i="10"/>
  <c r="P835" i="10"/>
  <c r="L836" i="10"/>
  <c r="N836" i="10"/>
  <c r="P836" i="10"/>
  <c r="L837" i="10"/>
  <c r="N837" i="10"/>
  <c r="P837" i="10"/>
  <c r="L838" i="10"/>
  <c r="N838" i="10"/>
  <c r="P838" i="10"/>
  <c r="L839" i="10"/>
  <c r="N839" i="10"/>
  <c r="P839" i="10"/>
  <c r="L840" i="10"/>
  <c r="N840" i="10"/>
  <c r="P840" i="10"/>
  <c r="L841" i="10"/>
  <c r="N841" i="10"/>
  <c r="P841" i="10"/>
  <c r="L842" i="10"/>
  <c r="N842" i="10"/>
  <c r="P842" i="10"/>
  <c r="L843" i="10"/>
  <c r="N843" i="10"/>
  <c r="P843" i="10"/>
  <c r="L844" i="10"/>
  <c r="N844" i="10"/>
  <c r="P844" i="10"/>
  <c r="L845" i="10"/>
  <c r="N845" i="10"/>
  <c r="P845" i="10"/>
  <c r="L846" i="10"/>
  <c r="N846" i="10"/>
  <c r="P846" i="10"/>
  <c r="L847" i="10"/>
  <c r="N847" i="10"/>
  <c r="P847" i="10"/>
  <c r="L848" i="10"/>
  <c r="N848" i="10"/>
  <c r="P848" i="10"/>
  <c r="L849" i="10"/>
  <c r="N849" i="10"/>
  <c r="P849" i="10"/>
  <c r="F21" i="1" l="1"/>
  <c r="G10" i="8"/>
  <c r="E10" i="8"/>
  <c r="C10" i="8"/>
  <c r="F10" i="8"/>
  <c r="C31" i="44"/>
  <c r="R17" i="16"/>
  <c r="P17" i="15"/>
  <c r="R17" i="15"/>
  <c r="M16" i="39"/>
  <c r="P15" i="16"/>
  <c r="P12" i="18"/>
  <c r="H14" i="39"/>
  <c r="I14" i="39"/>
  <c r="Q11" i="18"/>
  <c r="AO10" i="18" s="1"/>
  <c r="Q14" i="16"/>
  <c r="AO13" i="16" s="1"/>
  <c r="T10" i="17"/>
  <c r="T13" i="15"/>
  <c r="M12" i="40"/>
  <c r="E115" i="7"/>
  <c r="D143" i="8"/>
  <c r="D112" i="8"/>
  <c r="E51" i="8"/>
  <c r="C51" i="8"/>
  <c r="F51" i="8"/>
  <c r="D46" i="8"/>
  <c r="D133" i="8"/>
  <c r="D132" i="8" s="1"/>
  <c r="D96" i="8"/>
  <c r="G89" i="8"/>
  <c r="E44" i="8"/>
  <c r="C44" i="8"/>
  <c r="E20" i="8"/>
  <c r="F18" i="59"/>
  <c r="E23" i="59"/>
  <c r="F6" i="57"/>
  <c r="J6" i="57"/>
  <c r="K11" i="57"/>
  <c r="L4" i="57"/>
  <c r="R18" i="16"/>
  <c r="R18" i="15"/>
  <c r="P18" i="15"/>
  <c r="M17" i="39"/>
  <c r="Q16" i="16"/>
  <c r="AO15" i="16" s="1"/>
  <c r="Q13" i="18"/>
  <c r="AO12" i="18" s="1"/>
  <c r="Q7" i="18"/>
  <c r="Q10" i="16"/>
  <c r="AO9" i="16" s="1"/>
  <c r="D6" i="39"/>
  <c r="H6" i="39"/>
  <c r="Q7" i="16" s="1"/>
  <c r="AO6" i="16" s="1"/>
  <c r="C20" i="39"/>
  <c r="V15" i="15"/>
  <c r="V12" i="17"/>
  <c r="M14" i="41"/>
  <c r="Q14" i="41"/>
  <c r="C74" i="8"/>
  <c r="C71" i="8"/>
  <c r="C68" i="8" s="1"/>
  <c r="E71" i="8"/>
  <c r="C129" i="8"/>
  <c r="D127" i="8"/>
  <c r="G116" i="8"/>
  <c r="C57" i="8"/>
  <c r="D57" i="8"/>
  <c r="D140" i="8"/>
  <c r="D139" i="8" s="1"/>
  <c r="C140" i="8"/>
  <c r="C139" i="8" s="1"/>
  <c r="K139" i="8" s="1"/>
  <c r="G124" i="8"/>
  <c r="E124" i="8"/>
  <c r="C121" i="8"/>
  <c r="G109" i="8"/>
  <c r="G108" i="8" s="1"/>
  <c r="E109" i="8"/>
  <c r="E108" i="8" s="1"/>
  <c r="C106" i="8"/>
  <c r="C105" i="8" s="1"/>
  <c r="E104" i="8"/>
  <c r="E83" i="8"/>
  <c r="F53" i="8"/>
  <c r="E37" i="8"/>
  <c r="F37" i="8"/>
  <c r="K7" i="1"/>
  <c r="F5" i="59"/>
  <c r="H15" i="38"/>
  <c r="K15" i="38"/>
  <c r="N12" i="15"/>
  <c r="N9" i="17"/>
  <c r="M11" i="38"/>
  <c r="N8" i="16"/>
  <c r="H7" i="38"/>
  <c r="O8" i="16" s="1"/>
  <c r="AN7" i="16" s="1"/>
  <c r="I7" i="38"/>
  <c r="Q13" i="16"/>
  <c r="AO12" i="16" s="1"/>
  <c r="Q10" i="18"/>
  <c r="AO9" i="18" s="1"/>
  <c r="U10" i="18"/>
  <c r="AP9" i="18" s="1"/>
  <c r="U13" i="16"/>
  <c r="AP12" i="16" s="1"/>
  <c r="P6" i="41"/>
  <c r="O20" i="41"/>
  <c r="P20" i="41" s="1"/>
  <c r="C137" i="7"/>
  <c r="B141" i="8" s="1"/>
  <c r="K137" i="7"/>
  <c r="H137" i="7"/>
  <c r="D137" i="7"/>
  <c r="G137" i="7"/>
  <c r="J137" i="7" s="1"/>
  <c r="I137" i="7"/>
  <c r="E137" i="7"/>
  <c r="F137" i="7"/>
  <c r="C134" i="7"/>
  <c r="B138" i="8" s="1"/>
  <c r="A138" i="8"/>
  <c r="G91" i="7"/>
  <c r="C91" i="7"/>
  <c r="B95" i="8" s="1"/>
  <c r="D91" i="7"/>
  <c r="H91" i="7"/>
  <c r="I91" i="7"/>
  <c r="K91" i="7"/>
  <c r="E91" i="7"/>
  <c r="D95" i="8" s="1"/>
  <c r="D93" i="8" s="1"/>
  <c r="F91" i="7"/>
  <c r="C54" i="8"/>
  <c r="E73" i="8"/>
  <c r="E99" i="8"/>
  <c r="E122" i="8"/>
  <c r="E130" i="8"/>
  <c r="D137" i="8"/>
  <c r="G11" i="8"/>
  <c r="D19" i="8"/>
  <c r="C40" i="8"/>
  <c r="C39" i="8" s="1"/>
  <c r="K39" i="8" s="1"/>
  <c r="E54" i="8"/>
  <c r="C61" i="8"/>
  <c r="G73" i="8"/>
  <c r="G81" i="8"/>
  <c r="G80" i="8" s="1"/>
  <c r="C88" i="8"/>
  <c r="G91" i="8"/>
  <c r="G99" i="8"/>
  <c r="G122" i="8"/>
  <c r="G130" i="8"/>
  <c r="C15" i="8"/>
  <c r="G19" i="8"/>
  <c r="E38" i="8"/>
  <c r="E40" i="8"/>
  <c r="E36" i="8"/>
  <c r="D47" i="8"/>
  <c r="D67" i="8"/>
  <c r="D76" i="8"/>
  <c r="C84" i="8"/>
  <c r="G142" i="8"/>
  <c r="G145" i="8"/>
  <c r="G144" i="8" s="1"/>
  <c r="E133" i="8"/>
  <c r="G118" i="8"/>
  <c r="E100" i="8"/>
  <c r="D92" i="8"/>
  <c r="D63" i="8"/>
  <c r="G63" i="8"/>
  <c r="E56" i="8"/>
  <c r="D42" i="8"/>
  <c r="C42" i="8"/>
  <c r="I19" i="1"/>
  <c r="E31" i="44"/>
  <c r="R6" i="57"/>
  <c r="P6" i="57"/>
  <c r="N8" i="18"/>
  <c r="N11" i="16"/>
  <c r="H10" i="38"/>
  <c r="I10" i="38"/>
  <c r="F6" i="40"/>
  <c r="E20" i="40"/>
  <c r="F11" i="41"/>
  <c r="M11" i="41"/>
  <c r="D11" i="41"/>
  <c r="K11" i="41"/>
  <c r="D104" i="8"/>
  <c r="C89" i="8"/>
  <c r="E89" i="8"/>
  <c r="G75" i="8"/>
  <c r="E69" i="8"/>
  <c r="E68" i="8" s="1"/>
  <c r="F69" i="8"/>
  <c r="E50" i="8"/>
  <c r="G41" i="8"/>
  <c r="D35" i="8"/>
  <c r="G35" i="8"/>
  <c r="C35" i="8"/>
  <c r="D10" i="59"/>
  <c r="N597" i="23"/>
  <c r="O597" i="23" s="1"/>
  <c r="N152" i="23"/>
  <c r="C16" i="57"/>
  <c r="R11" i="57"/>
  <c r="P11" i="57"/>
  <c r="C23" i="57"/>
  <c r="F8" i="57"/>
  <c r="J8" i="57"/>
  <c r="F4" i="57"/>
  <c r="E11" i="57"/>
  <c r="J4" i="57"/>
  <c r="N9" i="18"/>
  <c r="N12" i="16"/>
  <c r="H11" i="38"/>
  <c r="I11" i="38"/>
  <c r="I9" i="38"/>
  <c r="P9" i="38"/>
  <c r="P6" i="39"/>
  <c r="O20" i="39"/>
  <c r="P20" i="39" s="1"/>
  <c r="F143" i="8"/>
  <c r="C128" i="8"/>
  <c r="C146" i="8"/>
  <c r="G146" i="8"/>
  <c r="E143" i="8"/>
  <c r="E141" i="8" s="1"/>
  <c r="E117" i="8"/>
  <c r="C116" i="8"/>
  <c r="E92" i="8"/>
  <c r="G83" i="8"/>
  <c r="F83" i="8"/>
  <c r="C83" i="8"/>
  <c r="C82" i="8" s="1"/>
  <c r="G71" i="8"/>
  <c r="D56" i="8"/>
  <c r="F56" i="8"/>
  <c r="G53" i="8"/>
  <c r="C53" i="8"/>
  <c r="C52" i="8" s="1"/>
  <c r="K52" i="8" s="1"/>
  <c r="E53" i="8"/>
  <c r="G51" i="8"/>
  <c r="J19" i="1"/>
  <c r="C20" i="38"/>
  <c r="P6" i="38"/>
  <c r="F6" i="38"/>
  <c r="K20" i="41"/>
  <c r="R6" i="41"/>
  <c r="W11" i="18"/>
  <c r="AQ10" i="18" s="1"/>
  <c r="W14" i="16"/>
  <c r="AQ13" i="16" s="1"/>
  <c r="V8" i="15"/>
  <c r="Q7" i="41"/>
  <c r="M7" i="41"/>
  <c r="E151" i="8"/>
  <c r="E150" i="8" s="1"/>
  <c r="E149" i="8" s="1"/>
  <c r="C143" i="8"/>
  <c r="C141" i="8" s="1"/>
  <c r="K141" i="8" s="1"/>
  <c r="E126" i="8"/>
  <c r="E111" i="8"/>
  <c r="F111" i="8"/>
  <c r="G101" i="8"/>
  <c r="E101" i="8"/>
  <c r="E95" i="8"/>
  <c r="E93" i="8" s="1"/>
  <c r="G57" i="8"/>
  <c r="D51" i="8"/>
  <c r="E48" i="8"/>
  <c r="G21" i="8"/>
  <c r="C21" i="8"/>
  <c r="F21" i="8"/>
  <c r="D10" i="8"/>
  <c r="E22" i="44"/>
  <c r="H12" i="57"/>
  <c r="R4" i="57"/>
  <c r="P4" i="57"/>
  <c r="H4" i="57"/>
  <c r="I15" i="38"/>
  <c r="P11" i="38"/>
  <c r="R12" i="18"/>
  <c r="R15" i="16"/>
  <c r="R12" i="17"/>
  <c r="P12" i="17"/>
  <c r="P15" i="15"/>
  <c r="R15" i="15"/>
  <c r="M14" i="39"/>
  <c r="K6" i="39"/>
  <c r="J20" i="39"/>
  <c r="K20" i="39" s="1"/>
  <c r="Q12" i="40"/>
  <c r="P6" i="40"/>
  <c r="O20" i="40"/>
  <c r="P20" i="40" s="1"/>
  <c r="W12" i="18"/>
  <c r="AQ11" i="18" s="1"/>
  <c r="W15" i="16"/>
  <c r="AQ14" i="16" s="1"/>
  <c r="P11" i="41"/>
  <c r="E123" i="8"/>
  <c r="E102" i="8"/>
  <c r="D90" i="8"/>
  <c r="E79" i="8"/>
  <c r="D74" i="8"/>
  <c r="D62" i="8"/>
  <c r="E57" i="8"/>
  <c r="E41" i="8"/>
  <c r="D41" i="8"/>
  <c r="D39" i="8" s="1"/>
  <c r="E10" i="1"/>
  <c r="E21" i="1" s="1"/>
  <c r="H10" i="1"/>
  <c r="J10" i="1" s="1"/>
  <c r="K10" i="1" s="1"/>
  <c r="C10" i="1"/>
  <c r="L10" i="1"/>
  <c r="D10" i="1"/>
  <c r="D21" i="1" s="1"/>
  <c r="G10" i="1"/>
  <c r="G21" i="1" s="1"/>
  <c r="H6" i="57"/>
  <c r="N11" i="18"/>
  <c r="N14" i="16"/>
  <c r="H13" i="38"/>
  <c r="I13" i="38"/>
  <c r="F20" i="39"/>
  <c r="R16" i="16"/>
  <c r="R13" i="18"/>
  <c r="P13" i="17"/>
  <c r="R13" i="17"/>
  <c r="P16" i="15"/>
  <c r="R16" i="15"/>
  <c r="M15" i="39"/>
  <c r="R9" i="18"/>
  <c r="R12" i="16"/>
  <c r="R12" i="15"/>
  <c r="P9" i="17"/>
  <c r="R9" i="17"/>
  <c r="P12" i="15"/>
  <c r="M11" i="39"/>
  <c r="T17" i="15"/>
  <c r="M16" i="40"/>
  <c r="Q16" i="40"/>
  <c r="T9" i="15"/>
  <c r="M8" i="40"/>
  <c r="Q8" i="40"/>
  <c r="T8" i="15"/>
  <c r="M7" i="40"/>
  <c r="E21" i="59"/>
  <c r="F21" i="59" s="1"/>
  <c r="F6" i="59"/>
  <c r="N12" i="57"/>
  <c r="N11" i="57"/>
  <c r="D22" i="57"/>
  <c r="C22" i="57" s="1"/>
  <c r="N6" i="57"/>
  <c r="F5" i="57"/>
  <c r="J5" i="57"/>
  <c r="M13" i="38"/>
  <c r="K17" i="39"/>
  <c r="D17" i="39"/>
  <c r="F14" i="39"/>
  <c r="P14" i="39"/>
  <c r="F13" i="39"/>
  <c r="D13" i="39"/>
  <c r="T17" i="16"/>
  <c r="H16" i="40"/>
  <c r="U17" i="16" s="1"/>
  <c r="AP16" i="16" s="1"/>
  <c r="U11" i="18"/>
  <c r="AP10" i="18" s="1"/>
  <c r="U14" i="16"/>
  <c r="AP13" i="16" s="1"/>
  <c r="V16" i="16"/>
  <c r="V13" i="18"/>
  <c r="H15" i="41"/>
  <c r="I15" i="41"/>
  <c r="K7" i="41"/>
  <c r="M149" i="7"/>
  <c r="I153" i="8" s="1"/>
  <c r="C143" i="7"/>
  <c r="B147" i="8" s="1"/>
  <c r="K143" i="7"/>
  <c r="I143" i="7"/>
  <c r="D143" i="7"/>
  <c r="G143" i="7"/>
  <c r="H143" i="7"/>
  <c r="L138" i="7"/>
  <c r="H142" i="8" s="1"/>
  <c r="G128" i="7"/>
  <c r="F128" i="7"/>
  <c r="C128" i="7"/>
  <c r="D128" i="7"/>
  <c r="H128" i="7"/>
  <c r="C125" i="7"/>
  <c r="B129" i="8" s="1"/>
  <c r="K125" i="7"/>
  <c r="F125" i="7"/>
  <c r="F115" i="7" s="1"/>
  <c r="D125" i="7"/>
  <c r="H125" i="7"/>
  <c r="I125" i="7"/>
  <c r="J123" i="7"/>
  <c r="F127" i="8" s="1"/>
  <c r="C90" i="7"/>
  <c r="K90" i="7"/>
  <c r="D90" i="7"/>
  <c r="F90" i="7"/>
  <c r="E94" i="8" s="1"/>
  <c r="G90" i="7"/>
  <c r="J90" i="7" s="1"/>
  <c r="F94" i="8" s="1"/>
  <c r="E90" i="7"/>
  <c r="D94" i="8" s="1"/>
  <c r="H90" i="7"/>
  <c r="I90" i="7"/>
  <c r="D81" i="8"/>
  <c r="D80" i="8" s="1"/>
  <c r="D73" i="8"/>
  <c r="E55" i="8"/>
  <c r="C43" i="8"/>
  <c r="N19" i="1"/>
  <c r="E4" i="59"/>
  <c r="C10" i="59"/>
  <c r="L149" i="23"/>
  <c r="K152" i="23"/>
  <c r="L6" i="57"/>
  <c r="P5" i="57"/>
  <c r="I19" i="39"/>
  <c r="D19" i="39"/>
  <c r="D18" i="39"/>
  <c r="P18" i="39"/>
  <c r="P13" i="39"/>
  <c r="Q9" i="18"/>
  <c r="AO8" i="18" s="1"/>
  <c r="Q12" i="16"/>
  <c r="AO11" i="16" s="1"/>
  <c r="D14" i="40"/>
  <c r="H14" i="40"/>
  <c r="T7" i="18"/>
  <c r="T14" i="18" s="1"/>
  <c r="T10" i="16"/>
  <c r="H9" i="40"/>
  <c r="I9" i="40"/>
  <c r="T9" i="16"/>
  <c r="I8" i="40"/>
  <c r="H8" i="40"/>
  <c r="U9" i="16" s="1"/>
  <c r="AP8" i="16" s="1"/>
  <c r="V20" i="16"/>
  <c r="H19" i="41"/>
  <c r="W20" i="16" s="1"/>
  <c r="AQ19" i="16" s="1"/>
  <c r="I19" i="41"/>
  <c r="V8" i="16"/>
  <c r="H7" i="41"/>
  <c r="W8" i="16" s="1"/>
  <c r="AQ7" i="16" s="1"/>
  <c r="I7" i="41"/>
  <c r="G146" i="7"/>
  <c r="I146" i="7"/>
  <c r="I145" i="7" s="1"/>
  <c r="C146" i="7"/>
  <c r="B150" i="8" s="1"/>
  <c r="D146" i="7"/>
  <c r="F146" i="7"/>
  <c r="F145" i="7" s="1"/>
  <c r="F132" i="7"/>
  <c r="G122" i="7"/>
  <c r="E122" i="7"/>
  <c r="D126" i="8" s="1"/>
  <c r="C122" i="7"/>
  <c r="B126" i="8" s="1"/>
  <c r="D122" i="7"/>
  <c r="M122" i="7" s="1"/>
  <c r="I126" i="8" s="1"/>
  <c r="H122" i="7"/>
  <c r="I113" i="7"/>
  <c r="H111" i="7"/>
  <c r="C109" i="7"/>
  <c r="B113" i="8" s="1"/>
  <c r="K109" i="7"/>
  <c r="F109" i="7"/>
  <c r="E113" i="8" s="1"/>
  <c r="I109" i="7"/>
  <c r="G109" i="7"/>
  <c r="D109" i="7"/>
  <c r="C113" i="8" s="1"/>
  <c r="J100" i="7"/>
  <c r="F104" i="8" s="1"/>
  <c r="E34" i="8"/>
  <c r="D13" i="8"/>
  <c r="G13" i="8"/>
  <c r="C8" i="1"/>
  <c r="D8" i="1"/>
  <c r="D20" i="1" s="1"/>
  <c r="G8" i="1"/>
  <c r="H8" i="1"/>
  <c r="J8" i="1" s="1"/>
  <c r="F22" i="59"/>
  <c r="O679" i="23"/>
  <c r="L589" i="23"/>
  <c r="J152" i="23"/>
  <c r="F7" i="57"/>
  <c r="J7" i="57"/>
  <c r="N7" i="17"/>
  <c r="N14" i="17" s="1"/>
  <c r="N10" i="15"/>
  <c r="M9" i="38"/>
  <c r="N8" i="15"/>
  <c r="M7" i="38"/>
  <c r="P17" i="39"/>
  <c r="T18" i="15"/>
  <c r="M17" i="40"/>
  <c r="U13" i="18"/>
  <c r="AP12" i="18" s="1"/>
  <c r="U16" i="16"/>
  <c r="AP15" i="16" s="1"/>
  <c r="T10" i="18"/>
  <c r="T13" i="16"/>
  <c r="I12" i="40"/>
  <c r="K6" i="40"/>
  <c r="D15" i="41"/>
  <c r="F15" i="41"/>
  <c r="F14" i="41"/>
  <c r="F13" i="41"/>
  <c r="V10" i="18"/>
  <c r="V13" i="16"/>
  <c r="H12" i="41"/>
  <c r="V12" i="16"/>
  <c r="V9" i="18"/>
  <c r="H11" i="41"/>
  <c r="I11" i="41"/>
  <c r="C141" i="7"/>
  <c r="B145" i="8" s="1"/>
  <c r="K141" i="7"/>
  <c r="M141" i="7" s="1"/>
  <c r="I145" i="8" s="1"/>
  <c r="F141" i="7"/>
  <c r="E145" i="8" s="1"/>
  <c r="E144" i="8" s="1"/>
  <c r="G141" i="7"/>
  <c r="J141" i="7" s="1"/>
  <c r="F145" i="8" s="1"/>
  <c r="D141" i="7"/>
  <c r="L135" i="7"/>
  <c r="H139" i="8" s="1"/>
  <c r="H124" i="7"/>
  <c r="G89" i="7"/>
  <c r="F89" i="7"/>
  <c r="F82" i="7" s="1"/>
  <c r="E86" i="8" s="1"/>
  <c r="I89" i="7"/>
  <c r="C89" i="7"/>
  <c r="F54" i="8"/>
  <c r="D89" i="7"/>
  <c r="E89" i="7"/>
  <c r="H89" i="7"/>
  <c r="K89" i="7"/>
  <c r="M89" i="7" s="1"/>
  <c r="L70" i="7"/>
  <c r="H74" i="8" s="1"/>
  <c r="V19" i="16"/>
  <c r="H18" i="41"/>
  <c r="W19" i="16" s="1"/>
  <c r="AQ18" i="16" s="1"/>
  <c r="P14" i="41"/>
  <c r="K14" i="41"/>
  <c r="D14" i="41"/>
  <c r="D13" i="41"/>
  <c r="I13" i="41"/>
  <c r="D7" i="41"/>
  <c r="F7" i="41"/>
  <c r="E144" i="7"/>
  <c r="G132" i="7"/>
  <c r="D132" i="7"/>
  <c r="C132" i="7"/>
  <c r="B136" i="8" s="1"/>
  <c r="H132" i="7"/>
  <c r="H131" i="7" s="1"/>
  <c r="I132" i="7"/>
  <c r="K132" i="7"/>
  <c r="F124" i="7"/>
  <c r="E128" i="8" s="1"/>
  <c r="L123" i="7"/>
  <c r="H127" i="8" s="1"/>
  <c r="C113" i="7"/>
  <c r="B117" i="8" s="1"/>
  <c r="K113" i="7"/>
  <c r="M113" i="7" s="1"/>
  <c r="I117" i="8" s="1"/>
  <c r="D113" i="7"/>
  <c r="G113" i="7"/>
  <c r="J113" i="7" s="1"/>
  <c r="F117" i="8" s="1"/>
  <c r="H113" i="7"/>
  <c r="E113" i="7"/>
  <c r="D117" i="8" s="1"/>
  <c r="C111" i="7"/>
  <c r="B115" i="8" s="1"/>
  <c r="K111" i="7"/>
  <c r="M111" i="7" s="1"/>
  <c r="I115" i="8" s="1"/>
  <c r="I111" i="7"/>
  <c r="D111" i="7"/>
  <c r="G111" i="7"/>
  <c r="A115" i="8"/>
  <c r="E111" i="7"/>
  <c r="E85" i="8"/>
  <c r="G67" i="8"/>
  <c r="G55" i="8"/>
  <c r="C36" i="8"/>
  <c r="G26" i="8"/>
  <c r="F9" i="1"/>
  <c r="J9" i="1" s="1"/>
  <c r="C9" i="1"/>
  <c r="M9" i="1" s="1"/>
  <c r="L9" i="1"/>
  <c r="D9" i="1"/>
  <c r="G9" i="1"/>
  <c r="F9" i="57"/>
  <c r="L5" i="57"/>
  <c r="N17" i="15"/>
  <c r="M16" i="38"/>
  <c r="K13" i="38"/>
  <c r="K11" i="38"/>
  <c r="N9" i="16"/>
  <c r="H8" i="38"/>
  <c r="O9" i="16" s="1"/>
  <c r="AN8" i="16" s="1"/>
  <c r="N7" i="15"/>
  <c r="N21" i="15" s="1"/>
  <c r="M6" i="38"/>
  <c r="L20" i="38"/>
  <c r="K19" i="39"/>
  <c r="K16" i="39"/>
  <c r="K14" i="39"/>
  <c r="R10" i="18"/>
  <c r="R13" i="16"/>
  <c r="R13" i="15"/>
  <c r="P10" i="17"/>
  <c r="R10" i="17"/>
  <c r="P13" i="15"/>
  <c r="T18" i="16"/>
  <c r="H17" i="40"/>
  <c r="U18" i="16" s="1"/>
  <c r="AP17" i="16" s="1"/>
  <c r="I17" i="40"/>
  <c r="U9" i="18"/>
  <c r="AP8" i="18" s="1"/>
  <c r="U12" i="16"/>
  <c r="AP11" i="16" s="1"/>
  <c r="T7" i="16"/>
  <c r="T21" i="16" s="1"/>
  <c r="H6" i="40"/>
  <c r="U7" i="16" s="1"/>
  <c r="AP6" i="16" s="1"/>
  <c r="I6" i="40"/>
  <c r="G20" i="40"/>
  <c r="V8" i="18"/>
  <c r="V11" i="16"/>
  <c r="H10" i="41"/>
  <c r="K148" i="7"/>
  <c r="M148" i="7" s="1"/>
  <c r="I152" i="8" s="1"/>
  <c r="J136" i="7"/>
  <c r="F140" i="8" s="1"/>
  <c r="F139" i="8" s="1"/>
  <c r="J119" i="7"/>
  <c r="F123" i="8" s="1"/>
  <c r="M112" i="7"/>
  <c r="I116" i="8" s="1"/>
  <c r="G108" i="7"/>
  <c r="I108" i="7"/>
  <c r="C108" i="7"/>
  <c r="B112" i="8" s="1"/>
  <c r="F108" i="7"/>
  <c r="E112" i="8" s="1"/>
  <c r="K108" i="7"/>
  <c r="M108" i="7" s="1"/>
  <c r="I112" i="8" s="1"/>
  <c r="D108" i="7"/>
  <c r="C112" i="8" s="1"/>
  <c r="M106" i="7"/>
  <c r="I110" i="8" s="1"/>
  <c r="G149" i="7"/>
  <c r="G148" i="7" s="1"/>
  <c r="L148" i="7" s="1"/>
  <c r="H152" i="8" s="1"/>
  <c r="L150" i="7"/>
  <c r="H154" i="8" s="1"/>
  <c r="M128" i="7"/>
  <c r="I133" i="8" s="1"/>
  <c r="C127" i="7"/>
  <c r="B131" i="8" s="1"/>
  <c r="K127" i="7"/>
  <c r="M127" i="7" s="1"/>
  <c r="I131" i="8" s="1"/>
  <c r="I127" i="7"/>
  <c r="E127" i="7"/>
  <c r="D131" i="8" s="1"/>
  <c r="D129" i="8" s="1"/>
  <c r="F127" i="7"/>
  <c r="E131" i="8" s="1"/>
  <c r="H127" i="7"/>
  <c r="J127" i="7" s="1"/>
  <c r="F131" i="8" s="1"/>
  <c r="G124" i="7"/>
  <c r="L124" i="7" s="1"/>
  <c r="H128" i="8" s="1"/>
  <c r="I124" i="7"/>
  <c r="E124" i="7"/>
  <c r="D128" i="8" s="1"/>
  <c r="K124" i="7"/>
  <c r="M124" i="7" s="1"/>
  <c r="I128" i="8" s="1"/>
  <c r="C124" i="7"/>
  <c r="B128" i="8" s="1"/>
  <c r="L119" i="7"/>
  <c r="H123" i="8" s="1"/>
  <c r="J104" i="7"/>
  <c r="L104" i="7"/>
  <c r="H108" i="8" s="1"/>
  <c r="D88" i="8"/>
  <c r="D78" i="8"/>
  <c r="D70" i="8"/>
  <c r="D49" i="8"/>
  <c r="G49" i="8"/>
  <c r="F9" i="8"/>
  <c r="L20" i="1"/>
  <c r="L591" i="23"/>
  <c r="K597" i="23"/>
  <c r="L597" i="23" s="1"/>
  <c r="F152" i="23"/>
  <c r="N4" i="57"/>
  <c r="P15" i="38"/>
  <c r="F13" i="38"/>
  <c r="N13" i="16"/>
  <c r="N10" i="18"/>
  <c r="I12" i="38"/>
  <c r="H12" i="38"/>
  <c r="F11" i="38"/>
  <c r="I20" i="39"/>
  <c r="P18" i="16"/>
  <c r="I17" i="39"/>
  <c r="P13" i="18"/>
  <c r="P14" i="18" s="1"/>
  <c r="P16" i="16"/>
  <c r="P21" i="16" s="1"/>
  <c r="I15" i="39"/>
  <c r="P11" i="18"/>
  <c r="P14" i="16"/>
  <c r="I13" i="39"/>
  <c r="R7" i="16"/>
  <c r="R21" i="16" s="1"/>
  <c r="P7" i="15"/>
  <c r="P21" i="15" s="1"/>
  <c r="R7" i="15"/>
  <c r="R21" i="15" s="1"/>
  <c r="M6" i="39"/>
  <c r="L20" i="39"/>
  <c r="M20" i="39" s="1"/>
  <c r="Q12" i="41"/>
  <c r="Q9" i="41"/>
  <c r="Q17" i="41"/>
  <c r="M20" i="41"/>
  <c r="Q13" i="41"/>
  <c r="V13" i="17"/>
  <c r="V16" i="15"/>
  <c r="Q15" i="41"/>
  <c r="M15" i="41"/>
  <c r="P7" i="41"/>
  <c r="V7" i="15"/>
  <c r="V21" i="15" s="1"/>
  <c r="Q6" i="41"/>
  <c r="M6" i="41"/>
  <c r="K145" i="7"/>
  <c r="M146" i="7"/>
  <c r="I150" i="8" s="1"/>
  <c r="F143" i="7"/>
  <c r="I128" i="7"/>
  <c r="G125" i="7"/>
  <c r="J125" i="7" s="1"/>
  <c r="C121" i="7"/>
  <c r="B125" i="8" s="1"/>
  <c r="K121" i="7"/>
  <c r="H121" i="7"/>
  <c r="J121" i="7" s="1"/>
  <c r="F125" i="8" s="1"/>
  <c r="E121" i="7"/>
  <c r="D125" i="8" s="1"/>
  <c r="F121" i="7"/>
  <c r="E125" i="8" s="1"/>
  <c r="I121" i="7"/>
  <c r="G110" i="7"/>
  <c r="C110" i="7"/>
  <c r="B114" i="8" s="1"/>
  <c r="F110" i="7"/>
  <c r="E114" i="8" s="1"/>
  <c r="H110" i="7"/>
  <c r="K110" i="7"/>
  <c r="D110" i="7"/>
  <c r="L105" i="7"/>
  <c r="H109" i="8" s="1"/>
  <c r="J105" i="7"/>
  <c r="F109" i="8" s="1"/>
  <c r="F108" i="8" s="1"/>
  <c r="M83" i="7"/>
  <c r="I87" i="8" s="1"/>
  <c r="D12" i="1"/>
  <c r="D23" i="1" s="1"/>
  <c r="F67" i="44"/>
  <c r="L460" i="23"/>
  <c r="N7" i="16"/>
  <c r="N21" i="16" s="1"/>
  <c r="H6" i="38"/>
  <c r="O7" i="16" s="1"/>
  <c r="AN6" i="16" s="1"/>
  <c r="R20" i="16"/>
  <c r="P20" i="15"/>
  <c r="R20" i="15"/>
  <c r="I18" i="39"/>
  <c r="I16" i="39"/>
  <c r="R11" i="18"/>
  <c r="R14" i="16"/>
  <c r="P11" i="17"/>
  <c r="P14" i="15"/>
  <c r="R14" i="15"/>
  <c r="R11" i="17"/>
  <c r="M13" i="39"/>
  <c r="T14" i="16"/>
  <c r="T11" i="18"/>
  <c r="G142" i="7"/>
  <c r="J142" i="7" s="1"/>
  <c r="F146" i="8" s="1"/>
  <c r="C142" i="7"/>
  <c r="B146" i="8" s="1"/>
  <c r="D130" i="7"/>
  <c r="C119" i="7"/>
  <c r="B123" i="8" s="1"/>
  <c r="K119" i="7"/>
  <c r="M119" i="7" s="1"/>
  <c r="I123" i="8" s="1"/>
  <c r="E119" i="7"/>
  <c r="D123" i="8" s="1"/>
  <c r="H119" i="7"/>
  <c r="I103" i="7"/>
  <c r="H102" i="7"/>
  <c r="J102" i="7" s="1"/>
  <c r="F106" i="8" s="1"/>
  <c r="F105" i="8" s="1"/>
  <c r="K99" i="7"/>
  <c r="J97" i="7"/>
  <c r="F101" i="8" s="1"/>
  <c r="I78" i="7"/>
  <c r="G75" i="7"/>
  <c r="J75" i="7" s="1"/>
  <c r="F79" i="8" s="1"/>
  <c r="C75" i="7"/>
  <c r="B79" i="8" s="1"/>
  <c r="D75" i="7"/>
  <c r="C79" i="8" s="1"/>
  <c r="K57" i="7"/>
  <c r="G55" i="7"/>
  <c r="C55" i="7"/>
  <c r="B59" i="8" s="1"/>
  <c r="E55" i="7"/>
  <c r="D59" i="8" s="1"/>
  <c r="F55" i="7"/>
  <c r="E59" i="8" s="1"/>
  <c r="I55" i="7"/>
  <c r="L55" i="7" s="1"/>
  <c r="H59" i="8" s="1"/>
  <c r="L47" i="7"/>
  <c r="H51" i="8" s="1"/>
  <c r="C44" i="7"/>
  <c r="B48" i="8" s="1"/>
  <c r="K44" i="7"/>
  <c r="G44" i="7"/>
  <c r="J44" i="7" s="1"/>
  <c r="F48" i="8" s="1"/>
  <c r="I44" i="7"/>
  <c r="D44" i="7"/>
  <c r="G41" i="7"/>
  <c r="J41" i="7" s="1"/>
  <c r="F41" i="7"/>
  <c r="I41" i="7"/>
  <c r="C41" i="7"/>
  <c r="B45" i="8" s="1"/>
  <c r="K39" i="7"/>
  <c r="L9" i="7"/>
  <c r="H13" i="8" s="1"/>
  <c r="AJ7" i="16"/>
  <c r="AF7" i="16"/>
  <c r="C62" i="7"/>
  <c r="B66" i="8" s="1"/>
  <c r="K62" i="7"/>
  <c r="D62" i="7"/>
  <c r="E62" i="7"/>
  <c r="D66" i="8" s="1"/>
  <c r="D65" i="8" s="1"/>
  <c r="G62" i="7"/>
  <c r="G59" i="7"/>
  <c r="C59" i="7"/>
  <c r="B63" i="8" s="1"/>
  <c r="D59" i="7"/>
  <c r="L59" i="7" s="1"/>
  <c r="H63" i="8" s="1"/>
  <c r="F59" i="7"/>
  <c r="E63" i="8" s="1"/>
  <c r="L37" i="7"/>
  <c r="H41" i="8" s="1"/>
  <c r="C30" i="7"/>
  <c r="B34" i="8" s="1"/>
  <c r="K30" i="7"/>
  <c r="D30" i="7"/>
  <c r="E30" i="7"/>
  <c r="D34" i="8" s="1"/>
  <c r="G30" i="7"/>
  <c r="Y14" i="16"/>
  <c r="AR13" i="16" s="1"/>
  <c r="Y11" i="18"/>
  <c r="AR10" i="18" s="1"/>
  <c r="E10" i="16"/>
  <c r="E10" i="15"/>
  <c r="E7" i="18"/>
  <c r="E10" i="17"/>
  <c r="G13" i="16"/>
  <c r="G10" i="18"/>
  <c r="N18" i="16"/>
  <c r="H17" i="38"/>
  <c r="O18" i="16" s="1"/>
  <c r="AN17" i="16" s="1"/>
  <c r="N15" i="15"/>
  <c r="N12" i="17"/>
  <c r="N9" i="15"/>
  <c r="M8" i="38"/>
  <c r="P10" i="18"/>
  <c r="P13" i="16"/>
  <c r="Q11" i="16"/>
  <c r="AO10" i="16" s="1"/>
  <c r="Q8" i="18"/>
  <c r="AO7" i="18" s="1"/>
  <c r="P7" i="17"/>
  <c r="P14" i="17" s="1"/>
  <c r="R10" i="16"/>
  <c r="R7" i="18"/>
  <c r="R14" i="18" s="1"/>
  <c r="P10" i="15"/>
  <c r="R10" i="15"/>
  <c r="R7" i="17"/>
  <c r="R14" i="17" s="1"/>
  <c r="R8" i="16"/>
  <c r="R8" i="15"/>
  <c r="P8" i="15"/>
  <c r="T20" i="16"/>
  <c r="I19" i="40"/>
  <c r="T13" i="17"/>
  <c r="T16" i="15"/>
  <c r="T12" i="16"/>
  <c r="T9" i="18"/>
  <c r="I11" i="40"/>
  <c r="T8" i="17"/>
  <c r="T11" i="15"/>
  <c r="V17" i="15"/>
  <c r="Q16" i="41"/>
  <c r="D12" i="41"/>
  <c r="V8" i="17"/>
  <c r="V11" i="15"/>
  <c r="W7" i="18"/>
  <c r="W10" i="16"/>
  <c r="AQ9" i="16" s="1"/>
  <c r="V9" i="15"/>
  <c r="Q8" i="41"/>
  <c r="C147" i="7"/>
  <c r="B151" i="8" s="1"/>
  <c r="G147" i="7"/>
  <c r="J133" i="7"/>
  <c r="F137" i="8" s="1"/>
  <c r="J130" i="7"/>
  <c r="F134" i="8" s="1"/>
  <c r="C129" i="7"/>
  <c r="K129" i="7"/>
  <c r="D129" i="7"/>
  <c r="L129" i="7" s="1"/>
  <c r="C117" i="7"/>
  <c r="B121" i="8" s="1"/>
  <c r="K117" i="7"/>
  <c r="E117" i="7"/>
  <c r="D121" i="8" s="1"/>
  <c r="G116" i="7"/>
  <c r="D116" i="7"/>
  <c r="M116" i="7" s="1"/>
  <c r="I120" i="8" s="1"/>
  <c r="H116" i="7"/>
  <c r="H115" i="7" s="1"/>
  <c r="G114" i="7"/>
  <c r="D114" i="7"/>
  <c r="M114" i="7" s="1"/>
  <c r="I118" i="8" s="1"/>
  <c r="G112" i="7"/>
  <c r="F112" i="7"/>
  <c r="E116" i="8" s="1"/>
  <c r="E103" i="7"/>
  <c r="D107" i="8" s="1"/>
  <c r="E102" i="7"/>
  <c r="D106" i="8" s="1"/>
  <c r="D105" i="8" s="1"/>
  <c r="F99" i="7"/>
  <c r="E103" i="8" s="1"/>
  <c r="H94" i="7"/>
  <c r="E93" i="7"/>
  <c r="H87" i="7"/>
  <c r="D83" i="7"/>
  <c r="F80" i="7"/>
  <c r="E84" i="8" s="1"/>
  <c r="G78" i="7"/>
  <c r="J78" i="7" s="1"/>
  <c r="C76" i="7"/>
  <c r="B80" i="8" s="1"/>
  <c r="K76" i="7"/>
  <c r="M76" i="7" s="1"/>
  <c r="I80" i="8" s="1"/>
  <c r="G76" i="7"/>
  <c r="I76" i="7"/>
  <c r="H73" i="7"/>
  <c r="C70" i="7"/>
  <c r="B74" i="8" s="1"/>
  <c r="K70" i="7"/>
  <c r="M70" i="7" s="1"/>
  <c r="I74" i="8" s="1"/>
  <c r="F70" i="7"/>
  <c r="E74" i="8" s="1"/>
  <c r="H70" i="7"/>
  <c r="J70" i="7" s="1"/>
  <c r="F74" i="8" s="1"/>
  <c r="I70" i="7"/>
  <c r="C64" i="7"/>
  <c r="B68" i="8" s="1"/>
  <c r="K64" i="7"/>
  <c r="M64" i="7" s="1"/>
  <c r="I68" i="8" s="1"/>
  <c r="E64" i="7"/>
  <c r="G64" i="7"/>
  <c r="H64" i="7"/>
  <c r="L64" i="7" s="1"/>
  <c r="H68" i="8" s="1"/>
  <c r="F60" i="7"/>
  <c r="E64" i="8" s="1"/>
  <c r="E57" i="7"/>
  <c r="D61" i="8" s="1"/>
  <c r="I46" i="7"/>
  <c r="I43" i="7"/>
  <c r="C42" i="7"/>
  <c r="B46" i="8" s="1"/>
  <c r="K42" i="7"/>
  <c r="D42" i="7"/>
  <c r="L42" i="7" s="1"/>
  <c r="H46" i="8" s="1"/>
  <c r="F42" i="7"/>
  <c r="E46" i="8" s="1"/>
  <c r="E45" i="8" s="1"/>
  <c r="G42" i="7"/>
  <c r="J42" i="7" s="1"/>
  <c r="F46" i="8" s="1"/>
  <c r="I42" i="7"/>
  <c r="H39" i="7"/>
  <c r="C32" i="7"/>
  <c r="B36" i="8" s="1"/>
  <c r="K32" i="7"/>
  <c r="E32" i="7"/>
  <c r="D36" i="8" s="1"/>
  <c r="G32" i="7"/>
  <c r="H32" i="7"/>
  <c r="E3" i="7"/>
  <c r="A148" i="8"/>
  <c r="L741" i="23"/>
  <c r="N16" i="16"/>
  <c r="N13" i="18"/>
  <c r="N13" i="15"/>
  <c r="N10" i="17"/>
  <c r="N11" i="15"/>
  <c r="N8" i="17"/>
  <c r="N7" i="18"/>
  <c r="N14" i="18" s="1"/>
  <c r="N10" i="16"/>
  <c r="H9" i="38"/>
  <c r="F16" i="39"/>
  <c r="P8" i="18"/>
  <c r="P11" i="16"/>
  <c r="P7" i="16"/>
  <c r="I6" i="39"/>
  <c r="T11" i="17"/>
  <c r="T14" i="15"/>
  <c r="M13" i="40"/>
  <c r="T8" i="16"/>
  <c r="I7" i="40"/>
  <c r="P13" i="41"/>
  <c r="K12" i="41"/>
  <c r="V7" i="18"/>
  <c r="V14" i="18" s="1"/>
  <c r="V10" i="16"/>
  <c r="I142" i="7"/>
  <c r="G140" i="7"/>
  <c r="I140" i="7"/>
  <c r="L139" i="7"/>
  <c r="H143" i="8" s="1"/>
  <c r="C135" i="7"/>
  <c r="B139" i="8" s="1"/>
  <c r="K135" i="7"/>
  <c r="M135" i="7" s="1"/>
  <c r="I139" i="8" s="1"/>
  <c r="E135" i="7"/>
  <c r="E131" i="7" s="1"/>
  <c r="K130" i="7"/>
  <c r="M130" i="7" s="1"/>
  <c r="I134" i="8" s="1"/>
  <c r="G106" i="7"/>
  <c r="E106" i="7"/>
  <c r="I106" i="7"/>
  <c r="D99" i="7"/>
  <c r="G94" i="7"/>
  <c r="J94" i="7" s="1"/>
  <c r="F98" i="8" s="1"/>
  <c r="C92" i="7"/>
  <c r="B96" i="8" s="1"/>
  <c r="K92" i="7"/>
  <c r="M92" i="7" s="1"/>
  <c r="I96" i="8" s="1"/>
  <c r="G92" i="7"/>
  <c r="I92" i="7"/>
  <c r="C86" i="7"/>
  <c r="B90" i="8" s="1"/>
  <c r="K86" i="7"/>
  <c r="M86" i="7" s="1"/>
  <c r="I90" i="8" s="1"/>
  <c r="F86" i="7"/>
  <c r="E90" i="8" s="1"/>
  <c r="E87" i="8" s="1"/>
  <c r="H86" i="7"/>
  <c r="I86" i="7"/>
  <c r="L84" i="7"/>
  <c r="H88" i="8" s="1"/>
  <c r="G77" i="7"/>
  <c r="J77" i="7" s="1"/>
  <c r="F81" i="8" s="1"/>
  <c r="F80" i="8" s="1"/>
  <c r="D77" i="7"/>
  <c r="M77" i="7" s="1"/>
  <c r="I81" i="8" s="1"/>
  <c r="F77" i="7"/>
  <c r="E81" i="8" s="1"/>
  <c r="E80" i="8" s="1"/>
  <c r="H77" i="7"/>
  <c r="K75" i="7"/>
  <c r="G71" i="7"/>
  <c r="J71" i="7" s="1"/>
  <c r="F75" i="8" s="1"/>
  <c r="C71" i="7"/>
  <c r="B75" i="8" s="1"/>
  <c r="E71" i="7"/>
  <c r="D75" i="8" s="1"/>
  <c r="F71" i="7"/>
  <c r="E75" i="8" s="1"/>
  <c r="M69" i="7"/>
  <c r="I73" i="8" s="1"/>
  <c r="K61" i="7"/>
  <c r="H46" i="7"/>
  <c r="G45" i="7"/>
  <c r="J45" i="7" s="1"/>
  <c r="F49" i="8" s="1"/>
  <c r="D45" i="7"/>
  <c r="F45" i="7"/>
  <c r="E49" i="8" s="1"/>
  <c r="H45" i="7"/>
  <c r="H43" i="7"/>
  <c r="M37" i="7"/>
  <c r="I41" i="8" s="1"/>
  <c r="C26" i="7"/>
  <c r="B30" i="8" s="1"/>
  <c r="K26" i="7"/>
  <c r="M26" i="7" s="1"/>
  <c r="I30" i="8" s="1"/>
  <c r="D26" i="7"/>
  <c r="F26" i="7"/>
  <c r="G26" i="7"/>
  <c r="I26" i="7"/>
  <c r="D10" i="7"/>
  <c r="C14" i="8" s="1"/>
  <c r="C12" i="8" s="1"/>
  <c r="I10" i="7"/>
  <c r="K10" i="7"/>
  <c r="M10" i="7" s="1"/>
  <c r="I14" i="8" s="1"/>
  <c r="C10" i="7"/>
  <c r="B14" i="8" s="1"/>
  <c r="E10" i="7"/>
  <c r="D14" i="8" s="1"/>
  <c r="F10" i="7"/>
  <c r="E14" i="8" s="1"/>
  <c r="E12" i="8" s="1"/>
  <c r="G10" i="7"/>
  <c r="H10" i="7"/>
  <c r="M16" i="16"/>
  <c r="AM15" i="16" s="1"/>
  <c r="M13" i="18"/>
  <c r="AM12" i="18" s="1"/>
  <c r="K115" i="7"/>
  <c r="G103" i="7"/>
  <c r="J103" i="7" s="1"/>
  <c r="F107" i="8" s="1"/>
  <c r="C103" i="7"/>
  <c r="B107" i="8" s="1"/>
  <c r="F103" i="7"/>
  <c r="E107" i="8" s="1"/>
  <c r="C102" i="7"/>
  <c r="B106" i="8" s="1"/>
  <c r="K102" i="7"/>
  <c r="F102" i="7"/>
  <c r="E106" i="8" s="1"/>
  <c r="I102" i="7"/>
  <c r="L100" i="7"/>
  <c r="G93" i="7"/>
  <c r="J93" i="7" s="1"/>
  <c r="D93" i="7"/>
  <c r="L93" i="7" s="1"/>
  <c r="H97" i="8" s="1"/>
  <c r="F93" i="7"/>
  <c r="H93" i="7"/>
  <c r="G87" i="7"/>
  <c r="J87" i="7" s="1"/>
  <c r="F91" i="8" s="1"/>
  <c r="C87" i="7"/>
  <c r="B91" i="8" s="1"/>
  <c r="E87" i="7"/>
  <c r="D91" i="8" s="1"/>
  <c r="F87" i="7"/>
  <c r="E91" i="8" s="1"/>
  <c r="G83" i="7"/>
  <c r="E83" i="7"/>
  <c r="E82" i="7" s="1"/>
  <c r="D86" i="8" s="1"/>
  <c r="H83" i="7"/>
  <c r="I83" i="7"/>
  <c r="C80" i="7"/>
  <c r="B84" i="8" s="1"/>
  <c r="K80" i="7"/>
  <c r="E80" i="7"/>
  <c r="D84" i="8" s="1"/>
  <c r="D82" i="8" s="1"/>
  <c r="G80" i="7"/>
  <c r="H80" i="7"/>
  <c r="C78" i="7"/>
  <c r="B82" i="8" s="1"/>
  <c r="K78" i="7"/>
  <c r="M78" i="7" s="1"/>
  <c r="I82" i="8" s="1"/>
  <c r="D78" i="7"/>
  <c r="E78" i="7"/>
  <c r="L65" i="7"/>
  <c r="H69" i="8" s="1"/>
  <c r="I61" i="7"/>
  <c r="C60" i="7"/>
  <c r="B64" i="8" s="1"/>
  <c r="K60" i="7"/>
  <c r="G60" i="7"/>
  <c r="J60" i="7" s="1"/>
  <c r="F64" i="8" s="1"/>
  <c r="I60" i="7"/>
  <c r="D60" i="7"/>
  <c r="L60" i="7" s="1"/>
  <c r="H64" i="8" s="1"/>
  <c r="G57" i="7"/>
  <c r="F57" i="7"/>
  <c r="E61" i="8" s="1"/>
  <c r="I57" i="7"/>
  <c r="C57" i="7"/>
  <c r="B61" i="8" s="1"/>
  <c r="G39" i="7"/>
  <c r="J39" i="7" s="1"/>
  <c r="F43" i="8" s="1"/>
  <c r="C39" i="7"/>
  <c r="B43" i="8" s="1"/>
  <c r="E39" i="7"/>
  <c r="D43" i="8" s="1"/>
  <c r="F39" i="7"/>
  <c r="E43" i="8" s="1"/>
  <c r="I39" i="7"/>
  <c r="J15" i="7"/>
  <c r="F19" i="8" s="1"/>
  <c r="L15" i="7"/>
  <c r="H19" i="8" s="1"/>
  <c r="C14" i="7"/>
  <c r="B18" i="8" s="1"/>
  <c r="K14" i="7"/>
  <c r="M14" i="7" s="1"/>
  <c r="I18" i="8" s="1"/>
  <c r="I14" i="7"/>
  <c r="D14" i="7"/>
  <c r="E14" i="7"/>
  <c r="D18" i="8" s="1"/>
  <c r="F14" i="7"/>
  <c r="E18" i="8" s="1"/>
  <c r="G14" i="7"/>
  <c r="H14" i="7"/>
  <c r="M9" i="7"/>
  <c r="I13" i="8" s="1"/>
  <c r="M4" i="7"/>
  <c r="I8" i="8" s="1"/>
  <c r="F20" i="36"/>
  <c r="M10" i="16"/>
  <c r="AM9" i="16" s="1"/>
  <c r="M7" i="18"/>
  <c r="G99" i="7"/>
  <c r="J99" i="7" s="1"/>
  <c r="F103" i="8" s="1"/>
  <c r="E99" i="7"/>
  <c r="D103" i="8" s="1"/>
  <c r="H99" i="7"/>
  <c r="I99" i="7"/>
  <c r="C94" i="7"/>
  <c r="B98" i="8" s="1"/>
  <c r="K94" i="7"/>
  <c r="D94" i="7"/>
  <c r="L94" i="7" s="1"/>
  <c r="H98" i="8" s="1"/>
  <c r="E94" i="7"/>
  <c r="D98" i="8" s="1"/>
  <c r="L88" i="7"/>
  <c r="H92" i="8" s="1"/>
  <c r="C46" i="7"/>
  <c r="B50" i="8" s="1"/>
  <c r="K46" i="7"/>
  <c r="G50" i="8" s="1"/>
  <c r="D46" i="7"/>
  <c r="E46" i="7"/>
  <c r="D50" i="8" s="1"/>
  <c r="G46" i="7"/>
  <c r="J46" i="7" s="1"/>
  <c r="F50" i="8" s="1"/>
  <c r="G43" i="7"/>
  <c r="C43" i="7"/>
  <c r="B47" i="8" s="1"/>
  <c r="D43" i="7"/>
  <c r="M43" i="7" s="1"/>
  <c r="I47" i="8" s="1"/>
  <c r="F43" i="7"/>
  <c r="E47" i="8" s="1"/>
  <c r="J7" i="7"/>
  <c r="F11" i="8" s="1"/>
  <c r="E16" i="16"/>
  <c r="E13" i="18"/>
  <c r="E16" i="15"/>
  <c r="E14" i="16"/>
  <c r="E11" i="18"/>
  <c r="E14" i="15"/>
  <c r="L781" i="23"/>
  <c r="P9" i="57"/>
  <c r="N13" i="17"/>
  <c r="N16" i="15"/>
  <c r="O12" i="18"/>
  <c r="AN11" i="18" s="1"/>
  <c r="O15" i="16"/>
  <c r="AN14" i="16" s="1"/>
  <c r="P19" i="39"/>
  <c r="D10" i="39"/>
  <c r="P10" i="16"/>
  <c r="P7" i="18"/>
  <c r="I9" i="39"/>
  <c r="R9" i="16"/>
  <c r="P9" i="15"/>
  <c r="R9" i="15"/>
  <c r="Q15" i="40"/>
  <c r="T13" i="18"/>
  <c r="T16" i="16"/>
  <c r="I15" i="40"/>
  <c r="T12" i="17"/>
  <c r="T15" i="15"/>
  <c r="I13" i="40"/>
  <c r="T12" i="15"/>
  <c r="T9" i="17"/>
  <c r="U8" i="18"/>
  <c r="AP7" i="18" s="1"/>
  <c r="U11" i="16"/>
  <c r="AP10" i="16" s="1"/>
  <c r="V20" i="15"/>
  <c r="Q19" i="41"/>
  <c r="Q18" i="41"/>
  <c r="D17" i="41"/>
  <c r="V17" i="16"/>
  <c r="H16" i="41"/>
  <c r="W17" i="16" s="1"/>
  <c r="AQ16" i="16" s="1"/>
  <c r="V12" i="18"/>
  <c r="V15" i="16"/>
  <c r="V9" i="17"/>
  <c r="V12" i="15"/>
  <c r="Q11" i="41"/>
  <c r="Q10" i="41"/>
  <c r="D9" i="41"/>
  <c r="V9" i="16"/>
  <c r="H8" i="41"/>
  <c r="W9" i="16" s="1"/>
  <c r="AQ8" i="16" s="1"/>
  <c r="H147" i="7"/>
  <c r="F144" i="7"/>
  <c r="E142" i="7"/>
  <c r="D146" i="8" s="1"/>
  <c r="D144" i="8" s="1"/>
  <c r="G138" i="7"/>
  <c r="J138" i="7" s="1"/>
  <c r="F142" i="8" s="1"/>
  <c r="F141" i="8" s="1"/>
  <c r="E138" i="7"/>
  <c r="D142" i="8" s="1"/>
  <c r="D141" i="8" s="1"/>
  <c r="C133" i="7"/>
  <c r="B137" i="8" s="1"/>
  <c r="K133" i="7"/>
  <c r="F130" i="7"/>
  <c r="E134" i="8" s="1"/>
  <c r="H129" i="7"/>
  <c r="J129" i="7" s="1"/>
  <c r="F133" i="8" s="1"/>
  <c r="F132" i="8" s="1"/>
  <c r="G126" i="7"/>
  <c r="J126" i="7" s="1"/>
  <c r="F130" i="8" s="1"/>
  <c r="C126" i="7"/>
  <c r="B130" i="8" s="1"/>
  <c r="F119" i="7"/>
  <c r="H117" i="7"/>
  <c r="J117" i="7" s="1"/>
  <c r="F121" i="8" s="1"/>
  <c r="I116" i="7"/>
  <c r="I115" i="7" s="1"/>
  <c r="H114" i="7"/>
  <c r="H112" i="7"/>
  <c r="M104" i="7"/>
  <c r="I108" i="8" s="1"/>
  <c r="K103" i="7"/>
  <c r="M103" i="7" s="1"/>
  <c r="I107" i="8" s="1"/>
  <c r="C96" i="7"/>
  <c r="B100" i="8" s="1"/>
  <c r="K96" i="7"/>
  <c r="M96" i="7" s="1"/>
  <c r="I100" i="8" s="1"/>
  <c r="E96" i="7"/>
  <c r="D100" i="8" s="1"/>
  <c r="G96" i="7"/>
  <c r="H96" i="7"/>
  <c r="C74" i="7"/>
  <c r="B78" i="8" s="1"/>
  <c r="K74" i="7"/>
  <c r="M74" i="7" s="1"/>
  <c r="I78" i="8" s="1"/>
  <c r="D74" i="7"/>
  <c r="F74" i="7"/>
  <c r="E78" i="8" s="1"/>
  <c r="G74" i="7"/>
  <c r="J74" i="7" s="1"/>
  <c r="F78" i="8" s="1"/>
  <c r="G73" i="7"/>
  <c r="J73" i="7" s="1"/>
  <c r="F77" i="8" s="1"/>
  <c r="F73" i="7"/>
  <c r="E77" i="8" s="1"/>
  <c r="I73" i="7"/>
  <c r="J66" i="7"/>
  <c r="F70" i="8" s="1"/>
  <c r="I62" i="7"/>
  <c r="I59" i="7"/>
  <c r="C58" i="7"/>
  <c r="B62" i="8" s="1"/>
  <c r="K58" i="7"/>
  <c r="D58" i="7"/>
  <c r="L58" i="7" s="1"/>
  <c r="H62" i="8" s="1"/>
  <c r="F58" i="7"/>
  <c r="E62" i="8" s="1"/>
  <c r="G58" i="7"/>
  <c r="J58" i="7" s="1"/>
  <c r="F62" i="8" s="1"/>
  <c r="I58" i="7"/>
  <c r="C48" i="7"/>
  <c r="B52" i="8" s="1"/>
  <c r="K48" i="7"/>
  <c r="M48" i="7" s="1"/>
  <c r="I52" i="8" s="1"/>
  <c r="E48" i="7"/>
  <c r="G48" i="7"/>
  <c r="H48" i="7"/>
  <c r="J34" i="7"/>
  <c r="F38" i="8" s="1"/>
  <c r="I30" i="7"/>
  <c r="G23" i="7"/>
  <c r="C23" i="7"/>
  <c r="B27" i="8" s="1"/>
  <c r="I23" i="7"/>
  <c r="K82" i="7"/>
  <c r="H62" i="7"/>
  <c r="G61" i="7"/>
  <c r="D61" i="7"/>
  <c r="F61" i="7"/>
  <c r="H61" i="7"/>
  <c r="H59" i="7"/>
  <c r="M53" i="7"/>
  <c r="I57" i="8" s="1"/>
  <c r="M45" i="7"/>
  <c r="I49" i="8" s="1"/>
  <c r="I32" i="7"/>
  <c r="H30" i="7"/>
  <c r="G28" i="7"/>
  <c r="G27" i="7"/>
  <c r="J27" i="7" s="1"/>
  <c r="F31" i="8" s="1"/>
  <c r="F30" i="8" s="1"/>
  <c r="C27" i="7"/>
  <c r="B31" i="8" s="1"/>
  <c r="D27" i="7"/>
  <c r="M27" i="7" s="1"/>
  <c r="I31" i="8" s="1"/>
  <c r="F27" i="7"/>
  <c r="E31" i="8" s="1"/>
  <c r="E30" i="8" s="1"/>
  <c r="H27" i="7"/>
  <c r="J11" i="7"/>
  <c r="F15" i="8" s="1"/>
  <c r="L7" i="7"/>
  <c r="H11" i="8" s="1"/>
  <c r="E7" i="17"/>
  <c r="E7" i="15"/>
  <c r="BB6" i="15" s="1"/>
  <c r="E7" i="16"/>
  <c r="AI6" i="16" s="1"/>
  <c r="AF16" i="16"/>
  <c r="AJ16" i="16"/>
  <c r="D25" i="7"/>
  <c r="C16" i="7"/>
  <c r="B20" i="8" s="1"/>
  <c r="K16" i="7"/>
  <c r="M16" i="7" s="1"/>
  <c r="I20" i="8" s="1"/>
  <c r="E12" i="7"/>
  <c r="K8" i="7"/>
  <c r="I5" i="7"/>
  <c r="M20" i="42"/>
  <c r="Q9" i="42"/>
  <c r="K18" i="42"/>
  <c r="H16" i="42"/>
  <c r="Y17" i="16" s="1"/>
  <c r="AR16" i="16" s="1"/>
  <c r="Y15" i="16"/>
  <c r="AR14" i="16" s="1"/>
  <c r="Y12" i="18"/>
  <c r="AR11" i="18" s="1"/>
  <c r="K13" i="42"/>
  <c r="X13" i="16"/>
  <c r="X10" i="18"/>
  <c r="K11" i="42"/>
  <c r="B18" i="16"/>
  <c r="I17" i="32"/>
  <c r="P14" i="32"/>
  <c r="B7" i="18"/>
  <c r="B10" i="16"/>
  <c r="I9" i="32"/>
  <c r="D14" i="16"/>
  <c r="D11" i="18"/>
  <c r="I13" i="33"/>
  <c r="D7" i="18"/>
  <c r="D14" i="18" s="1"/>
  <c r="D10" i="16"/>
  <c r="I9" i="33"/>
  <c r="K8" i="33"/>
  <c r="K6" i="33"/>
  <c r="I20" i="34"/>
  <c r="K19" i="34"/>
  <c r="F19" i="15"/>
  <c r="M18" i="34"/>
  <c r="D18" i="34"/>
  <c r="F18" i="16"/>
  <c r="I17" i="34"/>
  <c r="K16" i="34"/>
  <c r="D14" i="34"/>
  <c r="F11" i="18"/>
  <c r="F14" i="16"/>
  <c r="I13" i="34"/>
  <c r="D11" i="34"/>
  <c r="G10" i="16"/>
  <c r="G7" i="18"/>
  <c r="K6" i="34"/>
  <c r="H18" i="16"/>
  <c r="I17" i="35"/>
  <c r="I18" i="16" s="1"/>
  <c r="AK17" i="16" s="1"/>
  <c r="H17" i="16"/>
  <c r="I16" i="35"/>
  <c r="I17" i="16" s="1"/>
  <c r="AK16" i="16" s="1"/>
  <c r="K13" i="35"/>
  <c r="H13" i="15"/>
  <c r="H10" i="17"/>
  <c r="M12" i="35"/>
  <c r="H8" i="15"/>
  <c r="M7" i="35"/>
  <c r="J18" i="16"/>
  <c r="I17" i="36"/>
  <c r="K18" i="16" s="1"/>
  <c r="AL17" i="16" s="1"/>
  <c r="J16" i="15"/>
  <c r="J13" i="17"/>
  <c r="J10" i="17"/>
  <c r="J13" i="15"/>
  <c r="M12" i="36"/>
  <c r="L20" i="16"/>
  <c r="H19" i="37"/>
  <c r="M20" i="16" s="1"/>
  <c r="AM19" i="16" s="1"/>
  <c r="D17" i="37"/>
  <c r="K17" i="37"/>
  <c r="L9" i="18"/>
  <c r="L12" i="16"/>
  <c r="H11" i="37"/>
  <c r="L9" i="15"/>
  <c r="M8" i="37"/>
  <c r="M6" i="58"/>
  <c r="C279" i="6"/>
  <c r="C278" i="6" s="1"/>
  <c r="F280" i="6"/>
  <c r="C54" i="7"/>
  <c r="B58" i="8" s="1"/>
  <c r="K54" i="7"/>
  <c r="C38" i="7"/>
  <c r="B42" i="8" s="1"/>
  <c r="K38" i="7"/>
  <c r="M38" i="7" s="1"/>
  <c r="I42" i="8" s="1"/>
  <c r="J29" i="7"/>
  <c r="C22" i="7"/>
  <c r="B26" i="8" s="1"/>
  <c r="K22" i="7"/>
  <c r="E11" i="7"/>
  <c r="D15" i="8" s="1"/>
  <c r="H7" i="7"/>
  <c r="I7" i="7"/>
  <c r="G5" i="7"/>
  <c r="J5" i="7" s="1"/>
  <c r="D17" i="42"/>
  <c r="M17" i="42"/>
  <c r="X12" i="18"/>
  <c r="X15" i="16"/>
  <c r="I14" i="42"/>
  <c r="Q12" i="42"/>
  <c r="X7" i="18"/>
  <c r="X14" i="18" s="1"/>
  <c r="X10" i="16"/>
  <c r="H9" i="42"/>
  <c r="Q7" i="42"/>
  <c r="X8" i="16"/>
  <c r="I7" i="42"/>
  <c r="J20" i="32"/>
  <c r="K20" i="32" s="1"/>
  <c r="K15" i="32"/>
  <c r="B15" i="15"/>
  <c r="B12" i="17"/>
  <c r="M14" i="32"/>
  <c r="B10" i="18"/>
  <c r="B13" i="16"/>
  <c r="H12" i="32"/>
  <c r="B11" i="15"/>
  <c r="B8" i="17"/>
  <c r="M10" i="32"/>
  <c r="P9" i="32"/>
  <c r="F9" i="32"/>
  <c r="D19" i="15"/>
  <c r="M18" i="33"/>
  <c r="D18" i="16"/>
  <c r="I17" i="33"/>
  <c r="F13" i="33"/>
  <c r="D13" i="16"/>
  <c r="D10" i="18"/>
  <c r="I12" i="33"/>
  <c r="D8" i="17"/>
  <c r="D11" i="15"/>
  <c r="M10" i="33"/>
  <c r="F9" i="33"/>
  <c r="H20" i="34"/>
  <c r="G21" i="16" s="1"/>
  <c r="F14" i="34"/>
  <c r="P14" i="34"/>
  <c r="K11" i="34"/>
  <c r="P10" i="34"/>
  <c r="F10" i="16"/>
  <c r="F7" i="18"/>
  <c r="F14" i="18" s="1"/>
  <c r="I9" i="34"/>
  <c r="F17" i="35"/>
  <c r="H13" i="18"/>
  <c r="H16" i="16"/>
  <c r="I15" i="35"/>
  <c r="H15" i="35"/>
  <c r="K12" i="35"/>
  <c r="H11" i="15"/>
  <c r="H8" i="17"/>
  <c r="M10" i="35"/>
  <c r="H16" i="36"/>
  <c r="J15" i="15"/>
  <c r="J12" i="17"/>
  <c r="M14" i="36"/>
  <c r="J14" i="15"/>
  <c r="J11" i="17"/>
  <c r="M13" i="36"/>
  <c r="J9" i="17"/>
  <c r="J12" i="15"/>
  <c r="M11" i="36"/>
  <c r="F6" i="36"/>
  <c r="M17" i="37"/>
  <c r="L14" i="15"/>
  <c r="L11" i="17"/>
  <c r="M13" i="37"/>
  <c r="F11" i="37"/>
  <c r="F10" i="37"/>
  <c r="H6" i="37"/>
  <c r="M7" i="16" s="1"/>
  <c r="AM6" i="16" s="1"/>
  <c r="I7" i="58"/>
  <c r="M11" i="58"/>
  <c r="N280" i="6"/>
  <c r="O279" i="6"/>
  <c r="I9" i="13"/>
  <c r="J273" i="6"/>
  <c r="C12" i="7"/>
  <c r="B16" i="8" s="1"/>
  <c r="K12" i="7"/>
  <c r="M12" i="7" s="1"/>
  <c r="I16" i="8" s="1"/>
  <c r="I8" i="7"/>
  <c r="I3" i="7" s="1"/>
  <c r="F5" i="7"/>
  <c r="E9" i="8" s="1"/>
  <c r="E8" i="8" s="1"/>
  <c r="H18" i="42"/>
  <c r="Y19" i="16" s="1"/>
  <c r="AR18" i="16" s="1"/>
  <c r="Q16" i="42"/>
  <c r="F16" i="42"/>
  <c r="Q14" i="42"/>
  <c r="F14" i="42"/>
  <c r="I13" i="42"/>
  <c r="I11" i="42"/>
  <c r="P7" i="42"/>
  <c r="F7" i="42"/>
  <c r="B19" i="15"/>
  <c r="M18" i="32"/>
  <c r="B17" i="16"/>
  <c r="H16" i="32"/>
  <c r="K14" i="32"/>
  <c r="K10" i="32"/>
  <c r="B7" i="16"/>
  <c r="I6" i="32"/>
  <c r="P17" i="33"/>
  <c r="P9" i="33"/>
  <c r="I8" i="33"/>
  <c r="E8" i="16"/>
  <c r="E8" i="17"/>
  <c r="E8" i="15"/>
  <c r="D7" i="16"/>
  <c r="D21" i="16" s="1"/>
  <c r="I6" i="33"/>
  <c r="F20" i="16"/>
  <c r="H19" i="34"/>
  <c r="G20" i="16" s="1"/>
  <c r="I19" i="34"/>
  <c r="D17" i="34"/>
  <c r="F17" i="16"/>
  <c r="I16" i="34"/>
  <c r="G16" i="16"/>
  <c r="G13" i="18"/>
  <c r="F15" i="15"/>
  <c r="F12" i="17"/>
  <c r="F13" i="16"/>
  <c r="F10" i="18"/>
  <c r="I12" i="34"/>
  <c r="D10" i="34"/>
  <c r="H10" i="34"/>
  <c r="D7" i="34"/>
  <c r="H6" i="34"/>
  <c r="G7" i="16" s="1"/>
  <c r="AJ6" i="16" s="1"/>
  <c r="J20" i="35"/>
  <c r="K20" i="35" s="1"/>
  <c r="H13" i="16"/>
  <c r="H10" i="18"/>
  <c r="I12" i="35"/>
  <c r="H12" i="35"/>
  <c r="P9" i="35"/>
  <c r="I7" i="35"/>
  <c r="I8" i="16" s="1"/>
  <c r="AK7" i="16" s="1"/>
  <c r="J7" i="18"/>
  <c r="J14" i="18" s="1"/>
  <c r="J10" i="16"/>
  <c r="I9" i="36"/>
  <c r="P6" i="36"/>
  <c r="L13" i="18"/>
  <c r="L16" i="16"/>
  <c r="I15" i="37"/>
  <c r="K13" i="37"/>
  <c r="L10" i="16"/>
  <c r="L7" i="18"/>
  <c r="L14" i="18" s="1"/>
  <c r="I9" i="37"/>
  <c r="K9" i="58"/>
  <c r="D8" i="58"/>
  <c r="L280" i="6"/>
  <c r="K10" i="13"/>
  <c r="H275" i="6"/>
  <c r="E9" i="13"/>
  <c r="F9" i="13" s="1"/>
  <c r="F273" i="6"/>
  <c r="C101" i="7"/>
  <c r="B105" i="8" s="1"/>
  <c r="C98" i="7"/>
  <c r="B102" i="8" s="1"/>
  <c r="K98" i="7"/>
  <c r="C85" i="7"/>
  <c r="B89" i="8" s="1"/>
  <c r="E81" i="7"/>
  <c r="D85" i="8" s="1"/>
  <c r="C69" i="7"/>
  <c r="B73" i="8" s="1"/>
  <c r="I67" i="7"/>
  <c r="C66" i="7"/>
  <c r="B70" i="8" s="1"/>
  <c r="K66" i="7"/>
  <c r="M66" i="7" s="1"/>
  <c r="I70" i="8" s="1"/>
  <c r="E65" i="7"/>
  <c r="D69" i="8" s="1"/>
  <c r="I54" i="7"/>
  <c r="C53" i="7"/>
  <c r="B57" i="8" s="1"/>
  <c r="I51" i="7"/>
  <c r="C50" i="7"/>
  <c r="B54" i="8" s="1"/>
  <c r="K50" i="7"/>
  <c r="E49" i="7"/>
  <c r="D53" i="8" s="1"/>
  <c r="D52" i="8" s="1"/>
  <c r="I38" i="7"/>
  <c r="C37" i="7"/>
  <c r="B41" i="8" s="1"/>
  <c r="I35" i="7"/>
  <c r="I28" i="7" s="1"/>
  <c r="C34" i="7"/>
  <c r="B38" i="8" s="1"/>
  <c r="K34" i="7"/>
  <c r="E33" i="7"/>
  <c r="D37" i="8" s="1"/>
  <c r="H29" i="7"/>
  <c r="C21" i="7"/>
  <c r="B25" i="8" s="1"/>
  <c r="C18" i="7"/>
  <c r="B22" i="8" s="1"/>
  <c r="K18" i="7"/>
  <c r="M18" i="7" s="1"/>
  <c r="I22" i="8" s="1"/>
  <c r="E17" i="7"/>
  <c r="D21" i="8" s="1"/>
  <c r="H16" i="7"/>
  <c r="H13" i="7"/>
  <c r="J13" i="7" s="1"/>
  <c r="F17" i="8" s="1"/>
  <c r="H8" i="7"/>
  <c r="D5" i="7"/>
  <c r="L5" i="7" s="1"/>
  <c r="H9" i="8" s="1"/>
  <c r="X20" i="15"/>
  <c r="Q19" i="42"/>
  <c r="X19" i="16"/>
  <c r="I18" i="42"/>
  <c r="P16" i="42"/>
  <c r="P14" i="42"/>
  <c r="D12" i="42"/>
  <c r="M12" i="42"/>
  <c r="X9" i="18"/>
  <c r="X12" i="16"/>
  <c r="H11" i="42"/>
  <c r="D7" i="42"/>
  <c r="I14" i="32"/>
  <c r="B11" i="17"/>
  <c r="B14" i="15"/>
  <c r="H11" i="32"/>
  <c r="I8" i="32"/>
  <c r="M7" i="32"/>
  <c r="G20" i="33"/>
  <c r="K15" i="33"/>
  <c r="H8" i="33"/>
  <c r="F6" i="33"/>
  <c r="F19" i="34"/>
  <c r="I18" i="34"/>
  <c r="M17" i="34"/>
  <c r="F13" i="18"/>
  <c r="F16" i="16"/>
  <c r="I15" i="34"/>
  <c r="K14" i="34"/>
  <c r="D13" i="34"/>
  <c r="I11" i="34"/>
  <c r="I8" i="34"/>
  <c r="M7" i="34"/>
  <c r="H20" i="35"/>
  <c r="H20" i="16"/>
  <c r="H19" i="35"/>
  <c r="I19" i="35"/>
  <c r="I20" i="16" s="1"/>
  <c r="AK19" i="16" s="1"/>
  <c r="H9" i="18"/>
  <c r="H12" i="16"/>
  <c r="I11" i="35"/>
  <c r="H7" i="35"/>
  <c r="H7" i="15"/>
  <c r="H21" i="15" s="1"/>
  <c r="L20" i="35"/>
  <c r="M20" i="35" s="1"/>
  <c r="J10" i="18"/>
  <c r="J13" i="16"/>
  <c r="I12" i="36"/>
  <c r="J11" i="15"/>
  <c r="J8" i="17"/>
  <c r="M10" i="36"/>
  <c r="I8" i="36"/>
  <c r="K9" i="16" s="1"/>
  <c r="AL8" i="16" s="1"/>
  <c r="D6" i="36"/>
  <c r="I13" i="37"/>
  <c r="L10" i="17"/>
  <c r="L13" i="15"/>
  <c r="P10" i="37"/>
  <c r="F9" i="37"/>
  <c r="M279" i="6"/>
  <c r="C88" i="7"/>
  <c r="B92" i="8" s="1"/>
  <c r="K88" i="7"/>
  <c r="M88" i="7" s="1"/>
  <c r="I92" i="8" s="1"/>
  <c r="C72" i="7"/>
  <c r="B76" i="8" s="1"/>
  <c r="K72" i="7"/>
  <c r="H67" i="7"/>
  <c r="C56" i="7"/>
  <c r="B60" i="8" s="1"/>
  <c r="K56" i="7"/>
  <c r="M56" i="7" s="1"/>
  <c r="I60" i="8" s="1"/>
  <c r="H54" i="7"/>
  <c r="H51" i="7"/>
  <c r="J51" i="7" s="1"/>
  <c r="F55" i="8" s="1"/>
  <c r="C40" i="7"/>
  <c r="B44" i="8" s="1"/>
  <c r="K40" i="7"/>
  <c r="M40" i="7" s="1"/>
  <c r="I44" i="8" s="1"/>
  <c r="H38" i="7"/>
  <c r="J38" i="7" s="1"/>
  <c r="F42" i="8" s="1"/>
  <c r="H35" i="7"/>
  <c r="F29" i="7"/>
  <c r="I25" i="7"/>
  <c r="C24" i="7"/>
  <c r="B28" i="8" s="1"/>
  <c r="K24" i="7"/>
  <c r="G16" i="7"/>
  <c r="L16" i="7" s="1"/>
  <c r="H20" i="8" s="1"/>
  <c r="F13" i="7"/>
  <c r="E17" i="8" s="1"/>
  <c r="E16" i="8" s="1"/>
  <c r="I12" i="7"/>
  <c r="H11" i="7"/>
  <c r="L11" i="7" s="1"/>
  <c r="H15" i="8" s="1"/>
  <c r="F11" i="7"/>
  <c r="E15" i="8" s="1"/>
  <c r="G8" i="7"/>
  <c r="G20" i="42"/>
  <c r="F18" i="42"/>
  <c r="M16" i="42"/>
  <c r="D16" i="42"/>
  <c r="X14" i="16"/>
  <c r="X11" i="18"/>
  <c r="M7" i="42"/>
  <c r="G20" i="32"/>
  <c r="B20" i="16"/>
  <c r="H19" i="32"/>
  <c r="B18" i="15"/>
  <c r="M17" i="32"/>
  <c r="B16" i="16"/>
  <c r="B13" i="18"/>
  <c r="I15" i="32"/>
  <c r="I10" i="32"/>
  <c r="B7" i="17"/>
  <c r="B10" i="15"/>
  <c r="H8" i="32"/>
  <c r="R6" i="33"/>
  <c r="F20" i="33"/>
  <c r="M17" i="33"/>
  <c r="D11" i="17"/>
  <c r="D14" i="15"/>
  <c r="P6" i="33"/>
  <c r="D6" i="33"/>
  <c r="H18" i="34"/>
  <c r="G19" i="16" s="1"/>
  <c r="P16" i="34"/>
  <c r="F14" i="15"/>
  <c r="F11" i="17"/>
  <c r="M13" i="34"/>
  <c r="D12" i="34"/>
  <c r="H11" i="34"/>
  <c r="D9" i="34"/>
  <c r="H8" i="34"/>
  <c r="G9" i="16" s="1"/>
  <c r="P6" i="34"/>
  <c r="F6" i="34"/>
  <c r="M17" i="35"/>
  <c r="H17" i="15"/>
  <c r="M16" i="35"/>
  <c r="F13" i="35"/>
  <c r="I8" i="18"/>
  <c r="AK7" i="18" s="1"/>
  <c r="I11" i="16"/>
  <c r="AK10" i="16" s="1"/>
  <c r="H20" i="36"/>
  <c r="F16" i="36"/>
  <c r="P16" i="36"/>
  <c r="J12" i="18"/>
  <c r="J15" i="16"/>
  <c r="I14" i="36"/>
  <c r="J11" i="18"/>
  <c r="J14" i="16"/>
  <c r="I13" i="36"/>
  <c r="P9" i="36"/>
  <c r="D15" i="37"/>
  <c r="M15" i="37"/>
  <c r="F15" i="37"/>
  <c r="H13" i="37"/>
  <c r="L8" i="17"/>
  <c r="L11" i="15"/>
  <c r="M10" i="37"/>
  <c r="D10" i="58"/>
  <c r="I9" i="58"/>
  <c r="I6" i="58"/>
  <c r="G11" i="58"/>
  <c r="K6" i="58"/>
  <c r="J280" i="6"/>
  <c r="I279" i="6"/>
  <c r="L279" i="6"/>
  <c r="D275" i="6"/>
  <c r="H5" i="7"/>
  <c r="E5" i="7"/>
  <c r="D9" i="8" s="1"/>
  <c r="D8" i="8" s="1"/>
  <c r="X16" i="16"/>
  <c r="X13" i="18"/>
  <c r="H15" i="42"/>
  <c r="X9" i="16"/>
  <c r="I8" i="42"/>
  <c r="X7" i="16"/>
  <c r="X21" i="16" s="1"/>
  <c r="I6" i="42"/>
  <c r="P15" i="32"/>
  <c r="B12" i="18"/>
  <c r="B15" i="16"/>
  <c r="P11" i="32"/>
  <c r="D16" i="16"/>
  <c r="D13" i="18"/>
  <c r="I15" i="33"/>
  <c r="I14" i="33"/>
  <c r="D10" i="15"/>
  <c r="D7" i="17"/>
  <c r="D14" i="17" s="1"/>
  <c r="F8" i="33"/>
  <c r="I7" i="33"/>
  <c r="H12" i="17"/>
  <c r="H15" i="15"/>
  <c r="M14" i="35"/>
  <c r="H7" i="17"/>
  <c r="H14" i="17" s="1"/>
  <c r="H10" i="15"/>
  <c r="J20" i="16"/>
  <c r="H19" i="36"/>
  <c r="I19" i="36"/>
  <c r="K20" i="16" s="1"/>
  <c r="AL19" i="16" s="1"/>
  <c r="J18" i="15"/>
  <c r="M17" i="36"/>
  <c r="J17" i="15"/>
  <c r="M16" i="36"/>
  <c r="F8" i="36"/>
  <c r="J7" i="15"/>
  <c r="J21" i="15" s="1"/>
  <c r="L20" i="36"/>
  <c r="M20" i="36" s="1"/>
  <c r="L18" i="16"/>
  <c r="I17" i="37"/>
  <c r="L13" i="16"/>
  <c r="L10" i="18"/>
  <c r="H12" i="37"/>
  <c r="I12" i="37"/>
  <c r="L7" i="15"/>
  <c r="L21" i="15" s="1"/>
  <c r="L20" i="37"/>
  <c r="M20" i="37" s="1"/>
  <c r="M6" i="37"/>
  <c r="F6" i="58"/>
  <c r="E11" i="58"/>
  <c r="H280" i="6"/>
  <c r="E150" i="7"/>
  <c r="D154" i="8" s="1"/>
  <c r="D153" i="8" s="1"/>
  <c r="D152" i="8" s="1"/>
  <c r="G279" i="6"/>
  <c r="E278" i="6"/>
  <c r="N276" i="6"/>
  <c r="M275" i="6"/>
  <c r="N275" i="6" s="1"/>
  <c r="N15" i="16"/>
  <c r="N12" i="18"/>
  <c r="N11" i="17"/>
  <c r="N14" i="15"/>
  <c r="R19" i="16"/>
  <c r="P19" i="15"/>
  <c r="R19" i="15"/>
  <c r="P12" i="16"/>
  <c r="P9" i="18"/>
  <c r="R8" i="18"/>
  <c r="R8" i="17"/>
  <c r="R11" i="16"/>
  <c r="P11" i="15"/>
  <c r="R11" i="15"/>
  <c r="P8" i="17"/>
  <c r="T15" i="16"/>
  <c r="T12" i="18"/>
  <c r="T11" i="16"/>
  <c r="T8" i="18"/>
  <c r="T10" i="15"/>
  <c r="T7" i="17"/>
  <c r="T14" i="17" s="1"/>
  <c r="M9" i="40"/>
  <c r="T7" i="15"/>
  <c r="T21" i="15" s="1"/>
  <c r="Q6" i="40"/>
  <c r="F18" i="41"/>
  <c r="V11" i="18"/>
  <c r="V14" i="16"/>
  <c r="V13" i="15"/>
  <c r="V10" i="17"/>
  <c r="F10" i="41"/>
  <c r="C139" i="7"/>
  <c r="B143" i="8" s="1"/>
  <c r="K139" i="7"/>
  <c r="M139" i="7" s="1"/>
  <c r="I143" i="8" s="1"/>
  <c r="C123" i="7"/>
  <c r="B127" i="8" s="1"/>
  <c r="K123" i="7"/>
  <c r="M123" i="7" s="1"/>
  <c r="I127" i="8" s="1"/>
  <c r="H118" i="7"/>
  <c r="C107" i="7"/>
  <c r="B111" i="8" s="1"/>
  <c r="K107" i="7"/>
  <c r="I101" i="7"/>
  <c r="J101" i="7" s="1"/>
  <c r="C100" i="7"/>
  <c r="B104" i="8" s="1"/>
  <c r="K100" i="7"/>
  <c r="M100" i="7" s="1"/>
  <c r="H98" i="7"/>
  <c r="L98" i="7" s="1"/>
  <c r="H102" i="8" s="1"/>
  <c r="H95" i="7"/>
  <c r="J95" i="7" s="1"/>
  <c r="F99" i="8" s="1"/>
  <c r="I88" i="7"/>
  <c r="J88" i="7" s="1"/>
  <c r="F92" i="8" s="1"/>
  <c r="I85" i="7"/>
  <c r="J85" i="7" s="1"/>
  <c r="F89" i="8" s="1"/>
  <c r="C84" i="7"/>
  <c r="B88" i="8" s="1"/>
  <c r="K84" i="7"/>
  <c r="I72" i="7"/>
  <c r="J72" i="7" s="1"/>
  <c r="F76" i="8" s="1"/>
  <c r="I69" i="7"/>
  <c r="J69" i="7" s="1"/>
  <c r="F73" i="8" s="1"/>
  <c r="C68" i="7"/>
  <c r="B72" i="8" s="1"/>
  <c r="K68" i="7"/>
  <c r="M68" i="7" s="1"/>
  <c r="I72" i="8" s="1"/>
  <c r="E67" i="7"/>
  <c r="D71" i="8" s="1"/>
  <c r="I56" i="7"/>
  <c r="J56" i="7" s="1"/>
  <c r="F54" i="7"/>
  <c r="E58" i="8" s="1"/>
  <c r="I53" i="7"/>
  <c r="J53" i="7" s="1"/>
  <c r="F57" i="8" s="1"/>
  <c r="C52" i="7"/>
  <c r="B56" i="8" s="1"/>
  <c r="K52" i="7"/>
  <c r="M52" i="7" s="1"/>
  <c r="I56" i="8" s="1"/>
  <c r="E51" i="7"/>
  <c r="D55" i="8" s="1"/>
  <c r="I40" i="7"/>
  <c r="J40" i="7" s="1"/>
  <c r="F44" i="8" s="1"/>
  <c r="F38" i="7"/>
  <c r="E42" i="8" s="1"/>
  <c r="I37" i="7"/>
  <c r="J37" i="7" s="1"/>
  <c r="F41" i="8" s="1"/>
  <c r="C36" i="7"/>
  <c r="B40" i="8" s="1"/>
  <c r="K36" i="7"/>
  <c r="E35" i="7"/>
  <c r="E28" i="7" s="1"/>
  <c r="D29" i="7"/>
  <c r="M29" i="7" s="1"/>
  <c r="I33" i="8" s="1"/>
  <c r="F25" i="7"/>
  <c r="E29" i="8" s="1"/>
  <c r="I21" i="7"/>
  <c r="J21" i="7" s="1"/>
  <c r="C20" i="7"/>
  <c r="B24" i="8" s="1"/>
  <c r="K20" i="7"/>
  <c r="E16" i="7"/>
  <c r="D20" i="8" s="1"/>
  <c r="D13" i="7"/>
  <c r="L13" i="7" s="1"/>
  <c r="H17" i="8" s="1"/>
  <c r="G12" i="7"/>
  <c r="J12" i="7" s="1"/>
  <c r="H9" i="7"/>
  <c r="J9" i="7" s="1"/>
  <c r="F13" i="8" s="1"/>
  <c r="C9" i="7"/>
  <c r="B13" i="8" s="1"/>
  <c r="E7" i="7"/>
  <c r="D11" i="8" s="1"/>
  <c r="K5" i="7"/>
  <c r="D4" i="7"/>
  <c r="H4" i="7"/>
  <c r="R6" i="42"/>
  <c r="Q17" i="42"/>
  <c r="K16" i="42"/>
  <c r="X12" i="17"/>
  <c r="X15" i="15"/>
  <c r="P13" i="42"/>
  <c r="D13" i="42"/>
  <c r="I12" i="42"/>
  <c r="X11" i="16"/>
  <c r="X8" i="18"/>
  <c r="H10" i="42"/>
  <c r="P19" i="32"/>
  <c r="B19" i="16"/>
  <c r="I18" i="32"/>
  <c r="B17" i="15"/>
  <c r="M16" i="32"/>
  <c r="E20" i="32"/>
  <c r="B11" i="16"/>
  <c r="B8" i="18"/>
  <c r="C20" i="32"/>
  <c r="M19" i="33"/>
  <c r="K9" i="33"/>
  <c r="M8" i="33"/>
  <c r="D8" i="33"/>
  <c r="H7" i="33"/>
  <c r="M19" i="34"/>
  <c r="M16" i="34"/>
  <c r="F15" i="16"/>
  <c r="F12" i="18"/>
  <c r="H14" i="34"/>
  <c r="F13" i="15"/>
  <c r="F10" i="17"/>
  <c r="M12" i="34"/>
  <c r="P11" i="34"/>
  <c r="I10" i="34"/>
  <c r="D6" i="34"/>
  <c r="K17" i="35"/>
  <c r="H13" i="17"/>
  <c r="H16" i="15"/>
  <c r="M15" i="35"/>
  <c r="K14" i="35"/>
  <c r="K9" i="35"/>
  <c r="M8" i="35"/>
  <c r="K11" i="16"/>
  <c r="AL10" i="16" s="1"/>
  <c r="K8" i="18"/>
  <c r="AL7" i="18" s="1"/>
  <c r="K6" i="36"/>
  <c r="L19" i="15"/>
  <c r="M18" i="37"/>
  <c r="F13" i="37"/>
  <c r="H7" i="37"/>
  <c r="M8" i="16" s="1"/>
  <c r="AM7" i="16" s="1"/>
  <c r="O6" i="58"/>
  <c r="D6" i="58"/>
  <c r="F277" i="6"/>
  <c r="D8" i="7"/>
  <c r="L8" i="7" s="1"/>
  <c r="H12" i="8" s="1"/>
  <c r="F8" i="7"/>
  <c r="F3" i="7" s="1"/>
  <c r="K3" i="7"/>
  <c r="X19" i="15"/>
  <c r="M18" i="42"/>
  <c r="X11" i="17"/>
  <c r="X14" i="15"/>
  <c r="M13" i="42"/>
  <c r="Q13" i="42"/>
  <c r="Y10" i="18"/>
  <c r="AR9" i="18" s="1"/>
  <c r="Y13" i="16"/>
  <c r="AR12" i="16" s="1"/>
  <c r="X9" i="17"/>
  <c r="X12" i="15"/>
  <c r="Q11" i="42"/>
  <c r="O21" i="32"/>
  <c r="P20" i="32"/>
  <c r="B11" i="18"/>
  <c r="B14" i="16"/>
  <c r="I13" i="32"/>
  <c r="B8" i="16"/>
  <c r="I7" i="32"/>
  <c r="B7" i="15"/>
  <c r="L20" i="32"/>
  <c r="D17" i="15"/>
  <c r="M16" i="33"/>
  <c r="D12" i="18"/>
  <c r="D15" i="16"/>
  <c r="D12" i="15"/>
  <c r="D9" i="17"/>
  <c r="M11" i="33"/>
  <c r="D7" i="15"/>
  <c r="D21" i="15" s="1"/>
  <c r="L20" i="33"/>
  <c r="M20" i="33" s="1"/>
  <c r="AF17" i="16"/>
  <c r="AJ17" i="16"/>
  <c r="G14" i="16"/>
  <c r="G11" i="18"/>
  <c r="F8" i="16"/>
  <c r="I7" i="34"/>
  <c r="F7" i="15"/>
  <c r="F21" i="15" s="1"/>
  <c r="L20" i="34"/>
  <c r="M20" i="34" s="1"/>
  <c r="I15" i="16"/>
  <c r="AK14" i="16" s="1"/>
  <c r="I12" i="18"/>
  <c r="AK11" i="18" s="1"/>
  <c r="H11" i="17"/>
  <c r="H14" i="15"/>
  <c r="F6" i="35"/>
  <c r="E20" i="35"/>
  <c r="J10" i="15"/>
  <c r="J7" i="17"/>
  <c r="J14" i="17" s="1"/>
  <c r="P8" i="36"/>
  <c r="H8" i="36"/>
  <c r="I20" i="37"/>
  <c r="H20" i="37"/>
  <c r="M21" i="16" s="1"/>
  <c r="L12" i="17"/>
  <c r="L15" i="15"/>
  <c r="M14" i="37"/>
  <c r="L10" i="15"/>
  <c r="L7" i="17"/>
  <c r="L14" i="17" s="1"/>
  <c r="M9" i="37"/>
  <c r="D7" i="58"/>
  <c r="D9" i="58"/>
  <c r="Q279" i="6"/>
  <c r="R280" i="6"/>
  <c r="P277" i="6"/>
  <c r="O275" i="6"/>
  <c r="P275" i="6" s="1"/>
  <c r="F275" i="6"/>
  <c r="K275" i="6"/>
  <c r="M9" i="13"/>
  <c r="N9" i="13" s="1"/>
  <c r="N273" i="6"/>
  <c r="X11" i="15"/>
  <c r="X8" i="17"/>
  <c r="Q10" i="42"/>
  <c r="F19" i="32"/>
  <c r="B9" i="17"/>
  <c r="B12" i="15"/>
  <c r="F8" i="32"/>
  <c r="D20" i="16"/>
  <c r="H19" i="33"/>
  <c r="D17" i="16"/>
  <c r="H16" i="33"/>
  <c r="D12" i="17"/>
  <c r="D15" i="15"/>
  <c r="M14" i="33"/>
  <c r="D8" i="18"/>
  <c r="D11" i="16"/>
  <c r="F17" i="34"/>
  <c r="F13" i="17"/>
  <c r="F16" i="15"/>
  <c r="H15" i="16"/>
  <c r="H12" i="18"/>
  <c r="H9" i="17"/>
  <c r="H12" i="15"/>
  <c r="M11" i="35"/>
  <c r="K8" i="35"/>
  <c r="J19" i="15"/>
  <c r="M18" i="36"/>
  <c r="J13" i="18"/>
  <c r="J16" i="16"/>
  <c r="I15" i="36"/>
  <c r="H15" i="36"/>
  <c r="K9" i="36"/>
  <c r="L12" i="18"/>
  <c r="L15" i="16"/>
  <c r="I14" i="37"/>
  <c r="H14" i="37"/>
  <c r="L8" i="18"/>
  <c r="L11" i="16"/>
  <c r="H10" i="37"/>
  <c r="I8" i="37"/>
  <c r="D8" i="37"/>
  <c r="L8" i="16"/>
  <c r="I7" i="37"/>
  <c r="J272" i="6"/>
  <c r="F269" i="6"/>
  <c r="C275" i="6"/>
  <c r="R275" i="6" s="1"/>
  <c r="F276" i="6"/>
  <c r="F272" i="6"/>
  <c r="R272" i="6"/>
  <c r="C269" i="6"/>
  <c r="N269" i="6"/>
  <c r="N272" i="6"/>
  <c r="O273" i="6"/>
  <c r="O269" i="6"/>
  <c r="H274" i="6"/>
  <c r="G273" i="6"/>
  <c r="V14" i="15"/>
  <c r="V11" i="17"/>
  <c r="V10" i="15"/>
  <c r="V7" i="17"/>
  <c r="V14" i="17" s="1"/>
  <c r="L6" i="7"/>
  <c r="H10" i="8" s="1"/>
  <c r="X20" i="16"/>
  <c r="H19" i="42"/>
  <c r="Y20" i="16" s="1"/>
  <c r="AR19" i="16" s="1"/>
  <c r="X13" i="17"/>
  <c r="X16" i="15"/>
  <c r="Q15" i="42"/>
  <c r="X7" i="17"/>
  <c r="X14" i="17" s="1"/>
  <c r="X10" i="15"/>
  <c r="B13" i="17"/>
  <c r="B16" i="15"/>
  <c r="B10" i="17"/>
  <c r="B13" i="15"/>
  <c r="M12" i="32"/>
  <c r="B9" i="18"/>
  <c r="B12" i="16"/>
  <c r="I11" i="32"/>
  <c r="D13" i="17"/>
  <c r="D16" i="15"/>
  <c r="D13" i="15"/>
  <c r="D10" i="17"/>
  <c r="M12" i="33"/>
  <c r="D12" i="16"/>
  <c r="D9" i="18"/>
  <c r="I11" i="33"/>
  <c r="F9" i="17"/>
  <c r="F12" i="15"/>
  <c r="F10" i="15"/>
  <c r="F7" i="17"/>
  <c r="F14" i="17" s="1"/>
  <c r="F8" i="34"/>
  <c r="H19" i="15"/>
  <c r="M18" i="35"/>
  <c r="H11" i="18"/>
  <c r="H14" i="16"/>
  <c r="I13" i="35"/>
  <c r="H7" i="18"/>
  <c r="H14" i="18" s="1"/>
  <c r="H10" i="16"/>
  <c r="I9" i="35"/>
  <c r="K14" i="36"/>
  <c r="J9" i="18"/>
  <c r="J12" i="16"/>
  <c r="I11" i="36"/>
  <c r="P16" i="37"/>
  <c r="L14" i="16"/>
  <c r="L11" i="18"/>
  <c r="L12" i="15"/>
  <c r="L9" i="17"/>
  <c r="M11" i="37"/>
  <c r="P276" i="6"/>
  <c r="R9" i="13"/>
  <c r="L273" i="6"/>
  <c r="F270" i="6"/>
  <c r="K269" i="6"/>
  <c r="L9" i="13"/>
  <c r="P272" i="6"/>
  <c r="I269" i="6"/>
  <c r="D226" i="6"/>
  <c r="F225" i="6"/>
  <c r="N225" i="6"/>
  <c r="M230" i="6"/>
  <c r="N230" i="6" s="1"/>
  <c r="E230" i="6"/>
  <c r="F230" i="6" s="1"/>
  <c r="O224" i="6"/>
  <c r="Q224" i="6"/>
  <c r="L223" i="6"/>
  <c r="J244" i="6"/>
  <c r="J240" i="6"/>
  <c r="J236" i="6"/>
  <c r="M224" i="6"/>
  <c r="R244" i="6"/>
  <c r="K230" i="6"/>
  <c r="L230" i="6" s="1"/>
  <c r="C230" i="6"/>
  <c r="D134" i="7" s="1"/>
  <c r="K224" i="6"/>
  <c r="L225" i="6"/>
  <c r="H272" i="6"/>
  <c r="H268" i="6"/>
  <c r="H264" i="6"/>
  <c r="H260" i="6"/>
  <c r="H256" i="6"/>
  <c r="H252" i="6"/>
  <c r="H248" i="6"/>
  <c r="H244" i="6"/>
  <c r="H240" i="6"/>
  <c r="H236" i="6"/>
  <c r="I224" i="6"/>
  <c r="J225" i="6"/>
  <c r="R257" i="6"/>
  <c r="P252" i="6"/>
  <c r="P248" i="6"/>
  <c r="P244" i="6"/>
  <c r="P240" i="6"/>
  <c r="P236" i="6"/>
  <c r="Q230" i="6"/>
  <c r="R230" i="6" s="1"/>
  <c r="I230" i="6"/>
  <c r="J230" i="6" s="1"/>
  <c r="P226" i="6"/>
  <c r="H226" i="6"/>
  <c r="G224" i="6"/>
  <c r="C224" i="6"/>
  <c r="X13" i="15"/>
  <c r="X10" i="17"/>
  <c r="F16" i="34"/>
  <c r="F8" i="18"/>
  <c r="F11" i="16"/>
  <c r="F7" i="16"/>
  <c r="F21" i="16" s="1"/>
  <c r="I6" i="34"/>
  <c r="H8" i="18"/>
  <c r="H11" i="16"/>
  <c r="H7" i="16"/>
  <c r="H21" i="16" s="1"/>
  <c r="I6" i="35"/>
  <c r="I7" i="16" s="1"/>
  <c r="AK6" i="16" s="1"/>
  <c r="J8" i="18"/>
  <c r="J11" i="16"/>
  <c r="J7" i="16"/>
  <c r="J21" i="16" s="1"/>
  <c r="I6" i="36"/>
  <c r="K7" i="16" s="1"/>
  <c r="AL6" i="16" s="1"/>
  <c r="I10" i="58"/>
  <c r="H277" i="6"/>
  <c r="G269" i="6"/>
  <c r="H269" i="6" s="1"/>
  <c r="H265" i="6"/>
  <c r="H261" i="6"/>
  <c r="H257" i="6"/>
  <c r="H253" i="6"/>
  <c r="H249" i="6"/>
  <c r="H245" i="6"/>
  <c r="H241" i="6"/>
  <c r="H237" i="6"/>
  <c r="E224" i="6"/>
  <c r="F223" i="6"/>
  <c r="N223" i="6"/>
  <c r="P253" i="6"/>
  <c r="P249" i="6"/>
  <c r="P245" i="6"/>
  <c r="P241" i="6"/>
  <c r="P237" i="6"/>
  <c r="O230" i="6"/>
  <c r="P230" i="6" s="1"/>
  <c r="G230" i="6"/>
  <c r="H230" i="6" s="1"/>
  <c r="D224" i="6"/>
  <c r="D11" i="1" s="1"/>
  <c r="D22" i="1" s="1"/>
  <c r="P223" i="6"/>
  <c r="E226" i="6"/>
  <c r="F226" i="6" s="1"/>
  <c r="J219" i="6"/>
  <c r="R219" i="6"/>
  <c r="J215" i="6"/>
  <c r="R215" i="6"/>
  <c r="J211" i="6"/>
  <c r="R211" i="6"/>
  <c r="J207" i="6"/>
  <c r="R207" i="6"/>
  <c r="J203" i="6"/>
  <c r="R203" i="6"/>
  <c r="J199" i="6"/>
  <c r="R199" i="6"/>
  <c r="J195" i="6"/>
  <c r="R195" i="6"/>
  <c r="J191" i="6"/>
  <c r="R191" i="6"/>
  <c r="J187" i="6"/>
  <c r="R187" i="6"/>
  <c r="J183" i="6"/>
  <c r="R183" i="6"/>
  <c r="O6" i="13"/>
  <c r="P6" i="13" s="1"/>
  <c r="P175" i="6"/>
  <c r="H186" i="6"/>
  <c r="H182" i="6"/>
  <c r="J216" i="6"/>
  <c r="R216" i="6"/>
  <c r="J212" i="6"/>
  <c r="R212" i="6"/>
  <c r="L208" i="6"/>
  <c r="C7" i="13"/>
  <c r="P7" i="13" s="1"/>
  <c r="J208" i="6"/>
  <c r="R208" i="6"/>
  <c r="P206" i="6"/>
  <c r="J204" i="6"/>
  <c r="R204" i="6"/>
  <c r="P202" i="6"/>
  <c r="J200" i="6"/>
  <c r="R200" i="6"/>
  <c r="P198" i="6"/>
  <c r="J196" i="6"/>
  <c r="R196" i="6"/>
  <c r="P194" i="6"/>
  <c r="J192" i="6"/>
  <c r="R192" i="6"/>
  <c r="P190" i="6"/>
  <c r="J188" i="6"/>
  <c r="R188" i="6"/>
  <c r="P186" i="6"/>
  <c r="J184" i="6"/>
  <c r="R184" i="6"/>
  <c r="P182" i="6"/>
  <c r="H183" i="6"/>
  <c r="P225" i="6"/>
  <c r="H225" i="6"/>
  <c r="J217" i="6"/>
  <c r="R217" i="6"/>
  <c r="J213" i="6"/>
  <c r="R213" i="6"/>
  <c r="J209" i="6"/>
  <c r="R209" i="6"/>
  <c r="P207" i="6"/>
  <c r="J205" i="6"/>
  <c r="R205" i="6"/>
  <c r="P203" i="6"/>
  <c r="J201" i="6"/>
  <c r="R201" i="6"/>
  <c r="P199" i="6"/>
  <c r="J197" i="6"/>
  <c r="R197" i="6"/>
  <c r="P195" i="6"/>
  <c r="J193" i="6"/>
  <c r="R193" i="6"/>
  <c r="P191" i="6"/>
  <c r="J189" i="6"/>
  <c r="R189" i="6"/>
  <c r="P187" i="6"/>
  <c r="J185" i="6"/>
  <c r="R185" i="6"/>
  <c r="P183" i="6"/>
  <c r="F9" i="18"/>
  <c r="F12" i="16"/>
  <c r="F11" i="15"/>
  <c r="F8" i="17"/>
  <c r="L13" i="17"/>
  <c r="L16" i="15"/>
  <c r="F187" i="6"/>
  <c r="F183" i="6"/>
  <c r="N219" i="6"/>
  <c r="J218" i="6"/>
  <c r="R218" i="6"/>
  <c r="N215" i="6"/>
  <c r="J214" i="6"/>
  <c r="R214" i="6"/>
  <c r="N211" i="6"/>
  <c r="J210" i="6"/>
  <c r="R210" i="6"/>
  <c r="P208" i="6"/>
  <c r="N207" i="6"/>
  <c r="J206" i="6"/>
  <c r="R206" i="6"/>
  <c r="N203" i="6"/>
  <c r="J202" i="6"/>
  <c r="R202" i="6"/>
  <c r="P200" i="6"/>
  <c r="N199" i="6"/>
  <c r="J198" i="6"/>
  <c r="R198" i="6"/>
  <c r="N195" i="6"/>
  <c r="J194" i="6"/>
  <c r="R194" i="6"/>
  <c r="N191" i="6"/>
  <c r="J190" i="6"/>
  <c r="R190" i="6"/>
  <c r="N187" i="6"/>
  <c r="J186" i="6"/>
  <c r="R186" i="6"/>
  <c r="N183" i="6"/>
  <c r="J182" i="6"/>
  <c r="R182" i="6"/>
  <c r="N58" i="6"/>
  <c r="N42" i="6"/>
  <c r="M6" i="13"/>
  <c r="N6" i="13" s="1"/>
  <c r="N175" i="6"/>
  <c r="P174" i="6"/>
  <c r="K6" i="13"/>
  <c r="L6" i="13" s="1"/>
  <c r="L175" i="6"/>
  <c r="N174" i="6"/>
  <c r="L104" i="6"/>
  <c r="H176" i="6"/>
  <c r="I6" i="13"/>
  <c r="J6" i="13" s="1"/>
  <c r="J175" i="6"/>
  <c r="L174" i="6"/>
  <c r="N173" i="6"/>
  <c r="P172" i="6"/>
  <c r="F169" i="6"/>
  <c r="J167" i="6"/>
  <c r="L166" i="6"/>
  <c r="N165" i="6"/>
  <c r="F176" i="6"/>
  <c r="G6" i="13"/>
  <c r="H6" i="13" s="1"/>
  <c r="H175" i="6"/>
  <c r="J174" i="6"/>
  <c r="N172" i="6"/>
  <c r="J166" i="6"/>
  <c r="P42" i="6"/>
  <c r="R181" i="6"/>
  <c r="E6" i="13"/>
  <c r="F6" i="13" s="1"/>
  <c r="F175" i="6"/>
  <c r="H174" i="6"/>
  <c r="F174" i="6"/>
  <c r="P169" i="6"/>
  <c r="F166" i="6"/>
  <c r="H165" i="6"/>
  <c r="J104" i="6"/>
  <c r="J88" i="6"/>
  <c r="Q6" i="13"/>
  <c r="R6" i="13" s="1"/>
  <c r="R175" i="6"/>
  <c r="H172" i="6"/>
  <c r="J5" i="13"/>
  <c r="H116" i="6"/>
  <c r="H112" i="6"/>
  <c r="H108" i="6"/>
  <c r="L106" i="6"/>
  <c r="J105" i="6"/>
  <c r="Q104" i="6"/>
  <c r="R104" i="6" s="1"/>
  <c r="G104" i="6"/>
  <c r="Q88" i="6"/>
  <c r="R88" i="6" s="1"/>
  <c r="G88" i="6"/>
  <c r="C58" i="6"/>
  <c r="D22" i="7" s="1"/>
  <c r="C42" i="6"/>
  <c r="D20" i="7" s="1"/>
  <c r="E41" i="46"/>
  <c r="B116" i="46"/>
  <c r="D6" i="4"/>
  <c r="D8" i="4"/>
  <c r="D10" i="4"/>
  <c r="D12" i="4"/>
  <c r="D14" i="4"/>
  <c r="D16" i="4"/>
  <c r="D18" i="4"/>
  <c r="C21" i="4"/>
  <c r="D7" i="4"/>
  <c r="D9" i="4"/>
  <c r="D11" i="4"/>
  <c r="D13" i="4"/>
  <c r="D15" i="4"/>
  <c r="D17" i="4"/>
  <c r="D19" i="4"/>
  <c r="O104" i="6"/>
  <c r="O88" i="6"/>
  <c r="I73" i="6"/>
  <c r="J73" i="6" s="1"/>
  <c r="K58" i="6"/>
  <c r="L58" i="6" s="1"/>
  <c r="P52" i="6"/>
  <c r="P48" i="6"/>
  <c r="P44" i="6"/>
  <c r="L33" i="6"/>
  <c r="K27" i="6"/>
  <c r="L27" i="6" s="1"/>
  <c r="N116" i="6"/>
  <c r="E104" i="6"/>
  <c r="F104" i="6" s="1"/>
  <c r="E88" i="6"/>
  <c r="F88" i="6" s="1"/>
  <c r="L75" i="6"/>
  <c r="Q73" i="6"/>
  <c r="R73" i="6" s="1"/>
  <c r="G73" i="6"/>
  <c r="H73" i="6" s="1"/>
  <c r="J70" i="6"/>
  <c r="J66" i="6"/>
  <c r="J62" i="6"/>
  <c r="J54" i="6"/>
  <c r="J50" i="6"/>
  <c r="J46" i="6"/>
  <c r="O27" i="6"/>
  <c r="N121" i="6"/>
  <c r="F121" i="6"/>
  <c r="M104" i="6"/>
  <c r="N104" i="6" s="1"/>
  <c r="R90" i="6"/>
  <c r="M88" i="6"/>
  <c r="R86" i="6"/>
  <c r="R82" i="6"/>
  <c r="R78" i="6"/>
  <c r="R74" i="6"/>
  <c r="R70" i="6"/>
  <c r="R66" i="6"/>
  <c r="I58" i="6"/>
  <c r="P49" i="6"/>
  <c r="P45" i="6"/>
  <c r="H37" i="6"/>
  <c r="P35" i="6"/>
  <c r="H33" i="6"/>
  <c r="P31" i="6"/>
  <c r="G27" i="6"/>
  <c r="H27" i="6" s="1"/>
  <c r="M27" i="6"/>
  <c r="N27" i="6" s="1"/>
  <c r="C104" i="6"/>
  <c r="H98" i="6"/>
  <c r="H94" i="6"/>
  <c r="H90" i="6"/>
  <c r="C88" i="6"/>
  <c r="D24" i="7" s="1"/>
  <c r="H86" i="6"/>
  <c r="H82" i="6"/>
  <c r="H78" i="6"/>
  <c r="H74" i="6"/>
  <c r="E73" i="6"/>
  <c r="F73" i="6" s="1"/>
  <c r="H70" i="6"/>
  <c r="H66" i="6"/>
  <c r="H62" i="6"/>
  <c r="N61" i="6"/>
  <c r="Q58" i="6"/>
  <c r="R58" i="6" s="1"/>
  <c r="G58" i="6"/>
  <c r="J55" i="6"/>
  <c r="H54" i="6"/>
  <c r="J51" i="6"/>
  <c r="H50" i="6"/>
  <c r="J47" i="6"/>
  <c r="H46" i="6"/>
  <c r="Q42" i="6"/>
  <c r="R42" i="6" s="1"/>
  <c r="G42" i="6"/>
  <c r="N35" i="6"/>
  <c r="N31" i="6"/>
  <c r="J28" i="6"/>
  <c r="I27" i="6"/>
  <c r="O4" i="13"/>
  <c r="P11" i="6"/>
  <c r="P90" i="6"/>
  <c r="K88" i="6"/>
  <c r="L88" i="6" s="1"/>
  <c r="P86" i="6"/>
  <c r="P82" i="6"/>
  <c r="P78" i="6"/>
  <c r="P74" i="6"/>
  <c r="F74" i="6"/>
  <c r="M73" i="6"/>
  <c r="N73" i="6" s="1"/>
  <c r="P70" i="6"/>
  <c r="P66" i="6"/>
  <c r="P62" i="6"/>
  <c r="P54" i="6"/>
  <c r="P50" i="6"/>
  <c r="P46" i="6"/>
  <c r="L35" i="6"/>
  <c r="L31" i="6"/>
  <c r="H115" i="6"/>
  <c r="H111" i="6"/>
  <c r="H107" i="6"/>
  <c r="H103" i="6"/>
  <c r="H99" i="6"/>
  <c r="H95" i="6"/>
  <c r="H91" i="6"/>
  <c r="H87" i="6"/>
  <c r="H83" i="6"/>
  <c r="H79" i="6"/>
  <c r="H75" i="6"/>
  <c r="H71" i="6"/>
  <c r="H67" i="6"/>
  <c r="H63" i="6"/>
  <c r="H59" i="6"/>
  <c r="E58" i="6"/>
  <c r="F58" i="6" s="1"/>
  <c r="H55" i="6"/>
  <c r="H51" i="6"/>
  <c r="H47" i="6"/>
  <c r="H43" i="6"/>
  <c r="E42" i="6"/>
  <c r="F42" i="6" s="1"/>
  <c r="J35" i="6"/>
  <c r="J31" i="6"/>
  <c r="J7" i="13"/>
  <c r="R121" i="6"/>
  <c r="J121" i="6"/>
  <c r="P75" i="6"/>
  <c r="P71" i="6"/>
  <c r="P67" i="6"/>
  <c r="P63" i="6"/>
  <c r="P59" i="6"/>
  <c r="P55" i="6"/>
  <c r="P51" i="6"/>
  <c r="P47" i="6"/>
  <c r="P43" i="6"/>
  <c r="H35" i="6"/>
  <c r="H31" i="6"/>
  <c r="M4" i="13"/>
  <c r="N11" i="6"/>
  <c r="L29" i="6"/>
  <c r="L11" i="6"/>
  <c r="F39" i="6"/>
  <c r="L4" i="13"/>
  <c r="I4" i="13"/>
  <c r="J11" i="6"/>
  <c r="H29" i="6"/>
  <c r="H11" i="6"/>
  <c r="R35" i="6"/>
  <c r="R33" i="6"/>
  <c r="R31" i="6"/>
  <c r="R29" i="6"/>
  <c r="Q27" i="6"/>
  <c r="R27" i="6" s="1"/>
  <c r="Q4" i="13"/>
  <c r="R11" i="6"/>
  <c r="H4" i="13"/>
  <c r="L10" i="6"/>
  <c r="F37" i="6"/>
  <c r="F35" i="6"/>
  <c r="F33" i="6"/>
  <c r="F31" i="6"/>
  <c r="F29" i="6"/>
  <c r="E27" i="6"/>
  <c r="F25" i="6"/>
  <c r="F23" i="6"/>
  <c r="F21" i="6"/>
  <c r="F19" i="6"/>
  <c r="F17" i="6"/>
  <c r="F15" i="6"/>
  <c r="F13" i="6"/>
  <c r="E4" i="13"/>
  <c r="F11" i="6"/>
  <c r="G121" i="46"/>
  <c r="B94" i="46"/>
  <c r="E31" i="46"/>
  <c r="E63" i="46"/>
  <c r="C43" i="46"/>
  <c r="B90" i="46"/>
  <c r="C22" i="46"/>
  <c r="C26" i="46"/>
  <c r="C24" i="46"/>
  <c r="C28" i="46"/>
  <c r="B124" i="46"/>
  <c r="B118" i="46"/>
  <c r="E10" i="46"/>
  <c r="E75" i="46"/>
  <c r="E42" i="46"/>
  <c r="C12" i="46"/>
  <c r="B92" i="46"/>
  <c r="B114" i="46"/>
  <c r="E6" i="46"/>
  <c r="E14" i="46" s="1"/>
  <c r="P890" i="22"/>
  <c r="C29" i="46"/>
  <c r="B132" i="46"/>
  <c r="E11" i="46"/>
  <c r="C8" i="46"/>
  <c r="B88" i="46"/>
  <c r="P856" i="22"/>
  <c r="E71" i="46"/>
  <c r="E78" i="46" s="1"/>
  <c r="E45" i="46"/>
  <c r="E47" i="46" s="1"/>
  <c r="B120" i="46"/>
  <c r="M856" i="22"/>
  <c r="M699" i="22"/>
  <c r="F703" i="22"/>
  <c r="B93" i="46"/>
  <c r="B85" i="46"/>
  <c r="C69" i="46"/>
  <c r="C79" i="46" s="1"/>
  <c r="N703" i="22"/>
  <c r="P703" i="22" s="1"/>
  <c r="M851" i="22"/>
  <c r="B119" i="46"/>
  <c r="B115" i="46"/>
  <c r="K703" i="22"/>
  <c r="M703" i="22" s="1"/>
  <c r="P385" i="22"/>
  <c r="M385" i="22"/>
  <c r="N154" i="22"/>
  <c r="P154" i="22" s="1"/>
  <c r="M150" i="22"/>
  <c r="K154" i="22"/>
  <c r="Z14" i="18"/>
  <c r="F154" i="22"/>
  <c r="M149" i="22"/>
  <c r="F20" i="4"/>
  <c r="E21" i="4"/>
  <c r="D16" i="2"/>
  <c r="D10" i="2"/>
  <c r="C5" i="45"/>
  <c r="C3" i="45"/>
  <c r="C4" i="45"/>
  <c r="N20" i="4"/>
  <c r="M21" i="4"/>
  <c r="J20" i="2"/>
  <c r="H20" i="2"/>
  <c r="G21" i="2"/>
  <c r="C7" i="45"/>
  <c r="L20" i="4"/>
  <c r="AA21" i="15" s="1"/>
  <c r="D14" i="2"/>
  <c r="H20" i="4"/>
  <c r="AA21" i="16" s="1"/>
  <c r="J20" i="4"/>
  <c r="M14" i="3"/>
  <c r="O10" i="3"/>
  <c r="Q6" i="20"/>
  <c r="C16" i="45"/>
  <c r="E7" i="45"/>
  <c r="M20" i="2"/>
  <c r="E20" i="2"/>
  <c r="N12" i="2"/>
  <c r="C14" i="3"/>
  <c r="G13" i="3"/>
  <c r="D10" i="20"/>
  <c r="I9" i="20"/>
  <c r="F8" i="20"/>
  <c r="I6" i="20"/>
  <c r="E4" i="45"/>
  <c r="N7" i="4"/>
  <c r="F7" i="4"/>
  <c r="J6" i="4"/>
  <c r="L20" i="2"/>
  <c r="C20" i="2"/>
  <c r="D13" i="2" s="1"/>
  <c r="O16" i="2"/>
  <c r="L15" i="2"/>
  <c r="D15" i="2"/>
  <c r="O13" i="2"/>
  <c r="J11" i="2"/>
  <c r="O10" i="2"/>
  <c r="L9" i="2"/>
  <c r="D9" i="2"/>
  <c r="L6" i="2"/>
  <c r="D6" i="2"/>
  <c r="N13" i="3"/>
  <c r="F13" i="3"/>
  <c r="O11" i="3"/>
  <c r="J6" i="3"/>
  <c r="E12" i="43"/>
  <c r="G11" i="20"/>
  <c r="H9" i="20"/>
  <c r="H6" i="20"/>
  <c r="O19" i="2"/>
  <c r="K21" i="2"/>
  <c r="J15" i="2"/>
  <c r="O14" i="2"/>
  <c r="J9" i="2"/>
  <c r="J6" i="2"/>
  <c r="B3" i="19"/>
  <c r="E3" i="19" s="1"/>
  <c r="C12" i="45"/>
  <c r="E3" i="45"/>
  <c r="K13" i="3"/>
  <c r="L11" i="20"/>
  <c r="M11" i="20" s="1"/>
  <c r="H15" i="2"/>
  <c r="H9" i="2"/>
  <c r="H6" i="2"/>
  <c r="D8" i="3"/>
  <c r="I8" i="20"/>
  <c r="H8" i="20"/>
  <c r="N15" i="2"/>
  <c r="N9" i="2"/>
  <c r="N6" i="2"/>
  <c r="D12" i="3"/>
  <c r="F39" i="8" l="1"/>
  <c r="E120" i="8"/>
  <c r="C28" i="8"/>
  <c r="E97" i="8"/>
  <c r="D16" i="8"/>
  <c r="K8" i="1"/>
  <c r="D25" i="1"/>
  <c r="F20" i="2"/>
  <c r="P6" i="2"/>
  <c r="E21" i="2"/>
  <c r="I7" i="18"/>
  <c r="I10" i="16"/>
  <c r="AK9" i="16" s="1"/>
  <c r="R279" i="6"/>
  <c r="Q278" i="6"/>
  <c r="I24" i="7"/>
  <c r="Q6" i="58"/>
  <c r="F11" i="58"/>
  <c r="K11" i="18"/>
  <c r="AL10" i="18" s="1"/>
  <c r="K14" i="16"/>
  <c r="AL13" i="16" s="1"/>
  <c r="G113" i="46"/>
  <c r="G117" i="46"/>
  <c r="G114" i="46"/>
  <c r="G118" i="46"/>
  <c r="G115" i="46"/>
  <c r="G119" i="46"/>
  <c r="G116" i="46"/>
  <c r="G120" i="46"/>
  <c r="R7" i="13"/>
  <c r="H104" i="6"/>
  <c r="E25" i="7"/>
  <c r="D29" i="8" s="1"/>
  <c r="L7" i="13"/>
  <c r="E8" i="13"/>
  <c r="F224" i="6"/>
  <c r="E281" i="6"/>
  <c r="I8" i="13"/>
  <c r="J224" i="6"/>
  <c r="G11" i="1"/>
  <c r="G22" i="1" s="1"/>
  <c r="M8" i="13"/>
  <c r="N224" i="6"/>
  <c r="M11" i="16"/>
  <c r="AM10" i="16" s="1"/>
  <c r="M8" i="18"/>
  <c r="AM7" i="18" s="1"/>
  <c r="AF13" i="16"/>
  <c r="AJ13" i="16"/>
  <c r="H3" i="7"/>
  <c r="J4" i="7"/>
  <c r="F72" i="8"/>
  <c r="AF8" i="16"/>
  <c r="AJ8" i="16"/>
  <c r="J27" i="6"/>
  <c r="H19" i="7"/>
  <c r="F7" i="13"/>
  <c r="P104" i="6"/>
  <c r="K25" i="7"/>
  <c r="M5" i="7"/>
  <c r="I9" i="8" s="1"/>
  <c r="G9" i="8"/>
  <c r="G8" i="8" s="1"/>
  <c r="M20" i="7"/>
  <c r="I24" i="8" s="1"/>
  <c r="G24" i="8"/>
  <c r="M36" i="7"/>
  <c r="I40" i="8" s="1"/>
  <c r="G40" i="8"/>
  <c r="M84" i="7"/>
  <c r="I88" i="8" s="1"/>
  <c r="G88" i="8"/>
  <c r="M24" i="7"/>
  <c r="I28" i="8" s="1"/>
  <c r="M98" i="7"/>
  <c r="I102" i="8" s="1"/>
  <c r="G102" i="8"/>
  <c r="AX7" i="15"/>
  <c r="BB7" i="15"/>
  <c r="C10" i="13"/>
  <c r="C13" i="1"/>
  <c r="L40" i="7"/>
  <c r="H44" i="8" s="1"/>
  <c r="H13" i="3"/>
  <c r="G14" i="3"/>
  <c r="N7" i="13"/>
  <c r="M107" i="7"/>
  <c r="I111" i="8" s="1"/>
  <c r="G111" i="8"/>
  <c r="K11" i="58"/>
  <c r="H11" i="58"/>
  <c r="I11" i="58"/>
  <c r="B14" i="17"/>
  <c r="H20" i="42"/>
  <c r="Y21" i="16" s="1"/>
  <c r="I20" i="42"/>
  <c r="J54" i="7"/>
  <c r="F58" i="8" s="1"/>
  <c r="M278" i="6"/>
  <c r="N279" i="6"/>
  <c r="I19" i="7"/>
  <c r="I10" i="18"/>
  <c r="AK9" i="18" s="1"/>
  <c r="I13" i="16"/>
  <c r="AK12" i="16" s="1"/>
  <c r="AE7" i="17"/>
  <c r="AI7" i="17"/>
  <c r="F24" i="7"/>
  <c r="E28" i="8" s="1"/>
  <c r="H23" i="7"/>
  <c r="L23" i="7" s="1"/>
  <c r="H27" i="8" s="1"/>
  <c r="BB13" i="15"/>
  <c r="AX13" i="15"/>
  <c r="M13" i="7"/>
  <c r="I17" i="8" s="1"/>
  <c r="J14" i="7"/>
  <c r="F18" i="8" s="1"/>
  <c r="F16" i="8" s="1"/>
  <c r="G82" i="7"/>
  <c r="J83" i="7"/>
  <c r="J82" i="7" s="1"/>
  <c r="J26" i="7"/>
  <c r="J92" i="7"/>
  <c r="F96" i="8" s="1"/>
  <c r="J140" i="7"/>
  <c r="O10" i="16"/>
  <c r="AN9" i="16" s="1"/>
  <c r="O7" i="18"/>
  <c r="G115" i="7"/>
  <c r="J116" i="7"/>
  <c r="M121" i="7"/>
  <c r="I125" i="8" s="1"/>
  <c r="G125" i="8"/>
  <c r="G20" i="1"/>
  <c r="G8" i="13"/>
  <c r="H224" i="6"/>
  <c r="K8" i="13"/>
  <c r="L224" i="6"/>
  <c r="K281" i="6"/>
  <c r="J269" i="6"/>
  <c r="H144" i="7"/>
  <c r="M20" i="32"/>
  <c r="L21" i="32"/>
  <c r="D8" i="32"/>
  <c r="C21" i="32"/>
  <c r="D6" i="32"/>
  <c r="D7" i="32"/>
  <c r="G21" i="32"/>
  <c r="H20" i="32"/>
  <c r="I20" i="32"/>
  <c r="C21" i="16" s="1"/>
  <c r="AI7" i="16"/>
  <c r="AE7" i="16"/>
  <c r="J48" i="7"/>
  <c r="M58" i="7"/>
  <c r="I62" i="8" s="1"/>
  <c r="AE10" i="18"/>
  <c r="AI10" i="18"/>
  <c r="J80" i="7"/>
  <c r="F84" i="8" s="1"/>
  <c r="J106" i="7"/>
  <c r="M42" i="7"/>
  <c r="I46" i="8" s="1"/>
  <c r="J64" i="7"/>
  <c r="D120" i="8"/>
  <c r="D119" i="8" s="1"/>
  <c r="AJ9" i="18"/>
  <c r="AF9" i="18"/>
  <c r="L38" i="7"/>
  <c r="H42" i="8" s="1"/>
  <c r="L62" i="7"/>
  <c r="H66" i="8" s="1"/>
  <c r="L44" i="7"/>
  <c r="H48" i="8" s="1"/>
  <c r="C48" i="8"/>
  <c r="C9" i="8"/>
  <c r="C8" i="8" s="1"/>
  <c r="G70" i="8"/>
  <c r="G68" i="8" s="1"/>
  <c r="L80" i="7"/>
  <c r="H84" i="8" s="1"/>
  <c r="L73" i="7"/>
  <c r="H77" i="8" s="1"/>
  <c r="L126" i="7"/>
  <c r="H130" i="8" s="1"/>
  <c r="W12" i="16"/>
  <c r="AQ11" i="16" s="1"/>
  <c r="W9" i="18"/>
  <c r="AQ8" i="18" s="1"/>
  <c r="E33" i="8"/>
  <c r="M109" i="7"/>
  <c r="I113" i="8" s="1"/>
  <c r="G113" i="8"/>
  <c r="L152" i="23"/>
  <c r="B132" i="8"/>
  <c r="B133" i="8"/>
  <c r="G112" i="8"/>
  <c r="G62" i="8"/>
  <c r="E132" i="8"/>
  <c r="F134" i="7"/>
  <c r="G128" i="8"/>
  <c r="D15" i="39"/>
  <c r="D8" i="39"/>
  <c r="D7" i="39"/>
  <c r="D12" i="39"/>
  <c r="D16" i="39"/>
  <c r="D11" i="39"/>
  <c r="D9" i="39"/>
  <c r="H20" i="39"/>
  <c r="Q21" i="16" s="1"/>
  <c r="D14" i="39"/>
  <c r="C8" i="13"/>
  <c r="C281" i="6"/>
  <c r="C11" i="1"/>
  <c r="M12" i="18"/>
  <c r="AM11" i="18" s="1"/>
  <c r="M15" i="16"/>
  <c r="AM14" i="16" s="1"/>
  <c r="E21" i="16"/>
  <c r="E21" i="15"/>
  <c r="E20" i="16"/>
  <c r="E20" i="15"/>
  <c r="F279" i="6"/>
  <c r="D68" i="8"/>
  <c r="L25" i="7"/>
  <c r="H29" i="8" s="1"/>
  <c r="J96" i="7"/>
  <c r="F100" i="8" s="1"/>
  <c r="F97" i="8" s="1"/>
  <c r="L96" i="7"/>
  <c r="H100" i="8" s="1"/>
  <c r="J32" i="7"/>
  <c r="F36" i="8" s="1"/>
  <c r="F8" i="8"/>
  <c r="W11" i="16"/>
  <c r="AQ10" i="16" s="1"/>
  <c r="W8" i="18"/>
  <c r="AQ7" i="18" s="1"/>
  <c r="C24" i="8"/>
  <c r="C22" i="8" s="1"/>
  <c r="J42" i="6"/>
  <c r="H279" i="6"/>
  <c r="G278" i="6"/>
  <c r="G281" i="6" s="1"/>
  <c r="E149" i="7"/>
  <c r="E148" i="7" s="1"/>
  <c r="J8" i="7"/>
  <c r="I12" i="16"/>
  <c r="AK11" i="16" s="1"/>
  <c r="I9" i="18"/>
  <c r="AK8" i="18" s="1"/>
  <c r="R6" i="37"/>
  <c r="F20" i="7"/>
  <c r="E24" i="8" s="1"/>
  <c r="L61" i="7"/>
  <c r="H65" i="8" s="1"/>
  <c r="F23" i="7"/>
  <c r="E27" i="8" s="1"/>
  <c r="L46" i="7"/>
  <c r="H50" i="8" s="1"/>
  <c r="H104" i="8"/>
  <c r="H132" i="8"/>
  <c r="O9" i="3"/>
  <c r="K14" i="3"/>
  <c r="O6" i="3"/>
  <c r="O12" i="3"/>
  <c r="L13" i="3"/>
  <c r="O8" i="3"/>
  <c r="O7" i="3"/>
  <c r="M154" i="22"/>
  <c r="N88" i="6"/>
  <c r="P27" i="6"/>
  <c r="K19" i="7"/>
  <c r="C26" i="8"/>
  <c r="P58" i="6"/>
  <c r="Q8" i="13"/>
  <c r="R8" i="13" s="1"/>
  <c r="R224" i="6"/>
  <c r="Q281" i="6"/>
  <c r="R269" i="6"/>
  <c r="D144" i="7"/>
  <c r="R6" i="35"/>
  <c r="F20" i="35"/>
  <c r="E9" i="18"/>
  <c r="E12" i="16"/>
  <c r="E12" i="17"/>
  <c r="E12" i="15"/>
  <c r="B21" i="15"/>
  <c r="Y11" i="16"/>
  <c r="AR10" i="16" s="1"/>
  <c r="Y8" i="18"/>
  <c r="AR7" i="18" s="1"/>
  <c r="F22" i="7"/>
  <c r="E26" i="8" s="1"/>
  <c r="J118" i="7"/>
  <c r="F122" i="8" s="1"/>
  <c r="F120" i="8" s="1"/>
  <c r="F119" i="8" s="1"/>
  <c r="L118" i="7"/>
  <c r="H122" i="8" s="1"/>
  <c r="M10" i="18"/>
  <c r="AM9" i="18" s="1"/>
  <c r="M13" i="16"/>
  <c r="AM12" i="16" s="1"/>
  <c r="F28" i="7"/>
  <c r="F151" i="7" s="1"/>
  <c r="F152" i="7" s="1"/>
  <c r="I22" i="7"/>
  <c r="K7" i="18"/>
  <c r="K10" i="16"/>
  <c r="AL9" i="16" s="1"/>
  <c r="G25" i="7"/>
  <c r="J25" i="7" s="1"/>
  <c r="F29" i="8" s="1"/>
  <c r="L41" i="7"/>
  <c r="H45" i="8" s="1"/>
  <c r="J61" i="7"/>
  <c r="J28" i="7" s="1"/>
  <c r="E23" i="7"/>
  <c r="D27" i="8" s="1"/>
  <c r="AI13" i="16"/>
  <c r="AE13" i="16"/>
  <c r="M46" i="7"/>
  <c r="I50" i="8" s="1"/>
  <c r="M94" i="7"/>
  <c r="I98" i="8" s="1"/>
  <c r="G98" i="8"/>
  <c r="E60" i="8"/>
  <c r="L26" i="7"/>
  <c r="H30" i="8" s="1"/>
  <c r="C148" i="8"/>
  <c r="C147" i="8" s="1"/>
  <c r="K147" i="8" s="1"/>
  <c r="D148" i="8"/>
  <c r="D147" i="8" s="1"/>
  <c r="E148" i="8"/>
  <c r="E147" i="8" s="1"/>
  <c r="M32" i="7"/>
  <c r="I36" i="8" s="1"/>
  <c r="G36" i="8"/>
  <c r="L71" i="7"/>
  <c r="H75" i="8" s="1"/>
  <c r="L83" i="7"/>
  <c r="H87" i="8" s="1"/>
  <c r="D82" i="7"/>
  <c r="M117" i="7"/>
  <c r="I121" i="8" s="1"/>
  <c r="G121" i="8"/>
  <c r="K147" i="7"/>
  <c r="AF12" i="16"/>
  <c r="AJ12" i="16"/>
  <c r="M62" i="7"/>
  <c r="I66" i="8" s="1"/>
  <c r="J98" i="7"/>
  <c r="F102" i="8" s="1"/>
  <c r="L130" i="7"/>
  <c r="H134" i="8" s="1"/>
  <c r="C134" i="8"/>
  <c r="M93" i="7"/>
  <c r="I97" i="8" s="1"/>
  <c r="L121" i="7"/>
  <c r="H125" i="8" s="1"/>
  <c r="J108" i="7"/>
  <c r="F112" i="8" s="1"/>
  <c r="L103" i="7"/>
  <c r="H107" i="8" s="1"/>
  <c r="K131" i="7"/>
  <c r="M131" i="7" s="1"/>
  <c r="I135" i="8" s="1"/>
  <c r="M132" i="7"/>
  <c r="I136" i="8" s="1"/>
  <c r="L39" i="7"/>
  <c r="H43" i="8" s="1"/>
  <c r="L89" i="7"/>
  <c r="M8" i="1"/>
  <c r="C20" i="1"/>
  <c r="C14" i="1"/>
  <c r="N8" i="1"/>
  <c r="J122" i="7"/>
  <c r="F126" i="8" s="1"/>
  <c r="C64" i="8"/>
  <c r="M143" i="7"/>
  <c r="I147" i="8" s="1"/>
  <c r="F20" i="1"/>
  <c r="R6" i="39"/>
  <c r="D14" i="1"/>
  <c r="G92" i="8"/>
  <c r="F68" i="8"/>
  <c r="C63" i="8"/>
  <c r="G117" i="8"/>
  <c r="G20" i="8"/>
  <c r="L106" i="7"/>
  <c r="H110" i="8" s="1"/>
  <c r="Q15" i="16"/>
  <c r="AO14" i="16" s="1"/>
  <c r="Q12" i="18"/>
  <c r="AO11" i="18" s="1"/>
  <c r="G134" i="8"/>
  <c r="D8" i="13"/>
  <c r="D11" i="13" s="1"/>
  <c r="D281" i="6"/>
  <c r="O8" i="13"/>
  <c r="P8" i="13" s="1"/>
  <c r="P224" i="6"/>
  <c r="E10" i="18"/>
  <c r="E13" i="16"/>
  <c r="E13" i="15"/>
  <c r="E13" i="17"/>
  <c r="E18" i="16"/>
  <c r="E18" i="15"/>
  <c r="J35" i="7"/>
  <c r="L35" i="7"/>
  <c r="H39" i="8" s="1"/>
  <c r="J67" i="7"/>
  <c r="F71" i="8" s="1"/>
  <c r="L67" i="7"/>
  <c r="H71" i="8" s="1"/>
  <c r="K10" i="18"/>
  <c r="AL9" i="18" s="1"/>
  <c r="K13" i="16"/>
  <c r="AL12" i="16" s="1"/>
  <c r="H28" i="7"/>
  <c r="M50" i="7"/>
  <c r="I54" i="8" s="1"/>
  <c r="G54" i="8"/>
  <c r="AJ19" i="16"/>
  <c r="AF19" i="16"/>
  <c r="M12" i="16"/>
  <c r="AM11" i="16" s="1"/>
  <c r="M9" i="18"/>
  <c r="AM8" i="18" s="1"/>
  <c r="L74" i="7"/>
  <c r="H78" i="8" s="1"/>
  <c r="AX6" i="15"/>
  <c r="BB15" i="15"/>
  <c r="AX15" i="15"/>
  <c r="R6" i="36"/>
  <c r="L14" i="7"/>
  <c r="H18" i="8" s="1"/>
  <c r="C18" i="8"/>
  <c r="J57" i="7"/>
  <c r="F61" i="8" s="1"/>
  <c r="L72" i="7"/>
  <c r="H76" i="8" s="1"/>
  <c r="M80" i="7"/>
  <c r="I84" i="8" s="1"/>
  <c r="G84" i="8"/>
  <c r="G82" i="8" s="1"/>
  <c r="E105" i="8"/>
  <c r="L45" i="7"/>
  <c r="H49" i="8" s="1"/>
  <c r="L86" i="7"/>
  <c r="H90" i="8" s="1"/>
  <c r="J86" i="7"/>
  <c r="F90" i="8" s="1"/>
  <c r="F87" i="8" s="1"/>
  <c r="D9" i="32"/>
  <c r="L85" i="7"/>
  <c r="H89" i="8" s="1"/>
  <c r="J112" i="7"/>
  <c r="F116" i="8" s="1"/>
  <c r="AI9" i="17"/>
  <c r="AE9" i="17"/>
  <c r="J30" i="7"/>
  <c r="F34" i="8" s="1"/>
  <c r="F33" i="8" s="1"/>
  <c r="L21" i="7"/>
  <c r="H25" i="8" s="1"/>
  <c r="J55" i="7"/>
  <c r="F59" i="8" s="1"/>
  <c r="F52" i="8" s="1"/>
  <c r="M99" i="7"/>
  <c r="I103" i="8" s="1"/>
  <c r="G103" i="8"/>
  <c r="L102" i="7"/>
  <c r="H106" i="8" s="1"/>
  <c r="J110" i="7"/>
  <c r="F114" i="8" s="1"/>
  <c r="G18" i="8"/>
  <c r="G78" i="8"/>
  <c r="L92" i="7"/>
  <c r="H96" i="8" s="1"/>
  <c r="H20" i="40"/>
  <c r="U21" i="16" s="1"/>
  <c r="I20" i="40"/>
  <c r="N9" i="1"/>
  <c r="I131" i="7"/>
  <c r="L51" i="7"/>
  <c r="H55" i="8" s="1"/>
  <c r="L141" i="7"/>
  <c r="H145" i="8" s="1"/>
  <c r="I9" i="1"/>
  <c r="L95" i="7"/>
  <c r="H99" i="8" s="1"/>
  <c r="F131" i="7"/>
  <c r="U7" i="18"/>
  <c r="U10" i="16"/>
  <c r="AP9" i="16" s="1"/>
  <c r="D72" i="8"/>
  <c r="L90" i="7"/>
  <c r="L125" i="7"/>
  <c r="H129" i="8" s="1"/>
  <c r="J128" i="7"/>
  <c r="C46" i="8"/>
  <c r="G123" i="8"/>
  <c r="G127" i="8"/>
  <c r="G66" i="8"/>
  <c r="G65" i="8" s="1"/>
  <c r="L127" i="7"/>
  <c r="H131" i="8" s="1"/>
  <c r="O11" i="16"/>
  <c r="AN10" i="16" s="1"/>
  <c r="O8" i="18"/>
  <c r="AN7" i="18" s="1"/>
  <c r="L91" i="7"/>
  <c r="H95" i="8" s="1"/>
  <c r="C95" i="8"/>
  <c r="I134" i="7"/>
  <c r="G44" i="8"/>
  <c r="G104" i="8"/>
  <c r="M54" i="7"/>
  <c r="I58" i="8" s="1"/>
  <c r="G58" i="8"/>
  <c r="M8" i="7"/>
  <c r="I12" i="8" s="1"/>
  <c r="L27" i="7"/>
  <c r="H31" i="8" s="1"/>
  <c r="C31" i="8"/>
  <c r="C30" i="8" s="1"/>
  <c r="M82" i="7"/>
  <c r="I86" i="8" s="1"/>
  <c r="G86" i="8"/>
  <c r="J23" i="7"/>
  <c r="F27" i="8" s="1"/>
  <c r="F129" i="8"/>
  <c r="AI12" i="18"/>
  <c r="AE12" i="18"/>
  <c r="AE6" i="18"/>
  <c r="L43" i="7"/>
  <c r="H47" i="8" s="1"/>
  <c r="C47" i="8"/>
  <c r="L53" i="7"/>
  <c r="H57" i="8" s="1"/>
  <c r="M102" i="7"/>
  <c r="I106" i="8" s="1"/>
  <c r="G106" i="8"/>
  <c r="M75" i="7"/>
  <c r="I79" i="8" s="1"/>
  <c r="G79" i="8"/>
  <c r="E151" i="7"/>
  <c r="E152" i="7" s="1"/>
  <c r="L114" i="7"/>
  <c r="H118" i="8" s="1"/>
  <c r="D33" i="8"/>
  <c r="L69" i="7"/>
  <c r="H73" i="8" s="1"/>
  <c r="M39" i="7"/>
  <c r="I43" i="8" s="1"/>
  <c r="G43" i="8"/>
  <c r="M44" i="7"/>
  <c r="I48" i="8" s="1"/>
  <c r="G48" i="8"/>
  <c r="M57" i="7"/>
  <c r="I61" i="8" s="1"/>
  <c r="G61" i="8"/>
  <c r="C115" i="8"/>
  <c r="E115" i="8"/>
  <c r="G115" i="8"/>
  <c r="D115" i="8"/>
  <c r="D110" i="8" s="1"/>
  <c r="B93" i="8"/>
  <c r="B94" i="8"/>
  <c r="F144" i="8"/>
  <c r="W13" i="16"/>
  <c r="AQ12" i="16" s="1"/>
  <c r="W10" i="18"/>
  <c r="AQ9" i="18" s="1"/>
  <c r="E10" i="59"/>
  <c r="F10" i="59" s="1"/>
  <c r="F4" i="59"/>
  <c r="G28" i="8"/>
  <c r="M90" i="7"/>
  <c r="G94" i="8"/>
  <c r="O14" i="16"/>
  <c r="AN13" i="16" s="1"/>
  <c r="O11" i="18"/>
  <c r="AN10" i="18" s="1"/>
  <c r="E110" i="8"/>
  <c r="D8" i="38"/>
  <c r="D10" i="38"/>
  <c r="D12" i="38"/>
  <c r="D14" i="38"/>
  <c r="D18" i="38"/>
  <c r="D16" i="38"/>
  <c r="D19" i="38"/>
  <c r="D7" i="38"/>
  <c r="D17" i="38"/>
  <c r="K20" i="38"/>
  <c r="E52" i="8"/>
  <c r="C66" i="8"/>
  <c r="C65" i="8" s="1"/>
  <c r="K65" i="8" s="1"/>
  <c r="D21" i="57"/>
  <c r="C21" i="57" s="1"/>
  <c r="D14" i="57"/>
  <c r="F11" i="57"/>
  <c r="F12" i="57"/>
  <c r="J11" i="57"/>
  <c r="O152" i="23"/>
  <c r="C118" i="8"/>
  <c r="G107" i="8"/>
  <c r="E72" i="8"/>
  <c r="E134" i="7"/>
  <c r="E82" i="8"/>
  <c r="G143" i="8"/>
  <c r="M34" i="7"/>
  <c r="I38" i="8" s="1"/>
  <c r="G38" i="8"/>
  <c r="L278" i="6"/>
  <c r="AF6" i="18"/>
  <c r="AJ12" i="18"/>
  <c r="AF12" i="18"/>
  <c r="P279" i="6"/>
  <c r="O278" i="6"/>
  <c r="O281" i="6" s="1"/>
  <c r="E8" i="18"/>
  <c r="E11" i="16"/>
  <c r="E11" i="17"/>
  <c r="E11" i="15"/>
  <c r="G19" i="7"/>
  <c r="AJ9" i="16"/>
  <c r="AF9" i="16"/>
  <c r="B14" i="18"/>
  <c r="G3" i="7"/>
  <c r="G144" i="7"/>
  <c r="AE6" i="16"/>
  <c r="AE15" i="16"/>
  <c r="AI15" i="16"/>
  <c r="L54" i="7"/>
  <c r="H58" i="8" s="1"/>
  <c r="L78" i="7"/>
  <c r="H82" i="8" s="1"/>
  <c r="I82" i="7"/>
  <c r="I151" i="7" s="1"/>
  <c r="I152" i="7" s="1"/>
  <c r="L99" i="7"/>
  <c r="H103" i="8" s="1"/>
  <c r="C103" i="8"/>
  <c r="L56" i="7"/>
  <c r="H60" i="8" s="1"/>
  <c r="J76" i="7"/>
  <c r="J114" i="7"/>
  <c r="F118" i="8" s="1"/>
  <c r="M129" i="7"/>
  <c r="G133" i="8"/>
  <c r="AX9" i="15"/>
  <c r="BB9" i="15"/>
  <c r="L30" i="7"/>
  <c r="H34" i="8" s="1"/>
  <c r="C34" i="8"/>
  <c r="C33" i="8" s="1"/>
  <c r="L75" i="7"/>
  <c r="H79" i="8" s="1"/>
  <c r="F133" i="7"/>
  <c r="E137" i="8" s="1"/>
  <c r="O13" i="16"/>
  <c r="AN12" i="16" s="1"/>
  <c r="O10" i="18"/>
  <c r="AN9" i="18" s="1"/>
  <c r="D87" i="8"/>
  <c r="L108" i="7"/>
  <c r="H112" i="8" s="1"/>
  <c r="M20" i="38"/>
  <c r="K9" i="1"/>
  <c r="J111" i="7"/>
  <c r="F115" i="8" s="1"/>
  <c r="L113" i="7"/>
  <c r="H117" i="8" s="1"/>
  <c r="L109" i="7"/>
  <c r="H113" i="8" s="1"/>
  <c r="L117" i="7"/>
  <c r="H121" i="8" s="1"/>
  <c r="D145" i="7"/>
  <c r="M145" i="7" s="1"/>
  <c r="I149" i="8" s="1"/>
  <c r="L146" i="7"/>
  <c r="H150" i="8" s="1"/>
  <c r="H11" i="1"/>
  <c r="L32" i="7"/>
  <c r="H36" i="8" s="1"/>
  <c r="M125" i="7"/>
  <c r="I129" i="8" s="1"/>
  <c r="L140" i="7"/>
  <c r="D13" i="38"/>
  <c r="C17" i="8"/>
  <c r="C16" i="8" s="1"/>
  <c r="D6" i="38"/>
  <c r="C145" i="8"/>
  <c r="C144" i="8" s="1"/>
  <c r="K144" i="8" s="1"/>
  <c r="E39" i="8"/>
  <c r="J91" i="7"/>
  <c r="F95" i="8" s="1"/>
  <c r="F93" i="8" s="1"/>
  <c r="L137" i="7"/>
  <c r="H141" i="8" s="1"/>
  <c r="L12" i="57"/>
  <c r="D17" i="57"/>
  <c r="C17" i="57" s="1"/>
  <c r="L11" i="57"/>
  <c r="C49" i="8"/>
  <c r="D45" i="8"/>
  <c r="C94" i="8"/>
  <c r="I11" i="20"/>
  <c r="K11" i="20"/>
  <c r="H11" i="20"/>
  <c r="D11" i="2"/>
  <c r="D17" i="2"/>
  <c r="C21" i="2"/>
  <c r="D19" i="2"/>
  <c r="D7" i="2"/>
  <c r="D12" i="2"/>
  <c r="D18" i="2"/>
  <c r="D8" i="2"/>
  <c r="J4" i="13"/>
  <c r="N4" i="13"/>
  <c r="P4" i="13"/>
  <c r="P88" i="6"/>
  <c r="L42" i="6"/>
  <c r="H7" i="13"/>
  <c r="I14" i="16"/>
  <c r="AK13" i="16" s="1"/>
  <c r="I11" i="18"/>
  <c r="AK10" i="18" s="1"/>
  <c r="P269" i="6"/>
  <c r="K144" i="7"/>
  <c r="M144" i="7" s="1"/>
  <c r="I148" i="8" s="1"/>
  <c r="J275" i="6"/>
  <c r="D147" i="7"/>
  <c r="K16" i="16"/>
  <c r="AL15" i="16" s="1"/>
  <c r="K13" i="18"/>
  <c r="AL12" i="18" s="1"/>
  <c r="E12" i="18"/>
  <c r="E15" i="16"/>
  <c r="E15" i="15"/>
  <c r="L275" i="6"/>
  <c r="I147" i="7"/>
  <c r="J147" i="7" s="1"/>
  <c r="F151" i="8" s="1"/>
  <c r="F150" i="8" s="1"/>
  <c r="F149" i="8" s="1"/>
  <c r="E9" i="16"/>
  <c r="E9" i="17"/>
  <c r="E9" i="15"/>
  <c r="L4" i="7"/>
  <c r="H8" i="8" s="1"/>
  <c r="D3" i="7"/>
  <c r="E19" i="7"/>
  <c r="D23" i="8" s="1"/>
  <c r="Y13" i="18"/>
  <c r="AR12" i="18" s="1"/>
  <c r="Y16" i="16"/>
  <c r="AR15" i="16" s="1"/>
  <c r="R6" i="34"/>
  <c r="J16" i="7"/>
  <c r="F20" i="8" s="1"/>
  <c r="H20" i="33"/>
  <c r="I20" i="33"/>
  <c r="Y12" i="16"/>
  <c r="AR11" i="16" s="1"/>
  <c r="Y9" i="18"/>
  <c r="AR8" i="18" s="1"/>
  <c r="L10" i="13"/>
  <c r="G11" i="16"/>
  <c r="G8" i="18"/>
  <c r="AJ15" i="16"/>
  <c r="AF15" i="16"/>
  <c r="AF6" i="16"/>
  <c r="B21" i="16"/>
  <c r="E19" i="16"/>
  <c r="E19" i="15"/>
  <c r="M22" i="7"/>
  <c r="I26" i="8" s="1"/>
  <c r="J43" i="7"/>
  <c r="F47" i="8" s="1"/>
  <c r="F45" i="8" s="1"/>
  <c r="M59" i="7"/>
  <c r="I63" i="8" s="1"/>
  <c r="L12" i="7"/>
  <c r="H16" i="8" s="1"/>
  <c r="H82" i="7"/>
  <c r="D19" i="32"/>
  <c r="L10" i="7"/>
  <c r="H14" i="8" s="1"/>
  <c r="K28" i="7"/>
  <c r="K151" i="7" s="1"/>
  <c r="M61" i="7"/>
  <c r="I65" i="8" s="1"/>
  <c r="L101" i="7"/>
  <c r="H105" i="8" s="1"/>
  <c r="D60" i="8"/>
  <c r="AE9" i="16"/>
  <c r="AI9" i="16"/>
  <c r="M30" i="7"/>
  <c r="I34" i="8" s="1"/>
  <c r="G34" i="8"/>
  <c r="G33" i="8" s="1"/>
  <c r="J59" i="7"/>
  <c r="F63" i="8" s="1"/>
  <c r="L110" i="7"/>
  <c r="H114" i="8" s="1"/>
  <c r="L57" i="7"/>
  <c r="H61" i="8" s="1"/>
  <c r="L142" i="7"/>
  <c r="H146" i="8" s="1"/>
  <c r="P20" i="38"/>
  <c r="L149" i="7"/>
  <c r="H153" i="8" s="1"/>
  <c r="L111" i="7"/>
  <c r="H115" i="8" s="1"/>
  <c r="D131" i="7"/>
  <c r="L132" i="7"/>
  <c r="H136" i="8" s="1"/>
  <c r="L87" i="7"/>
  <c r="H91" i="8" s="1"/>
  <c r="D12" i="8"/>
  <c r="J109" i="7"/>
  <c r="F113" i="8" s="1"/>
  <c r="U15" i="16"/>
  <c r="AP14" i="16" s="1"/>
  <c r="U12" i="18"/>
  <c r="AP11" i="18" s="1"/>
  <c r="F11" i="1"/>
  <c r="L112" i="7"/>
  <c r="H116" i="8" s="1"/>
  <c r="F20" i="38"/>
  <c r="N10" i="1"/>
  <c r="L21" i="1"/>
  <c r="D11" i="38"/>
  <c r="G96" i="8"/>
  <c r="C114" i="8"/>
  <c r="C110" i="8" s="1"/>
  <c r="K19" i="1"/>
  <c r="G52" i="8"/>
  <c r="G74" i="8"/>
  <c r="G72" i="8" s="1"/>
  <c r="D9" i="38"/>
  <c r="C78" i="8"/>
  <c r="G42" i="8"/>
  <c r="K134" i="7"/>
  <c r="M134" i="7" s="1"/>
  <c r="I138" i="8" s="1"/>
  <c r="O16" i="16"/>
  <c r="AN15" i="16" s="1"/>
  <c r="O13" i="18"/>
  <c r="AN12" i="18" s="1"/>
  <c r="G46" i="8"/>
  <c r="G45" i="8" s="1"/>
  <c r="C133" i="8"/>
  <c r="C132" i="8" s="1"/>
  <c r="M72" i="7"/>
  <c r="I76" i="8" s="1"/>
  <c r="G76" i="8"/>
  <c r="M133" i="7"/>
  <c r="I137" i="8" s="1"/>
  <c r="G137" i="8"/>
  <c r="M60" i="7"/>
  <c r="I64" i="8" s="1"/>
  <c r="G64" i="8"/>
  <c r="L77" i="7"/>
  <c r="H81" i="8" s="1"/>
  <c r="C81" i="8"/>
  <c r="C80" i="8" s="1"/>
  <c r="L116" i="7"/>
  <c r="H120" i="8" s="1"/>
  <c r="D115" i="7"/>
  <c r="L115" i="7" s="1"/>
  <c r="H119" i="8" s="1"/>
  <c r="J62" i="7"/>
  <c r="F66" i="8" s="1"/>
  <c r="F65" i="8" s="1"/>
  <c r="M110" i="7"/>
  <c r="I114" i="8" s="1"/>
  <c r="G114" i="8"/>
  <c r="N20" i="1"/>
  <c r="J124" i="7"/>
  <c r="F128" i="8" s="1"/>
  <c r="G131" i="7"/>
  <c r="J132" i="7"/>
  <c r="J131" i="7" s="1"/>
  <c r="I94" i="8"/>
  <c r="I93" i="8"/>
  <c r="J89" i="7"/>
  <c r="H14" i="1"/>
  <c r="H20" i="1"/>
  <c r="I8" i="1"/>
  <c r="L122" i="7"/>
  <c r="H126" i="8" s="1"/>
  <c r="C126" i="8"/>
  <c r="E11" i="1"/>
  <c r="E22" i="1" s="1"/>
  <c r="E25" i="1" s="1"/>
  <c r="J143" i="7"/>
  <c r="W13" i="18"/>
  <c r="AQ12" i="18" s="1"/>
  <c r="W16" i="16"/>
  <c r="AQ15" i="16" s="1"/>
  <c r="R6" i="38"/>
  <c r="I20" i="38"/>
  <c r="M10" i="1"/>
  <c r="C21" i="1"/>
  <c r="C29" i="8"/>
  <c r="G90" i="8"/>
  <c r="C98" i="8"/>
  <c r="C97" i="8" s="1"/>
  <c r="G131" i="8"/>
  <c r="G129" i="8" s="1"/>
  <c r="G141" i="8"/>
  <c r="C87" i="8"/>
  <c r="H134" i="7"/>
  <c r="M137" i="7"/>
  <c r="I141" i="8" s="1"/>
  <c r="D15" i="38"/>
  <c r="C120" i="8"/>
  <c r="C119" i="8" s="1"/>
  <c r="K119" i="8" s="1"/>
  <c r="C72" i="8"/>
  <c r="L48" i="7"/>
  <c r="H52" i="8" s="1"/>
  <c r="F4" i="13"/>
  <c r="F27" i="6"/>
  <c r="F19" i="7"/>
  <c r="E23" i="8" s="1"/>
  <c r="E22" i="8" s="1"/>
  <c r="H42" i="6"/>
  <c r="E20" i="7"/>
  <c r="D24" i="8" s="1"/>
  <c r="G20" i="7"/>
  <c r="J20" i="7" s="1"/>
  <c r="F24" i="8" s="1"/>
  <c r="H58" i="6"/>
  <c r="G22" i="7"/>
  <c r="L22" i="7" s="1"/>
  <c r="H26" i="8" s="1"/>
  <c r="E22" i="7"/>
  <c r="D26" i="8" s="1"/>
  <c r="J58" i="6"/>
  <c r="H22" i="7"/>
  <c r="H88" i="6"/>
  <c r="E24" i="7"/>
  <c r="D28" i="8" s="1"/>
  <c r="G24" i="7"/>
  <c r="J24" i="7" s="1"/>
  <c r="F28" i="8" s="1"/>
  <c r="N20" i="2"/>
  <c r="M21" i="2"/>
  <c r="C11" i="13"/>
  <c r="L269" i="6"/>
  <c r="I144" i="7"/>
  <c r="G9" i="13"/>
  <c r="H9" i="13" s="1"/>
  <c r="H273" i="6"/>
  <c r="AF10" i="18"/>
  <c r="AJ10" i="18"/>
  <c r="F20" i="32"/>
  <c r="E21" i="32"/>
  <c r="R6" i="32"/>
  <c r="R4" i="13"/>
  <c r="D28" i="7"/>
  <c r="L28" i="7" s="1"/>
  <c r="H32" i="8" s="1"/>
  <c r="L29" i="7"/>
  <c r="H33" i="8" s="1"/>
  <c r="I132" i="8"/>
  <c r="I104" i="8"/>
  <c r="J279" i="6"/>
  <c r="I278" i="6"/>
  <c r="I281" i="6" s="1"/>
  <c r="AF18" i="16"/>
  <c r="AJ18" i="16"/>
  <c r="K9" i="18"/>
  <c r="AL8" i="18" s="1"/>
  <c r="K12" i="16"/>
  <c r="AL11" i="16" s="1"/>
  <c r="O9" i="13"/>
  <c r="P9" i="13" s="1"/>
  <c r="P273" i="6"/>
  <c r="L12" i="1"/>
  <c r="E17" i="16"/>
  <c r="E17" i="15"/>
  <c r="G12" i="18"/>
  <c r="G15" i="16"/>
  <c r="E10" i="13"/>
  <c r="F10" i="13" s="1"/>
  <c r="F278" i="6"/>
  <c r="E13" i="1"/>
  <c r="E24" i="1" s="1"/>
  <c r="M14" i="16"/>
  <c r="AM13" i="16" s="1"/>
  <c r="M11" i="18"/>
  <c r="AM10" i="18" s="1"/>
  <c r="K15" i="16"/>
  <c r="AL14" i="16" s="1"/>
  <c r="K12" i="18"/>
  <c r="AL11" i="18" s="1"/>
  <c r="G9" i="18"/>
  <c r="G12" i="16"/>
  <c r="F12" i="1"/>
  <c r="I16" i="16"/>
  <c r="AK15" i="16" s="1"/>
  <c r="I13" i="18"/>
  <c r="AK12" i="18" s="1"/>
  <c r="Y7" i="18"/>
  <c r="Y10" i="16"/>
  <c r="AR9" i="16" s="1"/>
  <c r="D97" i="8"/>
  <c r="J10" i="7"/>
  <c r="F14" i="8" s="1"/>
  <c r="F12" i="8" s="1"/>
  <c r="J146" i="7"/>
  <c r="J145" i="7" s="1"/>
  <c r="G145" i="7"/>
  <c r="L11" i="1"/>
  <c r="L128" i="7"/>
  <c r="H133" i="8" s="1"/>
  <c r="L143" i="7"/>
  <c r="H147" i="8" s="1"/>
  <c r="H20" i="38"/>
  <c r="O21" i="16" s="1"/>
  <c r="I10" i="1"/>
  <c r="H21" i="1"/>
  <c r="I21" i="1" s="1"/>
  <c r="G56" i="8"/>
  <c r="F82" i="8"/>
  <c r="O9" i="18"/>
  <c r="AN8" i="18" s="1"/>
  <c r="O12" i="16"/>
  <c r="AN11" i="16" s="1"/>
  <c r="C50" i="8"/>
  <c r="R6" i="40"/>
  <c r="F20" i="40"/>
  <c r="G100" i="8"/>
  <c r="E129" i="8"/>
  <c r="M91" i="7"/>
  <c r="I95" i="8" s="1"/>
  <c r="G95" i="8"/>
  <c r="G93" i="8" s="1"/>
  <c r="G138" i="8"/>
  <c r="D138" i="8"/>
  <c r="D136" i="8" s="1"/>
  <c r="D135" i="8" s="1"/>
  <c r="F138" i="8"/>
  <c r="F136" i="8" s="1"/>
  <c r="C138" i="8"/>
  <c r="C136" i="8" s="1"/>
  <c r="E138" i="8"/>
  <c r="G134" i="7"/>
  <c r="J134" i="7" s="1"/>
  <c r="C117" i="8"/>
  <c r="E25" i="59"/>
  <c r="F23" i="59"/>
  <c r="L76" i="7"/>
  <c r="H80" i="8" s="1"/>
  <c r="G14" i="8"/>
  <c r="G12" i="8" s="1"/>
  <c r="C62" i="8"/>
  <c r="C60" i="8" s="1"/>
  <c r="K60" i="8" s="1"/>
  <c r="K152" i="7" l="1"/>
  <c r="P281" i="6"/>
  <c r="O282" i="6"/>
  <c r="J281" i="6"/>
  <c r="I282" i="6"/>
  <c r="H281" i="6"/>
  <c r="G282" i="6"/>
  <c r="F110" i="8"/>
  <c r="J12" i="1"/>
  <c r="K12" i="1" s="1"/>
  <c r="F23" i="1"/>
  <c r="M12" i="1"/>
  <c r="C86" i="8"/>
  <c r="K86" i="8" s="1"/>
  <c r="N21" i="1"/>
  <c r="AI8" i="17"/>
  <c r="AE8" i="17"/>
  <c r="D19" i="57"/>
  <c r="C14" i="57"/>
  <c r="C19" i="57" s="1"/>
  <c r="G60" i="8"/>
  <c r="AI17" i="16"/>
  <c r="AE17" i="16"/>
  <c r="E12" i="13"/>
  <c r="D282" i="6"/>
  <c r="L82" i="7"/>
  <c r="H86" i="8" s="1"/>
  <c r="K282" i="6"/>
  <c r="L281" i="6"/>
  <c r="M10" i="13"/>
  <c r="N278" i="6"/>
  <c r="G110" i="8"/>
  <c r="Q10" i="13"/>
  <c r="R278" i="6"/>
  <c r="K136" i="8"/>
  <c r="C135" i="8"/>
  <c r="K135" i="8" s="1"/>
  <c r="AJ11" i="16"/>
  <c r="AF11" i="16"/>
  <c r="I20" i="1"/>
  <c r="J21" i="1"/>
  <c r="K21" i="1" s="1"/>
  <c r="AF7" i="18"/>
  <c r="AJ7" i="18"/>
  <c r="AI8" i="16"/>
  <c r="AE8" i="16"/>
  <c r="L147" i="7"/>
  <c r="C151" i="8"/>
  <c r="C150" i="8" s="1"/>
  <c r="C149" i="8" s="1"/>
  <c r="E136" i="8"/>
  <c r="E135" i="8" s="1"/>
  <c r="J19" i="7"/>
  <c r="F23" i="8" s="1"/>
  <c r="F22" i="8" s="1"/>
  <c r="F7" i="8" s="1"/>
  <c r="J7" i="8" s="1"/>
  <c r="L19" i="7"/>
  <c r="H23" i="8" s="1"/>
  <c r="C45" i="8"/>
  <c r="K45" i="8" s="1"/>
  <c r="AE6" i="17"/>
  <c r="AI12" i="17"/>
  <c r="AE12" i="17"/>
  <c r="AX11" i="15"/>
  <c r="BB11" i="15"/>
  <c r="Q282" i="6"/>
  <c r="R281" i="6"/>
  <c r="L24" i="7"/>
  <c r="H28" i="8" s="1"/>
  <c r="H15" i="1"/>
  <c r="I14" i="1"/>
  <c r="BB10" i="15"/>
  <c r="AX10" i="15"/>
  <c r="E14" i="1"/>
  <c r="E15" i="1" s="1"/>
  <c r="AE11" i="17"/>
  <c r="AI11" i="17"/>
  <c r="C7" i="8"/>
  <c r="K7" i="8" s="1"/>
  <c r="L8" i="13"/>
  <c r="K11" i="13"/>
  <c r="E119" i="8"/>
  <c r="AF8" i="18"/>
  <c r="AJ8" i="18"/>
  <c r="AJ14" i="16"/>
  <c r="AF14" i="16"/>
  <c r="M28" i="7"/>
  <c r="I32" i="8" s="1"/>
  <c r="BB18" i="15"/>
  <c r="AX18" i="15"/>
  <c r="AJ10" i="16"/>
  <c r="AF10" i="16"/>
  <c r="F60" i="8"/>
  <c r="F32" i="8" s="1"/>
  <c r="BB12" i="15"/>
  <c r="AX12" i="15"/>
  <c r="AF11" i="18"/>
  <c r="AJ11" i="18"/>
  <c r="L131" i="7"/>
  <c r="H135" i="8" s="1"/>
  <c r="AI18" i="16"/>
  <c r="AE18" i="16"/>
  <c r="C93" i="8"/>
  <c r="I11" i="1"/>
  <c r="H22" i="1"/>
  <c r="H25" i="1" s="1"/>
  <c r="K33" i="8"/>
  <c r="C32" i="8"/>
  <c r="K32" i="8" s="1"/>
  <c r="AE10" i="17"/>
  <c r="AI10" i="17"/>
  <c r="AE12" i="16"/>
  <c r="AI12" i="16"/>
  <c r="AE11" i="16"/>
  <c r="AI11" i="16"/>
  <c r="L20" i="7"/>
  <c r="H24" i="8" s="1"/>
  <c r="M11" i="1"/>
  <c r="C22" i="1"/>
  <c r="E32" i="8"/>
  <c r="J115" i="7"/>
  <c r="F86" i="8"/>
  <c r="J8" i="13"/>
  <c r="AX16" i="15"/>
  <c r="BB16" i="15"/>
  <c r="G136" i="8"/>
  <c r="F22" i="1"/>
  <c r="J22" i="1" s="1"/>
  <c r="K22" i="1" s="1"/>
  <c r="J11" i="1"/>
  <c r="D22" i="8"/>
  <c r="D7" i="8" s="1"/>
  <c r="BB14" i="15"/>
  <c r="AX14" i="15"/>
  <c r="J144" i="7"/>
  <c r="F148" i="8" s="1"/>
  <c r="F147" i="8" s="1"/>
  <c r="F135" i="8" s="1"/>
  <c r="F155" i="8" s="1"/>
  <c r="F156" i="8" s="1"/>
  <c r="AE10" i="16"/>
  <c r="AI10" i="16"/>
  <c r="G105" i="8"/>
  <c r="AE9" i="18"/>
  <c r="AI9" i="18"/>
  <c r="C15" i="1"/>
  <c r="G97" i="8"/>
  <c r="AE8" i="18"/>
  <c r="AI8" i="18"/>
  <c r="D12" i="13"/>
  <c r="C282" i="6"/>
  <c r="F281" i="6"/>
  <c r="E282" i="6"/>
  <c r="L134" i="7"/>
  <c r="H138" i="8" s="1"/>
  <c r="D151" i="7"/>
  <c r="L3" i="7"/>
  <c r="H7" i="8" s="1"/>
  <c r="AI14" i="16"/>
  <c r="AE14" i="16"/>
  <c r="L145" i="7"/>
  <c r="H149" i="8" s="1"/>
  <c r="G151" i="7"/>
  <c r="AE7" i="18"/>
  <c r="AI7" i="18"/>
  <c r="G16" i="8"/>
  <c r="G7" i="8" s="1"/>
  <c r="M115" i="7"/>
  <c r="I119" i="8" s="1"/>
  <c r="D15" i="1"/>
  <c r="M20" i="1"/>
  <c r="M147" i="7"/>
  <c r="G151" i="8"/>
  <c r="G150" i="8" s="1"/>
  <c r="G149" i="8" s="1"/>
  <c r="G148" i="8"/>
  <c r="G147" i="8" s="1"/>
  <c r="E25" i="8"/>
  <c r="E7" i="8" s="1"/>
  <c r="C25" i="8"/>
  <c r="BB19" i="15"/>
  <c r="AX19" i="15"/>
  <c r="H8" i="13"/>
  <c r="G87" i="8"/>
  <c r="M25" i="7"/>
  <c r="I29" i="8" s="1"/>
  <c r="G29" i="8"/>
  <c r="G25" i="8" s="1"/>
  <c r="J3" i="7"/>
  <c r="J151" i="7" s="1"/>
  <c r="M281" i="6"/>
  <c r="AI16" i="16"/>
  <c r="AE16" i="16"/>
  <c r="I10" i="13"/>
  <c r="I11" i="13" s="1"/>
  <c r="J278" i="6"/>
  <c r="G13" i="1"/>
  <c r="D25" i="8"/>
  <c r="E11" i="13"/>
  <c r="M21" i="1"/>
  <c r="AI11" i="18"/>
  <c r="AE11" i="18"/>
  <c r="O10" i="13"/>
  <c r="P278" i="6"/>
  <c r="L13" i="1"/>
  <c r="G120" i="8"/>
  <c r="AE19" i="16"/>
  <c r="AI19" i="16"/>
  <c r="C24" i="1"/>
  <c r="I13" i="1"/>
  <c r="H151" i="7"/>
  <c r="F8" i="13"/>
  <c r="L23" i="1"/>
  <c r="N12" i="1"/>
  <c r="N11" i="1"/>
  <c r="L22" i="1"/>
  <c r="J22" i="7"/>
  <c r="F26" i="8" s="1"/>
  <c r="F25" i="8" s="1"/>
  <c r="BB8" i="15"/>
  <c r="AX8" i="15"/>
  <c r="G132" i="8"/>
  <c r="D32" i="8"/>
  <c r="AX17" i="15"/>
  <c r="BB17" i="15"/>
  <c r="J20" i="1"/>
  <c r="H93" i="8"/>
  <c r="H94" i="8"/>
  <c r="L144" i="7"/>
  <c r="H148" i="8" s="1"/>
  <c r="M19" i="7"/>
  <c r="I23" i="8" s="1"/>
  <c r="G23" i="8"/>
  <c r="G22" i="8" s="1"/>
  <c r="G10" i="13"/>
  <c r="H278" i="6"/>
  <c r="F13" i="1"/>
  <c r="G39" i="8"/>
  <c r="G32" i="8" s="1"/>
  <c r="M3" i="7"/>
  <c r="I7" i="8" s="1"/>
  <c r="N8" i="13"/>
  <c r="D155" i="8" l="1"/>
  <c r="D156" i="8" s="1"/>
  <c r="R10" i="13"/>
  <c r="Q11" i="13"/>
  <c r="G135" i="8"/>
  <c r="G155" i="8" s="1"/>
  <c r="G156" i="8" s="1"/>
  <c r="E155" i="8"/>
  <c r="E156" i="8" s="1"/>
  <c r="F11" i="13"/>
  <c r="D14" i="13"/>
  <c r="L151" i="7"/>
  <c r="H155" i="8" s="1"/>
  <c r="D152" i="7"/>
  <c r="M22" i="1"/>
  <c r="C155" i="8"/>
  <c r="K149" i="8"/>
  <c r="D17" i="13"/>
  <c r="C17" i="13" s="1"/>
  <c r="L11" i="13"/>
  <c r="H144" i="8"/>
  <c r="H151" i="8"/>
  <c r="N10" i="13"/>
  <c r="M11" i="13"/>
  <c r="G24" i="1"/>
  <c r="G25" i="1" s="1"/>
  <c r="G14" i="1"/>
  <c r="G15" i="1" s="1"/>
  <c r="I144" i="8"/>
  <c r="I151" i="8"/>
  <c r="D16" i="13"/>
  <c r="C16" i="13" s="1"/>
  <c r="F12" i="13"/>
  <c r="J23" i="1"/>
  <c r="K23" i="1" s="1"/>
  <c r="M23" i="1"/>
  <c r="M151" i="7"/>
  <c r="I155" i="8" s="1"/>
  <c r="J13" i="1"/>
  <c r="F24" i="1"/>
  <c r="M24" i="1" s="1"/>
  <c r="F14" i="1"/>
  <c r="M13" i="1"/>
  <c r="H10" i="13"/>
  <c r="G11" i="13"/>
  <c r="J11" i="13" s="1"/>
  <c r="I24" i="1"/>
  <c r="C25" i="1"/>
  <c r="I22" i="1"/>
  <c r="N23" i="1"/>
  <c r="G119" i="8"/>
  <c r="L12" i="13"/>
  <c r="J12" i="13"/>
  <c r="N13" i="1"/>
  <c r="L24" i="1"/>
  <c r="N24" i="1" s="1"/>
  <c r="G152" i="7"/>
  <c r="J157" i="7"/>
  <c r="J158" i="7" s="1"/>
  <c r="K20" i="1"/>
  <c r="P10" i="13"/>
  <c r="O11" i="13"/>
  <c r="N22" i="1"/>
  <c r="L14" i="1"/>
  <c r="N14" i="1" s="1"/>
  <c r="N281" i="6"/>
  <c r="M282" i="6"/>
  <c r="K11" i="1"/>
  <c r="J14" i="1"/>
  <c r="K14" i="1" s="1"/>
  <c r="N11" i="13" l="1"/>
  <c r="D22" i="13"/>
  <c r="C22" i="13" s="1"/>
  <c r="F15" i="1"/>
  <c r="M14" i="1"/>
  <c r="L15" i="1"/>
  <c r="R11" i="13"/>
  <c r="D23" i="13"/>
  <c r="C23" i="13" s="1"/>
  <c r="R12" i="13"/>
  <c r="H11" i="13"/>
  <c r="D15" i="13"/>
  <c r="C15" i="13" s="1"/>
  <c r="H12" i="13"/>
  <c r="K13" i="1"/>
  <c r="J24" i="1"/>
  <c r="K24" i="1" s="1"/>
  <c r="C14" i="13"/>
  <c r="C19" i="13" s="1"/>
  <c r="D19" i="13"/>
  <c r="C156" i="8"/>
  <c r="C157" i="8"/>
  <c r="N12" i="13"/>
  <c r="B27" i="1"/>
  <c r="F25" i="1"/>
  <c r="L29" i="1" s="1"/>
  <c r="L30" i="1" s="1"/>
  <c r="L25" i="1"/>
  <c r="P11" i="13"/>
  <c r="D18" i="13"/>
  <c r="C18" i="13" s="1"/>
  <c r="P12" i="13"/>
  <c r="D21" i="13"/>
  <c r="C21" i="13" s="1"/>
  <c r="I25" i="1"/>
  <c r="N25" i="1" l="1"/>
  <c r="L32" i="1"/>
  <c r="L27" i="1"/>
  <c r="M25" i="1"/>
  <c r="J25" i="1"/>
  <c r="K25" i="1" s="1"/>
</calcChain>
</file>

<file path=xl/comments1.xml><?xml version="1.0" encoding="utf-8"?>
<comments xmlns="http://schemas.openxmlformats.org/spreadsheetml/2006/main">
  <authors>
    <author xml:space="preserve"> </author>
  </authors>
  <commentList>
    <comment ref="U54" authorId="0" shapeId="0">
      <text>
        <r>
          <rPr>
            <sz val="11"/>
            <color indexed="8"/>
            <rFont val="Calibri"/>
            <family val="2"/>
            <charset val="1"/>
          </rPr>
          <t xml:space="preserve">Roy Torres León:
</t>
        </r>
        <r>
          <rPr>
            <sz val="9"/>
            <color indexed="8"/>
            <rFont val="Tahoma"/>
            <family val="2"/>
            <charset val="1"/>
          </rPr>
          <t>El color rojo independientemente delo porcentaje ya que se contemplo el monto.</t>
        </r>
      </text>
    </comment>
  </commentList>
</comments>
</file>

<file path=xl/sharedStrings.xml><?xml version="1.0" encoding="utf-8"?>
<sst xmlns="http://schemas.openxmlformats.org/spreadsheetml/2006/main" count="64914" uniqueCount="852">
  <si>
    <t>INFORME DE PRESUPUESTO DE EGRESOS   POR PARTIDA</t>
  </si>
  <si>
    <t>214  - Ministerio de Justicia y Gracia</t>
  </si>
  <si>
    <t>Partida</t>
  </si>
  <si>
    <t xml:space="preserve">Apropiación Actual </t>
  </si>
  <si>
    <t xml:space="preserve"> Cuota Comprometida </t>
  </si>
  <si>
    <t xml:space="preserve"> Solicitado </t>
  </si>
  <si>
    <t> Gasto Real</t>
  </si>
  <si>
    <t xml:space="preserve">Disponible Presupuestario </t>
  </si>
  <si>
    <t> % de Ejecución Gasto Real</t>
  </si>
  <si>
    <t>% Disponible</t>
  </si>
  <si>
    <t>Compromiso</t>
  </si>
  <si>
    <t>Rec. M/cía</t>
  </si>
  <si>
    <t>Devengado</t>
  </si>
  <si>
    <t xml:space="preserve">% Ejecución </t>
  </si>
  <si>
    <t>Gasto Real 
(C+D)</t>
  </si>
  <si>
    <t>% Gasto Real</t>
  </si>
  <si>
    <t>0  REMUNERACIONES</t>
  </si>
  <si>
    <t>1  SERVICIOS</t>
  </si>
  <si>
    <t>2  MATERIALES Y SUMINISTROS</t>
  </si>
  <si>
    <t>5  BIENES DURADEROS</t>
  </si>
  <si>
    <t>6  TRANSF. CORRIENTES</t>
  </si>
  <si>
    <t>7 TRANSF. DE CAPITAL</t>
  </si>
  <si>
    <t>9 CUENTAS ESPECIALES</t>
  </si>
  <si>
    <t>TOTAL</t>
  </si>
  <si>
    <t>Tipo de Gasto</t>
  </si>
  <si>
    <t xml:space="preserve">%  Ejecución </t>
  </si>
  <si>
    <t>Remuneraciones + Cargas Patronales</t>
  </si>
  <si>
    <t>Gasto Operativo</t>
  </si>
  <si>
    <t>Inversión publica</t>
  </si>
  <si>
    <t>Transferencias Corrientes</t>
  </si>
  <si>
    <t>Transferencias de Capital</t>
  </si>
  <si>
    <t>Cuentas Especiales</t>
  </si>
  <si>
    <t>INFORME DE PRESUPUESTO DE EGRESOS   POR PROGRAMA</t>
  </si>
  <si>
    <t>214  - Ministerio de Justicia y Paz</t>
  </si>
  <si>
    <t>Programas</t>
  </si>
  <si>
    <t>%</t>
  </si>
  <si>
    <t xml:space="preserve"> % </t>
  </si>
  <si>
    <t xml:space="preserve"> % Ejecución </t>
  </si>
  <si>
    <t>PROG 786</t>
  </si>
  <si>
    <t>PROG 787</t>
  </si>
  <si>
    <t>PROG 788</t>
  </si>
  <si>
    <t>PROG 789</t>
  </si>
  <si>
    <t>PROG 78901</t>
  </si>
  <si>
    <t>PROG 78902</t>
  </si>
  <si>
    <t>PROG 78903</t>
  </si>
  <si>
    <t>PROG 78904</t>
  </si>
  <si>
    <t>PROG 78905</t>
  </si>
  <si>
    <t>PROG 78906</t>
  </si>
  <si>
    <t>PROG 790</t>
  </si>
  <si>
    <t>PROG 791</t>
  </si>
  <si>
    <t>PROG 793</t>
  </si>
  <si>
    <t>PROG 794</t>
  </si>
  <si>
    <t>Centro gestor</t>
  </si>
  <si>
    <t>Pos.presupuestaria</t>
  </si>
  <si>
    <t>Desc.Pos.presupuestaria</t>
  </si>
  <si>
    <t>Fondo</t>
  </si>
  <si>
    <t>Ley de Presupuesto</t>
  </si>
  <si>
    <t>Presupuesto Actual</t>
  </si>
  <si>
    <t>Cuota Liberación</t>
  </si>
  <si>
    <t>Solicitado</t>
  </si>
  <si>
    <t>Comprometido</t>
  </si>
  <si>
    <t>Recepción Mercancía</t>
  </si>
  <si>
    <t>% Devengado</t>
  </si>
  <si>
    <t>Pagado</t>
  </si>
  <si>
    <t>% Pagado</t>
  </si>
  <si>
    <t>Disponible Presupuesto</t>
  </si>
  <si>
    <t>% Disp Presupuestario</t>
  </si>
  <si>
    <t>Disponible Liberado</t>
  </si>
  <si>
    <t>214</t>
  </si>
  <si>
    <t>001</t>
  </si>
  <si>
    <t>21477900</t>
  </si>
  <si>
    <t>E-0</t>
  </si>
  <si>
    <t>REMUNERACIONES</t>
  </si>
  <si>
    <t>E-001</t>
  </si>
  <si>
    <t>REMUNERACIONES BASICAS</t>
  </si>
  <si>
    <t>E-00101</t>
  </si>
  <si>
    <t>SUELDOS PARA CARGOS FIJOS</t>
  </si>
  <si>
    <t>E-003</t>
  </si>
  <si>
    <t>INCENTIVOS SALARIALES</t>
  </si>
  <si>
    <t>E-00301</t>
  </si>
  <si>
    <t>RETRIBUCION POR AÑOS SERVIDOS</t>
  </si>
  <si>
    <t>E-00302</t>
  </si>
  <si>
    <t>RESTRICCION AL EJERCICIO LIBERAL DE LA PROFESION</t>
  </si>
  <si>
    <t>E-00303</t>
  </si>
  <si>
    <t>DECIMOTERCER MES</t>
  </si>
  <si>
    <t>280</t>
  </si>
  <si>
    <t>E-00304</t>
  </si>
  <si>
    <t>SALARIO ESCOLAR</t>
  </si>
  <si>
    <t>E-00399</t>
  </si>
  <si>
    <t>OTROS INCENTIVOS SALARIALES</t>
  </si>
  <si>
    <t>E-004</t>
  </si>
  <si>
    <t>CONTRIB. PATRONALES AL DES. Y LA SEGURIDAD SOCIAL</t>
  </si>
  <si>
    <t>E0040120077900</t>
  </si>
  <si>
    <t>CAJA COSTARRICENSE DE SEGURO SOCIAL. (CCSS) (CONTRIBUCION PATRONAL SEGURO DE SALUD, SEGUN LEY NO. 17 DEL 22 DE OCTUBRE DE 1943, LEY</t>
  </si>
  <si>
    <t>E0040520077900</t>
  </si>
  <si>
    <t>BANCO POPULAR Y DE DESARROLLO COMUNAL. (BPDC) (SEGUN LEY NO. 4351 DEL 11 DE JULIO DE 1969, LEY ORGANICA DEL B.P.D.C.).</t>
  </si>
  <si>
    <t>E-005</t>
  </si>
  <si>
    <t>CONTRIB PATRONALES A FOND PENS Y OTROS FOND CAPIT.</t>
  </si>
  <si>
    <t>E0050120077900</t>
  </si>
  <si>
    <t>CAJA COSTARRICENSE DE SEGURO SOCIAL. (CCSS) (CONTRIBUCION PATRONAL SEGURO DE PENSIONES, SEGUN LEY NO. 17 DEL 22 DE OCTUBRE DE 1943, LEY</t>
  </si>
  <si>
    <t>E0050220077900</t>
  </si>
  <si>
    <t>CAJA COSTARRICENSE DE SEGURO SOCIAL. (CCSS) (APORTE PATRONAL AL REGIMEN DE PENSIONES, SEGUN LEY DE PROTECCION AL TRABAJADOR NO. 7983 DEL 16</t>
  </si>
  <si>
    <t>E0050320077900</t>
  </si>
  <si>
    <t>CAJA COSTARRICENSE DE SEGURO SOCIAL. (CCSS) (APORTE PATRONAL AL FONDO DE CAPITALIZACION LABORAL, SEGUN LEY DE PROTECCION AL TRABAJADOR</t>
  </si>
  <si>
    <t>E-1</t>
  </si>
  <si>
    <t>SERVICIOS</t>
  </si>
  <si>
    <t>E-101</t>
  </si>
  <si>
    <t>ALQUILERES</t>
  </si>
  <si>
    <t>E-10103</t>
  </si>
  <si>
    <t>ALQUILER DE EQUIPO DE COMPUTO</t>
  </si>
  <si>
    <t>E-10199</t>
  </si>
  <si>
    <t>OTROS ALQUILERES</t>
  </si>
  <si>
    <t>E-102</t>
  </si>
  <si>
    <t>SERVICIOS BASICOS</t>
  </si>
  <si>
    <t>E-10201</t>
  </si>
  <si>
    <t>SERVICIO DE AGUA Y ALCANTARILLADO</t>
  </si>
  <si>
    <t>E-10202</t>
  </si>
  <si>
    <t>SERVICIO DE ENERGIA ELECTRICA</t>
  </si>
  <si>
    <t>E-10203</t>
  </si>
  <si>
    <t>SERVICIO DE CORREO</t>
  </si>
  <si>
    <t>E-10204</t>
  </si>
  <si>
    <t>SERVICIO DE TELECOMUNICACIONES</t>
  </si>
  <si>
    <t>E-10299</t>
  </si>
  <si>
    <t>OTROS SERVICIOS BASICOS</t>
  </si>
  <si>
    <t>E-103</t>
  </si>
  <si>
    <t>SERVICIOS COMERCIALES Y FINANCIEROS</t>
  </si>
  <si>
    <t>E-10301</t>
  </si>
  <si>
    <t>INFORMACION</t>
  </si>
  <si>
    <t>E-10303</t>
  </si>
  <si>
    <t>IMPRESION, ENCUADERNACION Y OTROS</t>
  </si>
  <si>
    <t>E-10306</t>
  </si>
  <si>
    <t>COMIS. Y GASTOS POR SERV. FINANCIEROS Y COMERCIAL.</t>
  </si>
  <si>
    <t>E-10307</t>
  </si>
  <si>
    <t>SERVICIOS DE TRANSFERENCIA ELECTRONICA DE INFORMA</t>
  </si>
  <si>
    <t>E-104</t>
  </si>
  <si>
    <t>SERVICIOS DE GESTION Y APOYO</t>
  </si>
  <si>
    <t>E-10406</t>
  </si>
  <si>
    <t>SERVICIOS GENERALES</t>
  </si>
  <si>
    <t>E-10499</t>
  </si>
  <si>
    <t>OTROS SERVICIOS DE GESTION Y APOYO</t>
  </si>
  <si>
    <t>E-105</t>
  </si>
  <si>
    <t>GASTOS DE VIAJE Y DE TRANSPORTE</t>
  </si>
  <si>
    <t>E-10501</t>
  </si>
  <si>
    <t>TRANSPORTE DENTRO DEL PAIS</t>
  </si>
  <si>
    <t>E-10502</t>
  </si>
  <si>
    <t>VIATICOS DENTRO DEL PAIS</t>
  </si>
  <si>
    <t>E-10503</t>
  </si>
  <si>
    <t>TRANSPORTE EN EL EXTERIOR</t>
  </si>
  <si>
    <t>E-10504</t>
  </si>
  <si>
    <t>VIATICOS EN EL EXTERIOR</t>
  </si>
  <si>
    <t>E-106</t>
  </si>
  <si>
    <t>SEGUROS, REASEGUROS Y OTRAS OBLIGACIONES</t>
  </si>
  <si>
    <t>E-10601</t>
  </si>
  <si>
    <t>SEGUROS</t>
  </si>
  <si>
    <t>E-107</t>
  </si>
  <si>
    <t>CAPACITACION Y PROTOCOLO</t>
  </si>
  <si>
    <t>E-10701</t>
  </si>
  <si>
    <t>ACTIVIDADES DE CAPACITACION</t>
  </si>
  <si>
    <t>E-10702</t>
  </si>
  <si>
    <t>ACTIVIDADES PROTOCOLARIAS Y SOCIALES</t>
  </si>
  <si>
    <t>E-10703</t>
  </si>
  <si>
    <t>GASTOS DE REPRESENTACION INSTITUCIONAL</t>
  </si>
  <si>
    <t>E-108</t>
  </si>
  <si>
    <t>MANTENIMIENTO Y REPARACION</t>
  </si>
  <si>
    <t>E-10804</t>
  </si>
  <si>
    <t>MANT. Y REPARACION DE MAQUINARIA Y EQUIPO DE PROD.</t>
  </si>
  <si>
    <t>E-10805</t>
  </si>
  <si>
    <t>MANT. Y REPARACION DE EQUIPO DE TRANSPORTE</t>
  </si>
  <si>
    <t>E-10807</t>
  </si>
  <si>
    <t>MANT. Y REPARACION DE EQUIPO Y MOBILIARIO DE OFIC.</t>
  </si>
  <si>
    <t>E-10808</t>
  </si>
  <si>
    <t>MANT. Y REP. DE EQUIPO DE COMPUTO Y SIST. DE INF.</t>
  </si>
  <si>
    <t>E-10899</t>
  </si>
  <si>
    <t>MANTENIMIENTO Y REPARACION DE OTROS EQUIPOS</t>
  </si>
  <si>
    <t>E-109</t>
  </si>
  <si>
    <t>IMPUESTOS</t>
  </si>
  <si>
    <t>E-10999</t>
  </si>
  <si>
    <t>OTROS IMPUESTOS</t>
  </si>
  <si>
    <t>E-199</t>
  </si>
  <si>
    <t>SERVICIOS DIVERSOS</t>
  </si>
  <si>
    <t>E-19902</t>
  </si>
  <si>
    <t>INTERESES MORATORIOS Y MULTAS</t>
  </si>
  <si>
    <t>E-19905</t>
  </si>
  <si>
    <t>DEDUCIBLES</t>
  </si>
  <si>
    <t>E-2</t>
  </si>
  <si>
    <t>MATERIALES Y SUMINISTROS</t>
  </si>
  <si>
    <t>E-201</t>
  </si>
  <si>
    <t>PRODUCTOS QUIMICOS Y CONEXOS</t>
  </si>
  <si>
    <t>E-20101</t>
  </si>
  <si>
    <t>COMBUSTIBLES Y LUBRICANTES</t>
  </si>
  <si>
    <t>E-20102</t>
  </si>
  <si>
    <t>PRODUCTOS FARMACEUTICOS Y MEDICINALES</t>
  </si>
  <si>
    <t>E-20104</t>
  </si>
  <si>
    <t>TINTAS, PINTURAS Y DILUYENTES</t>
  </si>
  <si>
    <t>E-20199</t>
  </si>
  <si>
    <t>OTROS PRODUCTOS QUIMICOS Y CONEXOS</t>
  </si>
  <si>
    <t>E-202</t>
  </si>
  <si>
    <t>ALIMENTOS Y PRODUCTOS AGROPECUARIOS</t>
  </si>
  <si>
    <t>E-20203</t>
  </si>
  <si>
    <t>ALIMENTOS Y BEBIDAS</t>
  </si>
  <si>
    <t>E-203</t>
  </si>
  <si>
    <t>MATERIALES Y PROD DE USO EN LA CONSTRUC Y MANT.</t>
  </si>
  <si>
    <t>E-20304</t>
  </si>
  <si>
    <t>MAT. Y PROD. ELECTRICOS, TELEFONICOS Y DE COMPUTO</t>
  </si>
  <si>
    <t>E-20306</t>
  </si>
  <si>
    <t>MATERIALES Y PRODUCTOS DE PLASTICO</t>
  </si>
  <si>
    <t>E-204</t>
  </si>
  <si>
    <t>HERRAMIENTAS, REPUESTOS Y ACCESORIOS</t>
  </si>
  <si>
    <t>E-20401</t>
  </si>
  <si>
    <t>HERRAMIENTAS E INSTRUMENTOS</t>
  </si>
  <si>
    <t>E-20402</t>
  </si>
  <si>
    <t>REPUESTOS Y ACCESORIOS</t>
  </si>
  <si>
    <t>E-299</t>
  </si>
  <si>
    <t>UTILES, MATERIALES Y SUMINISTROS DIVERSOS</t>
  </si>
  <si>
    <t>E-29901</t>
  </si>
  <si>
    <t>UTILES Y MATERIALES DE OFICINA Y COMPUTO</t>
  </si>
  <si>
    <t>E-29902</t>
  </si>
  <si>
    <t>UTILES Y MATERIALES MEDICO, HOSPITALARIO Y DE INV.</t>
  </si>
  <si>
    <t>E-29903</t>
  </si>
  <si>
    <t>PRODUCTOS DE PAPEL, CARTON E IMPRESOS</t>
  </si>
  <si>
    <t>E-29904</t>
  </si>
  <si>
    <t>TEXTILES Y VESTUARIO</t>
  </si>
  <si>
    <t>E-29905</t>
  </si>
  <si>
    <t>UTILES Y MATERIALES DE LIMPIEZA</t>
  </si>
  <si>
    <t>E-29906</t>
  </si>
  <si>
    <t>UTILES Y MATERIALES DE RESGUARDO Y SEGURIDAD</t>
  </si>
  <si>
    <t>E-29907</t>
  </si>
  <si>
    <t>UTILES Y MATERIALES DE COCINA Y COMEDOR</t>
  </si>
  <si>
    <t>E-29999</t>
  </si>
  <si>
    <t>OTROS UTILES, MATERIALES Y SUMINISTROS DIVERSOS</t>
  </si>
  <si>
    <t>E-5</t>
  </si>
  <si>
    <t>BIENES DURADEROS</t>
  </si>
  <si>
    <t>E-501</t>
  </si>
  <si>
    <t>MAQUINARIA, EQUIPO Y MOBILIARIO</t>
  </si>
  <si>
    <t>E-50101</t>
  </si>
  <si>
    <t>MAQUINARIA Y EQUIPO PARA LA PRODUCCION</t>
  </si>
  <si>
    <t>E-50103</t>
  </si>
  <si>
    <t>EQUIPO DE COMUNICACION</t>
  </si>
  <si>
    <t>E-50104</t>
  </si>
  <si>
    <t>EQUIPO Y MOBILIARIO DE OFICINA</t>
  </si>
  <si>
    <t>E-50107</t>
  </si>
  <si>
    <t>EQUIPO Y MOBILIARIO EDUCACIONAL, DEP. Y RECREATIVO</t>
  </si>
  <si>
    <t>E-50199</t>
  </si>
  <si>
    <t>MAQUINARIA, EQUIPO Y MOBILIARIO DIVERSO</t>
  </si>
  <si>
    <t>E-599</t>
  </si>
  <si>
    <t>BIENES DURADEROS DIVERSOS</t>
  </si>
  <si>
    <t>E-59903</t>
  </si>
  <si>
    <t>BIENES INTANGIBLES</t>
  </si>
  <si>
    <t>E-6</t>
  </si>
  <si>
    <t>TRANSFERENCIAS CORRIENTES</t>
  </si>
  <si>
    <t>E-601</t>
  </si>
  <si>
    <t>TRANSFERENCIAS CORRIENTES AL SECTOR PUBLICO</t>
  </si>
  <si>
    <t>E6010221077900</t>
  </si>
  <si>
    <t>COMISION NACIONAL DE PREVENCION DE RIESGOS Y ATENCION DE EMERGENCIAS. (APORTE ANUAL DE CONFORMIDAD CON EL ARTICULO 42 DE LA LEY NACIONAL</t>
  </si>
  <si>
    <t>E6010221577900</t>
  </si>
  <si>
    <t>AGENCIA DE PROTECCION DE DATOS DE LOS HABITANTES (PRODHAB). (DE CONFORMIDAD CON EL ARTICULO 20, INCISO B, LEY PROTECCION DE LA PERSONA FRENTE AL</t>
  </si>
  <si>
    <t>E6010320077900</t>
  </si>
  <si>
    <t>CAJA COSTARRICENSE DE SEGURO SOCIAL. (CCSS) (CONTRIBUCION ESTATAL AL SEGURO DE PENSIONES, SEGUN LEY NO. 17 DEL 22 DE OCTUBRE DE 1943, LEY</t>
  </si>
  <si>
    <t>E6010320277900</t>
  </si>
  <si>
    <t>CAJA COSTARRICENSE DE SEGURO SOCIAL. (CCSS) (CONTRIBUCION ESTATAL AL SEGURO DE SALUD, SEGUN LEY NO. 17 DEL 22 DE OCTUBRE DE 1943, LEY</t>
  </si>
  <si>
    <t>E-603</t>
  </si>
  <si>
    <t>PRESTACIONES</t>
  </si>
  <si>
    <t>E-60301</t>
  </si>
  <si>
    <t>PRESTACIONES LEGALES</t>
  </si>
  <si>
    <t>E-60399</t>
  </si>
  <si>
    <t>OTRAS PRESTACIONES</t>
  </si>
  <si>
    <t>E-607</t>
  </si>
  <si>
    <t>TRANSFERENCIAS CORRIENTES AL SECTOR EXTERNO</t>
  </si>
  <si>
    <t>E6070120577900</t>
  </si>
  <si>
    <t>INSTITUTO LATINOAMERICANO PARA LA PREVENCION DEL DELITO Y EL TRATAMIENTO DEL DELINCUENTE (ILANUD). (CUOTA ANUAL ORDINARIA PARA LA PREVENCION DEL</t>
  </si>
  <si>
    <t>E6070120877900</t>
  </si>
  <si>
    <t>ORGANIZACION PARA LA COOPERACION Y EL DESARROLLO ECONOMICO (OCDE). (DECRETO EJECUTIVO NO. 37983-COMEX-MP DEL 09/09/2013, PUBLICADO EN LA</t>
  </si>
  <si>
    <t>E6070123077900</t>
  </si>
  <si>
    <t>ORGANIZACION MUNDIAL DE LA PROPIEDAD INTELECTUAL (OMPI). (CUOTA ORDINARIA SEGUN LEY NO. 6468 DEL 18/09/1980).</t>
  </si>
  <si>
    <t>21478000</t>
  </si>
  <si>
    <t>E0040120078000</t>
  </si>
  <si>
    <t>E0040520078000</t>
  </si>
  <si>
    <t>E0050120078000</t>
  </si>
  <si>
    <t>E0050220078000</t>
  </si>
  <si>
    <t>E0050320078000</t>
  </si>
  <si>
    <t>E-10101</t>
  </si>
  <si>
    <t>ALQUILER DE EDIFICIOS, LOCALES Y TERRENOS</t>
  </si>
  <si>
    <t>E-50105</t>
  </si>
  <si>
    <t>EQUIPO Y PROGRAMAS DE COMPUTO</t>
  </si>
  <si>
    <t>E6010320078000</t>
  </si>
  <si>
    <t>E6010320278000</t>
  </si>
  <si>
    <t>E-606</t>
  </si>
  <si>
    <t>OTRAS TRANSFERENCIAS CORRIENTES AL SECTOR PRIVADO</t>
  </si>
  <si>
    <t>E-60601</t>
  </si>
  <si>
    <t>INDEMNIZACIONES</t>
  </si>
  <si>
    <t>21478100</t>
  </si>
  <si>
    <t>E-00105</t>
  </si>
  <si>
    <t>SUPLENCIAS</t>
  </si>
  <si>
    <t>E-002</t>
  </si>
  <si>
    <t>REMUNERACIONES EVENTUALES</t>
  </si>
  <si>
    <t>E-00201</t>
  </si>
  <si>
    <t>TIEMPO EXTRAORDINARIO</t>
  </si>
  <si>
    <t>E0040120078100</t>
  </si>
  <si>
    <t>E0040520078100</t>
  </si>
  <si>
    <t>E0050120078100</t>
  </si>
  <si>
    <t>E0050220078100</t>
  </si>
  <si>
    <t>E0050320078100</t>
  </si>
  <si>
    <t>E-10102</t>
  </si>
  <si>
    <t>ALQUILER DE MAQUINARIA, EQUIPO Y MOBILIARIO</t>
  </si>
  <si>
    <t>E-10104</t>
  </si>
  <si>
    <t>ALQUILER Y DERECHOS PARA TELECOMUNICACIONES</t>
  </si>
  <si>
    <t>E-10402</t>
  </si>
  <si>
    <t>SERVICIOS JURIDICOS</t>
  </si>
  <si>
    <t>E-10403</t>
  </si>
  <si>
    <t>SERVICIOS DE INGENIERIA Y ARQUITECTURA</t>
  </si>
  <si>
    <t>E-10801</t>
  </si>
  <si>
    <t>MANTENIMIENTO DE EDIFICIOS, LOCALES Y TERRENOS</t>
  </si>
  <si>
    <t>E-10806</t>
  </si>
  <si>
    <t>MANT. Y REPARACION DE EQUIPO DE COMUNICAC.</t>
  </si>
  <si>
    <t>E-20301</t>
  </si>
  <si>
    <t>MATERIALES Y PRODUCTOS METALICOS</t>
  </si>
  <si>
    <t>E-20302</t>
  </si>
  <si>
    <t>MATERIALES Y PRODUCTOS MINERALES Y ASFALTICOS</t>
  </si>
  <si>
    <t>E-20303</t>
  </si>
  <si>
    <t>MADERA Y SUS DERIVADOS</t>
  </si>
  <si>
    <t>E-20305</t>
  </si>
  <si>
    <t>MATERIALES Y PRODUCTOS DE VIDRIO</t>
  </si>
  <si>
    <t>E-20399</t>
  </si>
  <si>
    <t>OTROS MAT. Y PROD.DE USO EN LA CONSTRU. Y MANTENIM</t>
  </si>
  <si>
    <t>E-50102</t>
  </si>
  <si>
    <t>EQUIPO DE TRANSPORTE</t>
  </si>
  <si>
    <t>E-50106</t>
  </si>
  <si>
    <t>EQUIPO SANITARIO, DE LABORATORIO E INVESTIGACION</t>
  </si>
  <si>
    <t>E-502</t>
  </si>
  <si>
    <t>CONSTRUCCIONES, ADICIONES Y MEJORAS</t>
  </si>
  <si>
    <t>E-50201</t>
  </si>
  <si>
    <t>EDIFICIOS</t>
  </si>
  <si>
    <t>E6010320078100</t>
  </si>
  <si>
    <t>E6010320278100</t>
  </si>
  <si>
    <t>21478300</t>
  </si>
  <si>
    <t>E-00103</t>
  </si>
  <si>
    <t>SERVICIOS ESPECIALES</t>
  </si>
  <si>
    <t>E-00202</t>
  </si>
  <si>
    <t>RECARGO DE FUNCIONES</t>
  </si>
  <si>
    <t>E-00203</t>
  </si>
  <si>
    <t>DISPONIBILIDAD LABORAL</t>
  </si>
  <si>
    <t>E0040120078300</t>
  </si>
  <si>
    <t>E0040520078300</t>
  </si>
  <si>
    <t>E0050120078300</t>
  </si>
  <si>
    <t>E0050220078300</t>
  </si>
  <si>
    <t>E0050320078300</t>
  </si>
  <si>
    <t>E-10401</t>
  </si>
  <si>
    <t>SERVICIOS EN CIENCIAS DE LA SALUD</t>
  </si>
  <si>
    <t>E-19901</t>
  </si>
  <si>
    <t>SERVICIOS DE REGULACION</t>
  </si>
  <si>
    <t>E-20103</t>
  </si>
  <si>
    <t>PRODUCTOS VETERINARIOS</t>
  </si>
  <si>
    <t>E-20204</t>
  </si>
  <si>
    <t>ALIMENTOS PARA ANIMALES</t>
  </si>
  <si>
    <t>E-205</t>
  </si>
  <si>
    <t>BIENES PARA LA PRODUCCION Y COMERCIALIZACION</t>
  </si>
  <si>
    <t>E-20599</t>
  </si>
  <si>
    <t>OTROS BIENES PARA LA PRODUCCION Y COMERCIALIZACION</t>
  </si>
  <si>
    <t>E-50207</t>
  </si>
  <si>
    <t>INSTALACIONES</t>
  </si>
  <si>
    <t>E6010221078300</t>
  </si>
  <si>
    <t>UNIDAD EJECUTORA DEL PROGRAMA PARA LA PREVENCION DE LA VIOLENCIA Y PROMOCION DE LA INCLUSION SOCIAL. (LEY NO. 9025 DEL 15/02/2012, PUBLICADA</t>
  </si>
  <si>
    <t>E6010320078300</t>
  </si>
  <si>
    <t>E6010320278300</t>
  </si>
  <si>
    <t>E6010320478300</t>
  </si>
  <si>
    <t>CCSS SEG.SALUD CENTROS PENALES (CENTROS PENALES SEGURO DE SALUD, SEGUN LEY NO.17 DEL 22 DE OCTUBRE DE 1943 Y SUS REFORMAS).</t>
  </si>
  <si>
    <t>E-602</t>
  </si>
  <si>
    <t>TRANSFERENCIAS CORRIENTES A PERSONAS</t>
  </si>
  <si>
    <t>E-60299</t>
  </si>
  <si>
    <t>OTRAS TRANSFERENCIAS A PERSONAS</t>
  </si>
  <si>
    <t>E-60602</t>
  </si>
  <si>
    <t>REINTEGROS O DEVOLUCIONES</t>
  </si>
  <si>
    <t>E-7</t>
  </si>
  <si>
    <t>TRANSFERENCIAS DE CAPITAL</t>
  </si>
  <si>
    <t>E-701</t>
  </si>
  <si>
    <t>TRANSFERENCIAS DE CAPITAL AL SECTOR PUBLICO</t>
  </si>
  <si>
    <t>E7010220078300</t>
  </si>
  <si>
    <t>PATRONATO DE CONSTRUCCION, INSTALACIONES Y ADQUISICION DE BIENES. (LEY NO. 6739 DEL 24/04/1982, ARTICULO 6, INCISO C, Y LEY NO. 4762</t>
  </si>
  <si>
    <t>21478400</t>
  </si>
  <si>
    <t>E0040120078400</t>
  </si>
  <si>
    <t>E0040520078400</t>
  </si>
  <si>
    <t>E0050120078400</t>
  </si>
  <si>
    <t>E0050220078400</t>
  </si>
  <si>
    <t>E0050320078400</t>
  </si>
  <si>
    <t>E0050520078400</t>
  </si>
  <si>
    <t>ASOCIACION SOLIDARISTA DE EMPLEADOS DEL REGISTRO NACIONAL (ASOREN). (APORTE PATRONAL SEGUN LEY DE ASOCIACIONES SOLIDARISTAS NO. 6970 DEL 07/11/1984</t>
  </si>
  <si>
    <t>E6010320078400</t>
  </si>
  <si>
    <t>E6010320278400</t>
  </si>
  <si>
    <t xml:space="preserve">G O B I E R N O   C E N T R A L   D E   C O S T A   R I C A            </t>
  </si>
  <si>
    <t xml:space="preserve">MINISTERIO DE HACIENDA - CONTABILIDAD NACIONAL              </t>
  </si>
  <si>
    <t>INFORME DE PRESUPUESTO DE EGRESOS</t>
  </si>
  <si>
    <t xml:space="preserve">AL 31 DE DICIEMBRE 2020        </t>
  </si>
  <si>
    <t>Ejercício: 2020</t>
  </si>
  <si>
    <t>Pos Pre</t>
  </si>
  <si>
    <t>Descripción</t>
  </si>
  <si>
    <t>Aprop. Act</t>
  </si>
  <si>
    <t>% Solic.</t>
  </si>
  <si>
    <t>% Comp</t>
  </si>
  <si>
    <t>% Rec. M/cía</t>
  </si>
  <si>
    <t>% Deve.</t>
  </si>
  <si>
    <t>% Disp. Pre</t>
  </si>
  <si>
    <t>% Disp. Cuota</t>
  </si>
  <si>
    <t>Representar en</t>
  </si>
  <si>
    <t>1 CRC</t>
  </si>
  <si>
    <t>REMUNERACIONES BASIC</t>
  </si>
  <si>
    <t>SUELDOS P/ C. FIJOS</t>
  </si>
  <si>
    <t>REMUNERACIONES EVENT</t>
  </si>
  <si>
    <t>TIEMPO EXTRAORD.</t>
  </si>
  <si>
    <t>DISPONIBILIDAD LAB.</t>
  </si>
  <si>
    <t>INCENTIVOS SALARIAL</t>
  </si>
  <si>
    <t>RETRIB AÑOS SERVIDOS</t>
  </si>
  <si>
    <t>REST. EJERC LIB PROF</t>
  </si>
  <si>
    <t>OTROS INCENT SALAR.</t>
  </si>
  <si>
    <t>CONT PATR DESA S.SOC</t>
  </si>
  <si>
    <t>E-00401</t>
  </si>
  <si>
    <t>CONT P.SEG.S C.C.S.S</t>
  </si>
  <si>
    <t>E0040120078600</t>
  </si>
  <si>
    <t>CCSS CONT.PAT S.SALU</t>
  </si>
  <si>
    <t>E0040120078700</t>
  </si>
  <si>
    <t>E0040120078800</t>
  </si>
  <si>
    <t>E0040120078900</t>
  </si>
  <si>
    <t>E0040120078901</t>
  </si>
  <si>
    <t>E0040120078902</t>
  </si>
  <si>
    <t>E0040120078903</t>
  </si>
  <si>
    <t>E0040120078904</t>
  </si>
  <si>
    <t>E0040120078905</t>
  </si>
  <si>
    <t>E0040120078906</t>
  </si>
  <si>
    <t>E0040120079000</t>
  </si>
  <si>
    <t>E0040120079100</t>
  </si>
  <si>
    <t>E0040120079300</t>
  </si>
  <si>
    <t>E0040120079400</t>
  </si>
  <si>
    <t>E-00405</t>
  </si>
  <si>
    <t>CONTRIB PAT B.P.D.C.</t>
  </si>
  <si>
    <t>E0040520078600</t>
  </si>
  <si>
    <t>BPDC</t>
  </si>
  <si>
    <t>E0040520078700</t>
  </si>
  <si>
    <t>E0040520078800</t>
  </si>
  <si>
    <t>E0040520078900</t>
  </si>
  <si>
    <t>E0040520078901</t>
  </si>
  <si>
    <t>E0040520078902</t>
  </si>
  <si>
    <t>E0040520078903</t>
  </si>
  <si>
    <t>E0040520078904</t>
  </si>
  <si>
    <t>E0040520078905</t>
  </si>
  <si>
    <t>E0040520078906</t>
  </si>
  <si>
    <t>E0040520079000</t>
  </si>
  <si>
    <t>E0040520079100</t>
  </si>
  <si>
    <t>E0040520079300</t>
  </si>
  <si>
    <t>E0040520079400</t>
  </si>
  <si>
    <t>CONT PATR F.PENS OTR</t>
  </si>
  <si>
    <t>E-00501</t>
  </si>
  <si>
    <t>CONT P.SPENS.C.C.S.S</t>
  </si>
  <si>
    <t>E0050120078600</t>
  </si>
  <si>
    <t>CCSS CONT.PAT S.PENS</t>
  </si>
  <si>
    <t>E0050120078700</t>
  </si>
  <si>
    <t>E0050120078800</t>
  </si>
  <si>
    <t>E0050120078900</t>
  </si>
  <si>
    <t>E0050120078901</t>
  </si>
  <si>
    <t>E0050120078902</t>
  </si>
  <si>
    <t>E0050120078903</t>
  </si>
  <si>
    <t>E0050120078904</t>
  </si>
  <si>
    <t>E0050120078905</t>
  </si>
  <si>
    <t>E0050120078906</t>
  </si>
  <si>
    <t>E0050120079000</t>
  </si>
  <si>
    <t>E0050120079100</t>
  </si>
  <si>
    <t>E0050120079300</t>
  </si>
  <si>
    <t>E0050120079400</t>
  </si>
  <si>
    <t>E-00502</t>
  </si>
  <si>
    <t>APORT P.RÉG.OBLI.P.C</t>
  </si>
  <si>
    <t>E0050220078600</t>
  </si>
  <si>
    <t>CCSS APO.PAT.REG.PEN</t>
  </si>
  <si>
    <t>E0050220078700</t>
  </si>
  <si>
    <t>E0050220078800</t>
  </si>
  <si>
    <t>E0050220078900</t>
  </si>
  <si>
    <t>E0050220078901</t>
  </si>
  <si>
    <t>E0050220078902</t>
  </si>
  <si>
    <t>E0050220078903</t>
  </si>
  <si>
    <t>E0050220078904</t>
  </si>
  <si>
    <t>E0050220078905</t>
  </si>
  <si>
    <t>E0050220078906</t>
  </si>
  <si>
    <t>E0050220079000</t>
  </si>
  <si>
    <t>E0050220079100</t>
  </si>
  <si>
    <t>E0050220079300</t>
  </si>
  <si>
    <t>E0050220079400</t>
  </si>
  <si>
    <t>E-00503</t>
  </si>
  <si>
    <t>APORT P.FOND.CAP.LAB</t>
  </si>
  <si>
    <t>E0050320078600</t>
  </si>
  <si>
    <t>CCSS APO.PAT.FON.CAP</t>
  </si>
  <si>
    <t>E0050320078700</t>
  </si>
  <si>
    <t>E0050320078800</t>
  </si>
  <si>
    <t>E0050320078900</t>
  </si>
  <si>
    <t>E0050320078901</t>
  </si>
  <si>
    <t>E0050320078902</t>
  </si>
  <si>
    <t>E0050320078903</t>
  </si>
  <si>
    <t>E0050320078904</t>
  </si>
  <si>
    <t>E0050320078905</t>
  </si>
  <si>
    <t>E0050320078906</t>
  </si>
  <si>
    <t>E0050320079000</t>
  </si>
  <si>
    <t>E0050320079100</t>
  </si>
  <si>
    <t>E0050320079300</t>
  </si>
  <si>
    <t>E0050320079400</t>
  </si>
  <si>
    <t>E-00505</t>
  </si>
  <si>
    <t>CONT.PAT.A.F.A.EPRIV</t>
  </si>
  <si>
    <t>E0050520078600</t>
  </si>
  <si>
    <t>ASOC.SOLID.EMP.REGIS</t>
  </si>
  <si>
    <t>E0050520078700</t>
  </si>
  <si>
    <t>E0050520078800</t>
  </si>
  <si>
    <t>E0050520078900</t>
  </si>
  <si>
    <t>E0050520078901</t>
  </si>
  <si>
    <t>E0050520078902</t>
  </si>
  <si>
    <t>E0050520078903</t>
  </si>
  <si>
    <t>E0050520078904</t>
  </si>
  <si>
    <t>E0050520078905</t>
  </si>
  <si>
    <t>E0050520078906</t>
  </si>
  <si>
    <t>E0050520079000</t>
  </si>
  <si>
    <t>E0050520079100</t>
  </si>
  <si>
    <t>E0050520079300</t>
  </si>
  <si>
    <t>E0050520079400</t>
  </si>
  <si>
    <t>E-099</t>
  </si>
  <si>
    <t>REMUNERACIONES DIVER</t>
  </si>
  <si>
    <t>E-09901</t>
  </si>
  <si>
    <t>GASTOS REPRES.PERS.</t>
  </si>
  <si>
    <t>ALQ EDIF, LOC.Y TERR</t>
  </si>
  <si>
    <t>ALQ DE MAQ, EQ Y MOB</t>
  </si>
  <si>
    <t>ALQ. EQ. DE COMPUTO</t>
  </si>
  <si>
    <t>ALQ Y DERECH P.TELEC</t>
  </si>
  <si>
    <t>SERVICIOS BÁSICOS</t>
  </si>
  <si>
    <t>SERV.AGUA Y ALCANT.</t>
  </si>
  <si>
    <t>SERV ENERGÍA ELÉCT</t>
  </si>
  <si>
    <t>SERV.TELECOMUNIC.</t>
  </si>
  <si>
    <t>OTROS SERV.BÁSICOS</t>
  </si>
  <si>
    <t>SERV COMERC Y FINANC</t>
  </si>
  <si>
    <t>INFORMACIÓN</t>
  </si>
  <si>
    <t>E-10302</t>
  </si>
  <si>
    <t>PUBLICIDAD Y PROPAG.</t>
  </si>
  <si>
    <t>IMP., ENCUAD Y OTROS</t>
  </si>
  <si>
    <t>E-10304</t>
  </si>
  <si>
    <t>TRANSPORTE DE BIENES</t>
  </si>
  <si>
    <t>COM G.P.S.FIN Y COM.</t>
  </si>
  <si>
    <t>SERV TRANSF.ELEC.INF</t>
  </si>
  <si>
    <t>SERV DE GEST Y APOYO</t>
  </si>
  <si>
    <t>SERV.MEDICOS YDE LAB</t>
  </si>
  <si>
    <t>SERVICIOS JURÍDICOS</t>
  </si>
  <si>
    <t>SERV. DE INGENIERÍA</t>
  </si>
  <si>
    <t>E-10404</t>
  </si>
  <si>
    <t>SERV.CIEN.ECON.Y SOC</t>
  </si>
  <si>
    <t>E-10405</t>
  </si>
  <si>
    <t>SERV.DES.SIST.INFORM</t>
  </si>
  <si>
    <t>OTROS SERV.GEST.APOY</t>
  </si>
  <si>
    <t>GAST. VIAJE Y TRANSP</t>
  </si>
  <si>
    <t>TRANSP.DENT.DEL PAÍS</t>
  </si>
  <si>
    <t>VIÁTICOS DENTRO PAÍS</t>
  </si>
  <si>
    <t>TRANSPORTE EN EL EXT</t>
  </si>
  <si>
    <t>VIÁTICOS EN EXTERIOR</t>
  </si>
  <si>
    <t>SEGUROS REASEG Y OTR</t>
  </si>
  <si>
    <t>E-10602</t>
  </si>
  <si>
    <t>REASEGUROS</t>
  </si>
  <si>
    <t>CAPACIT. Y PROTOCOLO</t>
  </si>
  <si>
    <t>ACTIV. CAPACITACIÓN</t>
  </si>
  <si>
    <t>ACTIV.PROTOCOL Y SOC</t>
  </si>
  <si>
    <t>GASTOS REPRES.INSTIT</t>
  </si>
  <si>
    <t>MANTEN. Y REPARACIÓN</t>
  </si>
  <si>
    <t>MANT.EDIF.,LOC.YTERR</t>
  </si>
  <si>
    <t>MANT.Y REP.M.EQ.PROD</t>
  </si>
  <si>
    <t>MANT.Y REP.EQ.TRANSP</t>
  </si>
  <si>
    <t>MANT.Y REP.EQ.COMUNI</t>
  </si>
  <si>
    <t>MANT.Y REP.EQ.MOB.OF</t>
  </si>
  <si>
    <t>MANT.YREP.EQ.C.S.INF</t>
  </si>
  <si>
    <t>MANT.Y REP.OTROS EQ.</t>
  </si>
  <si>
    <t>TROS IMPUESTOS</t>
  </si>
  <si>
    <t>SERV. DE REGULACIÓN</t>
  </si>
  <si>
    <t>INT. MORAT. Y MULTAS</t>
  </si>
  <si>
    <t>MATERIALES Y SUMINIS</t>
  </si>
  <si>
    <t>PRODUC QUÍM Y CONEX</t>
  </si>
  <si>
    <t>COMB Y LUBRICANTES</t>
  </si>
  <si>
    <t>PROD FARMAC Y MEDIC.</t>
  </si>
  <si>
    <t>PRODUCTOS VETERIN.</t>
  </si>
  <si>
    <t>TINTAS, PINT.Y DILUY</t>
  </si>
  <si>
    <t>OTR.PROD.QUÍM YCONEX</t>
  </si>
  <si>
    <t>ALIMEN Y PRODUC AGRO</t>
  </si>
  <si>
    <t>E-20202</t>
  </si>
  <si>
    <t>PRODUCTOS AGROFORESTALES</t>
  </si>
  <si>
    <t>ALIM. PARA ANIMALES</t>
  </si>
  <si>
    <t>MATER P.CONST Y MANT</t>
  </si>
  <si>
    <t>MATERIALES YPROD MET</t>
  </si>
  <si>
    <t>MAT Y PROD.MIN.Y ASF</t>
  </si>
  <si>
    <t>MADERA Y SUS DERIV</t>
  </si>
  <si>
    <t>MAT.YPROD.ELÉC,TEL.C</t>
  </si>
  <si>
    <t>MATER. Y PROD VIDRIO</t>
  </si>
  <si>
    <t>MAT. Y PROD PLÁSTICO</t>
  </si>
  <si>
    <t>OTR.MAT.YP.USO CONST</t>
  </si>
  <si>
    <t>HERRAM REPUE Y ACCES</t>
  </si>
  <si>
    <t>HERRAM.E INSTRUMENTO</t>
  </si>
  <si>
    <t>REP.Y ACCESORIOS</t>
  </si>
  <si>
    <t>ÚTILES MAT Y SUM DIV</t>
  </si>
  <si>
    <t>ÚT.Y MAT.OF.Y COMP.</t>
  </si>
  <si>
    <t>UT.Y MAT.MÉD,H.Y INV</t>
  </si>
  <si>
    <t>PROD.PAPEL,CART.EIMP</t>
  </si>
  <si>
    <t>ÚTILES Y MATER.LIMP</t>
  </si>
  <si>
    <t>ÚTILES YMAT.RESG.SEG</t>
  </si>
  <si>
    <t>ÚTILES YMAT.COC.YCOM</t>
  </si>
  <si>
    <t>OTR.UT,MAT Y SUM.DIV</t>
  </si>
  <si>
    <t>MAQ, EQUIPO Y MOB</t>
  </si>
  <si>
    <t>MAQ.Y EQ. PRODUCCIÓN</t>
  </si>
  <si>
    <t>EQ. DE COMUNICACIÓN</t>
  </si>
  <si>
    <t>EQUIPO Y MOB. OFIC.</t>
  </si>
  <si>
    <t>EQ.Y PROGR. CÓMPUTO</t>
  </si>
  <si>
    <t>EQ.SANIT, LAB. E INV</t>
  </si>
  <si>
    <t>EQ.YMOB.EDUC,DEP.Y R</t>
  </si>
  <si>
    <t>MAQ,EQ Y MOV.DIVERSO</t>
  </si>
  <si>
    <t>CONST, ADIC YMEJORAS</t>
  </si>
  <si>
    <t>BIENES DURADEROS DIV</t>
  </si>
  <si>
    <t>E-59901</t>
  </si>
  <si>
    <t>SEMOVIENTES</t>
  </si>
  <si>
    <t>TRANSF. CORRIENTES</t>
  </si>
  <si>
    <t>TRANSF CTES S. PUB</t>
  </si>
  <si>
    <t>E-60102</t>
  </si>
  <si>
    <t>TRANSF.CTE ORG.DESC</t>
  </si>
  <si>
    <t>E6010221078700</t>
  </si>
  <si>
    <t>COM.NAL.PRE.RIES.A.E</t>
  </si>
  <si>
    <t>E6010221578600</t>
  </si>
  <si>
    <t>AGENCIA PROTECCION D</t>
  </si>
  <si>
    <t>E6010220078900</t>
  </si>
  <si>
    <t>PCIAB</t>
  </si>
  <si>
    <t>E-60103</t>
  </si>
  <si>
    <t>TRANSF.CTE I.D.NOE</t>
  </si>
  <si>
    <t>E6010320078600</t>
  </si>
  <si>
    <t>CCSS CONT.EST S.PENS</t>
  </si>
  <si>
    <t>E6010320078700</t>
  </si>
  <si>
    <t>E6010320078800</t>
  </si>
  <si>
    <t>E6010320078900</t>
  </si>
  <si>
    <t>E6010320078901</t>
  </si>
  <si>
    <t>E6010320078902</t>
  </si>
  <si>
    <t>E6010320078903</t>
  </si>
  <si>
    <t>E6010320078904</t>
  </si>
  <si>
    <t>E6010320078905</t>
  </si>
  <si>
    <t>E6010320078906</t>
  </si>
  <si>
    <t>E6010320079000</t>
  </si>
  <si>
    <t>E6010320079100</t>
  </si>
  <si>
    <t>E6010320079300</t>
  </si>
  <si>
    <t>E6010320079400</t>
  </si>
  <si>
    <t>E6010320278600</t>
  </si>
  <si>
    <t>CCSS CONT.EST S.SALU</t>
  </si>
  <si>
    <t>E6010320278700</t>
  </si>
  <si>
    <t>E6010320278800</t>
  </si>
  <si>
    <t>E6010320278900</t>
  </si>
  <si>
    <t>E6010320278901</t>
  </si>
  <si>
    <t>E6010320278902</t>
  </si>
  <si>
    <t>E6010320278903</t>
  </si>
  <si>
    <t>E6010320278904</t>
  </si>
  <si>
    <t>E6010320278905</t>
  </si>
  <si>
    <t>E6010320278906</t>
  </si>
  <si>
    <t>E6010320279000</t>
  </si>
  <si>
    <t>E6010320279100</t>
  </si>
  <si>
    <t>E6010320279300</t>
  </si>
  <si>
    <t>E6010320279400</t>
  </si>
  <si>
    <t>E6010320478900</t>
  </si>
  <si>
    <t>CAJA COSTARRICENSE DE SEGURO SOCIAL (CENTROS PENALES SEGURO DE SALUD, SEGUN LEY NO.17 DEL 22 DE OCTUBRE DE 1943 Y SUS REFORMAS).</t>
  </si>
  <si>
    <t>TRANSF CTES A PERS</t>
  </si>
  <si>
    <t>OTRAS TRANSF. A PERS</t>
  </si>
  <si>
    <t>OTR.TRANSF.CTE SPRIV</t>
  </si>
  <si>
    <t>REINTEGROS O DEVOL.</t>
  </si>
  <si>
    <t>TRANSF CTES AL S.EXT</t>
  </si>
  <si>
    <t>E-60701</t>
  </si>
  <si>
    <t>TRANSF.C.TE ORG.INT.</t>
  </si>
  <si>
    <t>E6070120578700</t>
  </si>
  <si>
    <t>INST.LATINOAME.PREVE</t>
  </si>
  <si>
    <t>E6070120878700</t>
  </si>
  <si>
    <t xml:space="preserve">ORGANIZ COOP. DESAR. ECON </t>
  </si>
  <si>
    <t>E6070123078700</t>
  </si>
  <si>
    <t>ORG.MUNDIAL PROPIEDA</t>
  </si>
  <si>
    <t>TRANSF. DE CAPITAL</t>
  </si>
  <si>
    <t>TRANSF DE CTAL S PUB</t>
  </si>
  <si>
    <t>E-70102</t>
  </si>
  <si>
    <t>TRANSF.CTAL ORG.DESC</t>
  </si>
  <si>
    <t>E7010220078900</t>
  </si>
  <si>
    <t>PATRONATO CONSTRUC.</t>
  </si>
  <si>
    <t>E7010221078900</t>
  </si>
  <si>
    <t>UNIDAD EJECUTORA PRO</t>
  </si>
  <si>
    <t>E-9</t>
  </si>
  <si>
    <t>CUENTAS ESPECIALES</t>
  </si>
  <si>
    <t>E-902</t>
  </si>
  <si>
    <t>SUMAS SIN ASIGNACION PRESUPUESTARIA</t>
  </si>
  <si>
    <t>E-90201</t>
  </si>
  <si>
    <t>SUMAS LIBRES SIN ASIGNACION PRESUPUESTARIA</t>
  </si>
  <si>
    <t>TOTALES</t>
  </si>
  <si>
    <t>Ejecución Menor al 75%</t>
  </si>
  <si>
    <t>Disponible Mayor al 25%</t>
  </si>
  <si>
    <t xml:space="preserve">Presupuesto Actual </t>
  </si>
  <si>
    <t>Total gasto Real</t>
  </si>
  <si>
    <t>% de Disponible</t>
  </si>
  <si>
    <t>C+D</t>
  </si>
  <si>
    <t>PosPre</t>
  </si>
  <si>
    <t>Pagado %</t>
  </si>
  <si>
    <t>MONTOS BLOQUEADOS</t>
  </si>
  <si>
    <t>Traslados pendientes Rebajo</t>
  </si>
  <si>
    <t>Traslados pendientes Aumento</t>
  </si>
  <si>
    <t>21478600</t>
  </si>
  <si>
    <t>CCSS CONTRIBUCION PATRONAL SEGURO SALUD (CONTRIBUCION PATRONAL SEGURO DE SALUD, SEGUN LEY NO. 17 DEL 22 DE OCTUBRE DE 1943, LEY</t>
  </si>
  <si>
    <t>CCSS CONTRIBUCION PATRONAL SEGURO PENSIONES (CONTRIBUCION PATRONAL SEGURO DE PENSIONES, SEGUN LEY NO. 17 DEL 22 DE OCTUBRE DE 1943, LEY</t>
  </si>
  <si>
    <t>CCSS APORTE PATRONAL REGIMEN PENSIONES (APORTE PATRONAL AL REGIMEN DE PENSIONES, SEGUN LEY DE PROTECCION AL TRABAJADOR NO. 7983 DEL 16</t>
  </si>
  <si>
    <t>CCSS APORTE PATRONAL FONDO CAPITALIZACION LABORAL (APORTE PATRONAL AL FONDO DE CAPITALIZACION LABORAL, SEGUN LEY DE PROTECCION AL TRABAJADOR</t>
  </si>
  <si>
    <t>AGENCIA DE PROTECCION DE DATOS DE LOS HABITANTES (PRODHAB). (DE CONFORMIDAD CON EL ARTICULO 20, INCISO B, DE LA LEY PROTECCION DE LA PERSONA</t>
  </si>
  <si>
    <t>CCSS CONTRIBUCION ESTATAL SEGURO PENSIONES (CONTRIBUCION ESTATAL AL SEGURO DE PENSIONES, SEGUN LEY NO. 17 DEL 22 DE OCTUBRE DE 1943, LEY</t>
  </si>
  <si>
    <t>CCSS CONTRIBUCION ESTATAL SEGURO SALUD (CONTRIBUCION ESTATAL AL SEGURO DE SALUD, SEGUN LEY NO. 17 DEL 22 DE OCTUBRE DE 1943, LEY</t>
  </si>
  <si>
    <t>21478700</t>
  </si>
  <si>
    <t>ORGANIZACION PARA LA COOPERACION Y EL DESARROLLO ECONOMICO (OCDE). (CUOTA ANUAL ORDINARIA DE PARTICIPACION EN EL GRUPO DE TRABAJO DE COHECHO</t>
  </si>
  <si>
    <t>21478800</t>
  </si>
  <si>
    <t>21478900</t>
  </si>
  <si>
    <t>PATRONATO DE CONSTRUCCION, INSTALACIONES Y ADQUISICION DE BIENES. (PARA GASTOS OPERATIVOS, SEGUN EL ARTICULO 6, INCISO C DE LA LEY NO. 6739</t>
  </si>
  <si>
    <t>CCSS CENTROS PENALES SEGURO DE SALUD (CENTROS PENALES SEGURO DE SALUD, SEGUN LEY NO.17 DEL 22 DE OCTUBRE DE 1943 Y SUS REFORMAS).</t>
  </si>
  <si>
    <t>PATRONATO DE CONSTRUCCION, INSTALACIONES Y ADQUISICION DE BIENES. (RECURSOS PARA INVERTIR EN INFRAESTRUCTURA PENITENCIARIA INCLUIDA LA</t>
  </si>
  <si>
    <t>21478901</t>
  </si>
  <si>
    <t>21478902</t>
  </si>
  <si>
    <t>21478903</t>
  </si>
  <si>
    <t>21478904</t>
  </si>
  <si>
    <t>21478905</t>
  </si>
  <si>
    <t>21478906</t>
  </si>
  <si>
    <t>21479000</t>
  </si>
  <si>
    <t>PUBLICIDAD Y PROPAGANDA</t>
  </si>
  <si>
    <t>21479100</t>
  </si>
  <si>
    <t>21479300</t>
  </si>
  <si>
    <t>21479400</t>
  </si>
  <si>
    <t>ASOCIACION SOLIDARISTA DE EMPLEADOS DEL REGISTRO NACIONAL (ASOREN). (APORTE PATRONAL SEGUN LEY DE ASOCIACIONES SOLIDARISTAS Nº 6970 Y LEY DE</t>
  </si>
  <si>
    <t>Cuota. Comp</t>
  </si>
  <si>
    <t>Disp. Pre</t>
  </si>
  <si>
    <t>Disp. Cuota</t>
  </si>
  <si>
    <t xml:space="preserve"> Total de Egresos</t>
  </si>
  <si>
    <t>% Componentes de la Apropiación</t>
  </si>
  <si>
    <t>Apropiación Actual</t>
  </si>
  <si>
    <t>Solicitado (solicitudes ingresadas en Compra Red)</t>
  </si>
  <si>
    <t>Comprometido (en órdenes de pedido)</t>
  </si>
  <si>
    <t>Rec. Mercancía</t>
  </si>
  <si>
    <t>Devengado (Real ejecutado, todas las facturas, lo pagado más lo ingresado pendiente de pago)</t>
  </si>
  <si>
    <t>Disponible Presupuestario</t>
  </si>
  <si>
    <t>Presupuesto Ejecutado (solicitado+comprometido+rec. mercacía+devengado)</t>
  </si>
  <si>
    <t>Real Pagado</t>
  </si>
  <si>
    <t>Disponoble cuota</t>
  </si>
  <si>
    <t>Mes</t>
  </si>
  <si>
    <t>Presupuesto Utilizado (solicitado + comprometido + rec.mercancía)</t>
  </si>
  <si>
    <t>Presupuesto Ejecutado (devengado)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</si>
  <si>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</si>
  <si>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</si>
  <si>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</si>
  <si>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</si>
  <si>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</si>
  <si>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</si>
  <si>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</si>
  <si>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</si>
  <si>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</si>
  <si>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</si>
  <si>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</si>
  <si>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</si>
  <si>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INFORME DE PRESUPUESTO DE EGRESOS   POR PROGRAMA Devengado</t>
  </si>
  <si>
    <t>Enero</t>
  </si>
  <si>
    <t>Febrero</t>
  </si>
  <si>
    <t>Marzo</t>
  </si>
  <si>
    <t>26-AGOSTO</t>
  </si>
  <si>
    <t>31-AGOSTO</t>
  </si>
  <si>
    <t>30-SETIEMBRE</t>
  </si>
  <si>
    <t>31-OCTUBRE</t>
  </si>
  <si>
    <t>30-NOVIEMBRE</t>
  </si>
  <si>
    <t>31-DICIEMBRE</t>
  </si>
  <si>
    <t>01-Marzo</t>
  </si>
  <si>
    <t>Monto</t>
  </si>
  <si>
    <t>PROG 779</t>
  </si>
  <si>
    <t>PROG 780</t>
  </si>
  <si>
    <t>PROG 781</t>
  </si>
  <si>
    <t>PROG 783</t>
  </si>
  <si>
    <t>PROG 784</t>
  </si>
  <si>
    <t>INFORME DE PRESUPUESTO DE EGRESOS   POR PROGRAMA Comprometido</t>
  </si>
  <si>
    <t>INFORME DE PRESUPUESTO DE EGRESOS   POR PROGRAMA DEVENGADO 78900 AL 78906</t>
  </si>
  <si>
    <t>Cuadro resumen ejecución Titulo 214_2018</t>
  </si>
  <si>
    <t>Apropiación</t>
  </si>
  <si>
    <t>Disponible</t>
  </si>
  <si>
    <t>% Ejecución</t>
  </si>
  <si>
    <t xml:space="preserve"> % de Ejecución </t>
  </si>
  <si>
    <t>UNIDAD EJECUTORA DEL PROYECTO PROGRAMA PARA LA PREVENCION DE LA VIOLENCIA Y PROMOCION DE LA INCLUSION SOCIAL. (LEY Nº 9025 PUBLICADA EL</t>
  </si>
  <si>
    <t>507</t>
  </si>
  <si>
    <t>%  Disponible</t>
  </si>
  <si>
    <t>TOTAL 786 Y 787</t>
  </si>
  <si>
    <t>TOTAL 789 Y SUB-PROGRAMAS</t>
  </si>
  <si>
    <t>TOTAL PROCURADURÍA</t>
  </si>
  <si>
    <t>SUMATORIA             786 Y 787</t>
  </si>
  <si>
    <t>SUMATORIA 78900 y 78901 AL 78906</t>
  </si>
  <si>
    <t>AÑO 2020 CONSOLIDADO</t>
  </si>
  <si>
    <t>Incremento en devengado</t>
  </si>
  <si>
    <t>31 de Diciembre 2019</t>
  </si>
  <si>
    <t>31 de octubre 2020</t>
  </si>
  <si>
    <t>30 de noviembre 2020</t>
  </si>
  <si>
    <t>09 de Diciembre 2020</t>
  </si>
  <si>
    <t>28 de Diciembre 2020</t>
  </si>
  <si>
    <t>31 de Diciembre 2020</t>
  </si>
  <si>
    <t>Análisis Programa 78900 al 78906</t>
  </si>
  <si>
    <t>31 DE OCTUBRE</t>
  </si>
  <si>
    <t>Incremento</t>
  </si>
  <si>
    <t>30 DE NOVIEMBRE</t>
  </si>
  <si>
    <t>9 de diciembre</t>
  </si>
  <si>
    <t>28 de diciembre</t>
  </si>
  <si>
    <t xml:space="preserve">31 de diciembre </t>
  </si>
  <si>
    <t>abril</t>
  </si>
  <si>
    <t>OCTUBRE 2019.</t>
  </si>
  <si>
    <t>Cuadro resumen ejecución Titulo 214_2019</t>
  </si>
  <si>
    <t>Cuadro resumen ejecución Titulo 214_2020</t>
  </si>
  <si>
    <t>Total 786 y 787</t>
  </si>
  <si>
    <t>788, 791 y 793</t>
  </si>
  <si>
    <t>Total 78900, 01-06</t>
  </si>
  <si>
    <t>PROG 786-787</t>
  </si>
  <si>
    <t>PROG 788-791-793</t>
  </si>
  <si>
    <t>PROG 789-01,02,03,03,04,05,06</t>
  </si>
  <si>
    <t>Devengo</t>
  </si>
  <si>
    <t>PROG 7888-791-793</t>
  </si>
  <si>
    <t>DEVENGADO MENSUAL PROGRAMA 779</t>
  </si>
  <si>
    <t xml:space="preserve">DEVENGADO MENSUAL </t>
  </si>
  <si>
    <t>Pagado Mensual</t>
  </si>
  <si>
    <t>Pagado Acumulado</t>
  </si>
  <si>
    <t>DEVENGADO % ACUMULADO</t>
  </si>
  <si>
    <t>DEVENGADO MENSUAL PROGRAMA 780</t>
  </si>
  <si>
    <t>DEVENGADO MENSUAL PROGRAMA 781</t>
  </si>
  <si>
    <t>DEVENGADO MENSUAL PROGRAMA 783</t>
  </si>
  <si>
    <t>DEVENGADO MENSUAL PROGRAMA 784</t>
  </si>
  <si>
    <t>DEVENGADO MENSUAL /SIGAF</t>
  </si>
  <si>
    <t>Recepción Mercancía/SIGAF</t>
  </si>
  <si>
    <t>Disponible Presupuestario/SIGAF</t>
  </si>
  <si>
    <t>CONSOLIDADO</t>
  </si>
  <si>
    <t>Pagado x Mes</t>
  </si>
  <si>
    <t>Devengado x Mes</t>
  </si>
  <si>
    <t>Recepción/ Mercancía</t>
  </si>
  <si>
    <t>CCSS CONTRIBUCION PATRONAL SEGURO SALUD (SEGUN LEY NO. 17 DEL 22/10/1943, LEY CONSTITUTIVA DE LA C.C.S.S. Y REGLAMENTO NO. 7082</t>
  </si>
  <si>
    <t>CCSS CONTRIBUCION PATRONAL SEGURO PENSIONES (SEGUN LEY NO. 17 DEL 22/10/1943, LEY CONSTITUTIVA DE LA C.C.S.S. Y REGLAMENTO NO. 6898</t>
  </si>
  <si>
    <t>CCSS APORTE PATRONAL REGIMEN PENSIONES (SEGUN LEY DE PROTECCION AL TRABAJADOR NO. 7983 DEL 16 DE FEBRERO DEL 2000).</t>
  </si>
  <si>
    <t>CCSS APORTE PATRONAL FONDO CAPITALIZACION LABORAL (SEGUN LEY DE PROTECCION AL TRABAJADOR NO. 7983 DEL 16 DE FEBRERO DEL 2000).</t>
  </si>
  <si>
    <t>UTILES,  MATERIALES Y  SUMINISTROS DIVERSOS</t>
  </si>
  <si>
    <t>CCSS CONTRIBUCION ESTATAL SEGURO PENSIONES (CONTRIBUCION ESTATAL AL SEGURO DE PENSIONES, SEGUN LEY NO. 17 DEL 22/10/1943, LEY CONSTITUTIVA</t>
  </si>
  <si>
    <t>CCSS CONTRIBUCION ESTATAL SEGURO SALUD (CONTRIBUCION ESTATAL AL SEGURO DE SALUD, SEGUN LEY NO. 17 DEL 22/10/1943, LEY CONSTITUTIVA DE LA</t>
  </si>
  <si>
    <t>SERVICIOS DE INGENIERIA</t>
  </si>
  <si>
    <t>SERVICIO DE DESARROLLO DE SISTEMAS INFORMATICOS</t>
  </si>
  <si>
    <t>REMUNERACIONES DIVERSAS</t>
  </si>
  <si>
    <t>GASTOS DE REPRESENTACION PERSONAL</t>
  </si>
  <si>
    <t>SERVICIOS MEDICOS Y DE LABORATORIO</t>
  </si>
  <si>
    <t xml:space="preserve">Proyección ejecución por partida presupuestaria 2015 </t>
  </si>
  <si>
    <t>Apropiación actual</t>
  </si>
  <si>
    <t>Disponible al 07 de Setiembre</t>
  </si>
  <si>
    <t>Proyección de gasto a diciembre</t>
  </si>
  <si>
    <t>Saldo disponible</t>
  </si>
  <si>
    <t>2  MATERIALES Y SUMINIS</t>
  </si>
  <si>
    <t>Proyección ejecución por programa presupuestario 2015</t>
  </si>
  <si>
    <t>Programa</t>
  </si>
  <si>
    <t>779: Actividad Central</t>
  </si>
  <si>
    <t>780: Promoción de la Paz</t>
  </si>
  <si>
    <t>781: PGR</t>
  </si>
  <si>
    <t>783: Administración Penitenciaria</t>
  </si>
  <si>
    <t>784: Registro 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</si>
</sst>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0.0%"/>
    <numFmt numFmtId="165" formatCode="_(* #,##0.00_);_(* \(#,##0.00\);_(* \-??_);_(@_)"/>
    <numFmt numFmtId="166" formatCode="[$-409]#,##0.00_);[Red]\(#,##0.00\)"/>
    <numFmt numFmtId="167" formatCode="[$-409]d\-mmm\-yy"/>
    <numFmt numFmtId="168" formatCode="_(* #,##0_);_(* \(#,##0\);_(* \-??_);_(@_)"/>
    <numFmt numFmtId="169" formatCode="[$-409]m/d/yyyy"/>
    <numFmt numFmtId="170" formatCode="[$-409]d\-mmm"/>
    <numFmt numFmtId="171" formatCode="[$-409]mmm\-yy"/>
    <numFmt numFmtId="172" formatCode="_-* #,##0.00_-;\-* #,##0.00_-;_-* \-??_-;_-@_-"/>
    <numFmt numFmtId="174" formatCode="_-[$₡-140A]* #,##0.00_-;\-[$₡-140A]* #,##0.00_-;_-[$₡-140A]* \-??_-;_-@_-"/>
    <numFmt numFmtId="175" formatCode="\₡#,##0.00"/>
    <numFmt numFmtId="176" formatCode="#,##0.0"/>
  </numFmts>
  <fonts count="35" x14ac:knownFonts="1">
    <font>
      <sz val="11"/>
      <color indexed="8"/>
      <name val="Calibri"/>
      <family val="2"/>
      <charset val="1"/>
    </font>
    <font>
      <sz val="10"/>
      <name val="Arial"/>
      <family val="2"/>
      <charset val="1"/>
    </font>
    <font>
      <b/>
      <sz val="12"/>
      <color indexed="8"/>
      <name val="Calibri"/>
      <family val="2"/>
      <charset val="1"/>
    </font>
    <font>
      <b/>
      <sz val="12"/>
      <name val="Calibri"/>
      <family val="2"/>
      <charset val="1"/>
    </font>
    <font>
      <b/>
      <sz val="11"/>
      <color indexed="9"/>
      <name val="Palatino Linotype"/>
      <family val="1"/>
      <charset val="1"/>
    </font>
    <font>
      <sz val="10"/>
      <color indexed="8"/>
      <name val="Calibri"/>
      <family val="2"/>
      <charset val="1"/>
    </font>
    <font>
      <sz val="11"/>
      <color indexed="8"/>
      <name val="Palatino Linotype"/>
      <family val="1"/>
      <charset val="1"/>
    </font>
    <font>
      <sz val="10"/>
      <color indexed="8"/>
      <name val="Times New Roman"/>
      <family val="1"/>
      <charset val="1"/>
    </font>
    <font>
      <sz val="11"/>
      <color indexed="9"/>
      <name val="Calibri"/>
      <family val="2"/>
      <charset val="1"/>
    </font>
    <font>
      <b/>
      <sz val="10"/>
      <color indexed="9"/>
      <name val="Calibri"/>
      <family val="2"/>
      <charset val="1"/>
    </font>
    <font>
      <sz val="9"/>
      <name val="Arial"/>
      <family val="2"/>
      <charset val="1"/>
    </font>
    <font>
      <sz val="9"/>
      <color indexed="10"/>
      <name val="Arial"/>
      <family val="2"/>
      <charset val="1"/>
    </font>
    <font>
      <b/>
      <sz val="12"/>
      <color indexed="10"/>
      <name val="Calibri"/>
      <family val="2"/>
      <charset val="1"/>
    </font>
    <font>
      <b/>
      <sz val="9"/>
      <color indexed="9"/>
      <name val="Calibri"/>
      <family val="2"/>
      <charset val="1"/>
    </font>
    <font>
      <b/>
      <sz val="10"/>
      <color indexed="8"/>
      <name val="Calibri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b/>
      <sz val="11"/>
      <color indexed="8"/>
      <name val="Palatino Linotype"/>
      <family val="1"/>
      <charset val="1"/>
    </font>
    <font>
      <b/>
      <sz val="11"/>
      <color indexed="9"/>
      <name val="Calibri"/>
      <family val="2"/>
      <charset val="1"/>
    </font>
    <font>
      <b/>
      <sz val="10"/>
      <color indexed="8"/>
      <name val="Arial"/>
      <family val="2"/>
      <charset val="1"/>
    </font>
    <font>
      <sz val="10"/>
      <color indexed="8"/>
      <name val="Arial"/>
      <family val="2"/>
      <charset val="1"/>
    </font>
    <font>
      <b/>
      <sz val="11"/>
      <color indexed="57"/>
      <name val="Calibri"/>
      <family val="2"/>
      <charset val="1"/>
    </font>
    <font>
      <sz val="9"/>
      <color indexed="8"/>
      <name val="Tahoma"/>
      <family val="2"/>
      <charset val="1"/>
    </font>
    <font>
      <b/>
      <sz val="14"/>
      <color indexed="8"/>
      <name val="Calibri"/>
      <family val="2"/>
      <charset val="1"/>
    </font>
    <font>
      <u/>
      <sz val="11"/>
      <color indexed="30"/>
      <name val="Calibri"/>
      <family val="2"/>
      <charset val="1"/>
    </font>
    <font>
      <b/>
      <sz val="14"/>
      <color indexed="50"/>
      <name val="Calibri"/>
      <family val="2"/>
      <charset val="1"/>
    </font>
    <font>
      <b/>
      <sz val="12"/>
      <color indexed="9"/>
      <name val="Calibri"/>
      <family val="2"/>
      <charset val="1"/>
    </font>
    <font>
      <sz val="12"/>
      <color indexed="8"/>
      <name val="Calibri"/>
      <family val="2"/>
      <charset val="1"/>
    </font>
    <font>
      <sz val="12"/>
      <color indexed="9"/>
      <name val="Calibri"/>
      <family val="2"/>
      <charset val="1"/>
    </font>
    <font>
      <b/>
      <sz val="14"/>
      <color indexed="9"/>
      <name val="Calibri"/>
      <family val="2"/>
      <charset val="1"/>
    </font>
    <font>
      <sz val="14"/>
      <color indexed="8"/>
      <name val="Calibri"/>
      <family val="2"/>
      <charset val="1"/>
    </font>
    <font>
      <sz val="11"/>
      <color indexed="62"/>
      <name val="Calibri"/>
      <family val="2"/>
      <charset val="1"/>
    </font>
    <font>
      <b/>
      <sz val="11"/>
      <color indexed="62"/>
      <name val="Calibri"/>
      <family val="2"/>
      <charset val="1"/>
    </font>
    <font>
      <sz val="9"/>
      <color indexed="8"/>
      <name val="Calibri"/>
      <family val="2"/>
      <charset val="1"/>
    </font>
    <font>
      <sz val="11"/>
      <color indexed="8"/>
      <name val="Calibri"/>
      <family val="2"/>
      <charset val="1"/>
    </font>
  </fonts>
  <fills count="21">
    <fill>
      <patternFill patternType="none"/>
    </fill>
    <fill>
      <patternFill patternType="gray125"/>
    </fill>
    <fill>
      <patternFill patternType="solid">
        <fgColor indexed="47"/>
        <bgColor indexed="34"/>
      </patternFill>
    </fill>
    <fill>
      <patternFill patternType="solid">
        <fgColor indexed="62"/>
        <bgColor indexed="38"/>
      </patternFill>
    </fill>
    <fill>
      <patternFill patternType="solid">
        <fgColor indexed="9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13"/>
        <bgColor indexed="51"/>
      </patternFill>
    </fill>
    <fill>
      <patternFill patternType="solid">
        <fgColor indexed="50"/>
        <bgColor indexed="16"/>
      </patternFill>
    </fill>
    <fill>
      <patternFill patternType="solid">
        <fgColor indexed="11"/>
        <bgColor indexed="49"/>
      </patternFill>
    </fill>
    <fill>
      <patternFill patternType="solid">
        <fgColor indexed="30"/>
        <bgColor indexed="48"/>
      </patternFill>
    </fill>
    <fill>
      <patternFill patternType="solid">
        <fgColor indexed="57"/>
        <bgColor indexed="17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10"/>
        <bgColor indexed="60"/>
      </patternFill>
    </fill>
    <fill>
      <patternFill patternType="solid">
        <fgColor indexed="49"/>
        <bgColor indexed="40"/>
      </patternFill>
    </fill>
    <fill>
      <patternFill patternType="solid">
        <fgColor indexed="51"/>
        <bgColor indexed="41"/>
      </patternFill>
    </fill>
    <fill>
      <patternFill patternType="solid">
        <fgColor indexed="44"/>
        <bgColor indexed="4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2"/>
      </patternFill>
    </fill>
    <fill>
      <patternFill patternType="solid">
        <fgColor indexed="8"/>
        <bgColor indexed="18"/>
      </patternFill>
    </fill>
  </fills>
  <borders count="5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</borders>
  <cellStyleXfs count="6">
    <xf numFmtId="0" fontId="0" fillId="0" borderId="0"/>
    <xf numFmtId="165" fontId="34" fillId="0" borderId="0" applyBorder="0" applyProtection="0"/>
    <xf numFmtId="9" fontId="34" fillId="0" borderId="0" applyBorder="0" applyProtection="0"/>
    <xf numFmtId="0" fontId="24" fillId="0" borderId="0" applyBorder="0" applyProtection="0"/>
    <xf numFmtId="0" fontId="1" fillId="0" borderId="0"/>
    <xf numFmtId="0" fontId="31" fillId="2" borderId="1" applyProtection="0"/>
  </cellStyleXfs>
  <cellXfs count="649">
    <xf numFmtId="0" fontId="0" fillId="0" borderId="0" xfId="0"/>
    <xf numFmtId="0" fontId="2" fillId="0" borderId="0" xfId="0" applyFont="1" applyBorder="1" applyAlignment="1"/>
    <xf numFmtId="0" fontId="2" fillId="0" borderId="3" xfId="0" applyFont="1" applyBorder="1" applyAlignment="1"/>
    <xf numFmtId="0" fontId="3" fillId="0" borderId="0" xfId="0" applyFont="1" applyBorder="1" applyAlignment="1"/>
    <xf numFmtId="0" fontId="3" fillId="0" borderId="3" xfId="0" applyFont="1" applyBorder="1" applyAlignment="1"/>
    <xf numFmtId="0" fontId="4" fillId="3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vertical="center" wrapText="1"/>
    </xf>
    <xf numFmtId="0" fontId="5" fillId="0" borderId="5" xfId="0" applyNumberFormat="1" applyFont="1" applyBorder="1"/>
    <xf numFmtId="0" fontId="6" fillId="0" borderId="4" xfId="0" applyFont="1" applyBorder="1" applyAlignment="1">
      <alignment vertical="center"/>
    </xf>
    <xf numFmtId="4" fontId="6" fillId="0" borderId="4" xfId="0" applyNumberFormat="1" applyFont="1" applyBorder="1" applyAlignment="1">
      <alignment vertical="center"/>
    </xf>
    <xf numFmtId="164" fontId="6" fillId="0" borderId="4" xfId="2" applyNumberFormat="1" applyFont="1" applyBorder="1" applyAlignment="1" applyProtection="1">
      <alignment horizontal="center" vertical="center"/>
    </xf>
    <xf numFmtId="9" fontId="6" fillId="0" borderId="4" xfId="2" applyFont="1" applyBorder="1" applyAlignment="1" applyProtection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4" fontId="4" fillId="3" borderId="4" xfId="0" applyNumberFormat="1" applyFont="1" applyFill="1" applyBorder="1" applyAlignment="1">
      <alignment vertical="center"/>
    </xf>
    <xf numFmtId="10" fontId="4" fillId="3" borderId="4" xfId="2" applyNumberFormat="1" applyFont="1" applyFill="1" applyBorder="1" applyAlignment="1" applyProtection="1">
      <alignment horizontal="center" vertical="center"/>
    </xf>
    <xf numFmtId="164" fontId="4" fillId="3" borderId="4" xfId="2" applyNumberFormat="1" applyFont="1" applyFill="1" applyBorder="1" applyAlignment="1" applyProtection="1">
      <alignment horizontal="center" vertical="center"/>
    </xf>
    <xf numFmtId="0" fontId="6" fillId="4" borderId="0" xfId="0" applyFont="1" applyFill="1" applyAlignment="1">
      <alignment vertical="center"/>
    </xf>
    <xf numFmtId="165" fontId="7" fillId="0" borderId="0" xfId="1" applyFont="1" applyBorder="1" applyAlignment="1" applyProtection="1"/>
    <xf numFmtId="0" fontId="7" fillId="0" borderId="0" xfId="0" applyFont="1"/>
    <xf numFmtId="4" fontId="6" fillId="4" borderId="0" xfId="0" applyNumberFormat="1" applyFont="1" applyFill="1" applyAlignment="1">
      <alignment vertical="center"/>
    </xf>
    <xf numFmtId="10" fontId="0" fillId="0" borderId="0" xfId="2" applyNumberFormat="1" applyFont="1" applyBorder="1" applyAlignment="1" applyProtection="1"/>
    <xf numFmtId="10" fontId="0" fillId="0" borderId="0" xfId="0" applyNumberFormat="1"/>
    <xf numFmtId="4" fontId="0" fillId="0" borderId="0" xfId="0" applyNumberFormat="1"/>
    <xf numFmtId="0" fontId="0" fillId="0" borderId="0" xfId="0" applyFont="1"/>
    <xf numFmtId="164" fontId="0" fillId="0" borderId="0" xfId="2" applyNumberFormat="1" applyFont="1" applyBorder="1" applyAlignment="1" applyProtection="1"/>
    <xf numFmtId="0" fontId="8" fillId="3" borderId="0" xfId="0" applyFont="1" applyFill="1"/>
    <xf numFmtId="0" fontId="9" fillId="3" borderId="4" xfId="0" applyFont="1" applyFill="1" applyBorder="1" applyAlignment="1">
      <alignment vertical="center" wrapText="1" readingOrder="1"/>
    </xf>
    <xf numFmtId="0" fontId="9" fillId="3" borderId="4" xfId="0" applyFont="1" applyFill="1" applyBorder="1" applyAlignment="1">
      <alignment horizontal="center" vertical="center" wrapText="1" readingOrder="1"/>
    </xf>
    <xf numFmtId="0" fontId="0" fillId="0" borderId="6" xfId="0" applyFont="1" applyBorder="1" applyAlignment="1">
      <alignment vertical="center" wrapText="1"/>
    </xf>
    <xf numFmtId="4" fontId="0" fillId="0" borderId="4" xfId="0" applyNumberFormat="1" applyFont="1" applyBorder="1" applyAlignment="1">
      <alignment vertical="center"/>
    </xf>
    <xf numFmtId="9" fontId="0" fillId="0" borderId="4" xfId="2" applyFont="1" applyBorder="1" applyAlignment="1" applyProtection="1">
      <alignment horizontal="center" vertical="center"/>
    </xf>
    <xf numFmtId="10" fontId="0" fillId="0" borderId="4" xfId="2" applyNumberFormat="1" applyFont="1" applyBorder="1" applyAlignment="1" applyProtection="1">
      <alignment horizontal="center" vertical="center"/>
    </xf>
    <xf numFmtId="164" fontId="0" fillId="0" borderId="4" xfId="2" applyNumberFormat="1" applyFont="1" applyBorder="1" applyAlignment="1" applyProtection="1">
      <alignment horizontal="center" vertical="center"/>
    </xf>
    <xf numFmtId="9" fontId="0" fillId="0" borderId="0" xfId="2" applyFont="1" applyBorder="1" applyAlignment="1" applyProtection="1"/>
    <xf numFmtId="165" fontId="0" fillId="0" borderId="0" xfId="1" applyFont="1" applyBorder="1" applyAlignment="1" applyProtection="1"/>
    <xf numFmtId="0" fontId="9" fillId="3" borderId="4" xfId="0" applyFont="1" applyFill="1" applyBorder="1" applyAlignment="1">
      <alignment horizontal="left" vertical="center"/>
    </xf>
    <xf numFmtId="4" fontId="9" fillId="3" borderId="4" xfId="0" applyNumberFormat="1" applyFont="1" applyFill="1" applyBorder="1"/>
    <xf numFmtId="10" fontId="9" fillId="3" borderId="4" xfId="2" applyNumberFormat="1" applyFont="1" applyFill="1" applyBorder="1" applyAlignment="1" applyProtection="1">
      <alignment horizontal="center"/>
    </xf>
    <xf numFmtId="164" fontId="9" fillId="3" borderId="4" xfId="2" applyNumberFormat="1" applyFont="1" applyFill="1" applyBorder="1" applyAlignment="1" applyProtection="1">
      <alignment horizontal="center"/>
    </xf>
    <xf numFmtId="0" fontId="0" fillId="4" borderId="0" xfId="0" applyFont="1" applyFill="1" applyAlignment="1">
      <alignment vertical="center"/>
    </xf>
    <xf numFmtId="165" fontId="5" fillId="0" borderId="0" xfId="1" applyFont="1" applyBorder="1" applyAlignment="1" applyProtection="1"/>
    <xf numFmtId="0" fontId="5" fillId="0" borderId="0" xfId="0" applyFont="1"/>
    <xf numFmtId="4" fontId="0" fillId="4" borderId="0" xfId="0" applyNumberFormat="1" applyFont="1" applyFill="1" applyAlignment="1">
      <alignment vertical="center"/>
    </xf>
    <xf numFmtId="4" fontId="0" fillId="0" borderId="0" xfId="0" applyNumberFormat="1" applyFont="1"/>
    <xf numFmtId="0" fontId="0" fillId="0" borderId="4" xfId="0" applyBorder="1" applyAlignment="1">
      <alignment vertical="top"/>
    </xf>
    <xf numFmtId="0" fontId="10" fillId="5" borderId="4" xfId="0" applyFont="1" applyFill="1" applyBorder="1" applyAlignment="1">
      <alignment vertical="top"/>
    </xf>
    <xf numFmtId="0" fontId="11" fillId="6" borderId="4" xfId="0" applyFont="1" applyFill="1" applyBorder="1" applyAlignment="1">
      <alignment vertical="top"/>
    </xf>
    <xf numFmtId="0" fontId="10" fillId="5" borderId="4" xfId="0" applyFont="1" applyFill="1" applyBorder="1" applyAlignment="1">
      <alignment horizontal="center" vertical="top" wrapText="1"/>
    </xf>
    <xf numFmtId="0" fontId="11" fillId="5" borderId="4" xfId="0" applyFont="1" applyFill="1" applyBorder="1" applyAlignment="1">
      <alignment vertical="top"/>
    </xf>
    <xf numFmtId="0" fontId="0" fillId="0" borderId="4" xfId="0" applyFont="1" applyBorder="1" applyAlignment="1">
      <alignment vertical="top"/>
    </xf>
    <xf numFmtId="4" fontId="0" fillId="0" borderId="4" xfId="0" applyNumberFormat="1" applyBorder="1" applyAlignment="1">
      <alignment horizontal="right" vertical="top"/>
    </xf>
    <xf numFmtId="9" fontId="10" fillId="0" borderId="4" xfId="2" applyFont="1" applyBorder="1" applyAlignment="1" applyProtection="1">
      <alignment horizontal="right" vertical="top"/>
    </xf>
    <xf numFmtId="4" fontId="0" fillId="0" borderId="4" xfId="0" applyNumberFormat="1" applyBorder="1" applyAlignment="1">
      <alignment vertical="top"/>
    </xf>
    <xf numFmtId="0" fontId="0" fillId="6" borderId="4" xfId="0" applyFont="1" applyFill="1" applyBorder="1" applyAlignment="1">
      <alignment vertical="top"/>
    </xf>
    <xf numFmtId="4" fontId="0" fillId="6" borderId="4" xfId="0" applyNumberFormat="1" applyFill="1" applyBorder="1" applyAlignment="1">
      <alignment horizontal="right" vertical="top"/>
    </xf>
    <xf numFmtId="9" fontId="10" fillId="6" borderId="4" xfId="2" applyFont="1" applyFill="1" applyBorder="1" applyAlignment="1" applyProtection="1">
      <alignment horizontal="right" vertical="top"/>
    </xf>
    <xf numFmtId="0" fontId="0" fillId="0" borderId="0" xfId="0" applyAlignment="1">
      <alignment horizontal="center"/>
    </xf>
    <xf numFmtId="166" fontId="0" fillId="0" borderId="0" xfId="0" applyNumberFormat="1"/>
    <xf numFmtId="0" fontId="0" fillId="0" borderId="9" xfId="0" applyBorder="1"/>
    <xf numFmtId="0" fontId="0" fillId="0" borderId="10" xfId="0" applyBorder="1"/>
    <xf numFmtId="4" fontId="0" fillId="0" borderId="10" xfId="0" applyNumberFormat="1" applyBorder="1"/>
    <xf numFmtId="0" fontId="0" fillId="0" borderId="10" xfId="0" applyBorder="1" applyAlignment="1">
      <alignment horizontal="center"/>
    </xf>
    <xf numFmtId="166" fontId="0" fillId="0" borderId="10" xfId="0" applyNumberFormat="1" applyBorder="1"/>
    <xf numFmtId="0" fontId="0" fillId="0" borderId="11" xfId="0" applyBorder="1"/>
    <xf numFmtId="165" fontId="13" fillId="3" borderId="4" xfId="1" applyFont="1" applyFill="1" applyBorder="1" applyAlignment="1" applyProtection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166" fontId="5" fillId="0" borderId="4" xfId="0" applyNumberFormat="1" applyFont="1" applyBorder="1"/>
    <xf numFmtId="4" fontId="5" fillId="0" borderId="4" xfId="0" applyNumberFormat="1" applyFont="1" applyBorder="1"/>
    <xf numFmtId="0" fontId="14" fillId="0" borderId="4" xfId="0" applyFont="1" applyBorder="1"/>
    <xf numFmtId="4" fontId="14" fillId="0" borderId="4" xfId="0" applyNumberFormat="1" applyFont="1" applyBorder="1"/>
    <xf numFmtId="10" fontId="14" fillId="0" borderId="4" xfId="2" applyNumberFormat="1" applyFont="1" applyBorder="1" applyAlignment="1" applyProtection="1"/>
    <xf numFmtId="164" fontId="14" fillId="0" borderId="4" xfId="2" applyNumberFormat="1" applyFont="1" applyBorder="1" applyAlignment="1" applyProtection="1"/>
    <xf numFmtId="0" fontId="15" fillId="0" borderId="0" xfId="0" applyFont="1"/>
    <xf numFmtId="166" fontId="14" fillId="0" borderId="4" xfId="0" applyNumberFormat="1" applyFont="1" applyBorder="1"/>
    <xf numFmtId="10" fontId="5" fillId="0" borderId="4" xfId="2" applyNumberFormat="1" applyFont="1" applyBorder="1" applyAlignment="1" applyProtection="1"/>
    <xf numFmtId="164" fontId="5" fillId="0" borderId="4" xfId="2" applyNumberFormat="1" applyFont="1" applyBorder="1" applyAlignment="1" applyProtection="1"/>
    <xf numFmtId="0" fontId="5" fillId="6" borderId="4" xfId="0" applyFont="1" applyFill="1" applyBorder="1"/>
    <xf numFmtId="4" fontId="5" fillId="6" borderId="4" xfId="0" applyNumberFormat="1" applyFont="1" applyFill="1" applyBorder="1"/>
    <xf numFmtId="10" fontId="5" fillId="6" borderId="4" xfId="2" applyNumberFormat="1" applyFont="1" applyFill="1" applyBorder="1" applyAlignment="1" applyProtection="1"/>
    <xf numFmtId="164" fontId="5" fillId="6" borderId="4" xfId="2" applyNumberFormat="1" applyFont="1" applyFill="1" applyBorder="1" applyAlignment="1" applyProtection="1"/>
    <xf numFmtId="0" fontId="0" fillId="6" borderId="0" xfId="0" applyFill="1"/>
    <xf numFmtId="0" fontId="5" fillId="2" borderId="4" xfId="0" applyFont="1" applyFill="1" applyBorder="1"/>
    <xf numFmtId="4" fontId="15" fillId="0" borderId="0" xfId="0" applyNumberFormat="1" applyFont="1"/>
    <xf numFmtId="0" fontId="14" fillId="6" borderId="4" xfId="0" applyFont="1" applyFill="1" applyBorder="1"/>
    <xf numFmtId="4" fontId="14" fillId="6" borderId="4" xfId="0" applyNumberFormat="1" applyFont="1" applyFill="1" applyBorder="1"/>
    <xf numFmtId="10" fontId="14" fillId="6" borderId="4" xfId="2" applyNumberFormat="1" applyFont="1" applyFill="1" applyBorder="1" applyAlignment="1" applyProtection="1"/>
    <xf numFmtId="164" fontId="14" fillId="6" borderId="4" xfId="2" applyNumberFormat="1" applyFont="1" applyFill="1" applyBorder="1" applyAlignment="1" applyProtection="1"/>
    <xf numFmtId="0" fontId="15" fillId="6" borderId="0" xfId="0" applyFont="1" applyFill="1"/>
    <xf numFmtId="0" fontId="5" fillId="6" borderId="4" xfId="0" applyFont="1" applyFill="1" applyBorder="1" applyAlignment="1">
      <alignment wrapText="1"/>
    </xf>
    <xf numFmtId="0" fontId="5" fillId="0" borderId="4" xfId="0" applyFont="1" applyBorder="1" applyAlignment="1">
      <alignment wrapText="1"/>
    </xf>
    <xf numFmtId="165" fontId="0" fillId="0" borderId="0" xfId="0" applyNumberFormat="1"/>
    <xf numFmtId="0" fontId="16" fillId="0" borderId="0" xfId="0" applyFont="1"/>
    <xf numFmtId="0" fontId="0" fillId="7" borderId="0" xfId="0" applyFill="1"/>
    <xf numFmtId="166" fontId="16" fillId="0" borderId="0" xfId="0" applyNumberFormat="1" applyFont="1"/>
    <xf numFmtId="0" fontId="17" fillId="8" borderId="12" xfId="0" applyFont="1" applyFill="1" applyBorder="1" applyAlignment="1">
      <alignment horizontal="center" vertical="center" wrapText="1"/>
    </xf>
    <xf numFmtId="0" fontId="18" fillId="3" borderId="13" xfId="0" applyFont="1" applyFill="1" applyBorder="1" applyAlignment="1">
      <alignment horizontal="center" vertical="center" wrapText="1"/>
    </xf>
    <xf numFmtId="0" fontId="17" fillId="8" borderId="13" xfId="0" applyFont="1" applyFill="1" applyBorder="1" applyAlignment="1">
      <alignment horizontal="center" vertical="center" wrapText="1"/>
    </xf>
    <xf numFmtId="0" fontId="17" fillId="8" borderId="14" xfId="0" applyFont="1" applyFill="1" applyBorder="1" applyAlignment="1">
      <alignment horizontal="center" vertical="center" wrapText="1"/>
    </xf>
    <xf numFmtId="0" fontId="17" fillId="8" borderId="4" xfId="0" applyFont="1" applyFill="1" applyBorder="1" applyAlignment="1">
      <alignment horizontal="center" vertical="center" wrapText="1"/>
    </xf>
    <xf numFmtId="0" fontId="14" fillId="0" borderId="4" xfId="0" applyNumberFormat="1" applyFont="1" applyBorder="1"/>
    <xf numFmtId="0" fontId="19" fillId="0" borderId="4" xfId="0" applyNumberFormat="1" applyFont="1" applyBorder="1" applyAlignment="1">
      <alignment horizontal="left" vertical="top" wrapText="1"/>
    </xf>
    <xf numFmtId="4" fontId="17" fillId="0" borderId="4" xfId="0" applyNumberFormat="1" applyFont="1" applyBorder="1" applyAlignment="1">
      <alignment vertical="center"/>
    </xf>
    <xf numFmtId="10" fontId="17" fillId="0" borderId="4" xfId="2" applyNumberFormat="1" applyFont="1" applyBorder="1" applyAlignment="1" applyProtection="1">
      <alignment horizontal="center" vertical="center"/>
    </xf>
    <xf numFmtId="0" fontId="5" fillId="0" borderId="4" xfId="0" applyNumberFormat="1" applyFont="1" applyBorder="1"/>
    <xf numFmtId="0" fontId="20" fillId="0" borderId="4" xfId="0" applyNumberFormat="1" applyFont="1" applyBorder="1" applyAlignment="1">
      <alignment horizontal="left" vertical="top" wrapText="1"/>
    </xf>
    <xf numFmtId="10" fontId="6" fillId="0" borderId="4" xfId="2" applyNumberFormat="1" applyFont="1" applyBorder="1" applyAlignment="1" applyProtection="1">
      <alignment horizontal="center" vertical="center"/>
    </xf>
    <xf numFmtId="0" fontId="5" fillId="6" borderId="4" xfId="0" applyNumberFormat="1" applyFont="1" applyFill="1" applyBorder="1"/>
    <xf numFmtId="0" fontId="20" fillId="6" borderId="4" xfId="0" applyNumberFormat="1" applyFont="1" applyFill="1" applyBorder="1" applyAlignment="1">
      <alignment horizontal="left" vertical="top" wrapText="1"/>
    </xf>
    <xf numFmtId="4" fontId="6" fillId="6" borderId="4" xfId="0" applyNumberFormat="1" applyFont="1" applyFill="1" applyBorder="1" applyAlignment="1">
      <alignment vertical="center"/>
    </xf>
    <xf numFmtId="10" fontId="6" fillId="6" borderId="4" xfId="2" applyNumberFormat="1" applyFont="1" applyFill="1" applyBorder="1" applyAlignment="1" applyProtection="1">
      <alignment horizontal="center" vertical="center"/>
    </xf>
    <xf numFmtId="0" fontId="17" fillId="9" borderId="15" xfId="0" applyFont="1" applyFill="1" applyBorder="1" applyAlignment="1">
      <alignment horizontal="center" vertical="center"/>
    </xf>
    <xf numFmtId="4" fontId="17" fillId="9" borderId="16" xfId="0" applyNumberFormat="1" applyFont="1" applyFill="1" applyBorder="1" applyAlignment="1">
      <alignment vertical="center"/>
    </xf>
    <xf numFmtId="10" fontId="17" fillId="9" borderId="16" xfId="2" applyNumberFormat="1" applyFont="1" applyFill="1" applyBorder="1" applyAlignment="1" applyProtection="1">
      <alignment horizontal="center" vertical="center"/>
    </xf>
    <xf numFmtId="166" fontId="0" fillId="0" borderId="0" xfId="0" applyNumberFormat="1" applyFont="1"/>
    <xf numFmtId="0" fontId="18" fillId="3" borderId="4" xfId="0" applyFont="1" applyFill="1" applyBorder="1" applyAlignment="1">
      <alignment horizontal="center" vertical="center" wrapText="1"/>
    </xf>
    <xf numFmtId="0" fontId="18" fillId="10" borderId="6" xfId="0" applyNumberFormat="1" applyFont="1" applyFill="1" applyBorder="1" applyAlignment="1">
      <alignment vertical="center"/>
    </xf>
    <xf numFmtId="0" fontId="18" fillId="10" borderId="17" xfId="0" applyNumberFormat="1" applyFont="1" applyFill="1" applyBorder="1" applyAlignment="1">
      <alignment vertical="center"/>
    </xf>
    <xf numFmtId="4" fontId="18" fillId="10" borderId="4" xfId="0" applyNumberFormat="1" applyFont="1" applyFill="1" applyBorder="1" applyAlignment="1">
      <alignment vertical="center"/>
    </xf>
    <xf numFmtId="9" fontId="18" fillId="10" borderId="4" xfId="2" applyFont="1" applyFill="1" applyBorder="1" applyAlignment="1" applyProtection="1">
      <alignment horizontal="center" vertical="center"/>
    </xf>
    <xf numFmtId="165" fontId="15" fillId="0" borderId="0" xfId="1" applyFont="1" applyBorder="1" applyAlignment="1" applyProtection="1"/>
    <xf numFmtId="0" fontId="15" fillId="0" borderId="6" xfId="0" applyNumberFormat="1" applyFont="1" applyBorder="1" applyAlignment="1">
      <alignment vertical="center"/>
    </xf>
    <xf numFmtId="0" fontId="15" fillId="0" borderId="17" xfId="0" applyNumberFormat="1" applyFont="1" applyBorder="1" applyAlignment="1">
      <alignment vertical="center"/>
    </xf>
    <xf numFmtId="4" fontId="15" fillId="0" borderId="4" xfId="0" applyNumberFormat="1" applyFont="1" applyBorder="1" applyAlignment="1">
      <alignment vertical="center"/>
    </xf>
    <xf numFmtId="9" fontId="15" fillId="0" borderId="4" xfId="2" applyFont="1" applyBorder="1" applyAlignment="1" applyProtection="1">
      <alignment horizontal="center" vertical="center"/>
    </xf>
    <xf numFmtId="0" fontId="0" fillId="0" borderId="6" xfId="0" applyNumberFormat="1" applyFont="1" applyBorder="1" applyAlignment="1">
      <alignment vertical="center"/>
    </xf>
    <xf numFmtId="0" fontId="0" fillId="0" borderId="17" xfId="0" applyNumberFormat="1" applyFont="1" applyBorder="1" applyAlignment="1">
      <alignment vertical="center"/>
    </xf>
    <xf numFmtId="165" fontId="0" fillId="0" borderId="4" xfId="1" applyFont="1" applyBorder="1" applyAlignment="1" applyProtection="1">
      <alignment vertical="center"/>
    </xf>
    <xf numFmtId="165" fontId="18" fillId="10" borderId="4" xfId="1" applyFont="1" applyFill="1" applyBorder="1" applyAlignment="1" applyProtection="1">
      <alignment vertical="center"/>
    </xf>
    <xf numFmtId="166" fontId="18" fillId="10" borderId="4" xfId="0" applyNumberFormat="1" applyFont="1" applyFill="1" applyBorder="1" applyAlignment="1">
      <alignment vertical="center"/>
    </xf>
    <xf numFmtId="0" fontId="0" fillId="6" borderId="6" xfId="0" applyNumberFormat="1" applyFont="1" applyFill="1" applyBorder="1" applyAlignment="1">
      <alignment vertical="center"/>
    </xf>
    <xf numFmtId="0" fontId="0" fillId="6" borderId="17" xfId="0" applyNumberFormat="1" applyFont="1" applyFill="1" applyBorder="1" applyAlignment="1">
      <alignment vertical="center"/>
    </xf>
    <xf numFmtId="165" fontId="0" fillId="6" borderId="4" xfId="1" applyFont="1" applyFill="1" applyBorder="1" applyAlignment="1" applyProtection="1">
      <alignment vertical="center"/>
    </xf>
    <xf numFmtId="9" fontId="0" fillId="6" borderId="4" xfId="2" applyFont="1" applyFill="1" applyBorder="1" applyAlignment="1" applyProtection="1">
      <alignment horizontal="center" vertical="center"/>
    </xf>
    <xf numFmtId="165" fontId="21" fillId="0" borderId="0" xfId="1" applyFont="1" applyBorder="1" applyAlignment="1" applyProtection="1"/>
    <xf numFmtId="0" fontId="21" fillId="0" borderId="0" xfId="0" applyFont="1"/>
    <xf numFmtId="165" fontId="15" fillId="0" borderId="4" xfId="1" applyFont="1" applyBorder="1" applyAlignment="1" applyProtection="1">
      <alignment vertical="center"/>
    </xf>
    <xf numFmtId="165" fontId="0" fillId="0" borderId="18" xfId="1" applyFont="1" applyBorder="1" applyAlignment="1" applyProtection="1">
      <alignment vertical="center"/>
    </xf>
    <xf numFmtId="0" fontId="18" fillId="3" borderId="15" xfId="0" applyFont="1" applyFill="1" applyBorder="1" applyAlignment="1">
      <alignment horizontal="center" vertical="center"/>
    </xf>
    <xf numFmtId="0" fontId="18" fillId="3" borderId="19" xfId="0" applyFont="1" applyFill="1" applyBorder="1" applyAlignment="1">
      <alignment horizontal="center" vertical="center"/>
    </xf>
    <xf numFmtId="4" fontId="18" fillId="3" borderId="16" xfId="0" applyNumberFormat="1" applyFont="1" applyFill="1" applyBorder="1" applyAlignment="1">
      <alignment vertical="center"/>
    </xf>
    <xf numFmtId="9" fontId="18" fillId="3" borderId="16" xfId="2" applyFont="1" applyFill="1" applyBorder="1" applyAlignment="1" applyProtection="1">
      <alignment horizontal="center" vertical="center"/>
    </xf>
    <xf numFmtId="0" fontId="0" fillId="0" borderId="0" xfId="0" applyAlignment="1">
      <alignment vertical="top"/>
    </xf>
    <xf numFmtId="0" fontId="0" fillId="11" borderId="4" xfId="0" applyFont="1" applyFill="1" applyBorder="1" applyAlignment="1">
      <alignment vertical="top"/>
    </xf>
    <xf numFmtId="0" fontId="0" fillId="11" borderId="4" xfId="0" applyFont="1" applyFill="1" applyBorder="1" applyAlignment="1">
      <alignment vertical="top" wrapText="1"/>
    </xf>
    <xf numFmtId="0" fontId="0" fillId="12" borderId="4" xfId="0" applyFont="1" applyFill="1" applyBorder="1" applyAlignment="1">
      <alignment vertical="top"/>
    </xf>
    <xf numFmtId="0" fontId="10" fillId="12" borderId="4" xfId="0" applyFont="1" applyFill="1" applyBorder="1" applyAlignment="1">
      <alignment vertical="top"/>
    </xf>
    <xf numFmtId="0" fontId="0" fillId="12" borderId="4" xfId="0" applyFont="1" applyFill="1" applyBorder="1" applyAlignment="1">
      <alignment vertical="top" wrapText="1"/>
    </xf>
    <xf numFmtId="0" fontId="10" fillId="12" borderId="4" xfId="0" applyFont="1" applyFill="1" applyBorder="1" applyAlignment="1">
      <alignment horizontal="center" vertical="top" wrapText="1"/>
    </xf>
    <xf numFmtId="0" fontId="15" fillId="12" borderId="4" xfId="0" applyFont="1" applyFill="1" applyBorder="1" applyAlignment="1">
      <alignment vertical="top" wrapText="1"/>
    </xf>
    <xf numFmtId="9" fontId="1" fillId="0" borderId="4" xfId="2" applyFont="1" applyBorder="1" applyAlignment="1" applyProtection="1">
      <alignment horizontal="right" vertical="top"/>
    </xf>
    <xf numFmtId="9" fontId="0" fillId="0" borderId="4" xfId="2" applyFont="1" applyBorder="1" applyAlignment="1" applyProtection="1">
      <alignment horizontal="right" vertical="top"/>
    </xf>
    <xf numFmtId="4" fontId="0" fillId="0" borderId="20" xfId="0" applyNumberFormat="1" applyBorder="1" applyAlignment="1">
      <alignment horizontal="right" vertical="top"/>
    </xf>
    <xf numFmtId="4" fontId="0" fillId="0" borderId="0" xfId="0" applyNumberFormat="1" applyBorder="1" applyAlignment="1">
      <alignment horizontal="right" vertical="top"/>
    </xf>
    <xf numFmtId="0" fontId="0" fillId="13" borderId="4" xfId="0" applyFont="1" applyFill="1" applyBorder="1" applyAlignment="1">
      <alignment vertical="top"/>
    </xf>
    <xf numFmtId="4" fontId="0" fillId="13" borderId="4" xfId="0" applyNumberFormat="1" applyFill="1" applyBorder="1" applyAlignment="1">
      <alignment horizontal="right" vertical="top"/>
    </xf>
    <xf numFmtId="9" fontId="1" fillId="13" borderId="4" xfId="2" applyFont="1" applyFill="1" applyBorder="1" applyAlignment="1" applyProtection="1">
      <alignment horizontal="right" vertical="top"/>
    </xf>
    <xf numFmtId="9" fontId="0" fillId="13" borderId="4" xfId="2" applyFont="1" applyFill="1" applyBorder="1" applyAlignment="1" applyProtection="1">
      <alignment horizontal="right" vertical="top"/>
    </xf>
    <xf numFmtId="0" fontId="0" fillId="7" borderId="4" xfId="0" applyFill="1" applyBorder="1" applyAlignment="1">
      <alignment vertical="top"/>
    </xf>
    <xf numFmtId="0" fontId="0" fillId="14" borderId="4" xfId="0" applyFill="1" applyBorder="1" applyAlignment="1">
      <alignment vertical="top"/>
    </xf>
    <xf numFmtId="0" fontId="0" fillId="15" borderId="4" xfId="0" applyFont="1" applyFill="1" applyBorder="1" applyAlignment="1">
      <alignment vertical="top"/>
    </xf>
    <xf numFmtId="4" fontId="0" fillId="15" borderId="4" xfId="0" applyNumberFormat="1" applyFill="1" applyBorder="1" applyAlignment="1">
      <alignment horizontal="right" vertical="top"/>
    </xf>
    <xf numFmtId="9" fontId="1" fillId="15" borderId="4" xfId="2" applyFont="1" applyFill="1" applyBorder="1" applyAlignment="1" applyProtection="1">
      <alignment horizontal="right" vertical="top"/>
    </xf>
    <xf numFmtId="9" fontId="0" fillId="15" borderId="4" xfId="2" applyFont="1" applyFill="1" applyBorder="1" applyAlignment="1" applyProtection="1">
      <alignment horizontal="right" vertical="top"/>
    </xf>
    <xf numFmtId="0" fontId="0" fillId="2" borderId="4" xfId="0" applyFont="1" applyFill="1" applyBorder="1" applyAlignment="1">
      <alignment vertical="top"/>
    </xf>
    <xf numFmtId="4" fontId="0" fillId="2" borderId="4" xfId="0" applyNumberFormat="1" applyFill="1" applyBorder="1" applyAlignment="1">
      <alignment horizontal="right" vertical="top"/>
    </xf>
    <xf numFmtId="9" fontId="1" fillId="2" borderId="4" xfId="2" applyFont="1" applyFill="1" applyBorder="1" applyAlignment="1" applyProtection="1">
      <alignment horizontal="right" vertical="top"/>
    </xf>
    <xf numFmtId="9" fontId="0" fillId="2" borderId="4" xfId="2" applyFont="1" applyFill="1" applyBorder="1" applyAlignment="1" applyProtection="1">
      <alignment horizontal="right" vertical="top"/>
    </xf>
    <xf numFmtId="0" fontId="0" fillId="16" borderId="4" xfId="0" applyFont="1" applyFill="1" applyBorder="1" applyAlignment="1">
      <alignment vertical="top"/>
    </xf>
    <xf numFmtId="4" fontId="0" fillId="16" borderId="4" xfId="0" applyNumberFormat="1" applyFill="1" applyBorder="1" applyAlignment="1">
      <alignment horizontal="right" vertical="top"/>
    </xf>
    <xf numFmtId="9" fontId="1" fillId="16" borderId="4" xfId="2" applyFont="1" applyFill="1" applyBorder="1" applyAlignment="1" applyProtection="1">
      <alignment horizontal="right" vertical="top"/>
    </xf>
    <xf numFmtId="9" fontId="0" fillId="16" borderId="4" xfId="2" applyFont="1" applyFill="1" applyBorder="1" applyAlignment="1" applyProtection="1">
      <alignment horizontal="right" vertical="top"/>
    </xf>
    <xf numFmtId="0" fontId="0" fillId="10" borderId="4" xfId="0" applyFont="1" applyFill="1" applyBorder="1" applyAlignment="1">
      <alignment vertical="top"/>
    </xf>
    <xf numFmtId="4" fontId="0" fillId="10" borderId="4" xfId="0" applyNumberFormat="1" applyFill="1" applyBorder="1" applyAlignment="1">
      <alignment horizontal="right" vertical="top"/>
    </xf>
    <xf numFmtId="9" fontId="1" fillId="10" borderId="4" xfId="2" applyFont="1" applyFill="1" applyBorder="1" applyAlignment="1" applyProtection="1">
      <alignment horizontal="right" vertical="top"/>
    </xf>
    <xf numFmtId="9" fontId="0" fillId="10" borderId="4" xfId="2" applyFont="1" applyFill="1" applyBorder="1" applyAlignment="1" applyProtection="1">
      <alignment horizontal="right" vertical="top"/>
    </xf>
    <xf numFmtId="9" fontId="1" fillId="6" borderId="4" xfId="2" applyFont="1" applyFill="1" applyBorder="1" applyAlignment="1" applyProtection="1">
      <alignment horizontal="right" vertical="top"/>
    </xf>
    <xf numFmtId="9" fontId="0" fillId="6" borderId="4" xfId="2" applyFont="1" applyFill="1" applyBorder="1" applyAlignment="1" applyProtection="1">
      <alignment horizontal="right" vertical="top"/>
    </xf>
    <xf numFmtId="4" fontId="16" fillId="6" borderId="4" xfId="0" applyNumberFormat="1" applyFont="1" applyFill="1" applyBorder="1" applyAlignment="1">
      <alignment horizontal="right" vertical="top"/>
    </xf>
    <xf numFmtId="4" fontId="0" fillId="6" borderId="0" xfId="0" applyNumberFormat="1" applyFill="1" applyBorder="1" applyAlignment="1">
      <alignment horizontal="right" vertical="top"/>
    </xf>
    <xf numFmtId="0" fontId="0" fillId="17" borderId="4" xfId="0" applyFont="1" applyFill="1" applyBorder="1" applyAlignment="1">
      <alignment vertical="top"/>
    </xf>
    <xf numFmtId="4" fontId="0" fillId="17" borderId="4" xfId="0" applyNumberFormat="1" applyFill="1" applyBorder="1" applyAlignment="1">
      <alignment horizontal="right" vertical="top"/>
    </xf>
    <xf numFmtId="9" fontId="1" fillId="17" borderId="4" xfId="2" applyFont="1" applyFill="1" applyBorder="1" applyAlignment="1" applyProtection="1">
      <alignment horizontal="right" vertical="top"/>
    </xf>
    <xf numFmtId="9" fontId="0" fillId="17" borderId="4" xfId="2" applyFont="1" applyFill="1" applyBorder="1" applyAlignment="1" applyProtection="1">
      <alignment horizontal="right" vertical="top"/>
    </xf>
    <xf numFmtId="0" fontId="0" fillId="2" borderId="0" xfId="0" applyFill="1" applyAlignment="1">
      <alignment vertical="top"/>
    </xf>
    <xf numFmtId="0" fontId="0" fillId="6" borderId="0" xfId="0" applyFill="1" applyAlignment="1">
      <alignment vertical="top"/>
    </xf>
    <xf numFmtId="0" fontId="0" fillId="5" borderId="4" xfId="0" applyFont="1" applyFill="1" applyBorder="1" applyAlignment="1">
      <alignment vertical="top"/>
    </xf>
    <xf numFmtId="4" fontId="0" fillId="5" borderId="4" xfId="0" applyNumberFormat="1" applyFill="1" applyBorder="1" applyAlignment="1">
      <alignment horizontal="right" vertical="top"/>
    </xf>
    <xf numFmtId="9" fontId="1" fillId="5" borderId="4" xfId="2" applyFont="1" applyFill="1" applyBorder="1" applyAlignment="1" applyProtection="1">
      <alignment horizontal="right" vertical="top"/>
    </xf>
    <xf numFmtId="9" fontId="0" fillId="5" borderId="4" xfId="2" applyFont="1" applyFill="1" applyBorder="1" applyAlignment="1" applyProtection="1">
      <alignment horizontal="right" vertical="top"/>
    </xf>
    <xf numFmtId="0" fontId="2" fillId="0" borderId="0" xfId="0" applyFont="1" applyAlignment="1">
      <alignment horizontal="left" vertical="center"/>
    </xf>
    <xf numFmtId="165" fontId="5" fillId="0" borderId="4" xfId="1" applyFont="1" applyBorder="1" applyAlignment="1" applyProtection="1"/>
    <xf numFmtId="10" fontId="5" fillId="0" borderId="4" xfId="2" applyNumberFormat="1" applyFont="1" applyBorder="1" applyAlignment="1" applyProtection="1">
      <alignment horizontal="center"/>
    </xf>
    <xf numFmtId="4" fontId="9" fillId="3" borderId="4" xfId="0" applyNumberFormat="1" applyFont="1" applyFill="1" applyBorder="1" applyAlignment="1">
      <alignment horizontal="center" vertical="center" wrapText="1"/>
    </xf>
    <xf numFmtId="4" fontId="9" fillId="3" borderId="4" xfId="0" applyNumberFormat="1" applyFont="1" applyFill="1" applyBorder="1" applyAlignment="1">
      <alignment horizontal="center" vertical="center" readingOrder="1"/>
    </xf>
    <xf numFmtId="4" fontId="5" fillId="0" borderId="4" xfId="0" applyNumberFormat="1" applyFont="1" applyBorder="1" applyAlignment="1">
      <alignment horizontal="center"/>
    </xf>
    <xf numFmtId="4" fontId="5" fillId="4" borderId="4" xfId="0" applyNumberFormat="1" applyFont="1" applyFill="1" applyBorder="1"/>
    <xf numFmtId="4" fontId="14" fillId="4" borderId="4" xfId="0" applyNumberFormat="1" applyFont="1" applyFill="1" applyBorder="1" applyAlignment="1">
      <alignment horizontal="center" vertical="center"/>
    </xf>
    <xf numFmtId="4" fontId="14" fillId="4" borderId="4" xfId="0" applyNumberFormat="1" applyFont="1" applyFill="1" applyBorder="1" applyAlignment="1">
      <alignment vertical="center" readingOrder="1"/>
    </xf>
    <xf numFmtId="0" fontId="9" fillId="3" borderId="22" xfId="0" applyFont="1" applyFill="1" applyBorder="1" applyAlignment="1">
      <alignment horizontal="center" vertical="center" wrapText="1" readingOrder="1"/>
    </xf>
    <xf numFmtId="4" fontId="9" fillId="3" borderId="18" xfId="0" applyNumberFormat="1" applyFont="1" applyFill="1" applyBorder="1" applyAlignment="1">
      <alignment horizontal="center" vertical="center" wrapText="1"/>
    </xf>
    <xf numFmtId="4" fontId="9" fillId="3" borderId="23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center" vertical="center" wrapText="1" readingOrder="1"/>
    </xf>
    <xf numFmtId="49" fontId="5" fillId="0" borderId="4" xfId="0" applyNumberFormat="1" applyFont="1" applyBorder="1" applyAlignment="1">
      <alignment horizontal="right" vertical="center" wrapText="1" readingOrder="1"/>
    </xf>
    <xf numFmtId="49" fontId="5" fillId="0" borderId="0" xfId="0" applyNumberFormat="1" applyFont="1" applyBorder="1" applyAlignment="1">
      <alignment horizontal="right" vertical="center" wrapText="1" readingOrder="1"/>
    </xf>
    <xf numFmtId="10" fontId="5" fillId="0" borderId="0" xfId="2" applyNumberFormat="1" applyFont="1" applyBorder="1" applyAlignment="1" applyProtection="1">
      <alignment horizontal="center"/>
    </xf>
    <xf numFmtId="0" fontId="8" fillId="0" borderId="0" xfId="0" applyFont="1"/>
    <xf numFmtId="0" fontId="2" fillId="0" borderId="0" xfId="0" applyFont="1" applyBorder="1" applyAlignment="1">
      <alignment horizontal="center"/>
    </xf>
    <xf numFmtId="0" fontId="16" fillId="4" borderId="24" xfId="0" applyFont="1" applyFill="1" applyBorder="1"/>
    <xf numFmtId="0" fontId="16" fillId="4" borderId="25" xfId="0" applyFont="1" applyFill="1" applyBorder="1"/>
    <xf numFmtId="0" fontId="16" fillId="4" borderId="26" xfId="0" applyFont="1" applyFill="1" applyBorder="1"/>
    <xf numFmtId="0" fontId="16" fillId="4" borderId="0" xfId="0" applyFont="1" applyFill="1"/>
    <xf numFmtId="0" fontId="16" fillId="4" borderId="2" xfId="0" applyFont="1" applyFill="1" applyBorder="1"/>
    <xf numFmtId="0" fontId="16" fillId="4" borderId="0" xfId="0" applyFont="1" applyFill="1" applyBorder="1"/>
    <xf numFmtId="0" fontId="16" fillId="4" borderId="3" xfId="0" applyFont="1" applyFill="1" applyBorder="1"/>
    <xf numFmtId="0" fontId="0" fillId="4" borderId="0" xfId="0" applyFont="1" applyFill="1"/>
    <xf numFmtId="0" fontId="9" fillId="3" borderId="27" xfId="0" applyFont="1" applyFill="1" applyBorder="1" applyAlignment="1">
      <alignment horizontal="center" vertical="center" wrapText="1" readingOrder="1"/>
    </xf>
    <xf numFmtId="49" fontId="9" fillId="3" borderId="27" xfId="0" applyNumberFormat="1" applyFont="1" applyFill="1" applyBorder="1" applyAlignment="1">
      <alignment horizontal="center" vertical="center" wrapText="1" readingOrder="1"/>
    </xf>
    <xf numFmtId="0" fontId="8" fillId="4" borderId="0" xfId="0" applyFont="1" applyFill="1"/>
    <xf numFmtId="167" fontId="8" fillId="4" borderId="0" xfId="0" applyNumberFormat="1" applyFont="1" applyFill="1"/>
    <xf numFmtId="49" fontId="16" fillId="4" borderId="2" xfId="0" applyNumberFormat="1" applyFont="1" applyFill="1" applyBorder="1"/>
    <xf numFmtId="49" fontId="16" fillId="4" borderId="0" xfId="0" applyNumberFormat="1" applyFont="1" applyFill="1" applyBorder="1"/>
    <xf numFmtId="167" fontId="16" fillId="4" borderId="0" xfId="0" applyNumberFormat="1" applyFont="1" applyFill="1" applyBorder="1"/>
    <xf numFmtId="49" fontId="16" fillId="4" borderId="3" xfId="0" applyNumberFormat="1" applyFont="1" applyFill="1" applyBorder="1"/>
    <xf numFmtId="49" fontId="16" fillId="4" borderId="0" xfId="0" applyNumberFormat="1" applyFont="1" applyFill="1"/>
    <xf numFmtId="0" fontId="9" fillId="3" borderId="17" xfId="0" applyFont="1" applyFill="1" applyBorder="1" applyAlignment="1">
      <alignment vertical="center" wrapText="1" readingOrder="1"/>
    </xf>
    <xf numFmtId="164" fontId="8" fillId="4" borderId="0" xfId="1" applyNumberFormat="1" applyFont="1" applyFill="1" applyBorder="1" applyAlignment="1" applyProtection="1"/>
    <xf numFmtId="164" fontId="16" fillId="4" borderId="2" xfId="1" applyNumberFormat="1" applyFont="1" applyFill="1" applyBorder="1" applyAlignment="1" applyProtection="1"/>
    <xf numFmtId="164" fontId="16" fillId="4" borderId="0" xfId="1" applyNumberFormat="1" applyFont="1" applyFill="1" applyBorder="1" applyAlignment="1" applyProtection="1"/>
    <xf numFmtId="164" fontId="16" fillId="4" borderId="3" xfId="1" applyNumberFormat="1" applyFont="1" applyFill="1" applyBorder="1" applyAlignment="1" applyProtection="1"/>
    <xf numFmtId="165" fontId="16" fillId="4" borderId="0" xfId="1" applyFont="1" applyFill="1" applyBorder="1" applyAlignment="1" applyProtection="1"/>
    <xf numFmtId="164" fontId="0" fillId="0" borderId="4" xfId="2" applyNumberFormat="1" applyFont="1" applyBorder="1" applyAlignment="1" applyProtection="1">
      <alignment vertical="center"/>
    </xf>
    <xf numFmtId="4" fontId="0" fillId="0" borderId="4" xfId="2" applyNumberFormat="1" applyFont="1" applyBorder="1" applyAlignment="1" applyProtection="1">
      <alignment vertical="center"/>
    </xf>
    <xf numFmtId="0" fontId="16" fillId="4" borderId="9" xfId="0" applyFont="1" applyFill="1" applyBorder="1"/>
    <xf numFmtId="0" fontId="16" fillId="4" borderId="10" xfId="0" applyFont="1" applyFill="1" applyBorder="1"/>
    <xf numFmtId="0" fontId="16" fillId="4" borderId="11" xfId="0" applyFont="1" applyFill="1" applyBorder="1"/>
    <xf numFmtId="9" fontId="9" fillId="3" borderId="4" xfId="2" applyFont="1" applyFill="1" applyBorder="1" applyAlignment="1" applyProtection="1">
      <alignment horizontal="center"/>
    </xf>
    <xf numFmtId="165" fontId="9" fillId="3" borderId="4" xfId="1" applyFont="1" applyFill="1" applyBorder="1" applyAlignment="1" applyProtection="1"/>
    <xf numFmtId="164" fontId="9" fillId="3" borderId="4" xfId="2" applyNumberFormat="1" applyFont="1" applyFill="1" applyBorder="1" applyAlignment="1" applyProtection="1"/>
    <xf numFmtId="0" fontId="24" fillId="0" borderId="0" xfId="3" applyBorder="1" applyAlignment="1" applyProtection="1"/>
    <xf numFmtId="0" fontId="26" fillId="3" borderId="4" xfId="0" applyFont="1" applyFill="1" applyBorder="1" applyAlignment="1">
      <alignment horizontal="center"/>
    </xf>
    <xf numFmtId="0" fontId="26" fillId="3" borderId="4" xfId="0" applyFont="1" applyFill="1" applyBorder="1" applyAlignment="1">
      <alignment horizontal="center" wrapText="1"/>
    </xf>
    <xf numFmtId="165" fontId="27" fillId="0" borderId="4" xfId="1" applyFont="1" applyBorder="1" applyAlignment="1" applyProtection="1"/>
    <xf numFmtId="9" fontId="27" fillId="0" borderId="4" xfId="2" applyFont="1" applyBorder="1" applyAlignment="1" applyProtection="1">
      <alignment horizontal="center"/>
    </xf>
    <xf numFmtId="0" fontId="28" fillId="4" borderId="0" xfId="0" applyFont="1" applyFill="1"/>
    <xf numFmtId="0" fontId="27" fillId="4" borderId="0" xfId="0" applyFont="1" applyFill="1"/>
    <xf numFmtId="0" fontId="27" fillId="0" borderId="0" xfId="0" applyFont="1"/>
    <xf numFmtId="0" fontId="15" fillId="11" borderId="28" xfId="0" applyFont="1" applyFill="1" applyBorder="1" applyAlignment="1">
      <alignment horizontal="center" vertical="top"/>
    </xf>
    <xf numFmtId="0" fontId="0" fillId="0" borderId="17" xfId="0" applyFont="1" applyBorder="1" applyAlignment="1">
      <alignment vertical="top"/>
    </xf>
    <xf numFmtId="0" fontId="0" fillId="0" borderId="5" xfId="0" applyFont="1" applyBorder="1" applyAlignment="1">
      <alignment vertical="top"/>
    </xf>
    <xf numFmtId="0" fontId="0" fillId="0" borderId="27" xfId="0" applyFont="1" applyBorder="1" applyAlignment="1">
      <alignment vertical="top"/>
    </xf>
    <xf numFmtId="0" fontId="15" fillId="11" borderId="12" xfId="0" applyFont="1" applyFill="1" applyBorder="1" applyAlignment="1">
      <alignment horizontal="center" vertical="top"/>
    </xf>
    <xf numFmtId="0" fontId="15" fillId="11" borderId="14" xfId="0" applyFont="1" applyFill="1" applyBorder="1" applyAlignment="1">
      <alignment horizontal="center" vertical="top"/>
    </xf>
    <xf numFmtId="0" fontId="15" fillId="11" borderId="13" xfId="0" applyFont="1" applyFill="1" applyBorder="1" applyAlignment="1">
      <alignment horizontal="center" vertical="top"/>
    </xf>
    <xf numFmtId="0" fontId="0" fillId="0" borderId="29" xfId="0" applyFont="1" applyBorder="1" applyAlignment="1">
      <alignment horizontal="center" vertical="top"/>
    </xf>
    <xf numFmtId="0" fontId="0" fillId="0" borderId="29" xfId="0" applyFont="1" applyBorder="1" applyAlignment="1">
      <alignment vertical="top"/>
    </xf>
    <xf numFmtId="4" fontId="0" fillId="0" borderId="0" xfId="0" applyNumberFormat="1" applyAlignment="1">
      <alignment horizontal="right" vertical="top"/>
    </xf>
    <xf numFmtId="4" fontId="15" fillId="0" borderId="29" xfId="0" applyNumberFormat="1" applyFont="1" applyBorder="1" applyAlignment="1">
      <alignment horizontal="right" vertical="top"/>
    </xf>
    <xf numFmtId="4" fontId="15" fillId="0" borderId="6" xfId="0" applyNumberFormat="1" applyFont="1" applyBorder="1" applyAlignment="1">
      <alignment horizontal="right" vertical="top"/>
    </xf>
    <xf numFmtId="4" fontId="15" fillId="0" borderId="30" xfId="0" applyNumberFormat="1" applyFont="1" applyBorder="1" applyAlignment="1">
      <alignment horizontal="right" vertical="top"/>
    </xf>
    <xf numFmtId="4" fontId="0" fillId="0" borderId="6" xfId="0" applyNumberFormat="1" applyBorder="1" applyAlignment="1">
      <alignment horizontal="right" vertical="top"/>
    </xf>
    <xf numFmtId="4" fontId="15" fillId="0" borderId="4" xfId="0" applyNumberFormat="1" applyFont="1" applyBorder="1" applyAlignment="1">
      <alignment horizontal="right" vertical="top"/>
    </xf>
    <xf numFmtId="0" fontId="0" fillId="0" borderId="31" xfId="0" applyBorder="1" applyAlignment="1">
      <alignment horizontal="center" vertical="top"/>
    </xf>
    <xf numFmtId="0" fontId="0" fillId="0" borderId="31" xfId="0" applyFont="1" applyBorder="1" applyAlignment="1">
      <alignment vertical="top"/>
    </xf>
    <xf numFmtId="4" fontId="0" fillId="0" borderId="31" xfId="0" applyNumberFormat="1" applyBorder="1" applyAlignment="1">
      <alignment horizontal="right" vertical="top"/>
    </xf>
    <xf numFmtId="4" fontId="0" fillId="0" borderId="15" xfId="0" applyNumberFormat="1" applyBorder="1" applyAlignment="1">
      <alignment horizontal="right" vertical="top"/>
    </xf>
    <xf numFmtId="4" fontId="0" fillId="0" borderId="32" xfId="0" applyNumberFormat="1" applyBorder="1" applyAlignment="1">
      <alignment horizontal="right" vertical="top"/>
    </xf>
    <xf numFmtId="4" fontId="0" fillId="0" borderId="16" xfId="0" applyNumberFormat="1" applyBorder="1" applyAlignment="1">
      <alignment horizontal="right" vertical="top"/>
    </xf>
    <xf numFmtId="4" fontId="0" fillId="0" borderId="33" xfId="0" applyNumberFormat="1" applyBorder="1" applyAlignment="1">
      <alignment horizontal="right" vertical="top"/>
    </xf>
    <xf numFmtId="0" fontId="0" fillId="0" borderId="34" xfId="0" applyBorder="1" applyAlignment="1">
      <alignment horizontal="center" vertical="top"/>
    </xf>
    <xf numFmtId="0" fontId="0" fillId="0" borderId="34" xfId="0" applyFont="1" applyBorder="1" applyAlignment="1">
      <alignment vertical="top"/>
    </xf>
    <xf numFmtId="4" fontId="0" fillId="0" borderId="34" xfId="0" applyNumberFormat="1" applyBorder="1" applyAlignment="1">
      <alignment horizontal="right" vertical="top"/>
    </xf>
    <xf numFmtId="4" fontId="0" fillId="0" borderId="35" xfId="0" applyNumberFormat="1" applyBorder="1" applyAlignment="1">
      <alignment horizontal="right" vertical="top"/>
    </xf>
    <xf numFmtId="4" fontId="0" fillId="0" borderId="36" xfId="0" applyNumberFormat="1" applyBorder="1" applyAlignment="1">
      <alignment horizontal="right" vertical="top"/>
    </xf>
    <xf numFmtId="3" fontId="0" fillId="0" borderId="0" xfId="0" applyNumberFormat="1" applyAlignment="1">
      <alignment horizontal="right" vertical="top"/>
    </xf>
    <xf numFmtId="4" fontId="0" fillId="0" borderId="37" xfId="0" applyNumberFormat="1" applyBorder="1" applyAlignment="1">
      <alignment horizontal="right" vertical="top"/>
    </xf>
    <xf numFmtId="0" fontId="15" fillId="11" borderId="4" xfId="0" applyFont="1" applyFill="1" applyBorder="1" applyAlignment="1">
      <alignment horizontal="center" vertical="center"/>
    </xf>
    <xf numFmtId="0" fontId="15" fillId="11" borderId="4" xfId="0" applyFont="1" applyFill="1" applyBorder="1" applyAlignment="1">
      <alignment horizontal="center" vertical="center" wrapText="1"/>
    </xf>
    <xf numFmtId="4" fontId="0" fillId="6" borderId="0" xfId="0" applyNumberFormat="1" applyFill="1" applyAlignment="1">
      <alignment horizontal="right" vertical="top"/>
    </xf>
    <xf numFmtId="0" fontId="15" fillId="18" borderId="33" xfId="0" applyFont="1" applyFill="1" applyBorder="1" applyAlignment="1">
      <alignment vertical="top"/>
    </xf>
    <xf numFmtId="0" fontId="0" fillId="18" borderId="36" xfId="0" applyFont="1" applyFill="1" applyBorder="1" applyAlignment="1">
      <alignment vertical="top"/>
    </xf>
    <xf numFmtId="0" fontId="0" fillId="18" borderId="36" xfId="0" applyFont="1" applyFill="1" applyBorder="1" applyAlignment="1">
      <alignment horizontal="left" vertical="top" wrapText="1"/>
    </xf>
    <xf numFmtId="0" fontId="0" fillId="18" borderId="35" xfId="0" applyFont="1" applyFill="1" applyBorder="1" applyAlignment="1">
      <alignment vertical="top"/>
    </xf>
    <xf numFmtId="4" fontId="0" fillId="18" borderId="34" xfId="0" applyNumberFormat="1" applyFill="1" applyBorder="1" applyAlignment="1">
      <alignment horizontal="right" vertical="top"/>
    </xf>
    <xf numFmtId="9" fontId="0" fillId="18" borderId="33" xfId="2" applyFont="1" applyFill="1" applyBorder="1" applyAlignment="1" applyProtection="1">
      <alignment horizontal="right" vertical="top"/>
    </xf>
    <xf numFmtId="4" fontId="0" fillId="18" borderId="35" xfId="0" applyNumberFormat="1" applyFill="1" applyBorder="1" applyAlignment="1">
      <alignment horizontal="right" vertical="top"/>
    </xf>
    <xf numFmtId="9" fontId="0" fillId="18" borderId="34" xfId="2" applyFont="1" applyFill="1" applyBorder="1" applyAlignment="1" applyProtection="1">
      <alignment vertical="top"/>
    </xf>
    <xf numFmtId="168" fontId="0" fillId="0" borderId="0" xfId="1" applyNumberFormat="1" applyFont="1" applyBorder="1" applyAlignment="1" applyProtection="1">
      <alignment horizontal="right" vertical="top"/>
    </xf>
    <xf numFmtId="1" fontId="0" fillId="0" borderId="0" xfId="0" applyNumberFormat="1" applyAlignment="1">
      <alignment vertical="top"/>
    </xf>
    <xf numFmtId="0" fontId="0" fillId="0" borderId="0" xfId="0" applyFont="1" applyAlignment="1">
      <alignment horizontal="center" vertical="top" wrapText="1"/>
    </xf>
    <xf numFmtId="0" fontId="15" fillId="0" borderId="0" xfId="0" applyFont="1" applyAlignment="1">
      <alignment vertical="top"/>
    </xf>
    <xf numFmtId="4" fontId="15" fillId="11" borderId="34" xfId="0" applyNumberFormat="1" applyFont="1" applyFill="1" applyBorder="1" applyAlignment="1">
      <alignment horizontal="right" vertical="top"/>
    </xf>
    <xf numFmtId="9" fontId="15" fillId="11" borderId="33" xfId="2" applyFont="1" applyFill="1" applyBorder="1" applyAlignment="1" applyProtection="1">
      <alignment horizontal="right" vertical="top"/>
    </xf>
    <xf numFmtId="4" fontId="15" fillId="11" borderId="35" xfId="0" applyNumberFormat="1" applyFont="1" applyFill="1" applyBorder="1" applyAlignment="1">
      <alignment horizontal="right" vertical="top"/>
    </xf>
    <xf numFmtId="9" fontId="15" fillId="11" borderId="34" xfId="2" applyFont="1" applyFill="1" applyBorder="1" applyAlignment="1" applyProtection="1">
      <alignment vertical="top"/>
    </xf>
    <xf numFmtId="0" fontId="15" fillId="19" borderId="33" xfId="0" applyFont="1" applyFill="1" applyBorder="1" applyAlignment="1">
      <alignment vertical="top"/>
    </xf>
    <xf numFmtId="0" fontId="0" fillId="19" borderId="36" xfId="0" applyFont="1" applyFill="1" applyBorder="1" applyAlignment="1">
      <alignment vertical="top"/>
    </xf>
    <xf numFmtId="0" fontId="0" fillId="19" borderId="36" xfId="0" applyFont="1" applyFill="1" applyBorder="1" applyAlignment="1">
      <alignment horizontal="left" vertical="top" wrapText="1"/>
    </xf>
    <xf numFmtId="0" fontId="0" fillId="19" borderId="35" xfId="0" applyFont="1" applyFill="1" applyBorder="1" applyAlignment="1">
      <alignment vertical="top"/>
    </xf>
    <xf numFmtId="4" fontId="0" fillId="19" borderId="34" xfId="0" applyNumberFormat="1" applyFill="1" applyBorder="1" applyAlignment="1">
      <alignment horizontal="right" vertical="top"/>
    </xf>
    <xf numFmtId="9" fontId="0" fillId="19" borderId="33" xfId="2" applyFont="1" applyFill="1" applyBorder="1" applyAlignment="1" applyProtection="1">
      <alignment horizontal="right" vertical="top"/>
    </xf>
    <xf numFmtId="4" fontId="0" fillId="19" borderId="35" xfId="0" applyNumberFormat="1" applyFill="1" applyBorder="1" applyAlignment="1">
      <alignment horizontal="right" vertical="top"/>
    </xf>
    <xf numFmtId="9" fontId="0" fillId="19" borderId="34" xfId="2" applyFont="1" applyFill="1" applyBorder="1" applyAlignment="1" applyProtection="1">
      <alignment vertical="top"/>
    </xf>
    <xf numFmtId="0" fontId="0" fillId="0" borderId="0" xfId="0" applyAlignment="1">
      <alignment horizontal="center" vertical="top" wrapText="1"/>
    </xf>
    <xf numFmtId="4" fontId="15" fillId="0" borderId="0" xfId="0" applyNumberFormat="1" applyFont="1" applyBorder="1" applyAlignment="1">
      <alignment horizontal="right" vertical="top"/>
    </xf>
    <xf numFmtId="9" fontId="15" fillId="0" borderId="0" xfId="2" applyFont="1" applyBorder="1" applyAlignment="1" applyProtection="1">
      <alignment horizontal="right" vertical="top"/>
    </xf>
    <xf numFmtId="9" fontId="15" fillId="0" borderId="0" xfId="2" applyFont="1" applyBorder="1" applyAlignment="1" applyProtection="1">
      <alignment vertical="top"/>
    </xf>
    <xf numFmtId="0" fontId="15" fillId="0" borderId="0" xfId="0" applyFont="1" applyBorder="1" applyAlignment="1">
      <alignment vertical="top"/>
    </xf>
    <xf numFmtId="0" fontId="0" fillId="5" borderId="38" xfId="0" applyFont="1" applyFill="1" applyBorder="1" applyAlignment="1">
      <alignment vertical="top"/>
    </xf>
    <xf numFmtId="0" fontId="0" fillId="5" borderId="39" xfId="0" applyFont="1" applyFill="1" applyBorder="1" applyAlignment="1">
      <alignment horizontal="left" vertical="top" wrapText="1"/>
    </xf>
    <xf numFmtId="4" fontId="0" fillId="19" borderId="40" xfId="0" applyNumberFormat="1" applyFill="1" applyBorder="1" applyAlignment="1">
      <alignment horizontal="right" vertical="top"/>
    </xf>
    <xf numFmtId="4" fontId="0" fillId="19" borderId="41" xfId="0" applyNumberFormat="1" applyFill="1" applyBorder="1" applyAlignment="1">
      <alignment horizontal="right" vertical="top"/>
    </xf>
    <xf numFmtId="165" fontId="0" fillId="5" borderId="28" xfId="1" applyFont="1" applyFill="1" applyBorder="1" applyAlignment="1" applyProtection="1">
      <alignment horizontal="right" vertical="top"/>
    </xf>
    <xf numFmtId="165" fontId="0" fillId="19" borderId="28" xfId="1" applyFont="1" applyFill="1" applyBorder="1" applyAlignment="1" applyProtection="1">
      <alignment horizontal="right" vertical="top"/>
    </xf>
    <xf numFmtId="9" fontId="15" fillId="5" borderId="12" xfId="2" applyFont="1" applyFill="1" applyBorder="1" applyAlignment="1" applyProtection="1">
      <alignment horizontal="right" vertical="top"/>
    </xf>
    <xf numFmtId="4" fontId="15" fillId="5" borderId="14" xfId="0" applyNumberFormat="1" applyFont="1" applyFill="1" applyBorder="1" applyAlignment="1">
      <alignment horizontal="right" vertical="top"/>
    </xf>
    <xf numFmtId="9" fontId="15" fillId="5" borderId="28" xfId="2" applyFont="1" applyFill="1" applyBorder="1" applyAlignment="1" applyProtection="1">
      <alignment vertical="top"/>
    </xf>
    <xf numFmtId="0" fontId="0" fillId="5" borderId="6" xfId="0" applyFont="1" applyFill="1" applyBorder="1" applyAlignment="1">
      <alignment vertical="top"/>
    </xf>
    <xf numFmtId="0" fontId="0" fillId="5" borderId="30" xfId="0" applyFont="1" applyFill="1" applyBorder="1" applyAlignment="1">
      <alignment horizontal="left" vertical="top" wrapText="1"/>
    </xf>
    <xf numFmtId="165" fontId="0" fillId="5" borderId="29" xfId="1" applyFont="1" applyFill="1" applyBorder="1" applyAlignment="1" applyProtection="1">
      <alignment horizontal="right" vertical="top"/>
    </xf>
    <xf numFmtId="4" fontId="15" fillId="5" borderId="30" xfId="0" applyNumberFormat="1" applyFont="1" applyFill="1" applyBorder="1" applyAlignment="1">
      <alignment horizontal="right" vertical="top"/>
    </xf>
    <xf numFmtId="0" fontId="0" fillId="5" borderId="15" xfId="0" applyFont="1" applyFill="1" applyBorder="1" applyAlignment="1">
      <alignment vertical="top"/>
    </xf>
    <xf numFmtId="0" fontId="0" fillId="5" borderId="32" xfId="0" applyFont="1" applyFill="1" applyBorder="1" applyAlignment="1">
      <alignment horizontal="left" vertical="top" wrapText="1"/>
    </xf>
    <xf numFmtId="165" fontId="0" fillId="5" borderId="42" xfId="1" applyFont="1" applyFill="1" applyBorder="1" applyAlignment="1" applyProtection="1">
      <alignment horizontal="right" vertical="top"/>
    </xf>
    <xf numFmtId="4" fontId="15" fillId="5" borderId="43" xfId="0" applyNumberFormat="1" applyFont="1" applyFill="1" applyBorder="1" applyAlignment="1">
      <alignment horizontal="right" vertical="top"/>
    </xf>
    <xf numFmtId="165" fontId="15" fillId="11" borderId="34" xfId="1" applyFont="1" applyFill="1" applyBorder="1" applyAlignment="1" applyProtection="1">
      <alignment horizontal="right" vertical="top"/>
    </xf>
    <xf numFmtId="0" fontId="15" fillId="20" borderId="33" xfId="0" applyFont="1" applyFill="1" applyBorder="1" applyAlignment="1">
      <alignment vertical="top"/>
    </xf>
    <xf numFmtId="0" fontId="0" fillId="20" borderId="36" xfId="0" applyFont="1" applyFill="1" applyBorder="1" applyAlignment="1">
      <alignment vertical="top"/>
    </xf>
    <xf numFmtId="0" fontId="0" fillId="20" borderId="36" xfId="0" applyFont="1" applyFill="1" applyBorder="1" applyAlignment="1">
      <alignment horizontal="left" vertical="top" wrapText="1"/>
    </xf>
    <xf numFmtId="4" fontId="0" fillId="20" borderId="34" xfId="0" applyNumberFormat="1" applyFill="1" applyBorder="1" applyAlignment="1">
      <alignment horizontal="right" vertical="top"/>
    </xf>
    <xf numFmtId="9" fontId="0" fillId="20" borderId="33" xfId="2" applyFont="1" applyFill="1" applyBorder="1" applyAlignment="1" applyProtection="1">
      <alignment horizontal="right" vertical="top"/>
    </xf>
    <xf numFmtId="4" fontId="0" fillId="20" borderId="35" xfId="0" applyNumberFormat="1" applyFill="1" applyBorder="1" applyAlignment="1">
      <alignment horizontal="right" vertical="top"/>
    </xf>
    <xf numFmtId="9" fontId="0" fillId="20" borderId="34" xfId="2" applyFont="1" applyFill="1" applyBorder="1" applyAlignment="1" applyProtection="1">
      <alignment vertical="top"/>
    </xf>
    <xf numFmtId="0" fontId="0" fillId="20" borderId="0" xfId="0" applyFill="1" applyAlignment="1">
      <alignment vertical="top"/>
    </xf>
    <xf numFmtId="0" fontId="0" fillId="20" borderId="0" xfId="0" applyFill="1" applyAlignment="1">
      <alignment horizontal="center" vertical="top" wrapText="1"/>
    </xf>
    <xf numFmtId="4" fontId="15" fillId="20" borderId="34" xfId="0" applyNumberFormat="1" applyFont="1" applyFill="1" applyBorder="1" applyAlignment="1">
      <alignment horizontal="right" vertical="top"/>
    </xf>
    <xf numFmtId="9" fontId="15" fillId="20" borderId="33" xfId="2" applyFont="1" applyFill="1" applyBorder="1" applyAlignment="1" applyProtection="1">
      <alignment horizontal="right" vertical="top"/>
    </xf>
    <xf numFmtId="4" fontId="15" fillId="20" borderId="35" xfId="0" applyNumberFormat="1" applyFont="1" applyFill="1" applyBorder="1" applyAlignment="1">
      <alignment horizontal="right" vertical="top"/>
    </xf>
    <xf numFmtId="9" fontId="15" fillId="20" borderId="34" xfId="2" applyFont="1" applyFill="1" applyBorder="1" applyAlignment="1" applyProtection="1">
      <alignment vertical="top"/>
    </xf>
    <xf numFmtId="3" fontId="0" fillId="6" borderId="0" xfId="0" applyNumberFormat="1" applyFill="1" applyAlignment="1">
      <alignment horizontal="right" vertical="top"/>
    </xf>
    <xf numFmtId="4" fontId="15" fillId="11" borderId="40" xfId="0" applyNumberFormat="1" applyFont="1" applyFill="1" applyBorder="1" applyAlignment="1">
      <alignment horizontal="right" vertical="top"/>
    </xf>
    <xf numFmtId="0" fontId="0" fillId="5" borderId="12" xfId="0" applyFont="1" applyFill="1" applyBorder="1" applyAlignment="1">
      <alignment vertical="top"/>
    </xf>
    <xf numFmtId="0" fontId="0" fillId="5" borderId="14" xfId="0" applyFont="1" applyFill="1" applyBorder="1" applyAlignment="1">
      <alignment horizontal="left" vertical="top" wrapText="1"/>
    </xf>
    <xf numFmtId="4" fontId="15" fillId="5" borderId="28" xfId="0" applyNumberFormat="1" applyFont="1" applyFill="1" applyBorder="1" applyAlignment="1">
      <alignment horizontal="right" vertical="top"/>
    </xf>
    <xf numFmtId="4" fontId="15" fillId="0" borderId="44" xfId="0" applyNumberFormat="1" applyFont="1" applyBorder="1" applyAlignment="1">
      <alignment horizontal="right" vertical="top"/>
    </xf>
    <xf numFmtId="4" fontId="15" fillId="0" borderId="28" xfId="0" applyNumberFormat="1" applyFont="1" applyBorder="1" applyAlignment="1">
      <alignment horizontal="right" vertical="top"/>
    </xf>
    <xf numFmtId="9" fontId="15" fillId="5" borderId="33" xfId="2" applyFont="1" applyFill="1" applyBorder="1" applyAlignment="1" applyProtection="1">
      <alignment horizontal="right" vertical="top"/>
    </xf>
    <xf numFmtId="9" fontId="15" fillId="5" borderId="34" xfId="2" applyFont="1" applyFill="1" applyBorder="1" applyAlignment="1" applyProtection="1">
      <alignment vertical="top"/>
    </xf>
    <xf numFmtId="4" fontId="15" fillId="5" borderId="7" xfId="0" applyNumberFormat="1" applyFont="1" applyFill="1" applyBorder="1" applyAlignment="1">
      <alignment horizontal="right" vertical="top"/>
    </xf>
    <xf numFmtId="9" fontId="15" fillId="5" borderId="37" xfId="2" applyFont="1" applyFill="1" applyBorder="1" applyAlignment="1" applyProtection="1">
      <alignment horizontal="right" vertical="top"/>
    </xf>
    <xf numFmtId="4" fontId="15" fillId="5" borderId="45" xfId="0" applyNumberFormat="1" applyFont="1" applyFill="1" applyBorder="1" applyAlignment="1">
      <alignment horizontal="right" vertical="top"/>
    </xf>
    <xf numFmtId="9" fontId="15" fillId="5" borderId="7" xfId="2" applyFont="1" applyFill="1" applyBorder="1" applyAlignment="1" applyProtection="1">
      <alignment vertical="top"/>
    </xf>
    <xf numFmtId="4" fontId="15" fillId="5" borderId="31" xfId="0" applyNumberFormat="1" applyFont="1" applyFill="1" applyBorder="1" applyAlignment="1">
      <alignment horizontal="right" vertical="top"/>
    </xf>
    <xf numFmtId="9" fontId="15" fillId="5" borderId="15" xfId="2" applyFont="1" applyFill="1" applyBorder="1" applyAlignment="1" applyProtection="1">
      <alignment horizontal="right" vertical="top"/>
    </xf>
    <xf numFmtId="4" fontId="15" fillId="5" borderId="32" xfId="0" applyNumberFormat="1" applyFont="1" applyFill="1" applyBorder="1" applyAlignment="1">
      <alignment horizontal="right" vertical="top"/>
    </xf>
    <xf numFmtId="9" fontId="15" fillId="5" borderId="31" xfId="2" applyFont="1" applyFill="1" applyBorder="1" applyAlignment="1" applyProtection="1">
      <alignment vertical="top"/>
    </xf>
    <xf numFmtId="0" fontId="0" fillId="0" borderId="0" xfId="0" applyBorder="1" applyAlignment="1">
      <alignment vertical="top"/>
    </xf>
    <xf numFmtId="4" fontId="15" fillId="11" borderId="46" xfId="0" applyNumberFormat="1" applyFont="1" applyFill="1" applyBorder="1" applyAlignment="1">
      <alignment horizontal="right" vertical="top"/>
    </xf>
    <xf numFmtId="9" fontId="15" fillId="11" borderId="47" xfId="2" applyFont="1" applyFill="1" applyBorder="1" applyAlignment="1" applyProtection="1">
      <alignment horizontal="right" vertical="top"/>
    </xf>
    <xf numFmtId="4" fontId="15" fillId="11" borderId="48" xfId="0" applyNumberFormat="1" applyFont="1" applyFill="1" applyBorder="1" applyAlignment="1">
      <alignment horizontal="right" vertical="top"/>
    </xf>
    <xf numFmtId="9" fontId="15" fillId="11" borderId="46" xfId="2" applyFont="1" applyFill="1" applyBorder="1" applyAlignment="1" applyProtection="1">
      <alignment vertical="top"/>
    </xf>
    <xf numFmtId="0" fontId="0" fillId="5" borderId="34" xfId="0" applyFont="1" applyFill="1" applyBorder="1" applyAlignment="1">
      <alignment vertical="top"/>
    </xf>
    <xf numFmtId="0" fontId="0" fillId="5" borderId="40" xfId="0" applyFont="1" applyFill="1" applyBorder="1" applyAlignment="1">
      <alignment horizontal="left" vertical="top" wrapText="1"/>
    </xf>
    <xf numFmtId="9" fontId="0" fillId="5" borderId="12" xfId="2" applyFont="1" applyFill="1" applyBorder="1" applyAlignment="1" applyProtection="1">
      <alignment horizontal="right" vertical="top"/>
    </xf>
    <xf numFmtId="9" fontId="0" fillId="5" borderId="28" xfId="2" applyFont="1" applyFill="1" applyBorder="1" applyAlignment="1" applyProtection="1">
      <alignment vertical="top"/>
    </xf>
    <xf numFmtId="4" fontId="15" fillId="5" borderId="29" xfId="0" applyNumberFormat="1" applyFont="1" applyFill="1" applyBorder="1" applyAlignment="1">
      <alignment horizontal="right" vertical="top"/>
    </xf>
    <xf numFmtId="9" fontId="0" fillId="5" borderId="6" xfId="2" applyFont="1" applyFill="1" applyBorder="1" applyAlignment="1" applyProtection="1">
      <alignment horizontal="right" vertical="top"/>
    </xf>
    <xf numFmtId="9" fontId="0" fillId="5" borderId="29" xfId="2" applyFont="1" applyFill="1" applyBorder="1" applyAlignment="1" applyProtection="1">
      <alignment vertical="top"/>
    </xf>
    <xf numFmtId="9" fontId="0" fillId="5" borderId="15" xfId="2" applyFont="1" applyFill="1" applyBorder="1" applyAlignment="1" applyProtection="1">
      <alignment horizontal="right" vertical="top"/>
    </xf>
    <xf numFmtId="9" fontId="0" fillId="5" borderId="31" xfId="2" applyFont="1" applyFill="1" applyBorder="1" applyAlignment="1" applyProtection="1">
      <alignment vertical="top"/>
    </xf>
    <xf numFmtId="4" fontId="15" fillId="11" borderId="11" xfId="0" applyNumberFormat="1" applyFont="1" applyFill="1" applyBorder="1" applyAlignment="1">
      <alignment horizontal="right" vertical="top"/>
    </xf>
    <xf numFmtId="4" fontId="0" fillId="6" borderId="18" xfId="0" applyNumberFormat="1" applyFill="1" applyBorder="1" applyAlignment="1">
      <alignment horizontal="right" vertical="top"/>
    </xf>
    <xf numFmtId="4" fontId="0" fillId="0" borderId="18" xfId="0" applyNumberFormat="1" applyBorder="1" applyAlignment="1">
      <alignment horizontal="right" vertical="top"/>
    </xf>
    <xf numFmtId="165" fontId="0" fillId="11" borderId="34" xfId="1" applyFont="1" applyFill="1" applyBorder="1" applyAlignment="1" applyProtection="1">
      <alignment vertical="top"/>
    </xf>
    <xf numFmtId="165" fontId="0" fillId="11" borderId="33" xfId="1" applyFont="1" applyFill="1" applyBorder="1" applyAlignment="1" applyProtection="1">
      <alignment horizontal="right" vertical="top"/>
    </xf>
    <xf numFmtId="165" fontId="0" fillId="11" borderId="40" xfId="1" applyFont="1" applyFill="1" applyBorder="1" applyAlignment="1" applyProtection="1">
      <alignment vertical="top"/>
    </xf>
    <xf numFmtId="0" fontId="15" fillId="11" borderId="12" xfId="0" applyFont="1" applyFill="1" applyBorder="1" applyAlignment="1">
      <alignment vertical="top"/>
    </xf>
    <xf numFmtId="0" fontId="15" fillId="11" borderId="13" xfId="0" applyFont="1" applyFill="1" applyBorder="1" applyAlignment="1">
      <alignment vertical="top"/>
    </xf>
    <xf numFmtId="0" fontId="15" fillId="11" borderId="13" xfId="0" applyFont="1" applyFill="1" applyBorder="1" applyAlignment="1">
      <alignment horizontal="center" vertical="center" wrapText="1"/>
    </xf>
    <xf numFmtId="0" fontId="15" fillId="11" borderId="14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vertical="top"/>
    </xf>
    <xf numFmtId="0" fontId="0" fillId="0" borderId="3" xfId="0" applyBorder="1" applyAlignment="1">
      <alignment vertical="top"/>
    </xf>
    <xf numFmtId="0" fontId="0" fillId="18" borderId="4" xfId="0" applyFont="1" applyFill="1" applyBorder="1" applyAlignment="1">
      <alignment vertical="top"/>
    </xf>
    <xf numFmtId="4" fontId="0" fillId="18" borderId="4" xfId="0" applyNumberFormat="1" applyFill="1" applyBorder="1" applyAlignment="1">
      <alignment horizontal="right" vertical="top"/>
    </xf>
    <xf numFmtId="165" fontId="0" fillId="18" borderId="4" xfId="1" applyFont="1" applyFill="1" applyBorder="1" applyAlignment="1" applyProtection="1">
      <alignment horizontal="right" vertical="top"/>
    </xf>
    <xf numFmtId="9" fontId="0" fillId="18" borderId="4" xfId="2" applyFont="1" applyFill="1" applyBorder="1" applyAlignment="1" applyProtection="1">
      <alignment horizontal="right" vertical="top"/>
    </xf>
    <xf numFmtId="9" fontId="0" fillId="18" borderId="30" xfId="2" applyFont="1" applyFill="1" applyBorder="1" applyAlignment="1" applyProtection="1">
      <alignment horizontal="right" vertical="top"/>
    </xf>
    <xf numFmtId="0" fontId="15" fillId="0" borderId="6" xfId="0" applyFont="1" applyBorder="1" applyAlignment="1">
      <alignment vertical="top"/>
    </xf>
    <xf numFmtId="0" fontId="15" fillId="17" borderId="6" xfId="0" applyFont="1" applyFill="1" applyBorder="1" applyAlignment="1">
      <alignment vertical="top"/>
    </xf>
    <xf numFmtId="0" fontId="15" fillId="17" borderId="4" xfId="0" applyFont="1" applyFill="1" applyBorder="1" applyAlignment="1">
      <alignment vertical="top"/>
    </xf>
    <xf numFmtId="4" fontId="15" fillId="17" borderId="4" xfId="0" applyNumberFormat="1" applyFont="1" applyFill="1" applyBorder="1" applyAlignment="1">
      <alignment horizontal="right" vertical="top"/>
    </xf>
    <xf numFmtId="9" fontId="15" fillId="17" borderId="4" xfId="2" applyFont="1" applyFill="1" applyBorder="1" applyAlignment="1" applyProtection="1">
      <alignment horizontal="right" vertical="top"/>
    </xf>
    <xf numFmtId="9" fontId="15" fillId="17" borderId="30" xfId="2" applyFont="1" applyFill="1" applyBorder="1" applyAlignment="1" applyProtection="1">
      <alignment horizontal="right" vertical="top"/>
    </xf>
    <xf numFmtId="0" fontId="15" fillId="0" borderId="2" xfId="0" applyFont="1" applyBorder="1" applyAlignment="1">
      <alignment vertical="top"/>
    </xf>
    <xf numFmtId="0" fontId="0" fillId="19" borderId="4" xfId="0" applyFont="1" applyFill="1" applyBorder="1" applyAlignment="1">
      <alignment vertical="top"/>
    </xf>
    <xf numFmtId="4" fontId="0" fillId="19" borderId="4" xfId="0" applyNumberFormat="1" applyFill="1" applyBorder="1" applyAlignment="1">
      <alignment horizontal="right" vertical="top"/>
    </xf>
    <xf numFmtId="9" fontId="0" fillId="19" borderId="4" xfId="2" applyFont="1" applyFill="1" applyBorder="1" applyAlignment="1" applyProtection="1">
      <alignment horizontal="right" vertical="top"/>
    </xf>
    <xf numFmtId="9" fontId="0" fillId="19" borderId="30" xfId="2" applyFont="1" applyFill="1" applyBorder="1" applyAlignment="1" applyProtection="1">
      <alignment horizontal="right" vertical="top"/>
    </xf>
    <xf numFmtId="0" fontId="0" fillId="0" borderId="6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9" fontId="15" fillId="0" borderId="4" xfId="2" applyFont="1" applyBorder="1" applyAlignment="1" applyProtection="1">
      <alignment horizontal="right" vertical="top"/>
    </xf>
    <xf numFmtId="9" fontId="15" fillId="0" borderId="30" xfId="2" applyFont="1" applyBorder="1" applyAlignment="1" applyProtection="1">
      <alignment horizontal="right" vertical="top"/>
    </xf>
    <xf numFmtId="0" fontId="15" fillId="5" borderId="4" xfId="0" applyFont="1" applyFill="1" applyBorder="1" applyAlignment="1">
      <alignment vertical="top"/>
    </xf>
    <xf numFmtId="4" fontId="15" fillId="5" borderId="4" xfId="0" applyNumberFormat="1" applyFont="1" applyFill="1" applyBorder="1" applyAlignment="1">
      <alignment horizontal="right" vertical="top"/>
    </xf>
    <xf numFmtId="9" fontId="15" fillId="5" borderId="4" xfId="2" applyFont="1" applyFill="1" applyBorder="1" applyAlignment="1" applyProtection="1">
      <alignment horizontal="right" vertical="top"/>
    </xf>
    <xf numFmtId="9" fontId="15" fillId="5" borderId="30" xfId="2" applyFont="1" applyFill="1" applyBorder="1" applyAlignment="1" applyProtection="1">
      <alignment horizontal="right" vertical="top"/>
    </xf>
    <xf numFmtId="0" fontId="15" fillId="12" borderId="15" xfId="0" applyFont="1" applyFill="1" applyBorder="1" applyAlignment="1">
      <alignment vertical="top"/>
    </xf>
    <xf numFmtId="0" fontId="15" fillId="12" borderId="16" xfId="0" applyFont="1" applyFill="1" applyBorder="1" applyAlignment="1">
      <alignment vertical="top"/>
    </xf>
    <xf numFmtId="4" fontId="15" fillId="12" borderId="16" xfId="0" applyNumberFormat="1" applyFont="1" applyFill="1" applyBorder="1" applyAlignment="1">
      <alignment horizontal="right" vertical="top"/>
    </xf>
    <xf numFmtId="9" fontId="15" fillId="12" borderId="16" xfId="2" applyFont="1" applyFill="1" applyBorder="1" applyAlignment="1" applyProtection="1">
      <alignment horizontal="right" vertical="top"/>
    </xf>
    <xf numFmtId="9" fontId="15" fillId="12" borderId="32" xfId="2" applyFont="1" applyFill="1" applyBorder="1" applyAlignment="1" applyProtection="1">
      <alignment horizontal="right" vertical="top"/>
    </xf>
    <xf numFmtId="4" fontId="15" fillId="0" borderId="0" xfId="0" applyNumberFormat="1" applyFont="1" applyAlignment="1">
      <alignment horizontal="right" vertical="top"/>
    </xf>
    <xf numFmtId="0" fontId="0" fillId="0" borderId="12" xfId="0" applyFont="1" applyBorder="1" applyAlignment="1">
      <alignment vertical="top"/>
    </xf>
    <xf numFmtId="0" fontId="0" fillId="0" borderId="13" xfId="0" applyFont="1" applyBorder="1" applyAlignment="1">
      <alignment vertical="top"/>
    </xf>
    <xf numFmtId="4" fontId="0" fillId="0" borderId="13" xfId="0" applyNumberFormat="1" applyBorder="1" applyAlignment="1">
      <alignment horizontal="right" vertical="top"/>
    </xf>
    <xf numFmtId="9" fontId="0" fillId="0" borderId="13" xfId="2" applyFont="1" applyBorder="1" applyAlignment="1" applyProtection="1">
      <alignment horizontal="right" vertical="top"/>
    </xf>
    <xf numFmtId="9" fontId="0" fillId="0" borderId="14" xfId="2" applyFont="1" applyBorder="1" applyAlignment="1" applyProtection="1">
      <alignment horizontal="right" vertical="top"/>
    </xf>
    <xf numFmtId="9" fontId="0" fillId="0" borderId="30" xfId="2" applyFont="1" applyBorder="1" applyAlignment="1" applyProtection="1">
      <alignment horizontal="right" vertical="top"/>
    </xf>
    <xf numFmtId="9" fontId="15" fillId="0" borderId="3" xfId="2" applyFont="1" applyBorder="1" applyAlignment="1" applyProtection="1">
      <alignment horizontal="right" vertical="top"/>
    </xf>
    <xf numFmtId="0" fontId="0" fillId="0" borderId="14" xfId="0" applyBorder="1" applyAlignment="1">
      <alignment vertical="top"/>
    </xf>
    <xf numFmtId="0" fontId="0" fillId="0" borderId="30" xfId="0" applyBorder="1" applyAlignment="1">
      <alignment vertical="top"/>
    </xf>
    <xf numFmtId="0" fontId="15" fillId="17" borderId="15" xfId="0" applyFont="1" applyFill="1" applyBorder="1" applyAlignment="1">
      <alignment vertical="top"/>
    </xf>
    <xf numFmtId="0" fontId="15" fillId="17" borderId="16" xfId="0" applyFont="1" applyFill="1" applyBorder="1" applyAlignment="1">
      <alignment vertical="top"/>
    </xf>
    <xf numFmtId="4" fontId="15" fillId="17" borderId="16" xfId="0" applyNumberFormat="1" applyFont="1" applyFill="1" applyBorder="1" applyAlignment="1">
      <alignment horizontal="right" vertical="top"/>
    </xf>
    <xf numFmtId="9" fontId="15" fillId="17" borderId="16" xfId="2" applyFont="1" applyFill="1" applyBorder="1" applyAlignment="1" applyProtection="1">
      <alignment horizontal="right" vertical="top"/>
    </xf>
    <xf numFmtId="9" fontId="15" fillId="17" borderId="32" xfId="2" applyFont="1" applyFill="1" applyBorder="1" applyAlignment="1" applyProtection="1">
      <alignment horizontal="right" vertical="top"/>
    </xf>
    <xf numFmtId="0" fontId="0" fillId="12" borderId="2" xfId="0" applyFill="1" applyBorder="1" applyAlignment="1">
      <alignment vertical="top"/>
    </xf>
    <xf numFmtId="0" fontId="0" fillId="12" borderId="0" xfId="0" applyFill="1" applyBorder="1" applyAlignment="1">
      <alignment vertical="top"/>
    </xf>
    <xf numFmtId="4" fontId="0" fillId="12" borderId="0" xfId="0" applyNumberFormat="1" applyFill="1" applyBorder="1" applyAlignment="1">
      <alignment horizontal="right" vertical="top"/>
    </xf>
    <xf numFmtId="0" fontId="0" fillId="12" borderId="3" xfId="0" applyFill="1" applyBorder="1" applyAlignment="1">
      <alignment vertical="top"/>
    </xf>
    <xf numFmtId="9" fontId="0" fillId="5" borderId="30" xfId="2" applyFont="1" applyFill="1" applyBorder="1" applyAlignment="1" applyProtection="1">
      <alignment horizontal="right" vertical="top"/>
    </xf>
    <xf numFmtId="9" fontId="0" fillId="12" borderId="16" xfId="2" applyFont="1" applyFill="1" applyBorder="1" applyAlignment="1" applyProtection="1">
      <alignment horizontal="right" vertical="top"/>
    </xf>
    <xf numFmtId="9" fontId="0" fillId="12" borderId="32" xfId="2" applyFont="1" applyFill="1" applyBorder="1" applyAlignment="1" applyProtection="1">
      <alignment horizontal="right" vertical="top"/>
    </xf>
    <xf numFmtId="0" fontId="15" fillId="0" borderId="25" xfId="0" applyFont="1" applyBorder="1" applyAlignment="1">
      <alignment vertical="top"/>
    </xf>
    <xf numFmtId="4" fontId="15" fillId="0" borderId="25" xfId="0" applyNumberFormat="1" applyFont="1" applyBorder="1" applyAlignment="1">
      <alignment horizontal="right" vertical="top"/>
    </xf>
    <xf numFmtId="4" fontId="0" fillId="2" borderId="13" xfId="0" applyNumberFormat="1" applyFill="1" applyBorder="1" applyAlignment="1">
      <alignment horizontal="right" vertical="top"/>
    </xf>
    <xf numFmtId="9" fontId="0" fillId="2" borderId="13" xfId="2" applyFont="1" applyFill="1" applyBorder="1" applyAlignment="1" applyProtection="1">
      <alignment horizontal="right" vertical="top"/>
    </xf>
    <xf numFmtId="9" fontId="0" fillId="2" borderId="14" xfId="2" applyFont="1" applyFill="1" applyBorder="1" applyAlignment="1" applyProtection="1">
      <alignment horizontal="right" vertical="top"/>
    </xf>
    <xf numFmtId="9" fontId="0" fillId="2" borderId="30" xfId="2" applyFont="1" applyFill="1" applyBorder="1" applyAlignment="1" applyProtection="1">
      <alignment horizontal="right" vertical="top"/>
    </xf>
    <xf numFmtId="0" fontId="15" fillId="11" borderId="4" xfId="0" applyFont="1" applyFill="1" applyBorder="1" applyAlignment="1">
      <alignment vertical="top"/>
    </xf>
    <xf numFmtId="4" fontId="15" fillId="11" borderId="4" xfId="0" applyNumberFormat="1" applyFont="1" applyFill="1" applyBorder="1" applyAlignment="1">
      <alignment horizontal="right" vertical="top"/>
    </xf>
    <xf numFmtId="9" fontId="0" fillId="11" borderId="4" xfId="2" applyFont="1" applyFill="1" applyBorder="1" applyAlignment="1" applyProtection="1">
      <alignment horizontal="right" vertical="top"/>
    </xf>
    <xf numFmtId="9" fontId="15" fillId="11" borderId="4" xfId="2" applyFont="1" applyFill="1" applyBorder="1" applyAlignment="1" applyProtection="1">
      <alignment horizontal="right" vertical="top"/>
    </xf>
    <xf numFmtId="9" fontId="0" fillId="0" borderId="0" xfId="2" applyFont="1" applyBorder="1" applyAlignment="1" applyProtection="1">
      <alignment horizontal="right" vertical="top"/>
    </xf>
    <xf numFmtId="0" fontId="0" fillId="6" borderId="6" xfId="0" applyFill="1" applyBorder="1" applyAlignment="1">
      <alignment vertical="top"/>
    </xf>
    <xf numFmtId="0" fontId="15" fillId="11" borderId="28" xfId="0" applyFont="1" applyFill="1" applyBorder="1" applyAlignment="1">
      <alignment vertical="top"/>
    </xf>
    <xf numFmtId="0" fontId="0" fillId="11" borderId="17" xfId="0" applyFont="1" applyFill="1" applyBorder="1" applyAlignment="1">
      <alignment vertical="top"/>
    </xf>
    <xf numFmtId="0" fontId="0" fillId="11" borderId="5" xfId="0" applyFont="1" applyFill="1" applyBorder="1" applyAlignment="1">
      <alignment vertical="top"/>
    </xf>
    <xf numFmtId="0" fontId="0" fillId="11" borderId="27" xfId="0" applyFont="1" applyFill="1" applyBorder="1" applyAlignment="1">
      <alignment vertical="top"/>
    </xf>
    <xf numFmtId="0" fontId="15" fillId="11" borderId="14" xfId="0" applyFont="1" applyFill="1" applyBorder="1" applyAlignment="1">
      <alignment vertical="top"/>
    </xf>
    <xf numFmtId="0" fontId="15" fillId="0" borderId="29" xfId="0" applyFont="1" applyBorder="1" applyAlignment="1">
      <alignment horizontal="right" vertical="top"/>
    </xf>
    <xf numFmtId="0" fontId="15" fillId="0" borderId="29" xfId="0" applyFont="1" applyBorder="1" applyAlignment="1">
      <alignment vertical="top"/>
    </xf>
    <xf numFmtId="0" fontId="0" fillId="0" borderId="31" xfId="0" applyBorder="1" applyAlignment="1">
      <alignment vertical="top"/>
    </xf>
    <xf numFmtId="0" fontId="0" fillId="0" borderId="34" xfId="0" applyBorder="1" applyAlignment="1">
      <alignment vertical="top"/>
    </xf>
    <xf numFmtId="0" fontId="0" fillId="0" borderId="4" xfId="0" applyBorder="1" applyAlignment="1">
      <alignment horizontal="left" vertical="top"/>
    </xf>
    <xf numFmtId="9" fontId="10" fillId="17" borderId="4" xfId="2" applyFont="1" applyFill="1" applyBorder="1" applyAlignment="1" applyProtection="1">
      <alignment horizontal="right" vertical="top"/>
    </xf>
    <xf numFmtId="4" fontId="16" fillId="17" borderId="4" xfId="0" applyNumberFormat="1" applyFont="1" applyFill="1" applyBorder="1" applyAlignment="1">
      <alignment horizontal="right" vertical="top"/>
    </xf>
    <xf numFmtId="165" fontId="0" fillId="0" borderId="0" xfId="1" applyFont="1" applyBorder="1" applyAlignment="1" applyProtection="1">
      <alignment vertical="top"/>
    </xf>
    <xf numFmtId="0" fontId="1" fillId="11" borderId="4" xfId="0" applyFont="1" applyFill="1" applyBorder="1" applyAlignment="1">
      <alignment vertical="top"/>
    </xf>
    <xf numFmtId="0" fontId="15" fillId="11" borderId="4" xfId="0" applyFont="1" applyFill="1" applyBorder="1" applyAlignment="1">
      <alignment vertical="top" wrapText="1"/>
    </xf>
    <xf numFmtId="169" fontId="15" fillId="0" borderId="0" xfId="0" applyNumberFormat="1" applyFont="1"/>
    <xf numFmtId="4" fontId="15" fillId="19" borderId="4" xfId="0" applyNumberFormat="1" applyFont="1" applyFill="1" applyBorder="1" applyAlignment="1">
      <alignment horizontal="right" vertical="top"/>
    </xf>
    <xf numFmtId="0" fontId="0" fillId="19" borderId="0" xfId="0" applyFill="1"/>
    <xf numFmtId="9" fontId="10" fillId="19" borderId="4" xfId="2" applyFont="1" applyFill="1" applyBorder="1" applyAlignment="1" applyProtection="1">
      <alignment horizontal="right" vertical="top"/>
    </xf>
    <xf numFmtId="165" fontId="0" fillId="0" borderId="4" xfId="1" applyFont="1" applyBorder="1" applyAlignment="1" applyProtection="1">
      <alignment vertical="top"/>
    </xf>
    <xf numFmtId="165" fontId="0" fillId="19" borderId="4" xfId="1" applyFont="1" applyFill="1" applyBorder="1" applyAlignment="1" applyProtection="1">
      <alignment vertical="top"/>
    </xf>
    <xf numFmtId="0" fontId="15" fillId="0" borderId="4" xfId="0" applyFont="1" applyBorder="1"/>
    <xf numFmtId="169" fontId="15" fillId="0" borderId="4" xfId="0" applyNumberFormat="1" applyFont="1" applyBorder="1"/>
    <xf numFmtId="4" fontId="15" fillId="6" borderId="4" xfId="0" applyNumberFormat="1" applyFont="1" applyFill="1" applyBorder="1" applyAlignment="1">
      <alignment horizontal="right" vertical="top"/>
    </xf>
    <xf numFmtId="4" fontId="15" fillId="6" borderId="0" xfId="0" applyNumberFormat="1" applyFont="1" applyFill="1"/>
    <xf numFmtId="0" fontId="15" fillId="0" borderId="0" xfId="0" applyFont="1" applyBorder="1"/>
    <xf numFmtId="0" fontId="15" fillId="0" borderId="0" xfId="0" applyFont="1" applyBorder="1" applyAlignment="1">
      <alignment horizontal="center" wrapText="1"/>
    </xf>
    <xf numFmtId="0" fontId="0" fillId="0" borderId="4" xfId="0" applyBorder="1"/>
    <xf numFmtId="0" fontId="0" fillId="11" borderId="5" xfId="0" applyFont="1" applyFill="1" applyBorder="1" applyAlignment="1">
      <alignment horizontal="center" vertical="top"/>
    </xf>
    <xf numFmtId="0" fontId="0" fillId="4" borderId="4" xfId="0" applyFill="1" applyBorder="1" applyAlignment="1">
      <alignment vertical="top"/>
    </xf>
    <xf numFmtId="4" fontId="0" fillId="4" borderId="4" xfId="0" applyNumberFormat="1" applyFill="1" applyBorder="1" applyAlignment="1">
      <alignment vertical="top"/>
    </xf>
    <xf numFmtId="4" fontId="0" fillId="4" borderId="5" xfId="0" applyNumberFormat="1" applyFill="1" applyBorder="1" applyAlignment="1">
      <alignment vertical="top"/>
    </xf>
    <xf numFmtId="0" fontId="0" fillId="4" borderId="4" xfId="0" applyFill="1" applyBorder="1"/>
    <xf numFmtId="0" fontId="0" fillId="4" borderId="0" xfId="0" applyFill="1"/>
    <xf numFmtId="4" fontId="0" fillId="0" borderId="5" xfId="0" applyNumberFormat="1" applyBorder="1" applyAlignment="1">
      <alignment horizontal="right" vertical="top"/>
    </xf>
    <xf numFmtId="170" fontId="15" fillId="0" borderId="4" xfId="0" applyNumberFormat="1" applyFont="1" applyBorder="1"/>
    <xf numFmtId="0" fontId="0" fillId="0" borderId="5" xfId="0" applyBorder="1"/>
    <xf numFmtId="4" fontId="15" fillId="4" borderId="5" xfId="0" applyNumberFormat="1" applyFont="1" applyFill="1" applyBorder="1" applyAlignment="1">
      <alignment vertical="top"/>
    </xf>
    <xf numFmtId="0" fontId="0" fillId="11" borderId="18" xfId="0" applyFont="1" applyFill="1" applyBorder="1" applyAlignment="1">
      <alignment vertical="top"/>
    </xf>
    <xf numFmtId="0" fontId="0" fillId="0" borderId="4" xfId="0" applyFont="1" applyBorder="1" applyAlignment="1">
      <alignment horizontal="left" vertical="top"/>
    </xf>
    <xf numFmtId="4" fontId="0" fillId="0" borderId="0" xfId="0" applyNumberFormat="1" applyAlignment="1">
      <alignment vertical="top"/>
    </xf>
    <xf numFmtId="0" fontId="0" fillId="0" borderId="4" xfId="0" applyBorder="1" applyAlignment="1">
      <alignment horizontal="right" vertical="top"/>
    </xf>
    <xf numFmtId="0" fontId="15" fillId="12" borderId="18" xfId="0" applyFont="1" applyFill="1" applyBorder="1" applyAlignment="1">
      <alignment vertical="top"/>
    </xf>
    <xf numFmtId="4" fontId="0" fillId="11" borderId="4" xfId="0" applyNumberFormat="1" applyFill="1" applyBorder="1" applyAlignment="1">
      <alignment horizontal="right" vertical="top"/>
    </xf>
    <xf numFmtId="0" fontId="0" fillId="0" borderId="24" xfId="0" applyBorder="1"/>
    <xf numFmtId="0" fontId="0" fillId="0" borderId="2" xfId="0" applyBorder="1"/>
    <xf numFmtId="0" fontId="29" fillId="3" borderId="4" xfId="0" applyFont="1" applyFill="1" applyBorder="1" applyAlignment="1">
      <alignment horizontal="center"/>
    </xf>
    <xf numFmtId="0" fontId="29" fillId="3" borderId="30" xfId="0" applyFont="1" applyFill="1" applyBorder="1" applyAlignment="1">
      <alignment horizontal="center" wrapText="1"/>
    </xf>
    <xf numFmtId="165" fontId="0" fillId="0" borderId="4" xfId="1" applyFont="1" applyBorder="1" applyAlignment="1" applyProtection="1"/>
    <xf numFmtId="9" fontId="0" fillId="0" borderId="30" xfId="2" applyFont="1" applyBorder="1" applyAlignment="1" applyProtection="1">
      <alignment horizontal="center"/>
    </xf>
    <xf numFmtId="0" fontId="8" fillId="4" borderId="0" xfId="0" applyFont="1" applyFill="1" applyBorder="1"/>
    <xf numFmtId="0" fontId="8" fillId="4" borderId="3" xfId="0" applyFont="1" applyFill="1" applyBorder="1"/>
    <xf numFmtId="0" fontId="0" fillId="4" borderId="0" xfId="0" applyFill="1" applyBorder="1"/>
    <xf numFmtId="0" fontId="0" fillId="4" borderId="3" xfId="0" applyFill="1" applyBorder="1"/>
    <xf numFmtId="165" fontId="0" fillId="0" borderId="16" xfId="1" applyFont="1" applyBorder="1" applyAlignment="1" applyProtection="1"/>
    <xf numFmtId="9" fontId="0" fillId="0" borderId="32" xfId="2" applyFont="1" applyBorder="1" applyAlignment="1" applyProtection="1">
      <alignment horizontal="center"/>
    </xf>
    <xf numFmtId="0" fontId="0" fillId="0" borderId="0" xfId="0" applyBorder="1"/>
    <xf numFmtId="0" fontId="30" fillId="0" borderId="0" xfId="0" applyFont="1"/>
    <xf numFmtId="0" fontId="8" fillId="0" borderId="25" xfId="0" applyFont="1" applyBorder="1"/>
    <xf numFmtId="0" fontId="0" fillId="0" borderId="25" xfId="0" applyBorder="1"/>
    <xf numFmtId="0" fontId="29" fillId="3" borderId="6" xfId="0" applyFont="1" applyFill="1" applyBorder="1" applyAlignment="1">
      <alignment horizontal="center"/>
    </xf>
    <xf numFmtId="165" fontId="0" fillId="0" borderId="15" xfId="1" applyFont="1" applyBorder="1" applyAlignment="1" applyProtection="1"/>
    <xf numFmtId="0" fontId="31" fillId="7" borderId="7" xfId="0" applyFont="1" applyFill="1" applyBorder="1"/>
    <xf numFmtId="0" fontId="29" fillId="3" borderId="5" xfId="0" applyFont="1" applyFill="1" applyBorder="1" applyAlignment="1">
      <alignment horizontal="center" wrapText="1"/>
    </xf>
    <xf numFmtId="0" fontId="31" fillId="7" borderId="8" xfId="0" applyFont="1" applyFill="1" applyBorder="1"/>
    <xf numFmtId="165" fontId="0" fillId="0" borderId="6" xfId="1" applyFont="1" applyBorder="1" applyAlignment="1" applyProtection="1"/>
    <xf numFmtId="9" fontId="0" fillId="0" borderId="5" xfId="2" applyFont="1" applyBorder="1" applyAlignment="1" applyProtection="1">
      <alignment horizontal="center"/>
    </xf>
    <xf numFmtId="0" fontId="8" fillId="4" borderId="2" xfId="0" applyFont="1" applyFill="1" applyBorder="1"/>
    <xf numFmtId="9" fontId="0" fillId="0" borderId="51" xfId="2" applyFont="1" applyBorder="1" applyAlignment="1" applyProtection="1">
      <alignment horizontal="center"/>
    </xf>
    <xf numFmtId="0" fontId="31" fillId="7" borderId="46" xfId="0" applyFont="1" applyFill="1" applyBorder="1"/>
    <xf numFmtId="165" fontId="15" fillId="0" borderId="20" xfId="1" applyFont="1" applyBorder="1" applyAlignment="1" applyProtection="1"/>
    <xf numFmtId="0" fontId="0" fillId="7" borderId="7" xfId="0" applyFill="1" applyBorder="1"/>
    <xf numFmtId="0" fontId="0" fillId="7" borderId="8" xfId="0" applyFill="1" applyBorder="1"/>
    <xf numFmtId="0" fontId="0" fillId="7" borderId="46" xfId="0" applyFill="1" applyBorder="1"/>
    <xf numFmtId="0" fontId="0" fillId="4" borderId="2" xfId="0" applyFill="1" applyBorder="1"/>
    <xf numFmtId="165" fontId="0" fillId="0" borderId="52" xfId="1" applyFont="1" applyBorder="1" applyAlignment="1" applyProtection="1"/>
    <xf numFmtId="165" fontId="0" fillId="0" borderId="18" xfId="1" applyFont="1" applyBorder="1" applyAlignment="1" applyProtection="1"/>
    <xf numFmtId="9" fontId="0" fillId="0" borderId="22" xfId="2" applyFont="1" applyBorder="1" applyAlignment="1" applyProtection="1">
      <alignment horizontal="center"/>
    </xf>
    <xf numFmtId="0" fontId="15" fillId="0" borderId="33" xfId="0" applyFont="1" applyBorder="1"/>
    <xf numFmtId="165" fontId="15" fillId="0" borderId="36" xfId="1" applyFont="1" applyBorder="1" applyAlignment="1" applyProtection="1"/>
    <xf numFmtId="9" fontId="15" fillId="0" borderId="36" xfId="2" applyFont="1" applyBorder="1" applyAlignment="1" applyProtection="1">
      <alignment horizontal="center"/>
    </xf>
    <xf numFmtId="165" fontId="15" fillId="0" borderId="35" xfId="1" applyFont="1" applyBorder="1" applyAlignment="1" applyProtection="1"/>
    <xf numFmtId="0" fontId="0" fillId="7" borderId="0" xfId="0" applyFill="1" applyBorder="1"/>
    <xf numFmtId="9" fontId="0" fillId="0" borderId="0" xfId="2" applyFont="1" applyBorder="1" applyAlignment="1" applyProtection="1">
      <alignment horizontal="center"/>
    </xf>
    <xf numFmtId="0" fontId="0" fillId="7" borderId="26" xfId="0" applyFill="1" applyBorder="1"/>
    <xf numFmtId="0" fontId="0" fillId="7" borderId="3" xfId="0" applyFill="1" applyBorder="1"/>
    <xf numFmtId="0" fontId="15" fillId="7" borderId="11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41" xfId="0" applyFont="1" applyBorder="1" applyAlignment="1">
      <alignment horizontal="center" wrapText="1"/>
    </xf>
    <xf numFmtId="172" fontId="15" fillId="0" borderId="33" xfId="0" applyNumberFormat="1" applyFont="1" applyBorder="1" applyAlignment="1">
      <alignment vertical="center"/>
    </xf>
    <xf numFmtId="172" fontId="15" fillId="0" borderId="36" xfId="0" applyNumberFormat="1" applyFont="1" applyBorder="1" applyAlignment="1">
      <alignment vertical="center"/>
    </xf>
    <xf numFmtId="165" fontId="0" fillId="0" borderId="51" xfId="1" applyFont="1" applyBorder="1" applyAlignment="1" applyProtection="1">
      <alignment horizontal="center"/>
    </xf>
    <xf numFmtId="0" fontId="9" fillId="3" borderId="5" xfId="0" applyFont="1" applyFill="1" applyBorder="1" applyAlignment="1">
      <alignment horizontal="center" vertical="center" wrapText="1" readingOrder="1"/>
    </xf>
    <xf numFmtId="0" fontId="0" fillId="0" borderId="4" xfId="0" applyFont="1" applyBorder="1" applyAlignment="1">
      <alignment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 readingOrder="1"/>
    </xf>
    <xf numFmtId="0" fontId="9" fillId="3" borderId="54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 readingOrder="1"/>
    </xf>
    <xf numFmtId="174" fontId="9" fillId="3" borderId="7" xfId="0" applyNumberFormat="1" applyFont="1" applyFill="1" applyBorder="1" applyAlignment="1">
      <alignment vertical="center" wrapText="1"/>
    </xf>
    <xf numFmtId="0" fontId="0" fillId="0" borderId="0" xfId="0" applyBorder="1" applyAlignment="1">
      <alignment horizontal="center" wrapText="1"/>
    </xf>
    <xf numFmtId="4" fontId="9" fillId="3" borderId="7" xfId="0" applyNumberFormat="1" applyFont="1" applyFill="1" applyBorder="1" applyAlignment="1">
      <alignment horizontal="center" vertical="center" wrapText="1"/>
    </xf>
    <xf numFmtId="4" fontId="9" fillId="3" borderId="26" xfId="0" applyNumberFormat="1" applyFont="1" applyFill="1" applyBorder="1" applyAlignment="1">
      <alignment horizontal="center" vertical="center" wrapText="1"/>
    </xf>
    <xf numFmtId="4" fontId="9" fillId="3" borderId="8" xfId="0" applyNumberFormat="1" applyFont="1" applyFill="1" applyBorder="1" applyAlignment="1">
      <alignment horizontal="center" wrapText="1"/>
    </xf>
    <xf numFmtId="4" fontId="9" fillId="3" borderId="3" xfId="0" applyNumberFormat="1" applyFont="1" applyFill="1" applyBorder="1" applyAlignment="1">
      <alignment horizontal="center" wrapText="1"/>
    </xf>
    <xf numFmtId="175" fontId="5" fillId="0" borderId="4" xfId="2" applyNumberFormat="1" applyFont="1" applyBorder="1" applyAlignment="1" applyProtection="1">
      <alignment horizontal="center"/>
    </xf>
    <xf numFmtId="9" fontId="5" fillId="0" borderId="4" xfId="2" applyFont="1" applyBorder="1" applyAlignment="1" applyProtection="1">
      <alignment horizontal="center"/>
    </xf>
    <xf numFmtId="0" fontId="9" fillId="3" borderId="15" xfId="0" applyFont="1" applyFill="1" applyBorder="1" applyAlignment="1">
      <alignment horizontal="center" vertical="center" wrapText="1" readingOrder="1"/>
    </xf>
    <xf numFmtId="174" fontId="9" fillId="3" borderId="16" xfId="0" applyNumberFormat="1" applyFont="1" applyFill="1" applyBorder="1" applyAlignment="1">
      <alignment vertical="center" wrapText="1"/>
    </xf>
    <xf numFmtId="0" fontId="0" fillId="0" borderId="16" xfId="0" applyBorder="1"/>
    <xf numFmtId="174" fontId="9" fillId="3" borderId="32" xfId="0" applyNumberFormat="1" applyFont="1" applyFill="1" applyBorder="1" applyAlignment="1">
      <alignment vertical="center" wrapText="1"/>
    </xf>
    <xf numFmtId="9" fontId="9" fillId="3" borderId="48" xfId="2" applyFont="1" applyFill="1" applyBorder="1" applyAlignment="1" applyProtection="1">
      <alignment horizontal="center" vertical="center" wrapText="1" readingOrder="1"/>
    </xf>
    <xf numFmtId="0" fontId="9" fillId="3" borderId="10" xfId="0" applyFont="1" applyFill="1" applyBorder="1" applyAlignment="1">
      <alignment horizontal="center" vertical="center" readingOrder="1"/>
    </xf>
    <xf numFmtId="9" fontId="9" fillId="3" borderId="0" xfId="2" applyFont="1" applyFill="1" applyBorder="1" applyAlignment="1" applyProtection="1">
      <alignment horizontal="center" vertical="center" wrapText="1" readingOrder="1"/>
    </xf>
    <xf numFmtId="0" fontId="9" fillId="3" borderId="11" xfId="0" applyFont="1" applyFill="1" applyBorder="1" applyAlignment="1">
      <alignment horizontal="center" vertical="center" readingOrder="1"/>
    </xf>
    <xf numFmtId="0" fontId="9" fillId="4" borderId="0" xfId="0" applyFont="1" applyFill="1" applyBorder="1" applyAlignment="1">
      <alignment horizontal="center" vertical="center" readingOrder="1"/>
    </xf>
    <xf numFmtId="9" fontId="9" fillId="4" borderId="0" xfId="2" applyFont="1" applyFill="1" applyBorder="1" applyAlignment="1" applyProtection="1">
      <alignment horizontal="center" vertical="center" wrapText="1" readingOrder="1"/>
    </xf>
    <xf numFmtId="4" fontId="0" fillId="0" borderId="4" xfId="0" applyNumberFormat="1" applyBorder="1"/>
    <xf numFmtId="174" fontId="9" fillId="3" borderId="19" xfId="0" applyNumberFormat="1" applyFont="1" applyFill="1" applyBorder="1" applyAlignment="1">
      <alignment vertical="center" wrapText="1"/>
    </xf>
    <xf numFmtId="174" fontId="9" fillId="3" borderId="10" xfId="0" applyNumberFormat="1" applyFont="1" applyFill="1" applyBorder="1" applyAlignment="1">
      <alignment vertical="center" wrapText="1"/>
    </xf>
    <xf numFmtId="174" fontId="9" fillId="3" borderId="55" xfId="0" applyNumberFormat="1" applyFont="1" applyFill="1" applyBorder="1" applyAlignment="1">
      <alignment vertical="center" wrapText="1"/>
    </xf>
    <xf numFmtId="175" fontId="0" fillId="0" borderId="0" xfId="0" applyNumberFormat="1"/>
    <xf numFmtId="0" fontId="9" fillId="3" borderId="0" xfId="0" applyFont="1" applyFill="1" applyBorder="1" applyAlignment="1">
      <alignment horizontal="center" vertical="center" readingOrder="1"/>
    </xf>
    <xf numFmtId="0" fontId="9" fillId="3" borderId="10" xfId="0" applyFont="1" applyFill="1" applyBorder="1" applyAlignment="1">
      <alignment horizontal="center" vertical="center" wrapText="1" readingOrder="1"/>
    </xf>
    <xf numFmtId="0" fontId="9" fillId="3" borderId="11" xfId="0" applyFont="1" applyFill="1" applyBorder="1" applyAlignment="1">
      <alignment horizontal="center" vertical="center" wrapText="1" readingOrder="1"/>
    </xf>
    <xf numFmtId="0" fontId="9" fillId="3" borderId="34" xfId="0" applyFont="1" applyFill="1" applyBorder="1" applyAlignment="1">
      <alignment horizontal="center" vertical="center" wrapText="1" readingOrder="1"/>
    </xf>
    <xf numFmtId="174" fontId="9" fillId="3" borderId="34" xfId="0" applyNumberFormat="1" applyFont="1" applyFill="1" applyBorder="1" applyAlignment="1">
      <alignment vertical="center" wrapText="1"/>
    </xf>
    <xf numFmtId="175" fontId="5" fillId="4" borderId="4" xfId="2" applyNumberFormat="1" applyFont="1" applyFill="1" applyBorder="1" applyAlignment="1" applyProtection="1">
      <alignment horizontal="center"/>
    </xf>
    <xf numFmtId="174" fontId="0" fillId="0" borderId="0" xfId="0" applyNumberFormat="1"/>
    <xf numFmtId="0" fontId="9" fillId="3" borderId="47" xfId="0" applyFont="1" applyFill="1" applyBorder="1" applyAlignment="1">
      <alignment horizontal="center" vertical="center" wrapText="1" readingOrder="1"/>
    </xf>
    <xf numFmtId="174" fontId="9" fillId="3" borderId="56" xfId="0" applyNumberFormat="1" applyFont="1" applyFill="1" applyBorder="1" applyAlignment="1">
      <alignment vertical="center" wrapText="1"/>
    </xf>
    <xf numFmtId="174" fontId="9" fillId="3" borderId="11" xfId="0" applyNumberFormat="1" applyFont="1" applyFill="1" applyBorder="1" applyAlignment="1">
      <alignment vertical="center" wrapText="1"/>
    </xf>
    <xf numFmtId="4" fontId="9" fillId="3" borderId="14" xfId="0" applyNumberFormat="1" applyFont="1" applyFill="1" applyBorder="1" applyAlignment="1">
      <alignment horizontal="center" vertical="center" wrapText="1"/>
    </xf>
    <xf numFmtId="4" fontId="9" fillId="3" borderId="34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Border="1" applyAlignment="1">
      <alignment horizontal="center" vertical="center" wrapText="1"/>
    </xf>
    <xf numFmtId="49" fontId="5" fillId="0" borderId="6" xfId="0" applyNumberFormat="1" applyFont="1" applyBorder="1" applyAlignment="1">
      <alignment horizontal="right" vertical="center" wrapText="1" readingOrder="1"/>
    </xf>
    <xf numFmtId="175" fontId="0" fillId="0" borderId="48" xfId="0" applyNumberFormat="1" applyBorder="1"/>
    <xf numFmtId="49" fontId="5" fillId="0" borderId="38" xfId="0" applyNumberFormat="1" applyFont="1" applyBorder="1" applyAlignment="1">
      <alignment horizontal="right" vertical="center" wrapText="1" readingOrder="1"/>
    </xf>
    <xf numFmtId="175" fontId="0" fillId="0" borderId="0" xfId="0" applyNumberFormat="1" applyBorder="1"/>
    <xf numFmtId="175" fontId="0" fillId="0" borderId="32" xfId="0" applyNumberFormat="1" applyBorder="1"/>
    <xf numFmtId="49" fontId="5" fillId="0" borderId="15" xfId="0" applyNumberFormat="1" applyFont="1" applyBorder="1" applyAlignment="1">
      <alignment horizontal="right" vertical="center" wrapText="1" readingOrder="1"/>
    </xf>
    <xf numFmtId="0" fontId="33" fillId="0" borderId="0" xfId="0" applyFont="1" applyBorder="1" applyAlignment="1">
      <alignment wrapText="1"/>
    </xf>
    <xf numFmtId="175" fontId="15" fillId="0" borderId="0" xfId="0" applyNumberFormat="1" applyFont="1" applyBorder="1"/>
    <xf numFmtId="4" fontId="9" fillId="3" borderId="34" xfId="0" applyNumberFormat="1" applyFont="1" applyFill="1" applyBorder="1" applyAlignment="1">
      <alignment horizontal="center" wrapText="1"/>
    </xf>
    <xf numFmtId="175" fontId="0" fillId="0" borderId="39" xfId="0" applyNumberFormat="1" applyBorder="1"/>
    <xf numFmtId="175" fontId="0" fillId="0" borderId="30" xfId="0" applyNumberFormat="1" applyBorder="1"/>
    <xf numFmtId="0" fontId="0" fillId="17" borderId="0" xfId="0" applyFill="1" applyAlignment="1">
      <alignment vertical="top"/>
    </xf>
    <xf numFmtId="4" fontId="0" fillId="17" borderId="0" xfId="0" applyNumberFormat="1" applyFill="1" applyAlignment="1">
      <alignment horizontal="right" vertical="top"/>
    </xf>
    <xf numFmtId="176" fontId="0" fillId="0" borderId="0" xfId="0" applyNumberFormat="1" applyAlignment="1">
      <alignment horizontal="right" vertical="top"/>
    </xf>
    <xf numFmtId="0" fontId="6" fillId="0" borderId="6" xfId="0" applyFont="1" applyBorder="1" applyAlignment="1">
      <alignment vertical="center"/>
    </xf>
    <xf numFmtId="164" fontId="17" fillId="9" borderId="16" xfId="2" applyNumberFormat="1" applyFont="1" applyFill="1" applyBorder="1" applyAlignment="1" applyProtection="1">
      <alignment horizontal="center" vertical="center"/>
    </xf>
    <xf numFmtId="0" fontId="15" fillId="0" borderId="4" xfId="0" applyFont="1" applyBorder="1" applyAlignment="1">
      <alignment horizontal="left"/>
    </xf>
    <xf numFmtId="165" fontId="0" fillId="0" borderId="4" xfId="1" applyFont="1" applyBorder="1" applyAlignment="1" applyProtection="1">
      <alignment horizontal="center" vertical="center"/>
    </xf>
    <xf numFmtId="10" fontId="0" fillId="0" borderId="4" xfId="2" applyNumberFormat="1" applyFont="1" applyBorder="1" applyAlignment="1" applyProtection="1">
      <alignment horizontal="center"/>
    </xf>
    <xf numFmtId="9" fontId="17" fillId="9" borderId="16" xfId="2" applyFont="1" applyFill="1" applyBorder="1" applyAlignment="1" applyProtection="1">
      <alignment horizontal="center" vertical="center"/>
    </xf>
    <xf numFmtId="0" fontId="2" fillId="0" borderId="2" xfId="0" applyFont="1" applyBorder="1" applyAlignment="1">
      <alignment horizontal="center"/>
    </xf>
    <xf numFmtId="0" fontId="4" fillId="3" borderId="4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17" fillId="8" borderId="12" xfId="0" applyFont="1" applyFill="1" applyBorder="1" applyAlignment="1">
      <alignment horizontal="center" vertical="center" wrapText="1"/>
    </xf>
    <xf numFmtId="0" fontId="18" fillId="3" borderId="13" xfId="0" applyFont="1" applyFill="1" applyBorder="1" applyAlignment="1">
      <alignment horizontal="center" vertical="center" wrapText="1"/>
    </xf>
    <xf numFmtId="0" fontId="17" fillId="8" borderId="13" xfId="0" applyFont="1" applyFill="1" applyBorder="1" applyAlignment="1">
      <alignment horizontal="center" vertical="center" wrapText="1"/>
    </xf>
    <xf numFmtId="0" fontId="17" fillId="8" borderId="14" xfId="0" applyFont="1" applyFill="1" applyBorder="1" applyAlignment="1">
      <alignment horizontal="center" vertical="center" wrapText="1"/>
    </xf>
    <xf numFmtId="0" fontId="18" fillId="3" borderId="12" xfId="0" applyFont="1" applyFill="1" applyBorder="1" applyAlignment="1">
      <alignment horizontal="center" vertical="center" wrapText="1"/>
    </xf>
    <xf numFmtId="166" fontId="18" fillId="3" borderId="13" xfId="0" applyNumberFormat="1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top" wrapText="1" readingOrder="1"/>
    </xf>
    <xf numFmtId="0" fontId="5" fillId="0" borderId="4" xfId="0" applyFont="1" applyBorder="1" applyAlignment="1">
      <alignment horizontal="left" vertical="top" wrapText="1" readingOrder="1"/>
    </xf>
    <xf numFmtId="0" fontId="23" fillId="0" borderId="21" xfId="0" applyFont="1" applyBorder="1" applyAlignment="1">
      <alignment horizontal="center" wrapText="1"/>
    </xf>
    <xf numFmtId="49" fontId="9" fillId="3" borderId="4" xfId="0" applyNumberFormat="1" applyFont="1" applyFill="1" applyBorder="1" applyAlignment="1">
      <alignment horizontal="center" vertical="center" wrapText="1" readingOrder="1"/>
    </xf>
    <xf numFmtId="0" fontId="9" fillId="3" borderId="4" xfId="0" applyFont="1" applyFill="1" applyBorder="1" applyAlignment="1">
      <alignment horizontal="center" vertical="center" wrapText="1" readingOrder="1"/>
    </xf>
    <xf numFmtId="0" fontId="25" fillId="3" borderId="4" xfId="0" applyFont="1" applyFill="1" applyBorder="1" applyAlignment="1">
      <alignment horizontal="center" vertical="center" wrapText="1"/>
    </xf>
    <xf numFmtId="0" fontId="26" fillId="3" borderId="4" xfId="0" applyNumberFormat="1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top" wrapText="1"/>
    </xf>
    <xf numFmtId="0" fontId="0" fillId="0" borderId="0" xfId="0" applyFont="1" applyBorder="1" applyAlignment="1">
      <alignment horizontal="center" vertical="top" wrapText="1"/>
    </xf>
    <xf numFmtId="0" fontId="15" fillId="18" borderId="6" xfId="0" applyFont="1" applyFill="1" applyBorder="1" applyAlignment="1">
      <alignment horizontal="center" vertical="center" wrapText="1"/>
    </xf>
    <xf numFmtId="0" fontId="15" fillId="19" borderId="6" xfId="0" applyFont="1" applyFill="1" applyBorder="1" applyAlignment="1">
      <alignment horizontal="center" vertical="center" wrapText="1"/>
    </xf>
    <xf numFmtId="0" fontId="15" fillId="5" borderId="6" xfId="0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169" fontId="15" fillId="0" borderId="4" xfId="0" applyNumberFormat="1" applyFont="1" applyBorder="1" applyAlignment="1">
      <alignment horizontal="center" wrapText="1"/>
    </xf>
    <xf numFmtId="169" fontId="15" fillId="0" borderId="4" xfId="0" applyNumberFormat="1" applyFont="1" applyBorder="1" applyAlignment="1">
      <alignment horizontal="center" vertical="top" wrapText="1"/>
    </xf>
    <xf numFmtId="0" fontId="15" fillId="17" borderId="4" xfId="0" applyFont="1" applyFill="1" applyBorder="1" applyAlignment="1">
      <alignment horizontal="center" wrapText="1"/>
    </xf>
    <xf numFmtId="0" fontId="15" fillId="0" borderId="0" xfId="0" applyFont="1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4" fontId="0" fillId="6" borderId="4" xfId="0" applyNumberFormat="1" applyFill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0" fontId="25" fillId="3" borderId="14" xfId="0" applyFont="1" applyFill="1" applyBorder="1" applyAlignment="1">
      <alignment horizontal="center" vertical="center" wrapText="1"/>
    </xf>
    <xf numFmtId="0" fontId="29" fillId="3" borderId="30" xfId="0" applyNumberFormat="1" applyFont="1" applyFill="1" applyBorder="1" applyAlignment="1">
      <alignment horizontal="center" vertical="center" wrapText="1"/>
    </xf>
    <xf numFmtId="171" fontId="23" fillId="11" borderId="0" xfId="0" applyNumberFormat="1" applyFont="1" applyFill="1" applyBorder="1" applyAlignment="1">
      <alignment horizontal="center" wrapText="1"/>
    </xf>
    <xf numFmtId="0" fontId="25" fillId="3" borderId="49" xfId="0" applyFont="1" applyFill="1" applyBorder="1" applyAlignment="1">
      <alignment horizontal="center" vertical="center" wrapText="1"/>
    </xf>
    <xf numFmtId="0" fontId="29" fillId="3" borderId="49" xfId="0" applyFont="1" applyFill="1" applyBorder="1" applyAlignment="1">
      <alignment horizontal="center" vertical="center" wrapText="1"/>
    </xf>
    <xf numFmtId="0" fontId="29" fillId="3" borderId="50" xfId="0" applyFont="1" applyFill="1" applyBorder="1" applyAlignment="1">
      <alignment horizontal="center" vertical="center" wrapText="1"/>
    </xf>
    <xf numFmtId="0" fontId="29" fillId="3" borderId="5" xfId="0" applyFont="1" applyFill="1" applyBorder="1" applyAlignment="1">
      <alignment horizontal="center" vertical="center" wrapText="1"/>
    </xf>
    <xf numFmtId="0" fontId="29" fillId="3" borderId="53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 readingOrder="1"/>
    </xf>
    <xf numFmtId="0" fontId="9" fillId="3" borderId="7" xfId="0" applyFont="1" applyFill="1" applyBorder="1" applyAlignment="1">
      <alignment horizontal="center" wrapText="1" readingOrder="1"/>
    </xf>
    <xf numFmtId="4" fontId="9" fillId="3" borderId="7" xfId="0" applyNumberFormat="1" applyFont="1" applyFill="1" applyBorder="1" applyAlignment="1">
      <alignment horizontal="center" wrapText="1"/>
    </xf>
    <xf numFmtId="0" fontId="9" fillId="3" borderId="47" xfId="0" applyFont="1" applyFill="1" applyBorder="1" applyAlignment="1">
      <alignment horizontal="center" vertical="center" readingOrder="1"/>
    </xf>
    <xf numFmtId="0" fontId="9" fillId="3" borderId="9" xfId="0" applyFont="1" applyFill="1" applyBorder="1" applyAlignment="1">
      <alignment horizontal="center" vertical="center" wrapText="1" readingOrder="1"/>
    </xf>
    <xf numFmtId="0" fontId="32" fillId="2" borderId="1" xfId="5" applyFont="1" applyBorder="1" applyAlignment="1" applyProtection="1">
      <alignment horizontal="center" wrapText="1"/>
    </xf>
    <xf numFmtId="0" fontId="17" fillId="9" borderId="15" xfId="0" applyFont="1" applyFill="1" applyBorder="1" applyAlignment="1">
      <alignment horizontal="center" vertical="center"/>
    </xf>
  </cellXfs>
  <cellStyles count="6">
    <cellStyle name="Excel_BuiltIn_Entrada" xfId="5"/>
    <cellStyle name="Hipervínculo" xfId="3" builtinId="8"/>
    <cellStyle name="Millares" xfId="1" builtinId="3"/>
    <cellStyle name="Normal" xfId="0" builtinId="0"/>
    <cellStyle name="Normal 2" xfId="4"/>
    <cellStyle name="Porcentaje" xfId="2" builtinId="5"/>
  </cellStyles>
  <dxfs count="76"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1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6"/>
          <bgColor indexed="5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1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6"/>
          <bgColor indexed="5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1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6"/>
          <bgColor indexed="5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1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6"/>
          <bgColor indexed="5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1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6"/>
          <bgColor indexed="5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1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6"/>
          <bgColor indexed="5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1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6"/>
          <bgColor indexed="5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1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6"/>
          <bgColor indexed="5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1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6"/>
          <bgColor indexed="5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1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6"/>
          <bgColor indexed="5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1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6"/>
          <bgColor indexed="5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1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6"/>
          <bgColor indexed="5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1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6"/>
          <bgColor indexed="5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1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6"/>
          <bgColor indexed="5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1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6"/>
          <bgColor indexed="5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1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6"/>
          <bgColor indexed="5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1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1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1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1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6"/>
          <bgColor indexed="5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9E00"/>
      <rgbColor rgb="005B8E39"/>
      <rgbColor rgb="00000080"/>
      <rgbColor rgb="00808000"/>
      <rgbColor rgb="00800080"/>
      <rgbColor rgb="00375DA1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9D9D9"/>
      <rgbColor rgb="00000080"/>
      <rgbColor rgb="00FF00FF"/>
      <rgbColor rgb="00FFD966"/>
      <rgbColor rgb="0000FFFF"/>
      <rgbColor rgb="00800080"/>
      <rgbColor rgb="00800000"/>
      <rgbColor rgb="001F4E79"/>
      <rgbColor rgb="000000FF"/>
      <rgbColor rgb="005B9BD5"/>
      <rgbColor rgb="00E2AA00"/>
      <rgbColor rgb="00CCFFCC"/>
      <rgbColor rgb="00FFFF99"/>
      <rgbColor rgb="0099CCFF"/>
      <rgbColor rgb="00888888"/>
      <rgbColor rgb="0097B9E0"/>
      <rgbColor rgb="00FFCC99"/>
      <rgbColor rgb="003B64AD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62993E"/>
      <rgbColor rgb="004A7FB0"/>
      <rgbColor rgb="00993300"/>
      <rgbColor rgb="00C46627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89044320985706"/>
          <c:y val="9.5378936128437813E-2"/>
          <c:w val="0.6576621010510556"/>
          <c:h val="0.61273740785541875"/>
        </c:manualLayout>
      </c:layout>
      <c:pie3DChart>
        <c:varyColors val="1"/>
        <c:ser>
          <c:idx val="0"/>
          <c:order val="0"/>
          <c:spPr>
            <a:solidFill>
              <a:srgbClr val="5B9BD5"/>
            </a:solidFill>
            <a:ln w="25400">
              <a:noFill/>
            </a:ln>
          </c:spPr>
          <c:dPt>
            <c:idx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8C60-40C4-9AB5-8D8899B7B5E7}"/>
              </c:ext>
            </c:extLst>
          </c:dPt>
          <c:dPt>
            <c:idx val="1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  <a:gs pos="5000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  <a:gs pos="10000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C60-40C4-9AB5-8D8899B7B5E7}"/>
              </c:ext>
            </c:extLst>
          </c:dPt>
          <c:dPt>
            <c:idx val="2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808080" mc:Ignorable="a14" a14:legacySpreadsheetColorIndex="23"/>
                  </a:gs>
                  <a:gs pos="100000">
                    <a:srgbClr xmlns:mc="http://schemas.openxmlformats.org/markup-compatibility/2006" xmlns:a14="http://schemas.microsoft.com/office/drawing/2010/main" val="339966" mc:Ignorable="a14" a14:legacySpreadsheetColorIndex="57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8C60-40C4-9AB5-8D8899B7B5E7}"/>
              </c:ext>
            </c:extLst>
          </c:dPt>
          <c:dPt>
            <c:idx val="3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25"/>
                  </a:gs>
                  <a:gs pos="100000">
                    <a:srgbClr xmlns:mc="http://schemas.openxmlformats.org/markup-compatibility/2006" xmlns:a14="http://schemas.microsoft.com/office/drawing/2010/main" val="993300" mc:Ignorable="a14" a14:legacySpreadsheetColorIndex="60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C60-40C4-9AB5-8D8899B7B5E7}"/>
              </c:ext>
            </c:extLst>
          </c:dPt>
          <c:dPt>
            <c:idx val="4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808080" mc:Ignorable="a14" a14:legacySpreadsheetColorIndex="23"/>
                  </a:gs>
                  <a:gs pos="100000">
                    <a:srgbClr xmlns:mc="http://schemas.openxmlformats.org/markup-compatibility/2006" xmlns:a14="http://schemas.microsoft.com/office/drawing/2010/main" val="808000" mc:Ignorable="a14" a14:legacySpreadsheetColorIndex="19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8C60-40C4-9AB5-8D8899B7B5E7}"/>
              </c:ext>
            </c:extLst>
          </c:dPt>
          <c:dLbls>
            <c:dLbl>
              <c:idx val="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60-40C4-9AB5-8D8899B7B5E7}"/>
                </c:ext>
              </c:extLst>
            </c:dLbl>
            <c:dLbl>
              <c:idx val="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60-40C4-9AB5-8D8899B7B5E7}"/>
                </c:ext>
              </c:extLst>
            </c:dLbl>
            <c:dLbl>
              <c:idx val="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C60-40C4-9AB5-8D8899B7B5E7}"/>
                </c:ext>
              </c:extLst>
            </c:dLbl>
            <c:dLbl>
              <c:idx val="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C60-40C4-9AB5-8D8899B7B5E7}"/>
                </c:ext>
              </c:extLst>
            </c:dLbl>
            <c:dLbl>
              <c:idx val="4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C60-40C4-9AB5-8D8899B7B5E7}"/>
                </c:ext>
              </c:extLst>
            </c:dLbl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'Resumen Estado'!$B$19:$B$23</c:f>
              <c:strCache>
                <c:ptCount val="5"/>
                <c:pt idx="0">
                  <c:v>Remuneraciones + Cargas Patronales</c:v>
                </c:pt>
                <c:pt idx="1">
                  <c:v>Gasto Operativo</c:v>
                </c:pt>
                <c:pt idx="2">
                  <c:v>Inversión publica</c:v>
                </c:pt>
                <c:pt idx="3">
                  <c:v>Transferencias Corrientes</c:v>
                </c:pt>
                <c:pt idx="4">
                  <c:v>Transferencias de Capital</c:v>
                </c:pt>
              </c:strCache>
            </c:strRef>
          </c:cat>
          <c:val>
            <c:numRef>
              <c:f>'Resumen Estado'!$I$19:$I$23</c:f>
              <c:numCache>
                <c:formatCode>0%</c:formatCode>
                <c:ptCount val="5"/>
                <c:pt idx="0">
                  <c:v>0.94110824656489678</c:v>
                </c:pt>
                <c:pt idx="1">
                  <c:v>0.88935221195690728</c:v>
                </c:pt>
                <c:pt idx="2">
                  <c:v>0.66408022634541974</c:v>
                </c:pt>
                <c:pt idx="3">
                  <c:v>0.93283326617106832</c:v>
                </c:pt>
                <c:pt idx="4">
                  <c:v>0.21635145455796354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60-40C4-9AB5-8D8899B7B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solidFill>
          <a:srgbClr val="D9D9D9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062030624138873E-2"/>
          <c:y val="0.76303148902750251"/>
          <c:w val="0.77372011888359482"/>
          <c:h val="0.2023189554239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C0C0C0"/>
              </a:solidFill>
              <a:latin typeface="Calibri"/>
              <a:ea typeface="Calibri"/>
              <a:cs typeface="Calibri"/>
            </a:defRPr>
          </a:pPr>
          <a:endParaRPr lang="es-CR"/>
        </a:p>
      </c:txPr>
    </c:legend>
    <c:plotVisOnly val="1"/>
    <c:dispBlanksAs val="zero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DISPONIBLE</a:t>
            </a:r>
          </a:p>
        </c:rich>
      </c:tx>
      <c:layout>
        <c:manualLayout>
          <c:xMode val="edge"/>
          <c:yMode val="edge"/>
          <c:x val="0.39970174401909903"/>
          <c:y val="1.2407333109480327E-2"/>
        </c:manualLayout>
      </c:layout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708123013980155"/>
          <c:y val="0.2208505293487498"/>
          <c:w val="0.68275901021161267"/>
          <c:h val="0.67744038777762583"/>
        </c:manualLayout>
      </c:layout>
      <c:pie3DChart>
        <c:varyColors val="1"/>
        <c:ser>
          <c:idx val="0"/>
          <c:order val="0"/>
          <c:tx>
            <c:strRef>
              <c:f>'ANALISIS POR PROG'!$M$5</c:f>
              <c:strCache>
                <c:ptCount val="1"/>
                <c:pt idx="0">
                  <c:v>Disponible Presupuestario 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dPt>
            <c:idx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B50B-40B3-A800-7467B1788D5C}"/>
              </c:ext>
            </c:extLst>
          </c:dPt>
          <c:dPt>
            <c:idx val="1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  <a:gs pos="5000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  <a:gs pos="10000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50B-40B3-A800-7467B1788D5C}"/>
              </c:ext>
            </c:extLst>
          </c:dPt>
          <c:dPt>
            <c:idx val="2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808080" mc:Ignorable="a14" a14:legacySpreadsheetColorIndex="23"/>
                  </a:gs>
                  <a:gs pos="100000">
                    <a:srgbClr xmlns:mc="http://schemas.openxmlformats.org/markup-compatibility/2006" xmlns:a14="http://schemas.microsoft.com/office/drawing/2010/main" val="339966" mc:Ignorable="a14" a14:legacySpreadsheetColorIndex="57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B50B-40B3-A800-7467B1788D5C}"/>
              </c:ext>
            </c:extLst>
          </c:dPt>
          <c:dPt>
            <c:idx val="3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25"/>
                  </a:gs>
                  <a:gs pos="100000">
                    <a:srgbClr xmlns:mc="http://schemas.openxmlformats.org/markup-compatibility/2006" xmlns:a14="http://schemas.microsoft.com/office/drawing/2010/main" val="993300" mc:Ignorable="a14" a14:legacySpreadsheetColorIndex="60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50B-40B3-A800-7467B1788D5C}"/>
              </c:ext>
            </c:extLst>
          </c:dPt>
          <c:dPt>
            <c:idx val="4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808080" mc:Ignorable="a14" a14:legacySpreadsheetColorIndex="23"/>
                  </a:gs>
                  <a:gs pos="100000">
                    <a:srgbClr xmlns:mc="http://schemas.openxmlformats.org/markup-compatibility/2006" xmlns:a14="http://schemas.microsoft.com/office/drawing/2010/main" val="808000" mc:Ignorable="a14" a14:legacySpreadsheetColorIndex="19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B50B-40B3-A800-7467B1788D5C}"/>
              </c:ext>
            </c:extLst>
          </c:dPt>
          <c:dPt>
            <c:idx val="5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808080" mc:Ignorable="a14" a14:legacySpreadsheetColorIndex="23"/>
                  </a:gs>
                  <a:gs pos="100000">
                    <a:srgbClr xmlns:mc="http://schemas.openxmlformats.org/markup-compatibility/2006" xmlns:a14="http://schemas.microsoft.com/office/drawing/2010/main" val="333333" mc:Ignorable="a14" a14:legacySpreadsheetColorIndex="6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50B-40B3-A800-7467B1788D5C}"/>
              </c:ext>
            </c:extLst>
          </c:dPt>
          <c:dPt>
            <c:idx val="6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B50B-40B3-A800-7467B1788D5C}"/>
              </c:ext>
            </c:extLst>
          </c:dPt>
          <c:dPt>
            <c:idx val="7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CC99" mc:Ignorable="a14" a14:legacySpreadsheetColorIndex="47"/>
                  </a:gs>
                  <a:gs pos="10000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50B-40B3-A800-7467B1788D5C}"/>
              </c:ext>
            </c:extLst>
          </c:dPt>
          <c:dPt>
            <c:idx val="8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69696" mc:Ignorable="a14" a14:legacySpreadsheetColorIndex="55"/>
                  </a:gs>
                  <a:gs pos="100000">
                    <a:srgbClr xmlns:mc="http://schemas.openxmlformats.org/markup-compatibility/2006" xmlns:a14="http://schemas.microsoft.com/office/drawing/2010/main" val="808080" mc:Ignorable="a14" a14:legacySpreadsheetColorIndex="2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B50B-40B3-A800-7467B1788D5C}"/>
              </c:ext>
            </c:extLst>
          </c:dPt>
          <c:dPt>
            <c:idx val="9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50B-40B3-A800-7467B1788D5C}"/>
              </c:ext>
            </c:extLst>
          </c:dPt>
          <c:dPt>
            <c:idx val="1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9900" mc:Ignorable="a14" a14:legacySpreadsheetColorIndex="52"/>
                  </a:gs>
                  <a:gs pos="50000">
                    <a:srgbClr xmlns:mc="http://schemas.openxmlformats.org/markup-compatibility/2006" xmlns:a14="http://schemas.microsoft.com/office/drawing/2010/main" val="FF9900" mc:Ignorable="a14" a14:legacySpreadsheetColorIndex="52"/>
                  </a:gs>
                  <a:gs pos="100000">
                    <a:srgbClr xmlns:mc="http://schemas.openxmlformats.org/markup-compatibility/2006" xmlns:a14="http://schemas.microsoft.com/office/drawing/2010/main" val="FF9900" mc:Ignorable="a14" a14:legacySpreadsheetColorIndex="52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B50B-40B3-A800-7467B1788D5C}"/>
              </c:ext>
            </c:extLst>
          </c:dPt>
          <c:dPt>
            <c:idx val="11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339966" mc:Ignorable="a14" a14:legacySpreadsheetColorIndex="57"/>
                  </a:gs>
                  <a:gs pos="100000">
                    <a:srgbClr xmlns:mc="http://schemas.openxmlformats.org/markup-compatibility/2006" xmlns:a14="http://schemas.microsoft.com/office/drawing/2010/main" val="808000" mc:Ignorable="a14" a14:legacySpreadsheetColorIndex="19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50B-40B3-A800-7467B1788D5C}"/>
              </c:ext>
            </c:extLst>
          </c:dPt>
          <c:dPt>
            <c:idx val="12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CC99" mc:Ignorable="a14" a14:legacySpreadsheetColorIndex="47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B50B-40B3-A800-7467B1788D5C}"/>
              </c:ext>
            </c:extLst>
          </c:dPt>
          <c:dPt>
            <c:idx val="13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CC99" mc:Ignorable="a14" a14:legacySpreadsheetColorIndex="47"/>
                  </a:gs>
                  <a:gs pos="10000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50B-40B3-A800-7467B1788D5C}"/>
              </c:ext>
            </c:extLst>
          </c:dPt>
          <c:dLbls>
            <c:dLbl>
              <c:idx val="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50B-40B3-A800-7467B1788D5C}"/>
                </c:ext>
              </c:extLst>
            </c:dLbl>
            <c:dLbl>
              <c:idx val="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50B-40B3-A800-7467B1788D5C}"/>
                </c:ext>
              </c:extLst>
            </c:dLbl>
            <c:dLbl>
              <c:idx val="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50B-40B3-A800-7467B1788D5C}"/>
                </c:ext>
              </c:extLst>
            </c:dLbl>
            <c:dLbl>
              <c:idx val="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50B-40B3-A800-7467B1788D5C}"/>
                </c:ext>
              </c:extLst>
            </c:dLbl>
            <c:dLbl>
              <c:idx val="4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B50B-40B3-A800-7467B1788D5C}"/>
                </c:ext>
              </c:extLst>
            </c:dLbl>
            <c:dLbl>
              <c:idx val="5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50B-40B3-A800-7467B1788D5C}"/>
                </c:ext>
              </c:extLst>
            </c:dLbl>
            <c:dLbl>
              <c:idx val="6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50B-40B3-A800-7467B1788D5C}"/>
                </c:ext>
              </c:extLst>
            </c:dLbl>
            <c:dLbl>
              <c:idx val="7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50B-40B3-A800-7467B1788D5C}"/>
                </c:ext>
              </c:extLst>
            </c:dLbl>
            <c:dLbl>
              <c:idx val="8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50B-40B3-A800-7467B1788D5C}"/>
                </c:ext>
              </c:extLst>
            </c:dLbl>
            <c:dLbl>
              <c:idx val="9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50B-40B3-A800-7467B1788D5C}"/>
                </c:ext>
              </c:extLst>
            </c:dLbl>
            <c:dLbl>
              <c:idx val="1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50B-40B3-A800-7467B1788D5C}"/>
                </c:ext>
              </c:extLst>
            </c:dLbl>
            <c:dLbl>
              <c:idx val="1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50B-40B3-A800-7467B1788D5C}"/>
                </c:ext>
              </c:extLst>
            </c:dLbl>
            <c:dLbl>
              <c:idx val="1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B50B-40B3-A800-7467B1788D5C}"/>
                </c:ext>
              </c:extLst>
            </c:dLbl>
            <c:dLbl>
              <c:idx val="1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B50B-40B3-A800-7467B1788D5C}"/>
                </c:ext>
              </c:extLst>
            </c:dLbl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'ANALISIS POR PROG'!$N$6:$N$19</c:f>
              <c:numCache>
                <c:formatCode>0%</c:formatCode>
                <c:ptCount val="14"/>
                <c:pt idx="0">
                  <c:v>0.13303141925066508</c:v>
                </c:pt>
                <c:pt idx="1">
                  <c:v>6.2866541725733652E-2</c:v>
                </c:pt>
                <c:pt idx="2">
                  <c:v>0.15362590929096381</c:v>
                </c:pt>
                <c:pt idx="3">
                  <c:v>5.8385575954829891E-2</c:v>
                </c:pt>
                <c:pt idx="4">
                  <c:v>5.3795611846234298E-2</c:v>
                </c:pt>
                <c:pt idx="5">
                  <c:v>7.0767209899038022E-2</c:v>
                </c:pt>
                <c:pt idx="6">
                  <c:v>8.0729059885630158E-2</c:v>
                </c:pt>
                <c:pt idx="7">
                  <c:v>6.9505082255285816E-2</c:v>
                </c:pt>
                <c:pt idx="8">
                  <c:v>9.7586183690843598E-2</c:v>
                </c:pt>
                <c:pt idx="9">
                  <c:v>0.12138223026103902</c:v>
                </c:pt>
                <c:pt idx="10">
                  <c:v>0.12988811473305037</c:v>
                </c:pt>
                <c:pt idx="11">
                  <c:v>4.8179540852623687E-2</c:v>
                </c:pt>
                <c:pt idx="12">
                  <c:v>1.5047938907181884E-2</c:v>
                </c:pt>
                <c:pt idx="13">
                  <c:v>5.9649721619915476E-2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50B-40B3-A800-7467B1788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solidFill>
          <a:srgbClr val="D9D9D9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2.3328895565317063E-2"/>
          <c:y val="0.91814265010154417"/>
          <c:w val="0.80251400744690693"/>
          <c:h val="5.45922656817134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C0C0C0"/>
              </a:solidFill>
              <a:latin typeface="Calibri"/>
              <a:ea typeface="Calibri"/>
              <a:cs typeface="Calibri"/>
            </a:defRPr>
          </a:pPr>
          <a:endParaRPr lang="es-CR"/>
        </a:p>
      </c:txPr>
    </c:legend>
    <c:plotVisOnly val="1"/>
    <c:dispBlanksAs val="zero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288205361400154E-2"/>
          <c:y val="4.8340035445867971E-2"/>
          <c:w val="0.94555530811738719"/>
          <c:h val="0.800631837072188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'ANALISIS POR PROG'!$C$5</c:f>
              <c:strCache>
                <c:ptCount val="1"/>
                <c:pt idx="0">
                  <c:v>Apropiación Actual 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8080" mc:Ignorable="a14" a14:legacySpreadsheetColorIndex="29"/>
                </a:gs>
                <a:gs pos="100000">
                  <a:srgbClr xmlns:mc="http://schemas.openxmlformats.org/markup-compatibility/2006" xmlns:a14="http://schemas.microsoft.com/office/drawing/2010/main" val="FF6600" mc:Ignorable="a14" a14:legacySpreadsheetColorIndex="53"/>
                </a:gs>
              </a:gsLst>
              <a:lin ang="5400000" scaled="1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0ED3-4993-A981-D5597197D56B}"/>
              </c:ext>
            </c:extLst>
          </c:dPt>
          <c:dPt>
            <c:idx val="1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ED3-4993-A981-D5597197D56B}"/>
              </c:ext>
            </c:extLst>
          </c:dPt>
          <c:dPt>
            <c:idx val="2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0ED3-4993-A981-D5597197D56B}"/>
              </c:ext>
            </c:extLst>
          </c:dPt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ED3-4993-A981-D5597197D56B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0ED3-4993-A981-D5597197D56B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ED3-4993-A981-D5597197D56B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0ED3-4993-A981-D5597197D56B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ED3-4993-A981-D5597197D56B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0ED3-4993-A981-D5597197D56B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ED3-4993-A981-D5597197D56B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0ED3-4993-A981-D5597197D56B}"/>
              </c:ext>
            </c:extLst>
          </c:dPt>
          <c:dPt>
            <c:idx val="11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ED3-4993-A981-D5597197D56B}"/>
              </c:ext>
            </c:extLst>
          </c:dPt>
          <c:dPt>
            <c:idx val="12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0ED3-4993-A981-D5597197D56B}"/>
              </c:ext>
            </c:extLst>
          </c:dPt>
          <c:dPt>
            <c:idx val="1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ED3-4993-A981-D5597197D56B}"/>
              </c:ext>
            </c:extLst>
          </c:dPt>
          <c:dLbls>
            <c:dLbl>
              <c:idx val="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ED3-4993-A981-D5597197D56B}"/>
                </c:ext>
              </c:extLst>
            </c:dLbl>
            <c:dLbl>
              <c:idx val="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ED3-4993-A981-D5597197D56B}"/>
                </c:ext>
              </c:extLst>
            </c:dLbl>
            <c:dLbl>
              <c:idx val="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ED3-4993-A981-D5597197D56B}"/>
                </c:ext>
              </c:extLst>
            </c:dLbl>
            <c:dLbl>
              <c:idx val="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ED3-4993-A981-D5597197D56B}"/>
                </c:ext>
              </c:extLst>
            </c:dLbl>
            <c:dLbl>
              <c:idx val="4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ED3-4993-A981-D5597197D56B}"/>
                </c:ext>
              </c:extLst>
            </c:dLbl>
            <c:dLbl>
              <c:idx val="5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ED3-4993-A981-D5597197D56B}"/>
                </c:ext>
              </c:extLst>
            </c:dLbl>
            <c:dLbl>
              <c:idx val="6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0ED3-4993-A981-D5597197D56B}"/>
                </c:ext>
              </c:extLst>
            </c:dLbl>
            <c:dLbl>
              <c:idx val="7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0ED3-4993-A981-D5597197D56B}"/>
                </c:ext>
              </c:extLst>
            </c:dLbl>
            <c:dLbl>
              <c:idx val="8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0ED3-4993-A981-D5597197D56B}"/>
                </c:ext>
              </c:extLst>
            </c:dLbl>
            <c:dLbl>
              <c:idx val="9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0ED3-4993-A981-D5597197D56B}"/>
                </c:ext>
              </c:extLst>
            </c:dLbl>
            <c:dLbl>
              <c:idx val="1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0ED3-4993-A981-D5597197D56B}"/>
                </c:ext>
              </c:extLst>
            </c:dLbl>
            <c:dLbl>
              <c:idx val="1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ED3-4993-A981-D5597197D56B}"/>
                </c:ext>
              </c:extLst>
            </c:dLbl>
            <c:dLbl>
              <c:idx val="1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0ED3-4993-A981-D5597197D56B}"/>
                </c:ext>
              </c:extLst>
            </c:dLbl>
            <c:dLbl>
              <c:idx val="1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0ED3-4993-A981-D5597197D56B}"/>
                </c:ext>
              </c:extLst>
            </c:dLbl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'ANALISIS POR PROG'!$B$6:$B$19</c:f>
              <c:strCache>
                <c:ptCount val="14"/>
                <c:pt idx="0">
                  <c:v>PROG 786</c:v>
                </c:pt>
                <c:pt idx="1">
                  <c:v>PROG 787</c:v>
                </c:pt>
                <c:pt idx="2">
                  <c:v>PROG 788</c:v>
                </c:pt>
                <c:pt idx="3">
                  <c:v>PROG 789</c:v>
                </c:pt>
                <c:pt idx="4">
                  <c:v>PROG 78901</c:v>
                </c:pt>
                <c:pt idx="5">
                  <c:v>PROG 78902</c:v>
                </c:pt>
                <c:pt idx="6">
                  <c:v>PROG 78903</c:v>
                </c:pt>
                <c:pt idx="7">
                  <c:v>PROG 78904</c:v>
                </c:pt>
                <c:pt idx="8">
                  <c:v>PROG 78905</c:v>
                </c:pt>
                <c:pt idx="9">
                  <c:v>PROG 78906</c:v>
                </c:pt>
                <c:pt idx="10">
                  <c:v>PROG 790</c:v>
                </c:pt>
                <c:pt idx="11">
                  <c:v>PROG 791</c:v>
                </c:pt>
                <c:pt idx="12">
                  <c:v>PROG 793</c:v>
                </c:pt>
                <c:pt idx="13">
                  <c:v>PROG 794</c:v>
                </c:pt>
              </c:strCache>
            </c:strRef>
          </c:cat>
          <c:val>
            <c:numRef>
              <c:f>'ANALISIS POR PROG'!$D$6:$D$19</c:f>
              <c:numCache>
                <c:formatCode>0%</c:formatCode>
                <c:ptCount val="14"/>
                <c:pt idx="0">
                  <c:v>1.4023317081900639E-2</c:v>
                </c:pt>
                <c:pt idx="1">
                  <c:v>2.3366216766137232E-2</c:v>
                </c:pt>
                <c:pt idx="2">
                  <c:v>1.9201903079505547E-2</c:v>
                </c:pt>
                <c:pt idx="3">
                  <c:v>0.51048610741829303</c:v>
                </c:pt>
                <c:pt idx="4">
                  <c:v>0.18697200039682474</c:v>
                </c:pt>
                <c:pt idx="5">
                  <c:v>1.4189788978153896E-2</c:v>
                </c:pt>
                <c:pt idx="6">
                  <c:v>9.7687982856262869E-3</c:v>
                </c:pt>
                <c:pt idx="7">
                  <c:v>1.5245719511262704E-2</c:v>
                </c:pt>
                <c:pt idx="8">
                  <c:v>7.7944653422736777E-3</c:v>
                </c:pt>
                <c:pt idx="9">
                  <c:v>4.6911329496808714E-2</c:v>
                </c:pt>
                <c:pt idx="10">
                  <c:v>8.5264843089251901E-3</c:v>
                </c:pt>
                <c:pt idx="11">
                  <c:v>5.1146176775267171E-2</c:v>
                </c:pt>
                <c:pt idx="12">
                  <c:v>6.0347732473696319E-3</c:v>
                </c:pt>
                <c:pt idx="13">
                  <c:v>8.6332919311651518E-2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ED3-4993-A981-D5597197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99348144"/>
        <c:axId val="1"/>
      </c:barChart>
      <c:catAx>
        <c:axId val="89934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48144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Devengado</a:t>
            </a:r>
          </a:p>
        </c:rich>
      </c:tx>
      <c:layout>
        <c:manualLayout>
          <c:xMode val="edge"/>
          <c:yMode val="edge"/>
          <c:x val="0.41095068134426993"/>
          <c:y val="3.100887431247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877305482267742E-2"/>
          <c:y val="0.33334539885907444"/>
          <c:w val="0.89846631852834691"/>
          <c:h val="0.4728853332651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'ANALISIS POR PROG'!$K$5</c:f>
              <c:strCache>
                <c:ptCount val="1"/>
                <c:pt idx="0">
                  <c:v>Devengado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8080" mc:Ignorable="a14" a14:legacySpreadsheetColorIndex="29"/>
                </a:gs>
                <a:gs pos="100000">
                  <a:srgbClr xmlns:mc="http://schemas.openxmlformats.org/markup-compatibility/2006" xmlns:a14="http://schemas.microsoft.com/office/drawing/2010/main" val="FF6600" mc:Ignorable="a14" a14:legacySpreadsheetColorIndex="53"/>
                </a:gs>
              </a:gsLst>
              <a:lin ang="5400000" scaled="1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734C-4EFD-A297-529063E24994}"/>
              </c:ext>
            </c:extLst>
          </c:dPt>
          <c:dPt>
            <c:idx val="1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34C-4EFD-A297-529063E24994}"/>
              </c:ext>
            </c:extLst>
          </c:dPt>
          <c:dPt>
            <c:idx val="2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734C-4EFD-A297-529063E24994}"/>
              </c:ext>
            </c:extLst>
          </c:dPt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34C-4EFD-A297-529063E24994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734C-4EFD-A297-529063E24994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34C-4EFD-A297-529063E24994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734C-4EFD-A297-529063E24994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34C-4EFD-A297-529063E24994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734C-4EFD-A297-529063E24994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34C-4EFD-A297-529063E24994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734C-4EFD-A297-529063E24994}"/>
              </c:ext>
            </c:extLst>
          </c:dPt>
          <c:dPt>
            <c:idx val="11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34C-4EFD-A297-529063E24994}"/>
              </c:ext>
            </c:extLst>
          </c:dPt>
          <c:dPt>
            <c:idx val="12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734C-4EFD-A297-529063E24994}"/>
              </c:ext>
            </c:extLst>
          </c:dPt>
          <c:dPt>
            <c:idx val="1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34C-4EFD-A297-529063E24994}"/>
              </c:ext>
            </c:extLst>
          </c:dPt>
          <c:dLbls>
            <c:dLbl>
              <c:idx val="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34C-4EFD-A297-529063E24994}"/>
                </c:ext>
              </c:extLst>
            </c:dLbl>
            <c:dLbl>
              <c:idx val="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34C-4EFD-A297-529063E24994}"/>
                </c:ext>
              </c:extLst>
            </c:dLbl>
            <c:dLbl>
              <c:idx val="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34C-4EFD-A297-529063E24994}"/>
                </c:ext>
              </c:extLst>
            </c:dLbl>
            <c:dLbl>
              <c:idx val="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34C-4EFD-A297-529063E24994}"/>
                </c:ext>
              </c:extLst>
            </c:dLbl>
            <c:dLbl>
              <c:idx val="4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34C-4EFD-A297-529063E24994}"/>
                </c:ext>
              </c:extLst>
            </c:dLbl>
            <c:dLbl>
              <c:idx val="5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34C-4EFD-A297-529063E24994}"/>
                </c:ext>
              </c:extLst>
            </c:dLbl>
            <c:dLbl>
              <c:idx val="6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734C-4EFD-A297-529063E24994}"/>
                </c:ext>
              </c:extLst>
            </c:dLbl>
            <c:dLbl>
              <c:idx val="7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734C-4EFD-A297-529063E24994}"/>
                </c:ext>
              </c:extLst>
            </c:dLbl>
            <c:dLbl>
              <c:idx val="8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734C-4EFD-A297-529063E24994}"/>
                </c:ext>
              </c:extLst>
            </c:dLbl>
            <c:dLbl>
              <c:idx val="9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34C-4EFD-A297-529063E24994}"/>
                </c:ext>
              </c:extLst>
            </c:dLbl>
            <c:dLbl>
              <c:idx val="1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34C-4EFD-A297-529063E24994}"/>
                </c:ext>
              </c:extLst>
            </c:dLbl>
            <c:dLbl>
              <c:idx val="1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34C-4EFD-A297-529063E24994}"/>
                </c:ext>
              </c:extLst>
            </c:dLbl>
            <c:dLbl>
              <c:idx val="1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734C-4EFD-A297-529063E24994}"/>
                </c:ext>
              </c:extLst>
            </c:dLbl>
            <c:dLbl>
              <c:idx val="1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734C-4EFD-A297-529063E24994}"/>
                </c:ext>
              </c:extLst>
            </c:dLbl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'ANALISIS POR PROG'!$B$6:$B$19</c:f>
              <c:strCache>
                <c:ptCount val="14"/>
                <c:pt idx="0">
                  <c:v>PROG 786</c:v>
                </c:pt>
                <c:pt idx="1">
                  <c:v>PROG 787</c:v>
                </c:pt>
                <c:pt idx="2">
                  <c:v>PROG 788</c:v>
                </c:pt>
                <c:pt idx="3">
                  <c:v>PROG 789</c:v>
                </c:pt>
                <c:pt idx="4">
                  <c:v>PROG 78901</c:v>
                </c:pt>
                <c:pt idx="5">
                  <c:v>PROG 78902</c:v>
                </c:pt>
                <c:pt idx="6">
                  <c:v>PROG 78903</c:v>
                </c:pt>
                <c:pt idx="7">
                  <c:v>PROG 78904</c:v>
                </c:pt>
                <c:pt idx="8">
                  <c:v>PROG 78905</c:v>
                </c:pt>
                <c:pt idx="9">
                  <c:v>PROG 78906</c:v>
                </c:pt>
                <c:pt idx="10">
                  <c:v>PROG 790</c:v>
                </c:pt>
                <c:pt idx="11">
                  <c:v>PROG 791</c:v>
                </c:pt>
                <c:pt idx="12">
                  <c:v>PROG 793</c:v>
                </c:pt>
                <c:pt idx="13">
                  <c:v>PROG 794</c:v>
                </c:pt>
              </c:strCache>
            </c:strRef>
          </c:cat>
          <c:val>
            <c:numRef>
              <c:f>'ANALISIS POR PROG'!$L$6:$L$19</c:f>
              <c:numCache>
                <c:formatCode>0%</c:formatCode>
                <c:ptCount val="14"/>
                <c:pt idx="0">
                  <c:v>0.86580219370546785</c:v>
                </c:pt>
                <c:pt idx="1">
                  <c:v>0.92942109788149929</c:v>
                </c:pt>
                <c:pt idx="2">
                  <c:v>0.83383438540103616</c:v>
                </c:pt>
                <c:pt idx="3">
                  <c:v>0.92703555727861331</c:v>
                </c:pt>
                <c:pt idx="4">
                  <c:v>0.91864866722705674</c:v>
                </c:pt>
                <c:pt idx="5">
                  <c:v>0.89989949934264191</c:v>
                </c:pt>
                <c:pt idx="6">
                  <c:v>0.90613923393060436</c:v>
                </c:pt>
                <c:pt idx="7">
                  <c:v>0.89604929300947067</c:v>
                </c:pt>
                <c:pt idx="8">
                  <c:v>0.89242275866475074</c:v>
                </c:pt>
                <c:pt idx="9">
                  <c:v>0.86131552571821479</c:v>
                </c:pt>
                <c:pt idx="10">
                  <c:v>0.86565319792748896</c:v>
                </c:pt>
                <c:pt idx="11">
                  <c:v>0.95182045914737623</c:v>
                </c:pt>
                <c:pt idx="12">
                  <c:v>0.98495206109281808</c:v>
                </c:pt>
                <c:pt idx="13">
                  <c:v>0.94028106022732461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34C-4EFD-A297-529063E24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99343344"/>
        <c:axId val="1"/>
      </c:barChart>
      <c:catAx>
        <c:axId val="89934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43344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DISPONIBLE</a:t>
            </a:r>
          </a:p>
        </c:rich>
      </c:tx>
      <c:layout>
        <c:manualLayout>
          <c:xMode val="edge"/>
          <c:yMode val="edge"/>
          <c:x val="0.39876697334511102"/>
          <c:y val="1.2407333109480327E-2"/>
        </c:manualLayout>
      </c:layout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24896828663278"/>
          <c:y val="0.2208505293487498"/>
          <c:w val="0.63397718027914141"/>
          <c:h val="0.63029252196160057"/>
        </c:manualLayout>
      </c:layout>
      <c:pie3DChart>
        <c:varyColors val="1"/>
        <c:ser>
          <c:idx val="0"/>
          <c:order val="0"/>
          <c:tx>
            <c:strRef>
              <c:f>'ANALISIS POR PROG'!$M$5</c:f>
              <c:strCache>
                <c:ptCount val="1"/>
                <c:pt idx="0">
                  <c:v>Disponible Presupuestario 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dPt>
            <c:idx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0D94-4210-9A7B-81CEBA80CA19}"/>
              </c:ext>
            </c:extLst>
          </c:dPt>
          <c:dPt>
            <c:idx val="1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  <a:gs pos="5000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  <a:gs pos="10000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D94-4210-9A7B-81CEBA80CA19}"/>
              </c:ext>
            </c:extLst>
          </c:dPt>
          <c:dPt>
            <c:idx val="2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808080" mc:Ignorable="a14" a14:legacySpreadsheetColorIndex="23"/>
                  </a:gs>
                  <a:gs pos="100000">
                    <a:srgbClr xmlns:mc="http://schemas.openxmlformats.org/markup-compatibility/2006" xmlns:a14="http://schemas.microsoft.com/office/drawing/2010/main" val="339966" mc:Ignorable="a14" a14:legacySpreadsheetColorIndex="57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0D94-4210-9A7B-81CEBA80CA19}"/>
              </c:ext>
            </c:extLst>
          </c:dPt>
          <c:dPt>
            <c:idx val="3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25"/>
                  </a:gs>
                  <a:gs pos="100000">
                    <a:srgbClr xmlns:mc="http://schemas.openxmlformats.org/markup-compatibility/2006" xmlns:a14="http://schemas.microsoft.com/office/drawing/2010/main" val="993300" mc:Ignorable="a14" a14:legacySpreadsheetColorIndex="60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D94-4210-9A7B-81CEBA80CA19}"/>
              </c:ext>
            </c:extLst>
          </c:dPt>
          <c:dPt>
            <c:idx val="4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808080" mc:Ignorable="a14" a14:legacySpreadsheetColorIndex="23"/>
                  </a:gs>
                  <a:gs pos="100000">
                    <a:srgbClr xmlns:mc="http://schemas.openxmlformats.org/markup-compatibility/2006" xmlns:a14="http://schemas.microsoft.com/office/drawing/2010/main" val="808000" mc:Ignorable="a14" a14:legacySpreadsheetColorIndex="19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0D94-4210-9A7B-81CEBA80CA19}"/>
              </c:ext>
            </c:extLst>
          </c:dPt>
          <c:dPt>
            <c:idx val="5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808080" mc:Ignorable="a14" a14:legacySpreadsheetColorIndex="23"/>
                  </a:gs>
                  <a:gs pos="100000">
                    <a:srgbClr xmlns:mc="http://schemas.openxmlformats.org/markup-compatibility/2006" xmlns:a14="http://schemas.microsoft.com/office/drawing/2010/main" val="333333" mc:Ignorable="a14" a14:legacySpreadsheetColorIndex="6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D94-4210-9A7B-81CEBA80CA19}"/>
              </c:ext>
            </c:extLst>
          </c:dPt>
          <c:dPt>
            <c:idx val="6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0D94-4210-9A7B-81CEBA80CA19}"/>
              </c:ext>
            </c:extLst>
          </c:dPt>
          <c:dPt>
            <c:idx val="7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CC99" mc:Ignorable="a14" a14:legacySpreadsheetColorIndex="47"/>
                  </a:gs>
                  <a:gs pos="10000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D94-4210-9A7B-81CEBA80CA19}"/>
              </c:ext>
            </c:extLst>
          </c:dPt>
          <c:dPt>
            <c:idx val="8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69696" mc:Ignorable="a14" a14:legacySpreadsheetColorIndex="55"/>
                  </a:gs>
                  <a:gs pos="100000">
                    <a:srgbClr xmlns:mc="http://schemas.openxmlformats.org/markup-compatibility/2006" xmlns:a14="http://schemas.microsoft.com/office/drawing/2010/main" val="808080" mc:Ignorable="a14" a14:legacySpreadsheetColorIndex="2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0D94-4210-9A7B-81CEBA80CA19}"/>
              </c:ext>
            </c:extLst>
          </c:dPt>
          <c:dPt>
            <c:idx val="9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D94-4210-9A7B-81CEBA80CA19}"/>
              </c:ext>
            </c:extLst>
          </c:dPt>
          <c:dPt>
            <c:idx val="1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9900" mc:Ignorable="a14" a14:legacySpreadsheetColorIndex="52"/>
                  </a:gs>
                  <a:gs pos="50000">
                    <a:srgbClr xmlns:mc="http://schemas.openxmlformats.org/markup-compatibility/2006" xmlns:a14="http://schemas.microsoft.com/office/drawing/2010/main" val="FF9900" mc:Ignorable="a14" a14:legacySpreadsheetColorIndex="52"/>
                  </a:gs>
                  <a:gs pos="100000">
                    <a:srgbClr xmlns:mc="http://schemas.openxmlformats.org/markup-compatibility/2006" xmlns:a14="http://schemas.microsoft.com/office/drawing/2010/main" val="FF9900" mc:Ignorable="a14" a14:legacySpreadsheetColorIndex="52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0D94-4210-9A7B-81CEBA80CA19}"/>
              </c:ext>
            </c:extLst>
          </c:dPt>
          <c:dPt>
            <c:idx val="11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339966" mc:Ignorable="a14" a14:legacySpreadsheetColorIndex="57"/>
                  </a:gs>
                  <a:gs pos="100000">
                    <a:srgbClr xmlns:mc="http://schemas.openxmlformats.org/markup-compatibility/2006" xmlns:a14="http://schemas.microsoft.com/office/drawing/2010/main" val="808000" mc:Ignorable="a14" a14:legacySpreadsheetColorIndex="19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D94-4210-9A7B-81CEBA80CA19}"/>
              </c:ext>
            </c:extLst>
          </c:dPt>
          <c:dPt>
            <c:idx val="12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CC99" mc:Ignorable="a14" a14:legacySpreadsheetColorIndex="47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0D94-4210-9A7B-81CEBA80CA19}"/>
              </c:ext>
            </c:extLst>
          </c:dPt>
          <c:dPt>
            <c:idx val="13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CC99" mc:Ignorable="a14" a14:legacySpreadsheetColorIndex="47"/>
                  </a:gs>
                  <a:gs pos="10000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D94-4210-9A7B-81CEBA80CA19}"/>
              </c:ext>
            </c:extLst>
          </c:dPt>
          <c:dLbls>
            <c:dLbl>
              <c:idx val="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D94-4210-9A7B-81CEBA80CA19}"/>
                </c:ext>
              </c:extLst>
            </c:dLbl>
            <c:dLbl>
              <c:idx val="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D94-4210-9A7B-81CEBA80CA19}"/>
                </c:ext>
              </c:extLst>
            </c:dLbl>
            <c:dLbl>
              <c:idx val="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D94-4210-9A7B-81CEBA80CA19}"/>
                </c:ext>
              </c:extLst>
            </c:dLbl>
            <c:dLbl>
              <c:idx val="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D94-4210-9A7B-81CEBA80CA19}"/>
                </c:ext>
              </c:extLst>
            </c:dLbl>
            <c:dLbl>
              <c:idx val="4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D94-4210-9A7B-81CEBA80CA19}"/>
                </c:ext>
              </c:extLst>
            </c:dLbl>
            <c:dLbl>
              <c:idx val="5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D94-4210-9A7B-81CEBA80CA19}"/>
                </c:ext>
              </c:extLst>
            </c:dLbl>
            <c:dLbl>
              <c:idx val="6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0D94-4210-9A7B-81CEBA80CA19}"/>
                </c:ext>
              </c:extLst>
            </c:dLbl>
            <c:dLbl>
              <c:idx val="7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0D94-4210-9A7B-81CEBA80CA19}"/>
                </c:ext>
              </c:extLst>
            </c:dLbl>
            <c:dLbl>
              <c:idx val="8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0D94-4210-9A7B-81CEBA80CA19}"/>
                </c:ext>
              </c:extLst>
            </c:dLbl>
            <c:dLbl>
              <c:idx val="9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0D94-4210-9A7B-81CEBA80CA19}"/>
                </c:ext>
              </c:extLst>
            </c:dLbl>
            <c:dLbl>
              <c:idx val="1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0D94-4210-9A7B-81CEBA80CA19}"/>
                </c:ext>
              </c:extLst>
            </c:dLbl>
            <c:dLbl>
              <c:idx val="1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D94-4210-9A7B-81CEBA80CA19}"/>
                </c:ext>
              </c:extLst>
            </c:dLbl>
            <c:dLbl>
              <c:idx val="1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0D94-4210-9A7B-81CEBA80CA19}"/>
                </c:ext>
              </c:extLst>
            </c:dLbl>
            <c:dLbl>
              <c:idx val="1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0D94-4210-9A7B-81CEBA80CA19}"/>
                </c:ext>
              </c:extLst>
            </c:dLbl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'ANALISIS POR PROG'!$B$6:$B$19</c:f>
              <c:strCache>
                <c:ptCount val="14"/>
                <c:pt idx="0">
                  <c:v>PROG 786</c:v>
                </c:pt>
                <c:pt idx="1">
                  <c:v>PROG 787</c:v>
                </c:pt>
                <c:pt idx="2">
                  <c:v>PROG 788</c:v>
                </c:pt>
                <c:pt idx="3">
                  <c:v>PROG 789</c:v>
                </c:pt>
                <c:pt idx="4">
                  <c:v>PROG 78901</c:v>
                </c:pt>
                <c:pt idx="5">
                  <c:v>PROG 78902</c:v>
                </c:pt>
                <c:pt idx="6">
                  <c:v>PROG 78903</c:v>
                </c:pt>
                <c:pt idx="7">
                  <c:v>PROG 78904</c:v>
                </c:pt>
                <c:pt idx="8">
                  <c:v>PROG 78905</c:v>
                </c:pt>
                <c:pt idx="9">
                  <c:v>PROG 78906</c:v>
                </c:pt>
                <c:pt idx="10">
                  <c:v>PROG 790</c:v>
                </c:pt>
                <c:pt idx="11">
                  <c:v>PROG 791</c:v>
                </c:pt>
                <c:pt idx="12">
                  <c:v>PROG 793</c:v>
                </c:pt>
                <c:pt idx="13">
                  <c:v>PROG 794</c:v>
                </c:pt>
              </c:strCache>
            </c:strRef>
          </c:cat>
          <c:val>
            <c:numRef>
              <c:f>'ANALISIS POR PROG'!$N$6:$N$19</c:f>
              <c:numCache>
                <c:formatCode>0%</c:formatCode>
                <c:ptCount val="14"/>
                <c:pt idx="0">
                  <c:v>0.13303141925066508</c:v>
                </c:pt>
                <c:pt idx="1">
                  <c:v>6.2866541725733652E-2</c:v>
                </c:pt>
                <c:pt idx="2">
                  <c:v>0.15362590929096381</c:v>
                </c:pt>
                <c:pt idx="3">
                  <c:v>5.8385575954829891E-2</c:v>
                </c:pt>
                <c:pt idx="4">
                  <c:v>5.3795611846234298E-2</c:v>
                </c:pt>
                <c:pt idx="5">
                  <c:v>7.0767209899038022E-2</c:v>
                </c:pt>
                <c:pt idx="6">
                  <c:v>8.0729059885630158E-2</c:v>
                </c:pt>
                <c:pt idx="7">
                  <c:v>6.9505082255285816E-2</c:v>
                </c:pt>
                <c:pt idx="8">
                  <c:v>9.7586183690843598E-2</c:v>
                </c:pt>
                <c:pt idx="9">
                  <c:v>0.12138223026103902</c:v>
                </c:pt>
                <c:pt idx="10">
                  <c:v>0.12988811473305037</c:v>
                </c:pt>
                <c:pt idx="11">
                  <c:v>4.8179540852623687E-2</c:v>
                </c:pt>
                <c:pt idx="12">
                  <c:v>1.5047938907181884E-2</c:v>
                </c:pt>
                <c:pt idx="13">
                  <c:v>5.9649721619915476E-2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D94-4210-9A7B-81CEBA80C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solidFill>
          <a:srgbClr val="D9D9D9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2.4922935834069439E-2"/>
          <c:y val="0.86851331766362283"/>
          <c:w val="0.81155309809688614"/>
          <c:h val="0.109184531363426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C0C0C0"/>
              </a:solidFill>
              <a:latin typeface="Calibri"/>
              <a:ea typeface="Calibri"/>
              <a:cs typeface="Calibri"/>
            </a:defRPr>
          </a:pPr>
          <a:endParaRPr lang="es-CR"/>
        </a:p>
      </c:txPr>
    </c:legend>
    <c:plotVisOnly val="1"/>
    <c:dispBlanksAs val="zero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CONSOLIDADO
Devengado- Disponible Presupuestario</a:t>
            </a:r>
          </a:p>
        </c:rich>
      </c:tx>
      <c:layout>
        <c:manualLayout>
          <c:xMode val="edge"/>
          <c:yMode val="edge"/>
          <c:x val="0.21205746391530919"/>
          <c:y val="2.1531833034255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685821305103064E-2"/>
          <c:y val="0.33254719908461672"/>
          <c:w val="0.90732783740812617"/>
          <c:h val="0.52394127050022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'COMPORT. RESUMEN'!$K$2</c:f>
              <c:strCache>
                <c:ptCount val="1"/>
                <c:pt idx="0">
                  <c:v> Devengado 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8080" mc:Ignorable="a14" a14:legacySpreadsheetColorIndex="29"/>
                </a:gs>
                <a:gs pos="100000">
                  <a:srgbClr xmlns:mc="http://schemas.openxmlformats.org/markup-compatibility/2006" xmlns:a14="http://schemas.microsoft.com/office/drawing/2010/main" val="FF6600" mc:Ignorable="a14" a14:legacySpreadsheetColorIndex="53"/>
                </a:gs>
              </a:gsLst>
              <a:lin ang="5400000" scaled="1"/>
            </a:gradFill>
            <a:ln w="25400">
              <a:noFill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'COMPORT. RESUMEN'!$L$4:$L$9</c:f>
              <c:numCache>
                <c:formatCode>0.00%</c:formatCode>
                <c:ptCount val="6"/>
                <c:pt idx="0">
                  <c:v>0.94283806974871553</c:v>
                </c:pt>
                <c:pt idx="1">
                  <c:v>0.87756799226528626</c:v>
                </c:pt>
                <c:pt idx="2">
                  <c:v>0.90315209379149952</c:v>
                </c:pt>
                <c:pt idx="3">
                  <c:v>0.66408022634541974</c:v>
                </c:pt>
                <c:pt idx="4">
                  <c:v>0.92240053261454458</c:v>
                </c:pt>
                <c:pt idx="5">
                  <c:v>0.21635145455796354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0F-493B-8B94-2A566C08A429}"/>
            </c:ext>
          </c:extLst>
        </c:ser>
        <c:ser>
          <c:idx val="1"/>
          <c:order val="1"/>
          <c:tx>
            <c:strRef>
              <c:f>'COMPORT. RESUMEN'!$O$2</c:f>
              <c:strCache>
                <c:ptCount val="1"/>
                <c:pt idx="0">
                  <c:v> Disp. Pre 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808080" mc:Ignorable="a14" a14:legacySpreadsheetColorIndex="23"/>
                </a:gs>
                <a:gs pos="100000">
                  <a:srgbClr xmlns:mc="http://schemas.openxmlformats.org/markup-compatibility/2006" xmlns:a14="http://schemas.microsoft.com/office/drawing/2010/main" val="339966" mc:Ignorable="a14" a14:legacySpreadsheetColorIndex="57"/>
                </a:gs>
              </a:gsLst>
              <a:lin ang="5400000" scaled="1"/>
            </a:gradFill>
            <a:ln w="25400">
              <a:noFill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'COMPORT. RESUMEN'!$P$4:$P$9</c:f>
              <c:numCache>
                <c:formatCode>0.00%</c:formatCode>
                <c:ptCount val="6"/>
                <c:pt idx="0">
                  <c:v>5.6547260123784068E-2</c:v>
                </c:pt>
                <c:pt idx="1">
                  <c:v>7.9967372112502627E-2</c:v>
                </c:pt>
                <c:pt idx="2">
                  <c:v>3.4162753191752583E-2</c:v>
                </c:pt>
                <c:pt idx="3">
                  <c:v>0.28553216334775855</c:v>
                </c:pt>
                <c:pt idx="4">
                  <c:v>6.4320751582760349E-2</c:v>
                </c:pt>
                <c:pt idx="5">
                  <c:v>0.78364854544203644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0F-493B-8B94-2A566C08A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99344544"/>
        <c:axId val="1"/>
      </c:barChart>
      <c:catAx>
        <c:axId val="8993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44544"/>
        <c:crossesAt val="1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166897706762027"/>
          <c:y val="0.90672941333143697"/>
          <c:w val="0.18888178479888196"/>
          <c:h val="5.26333696392918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C0C0C0"/>
              </a:solidFill>
              <a:latin typeface="Calibri"/>
              <a:ea typeface="Calibri"/>
              <a:cs typeface="Calibri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Presupuesto Utilizado, Ejecutado Y Disponible 2020
Consolidado</a:t>
            </a:r>
          </a:p>
        </c:rich>
      </c:tx>
      <c:layout>
        <c:manualLayout>
          <c:xMode val="edge"/>
          <c:yMode val="edge"/>
          <c:x val="0.13822956078837795"/>
          <c:y val="1.25903307120798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09880503816119"/>
          <c:y val="0.29497346239729905"/>
          <c:w val="0.86350812048048453"/>
          <c:h val="0.460446380327491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MENSUAL!$C$2</c:f>
              <c:strCache>
                <c:ptCount val="1"/>
                <c:pt idx="0">
                  <c:v>Presupuesto Ejecutado (devengado)</c:v>
                </c:pt>
              </c:strCache>
            </c:strRef>
          </c:tx>
          <c:spPr>
            <a:solidFill>
              <a:srgbClr val="FFD966"/>
            </a:solidFill>
            <a:ln w="25400">
              <a:noFill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MENSUAL!$A$3:$A$14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MENSUAL!$C$3:$C$14</c:f>
              <c:numCache>
                <c:formatCode>0.00%</c:formatCode>
                <c:ptCount val="12"/>
                <c:pt idx="0">
                  <c:v>8.7183207756591094E-2</c:v>
                </c:pt>
                <c:pt idx="1">
                  <c:v>0.14344672646166201</c:v>
                </c:pt>
                <c:pt idx="2">
                  <c:v>0.21245869933616401</c:v>
                </c:pt>
                <c:pt idx="3">
                  <c:v>0.279840964295202</c:v>
                </c:pt>
                <c:pt idx="4">
                  <c:v>0.34770181884565804</c:v>
                </c:pt>
                <c:pt idx="5">
                  <c:v>0.42092918731308204</c:v>
                </c:pt>
                <c:pt idx="6">
                  <c:v>0.48915493295976503</c:v>
                </c:pt>
                <c:pt idx="7">
                  <c:v>0.55911386014535802</c:v>
                </c:pt>
                <c:pt idx="8">
                  <c:v>0.63795150444902005</c:v>
                </c:pt>
                <c:pt idx="9">
                  <c:v>0.70936589185593701</c:v>
                </c:pt>
                <c:pt idx="10">
                  <c:v>0.78039999999999998</c:v>
                </c:pt>
                <c:pt idx="11">
                  <c:v>0.92070000000000007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9-45B4-9727-F452125A5CBE}"/>
            </c:ext>
          </c:extLst>
        </c:ser>
        <c:ser>
          <c:idx val="1"/>
          <c:order val="1"/>
          <c:tx>
            <c:strRef>
              <c:f>MENSUAL!$B$2</c:f>
              <c:strCache>
                <c:ptCount val="1"/>
                <c:pt idx="0">
                  <c:v>Presupuesto Utilizado (solicitado + comprometido + rec.mercancía)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8080" mc:Ignorable="a14" a14:legacySpreadsheetColorIndex="29"/>
                </a:gs>
                <a:gs pos="100000">
                  <a:srgbClr xmlns:mc="http://schemas.openxmlformats.org/markup-compatibility/2006" xmlns:a14="http://schemas.microsoft.com/office/drawing/2010/main" val="FF6600" mc:Ignorable="a14" a14:legacySpreadsheetColorIndex="53"/>
                </a:gs>
              </a:gsLst>
              <a:lin ang="5400000" scaled="1"/>
            </a:gradFill>
            <a:ln w="25400">
              <a:noFill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MENSUAL!$A$3:$A$14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MENSUAL!$B$3:$B$14</c:f>
              <c:numCache>
                <c:formatCode>0.00%</c:formatCode>
                <c:ptCount val="12"/>
                <c:pt idx="0">
                  <c:v>0.17150916174686201</c:v>
                </c:pt>
                <c:pt idx="1">
                  <c:v>0.17233755125123101</c:v>
                </c:pt>
                <c:pt idx="2">
                  <c:v>0.15953103024451901</c:v>
                </c:pt>
                <c:pt idx="3">
                  <c:v>0.15263069939849502</c:v>
                </c:pt>
                <c:pt idx="4">
                  <c:v>0.15821129282417301</c:v>
                </c:pt>
                <c:pt idx="5">
                  <c:v>0.12826656994746702</c:v>
                </c:pt>
                <c:pt idx="6">
                  <c:v>0.13251320712487999</c:v>
                </c:pt>
                <c:pt idx="7">
                  <c:v>0.126415869526597</c:v>
                </c:pt>
                <c:pt idx="8">
                  <c:v>8.9174134531583404E-2</c:v>
                </c:pt>
                <c:pt idx="9">
                  <c:v>7.0426496444581002E-2</c:v>
                </c:pt>
                <c:pt idx="10">
                  <c:v>0.1018</c:v>
                </c:pt>
                <c:pt idx="11">
                  <c:v>1.4999999999999999E-2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9-45B4-9727-F452125A5CBE}"/>
            </c:ext>
          </c:extLst>
        </c:ser>
        <c:ser>
          <c:idx val="2"/>
          <c:order val="2"/>
          <c:tx>
            <c:strRef>
              <c:f>MENSUAL!$D$2</c:f>
              <c:strCache>
                <c:ptCount val="1"/>
                <c:pt idx="0">
                  <c:v>Disponible Presupuestario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808080" mc:Ignorable="a14" a14:legacySpreadsheetColorIndex="23"/>
                </a:gs>
                <a:gs pos="100000">
                  <a:srgbClr xmlns:mc="http://schemas.openxmlformats.org/markup-compatibility/2006" xmlns:a14="http://schemas.microsoft.com/office/drawing/2010/main" val="339966" mc:Ignorable="a14" a14:legacySpreadsheetColorIndex="57"/>
                </a:gs>
              </a:gsLst>
              <a:lin ang="5400000" scaled="1"/>
            </a:gradFill>
            <a:ln w="25400">
              <a:noFill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MENSUAL!$A$3:$A$14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MENSUAL!$D$3:$D$14</c:f>
              <c:numCache>
                <c:formatCode>0.00%</c:formatCode>
                <c:ptCount val="12"/>
                <c:pt idx="0">
                  <c:v>0.74130763049654702</c:v>
                </c:pt>
                <c:pt idx="1">
                  <c:v>0.68421572228710703</c:v>
                </c:pt>
                <c:pt idx="2">
                  <c:v>0.62801027041931701</c:v>
                </c:pt>
                <c:pt idx="3">
                  <c:v>0.56752833630630306</c:v>
                </c:pt>
                <c:pt idx="4">
                  <c:v>0.49408688833016906</c:v>
                </c:pt>
                <c:pt idx="5">
                  <c:v>0.45080424273945102</c:v>
                </c:pt>
                <c:pt idx="6">
                  <c:v>0.37833185991535401</c:v>
                </c:pt>
                <c:pt idx="7">
                  <c:v>0.31447027032804503</c:v>
                </c:pt>
                <c:pt idx="8">
                  <c:v>0.27287436101939599</c:v>
                </c:pt>
                <c:pt idx="9">
                  <c:v>0.22020761169948203</c:v>
                </c:pt>
                <c:pt idx="10">
                  <c:v>0.1178</c:v>
                </c:pt>
                <c:pt idx="11">
                  <c:v>6.430000000000001E-2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59-45B4-9727-F452125A5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13716144"/>
        <c:axId val="1"/>
      </c:barChart>
      <c:catAx>
        <c:axId val="101371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solidFill>
              <a:srgbClr val="FFFFFF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013716144"/>
        <c:crossesAt val="1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382762760104055"/>
          <c:y val="0.86513558178720018"/>
          <c:w val="0.58192938554119611"/>
          <c:h val="0.1169102137550270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C0C0C0"/>
              </a:solidFill>
              <a:latin typeface="Calibri"/>
              <a:ea typeface="Calibri"/>
              <a:cs typeface="Calibri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EJECUCIÓN POR PROGRAMA</a:t>
            </a:r>
          </a:p>
        </c:rich>
      </c:tx>
      <c:layout>
        <c:manualLayout>
          <c:xMode val="edge"/>
          <c:yMode val="edge"/>
          <c:x val="0.21499168993044698"/>
          <c:y val="2.33652434587823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3840662645752537E-2"/>
          <c:y val="0.21262371547491976"/>
          <c:w val="0.94979497076203412"/>
          <c:h val="0.644880719462394"/>
        </c:manualLayout>
      </c:layout>
      <c:lineChart>
        <c:grouping val="standard"/>
        <c:varyColors val="0"/>
        <c:ser>
          <c:idx val="0"/>
          <c:order val="0"/>
          <c:tx>
            <c:strRef>
              <c:f>'Ejecucion por Programas'!$AZ$6</c:f>
              <c:strCache>
                <c:ptCount val="1"/>
                <c:pt idx="0">
                  <c:v>PROG 786</c:v>
                </c:pt>
              </c:strCache>
            </c:strRef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none"/>
          </c:marker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Programas'!$BA$6:$BL$6</c:f>
              <c:numCache>
                <c:formatCode>0.0%</c:formatCode>
                <c:ptCount val="12"/>
                <c:pt idx="0">
                  <c:v>7.0000000000000007E-2</c:v>
                </c:pt>
                <c:pt idx="1">
                  <c:v>0</c:v>
                </c:pt>
                <c:pt idx="2">
                  <c:v>0.21</c:v>
                </c:pt>
                <c:pt idx="3">
                  <c:v>0.28000000000000003</c:v>
                </c:pt>
                <c:pt idx="4">
                  <c:v>0.34</c:v>
                </c:pt>
                <c:pt idx="5">
                  <c:v>0.4</c:v>
                </c:pt>
                <c:pt idx="6">
                  <c:v>0.47</c:v>
                </c:pt>
                <c:pt idx="7">
                  <c:v>0.53</c:v>
                </c:pt>
                <c:pt idx="8">
                  <c:v>0.60000000000000009</c:v>
                </c:pt>
                <c:pt idx="9">
                  <c:v>0.66</c:v>
                </c:pt>
                <c:pt idx="10">
                  <c:v>0.74</c:v>
                </c:pt>
                <c:pt idx="11">
                  <c:v>0.86580219370546785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1-417C-A69A-DBCF10C53B18}"/>
            </c:ext>
          </c:extLst>
        </c:ser>
        <c:ser>
          <c:idx val="1"/>
          <c:order val="1"/>
          <c:tx>
            <c:strRef>
              <c:f>'Ejecucion por Programas'!$AZ$7</c:f>
              <c:strCache>
                <c:ptCount val="1"/>
                <c:pt idx="0">
                  <c:v>PROG 787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A21-417C-A69A-DBCF10C53B18}"/>
                </c:ext>
              </c:extLst>
            </c:dLbl>
            <c:dLbl>
              <c:idx val="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A21-417C-A69A-DBCF10C53B18}"/>
                </c:ext>
              </c:extLst>
            </c:dLbl>
            <c:dLbl>
              <c:idx val="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A21-417C-A69A-DBCF10C53B18}"/>
                </c:ext>
              </c:extLst>
            </c:dLbl>
            <c:dLbl>
              <c:idx val="4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FA21-417C-A69A-DBCF10C53B18}"/>
                </c:ext>
              </c:extLst>
            </c:dLbl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Programas'!$BA$7:$BL$7</c:f>
              <c:numCache>
                <c:formatCode>0.0%</c:formatCode>
                <c:ptCount val="12"/>
                <c:pt idx="0">
                  <c:v>7.0000000000000007E-2</c:v>
                </c:pt>
                <c:pt idx="1">
                  <c:v>0</c:v>
                </c:pt>
                <c:pt idx="2">
                  <c:v>0.21</c:v>
                </c:pt>
                <c:pt idx="3">
                  <c:v>0.28999999999999998</c:v>
                </c:pt>
                <c:pt idx="4">
                  <c:v>0.36</c:v>
                </c:pt>
                <c:pt idx="5">
                  <c:v>0.42</c:v>
                </c:pt>
                <c:pt idx="6">
                  <c:v>0.5</c:v>
                </c:pt>
                <c:pt idx="7">
                  <c:v>0.56000000000000005</c:v>
                </c:pt>
                <c:pt idx="8">
                  <c:v>0.64</c:v>
                </c:pt>
                <c:pt idx="9">
                  <c:v>0.71</c:v>
                </c:pt>
                <c:pt idx="10">
                  <c:v>0.8</c:v>
                </c:pt>
                <c:pt idx="11">
                  <c:v>0.92942109788149929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21-417C-A69A-DBCF10C53B18}"/>
            </c:ext>
          </c:extLst>
        </c:ser>
        <c:ser>
          <c:idx val="2"/>
          <c:order val="2"/>
          <c:tx>
            <c:strRef>
              <c:f>'Ejecucion por Programas'!$AZ$8</c:f>
              <c:strCache>
                <c:ptCount val="1"/>
                <c:pt idx="0">
                  <c:v>PROG 788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FA21-417C-A69A-DBCF10C53B18}"/>
                </c:ext>
              </c:extLst>
            </c:dLbl>
            <c:dLbl>
              <c:idx val="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FA21-417C-A69A-DBCF10C53B18}"/>
                </c:ext>
              </c:extLst>
            </c:dLbl>
            <c:dLbl>
              <c:idx val="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FA21-417C-A69A-DBCF10C53B18}"/>
                </c:ext>
              </c:extLst>
            </c:dLbl>
            <c:dLbl>
              <c:idx val="4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FA21-417C-A69A-DBCF10C53B18}"/>
                </c:ext>
              </c:extLst>
            </c:dLbl>
            <c:dLbl>
              <c:idx val="6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FA21-417C-A69A-DBCF10C53B18}"/>
                </c:ext>
              </c:extLst>
            </c:dLbl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Programas'!$BA$8:$BL$8</c:f>
              <c:numCache>
                <c:formatCode>0.0%</c:formatCode>
                <c:ptCount val="12"/>
                <c:pt idx="0">
                  <c:v>0.04</c:v>
                </c:pt>
                <c:pt idx="1">
                  <c:v>0</c:v>
                </c:pt>
                <c:pt idx="2">
                  <c:v>0.13</c:v>
                </c:pt>
                <c:pt idx="3">
                  <c:v>0.18</c:v>
                </c:pt>
                <c:pt idx="4">
                  <c:v>0.25</c:v>
                </c:pt>
                <c:pt idx="5">
                  <c:v>0.28999999999999998</c:v>
                </c:pt>
                <c:pt idx="6">
                  <c:v>0.39</c:v>
                </c:pt>
                <c:pt idx="7">
                  <c:v>0.44</c:v>
                </c:pt>
                <c:pt idx="8">
                  <c:v>0.53</c:v>
                </c:pt>
                <c:pt idx="9">
                  <c:v>0.63</c:v>
                </c:pt>
                <c:pt idx="10">
                  <c:v>0.69</c:v>
                </c:pt>
                <c:pt idx="11">
                  <c:v>0.83383438540103616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A21-417C-A69A-DBCF10C53B18}"/>
            </c:ext>
          </c:extLst>
        </c:ser>
        <c:ser>
          <c:idx val="3"/>
          <c:order val="3"/>
          <c:tx>
            <c:strRef>
              <c:f>'Ejecucion por Programas'!$AZ$9</c:f>
              <c:strCache>
                <c:ptCount val="1"/>
                <c:pt idx="0">
                  <c:v>PROG 789</c:v>
                </c:pt>
              </c:strCache>
            </c:strRef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Programas'!$BA$9:$BL$9</c:f>
              <c:numCache>
                <c:formatCode>0.0%</c:formatCode>
                <c:ptCount val="12"/>
                <c:pt idx="0">
                  <c:v>0.1</c:v>
                </c:pt>
                <c:pt idx="1">
                  <c:v>0</c:v>
                </c:pt>
                <c:pt idx="2">
                  <c:v>0.23</c:v>
                </c:pt>
                <c:pt idx="3">
                  <c:v>0.28999999999999998</c:v>
                </c:pt>
                <c:pt idx="4">
                  <c:v>0.35</c:v>
                </c:pt>
                <c:pt idx="5">
                  <c:v>0.43</c:v>
                </c:pt>
                <c:pt idx="6">
                  <c:v>0.5</c:v>
                </c:pt>
                <c:pt idx="7">
                  <c:v>0.57000000000000006</c:v>
                </c:pt>
                <c:pt idx="8">
                  <c:v>0.65</c:v>
                </c:pt>
                <c:pt idx="9">
                  <c:v>0.73</c:v>
                </c:pt>
                <c:pt idx="10">
                  <c:v>0.8</c:v>
                </c:pt>
                <c:pt idx="11">
                  <c:v>0.92703555727861331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21-417C-A69A-DBCF10C53B18}"/>
            </c:ext>
          </c:extLst>
        </c:ser>
        <c:ser>
          <c:idx val="4"/>
          <c:order val="4"/>
          <c:tx>
            <c:strRef>
              <c:f>'Ejecucion por Programas'!$AZ$10</c:f>
              <c:strCache>
                <c:ptCount val="1"/>
                <c:pt idx="0">
                  <c:v>PROG 78901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none"/>
          </c:marker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Programas'!$BA$10:$BL$10</c:f>
              <c:numCache>
                <c:formatCode>0.0%</c:formatCode>
                <c:ptCount val="12"/>
                <c:pt idx="0">
                  <c:v>0.06</c:v>
                </c:pt>
                <c:pt idx="1">
                  <c:v>0</c:v>
                </c:pt>
                <c:pt idx="2">
                  <c:v>0.19</c:v>
                </c:pt>
                <c:pt idx="3">
                  <c:v>0.23</c:v>
                </c:pt>
                <c:pt idx="4">
                  <c:v>0.33</c:v>
                </c:pt>
                <c:pt idx="5">
                  <c:v>0.41</c:v>
                </c:pt>
                <c:pt idx="6">
                  <c:v>0.47</c:v>
                </c:pt>
                <c:pt idx="7">
                  <c:v>0.52</c:v>
                </c:pt>
                <c:pt idx="8">
                  <c:v>0.61</c:v>
                </c:pt>
                <c:pt idx="9">
                  <c:v>0.68</c:v>
                </c:pt>
                <c:pt idx="10">
                  <c:v>0.73</c:v>
                </c:pt>
                <c:pt idx="11">
                  <c:v>0.91864866722705674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21-417C-A69A-DBCF10C53B18}"/>
            </c:ext>
          </c:extLst>
        </c:ser>
        <c:ser>
          <c:idx val="5"/>
          <c:order val="5"/>
          <c:tx>
            <c:strRef>
              <c:f>'Ejecucion por Programas'!$AZ$11</c:f>
              <c:strCache>
                <c:ptCount val="1"/>
                <c:pt idx="0">
                  <c:v>PROG 78902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Programas'!$BA$11:$BL$11</c:f>
              <c:numCache>
                <c:formatCode>0.0%</c:formatCode>
                <c:ptCount val="12"/>
                <c:pt idx="0">
                  <c:v>0.06</c:v>
                </c:pt>
                <c:pt idx="1">
                  <c:v>0</c:v>
                </c:pt>
                <c:pt idx="2">
                  <c:v>0.18</c:v>
                </c:pt>
                <c:pt idx="3">
                  <c:v>0.24</c:v>
                </c:pt>
                <c:pt idx="4">
                  <c:v>0.31</c:v>
                </c:pt>
                <c:pt idx="5">
                  <c:v>0.38</c:v>
                </c:pt>
                <c:pt idx="6">
                  <c:v>0.46</c:v>
                </c:pt>
                <c:pt idx="7">
                  <c:v>0.52</c:v>
                </c:pt>
                <c:pt idx="8">
                  <c:v>0.59</c:v>
                </c:pt>
                <c:pt idx="9">
                  <c:v>0.65</c:v>
                </c:pt>
                <c:pt idx="10">
                  <c:v>0.75</c:v>
                </c:pt>
                <c:pt idx="11">
                  <c:v>0.89989949934264191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A21-417C-A69A-DBCF10C53B18}"/>
            </c:ext>
          </c:extLst>
        </c:ser>
        <c:ser>
          <c:idx val="6"/>
          <c:order val="6"/>
          <c:tx>
            <c:strRef>
              <c:f>'Ejecucion por Programas'!$AZ$12</c:f>
              <c:strCache>
                <c:ptCount val="1"/>
                <c:pt idx="0">
                  <c:v>PROG 78903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Programas'!$BA$12:$BL$12</c:f>
              <c:numCache>
                <c:formatCode>0.0%</c:formatCode>
                <c:ptCount val="12"/>
                <c:pt idx="0">
                  <c:v>0.09</c:v>
                </c:pt>
                <c:pt idx="1">
                  <c:v>0</c:v>
                </c:pt>
                <c:pt idx="2">
                  <c:v>0.23</c:v>
                </c:pt>
                <c:pt idx="3">
                  <c:v>0.28999999999999998</c:v>
                </c:pt>
                <c:pt idx="4">
                  <c:v>0.37</c:v>
                </c:pt>
                <c:pt idx="5">
                  <c:v>0.44</c:v>
                </c:pt>
                <c:pt idx="6">
                  <c:v>0.5</c:v>
                </c:pt>
                <c:pt idx="7">
                  <c:v>0.56000000000000005</c:v>
                </c:pt>
                <c:pt idx="8">
                  <c:v>0.65</c:v>
                </c:pt>
                <c:pt idx="9">
                  <c:v>0.7</c:v>
                </c:pt>
                <c:pt idx="10">
                  <c:v>0.76</c:v>
                </c:pt>
                <c:pt idx="11">
                  <c:v>0.90613923393060436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21-417C-A69A-DBCF10C53B18}"/>
            </c:ext>
          </c:extLst>
        </c:ser>
        <c:ser>
          <c:idx val="7"/>
          <c:order val="7"/>
          <c:tx>
            <c:strRef>
              <c:f>'Ejecucion por Programas'!$AZ$13</c:f>
              <c:strCache>
                <c:ptCount val="1"/>
                <c:pt idx="0">
                  <c:v>PROG 78904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Programas'!$BA$13:$BL$13</c:f>
              <c:numCache>
                <c:formatCode>0.0%</c:formatCode>
                <c:ptCount val="12"/>
                <c:pt idx="0">
                  <c:v>0.09</c:v>
                </c:pt>
                <c:pt idx="1">
                  <c:v>0</c:v>
                </c:pt>
                <c:pt idx="2">
                  <c:v>0.22</c:v>
                </c:pt>
                <c:pt idx="3">
                  <c:v>0.28999999999999998</c:v>
                </c:pt>
                <c:pt idx="4">
                  <c:v>0.37</c:v>
                </c:pt>
                <c:pt idx="5">
                  <c:v>0.43</c:v>
                </c:pt>
                <c:pt idx="6">
                  <c:v>0.5</c:v>
                </c:pt>
                <c:pt idx="7">
                  <c:v>0.56000000000000005</c:v>
                </c:pt>
                <c:pt idx="8">
                  <c:v>0.63</c:v>
                </c:pt>
                <c:pt idx="9">
                  <c:v>0.69</c:v>
                </c:pt>
                <c:pt idx="10">
                  <c:v>0.77</c:v>
                </c:pt>
                <c:pt idx="11">
                  <c:v>0.89604929300947067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A21-417C-A69A-DBCF10C53B18}"/>
            </c:ext>
          </c:extLst>
        </c:ser>
        <c:ser>
          <c:idx val="8"/>
          <c:order val="8"/>
          <c:tx>
            <c:strRef>
              <c:f>'Ejecucion por Programas'!$AZ$14</c:f>
              <c:strCache>
                <c:ptCount val="1"/>
                <c:pt idx="0">
                  <c:v>PROG 78905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Programas'!$BA$14:$BL$14</c:f>
              <c:numCache>
                <c:formatCode>0.0%</c:formatCode>
                <c:ptCount val="12"/>
                <c:pt idx="0">
                  <c:v>0.1</c:v>
                </c:pt>
                <c:pt idx="1">
                  <c:v>0</c:v>
                </c:pt>
                <c:pt idx="2">
                  <c:v>0.24</c:v>
                </c:pt>
                <c:pt idx="3">
                  <c:v>0.31</c:v>
                </c:pt>
                <c:pt idx="4">
                  <c:v>0.37</c:v>
                </c:pt>
                <c:pt idx="5">
                  <c:v>0.43</c:v>
                </c:pt>
                <c:pt idx="6">
                  <c:v>0.5</c:v>
                </c:pt>
                <c:pt idx="7">
                  <c:v>0.57000000000000006</c:v>
                </c:pt>
                <c:pt idx="8">
                  <c:v>0.63</c:v>
                </c:pt>
                <c:pt idx="9">
                  <c:v>0.7</c:v>
                </c:pt>
                <c:pt idx="10">
                  <c:v>0.77</c:v>
                </c:pt>
                <c:pt idx="11">
                  <c:v>0.89242275866475074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A21-417C-A69A-DBCF10C53B18}"/>
            </c:ext>
          </c:extLst>
        </c:ser>
        <c:ser>
          <c:idx val="9"/>
          <c:order val="9"/>
          <c:tx>
            <c:strRef>
              <c:f>'Ejecucion por Programas'!$AZ$15</c:f>
              <c:strCache>
                <c:ptCount val="1"/>
                <c:pt idx="0">
                  <c:v>PROG 78906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Programas'!$BA$15:$BL$15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0.2</c:v>
                </c:pt>
                <c:pt idx="4">
                  <c:v>0.28000000000000003</c:v>
                </c:pt>
                <c:pt idx="5">
                  <c:v>0.36</c:v>
                </c:pt>
                <c:pt idx="6">
                  <c:v>0.37</c:v>
                </c:pt>
                <c:pt idx="7">
                  <c:v>0.5</c:v>
                </c:pt>
                <c:pt idx="8">
                  <c:v>0.56000000000000005</c:v>
                </c:pt>
                <c:pt idx="9">
                  <c:v>0.62</c:v>
                </c:pt>
                <c:pt idx="10">
                  <c:v>0.68</c:v>
                </c:pt>
                <c:pt idx="11">
                  <c:v>0.86131552571821479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21-417C-A69A-DBCF10C53B18}"/>
            </c:ext>
          </c:extLst>
        </c:ser>
        <c:ser>
          <c:idx val="10"/>
          <c:order val="10"/>
          <c:tx>
            <c:strRef>
              <c:f>'Ejecucion por Programas'!$AZ$16</c:f>
              <c:strCache>
                <c:ptCount val="1"/>
                <c:pt idx="0">
                  <c:v>PROG 790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Programas'!$BA$16:$BL$16</c:f>
              <c:numCache>
                <c:formatCode>0.0%</c:formatCode>
                <c:ptCount val="12"/>
                <c:pt idx="0">
                  <c:v>0.09</c:v>
                </c:pt>
                <c:pt idx="1">
                  <c:v>0</c:v>
                </c:pt>
                <c:pt idx="2">
                  <c:v>0.21</c:v>
                </c:pt>
                <c:pt idx="3">
                  <c:v>0.28000000000000003</c:v>
                </c:pt>
                <c:pt idx="4">
                  <c:v>0.34</c:v>
                </c:pt>
                <c:pt idx="5">
                  <c:v>0.39</c:v>
                </c:pt>
                <c:pt idx="6">
                  <c:v>0.47</c:v>
                </c:pt>
                <c:pt idx="7">
                  <c:v>0.53</c:v>
                </c:pt>
                <c:pt idx="8">
                  <c:v>0.60000000000000009</c:v>
                </c:pt>
                <c:pt idx="9">
                  <c:v>0.67</c:v>
                </c:pt>
                <c:pt idx="10">
                  <c:v>0.74</c:v>
                </c:pt>
                <c:pt idx="11">
                  <c:v>0.86565319792748896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A21-417C-A69A-DBCF10C53B18}"/>
            </c:ext>
          </c:extLst>
        </c:ser>
        <c:ser>
          <c:idx val="11"/>
          <c:order val="11"/>
          <c:tx>
            <c:strRef>
              <c:f>'Ejecucion por Programas'!$AZ$17</c:f>
              <c:strCache>
                <c:ptCount val="1"/>
                <c:pt idx="0">
                  <c:v>PROG 791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Programas'!$BA$17:$BL$17</c:f>
              <c:numCache>
                <c:formatCode>0.0%</c:formatCode>
                <c:ptCount val="12"/>
                <c:pt idx="0">
                  <c:v>0.12</c:v>
                </c:pt>
                <c:pt idx="1">
                  <c:v>0</c:v>
                </c:pt>
                <c:pt idx="2">
                  <c:v>0.26</c:v>
                </c:pt>
                <c:pt idx="3">
                  <c:v>0.33</c:v>
                </c:pt>
                <c:pt idx="4">
                  <c:v>0.4</c:v>
                </c:pt>
                <c:pt idx="5">
                  <c:v>0.47</c:v>
                </c:pt>
                <c:pt idx="6">
                  <c:v>0.54</c:v>
                </c:pt>
                <c:pt idx="7">
                  <c:v>0.61</c:v>
                </c:pt>
                <c:pt idx="8">
                  <c:v>0.68</c:v>
                </c:pt>
                <c:pt idx="9">
                  <c:v>0.75</c:v>
                </c:pt>
                <c:pt idx="10">
                  <c:v>0.82</c:v>
                </c:pt>
                <c:pt idx="11">
                  <c:v>0.95182045914737623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A21-417C-A69A-DBCF10C53B18}"/>
            </c:ext>
          </c:extLst>
        </c:ser>
        <c:ser>
          <c:idx val="12"/>
          <c:order val="12"/>
          <c:tx>
            <c:strRef>
              <c:f>'Ejecucion por Programas'!$AZ$18</c:f>
              <c:strCache>
                <c:ptCount val="1"/>
                <c:pt idx="0">
                  <c:v>PROG 793</c:v>
                </c:pt>
              </c:strCache>
            </c:strRef>
          </c:tx>
          <c:spPr>
            <a:ln w="12700">
              <a:solidFill>
                <a:srgbClr val="99CCFF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Programas'!$BA$18:$BL$18</c:f>
              <c:numCache>
                <c:formatCode>0.0%</c:formatCode>
                <c:ptCount val="12"/>
                <c:pt idx="0">
                  <c:v>0.12</c:v>
                </c:pt>
                <c:pt idx="1">
                  <c:v>0</c:v>
                </c:pt>
                <c:pt idx="2">
                  <c:v>0.27</c:v>
                </c:pt>
                <c:pt idx="3">
                  <c:v>0.35</c:v>
                </c:pt>
                <c:pt idx="4">
                  <c:v>0.42</c:v>
                </c:pt>
                <c:pt idx="5">
                  <c:v>0.49</c:v>
                </c:pt>
                <c:pt idx="6">
                  <c:v>0.56000000000000005</c:v>
                </c:pt>
                <c:pt idx="7">
                  <c:v>0.63</c:v>
                </c:pt>
                <c:pt idx="8">
                  <c:v>0.71</c:v>
                </c:pt>
                <c:pt idx="9">
                  <c:v>0.78</c:v>
                </c:pt>
                <c:pt idx="10">
                  <c:v>0.85</c:v>
                </c:pt>
                <c:pt idx="11">
                  <c:v>0.98495206109281808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21-417C-A69A-DBCF10C53B18}"/>
            </c:ext>
          </c:extLst>
        </c:ser>
        <c:ser>
          <c:idx val="13"/>
          <c:order val="13"/>
          <c:tx>
            <c:strRef>
              <c:f>'Ejecucion por Programas'!$AZ$19</c:f>
              <c:strCache>
                <c:ptCount val="1"/>
                <c:pt idx="0">
                  <c:v>PROG 794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Programas'!$BA$19:$BL$19</c:f>
              <c:numCache>
                <c:formatCode>0.0%</c:formatCode>
                <c:ptCount val="12"/>
                <c:pt idx="0">
                  <c:v>0.12</c:v>
                </c:pt>
                <c:pt idx="1">
                  <c:v>0</c:v>
                </c:pt>
                <c:pt idx="2">
                  <c:v>0.25</c:v>
                </c:pt>
                <c:pt idx="3">
                  <c:v>0.32</c:v>
                </c:pt>
                <c:pt idx="4">
                  <c:v>0.38</c:v>
                </c:pt>
                <c:pt idx="5">
                  <c:v>0.45</c:v>
                </c:pt>
                <c:pt idx="6">
                  <c:v>0.53</c:v>
                </c:pt>
                <c:pt idx="7">
                  <c:v>0.60000000000000009</c:v>
                </c:pt>
                <c:pt idx="8">
                  <c:v>0.67</c:v>
                </c:pt>
                <c:pt idx="9">
                  <c:v>0.74</c:v>
                </c:pt>
                <c:pt idx="10">
                  <c:v>0.81</c:v>
                </c:pt>
                <c:pt idx="11">
                  <c:v>0.94028106022732461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21-417C-A69A-DBCF10C53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9347344"/>
        <c:axId val="1"/>
      </c:lineChart>
      <c:catAx>
        <c:axId val="89934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47344"/>
        <c:crossesAt val="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622323039804361"/>
          <c:y val="0.90890797054663508"/>
          <c:w val="0.61772859819619519"/>
          <c:h val="5.14035356093212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C0C0C0"/>
              </a:solidFill>
              <a:latin typeface="Calibri"/>
              <a:ea typeface="Calibri"/>
              <a:cs typeface="Calibri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rgbClr val="1F4E79"/>
    </a:solidFill>
    <a:ln w="12700">
      <a:solidFill>
        <a:srgbClr val="003366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COMPROMETIDO POR PROGRAMA 2020</a:t>
            </a:r>
          </a:p>
        </c:rich>
      </c:tx>
      <c:layout>
        <c:manualLayout>
          <c:xMode val="edge"/>
          <c:yMode val="edge"/>
          <c:x val="0.22138402976564259"/>
          <c:y val="5.3861638314145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3236873353264013E-2"/>
          <c:y val="0.16338030288624172"/>
          <c:w val="0.96792139731505189"/>
          <c:h val="0.725336729297161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'Ejecucion por Programas'!$AZ$6</c:f>
              <c:strCache>
                <c:ptCount val="1"/>
                <c:pt idx="0">
                  <c:v>PROG 786</c:v>
                </c:pt>
              </c:strCache>
            </c:strRef>
          </c:tx>
          <c:spPr>
            <a:solidFill>
              <a:srgbClr val="4A7FB0"/>
            </a:solidFill>
            <a:ln w="25400">
              <a:solidFill>
                <a:srgbClr val="FF6600"/>
              </a:solidFill>
              <a:prstDash val="solid"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Programas'!$BA$6:$BL$6</c:f>
              <c:numCache>
                <c:formatCode>0.0%</c:formatCode>
                <c:ptCount val="12"/>
                <c:pt idx="0">
                  <c:v>7.0000000000000007E-2</c:v>
                </c:pt>
                <c:pt idx="1">
                  <c:v>0</c:v>
                </c:pt>
                <c:pt idx="2">
                  <c:v>0.21</c:v>
                </c:pt>
                <c:pt idx="3">
                  <c:v>0.28000000000000003</c:v>
                </c:pt>
                <c:pt idx="4">
                  <c:v>0.34</c:v>
                </c:pt>
                <c:pt idx="5">
                  <c:v>0.4</c:v>
                </c:pt>
                <c:pt idx="6">
                  <c:v>0.47</c:v>
                </c:pt>
                <c:pt idx="7">
                  <c:v>0.53</c:v>
                </c:pt>
                <c:pt idx="8">
                  <c:v>0.60000000000000009</c:v>
                </c:pt>
                <c:pt idx="9">
                  <c:v>0.66</c:v>
                </c:pt>
                <c:pt idx="10">
                  <c:v>0.74</c:v>
                </c:pt>
                <c:pt idx="11">
                  <c:v>0.86580219370546785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D-43B6-A4D3-EAD00B65870C}"/>
            </c:ext>
          </c:extLst>
        </c:ser>
        <c:ser>
          <c:idx val="1"/>
          <c:order val="1"/>
          <c:tx>
            <c:strRef>
              <c:f>'Ejecucion por Programas'!$AZ$7</c:f>
              <c:strCache>
                <c:ptCount val="1"/>
                <c:pt idx="0">
                  <c:v>PROG 787</c:v>
                </c:pt>
              </c:strCache>
            </c:strRef>
          </c:tx>
          <c:spPr>
            <a:solidFill>
              <a:srgbClr val="C46627"/>
            </a:solidFill>
            <a:ln w="25400">
              <a:solidFill>
                <a:srgbClr val="FFCC00"/>
              </a:solidFill>
              <a:prstDash val="solid"/>
            </a:ln>
          </c:spPr>
          <c:invertIfNegative val="0"/>
          <c:dLbls>
            <c:dLbl>
              <c:idx val="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76D-43B6-A4D3-EAD00B65870C}"/>
                </c:ext>
              </c:extLst>
            </c:dLbl>
            <c:dLbl>
              <c:idx val="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76D-43B6-A4D3-EAD00B65870C}"/>
                </c:ext>
              </c:extLst>
            </c:dLbl>
            <c:dLbl>
              <c:idx val="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76D-43B6-A4D3-EAD00B65870C}"/>
                </c:ext>
              </c:extLst>
            </c:dLbl>
            <c:dLbl>
              <c:idx val="4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76D-43B6-A4D3-EAD00B65870C}"/>
                </c:ext>
              </c:extLst>
            </c:dLbl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Programas'!$BA$7:$BL$7</c:f>
              <c:numCache>
                <c:formatCode>0.0%</c:formatCode>
                <c:ptCount val="12"/>
                <c:pt idx="0">
                  <c:v>7.0000000000000007E-2</c:v>
                </c:pt>
                <c:pt idx="1">
                  <c:v>0</c:v>
                </c:pt>
                <c:pt idx="2">
                  <c:v>0.21</c:v>
                </c:pt>
                <c:pt idx="3">
                  <c:v>0.28999999999999998</c:v>
                </c:pt>
                <c:pt idx="4">
                  <c:v>0.36</c:v>
                </c:pt>
                <c:pt idx="5">
                  <c:v>0.42</c:v>
                </c:pt>
                <c:pt idx="6">
                  <c:v>0.5</c:v>
                </c:pt>
                <c:pt idx="7">
                  <c:v>0.56000000000000005</c:v>
                </c:pt>
                <c:pt idx="8">
                  <c:v>0.64</c:v>
                </c:pt>
                <c:pt idx="9">
                  <c:v>0.71</c:v>
                </c:pt>
                <c:pt idx="10">
                  <c:v>0.8</c:v>
                </c:pt>
                <c:pt idx="11">
                  <c:v>0.92942109788149929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6D-43B6-A4D3-EAD00B65870C}"/>
            </c:ext>
          </c:extLst>
        </c:ser>
        <c:ser>
          <c:idx val="2"/>
          <c:order val="2"/>
          <c:tx>
            <c:strRef>
              <c:f>'Ejecucion por Programas'!$AZ$8</c:f>
              <c:strCache>
                <c:ptCount val="1"/>
                <c:pt idx="0">
                  <c:v>PROG 788</c:v>
                </c:pt>
              </c:strCache>
            </c:strRef>
          </c:tx>
          <c:spPr>
            <a:solidFill>
              <a:srgbClr val="888888"/>
            </a:solidFill>
            <a:ln w="25400">
              <a:solidFill>
                <a:srgbClr val="339966"/>
              </a:solidFill>
              <a:prstDash val="solid"/>
            </a:ln>
          </c:spPr>
          <c:invertIfNegative val="0"/>
          <c:dLbls>
            <c:dLbl>
              <c:idx val="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176D-43B6-A4D3-EAD00B65870C}"/>
                </c:ext>
              </c:extLst>
            </c:dLbl>
            <c:dLbl>
              <c:idx val="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176D-43B6-A4D3-EAD00B65870C}"/>
                </c:ext>
              </c:extLst>
            </c:dLbl>
            <c:dLbl>
              <c:idx val="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176D-43B6-A4D3-EAD00B65870C}"/>
                </c:ext>
              </c:extLst>
            </c:dLbl>
            <c:dLbl>
              <c:idx val="4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176D-43B6-A4D3-EAD00B65870C}"/>
                </c:ext>
              </c:extLst>
            </c:dLbl>
            <c:dLbl>
              <c:idx val="6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76D-43B6-A4D3-EAD00B65870C}"/>
                </c:ext>
              </c:extLst>
            </c:dLbl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Programas'!$BA$8:$BL$8</c:f>
              <c:numCache>
                <c:formatCode>0.0%</c:formatCode>
                <c:ptCount val="12"/>
                <c:pt idx="0">
                  <c:v>0.04</c:v>
                </c:pt>
                <c:pt idx="1">
                  <c:v>0</c:v>
                </c:pt>
                <c:pt idx="2">
                  <c:v>0.13</c:v>
                </c:pt>
                <c:pt idx="3">
                  <c:v>0.18</c:v>
                </c:pt>
                <c:pt idx="4">
                  <c:v>0.25</c:v>
                </c:pt>
                <c:pt idx="5">
                  <c:v>0.28999999999999998</c:v>
                </c:pt>
                <c:pt idx="6">
                  <c:v>0.39</c:v>
                </c:pt>
                <c:pt idx="7">
                  <c:v>0.44</c:v>
                </c:pt>
                <c:pt idx="8">
                  <c:v>0.53</c:v>
                </c:pt>
                <c:pt idx="9">
                  <c:v>0.63</c:v>
                </c:pt>
                <c:pt idx="10">
                  <c:v>0.69</c:v>
                </c:pt>
                <c:pt idx="11">
                  <c:v>0.83383438540103616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76D-43B6-A4D3-EAD00B65870C}"/>
            </c:ext>
          </c:extLst>
        </c:ser>
        <c:ser>
          <c:idx val="3"/>
          <c:order val="3"/>
          <c:tx>
            <c:strRef>
              <c:f>'Ejecucion por Programas'!$AZ$9</c:f>
              <c:strCache>
                <c:ptCount val="1"/>
                <c:pt idx="0">
                  <c:v>PROG 789</c:v>
                </c:pt>
              </c:strCache>
            </c:strRef>
          </c:tx>
          <c:spPr>
            <a:solidFill>
              <a:srgbClr val="D39E00"/>
            </a:solidFill>
            <a:ln w="25400">
              <a:solidFill>
                <a:srgbClr val="993300"/>
              </a:solidFill>
              <a:prstDash val="solid"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Programas'!$BA$9:$BL$9</c:f>
              <c:numCache>
                <c:formatCode>0.0%</c:formatCode>
                <c:ptCount val="12"/>
                <c:pt idx="0">
                  <c:v>0.1</c:v>
                </c:pt>
                <c:pt idx="1">
                  <c:v>0</c:v>
                </c:pt>
                <c:pt idx="2">
                  <c:v>0.23</c:v>
                </c:pt>
                <c:pt idx="3">
                  <c:v>0.28999999999999998</c:v>
                </c:pt>
                <c:pt idx="4">
                  <c:v>0.35</c:v>
                </c:pt>
                <c:pt idx="5">
                  <c:v>0.43</c:v>
                </c:pt>
                <c:pt idx="6">
                  <c:v>0.5</c:v>
                </c:pt>
                <c:pt idx="7">
                  <c:v>0.57000000000000006</c:v>
                </c:pt>
                <c:pt idx="8">
                  <c:v>0.65</c:v>
                </c:pt>
                <c:pt idx="9">
                  <c:v>0.73</c:v>
                </c:pt>
                <c:pt idx="10">
                  <c:v>0.8</c:v>
                </c:pt>
                <c:pt idx="11">
                  <c:v>0.92703555727861331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6D-43B6-A4D3-EAD00B65870C}"/>
            </c:ext>
          </c:extLst>
        </c:ser>
        <c:ser>
          <c:idx val="4"/>
          <c:order val="4"/>
          <c:tx>
            <c:strRef>
              <c:f>'Ejecucion por Programas'!$AZ$10</c:f>
              <c:strCache>
                <c:ptCount val="1"/>
                <c:pt idx="0">
                  <c:v>PROG 78901</c:v>
                </c:pt>
              </c:strCache>
            </c:strRef>
          </c:tx>
          <c:spPr>
            <a:solidFill>
              <a:srgbClr val="375DA1"/>
            </a:solidFill>
            <a:ln w="25400">
              <a:solidFill>
                <a:srgbClr val="808000"/>
              </a:solidFill>
              <a:prstDash val="solid"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Programas'!$BA$10:$BL$10</c:f>
              <c:numCache>
                <c:formatCode>0.0%</c:formatCode>
                <c:ptCount val="12"/>
                <c:pt idx="0">
                  <c:v>0.06</c:v>
                </c:pt>
                <c:pt idx="1">
                  <c:v>0</c:v>
                </c:pt>
                <c:pt idx="2">
                  <c:v>0.19</c:v>
                </c:pt>
                <c:pt idx="3">
                  <c:v>0.23</c:v>
                </c:pt>
                <c:pt idx="4">
                  <c:v>0.33</c:v>
                </c:pt>
                <c:pt idx="5">
                  <c:v>0.41</c:v>
                </c:pt>
                <c:pt idx="6">
                  <c:v>0.47</c:v>
                </c:pt>
                <c:pt idx="7">
                  <c:v>0.52</c:v>
                </c:pt>
                <c:pt idx="8">
                  <c:v>0.61</c:v>
                </c:pt>
                <c:pt idx="9">
                  <c:v>0.68</c:v>
                </c:pt>
                <c:pt idx="10">
                  <c:v>0.73</c:v>
                </c:pt>
                <c:pt idx="11">
                  <c:v>0.91864866722705674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76D-43B6-A4D3-EAD00B65870C}"/>
            </c:ext>
          </c:extLst>
        </c:ser>
        <c:ser>
          <c:idx val="5"/>
          <c:order val="5"/>
          <c:tx>
            <c:strRef>
              <c:f>'Ejecucion por Programas'!$AZ$11</c:f>
              <c:strCache>
                <c:ptCount val="1"/>
                <c:pt idx="0">
                  <c:v>PROG 78902</c:v>
                </c:pt>
              </c:strCache>
            </c:strRef>
          </c:tx>
          <c:spPr>
            <a:solidFill>
              <a:srgbClr val="5B8E39"/>
            </a:solidFill>
            <a:ln w="25400">
              <a:noFill/>
            </a:ln>
          </c:spPr>
          <c:invertIfNegative val="0"/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Programas'!$BA$11:$BL$11</c:f>
              <c:numCache>
                <c:formatCode>0.0%</c:formatCode>
                <c:ptCount val="12"/>
                <c:pt idx="0">
                  <c:v>0.06</c:v>
                </c:pt>
                <c:pt idx="1">
                  <c:v>0</c:v>
                </c:pt>
                <c:pt idx="2">
                  <c:v>0.18</c:v>
                </c:pt>
                <c:pt idx="3">
                  <c:v>0.24</c:v>
                </c:pt>
                <c:pt idx="4">
                  <c:v>0.31</c:v>
                </c:pt>
                <c:pt idx="5">
                  <c:v>0.38</c:v>
                </c:pt>
                <c:pt idx="6">
                  <c:v>0.46</c:v>
                </c:pt>
                <c:pt idx="7">
                  <c:v>0.52</c:v>
                </c:pt>
                <c:pt idx="8">
                  <c:v>0.59</c:v>
                </c:pt>
                <c:pt idx="9">
                  <c:v>0.65</c:v>
                </c:pt>
                <c:pt idx="10">
                  <c:v>0.75</c:v>
                </c:pt>
                <c:pt idx="11">
                  <c:v>0.89989949934264191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76D-43B6-A4D3-EAD00B65870C}"/>
            </c:ext>
          </c:extLst>
        </c:ser>
        <c:ser>
          <c:idx val="6"/>
          <c:order val="6"/>
          <c:tx>
            <c:strRef>
              <c:f>'Ejecucion por Programas'!$AZ$12</c:f>
              <c:strCache>
                <c:ptCount val="1"/>
                <c:pt idx="0">
                  <c:v>PROG 78903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Programas'!$BA$12:$BL$12</c:f>
              <c:numCache>
                <c:formatCode>0.0%</c:formatCode>
                <c:ptCount val="12"/>
                <c:pt idx="0">
                  <c:v>0.09</c:v>
                </c:pt>
                <c:pt idx="1">
                  <c:v>0</c:v>
                </c:pt>
                <c:pt idx="2">
                  <c:v>0.23</c:v>
                </c:pt>
                <c:pt idx="3">
                  <c:v>0.28999999999999998</c:v>
                </c:pt>
                <c:pt idx="4">
                  <c:v>0.37</c:v>
                </c:pt>
                <c:pt idx="5">
                  <c:v>0.44</c:v>
                </c:pt>
                <c:pt idx="6">
                  <c:v>0.5</c:v>
                </c:pt>
                <c:pt idx="7">
                  <c:v>0.56000000000000005</c:v>
                </c:pt>
                <c:pt idx="8">
                  <c:v>0.65</c:v>
                </c:pt>
                <c:pt idx="9">
                  <c:v>0.7</c:v>
                </c:pt>
                <c:pt idx="10">
                  <c:v>0.76</c:v>
                </c:pt>
                <c:pt idx="11">
                  <c:v>0.90613923393060436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76D-43B6-A4D3-EAD00B658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346944"/>
        <c:axId val="1"/>
      </c:barChart>
      <c:lineChart>
        <c:grouping val="standard"/>
        <c:varyColors val="0"/>
        <c:ser>
          <c:idx val="0"/>
          <c:order val="7"/>
          <c:tx>
            <c:strRef>
              <c:f>'Ejecucion por Programas'!$AZ$13</c:f>
              <c:strCache>
                <c:ptCount val="1"/>
                <c:pt idx="0">
                  <c:v>PROG 78904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Programas'!$BA$13:$BL$13</c:f>
              <c:numCache>
                <c:formatCode>0.0%</c:formatCode>
                <c:ptCount val="12"/>
                <c:pt idx="0">
                  <c:v>0.09</c:v>
                </c:pt>
                <c:pt idx="1">
                  <c:v>0</c:v>
                </c:pt>
                <c:pt idx="2">
                  <c:v>0.22</c:v>
                </c:pt>
                <c:pt idx="3">
                  <c:v>0.28999999999999998</c:v>
                </c:pt>
                <c:pt idx="4">
                  <c:v>0.37</c:v>
                </c:pt>
                <c:pt idx="5">
                  <c:v>0.43</c:v>
                </c:pt>
                <c:pt idx="6">
                  <c:v>0.5</c:v>
                </c:pt>
                <c:pt idx="7">
                  <c:v>0.56000000000000005</c:v>
                </c:pt>
                <c:pt idx="8">
                  <c:v>0.63</c:v>
                </c:pt>
                <c:pt idx="9">
                  <c:v>0.69</c:v>
                </c:pt>
                <c:pt idx="10">
                  <c:v>0.77</c:v>
                </c:pt>
                <c:pt idx="11">
                  <c:v>0.89604929300947067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76D-43B6-A4D3-EAD00B65870C}"/>
            </c:ext>
          </c:extLst>
        </c:ser>
        <c:ser>
          <c:idx val="1"/>
          <c:order val="8"/>
          <c:tx>
            <c:strRef>
              <c:f>'Ejecucion por Programas'!$AZ$14</c:f>
              <c:strCache>
                <c:ptCount val="1"/>
                <c:pt idx="0">
                  <c:v>PROG 78905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Programas'!$BA$14:$BL$14</c:f>
              <c:numCache>
                <c:formatCode>0.0%</c:formatCode>
                <c:ptCount val="12"/>
                <c:pt idx="0">
                  <c:v>0.1</c:v>
                </c:pt>
                <c:pt idx="1">
                  <c:v>0</c:v>
                </c:pt>
                <c:pt idx="2">
                  <c:v>0.24</c:v>
                </c:pt>
                <c:pt idx="3">
                  <c:v>0.31</c:v>
                </c:pt>
                <c:pt idx="4">
                  <c:v>0.37</c:v>
                </c:pt>
                <c:pt idx="5">
                  <c:v>0.43</c:v>
                </c:pt>
                <c:pt idx="6">
                  <c:v>0.5</c:v>
                </c:pt>
                <c:pt idx="7">
                  <c:v>0.57000000000000006</c:v>
                </c:pt>
                <c:pt idx="8">
                  <c:v>0.63</c:v>
                </c:pt>
                <c:pt idx="9">
                  <c:v>0.7</c:v>
                </c:pt>
                <c:pt idx="10">
                  <c:v>0.77</c:v>
                </c:pt>
                <c:pt idx="11">
                  <c:v>0.89242275866475074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76D-43B6-A4D3-EAD00B65870C}"/>
            </c:ext>
          </c:extLst>
        </c:ser>
        <c:ser>
          <c:idx val="2"/>
          <c:order val="9"/>
          <c:tx>
            <c:strRef>
              <c:f>'Ejecucion por Programas'!$AZ$15</c:f>
              <c:strCache>
                <c:ptCount val="1"/>
                <c:pt idx="0">
                  <c:v>PROG 78906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Programas'!$BA$15:$BL$15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0.2</c:v>
                </c:pt>
                <c:pt idx="4">
                  <c:v>0.28000000000000003</c:v>
                </c:pt>
                <c:pt idx="5">
                  <c:v>0.36</c:v>
                </c:pt>
                <c:pt idx="6">
                  <c:v>0.37</c:v>
                </c:pt>
                <c:pt idx="7">
                  <c:v>0.5</c:v>
                </c:pt>
                <c:pt idx="8">
                  <c:v>0.56000000000000005</c:v>
                </c:pt>
                <c:pt idx="9">
                  <c:v>0.62</c:v>
                </c:pt>
                <c:pt idx="10">
                  <c:v>0.68</c:v>
                </c:pt>
                <c:pt idx="11">
                  <c:v>0.86131552571821479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6D-43B6-A4D3-EAD00B65870C}"/>
            </c:ext>
          </c:extLst>
        </c:ser>
        <c:ser>
          <c:idx val="3"/>
          <c:order val="10"/>
          <c:tx>
            <c:strRef>
              <c:f>'Ejecucion por Programas'!$AZ$16</c:f>
              <c:strCache>
                <c:ptCount val="1"/>
                <c:pt idx="0">
                  <c:v>PROG 790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Programas'!$BA$16:$BL$16</c:f>
              <c:numCache>
                <c:formatCode>0.0%</c:formatCode>
                <c:ptCount val="12"/>
                <c:pt idx="0">
                  <c:v>0.09</c:v>
                </c:pt>
                <c:pt idx="1">
                  <c:v>0</c:v>
                </c:pt>
                <c:pt idx="2">
                  <c:v>0.21</c:v>
                </c:pt>
                <c:pt idx="3">
                  <c:v>0.28000000000000003</c:v>
                </c:pt>
                <c:pt idx="4">
                  <c:v>0.34</c:v>
                </c:pt>
                <c:pt idx="5">
                  <c:v>0.39</c:v>
                </c:pt>
                <c:pt idx="6">
                  <c:v>0.47</c:v>
                </c:pt>
                <c:pt idx="7">
                  <c:v>0.53</c:v>
                </c:pt>
                <c:pt idx="8">
                  <c:v>0.60000000000000009</c:v>
                </c:pt>
                <c:pt idx="9">
                  <c:v>0.67</c:v>
                </c:pt>
                <c:pt idx="10">
                  <c:v>0.74</c:v>
                </c:pt>
                <c:pt idx="11">
                  <c:v>0.86565319792748896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76D-43B6-A4D3-EAD00B65870C}"/>
            </c:ext>
          </c:extLst>
        </c:ser>
        <c:ser>
          <c:idx val="4"/>
          <c:order val="11"/>
          <c:tx>
            <c:strRef>
              <c:f>'Ejecucion por Programas'!$AZ$17</c:f>
              <c:strCache>
                <c:ptCount val="1"/>
                <c:pt idx="0">
                  <c:v>PROG 791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Programas'!$BA$17:$BL$17</c:f>
              <c:numCache>
                <c:formatCode>0.0%</c:formatCode>
                <c:ptCount val="12"/>
                <c:pt idx="0">
                  <c:v>0.12</c:v>
                </c:pt>
                <c:pt idx="1">
                  <c:v>0</c:v>
                </c:pt>
                <c:pt idx="2">
                  <c:v>0.26</c:v>
                </c:pt>
                <c:pt idx="3">
                  <c:v>0.33</c:v>
                </c:pt>
                <c:pt idx="4">
                  <c:v>0.4</c:v>
                </c:pt>
                <c:pt idx="5">
                  <c:v>0.47</c:v>
                </c:pt>
                <c:pt idx="6">
                  <c:v>0.54</c:v>
                </c:pt>
                <c:pt idx="7">
                  <c:v>0.61</c:v>
                </c:pt>
                <c:pt idx="8">
                  <c:v>0.68</c:v>
                </c:pt>
                <c:pt idx="9">
                  <c:v>0.75</c:v>
                </c:pt>
                <c:pt idx="10">
                  <c:v>0.82</c:v>
                </c:pt>
                <c:pt idx="11">
                  <c:v>0.95182045914737623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76D-43B6-A4D3-EAD00B65870C}"/>
            </c:ext>
          </c:extLst>
        </c:ser>
        <c:ser>
          <c:idx val="5"/>
          <c:order val="12"/>
          <c:tx>
            <c:strRef>
              <c:f>'Ejecucion por Programas'!$AZ$18</c:f>
              <c:strCache>
                <c:ptCount val="1"/>
                <c:pt idx="0">
                  <c:v>PROG 793</c:v>
                </c:pt>
              </c:strCache>
            </c:strRef>
          </c:tx>
          <c:spPr>
            <a:ln w="12700">
              <a:solidFill>
                <a:srgbClr val="99CCFF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Programas'!$BA$18:$BL$18</c:f>
              <c:numCache>
                <c:formatCode>0.0%</c:formatCode>
                <c:ptCount val="12"/>
                <c:pt idx="0">
                  <c:v>0.12</c:v>
                </c:pt>
                <c:pt idx="1">
                  <c:v>0</c:v>
                </c:pt>
                <c:pt idx="2">
                  <c:v>0.27</c:v>
                </c:pt>
                <c:pt idx="3">
                  <c:v>0.35</c:v>
                </c:pt>
                <c:pt idx="4">
                  <c:v>0.42</c:v>
                </c:pt>
                <c:pt idx="5">
                  <c:v>0.49</c:v>
                </c:pt>
                <c:pt idx="6">
                  <c:v>0.56000000000000005</c:v>
                </c:pt>
                <c:pt idx="7">
                  <c:v>0.63</c:v>
                </c:pt>
                <c:pt idx="8">
                  <c:v>0.71</c:v>
                </c:pt>
                <c:pt idx="9">
                  <c:v>0.78</c:v>
                </c:pt>
                <c:pt idx="10">
                  <c:v>0.85</c:v>
                </c:pt>
                <c:pt idx="11">
                  <c:v>0.98495206109281808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6D-43B6-A4D3-EAD00B65870C}"/>
            </c:ext>
          </c:extLst>
        </c:ser>
        <c:ser>
          <c:idx val="6"/>
          <c:order val="13"/>
          <c:tx>
            <c:strRef>
              <c:f>'Ejecucion por Programas'!$AZ$19</c:f>
              <c:strCache>
                <c:ptCount val="1"/>
                <c:pt idx="0">
                  <c:v>PROG 794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Programas'!$BA$19:$BL$19</c:f>
              <c:numCache>
                <c:formatCode>0.0%</c:formatCode>
                <c:ptCount val="12"/>
                <c:pt idx="0">
                  <c:v>0.12</c:v>
                </c:pt>
                <c:pt idx="1">
                  <c:v>0</c:v>
                </c:pt>
                <c:pt idx="2">
                  <c:v>0.25</c:v>
                </c:pt>
                <c:pt idx="3">
                  <c:v>0.32</c:v>
                </c:pt>
                <c:pt idx="4">
                  <c:v>0.38</c:v>
                </c:pt>
                <c:pt idx="5">
                  <c:v>0.45</c:v>
                </c:pt>
                <c:pt idx="6">
                  <c:v>0.53</c:v>
                </c:pt>
                <c:pt idx="7">
                  <c:v>0.60000000000000009</c:v>
                </c:pt>
                <c:pt idx="8">
                  <c:v>0.67</c:v>
                </c:pt>
                <c:pt idx="9">
                  <c:v>0.74</c:v>
                </c:pt>
                <c:pt idx="10">
                  <c:v>0.81</c:v>
                </c:pt>
                <c:pt idx="11">
                  <c:v>0.94028106022732461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6D-43B6-A4D3-EAD00B658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9346944"/>
        <c:axId val="1"/>
      </c:lineChart>
      <c:catAx>
        <c:axId val="89934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46944"/>
        <c:crossesAt val="1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632409332047165"/>
          <c:y val="0.9282155669471096"/>
          <c:w val="0.61303096791974698"/>
          <c:h val="3.94985347637067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C0C0C0"/>
              </a:solidFill>
              <a:latin typeface="Calibri"/>
              <a:ea typeface="Calibri"/>
              <a:cs typeface="Calibri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rgbClr val="1F4E79"/>
    </a:solidFill>
    <a:ln w="12700">
      <a:solidFill>
        <a:srgbClr val="003366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EJECUCIÓN POR PROGRAMA 78900 al 78906</a:t>
            </a:r>
          </a:p>
        </c:rich>
      </c:tx>
      <c:layout>
        <c:manualLayout>
          <c:xMode val="edge"/>
          <c:yMode val="edge"/>
          <c:x val="0.21923101507326451"/>
          <c:y val="2.33652434587823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3187895825056822E-2"/>
          <c:y val="0.21262371547491976"/>
          <c:w val="0.95070372882732979"/>
          <c:h val="0.644880719462394"/>
        </c:manualLayout>
      </c:layout>
      <c:lineChart>
        <c:grouping val="standard"/>
        <c:varyColors val="0"/>
        <c:ser>
          <c:idx val="0"/>
          <c:order val="0"/>
          <c:tx>
            <c:strRef>
              <c:f>'Ejecucion por Programas'!$AZ$9</c:f>
              <c:strCache>
                <c:ptCount val="1"/>
                <c:pt idx="0">
                  <c:v>PROG 789</c:v>
                </c:pt>
              </c:strCache>
            </c:strRef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Programas'!$BA$9:$BL$9</c:f>
              <c:numCache>
                <c:formatCode>0.0%</c:formatCode>
                <c:ptCount val="12"/>
                <c:pt idx="0">
                  <c:v>0.1</c:v>
                </c:pt>
                <c:pt idx="1">
                  <c:v>0</c:v>
                </c:pt>
                <c:pt idx="2">
                  <c:v>0.23</c:v>
                </c:pt>
                <c:pt idx="3">
                  <c:v>0.28999999999999998</c:v>
                </c:pt>
                <c:pt idx="4">
                  <c:v>0.35</c:v>
                </c:pt>
                <c:pt idx="5">
                  <c:v>0.43</c:v>
                </c:pt>
                <c:pt idx="6">
                  <c:v>0.5</c:v>
                </c:pt>
                <c:pt idx="7">
                  <c:v>0.57000000000000006</c:v>
                </c:pt>
                <c:pt idx="8">
                  <c:v>0.65</c:v>
                </c:pt>
                <c:pt idx="9">
                  <c:v>0.73</c:v>
                </c:pt>
                <c:pt idx="10">
                  <c:v>0.8</c:v>
                </c:pt>
                <c:pt idx="11">
                  <c:v>0.92703555727861331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3-4D90-8E1A-8B4CE6474F8F}"/>
            </c:ext>
          </c:extLst>
        </c:ser>
        <c:ser>
          <c:idx val="1"/>
          <c:order val="1"/>
          <c:tx>
            <c:strRef>
              <c:f>'Ejecucion por Programas'!$AZ$10</c:f>
              <c:strCache>
                <c:ptCount val="1"/>
                <c:pt idx="0">
                  <c:v>PROG 78901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none"/>
          </c:marker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Programas'!$BA$10:$BL$10</c:f>
              <c:numCache>
                <c:formatCode>0.0%</c:formatCode>
                <c:ptCount val="12"/>
                <c:pt idx="0">
                  <c:v>0.06</c:v>
                </c:pt>
                <c:pt idx="1">
                  <c:v>0</c:v>
                </c:pt>
                <c:pt idx="2">
                  <c:v>0.19</c:v>
                </c:pt>
                <c:pt idx="3">
                  <c:v>0.23</c:v>
                </c:pt>
                <c:pt idx="4">
                  <c:v>0.33</c:v>
                </c:pt>
                <c:pt idx="5">
                  <c:v>0.41</c:v>
                </c:pt>
                <c:pt idx="6">
                  <c:v>0.47</c:v>
                </c:pt>
                <c:pt idx="7">
                  <c:v>0.52</c:v>
                </c:pt>
                <c:pt idx="8">
                  <c:v>0.61</c:v>
                </c:pt>
                <c:pt idx="9">
                  <c:v>0.68</c:v>
                </c:pt>
                <c:pt idx="10">
                  <c:v>0.73</c:v>
                </c:pt>
                <c:pt idx="11">
                  <c:v>0.91864866722705674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B3-4D90-8E1A-8B4CE6474F8F}"/>
            </c:ext>
          </c:extLst>
        </c:ser>
        <c:ser>
          <c:idx val="2"/>
          <c:order val="2"/>
          <c:tx>
            <c:strRef>
              <c:f>'Ejecucion por Programas'!$AZ$11</c:f>
              <c:strCache>
                <c:ptCount val="1"/>
                <c:pt idx="0">
                  <c:v>PROG 78902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Programas'!$BA$11:$BL$11</c:f>
              <c:numCache>
                <c:formatCode>0.0%</c:formatCode>
                <c:ptCount val="12"/>
                <c:pt idx="0">
                  <c:v>0.06</c:v>
                </c:pt>
                <c:pt idx="1">
                  <c:v>0</c:v>
                </c:pt>
                <c:pt idx="2">
                  <c:v>0.18</c:v>
                </c:pt>
                <c:pt idx="3">
                  <c:v>0.24</c:v>
                </c:pt>
                <c:pt idx="4">
                  <c:v>0.31</c:v>
                </c:pt>
                <c:pt idx="5">
                  <c:v>0.38</c:v>
                </c:pt>
                <c:pt idx="6">
                  <c:v>0.46</c:v>
                </c:pt>
                <c:pt idx="7">
                  <c:v>0.52</c:v>
                </c:pt>
                <c:pt idx="8">
                  <c:v>0.59</c:v>
                </c:pt>
                <c:pt idx="9">
                  <c:v>0.65</c:v>
                </c:pt>
                <c:pt idx="10">
                  <c:v>0.75</c:v>
                </c:pt>
                <c:pt idx="11">
                  <c:v>0.89989949934264191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B3-4D90-8E1A-8B4CE6474F8F}"/>
            </c:ext>
          </c:extLst>
        </c:ser>
        <c:ser>
          <c:idx val="3"/>
          <c:order val="3"/>
          <c:tx>
            <c:strRef>
              <c:f>'Ejecucion por Programas'!$AZ$12</c:f>
              <c:strCache>
                <c:ptCount val="1"/>
                <c:pt idx="0">
                  <c:v>PROG 78903</c:v>
                </c:pt>
              </c:strCache>
            </c:strRef>
          </c:tx>
          <c:spPr>
            <a:ln w="12700">
              <a:solidFill>
                <a:srgbClr val="99CCFF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Programas'!$BA$12:$BL$12</c:f>
              <c:numCache>
                <c:formatCode>0.0%</c:formatCode>
                <c:ptCount val="12"/>
                <c:pt idx="0">
                  <c:v>0.09</c:v>
                </c:pt>
                <c:pt idx="1">
                  <c:v>0</c:v>
                </c:pt>
                <c:pt idx="2">
                  <c:v>0.23</c:v>
                </c:pt>
                <c:pt idx="3">
                  <c:v>0.28999999999999998</c:v>
                </c:pt>
                <c:pt idx="4">
                  <c:v>0.37</c:v>
                </c:pt>
                <c:pt idx="5">
                  <c:v>0.44</c:v>
                </c:pt>
                <c:pt idx="6">
                  <c:v>0.5</c:v>
                </c:pt>
                <c:pt idx="7">
                  <c:v>0.56000000000000005</c:v>
                </c:pt>
                <c:pt idx="8">
                  <c:v>0.65</c:v>
                </c:pt>
                <c:pt idx="9">
                  <c:v>0.7</c:v>
                </c:pt>
                <c:pt idx="10">
                  <c:v>0.76</c:v>
                </c:pt>
                <c:pt idx="11">
                  <c:v>0.90613923393060436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B3-4D90-8E1A-8B4CE6474F8F}"/>
            </c:ext>
          </c:extLst>
        </c:ser>
        <c:ser>
          <c:idx val="4"/>
          <c:order val="4"/>
          <c:tx>
            <c:strRef>
              <c:f>'Ejecucion por Programas'!$AZ$13</c:f>
              <c:strCache>
                <c:ptCount val="1"/>
                <c:pt idx="0">
                  <c:v>PROG 78904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Programas'!$BA$13:$BL$13</c:f>
              <c:numCache>
                <c:formatCode>0.0%</c:formatCode>
                <c:ptCount val="12"/>
                <c:pt idx="0">
                  <c:v>0.09</c:v>
                </c:pt>
                <c:pt idx="1">
                  <c:v>0</c:v>
                </c:pt>
                <c:pt idx="2">
                  <c:v>0.22</c:v>
                </c:pt>
                <c:pt idx="3">
                  <c:v>0.28999999999999998</c:v>
                </c:pt>
                <c:pt idx="4">
                  <c:v>0.37</c:v>
                </c:pt>
                <c:pt idx="5">
                  <c:v>0.43</c:v>
                </c:pt>
                <c:pt idx="6">
                  <c:v>0.5</c:v>
                </c:pt>
                <c:pt idx="7">
                  <c:v>0.56000000000000005</c:v>
                </c:pt>
                <c:pt idx="8">
                  <c:v>0.63</c:v>
                </c:pt>
                <c:pt idx="9">
                  <c:v>0.69</c:v>
                </c:pt>
                <c:pt idx="10">
                  <c:v>0.77</c:v>
                </c:pt>
                <c:pt idx="11">
                  <c:v>0.89604929300947067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B3-4D90-8E1A-8B4CE6474F8F}"/>
            </c:ext>
          </c:extLst>
        </c:ser>
        <c:ser>
          <c:idx val="5"/>
          <c:order val="5"/>
          <c:tx>
            <c:strRef>
              <c:f>'Ejecucion por Programas'!$AZ$14</c:f>
              <c:strCache>
                <c:ptCount val="1"/>
                <c:pt idx="0">
                  <c:v>PROG 78905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Programas'!$BA$14:$BL$14</c:f>
              <c:numCache>
                <c:formatCode>0.0%</c:formatCode>
                <c:ptCount val="12"/>
                <c:pt idx="0">
                  <c:v>0.1</c:v>
                </c:pt>
                <c:pt idx="1">
                  <c:v>0</c:v>
                </c:pt>
                <c:pt idx="2">
                  <c:v>0.24</c:v>
                </c:pt>
                <c:pt idx="3">
                  <c:v>0.31</c:v>
                </c:pt>
                <c:pt idx="4">
                  <c:v>0.37</c:v>
                </c:pt>
                <c:pt idx="5">
                  <c:v>0.43</c:v>
                </c:pt>
                <c:pt idx="6">
                  <c:v>0.5</c:v>
                </c:pt>
                <c:pt idx="7">
                  <c:v>0.57000000000000006</c:v>
                </c:pt>
                <c:pt idx="8">
                  <c:v>0.63</c:v>
                </c:pt>
                <c:pt idx="9">
                  <c:v>0.7</c:v>
                </c:pt>
                <c:pt idx="10">
                  <c:v>0.77</c:v>
                </c:pt>
                <c:pt idx="11">
                  <c:v>0.89242275866475074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B3-4D90-8E1A-8B4CE6474F8F}"/>
            </c:ext>
          </c:extLst>
        </c:ser>
        <c:ser>
          <c:idx val="6"/>
          <c:order val="6"/>
          <c:tx>
            <c:strRef>
              <c:f>'Ejecucion por Programas'!$AZ$15</c:f>
              <c:strCache>
                <c:ptCount val="1"/>
                <c:pt idx="0">
                  <c:v>PROG 78906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Programas'!$BA$15:$BL$15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0.2</c:v>
                </c:pt>
                <c:pt idx="4">
                  <c:v>0.28000000000000003</c:v>
                </c:pt>
                <c:pt idx="5">
                  <c:v>0.36</c:v>
                </c:pt>
                <c:pt idx="6">
                  <c:v>0.37</c:v>
                </c:pt>
                <c:pt idx="7">
                  <c:v>0.5</c:v>
                </c:pt>
                <c:pt idx="8">
                  <c:v>0.56000000000000005</c:v>
                </c:pt>
                <c:pt idx="9">
                  <c:v>0.62</c:v>
                </c:pt>
                <c:pt idx="10">
                  <c:v>0.68</c:v>
                </c:pt>
                <c:pt idx="11">
                  <c:v>0.86131552571821479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BB3-4D90-8E1A-8B4CE6474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9355744"/>
        <c:axId val="1"/>
      </c:lineChart>
      <c:catAx>
        <c:axId val="89935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55744"/>
        <c:crossesAt val="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891305709027793"/>
          <c:y val="0.9065714462007568"/>
          <c:w val="0.32420894344488538"/>
          <c:h val="5.14035356093212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C0C0C0"/>
              </a:solidFill>
              <a:latin typeface="Calibri"/>
              <a:ea typeface="Calibri"/>
              <a:cs typeface="Calibri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rgbClr val="1F4E79"/>
    </a:solidFill>
    <a:ln w="12700">
      <a:solidFill>
        <a:srgbClr val="003366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COMPROMETIDO POR PROGRAMA 2020</a:t>
            </a:r>
          </a:p>
        </c:rich>
      </c:tx>
      <c:layout>
        <c:manualLayout>
          <c:xMode val="edge"/>
          <c:yMode val="edge"/>
          <c:x val="0.22138402976564259"/>
          <c:y val="5.3861638314145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3236873353264013E-2"/>
          <c:y val="0.16338030288624172"/>
          <c:w val="0.96792139731505189"/>
          <c:h val="0.725336729297161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'Ejecucion por Programas'!$AZ$6</c:f>
              <c:strCache>
                <c:ptCount val="1"/>
                <c:pt idx="0">
                  <c:v>PROG 786</c:v>
                </c:pt>
              </c:strCache>
            </c:strRef>
          </c:tx>
          <c:spPr>
            <a:solidFill>
              <a:srgbClr val="4A7FB0"/>
            </a:solidFill>
            <a:ln w="25400">
              <a:solidFill>
                <a:srgbClr val="FF6600"/>
              </a:solidFill>
              <a:prstDash val="solid"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Programas'!$BA$6:$BL$6</c:f>
              <c:numCache>
                <c:formatCode>0.0%</c:formatCode>
                <c:ptCount val="12"/>
                <c:pt idx="0">
                  <c:v>7.0000000000000007E-2</c:v>
                </c:pt>
                <c:pt idx="1">
                  <c:v>0</c:v>
                </c:pt>
                <c:pt idx="2">
                  <c:v>0.21</c:v>
                </c:pt>
                <c:pt idx="3">
                  <c:v>0.28000000000000003</c:v>
                </c:pt>
                <c:pt idx="4">
                  <c:v>0.34</c:v>
                </c:pt>
                <c:pt idx="5">
                  <c:v>0.4</c:v>
                </c:pt>
                <c:pt idx="6">
                  <c:v>0.47</c:v>
                </c:pt>
                <c:pt idx="7">
                  <c:v>0.53</c:v>
                </c:pt>
                <c:pt idx="8">
                  <c:v>0.60000000000000009</c:v>
                </c:pt>
                <c:pt idx="9">
                  <c:v>0.66</c:v>
                </c:pt>
                <c:pt idx="10">
                  <c:v>0.74</c:v>
                </c:pt>
                <c:pt idx="11">
                  <c:v>0.86580219370546785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65-4B48-B904-C7D511AC3480}"/>
            </c:ext>
          </c:extLst>
        </c:ser>
        <c:ser>
          <c:idx val="1"/>
          <c:order val="1"/>
          <c:tx>
            <c:strRef>
              <c:f>'Ejecucion por Programas'!$AZ$7</c:f>
              <c:strCache>
                <c:ptCount val="1"/>
                <c:pt idx="0">
                  <c:v>PROG 787</c:v>
                </c:pt>
              </c:strCache>
            </c:strRef>
          </c:tx>
          <c:spPr>
            <a:solidFill>
              <a:srgbClr val="C46627"/>
            </a:solidFill>
            <a:ln w="25400">
              <a:solidFill>
                <a:srgbClr val="FFCC00"/>
              </a:solidFill>
              <a:prstDash val="solid"/>
            </a:ln>
          </c:spPr>
          <c:invertIfNegative val="0"/>
          <c:dLbls>
            <c:dLbl>
              <c:idx val="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165-4B48-B904-C7D511AC3480}"/>
                </c:ext>
              </c:extLst>
            </c:dLbl>
            <c:dLbl>
              <c:idx val="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165-4B48-B904-C7D511AC3480}"/>
                </c:ext>
              </c:extLst>
            </c:dLbl>
            <c:dLbl>
              <c:idx val="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165-4B48-B904-C7D511AC3480}"/>
                </c:ext>
              </c:extLst>
            </c:dLbl>
            <c:dLbl>
              <c:idx val="4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165-4B48-B904-C7D511AC3480}"/>
                </c:ext>
              </c:extLst>
            </c:dLbl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Programas'!$BA$7:$BL$7</c:f>
              <c:numCache>
                <c:formatCode>0.0%</c:formatCode>
                <c:ptCount val="12"/>
                <c:pt idx="0">
                  <c:v>7.0000000000000007E-2</c:v>
                </c:pt>
                <c:pt idx="1">
                  <c:v>0</c:v>
                </c:pt>
                <c:pt idx="2">
                  <c:v>0.21</c:v>
                </c:pt>
                <c:pt idx="3">
                  <c:v>0.28999999999999998</c:v>
                </c:pt>
                <c:pt idx="4">
                  <c:v>0.36</c:v>
                </c:pt>
                <c:pt idx="5">
                  <c:v>0.42</c:v>
                </c:pt>
                <c:pt idx="6">
                  <c:v>0.5</c:v>
                </c:pt>
                <c:pt idx="7">
                  <c:v>0.56000000000000005</c:v>
                </c:pt>
                <c:pt idx="8">
                  <c:v>0.64</c:v>
                </c:pt>
                <c:pt idx="9">
                  <c:v>0.71</c:v>
                </c:pt>
                <c:pt idx="10">
                  <c:v>0.8</c:v>
                </c:pt>
                <c:pt idx="11">
                  <c:v>0.92942109788149929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65-4B48-B904-C7D511AC3480}"/>
            </c:ext>
          </c:extLst>
        </c:ser>
        <c:ser>
          <c:idx val="2"/>
          <c:order val="2"/>
          <c:tx>
            <c:strRef>
              <c:f>'Ejecucion por Programas'!$AZ$8</c:f>
              <c:strCache>
                <c:ptCount val="1"/>
                <c:pt idx="0">
                  <c:v>PROG 788</c:v>
                </c:pt>
              </c:strCache>
            </c:strRef>
          </c:tx>
          <c:spPr>
            <a:solidFill>
              <a:srgbClr val="888888"/>
            </a:solidFill>
            <a:ln w="25400">
              <a:solidFill>
                <a:srgbClr val="339966"/>
              </a:solidFill>
              <a:prstDash val="solid"/>
            </a:ln>
          </c:spPr>
          <c:invertIfNegative val="0"/>
          <c:dLbls>
            <c:dLbl>
              <c:idx val="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A165-4B48-B904-C7D511AC3480}"/>
                </c:ext>
              </c:extLst>
            </c:dLbl>
            <c:dLbl>
              <c:idx val="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165-4B48-B904-C7D511AC3480}"/>
                </c:ext>
              </c:extLst>
            </c:dLbl>
            <c:dLbl>
              <c:idx val="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A165-4B48-B904-C7D511AC3480}"/>
                </c:ext>
              </c:extLst>
            </c:dLbl>
            <c:dLbl>
              <c:idx val="4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A165-4B48-B904-C7D511AC3480}"/>
                </c:ext>
              </c:extLst>
            </c:dLbl>
            <c:dLbl>
              <c:idx val="6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A165-4B48-B904-C7D511AC3480}"/>
                </c:ext>
              </c:extLst>
            </c:dLbl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Programas'!$BA$8:$BL$8</c:f>
              <c:numCache>
                <c:formatCode>0.0%</c:formatCode>
                <c:ptCount val="12"/>
                <c:pt idx="0">
                  <c:v>0.04</c:v>
                </c:pt>
                <c:pt idx="1">
                  <c:v>0</c:v>
                </c:pt>
                <c:pt idx="2">
                  <c:v>0.13</c:v>
                </c:pt>
                <c:pt idx="3">
                  <c:v>0.18</c:v>
                </c:pt>
                <c:pt idx="4">
                  <c:v>0.25</c:v>
                </c:pt>
                <c:pt idx="5">
                  <c:v>0.28999999999999998</c:v>
                </c:pt>
                <c:pt idx="6">
                  <c:v>0.39</c:v>
                </c:pt>
                <c:pt idx="7">
                  <c:v>0.44</c:v>
                </c:pt>
                <c:pt idx="8">
                  <c:v>0.53</c:v>
                </c:pt>
                <c:pt idx="9">
                  <c:v>0.63</c:v>
                </c:pt>
                <c:pt idx="10">
                  <c:v>0.69</c:v>
                </c:pt>
                <c:pt idx="11">
                  <c:v>0.83383438540103616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165-4B48-B904-C7D511AC3480}"/>
            </c:ext>
          </c:extLst>
        </c:ser>
        <c:ser>
          <c:idx val="3"/>
          <c:order val="3"/>
          <c:tx>
            <c:strRef>
              <c:f>'Ejecucion por Programas'!$AZ$9</c:f>
              <c:strCache>
                <c:ptCount val="1"/>
                <c:pt idx="0">
                  <c:v>PROG 789</c:v>
                </c:pt>
              </c:strCache>
            </c:strRef>
          </c:tx>
          <c:spPr>
            <a:solidFill>
              <a:srgbClr val="D39E00"/>
            </a:solidFill>
            <a:ln w="25400">
              <a:solidFill>
                <a:srgbClr val="993300"/>
              </a:solidFill>
              <a:prstDash val="solid"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Programas'!$BA$9:$BL$9</c:f>
              <c:numCache>
                <c:formatCode>0.0%</c:formatCode>
                <c:ptCount val="12"/>
                <c:pt idx="0">
                  <c:v>0.1</c:v>
                </c:pt>
                <c:pt idx="1">
                  <c:v>0</c:v>
                </c:pt>
                <c:pt idx="2">
                  <c:v>0.23</c:v>
                </c:pt>
                <c:pt idx="3">
                  <c:v>0.28999999999999998</c:v>
                </c:pt>
                <c:pt idx="4">
                  <c:v>0.35</c:v>
                </c:pt>
                <c:pt idx="5">
                  <c:v>0.43</c:v>
                </c:pt>
                <c:pt idx="6">
                  <c:v>0.5</c:v>
                </c:pt>
                <c:pt idx="7">
                  <c:v>0.57000000000000006</c:v>
                </c:pt>
                <c:pt idx="8">
                  <c:v>0.65</c:v>
                </c:pt>
                <c:pt idx="9">
                  <c:v>0.73</c:v>
                </c:pt>
                <c:pt idx="10">
                  <c:v>0.8</c:v>
                </c:pt>
                <c:pt idx="11">
                  <c:v>0.92703555727861331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165-4B48-B904-C7D511AC3480}"/>
            </c:ext>
          </c:extLst>
        </c:ser>
        <c:ser>
          <c:idx val="4"/>
          <c:order val="4"/>
          <c:tx>
            <c:strRef>
              <c:f>'Ejecucion por Programas'!$AZ$10</c:f>
              <c:strCache>
                <c:ptCount val="1"/>
                <c:pt idx="0">
                  <c:v>PROG 78901</c:v>
                </c:pt>
              </c:strCache>
            </c:strRef>
          </c:tx>
          <c:spPr>
            <a:solidFill>
              <a:srgbClr val="375DA1"/>
            </a:solidFill>
            <a:ln w="25400">
              <a:solidFill>
                <a:srgbClr val="808000"/>
              </a:solidFill>
              <a:prstDash val="solid"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Programas'!$BA$10:$BL$10</c:f>
              <c:numCache>
                <c:formatCode>0.0%</c:formatCode>
                <c:ptCount val="12"/>
                <c:pt idx="0">
                  <c:v>0.06</c:v>
                </c:pt>
                <c:pt idx="1">
                  <c:v>0</c:v>
                </c:pt>
                <c:pt idx="2">
                  <c:v>0.19</c:v>
                </c:pt>
                <c:pt idx="3">
                  <c:v>0.23</c:v>
                </c:pt>
                <c:pt idx="4">
                  <c:v>0.33</c:v>
                </c:pt>
                <c:pt idx="5">
                  <c:v>0.41</c:v>
                </c:pt>
                <c:pt idx="6">
                  <c:v>0.47</c:v>
                </c:pt>
                <c:pt idx="7">
                  <c:v>0.52</c:v>
                </c:pt>
                <c:pt idx="8">
                  <c:v>0.61</c:v>
                </c:pt>
                <c:pt idx="9">
                  <c:v>0.68</c:v>
                </c:pt>
                <c:pt idx="10">
                  <c:v>0.73</c:v>
                </c:pt>
                <c:pt idx="11">
                  <c:v>0.91864866722705674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165-4B48-B904-C7D511AC3480}"/>
            </c:ext>
          </c:extLst>
        </c:ser>
        <c:ser>
          <c:idx val="5"/>
          <c:order val="5"/>
          <c:tx>
            <c:strRef>
              <c:f>'Ejecucion por Programas'!$AZ$11</c:f>
              <c:strCache>
                <c:ptCount val="1"/>
                <c:pt idx="0">
                  <c:v>PROG 78902</c:v>
                </c:pt>
              </c:strCache>
            </c:strRef>
          </c:tx>
          <c:spPr>
            <a:solidFill>
              <a:srgbClr val="5B8E39"/>
            </a:solidFill>
            <a:ln w="25400">
              <a:noFill/>
            </a:ln>
          </c:spPr>
          <c:invertIfNegative val="0"/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Programas'!$BA$11:$BL$11</c:f>
              <c:numCache>
                <c:formatCode>0.0%</c:formatCode>
                <c:ptCount val="12"/>
                <c:pt idx="0">
                  <c:v>0.06</c:v>
                </c:pt>
                <c:pt idx="1">
                  <c:v>0</c:v>
                </c:pt>
                <c:pt idx="2">
                  <c:v>0.18</c:v>
                </c:pt>
                <c:pt idx="3">
                  <c:v>0.24</c:v>
                </c:pt>
                <c:pt idx="4">
                  <c:v>0.31</c:v>
                </c:pt>
                <c:pt idx="5">
                  <c:v>0.38</c:v>
                </c:pt>
                <c:pt idx="6">
                  <c:v>0.46</c:v>
                </c:pt>
                <c:pt idx="7">
                  <c:v>0.52</c:v>
                </c:pt>
                <c:pt idx="8">
                  <c:v>0.59</c:v>
                </c:pt>
                <c:pt idx="9">
                  <c:v>0.65</c:v>
                </c:pt>
                <c:pt idx="10">
                  <c:v>0.75</c:v>
                </c:pt>
                <c:pt idx="11">
                  <c:v>0.89989949934264191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165-4B48-B904-C7D511AC3480}"/>
            </c:ext>
          </c:extLst>
        </c:ser>
        <c:ser>
          <c:idx val="6"/>
          <c:order val="6"/>
          <c:tx>
            <c:strRef>
              <c:f>'Ejecucion por Programas'!$AZ$12</c:f>
              <c:strCache>
                <c:ptCount val="1"/>
                <c:pt idx="0">
                  <c:v>PROG 78903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Programas'!$BA$12:$BL$12</c:f>
              <c:numCache>
                <c:formatCode>0.0%</c:formatCode>
                <c:ptCount val="12"/>
                <c:pt idx="0">
                  <c:v>0.09</c:v>
                </c:pt>
                <c:pt idx="1">
                  <c:v>0</c:v>
                </c:pt>
                <c:pt idx="2">
                  <c:v>0.23</c:v>
                </c:pt>
                <c:pt idx="3">
                  <c:v>0.28999999999999998</c:v>
                </c:pt>
                <c:pt idx="4">
                  <c:v>0.37</c:v>
                </c:pt>
                <c:pt idx="5">
                  <c:v>0.44</c:v>
                </c:pt>
                <c:pt idx="6">
                  <c:v>0.5</c:v>
                </c:pt>
                <c:pt idx="7">
                  <c:v>0.56000000000000005</c:v>
                </c:pt>
                <c:pt idx="8">
                  <c:v>0.65</c:v>
                </c:pt>
                <c:pt idx="9">
                  <c:v>0.7</c:v>
                </c:pt>
                <c:pt idx="10">
                  <c:v>0.76</c:v>
                </c:pt>
                <c:pt idx="11">
                  <c:v>0.90613923393060436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165-4B48-B904-C7D511AC3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342944"/>
        <c:axId val="1"/>
      </c:barChart>
      <c:lineChart>
        <c:grouping val="standard"/>
        <c:varyColors val="0"/>
        <c:ser>
          <c:idx val="0"/>
          <c:order val="7"/>
          <c:tx>
            <c:strRef>
              <c:f>'Ejecucion por Programas'!$AZ$13</c:f>
              <c:strCache>
                <c:ptCount val="1"/>
                <c:pt idx="0">
                  <c:v>PROG 78904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Programas'!$BA$13:$BL$13</c:f>
              <c:numCache>
                <c:formatCode>0.0%</c:formatCode>
                <c:ptCount val="12"/>
                <c:pt idx="0">
                  <c:v>0.09</c:v>
                </c:pt>
                <c:pt idx="1">
                  <c:v>0</c:v>
                </c:pt>
                <c:pt idx="2">
                  <c:v>0.22</c:v>
                </c:pt>
                <c:pt idx="3">
                  <c:v>0.28999999999999998</c:v>
                </c:pt>
                <c:pt idx="4">
                  <c:v>0.37</c:v>
                </c:pt>
                <c:pt idx="5">
                  <c:v>0.43</c:v>
                </c:pt>
                <c:pt idx="6">
                  <c:v>0.5</c:v>
                </c:pt>
                <c:pt idx="7">
                  <c:v>0.56000000000000005</c:v>
                </c:pt>
                <c:pt idx="8">
                  <c:v>0.63</c:v>
                </c:pt>
                <c:pt idx="9">
                  <c:v>0.69</c:v>
                </c:pt>
                <c:pt idx="10">
                  <c:v>0.77</c:v>
                </c:pt>
                <c:pt idx="11">
                  <c:v>0.89604929300947067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165-4B48-B904-C7D511AC3480}"/>
            </c:ext>
          </c:extLst>
        </c:ser>
        <c:ser>
          <c:idx val="1"/>
          <c:order val="8"/>
          <c:tx>
            <c:strRef>
              <c:f>'Ejecucion por Programas'!$AZ$14</c:f>
              <c:strCache>
                <c:ptCount val="1"/>
                <c:pt idx="0">
                  <c:v>PROG 78905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Programas'!$BA$14:$BL$14</c:f>
              <c:numCache>
                <c:formatCode>0.0%</c:formatCode>
                <c:ptCount val="12"/>
                <c:pt idx="0">
                  <c:v>0.1</c:v>
                </c:pt>
                <c:pt idx="1">
                  <c:v>0</c:v>
                </c:pt>
                <c:pt idx="2">
                  <c:v>0.24</c:v>
                </c:pt>
                <c:pt idx="3">
                  <c:v>0.31</c:v>
                </c:pt>
                <c:pt idx="4">
                  <c:v>0.37</c:v>
                </c:pt>
                <c:pt idx="5">
                  <c:v>0.43</c:v>
                </c:pt>
                <c:pt idx="6">
                  <c:v>0.5</c:v>
                </c:pt>
                <c:pt idx="7">
                  <c:v>0.57000000000000006</c:v>
                </c:pt>
                <c:pt idx="8">
                  <c:v>0.63</c:v>
                </c:pt>
                <c:pt idx="9">
                  <c:v>0.7</c:v>
                </c:pt>
                <c:pt idx="10">
                  <c:v>0.77</c:v>
                </c:pt>
                <c:pt idx="11">
                  <c:v>0.89242275866475074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165-4B48-B904-C7D511AC3480}"/>
            </c:ext>
          </c:extLst>
        </c:ser>
        <c:ser>
          <c:idx val="2"/>
          <c:order val="9"/>
          <c:tx>
            <c:strRef>
              <c:f>'Ejecucion por Programas'!$AZ$15</c:f>
              <c:strCache>
                <c:ptCount val="1"/>
                <c:pt idx="0">
                  <c:v>PROG 78906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Programas'!$BA$15:$BL$15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0.2</c:v>
                </c:pt>
                <c:pt idx="4">
                  <c:v>0.28000000000000003</c:v>
                </c:pt>
                <c:pt idx="5">
                  <c:v>0.36</c:v>
                </c:pt>
                <c:pt idx="6">
                  <c:v>0.37</c:v>
                </c:pt>
                <c:pt idx="7">
                  <c:v>0.5</c:v>
                </c:pt>
                <c:pt idx="8">
                  <c:v>0.56000000000000005</c:v>
                </c:pt>
                <c:pt idx="9">
                  <c:v>0.62</c:v>
                </c:pt>
                <c:pt idx="10">
                  <c:v>0.68</c:v>
                </c:pt>
                <c:pt idx="11">
                  <c:v>0.86131552571821479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65-4B48-B904-C7D511AC3480}"/>
            </c:ext>
          </c:extLst>
        </c:ser>
        <c:ser>
          <c:idx val="3"/>
          <c:order val="10"/>
          <c:tx>
            <c:strRef>
              <c:f>'Ejecucion por Programas'!$AZ$16</c:f>
              <c:strCache>
                <c:ptCount val="1"/>
                <c:pt idx="0">
                  <c:v>PROG 790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Programas'!$BA$16:$BL$16</c:f>
              <c:numCache>
                <c:formatCode>0.0%</c:formatCode>
                <c:ptCount val="12"/>
                <c:pt idx="0">
                  <c:v>0.09</c:v>
                </c:pt>
                <c:pt idx="1">
                  <c:v>0</c:v>
                </c:pt>
                <c:pt idx="2">
                  <c:v>0.21</c:v>
                </c:pt>
                <c:pt idx="3">
                  <c:v>0.28000000000000003</c:v>
                </c:pt>
                <c:pt idx="4">
                  <c:v>0.34</c:v>
                </c:pt>
                <c:pt idx="5">
                  <c:v>0.39</c:v>
                </c:pt>
                <c:pt idx="6">
                  <c:v>0.47</c:v>
                </c:pt>
                <c:pt idx="7">
                  <c:v>0.53</c:v>
                </c:pt>
                <c:pt idx="8">
                  <c:v>0.60000000000000009</c:v>
                </c:pt>
                <c:pt idx="9">
                  <c:v>0.67</c:v>
                </c:pt>
                <c:pt idx="10">
                  <c:v>0.74</c:v>
                </c:pt>
                <c:pt idx="11">
                  <c:v>0.86565319792748896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165-4B48-B904-C7D511AC3480}"/>
            </c:ext>
          </c:extLst>
        </c:ser>
        <c:ser>
          <c:idx val="4"/>
          <c:order val="11"/>
          <c:tx>
            <c:strRef>
              <c:f>'Ejecucion por Programas'!$AZ$17</c:f>
              <c:strCache>
                <c:ptCount val="1"/>
                <c:pt idx="0">
                  <c:v>PROG 791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Programas'!$BA$17:$BL$17</c:f>
              <c:numCache>
                <c:formatCode>0.0%</c:formatCode>
                <c:ptCount val="12"/>
                <c:pt idx="0">
                  <c:v>0.12</c:v>
                </c:pt>
                <c:pt idx="1">
                  <c:v>0</c:v>
                </c:pt>
                <c:pt idx="2">
                  <c:v>0.26</c:v>
                </c:pt>
                <c:pt idx="3">
                  <c:v>0.33</c:v>
                </c:pt>
                <c:pt idx="4">
                  <c:v>0.4</c:v>
                </c:pt>
                <c:pt idx="5">
                  <c:v>0.47</c:v>
                </c:pt>
                <c:pt idx="6">
                  <c:v>0.54</c:v>
                </c:pt>
                <c:pt idx="7">
                  <c:v>0.61</c:v>
                </c:pt>
                <c:pt idx="8">
                  <c:v>0.68</c:v>
                </c:pt>
                <c:pt idx="9">
                  <c:v>0.75</c:v>
                </c:pt>
                <c:pt idx="10">
                  <c:v>0.82</c:v>
                </c:pt>
                <c:pt idx="11">
                  <c:v>0.95182045914737623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165-4B48-B904-C7D511AC3480}"/>
            </c:ext>
          </c:extLst>
        </c:ser>
        <c:ser>
          <c:idx val="5"/>
          <c:order val="12"/>
          <c:tx>
            <c:strRef>
              <c:f>'Ejecucion por Programas'!$AZ$18</c:f>
              <c:strCache>
                <c:ptCount val="1"/>
                <c:pt idx="0">
                  <c:v>PROG 793</c:v>
                </c:pt>
              </c:strCache>
            </c:strRef>
          </c:tx>
          <c:spPr>
            <a:ln w="12700">
              <a:solidFill>
                <a:srgbClr val="99CCFF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Programas'!$BA$18:$BL$18</c:f>
              <c:numCache>
                <c:formatCode>0.0%</c:formatCode>
                <c:ptCount val="12"/>
                <c:pt idx="0">
                  <c:v>0.12</c:v>
                </c:pt>
                <c:pt idx="1">
                  <c:v>0</c:v>
                </c:pt>
                <c:pt idx="2">
                  <c:v>0.27</c:v>
                </c:pt>
                <c:pt idx="3">
                  <c:v>0.35</c:v>
                </c:pt>
                <c:pt idx="4">
                  <c:v>0.42</c:v>
                </c:pt>
                <c:pt idx="5">
                  <c:v>0.49</c:v>
                </c:pt>
                <c:pt idx="6">
                  <c:v>0.56000000000000005</c:v>
                </c:pt>
                <c:pt idx="7">
                  <c:v>0.63</c:v>
                </c:pt>
                <c:pt idx="8">
                  <c:v>0.71</c:v>
                </c:pt>
                <c:pt idx="9">
                  <c:v>0.78</c:v>
                </c:pt>
                <c:pt idx="10">
                  <c:v>0.85</c:v>
                </c:pt>
                <c:pt idx="11">
                  <c:v>0.98495206109281808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165-4B48-B904-C7D511AC3480}"/>
            </c:ext>
          </c:extLst>
        </c:ser>
        <c:ser>
          <c:idx val="6"/>
          <c:order val="13"/>
          <c:tx>
            <c:strRef>
              <c:f>'Ejecucion por Programas'!$AZ$19</c:f>
              <c:strCache>
                <c:ptCount val="1"/>
                <c:pt idx="0">
                  <c:v>PROG 794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Programas'!$BA$19:$BL$19</c:f>
              <c:numCache>
                <c:formatCode>0.0%</c:formatCode>
                <c:ptCount val="12"/>
                <c:pt idx="0">
                  <c:v>0.12</c:v>
                </c:pt>
                <c:pt idx="1">
                  <c:v>0</c:v>
                </c:pt>
                <c:pt idx="2">
                  <c:v>0.25</c:v>
                </c:pt>
                <c:pt idx="3">
                  <c:v>0.32</c:v>
                </c:pt>
                <c:pt idx="4">
                  <c:v>0.38</c:v>
                </c:pt>
                <c:pt idx="5">
                  <c:v>0.45</c:v>
                </c:pt>
                <c:pt idx="6">
                  <c:v>0.53</c:v>
                </c:pt>
                <c:pt idx="7">
                  <c:v>0.60000000000000009</c:v>
                </c:pt>
                <c:pt idx="8">
                  <c:v>0.67</c:v>
                </c:pt>
                <c:pt idx="9">
                  <c:v>0.74</c:v>
                </c:pt>
                <c:pt idx="10">
                  <c:v>0.81</c:v>
                </c:pt>
                <c:pt idx="11">
                  <c:v>0.94028106022732461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65-4B48-B904-C7D511AC3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9342944"/>
        <c:axId val="1"/>
      </c:lineChart>
      <c:catAx>
        <c:axId val="89934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42944"/>
        <c:crossesAt val="1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632409332047165"/>
          <c:y val="0.9282155669471096"/>
          <c:w val="0.61303096791974698"/>
          <c:h val="3.94985347637067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C0C0C0"/>
              </a:solidFill>
              <a:latin typeface="Calibri"/>
              <a:ea typeface="Calibri"/>
              <a:cs typeface="Calibri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rgbClr val="1F4E79"/>
    </a:solidFill>
    <a:ln w="12700">
      <a:solidFill>
        <a:srgbClr val="003366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288205361400154E-2"/>
          <c:y val="4.8340035445867971E-2"/>
          <c:w val="0.94555530811738719"/>
          <c:h val="0.800631837072188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'ANALISIS POR PROG'!$C$5</c:f>
              <c:strCache>
                <c:ptCount val="1"/>
                <c:pt idx="0">
                  <c:v>Apropiación Actual 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8080" mc:Ignorable="a14" a14:legacySpreadsheetColorIndex="29"/>
                </a:gs>
                <a:gs pos="100000">
                  <a:srgbClr xmlns:mc="http://schemas.openxmlformats.org/markup-compatibility/2006" xmlns:a14="http://schemas.microsoft.com/office/drawing/2010/main" val="FF6600" mc:Ignorable="a14" a14:legacySpreadsheetColorIndex="53"/>
                </a:gs>
              </a:gsLst>
              <a:lin ang="5400000" scaled="1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53F-4FD5-B5E5-D6EC5B19602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53F-4FD5-B5E5-D6EC5B19602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3F-4FD5-B5E5-D6EC5B19602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3F-4FD5-B5E5-D6EC5B19602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3F-4FD5-B5E5-D6EC5B19602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3F-4FD5-B5E5-D6EC5B19602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53F-4FD5-B5E5-D6EC5B19602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53F-4FD5-B5E5-D6EC5B19602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53F-4FD5-B5E5-D6EC5B19602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53F-4FD5-B5E5-D6EC5B19602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53F-4FD5-B5E5-D6EC5B19602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53F-4FD5-B5E5-D6EC5B19602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53F-4FD5-B5E5-D6EC5B19602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53F-4FD5-B5E5-D6EC5B196022}"/>
              </c:ext>
            </c:extLst>
          </c:dPt>
          <c:dLbls>
            <c:dLbl>
              <c:idx val="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53F-4FD5-B5E5-D6EC5B196022}"/>
                </c:ext>
              </c:extLst>
            </c:dLbl>
            <c:dLbl>
              <c:idx val="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53F-4FD5-B5E5-D6EC5B196022}"/>
                </c:ext>
              </c:extLst>
            </c:dLbl>
            <c:dLbl>
              <c:idx val="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53F-4FD5-B5E5-D6EC5B196022}"/>
                </c:ext>
              </c:extLst>
            </c:dLbl>
            <c:dLbl>
              <c:idx val="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53F-4FD5-B5E5-D6EC5B196022}"/>
                </c:ext>
              </c:extLst>
            </c:dLbl>
            <c:dLbl>
              <c:idx val="4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553F-4FD5-B5E5-D6EC5B196022}"/>
                </c:ext>
              </c:extLst>
            </c:dLbl>
            <c:dLbl>
              <c:idx val="5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53F-4FD5-B5E5-D6EC5B196022}"/>
                </c:ext>
              </c:extLst>
            </c:dLbl>
            <c:dLbl>
              <c:idx val="6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53F-4FD5-B5E5-D6EC5B196022}"/>
                </c:ext>
              </c:extLst>
            </c:dLbl>
            <c:dLbl>
              <c:idx val="7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553F-4FD5-B5E5-D6EC5B196022}"/>
                </c:ext>
              </c:extLst>
            </c:dLbl>
            <c:dLbl>
              <c:idx val="8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553F-4FD5-B5E5-D6EC5B196022}"/>
                </c:ext>
              </c:extLst>
            </c:dLbl>
            <c:dLbl>
              <c:idx val="9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53F-4FD5-B5E5-D6EC5B196022}"/>
                </c:ext>
              </c:extLst>
            </c:dLbl>
            <c:dLbl>
              <c:idx val="1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553F-4FD5-B5E5-D6EC5B196022}"/>
                </c:ext>
              </c:extLst>
            </c:dLbl>
            <c:dLbl>
              <c:idx val="1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53F-4FD5-B5E5-D6EC5B196022}"/>
                </c:ext>
              </c:extLst>
            </c:dLbl>
            <c:dLbl>
              <c:idx val="1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553F-4FD5-B5E5-D6EC5B196022}"/>
                </c:ext>
              </c:extLst>
            </c:dLbl>
            <c:dLbl>
              <c:idx val="1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553F-4FD5-B5E5-D6EC5B196022}"/>
                </c:ext>
              </c:extLst>
            </c:dLbl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'ANALISIS POR PROG'!$B$6:$B$19</c:f>
              <c:strCache>
                <c:ptCount val="14"/>
                <c:pt idx="0">
                  <c:v>PROG 786</c:v>
                </c:pt>
                <c:pt idx="1">
                  <c:v>PROG 787</c:v>
                </c:pt>
                <c:pt idx="2">
                  <c:v>PROG 788</c:v>
                </c:pt>
                <c:pt idx="3">
                  <c:v>PROG 789</c:v>
                </c:pt>
                <c:pt idx="4">
                  <c:v>PROG 78901</c:v>
                </c:pt>
                <c:pt idx="5">
                  <c:v>PROG 78902</c:v>
                </c:pt>
                <c:pt idx="6">
                  <c:v>PROG 78903</c:v>
                </c:pt>
                <c:pt idx="7">
                  <c:v>PROG 78904</c:v>
                </c:pt>
                <c:pt idx="8">
                  <c:v>PROG 78905</c:v>
                </c:pt>
                <c:pt idx="9">
                  <c:v>PROG 78906</c:v>
                </c:pt>
                <c:pt idx="10">
                  <c:v>PROG 790</c:v>
                </c:pt>
                <c:pt idx="11">
                  <c:v>PROG 791</c:v>
                </c:pt>
                <c:pt idx="12">
                  <c:v>PROG 793</c:v>
                </c:pt>
                <c:pt idx="13">
                  <c:v>PROG 794</c:v>
                </c:pt>
              </c:strCache>
            </c:strRef>
          </c:cat>
          <c:val>
            <c:numRef>
              <c:f>'ANALISIS POR PROG'!$D$6:$D$19</c:f>
              <c:numCache>
                <c:formatCode>0%</c:formatCode>
                <c:ptCount val="14"/>
                <c:pt idx="0">
                  <c:v>1.4023317081900639E-2</c:v>
                </c:pt>
                <c:pt idx="1">
                  <c:v>2.3366216766137232E-2</c:v>
                </c:pt>
                <c:pt idx="2">
                  <c:v>1.9201903079505547E-2</c:v>
                </c:pt>
                <c:pt idx="3">
                  <c:v>0.51048610741829303</c:v>
                </c:pt>
                <c:pt idx="4">
                  <c:v>0.18697200039682474</c:v>
                </c:pt>
                <c:pt idx="5">
                  <c:v>1.4189788978153896E-2</c:v>
                </c:pt>
                <c:pt idx="6">
                  <c:v>9.7687982856262869E-3</c:v>
                </c:pt>
                <c:pt idx="7">
                  <c:v>1.5245719511262704E-2</c:v>
                </c:pt>
                <c:pt idx="8">
                  <c:v>7.7944653422736777E-3</c:v>
                </c:pt>
                <c:pt idx="9">
                  <c:v>4.6911329496808714E-2</c:v>
                </c:pt>
                <c:pt idx="10">
                  <c:v>8.5264843089251901E-3</c:v>
                </c:pt>
                <c:pt idx="11">
                  <c:v>5.1146176775267171E-2</c:v>
                </c:pt>
                <c:pt idx="12">
                  <c:v>6.0347732473696319E-3</c:v>
                </c:pt>
                <c:pt idx="13">
                  <c:v>8.6332919311651518E-2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53F-4FD5-B5E5-D6EC5B196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99354944"/>
        <c:axId val="1"/>
      </c:barChart>
      <c:catAx>
        <c:axId val="89935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54944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COMPROMETIDO POR PROGRAMA 2020</a:t>
            </a:r>
          </a:p>
        </c:rich>
      </c:tx>
      <c:layout>
        <c:manualLayout>
          <c:xMode val="edge"/>
          <c:yMode val="edge"/>
          <c:x val="0.22138402976564259"/>
          <c:y val="5.3861638314145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3236873353264013E-2"/>
          <c:y val="0.16338030288624172"/>
          <c:w val="0.96792139731505189"/>
          <c:h val="0.725336729297161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'Ejecucion por Programas'!$AZ$9</c:f>
              <c:strCache>
                <c:ptCount val="1"/>
                <c:pt idx="0">
                  <c:v>PROG 789</c:v>
                </c:pt>
              </c:strCache>
            </c:strRef>
          </c:tx>
          <c:spPr>
            <a:solidFill>
              <a:srgbClr val="E2AA00"/>
            </a:solidFill>
            <a:ln w="25400">
              <a:solidFill>
                <a:srgbClr val="993300"/>
              </a:solidFill>
              <a:prstDash val="solid"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Programas'!$BA$9:$BL$9</c:f>
              <c:numCache>
                <c:formatCode>0.0%</c:formatCode>
                <c:ptCount val="12"/>
                <c:pt idx="0">
                  <c:v>0.1</c:v>
                </c:pt>
                <c:pt idx="1">
                  <c:v>0</c:v>
                </c:pt>
                <c:pt idx="2">
                  <c:v>0.23</c:v>
                </c:pt>
                <c:pt idx="3">
                  <c:v>0.28999999999999998</c:v>
                </c:pt>
                <c:pt idx="4">
                  <c:v>0.35</c:v>
                </c:pt>
                <c:pt idx="5">
                  <c:v>0.43</c:v>
                </c:pt>
                <c:pt idx="6">
                  <c:v>0.5</c:v>
                </c:pt>
                <c:pt idx="7">
                  <c:v>0.57000000000000006</c:v>
                </c:pt>
                <c:pt idx="8">
                  <c:v>0.65</c:v>
                </c:pt>
                <c:pt idx="9">
                  <c:v>0.73</c:v>
                </c:pt>
                <c:pt idx="10">
                  <c:v>0.8</c:v>
                </c:pt>
                <c:pt idx="11">
                  <c:v>0.92703555727861331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E-4A87-B560-47EC289F5E39}"/>
            </c:ext>
          </c:extLst>
        </c:ser>
        <c:ser>
          <c:idx val="1"/>
          <c:order val="1"/>
          <c:tx>
            <c:strRef>
              <c:f>'Ejecucion por Programas'!$AZ$10</c:f>
              <c:strCache>
                <c:ptCount val="1"/>
                <c:pt idx="0">
                  <c:v>PROG 78901</c:v>
                </c:pt>
              </c:strCache>
            </c:strRef>
          </c:tx>
          <c:spPr>
            <a:solidFill>
              <a:srgbClr val="3B64AD"/>
            </a:solidFill>
            <a:ln w="25400">
              <a:solidFill>
                <a:srgbClr val="808000"/>
              </a:solidFill>
              <a:prstDash val="solid"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Programas'!$BA$10:$BL$10</c:f>
              <c:numCache>
                <c:formatCode>0.0%</c:formatCode>
                <c:ptCount val="12"/>
                <c:pt idx="0">
                  <c:v>0.06</c:v>
                </c:pt>
                <c:pt idx="1">
                  <c:v>0</c:v>
                </c:pt>
                <c:pt idx="2">
                  <c:v>0.19</c:v>
                </c:pt>
                <c:pt idx="3">
                  <c:v>0.23</c:v>
                </c:pt>
                <c:pt idx="4">
                  <c:v>0.33</c:v>
                </c:pt>
                <c:pt idx="5">
                  <c:v>0.41</c:v>
                </c:pt>
                <c:pt idx="6">
                  <c:v>0.47</c:v>
                </c:pt>
                <c:pt idx="7">
                  <c:v>0.52</c:v>
                </c:pt>
                <c:pt idx="8">
                  <c:v>0.61</c:v>
                </c:pt>
                <c:pt idx="9">
                  <c:v>0.68</c:v>
                </c:pt>
                <c:pt idx="10">
                  <c:v>0.73</c:v>
                </c:pt>
                <c:pt idx="11">
                  <c:v>0.91864866722705674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AE-4A87-B560-47EC289F5E39}"/>
            </c:ext>
          </c:extLst>
        </c:ser>
        <c:ser>
          <c:idx val="2"/>
          <c:order val="2"/>
          <c:tx>
            <c:strRef>
              <c:f>'Ejecucion por Programas'!$AZ$11</c:f>
              <c:strCache>
                <c:ptCount val="1"/>
                <c:pt idx="0">
                  <c:v>PROG 78902</c:v>
                </c:pt>
              </c:strCache>
            </c:strRef>
          </c:tx>
          <c:spPr>
            <a:solidFill>
              <a:srgbClr val="62993E"/>
            </a:solidFill>
            <a:ln w="25400">
              <a:noFill/>
            </a:ln>
          </c:spPr>
          <c:invertIfNegative val="0"/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Programas'!$BA$11:$BL$11</c:f>
              <c:numCache>
                <c:formatCode>0.0%</c:formatCode>
                <c:ptCount val="12"/>
                <c:pt idx="0">
                  <c:v>0.06</c:v>
                </c:pt>
                <c:pt idx="1">
                  <c:v>0</c:v>
                </c:pt>
                <c:pt idx="2">
                  <c:v>0.18</c:v>
                </c:pt>
                <c:pt idx="3">
                  <c:v>0.24</c:v>
                </c:pt>
                <c:pt idx="4">
                  <c:v>0.31</c:v>
                </c:pt>
                <c:pt idx="5">
                  <c:v>0.38</c:v>
                </c:pt>
                <c:pt idx="6">
                  <c:v>0.46</c:v>
                </c:pt>
                <c:pt idx="7">
                  <c:v>0.52</c:v>
                </c:pt>
                <c:pt idx="8">
                  <c:v>0.59</c:v>
                </c:pt>
                <c:pt idx="9">
                  <c:v>0.65</c:v>
                </c:pt>
                <c:pt idx="10">
                  <c:v>0.75</c:v>
                </c:pt>
                <c:pt idx="11">
                  <c:v>0.89989949934264191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AE-4A87-B560-47EC289F5E39}"/>
            </c:ext>
          </c:extLst>
        </c:ser>
        <c:ser>
          <c:idx val="3"/>
          <c:order val="3"/>
          <c:tx>
            <c:strRef>
              <c:f>'Ejecucion por Programas'!$AZ$12</c:f>
              <c:strCache>
                <c:ptCount val="1"/>
                <c:pt idx="0">
                  <c:v>PROG 78903</c:v>
                </c:pt>
              </c:strCache>
            </c:strRef>
          </c:tx>
          <c:spPr>
            <a:solidFill>
              <a:srgbClr val="97B9E0"/>
            </a:solidFill>
            <a:ln w="25400">
              <a:noFill/>
            </a:ln>
          </c:spPr>
          <c:invertIfNegative val="0"/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Programas'!$BA$12:$BL$12</c:f>
              <c:numCache>
                <c:formatCode>0.0%</c:formatCode>
                <c:ptCount val="12"/>
                <c:pt idx="0">
                  <c:v>0.09</c:v>
                </c:pt>
                <c:pt idx="1">
                  <c:v>0</c:v>
                </c:pt>
                <c:pt idx="2">
                  <c:v>0.23</c:v>
                </c:pt>
                <c:pt idx="3">
                  <c:v>0.28999999999999998</c:v>
                </c:pt>
                <c:pt idx="4">
                  <c:v>0.37</c:v>
                </c:pt>
                <c:pt idx="5">
                  <c:v>0.44</c:v>
                </c:pt>
                <c:pt idx="6">
                  <c:v>0.5</c:v>
                </c:pt>
                <c:pt idx="7">
                  <c:v>0.56000000000000005</c:v>
                </c:pt>
                <c:pt idx="8">
                  <c:v>0.65</c:v>
                </c:pt>
                <c:pt idx="9">
                  <c:v>0.7</c:v>
                </c:pt>
                <c:pt idx="10">
                  <c:v>0.76</c:v>
                </c:pt>
                <c:pt idx="11">
                  <c:v>0.90613923393060436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AE-4A87-B560-47EC289F5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344944"/>
        <c:axId val="1"/>
      </c:barChart>
      <c:lineChart>
        <c:grouping val="standard"/>
        <c:varyColors val="0"/>
        <c:ser>
          <c:idx val="0"/>
          <c:order val="4"/>
          <c:tx>
            <c:strRef>
              <c:f>'Ejecucion por Programas'!$AZ$13</c:f>
              <c:strCache>
                <c:ptCount val="1"/>
                <c:pt idx="0">
                  <c:v>PROG 78904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Programas'!$BA$13:$BL$13</c:f>
              <c:numCache>
                <c:formatCode>0.0%</c:formatCode>
                <c:ptCount val="12"/>
                <c:pt idx="0">
                  <c:v>0.09</c:v>
                </c:pt>
                <c:pt idx="1">
                  <c:v>0</c:v>
                </c:pt>
                <c:pt idx="2">
                  <c:v>0.22</c:v>
                </c:pt>
                <c:pt idx="3">
                  <c:v>0.28999999999999998</c:v>
                </c:pt>
                <c:pt idx="4">
                  <c:v>0.37</c:v>
                </c:pt>
                <c:pt idx="5">
                  <c:v>0.43</c:v>
                </c:pt>
                <c:pt idx="6">
                  <c:v>0.5</c:v>
                </c:pt>
                <c:pt idx="7">
                  <c:v>0.56000000000000005</c:v>
                </c:pt>
                <c:pt idx="8">
                  <c:v>0.63</c:v>
                </c:pt>
                <c:pt idx="9">
                  <c:v>0.69</c:v>
                </c:pt>
                <c:pt idx="10">
                  <c:v>0.77</c:v>
                </c:pt>
                <c:pt idx="11">
                  <c:v>0.89604929300947067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AE-4A87-B560-47EC289F5E39}"/>
            </c:ext>
          </c:extLst>
        </c:ser>
        <c:ser>
          <c:idx val="1"/>
          <c:order val="5"/>
          <c:tx>
            <c:strRef>
              <c:f>'Ejecucion por Programas'!$AZ$14</c:f>
              <c:strCache>
                <c:ptCount val="1"/>
                <c:pt idx="0">
                  <c:v>PROG 78905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Programas'!$BA$14:$BL$14</c:f>
              <c:numCache>
                <c:formatCode>0.0%</c:formatCode>
                <c:ptCount val="12"/>
                <c:pt idx="0">
                  <c:v>0.1</c:v>
                </c:pt>
                <c:pt idx="1">
                  <c:v>0</c:v>
                </c:pt>
                <c:pt idx="2">
                  <c:v>0.24</c:v>
                </c:pt>
                <c:pt idx="3">
                  <c:v>0.31</c:v>
                </c:pt>
                <c:pt idx="4">
                  <c:v>0.37</c:v>
                </c:pt>
                <c:pt idx="5">
                  <c:v>0.43</c:v>
                </c:pt>
                <c:pt idx="6">
                  <c:v>0.5</c:v>
                </c:pt>
                <c:pt idx="7">
                  <c:v>0.57000000000000006</c:v>
                </c:pt>
                <c:pt idx="8">
                  <c:v>0.63</c:v>
                </c:pt>
                <c:pt idx="9">
                  <c:v>0.7</c:v>
                </c:pt>
                <c:pt idx="10">
                  <c:v>0.77</c:v>
                </c:pt>
                <c:pt idx="11">
                  <c:v>0.89242275866475074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AE-4A87-B560-47EC289F5E39}"/>
            </c:ext>
          </c:extLst>
        </c:ser>
        <c:ser>
          <c:idx val="2"/>
          <c:order val="6"/>
          <c:tx>
            <c:strRef>
              <c:f>'Ejecucion por Programas'!$AZ$15</c:f>
              <c:strCache>
                <c:ptCount val="1"/>
                <c:pt idx="0">
                  <c:v>PROG 78906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strRef>
              <c:f>'Ejecucion por Programas'!$BA$5:$BL$5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26-AGOSTO</c:v>
                </c:pt>
                <c:pt idx="8">
                  <c:v>30-SETIEMBRE</c:v>
                </c:pt>
                <c:pt idx="9">
                  <c:v>31-OCTUBRE</c:v>
                </c:pt>
                <c:pt idx="10">
                  <c:v>30-NOVIEMBRE</c:v>
                </c:pt>
                <c:pt idx="11">
                  <c:v>31-DICIEMBRE</c:v>
                </c:pt>
              </c:strCache>
            </c:strRef>
          </c:cat>
          <c:val>
            <c:numRef>
              <c:f>'Ejecucion por Programas'!$BA$15:$BL$15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0.2</c:v>
                </c:pt>
                <c:pt idx="4">
                  <c:v>0.28000000000000003</c:v>
                </c:pt>
                <c:pt idx="5">
                  <c:v>0.36</c:v>
                </c:pt>
                <c:pt idx="6">
                  <c:v>0.37</c:v>
                </c:pt>
                <c:pt idx="7">
                  <c:v>0.5</c:v>
                </c:pt>
                <c:pt idx="8">
                  <c:v>0.56000000000000005</c:v>
                </c:pt>
                <c:pt idx="9">
                  <c:v>0.62</c:v>
                </c:pt>
                <c:pt idx="10">
                  <c:v>0.68</c:v>
                </c:pt>
                <c:pt idx="11">
                  <c:v>0.86131552571821479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AE-4A87-B560-47EC289F5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9344944"/>
        <c:axId val="1"/>
      </c:lineChart>
      <c:catAx>
        <c:axId val="89934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44944"/>
        <c:crossesAt val="1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630423965666198"/>
          <c:y val="0.9282155669471096"/>
          <c:w val="0.32489373833927321"/>
          <c:h val="3.94985347637067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C0C0C0"/>
              </a:solidFill>
              <a:latin typeface="Calibri"/>
              <a:ea typeface="Calibri"/>
              <a:cs typeface="Calibri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rgbClr val="1F4E79"/>
    </a:solidFill>
    <a:ln w="12700">
      <a:solidFill>
        <a:srgbClr val="003366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253831371888351E-3"/>
          <c:y val="0.20146249862098778"/>
          <c:w val="0.96866522940482769"/>
          <c:h val="0.6262328270387331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349744"/>
        <c:axId val="1"/>
      </c:barChart>
      <c:catAx>
        <c:axId val="8993497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49744"/>
        <c:crosses val="autoZero"/>
        <c:crossBetween val="between"/>
      </c:valAx>
      <c:spPr>
        <a:solidFill>
          <a:srgbClr val="D9D9D9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Devengado</a:t>
            </a:r>
          </a:p>
        </c:rich>
      </c:tx>
      <c:layout>
        <c:manualLayout>
          <c:xMode val="edge"/>
          <c:yMode val="edge"/>
          <c:x val="0.4170470306513181"/>
          <c:y val="1.70737375314806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40052142351293E-2"/>
          <c:y val="0.2878144326735313"/>
          <c:w val="0.82528320854239712"/>
          <c:h val="0.604898129686743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342544"/>
        <c:axId val="1"/>
      </c:barChart>
      <c:catAx>
        <c:axId val="8993425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42544"/>
        <c:crosses val="autoZero"/>
        <c:crossBetween val="between"/>
      </c:valAx>
      <c:spPr>
        <a:solidFill>
          <a:srgbClr val="D9D9D9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COMPROMISO</a:t>
            </a:r>
          </a:p>
        </c:rich>
      </c:tx>
      <c:layout>
        <c:manualLayout>
          <c:xMode val="edge"/>
          <c:yMode val="edge"/>
          <c:x val="0.34516019332511583"/>
          <c:y val="2.9269264339681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1194384648382136E-2"/>
          <c:y val="0.31464459165157238"/>
          <c:w val="0.96458281053559403"/>
          <c:h val="0.548798706369021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349344"/>
        <c:axId val="1"/>
      </c:barChart>
      <c:catAx>
        <c:axId val="8993493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49344"/>
        <c:crosses val="autoZero"/>
        <c:crossBetween val="between"/>
      </c:valAx>
      <c:spPr>
        <a:solidFill>
          <a:srgbClr val="D9D9D9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DISPONIBLE</a:t>
            </a:r>
          </a:p>
        </c:rich>
      </c:tx>
      <c:layout>
        <c:manualLayout>
          <c:xMode val="edge"/>
          <c:yMode val="edge"/>
          <c:x val="0.39748480136741471"/>
          <c:y val="1.6908751009913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13092939983664"/>
          <c:y val="0.21739822727031474"/>
          <c:w val="0.54777057432258569"/>
          <c:h val="0.681181112113652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353744"/>
        <c:axId val="1"/>
      </c:barChart>
      <c:catAx>
        <c:axId val="8993537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53744"/>
        <c:crosses val="autoZero"/>
        <c:crossBetween val="between"/>
      </c:valAx>
      <c:spPr>
        <a:solidFill>
          <a:srgbClr val="D9D9D9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481394107342769E-3"/>
          <c:y val="1.5106261076833742E-2"/>
          <c:w val="0.98950518829623968"/>
          <c:h val="0.9728432133480928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3725744"/>
        <c:axId val="1"/>
      </c:barChart>
      <c:catAx>
        <c:axId val="10137257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013725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Devengado</a:t>
            </a:r>
          </a:p>
        </c:rich>
      </c:tx>
      <c:layout>
        <c:manualLayout>
          <c:xMode val="edge"/>
          <c:yMode val="edge"/>
          <c:x val="0.42054752726107086"/>
          <c:y val="3.100887431247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55942837040004E-3"/>
          <c:y val="0.29070819667942538"/>
          <c:w val="0.96346172633389138"/>
          <c:h val="0.6938235627415618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3728944"/>
        <c:axId val="1"/>
      </c:barChart>
      <c:catAx>
        <c:axId val="10137289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013728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481394107342769E-3"/>
          <c:y val="1.5106261076833742E-2"/>
          <c:w val="0.98950518829623968"/>
          <c:h val="0.9728432133480928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356144"/>
        <c:axId val="1"/>
      </c:barChart>
      <c:catAx>
        <c:axId val="8993561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56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Devengado</a:t>
            </a:r>
          </a:p>
        </c:rich>
      </c:tx>
      <c:layout>
        <c:manualLayout>
          <c:xMode val="edge"/>
          <c:yMode val="edge"/>
          <c:x val="0.42054752726107086"/>
          <c:y val="3.100887431247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55942837040004E-3"/>
          <c:y val="0.29070819667942538"/>
          <c:w val="0.96346172633389138"/>
          <c:h val="0.6938235627415618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3720944"/>
        <c:axId val="1"/>
      </c:barChart>
      <c:catAx>
        <c:axId val="10137209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013720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481394107342769E-3"/>
          <c:y val="1.5106261076833742E-2"/>
          <c:w val="0.98950518829623968"/>
          <c:h val="0.9728432133480928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3711344"/>
        <c:axId val="1"/>
      </c:barChart>
      <c:catAx>
        <c:axId val="10137113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013711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Devengado</a:t>
            </a:r>
          </a:p>
        </c:rich>
      </c:tx>
      <c:layout>
        <c:manualLayout>
          <c:xMode val="edge"/>
          <c:yMode val="edge"/>
          <c:x val="0.4125132314634497"/>
          <c:y val="3.100887431247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877305482267742E-2"/>
          <c:y val="0.33334539885907444"/>
          <c:w val="0.89846631852834691"/>
          <c:h val="0.4728853332651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'ANALISIS POR PROG'!$K$5</c:f>
              <c:strCache>
                <c:ptCount val="1"/>
                <c:pt idx="0">
                  <c:v>Devengado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8080" mc:Ignorable="a14" a14:legacySpreadsheetColorIndex="29"/>
                </a:gs>
                <a:gs pos="100000">
                  <a:srgbClr xmlns:mc="http://schemas.openxmlformats.org/markup-compatibility/2006" xmlns:a14="http://schemas.microsoft.com/office/drawing/2010/main" val="FF6600" mc:Ignorable="a14" a14:legacySpreadsheetColorIndex="53"/>
                </a:gs>
              </a:gsLst>
              <a:lin ang="5400000" scaled="1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6F1-49C5-BD53-055C87B6B69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6F1-49C5-BD53-055C87B6B69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6F1-49C5-BD53-055C87B6B69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6F1-49C5-BD53-055C87B6B69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6F1-49C5-BD53-055C87B6B69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6F1-49C5-BD53-055C87B6B69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6F1-49C5-BD53-055C87B6B69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6F1-49C5-BD53-055C87B6B69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6F1-49C5-BD53-055C87B6B69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6F1-49C5-BD53-055C87B6B69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6F1-49C5-BD53-055C87B6B69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6F1-49C5-BD53-055C87B6B69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6F1-49C5-BD53-055C87B6B699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6F1-49C5-BD53-055C87B6B699}"/>
              </c:ext>
            </c:extLst>
          </c:dPt>
          <c:dLbls>
            <c:dLbl>
              <c:idx val="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6F1-49C5-BD53-055C87B6B699}"/>
                </c:ext>
              </c:extLst>
            </c:dLbl>
            <c:dLbl>
              <c:idx val="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6F1-49C5-BD53-055C87B6B699}"/>
                </c:ext>
              </c:extLst>
            </c:dLbl>
            <c:dLbl>
              <c:idx val="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6F1-49C5-BD53-055C87B6B699}"/>
                </c:ext>
              </c:extLst>
            </c:dLbl>
            <c:dLbl>
              <c:idx val="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6F1-49C5-BD53-055C87B6B699}"/>
                </c:ext>
              </c:extLst>
            </c:dLbl>
            <c:dLbl>
              <c:idx val="4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6F1-49C5-BD53-055C87B6B699}"/>
                </c:ext>
              </c:extLst>
            </c:dLbl>
            <c:dLbl>
              <c:idx val="5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6F1-49C5-BD53-055C87B6B699}"/>
                </c:ext>
              </c:extLst>
            </c:dLbl>
            <c:dLbl>
              <c:idx val="6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06F1-49C5-BD53-055C87B6B699}"/>
                </c:ext>
              </c:extLst>
            </c:dLbl>
            <c:dLbl>
              <c:idx val="7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06F1-49C5-BD53-055C87B6B699}"/>
                </c:ext>
              </c:extLst>
            </c:dLbl>
            <c:dLbl>
              <c:idx val="8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06F1-49C5-BD53-055C87B6B699}"/>
                </c:ext>
              </c:extLst>
            </c:dLbl>
            <c:dLbl>
              <c:idx val="9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06F1-49C5-BD53-055C87B6B699}"/>
                </c:ext>
              </c:extLst>
            </c:dLbl>
            <c:dLbl>
              <c:idx val="1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06F1-49C5-BD53-055C87B6B699}"/>
                </c:ext>
              </c:extLst>
            </c:dLbl>
            <c:dLbl>
              <c:idx val="1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6F1-49C5-BD53-055C87B6B699}"/>
                </c:ext>
              </c:extLst>
            </c:dLbl>
            <c:dLbl>
              <c:idx val="1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06F1-49C5-BD53-055C87B6B699}"/>
                </c:ext>
              </c:extLst>
            </c:dLbl>
            <c:dLbl>
              <c:idx val="1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06F1-49C5-BD53-055C87B6B699}"/>
                </c:ext>
              </c:extLst>
            </c:dLbl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'ANALISIS POR PROG'!$B$6:$B$19</c:f>
              <c:strCache>
                <c:ptCount val="14"/>
                <c:pt idx="0">
                  <c:v>PROG 786</c:v>
                </c:pt>
                <c:pt idx="1">
                  <c:v>PROG 787</c:v>
                </c:pt>
                <c:pt idx="2">
                  <c:v>PROG 788</c:v>
                </c:pt>
                <c:pt idx="3">
                  <c:v>PROG 789</c:v>
                </c:pt>
                <c:pt idx="4">
                  <c:v>PROG 78901</c:v>
                </c:pt>
                <c:pt idx="5">
                  <c:v>PROG 78902</c:v>
                </c:pt>
                <c:pt idx="6">
                  <c:v>PROG 78903</c:v>
                </c:pt>
                <c:pt idx="7">
                  <c:v>PROG 78904</c:v>
                </c:pt>
                <c:pt idx="8">
                  <c:v>PROG 78905</c:v>
                </c:pt>
                <c:pt idx="9">
                  <c:v>PROG 78906</c:v>
                </c:pt>
                <c:pt idx="10">
                  <c:v>PROG 790</c:v>
                </c:pt>
                <c:pt idx="11">
                  <c:v>PROG 791</c:v>
                </c:pt>
                <c:pt idx="12">
                  <c:v>PROG 793</c:v>
                </c:pt>
                <c:pt idx="13">
                  <c:v>PROG 794</c:v>
                </c:pt>
              </c:strCache>
            </c:strRef>
          </c:cat>
          <c:val>
            <c:numRef>
              <c:f>'ANALISIS POR PROG'!$L$6:$L$19</c:f>
              <c:numCache>
                <c:formatCode>0%</c:formatCode>
                <c:ptCount val="14"/>
                <c:pt idx="0">
                  <c:v>0.86580219370546785</c:v>
                </c:pt>
                <c:pt idx="1">
                  <c:v>0.92942109788149929</c:v>
                </c:pt>
                <c:pt idx="2">
                  <c:v>0.83383438540103616</c:v>
                </c:pt>
                <c:pt idx="3">
                  <c:v>0.92703555727861331</c:v>
                </c:pt>
                <c:pt idx="4">
                  <c:v>0.91864866722705674</c:v>
                </c:pt>
                <c:pt idx="5">
                  <c:v>0.89989949934264191</c:v>
                </c:pt>
                <c:pt idx="6">
                  <c:v>0.90613923393060436</c:v>
                </c:pt>
                <c:pt idx="7">
                  <c:v>0.89604929300947067</c:v>
                </c:pt>
                <c:pt idx="8">
                  <c:v>0.89242275866475074</c:v>
                </c:pt>
                <c:pt idx="9">
                  <c:v>0.86131552571821479</c:v>
                </c:pt>
                <c:pt idx="10">
                  <c:v>0.86565319792748896</c:v>
                </c:pt>
                <c:pt idx="11">
                  <c:v>0.95182045914737623</c:v>
                </c:pt>
                <c:pt idx="12">
                  <c:v>0.98495206109281808</c:v>
                </c:pt>
                <c:pt idx="13">
                  <c:v>0.94028106022732461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6F1-49C5-BD53-055C87B6B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99355344"/>
        <c:axId val="1"/>
      </c:barChart>
      <c:catAx>
        <c:axId val="89935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55344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Devengado</a:t>
            </a:r>
          </a:p>
        </c:rich>
      </c:tx>
      <c:layout>
        <c:manualLayout>
          <c:xMode val="edge"/>
          <c:yMode val="edge"/>
          <c:x val="0.42054752726107086"/>
          <c:y val="3.100887431247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55942837040004E-3"/>
          <c:y val="0.29070819667942538"/>
          <c:w val="0.96346172633389138"/>
          <c:h val="0.6938235627415618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3733744"/>
        <c:axId val="1"/>
      </c:barChart>
      <c:catAx>
        <c:axId val="10137337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01373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481394107342769E-3"/>
          <c:y val="1.5106261076833742E-2"/>
          <c:w val="0.98950518829623968"/>
          <c:h val="0.9728432133480928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342144"/>
        <c:axId val="1"/>
      </c:barChart>
      <c:catAx>
        <c:axId val="8993421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42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Devengado</a:t>
            </a:r>
          </a:p>
        </c:rich>
      </c:tx>
      <c:layout>
        <c:manualLayout>
          <c:xMode val="edge"/>
          <c:yMode val="edge"/>
          <c:x val="0.42054752726107086"/>
          <c:y val="3.100887431247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55942837040004E-3"/>
          <c:y val="0.29070819667942538"/>
          <c:w val="0.96346172633389138"/>
          <c:h val="0.6938235627415618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350144"/>
        <c:axId val="1"/>
      </c:barChart>
      <c:catAx>
        <c:axId val="8993501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50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481394107342769E-3"/>
          <c:y val="1.5106261076833742E-2"/>
          <c:w val="0.98950518829623968"/>
          <c:h val="0.9728432133480928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352944"/>
        <c:axId val="1"/>
      </c:barChart>
      <c:catAx>
        <c:axId val="8993529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52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Devengado</a:t>
            </a:r>
          </a:p>
        </c:rich>
      </c:tx>
      <c:layout>
        <c:manualLayout>
          <c:xMode val="edge"/>
          <c:yMode val="edge"/>
          <c:x val="0.42054752726107086"/>
          <c:y val="3.100887431247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55942837040004E-3"/>
          <c:y val="0.29070819667942538"/>
          <c:w val="0.96346172633389138"/>
          <c:h val="0.6938235627415618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350944"/>
        <c:axId val="1"/>
      </c:barChart>
      <c:catAx>
        <c:axId val="8993509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50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481394107342769E-3"/>
          <c:y val="1.5106261076833742E-2"/>
          <c:w val="0.98950518829623968"/>
          <c:h val="0.9728432133480928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351344"/>
        <c:axId val="1"/>
      </c:barChart>
      <c:catAx>
        <c:axId val="8993513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51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Devengado</a:t>
            </a:r>
          </a:p>
        </c:rich>
      </c:tx>
      <c:layout>
        <c:manualLayout>
          <c:xMode val="edge"/>
          <c:yMode val="edge"/>
          <c:x val="0.42054752726107086"/>
          <c:y val="3.100887431247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55942837040004E-3"/>
          <c:y val="0.29070819667942538"/>
          <c:w val="0.96346172633389138"/>
          <c:h val="0.6938235627415618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343744"/>
        <c:axId val="1"/>
      </c:barChart>
      <c:catAx>
        <c:axId val="8993437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4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481394107342769E-3"/>
          <c:y val="1.5106261076833742E-2"/>
          <c:w val="0.98950518829623968"/>
          <c:h val="0.9728432133480928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345344"/>
        <c:axId val="1"/>
      </c:barChart>
      <c:catAx>
        <c:axId val="8993453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4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Devengado</a:t>
            </a:r>
          </a:p>
        </c:rich>
      </c:tx>
      <c:layout>
        <c:manualLayout>
          <c:xMode val="edge"/>
          <c:yMode val="edge"/>
          <c:x val="0.42054752726107086"/>
          <c:y val="3.100887431247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55942837040004E-3"/>
          <c:y val="0.29070819667942538"/>
          <c:w val="0.96346172633389138"/>
          <c:h val="0.6938235627415618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352144"/>
        <c:axId val="1"/>
      </c:barChart>
      <c:catAx>
        <c:axId val="8993521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52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15838203434962"/>
          <c:y val="7.9911147900562571E-2"/>
          <c:w val="0.75178434078495626"/>
          <c:h val="0.8424918164373597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COMPARATIVO!$A$3</c:f>
              <c:strCache>
                <c:ptCount val="1"/>
                <c:pt idx="0">
                  <c:v>PROG 786-787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100000">
                  <a:srgbClr xmlns:mc="http://schemas.openxmlformats.org/markup-compatibility/2006" xmlns:a14="http://schemas.microsoft.com/office/drawing/2010/main" val="33CCCC" mc:Ignorable="a14" a14:legacySpreadsheetColorIndex="49"/>
                </a:gs>
              </a:gsLst>
              <a:lin ang="5400000" scaled="1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99FF" mc:Ignorable="a14" a14:legacySpreadsheetColorIndex="24"/>
                  </a:gs>
                  <a:gs pos="100000">
                    <a:srgbClr xmlns:mc="http://schemas.openxmlformats.org/markup-compatibility/2006" xmlns:a14="http://schemas.microsoft.com/office/drawing/2010/main" val="33CCCC" mc:Ignorable="a14" a14:legacySpreadsheetColorIndex="49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C970-41B3-B1A4-0C6D087BEA6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970-41B3-B1A4-0C6D087BEA60}"/>
              </c:ext>
            </c:extLst>
          </c:dPt>
          <c:dLbls>
            <c:dLbl>
              <c:idx val="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970-41B3-B1A4-0C6D087BEA60}"/>
                </c:ext>
              </c:extLst>
            </c:dLbl>
            <c:dLbl>
              <c:idx val="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970-41B3-B1A4-0C6D087BEA60}"/>
                </c:ext>
              </c:extLst>
            </c:dLbl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COMPARATIVO!$G$2:$H$2</c:f>
              <c:numCache>
                <c:formatCode>General</c:formatCode>
                <c:ptCount val="2"/>
                <c:pt idx="0">
                  <c:v>2020</c:v>
                </c:pt>
                <c:pt idx="1">
                  <c:v>2019</c:v>
                </c:pt>
              </c:numCache>
            </c:numRef>
          </c:cat>
          <c:val>
            <c:numRef>
              <c:f>(COMPARATIVO!$C$3,COMPARATIVO!$E$3)</c:f>
              <c:numCache>
                <c:formatCode>0%</c:formatCode>
                <c:ptCount val="2"/>
                <c:pt idx="0">
                  <c:v>3.7389533848037872E-2</c:v>
                </c:pt>
                <c:pt idx="1">
                  <c:v>1.680957733434366E-2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70-41B3-B1A4-0C6D087BEA60}"/>
            </c:ext>
          </c:extLst>
        </c:ser>
        <c:ser>
          <c:idx val="1"/>
          <c:order val="1"/>
          <c:tx>
            <c:strRef>
              <c:f>COMPARATIVO!$A$4</c:f>
              <c:strCache>
                <c:ptCount val="1"/>
                <c:pt idx="0">
                  <c:v>PROG 790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8080" mc:Ignorable="a14" a14:legacySpreadsheetColorIndex="29"/>
                </a:gs>
                <a:gs pos="100000">
                  <a:srgbClr xmlns:mc="http://schemas.openxmlformats.org/markup-compatibility/2006" xmlns:a14="http://schemas.microsoft.com/office/drawing/2010/main" val="FF6600" mc:Ignorable="a14" a14:legacySpreadsheetColorIndex="53"/>
                </a:gs>
              </a:gsLst>
              <a:lin ang="5400000" scaled="1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970-41B3-B1A4-0C6D087BEA6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970-41B3-B1A4-0C6D087BEA60}"/>
              </c:ext>
            </c:extLst>
          </c:dPt>
          <c:dLbls>
            <c:dLbl>
              <c:idx val="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970-41B3-B1A4-0C6D087BEA60}"/>
                </c:ext>
              </c:extLst>
            </c:dLbl>
            <c:dLbl>
              <c:idx val="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970-41B3-B1A4-0C6D087BEA60}"/>
                </c:ext>
              </c:extLst>
            </c:dLbl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COMPARATIVO!$G$2:$H$2</c:f>
              <c:numCache>
                <c:formatCode>General</c:formatCode>
                <c:ptCount val="2"/>
                <c:pt idx="0">
                  <c:v>2020</c:v>
                </c:pt>
                <c:pt idx="1">
                  <c:v>2019</c:v>
                </c:pt>
              </c:numCache>
            </c:numRef>
          </c:cat>
          <c:val>
            <c:numRef>
              <c:f>(COMPARATIVO!$C$4,COMPARATIVO!$E$4)</c:f>
              <c:numCache>
                <c:formatCode>0%</c:formatCode>
                <c:ptCount val="2"/>
                <c:pt idx="0">
                  <c:v>8.5264843089251901E-3</c:v>
                </c:pt>
                <c:pt idx="1">
                  <c:v>8.2657159497906817E-3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70-41B3-B1A4-0C6D087BEA60}"/>
            </c:ext>
          </c:extLst>
        </c:ser>
        <c:ser>
          <c:idx val="2"/>
          <c:order val="2"/>
          <c:tx>
            <c:strRef>
              <c:f>COMPARATIVO!$A$5</c:f>
              <c:strCache>
                <c:ptCount val="1"/>
                <c:pt idx="0">
                  <c:v>PROG 788-791-793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C0C0C0" mc:Ignorable="a14" a14:legacySpreadsheetColorIndex="22"/>
                </a:gs>
                <a:gs pos="100000">
                  <a:srgbClr xmlns:mc="http://schemas.openxmlformats.org/markup-compatibility/2006" xmlns:a14="http://schemas.microsoft.com/office/drawing/2010/main" val="969696" mc:Ignorable="a14" a14:legacySpreadsheetColorIndex="55"/>
                </a:gs>
              </a:gsLst>
              <a:lin ang="5400000" scaled="1"/>
            </a:gradFill>
            <a:ln w="25400">
              <a:noFill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COMPARATIVO!$G$2:$H$2</c:f>
              <c:numCache>
                <c:formatCode>General</c:formatCode>
                <c:ptCount val="2"/>
                <c:pt idx="0">
                  <c:v>2020</c:v>
                </c:pt>
                <c:pt idx="1">
                  <c:v>2019</c:v>
                </c:pt>
              </c:numCache>
            </c:numRef>
          </c:cat>
          <c:val>
            <c:numRef>
              <c:f>(COMPARATIVO!$C$5,COMPARATIVO!$E$5)</c:f>
              <c:numCache>
                <c:formatCode>0%</c:formatCode>
                <c:ptCount val="2"/>
                <c:pt idx="0">
                  <c:v>7.6382853102142351E-2</c:v>
                </c:pt>
                <c:pt idx="1">
                  <c:v>7.5894705086223035E-2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70-41B3-B1A4-0C6D087BEA60}"/>
            </c:ext>
          </c:extLst>
        </c:ser>
        <c:ser>
          <c:idx val="3"/>
          <c:order val="3"/>
          <c:tx>
            <c:strRef>
              <c:f>COMPARATIVO!$A$6</c:f>
              <c:strCache>
                <c:ptCount val="1"/>
                <c:pt idx="0">
                  <c:v>PROG 789-01,02,03,03,04,05,06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CC00" mc:Ignorable="a14" a14:legacySpreadsheetColorIndex="51"/>
                </a:gs>
                <a:gs pos="50000">
                  <a:srgbClr xmlns:mc="http://schemas.openxmlformats.org/markup-compatibility/2006" xmlns:a14="http://schemas.microsoft.com/office/drawing/2010/main" val="FFCC00" mc:Ignorable="a14" a14:legacySpreadsheetColorIndex="51"/>
                </a:gs>
                <a:gs pos="100000">
                  <a:srgbClr xmlns:mc="http://schemas.openxmlformats.org/markup-compatibility/2006" xmlns:a14="http://schemas.microsoft.com/office/drawing/2010/main" val="FFCC00" mc:Ignorable="a14" a14:legacySpreadsheetColorIndex="51"/>
                </a:gs>
              </a:gsLst>
              <a:lin ang="5400000" scaled="1"/>
            </a:gradFill>
            <a:ln w="25400">
              <a:noFill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COMPARATIVO!$G$2:$H$2</c:f>
              <c:numCache>
                <c:formatCode>General</c:formatCode>
                <c:ptCount val="2"/>
                <c:pt idx="0">
                  <c:v>2020</c:v>
                </c:pt>
                <c:pt idx="1">
                  <c:v>2019</c:v>
                </c:pt>
              </c:numCache>
            </c:numRef>
          </c:cat>
          <c:val>
            <c:numRef>
              <c:f>(COMPARATIVO!$C$6,COMPARATIVO!$E$6)</c:f>
              <c:numCache>
                <c:formatCode>0%</c:formatCode>
                <c:ptCount val="2"/>
                <c:pt idx="0">
                  <c:v>0.79136820942924313</c:v>
                </c:pt>
                <c:pt idx="1">
                  <c:v>0.80522938207329831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70-41B3-B1A4-0C6D087BEA60}"/>
            </c:ext>
          </c:extLst>
        </c:ser>
        <c:ser>
          <c:idx val="4"/>
          <c:order val="4"/>
          <c:tx>
            <c:strRef>
              <c:f>COMPARATIVO!$A$7</c:f>
              <c:strCache>
                <c:ptCount val="1"/>
                <c:pt idx="0">
                  <c:v>PROG 794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666699" mc:Ignorable="a14" a14:legacySpreadsheetColorIndex="54"/>
                </a:gs>
                <a:gs pos="100000">
                  <a:srgbClr xmlns:mc="http://schemas.openxmlformats.org/markup-compatibility/2006" xmlns:a14="http://schemas.microsoft.com/office/drawing/2010/main" val="0066CC" mc:Ignorable="a14" a14:legacySpreadsheetColorIndex="30"/>
                </a:gs>
              </a:gsLst>
              <a:lin ang="5400000" scaled="1"/>
            </a:gradFill>
            <a:ln w="25400">
              <a:noFill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COMPARATIVO!$G$2:$H$2</c:f>
              <c:numCache>
                <c:formatCode>General</c:formatCode>
                <c:ptCount val="2"/>
                <c:pt idx="0">
                  <c:v>2020</c:v>
                </c:pt>
                <c:pt idx="1">
                  <c:v>2019</c:v>
                </c:pt>
              </c:numCache>
            </c:numRef>
          </c:cat>
          <c:val>
            <c:numRef>
              <c:f>(COMPARATIVO!$C$7,COMPARATIVO!$E$7)</c:f>
              <c:numCache>
                <c:formatCode>0%</c:formatCode>
                <c:ptCount val="2"/>
                <c:pt idx="0">
                  <c:v>8.6332919311651518E-2</c:v>
                </c:pt>
                <c:pt idx="1">
                  <c:v>9.3800619556344403E-2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70-41B3-B1A4-0C6D087BE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99345744"/>
        <c:axId val="1"/>
      </c:barChart>
      <c:catAx>
        <c:axId val="89934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[$-409]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45744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DISPONIBLE</a:t>
            </a:r>
          </a:p>
        </c:rich>
      </c:tx>
      <c:layout>
        <c:manualLayout>
          <c:xMode val="edge"/>
          <c:yMode val="edge"/>
          <c:x val="0.39970174401909903"/>
          <c:y val="1.2407333109480327E-2"/>
        </c:manualLayout>
      </c:layout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708123013980155"/>
          <c:y val="0.2208505293487498"/>
          <c:w val="0.68275901021161267"/>
          <c:h val="0.67744038777762583"/>
        </c:manualLayout>
      </c:layout>
      <c:pie3DChart>
        <c:varyColors val="1"/>
        <c:ser>
          <c:idx val="0"/>
          <c:order val="0"/>
          <c:tx>
            <c:strRef>
              <c:f>'ANALISIS POR PROG'!$M$5</c:f>
              <c:strCache>
                <c:ptCount val="1"/>
                <c:pt idx="0">
                  <c:v>Disponible Presupuestario 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dPt>
            <c:idx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656B-4180-8AB9-18E0D999D03C}"/>
              </c:ext>
            </c:extLst>
          </c:dPt>
          <c:dPt>
            <c:idx val="1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  <a:gs pos="5000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  <a:gs pos="10000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56B-4180-8AB9-18E0D999D03C}"/>
              </c:ext>
            </c:extLst>
          </c:dPt>
          <c:dPt>
            <c:idx val="2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808080" mc:Ignorable="a14" a14:legacySpreadsheetColorIndex="23"/>
                  </a:gs>
                  <a:gs pos="100000">
                    <a:srgbClr xmlns:mc="http://schemas.openxmlformats.org/markup-compatibility/2006" xmlns:a14="http://schemas.microsoft.com/office/drawing/2010/main" val="339966" mc:Ignorable="a14" a14:legacySpreadsheetColorIndex="57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656B-4180-8AB9-18E0D999D03C}"/>
              </c:ext>
            </c:extLst>
          </c:dPt>
          <c:dPt>
            <c:idx val="3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25"/>
                  </a:gs>
                  <a:gs pos="100000">
                    <a:srgbClr xmlns:mc="http://schemas.openxmlformats.org/markup-compatibility/2006" xmlns:a14="http://schemas.microsoft.com/office/drawing/2010/main" val="993300" mc:Ignorable="a14" a14:legacySpreadsheetColorIndex="60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56B-4180-8AB9-18E0D999D03C}"/>
              </c:ext>
            </c:extLst>
          </c:dPt>
          <c:dPt>
            <c:idx val="4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808080" mc:Ignorable="a14" a14:legacySpreadsheetColorIndex="23"/>
                  </a:gs>
                  <a:gs pos="100000">
                    <a:srgbClr xmlns:mc="http://schemas.openxmlformats.org/markup-compatibility/2006" xmlns:a14="http://schemas.microsoft.com/office/drawing/2010/main" val="808000" mc:Ignorable="a14" a14:legacySpreadsheetColorIndex="19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656B-4180-8AB9-18E0D999D03C}"/>
              </c:ext>
            </c:extLst>
          </c:dPt>
          <c:dPt>
            <c:idx val="5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808080" mc:Ignorable="a14" a14:legacySpreadsheetColorIndex="23"/>
                  </a:gs>
                  <a:gs pos="100000">
                    <a:srgbClr xmlns:mc="http://schemas.openxmlformats.org/markup-compatibility/2006" xmlns:a14="http://schemas.microsoft.com/office/drawing/2010/main" val="333333" mc:Ignorable="a14" a14:legacySpreadsheetColorIndex="6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56B-4180-8AB9-18E0D999D03C}"/>
              </c:ext>
            </c:extLst>
          </c:dPt>
          <c:dPt>
            <c:idx val="6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656B-4180-8AB9-18E0D999D03C}"/>
              </c:ext>
            </c:extLst>
          </c:dPt>
          <c:dPt>
            <c:idx val="7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CC99" mc:Ignorable="a14" a14:legacySpreadsheetColorIndex="47"/>
                  </a:gs>
                  <a:gs pos="10000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56B-4180-8AB9-18E0D999D03C}"/>
              </c:ext>
            </c:extLst>
          </c:dPt>
          <c:dPt>
            <c:idx val="8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69696" mc:Ignorable="a14" a14:legacySpreadsheetColorIndex="55"/>
                  </a:gs>
                  <a:gs pos="100000">
                    <a:srgbClr xmlns:mc="http://schemas.openxmlformats.org/markup-compatibility/2006" xmlns:a14="http://schemas.microsoft.com/office/drawing/2010/main" val="808080" mc:Ignorable="a14" a14:legacySpreadsheetColorIndex="2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656B-4180-8AB9-18E0D999D03C}"/>
              </c:ext>
            </c:extLst>
          </c:dPt>
          <c:dPt>
            <c:idx val="9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56B-4180-8AB9-18E0D999D03C}"/>
              </c:ext>
            </c:extLst>
          </c:dPt>
          <c:dPt>
            <c:idx val="1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9900" mc:Ignorable="a14" a14:legacySpreadsheetColorIndex="52"/>
                  </a:gs>
                  <a:gs pos="50000">
                    <a:srgbClr xmlns:mc="http://schemas.openxmlformats.org/markup-compatibility/2006" xmlns:a14="http://schemas.microsoft.com/office/drawing/2010/main" val="FF9900" mc:Ignorable="a14" a14:legacySpreadsheetColorIndex="52"/>
                  </a:gs>
                  <a:gs pos="100000">
                    <a:srgbClr xmlns:mc="http://schemas.openxmlformats.org/markup-compatibility/2006" xmlns:a14="http://schemas.microsoft.com/office/drawing/2010/main" val="FF9900" mc:Ignorable="a14" a14:legacySpreadsheetColorIndex="52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656B-4180-8AB9-18E0D999D03C}"/>
              </c:ext>
            </c:extLst>
          </c:dPt>
          <c:dPt>
            <c:idx val="11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339966" mc:Ignorable="a14" a14:legacySpreadsheetColorIndex="57"/>
                  </a:gs>
                  <a:gs pos="100000">
                    <a:srgbClr xmlns:mc="http://schemas.openxmlformats.org/markup-compatibility/2006" xmlns:a14="http://schemas.microsoft.com/office/drawing/2010/main" val="808000" mc:Ignorable="a14" a14:legacySpreadsheetColorIndex="19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56B-4180-8AB9-18E0D999D03C}"/>
              </c:ext>
            </c:extLst>
          </c:dPt>
          <c:dPt>
            <c:idx val="12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CC99" mc:Ignorable="a14" a14:legacySpreadsheetColorIndex="47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656B-4180-8AB9-18E0D999D03C}"/>
              </c:ext>
            </c:extLst>
          </c:dPt>
          <c:dPt>
            <c:idx val="13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CC99" mc:Ignorable="a14" a14:legacySpreadsheetColorIndex="47"/>
                  </a:gs>
                  <a:gs pos="10000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56B-4180-8AB9-18E0D999D03C}"/>
              </c:ext>
            </c:extLst>
          </c:dPt>
          <c:dLbls>
            <c:dLbl>
              <c:idx val="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56B-4180-8AB9-18E0D999D03C}"/>
                </c:ext>
              </c:extLst>
            </c:dLbl>
            <c:dLbl>
              <c:idx val="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56B-4180-8AB9-18E0D999D03C}"/>
                </c:ext>
              </c:extLst>
            </c:dLbl>
            <c:dLbl>
              <c:idx val="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56B-4180-8AB9-18E0D999D03C}"/>
                </c:ext>
              </c:extLst>
            </c:dLbl>
            <c:dLbl>
              <c:idx val="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56B-4180-8AB9-18E0D999D03C}"/>
                </c:ext>
              </c:extLst>
            </c:dLbl>
            <c:dLbl>
              <c:idx val="4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656B-4180-8AB9-18E0D999D03C}"/>
                </c:ext>
              </c:extLst>
            </c:dLbl>
            <c:dLbl>
              <c:idx val="5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56B-4180-8AB9-18E0D999D03C}"/>
                </c:ext>
              </c:extLst>
            </c:dLbl>
            <c:dLbl>
              <c:idx val="6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656B-4180-8AB9-18E0D999D03C}"/>
                </c:ext>
              </c:extLst>
            </c:dLbl>
            <c:dLbl>
              <c:idx val="7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656B-4180-8AB9-18E0D999D03C}"/>
                </c:ext>
              </c:extLst>
            </c:dLbl>
            <c:dLbl>
              <c:idx val="8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656B-4180-8AB9-18E0D999D03C}"/>
                </c:ext>
              </c:extLst>
            </c:dLbl>
            <c:dLbl>
              <c:idx val="9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656B-4180-8AB9-18E0D999D03C}"/>
                </c:ext>
              </c:extLst>
            </c:dLbl>
            <c:dLbl>
              <c:idx val="1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656B-4180-8AB9-18E0D999D03C}"/>
                </c:ext>
              </c:extLst>
            </c:dLbl>
            <c:dLbl>
              <c:idx val="1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56B-4180-8AB9-18E0D999D03C}"/>
                </c:ext>
              </c:extLst>
            </c:dLbl>
            <c:dLbl>
              <c:idx val="1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656B-4180-8AB9-18E0D999D03C}"/>
                </c:ext>
              </c:extLst>
            </c:dLbl>
            <c:dLbl>
              <c:idx val="1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656B-4180-8AB9-18E0D999D03C}"/>
                </c:ext>
              </c:extLst>
            </c:dLbl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'ANALISIS POR PROG'!$N$6:$N$19</c:f>
              <c:numCache>
                <c:formatCode>0%</c:formatCode>
                <c:ptCount val="14"/>
                <c:pt idx="0">
                  <c:v>0.13303141925066508</c:v>
                </c:pt>
                <c:pt idx="1">
                  <c:v>6.2866541725733652E-2</c:v>
                </c:pt>
                <c:pt idx="2">
                  <c:v>0.15362590929096381</c:v>
                </c:pt>
                <c:pt idx="3">
                  <c:v>5.8385575954829891E-2</c:v>
                </c:pt>
                <c:pt idx="4">
                  <c:v>5.3795611846234298E-2</c:v>
                </c:pt>
                <c:pt idx="5">
                  <c:v>7.0767209899038022E-2</c:v>
                </c:pt>
                <c:pt idx="6">
                  <c:v>8.0729059885630158E-2</c:v>
                </c:pt>
                <c:pt idx="7">
                  <c:v>6.9505082255285816E-2</c:v>
                </c:pt>
                <c:pt idx="8">
                  <c:v>9.7586183690843598E-2</c:v>
                </c:pt>
                <c:pt idx="9">
                  <c:v>0.12138223026103902</c:v>
                </c:pt>
                <c:pt idx="10">
                  <c:v>0.12988811473305037</c:v>
                </c:pt>
                <c:pt idx="11">
                  <c:v>4.8179540852623687E-2</c:v>
                </c:pt>
                <c:pt idx="12">
                  <c:v>1.5047938907181884E-2</c:v>
                </c:pt>
                <c:pt idx="13">
                  <c:v>5.9649721619915476E-2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56B-4180-8AB9-18E0D999D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solidFill>
          <a:srgbClr val="D9D9D9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2.3328895565317063E-2"/>
          <c:y val="0.91814265010154417"/>
          <c:w val="0.80251400744690693"/>
          <c:h val="5.45922656817134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C0C0C0"/>
              </a:solidFill>
              <a:latin typeface="Calibri"/>
              <a:ea typeface="Calibri"/>
              <a:cs typeface="Calibri"/>
            </a:defRPr>
          </a:pPr>
          <a:endParaRPr lang="es-CR"/>
        </a:p>
      </c:txPr>
    </c:legend>
    <c:plotVisOnly val="1"/>
    <c:dispBlanksAs val="zero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45714612483711"/>
          <c:y val="4.5071918133837173E-2"/>
          <c:w val="0.87773982188486621"/>
          <c:h val="0.8591834394262711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COMPARATIVO!$A$12</c:f>
              <c:strCache>
                <c:ptCount val="1"/>
                <c:pt idx="0">
                  <c:v>PROG 786-787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100000">
                  <a:srgbClr xmlns:mc="http://schemas.openxmlformats.org/markup-compatibility/2006" xmlns:a14="http://schemas.microsoft.com/office/drawing/2010/main" val="33CCCC" mc:Ignorable="a14" a14:legacySpreadsheetColorIndex="49"/>
                </a:gs>
              </a:gsLst>
              <a:lin ang="5400000" scaled="1"/>
            </a:gradFill>
            <a:ln w="25400">
              <a:noFill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COMPARATIVO!$G$2:$H$2</c:f>
              <c:numCache>
                <c:formatCode>General</c:formatCode>
                <c:ptCount val="2"/>
                <c:pt idx="0">
                  <c:v>2020</c:v>
                </c:pt>
                <c:pt idx="1">
                  <c:v>2019</c:v>
                </c:pt>
              </c:numCache>
            </c:numRef>
          </c:cat>
          <c:val>
            <c:numRef>
              <c:f>(COMPARATIVO!$C$12,COMPARATIVO!$E$12)</c:f>
              <c:numCache>
                <c:formatCode>0%</c:formatCode>
                <c:ptCount val="2"/>
                <c:pt idx="0">
                  <c:v>0.90556019420483147</c:v>
                </c:pt>
                <c:pt idx="1">
                  <c:v>0.89259456274377547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E8-48F3-94FA-772FC816AB99}"/>
            </c:ext>
          </c:extLst>
        </c:ser>
        <c:ser>
          <c:idx val="1"/>
          <c:order val="1"/>
          <c:tx>
            <c:strRef>
              <c:f>COMPARATIVO!$A$13</c:f>
              <c:strCache>
                <c:ptCount val="1"/>
                <c:pt idx="0">
                  <c:v>PROG 790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8080" mc:Ignorable="a14" a14:legacySpreadsheetColorIndex="29"/>
                </a:gs>
                <a:gs pos="100000">
                  <a:srgbClr xmlns:mc="http://schemas.openxmlformats.org/markup-compatibility/2006" xmlns:a14="http://schemas.microsoft.com/office/drawing/2010/main" val="FF6600" mc:Ignorable="a14" a14:legacySpreadsheetColorIndex="53"/>
                </a:gs>
              </a:gsLst>
              <a:lin ang="5400000" scaled="1"/>
            </a:gradFill>
            <a:ln w="25400">
              <a:noFill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COMPARATIVO!$G$2:$H$2</c:f>
              <c:numCache>
                <c:formatCode>General</c:formatCode>
                <c:ptCount val="2"/>
                <c:pt idx="0">
                  <c:v>2020</c:v>
                </c:pt>
                <c:pt idx="1">
                  <c:v>2019</c:v>
                </c:pt>
              </c:numCache>
            </c:numRef>
          </c:cat>
          <c:val>
            <c:numRef>
              <c:f>(COMPARATIVO!$C$13,COMPARATIVO!$E$13)</c:f>
              <c:numCache>
                <c:formatCode>0%</c:formatCode>
                <c:ptCount val="2"/>
                <c:pt idx="0">
                  <c:v>0.86565319792748896</c:v>
                </c:pt>
                <c:pt idx="1">
                  <c:v>0.8733843302341413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E8-48F3-94FA-772FC816AB99}"/>
            </c:ext>
          </c:extLst>
        </c:ser>
        <c:ser>
          <c:idx val="2"/>
          <c:order val="2"/>
          <c:tx>
            <c:strRef>
              <c:f>COMPARATIVO!$A$14</c:f>
              <c:strCache>
                <c:ptCount val="1"/>
                <c:pt idx="0">
                  <c:v>PROG 7888-791-793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C0C0C0" mc:Ignorable="a14" a14:legacySpreadsheetColorIndex="22"/>
                </a:gs>
                <a:gs pos="100000">
                  <a:srgbClr xmlns:mc="http://schemas.openxmlformats.org/markup-compatibility/2006" xmlns:a14="http://schemas.microsoft.com/office/drawing/2010/main" val="969696" mc:Ignorable="a14" a14:legacySpreadsheetColorIndex="55"/>
                </a:gs>
              </a:gsLst>
              <a:lin ang="5400000" scaled="1"/>
            </a:gradFill>
            <a:ln w="25400">
              <a:noFill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COMPARATIVO!$G$2:$H$2</c:f>
              <c:numCache>
                <c:formatCode>General</c:formatCode>
                <c:ptCount val="2"/>
                <c:pt idx="0">
                  <c:v>2020</c:v>
                </c:pt>
                <c:pt idx="1">
                  <c:v>2019</c:v>
                </c:pt>
              </c:numCache>
            </c:numRef>
          </c:cat>
          <c:val>
            <c:numRef>
              <c:f>(COMPARATIVO!$C$14,COMPARATIVO!$E$14)</c:f>
              <c:numCache>
                <c:formatCode>0%</c:formatCode>
                <c:ptCount val="2"/>
                <c:pt idx="0">
                  <c:v>0.92477753833655585</c:v>
                </c:pt>
                <c:pt idx="1">
                  <c:v>0.91234350386523133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E8-48F3-94FA-772FC816AB99}"/>
            </c:ext>
          </c:extLst>
        </c:ser>
        <c:ser>
          <c:idx val="3"/>
          <c:order val="3"/>
          <c:tx>
            <c:strRef>
              <c:f>COMPARATIVO!$A$15</c:f>
              <c:strCache>
                <c:ptCount val="1"/>
                <c:pt idx="0">
                  <c:v>PROG 789-01,02,03,03,04,05,06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CC00" mc:Ignorable="a14" a14:legacySpreadsheetColorIndex="51"/>
                </a:gs>
                <a:gs pos="50000">
                  <a:srgbClr xmlns:mc="http://schemas.openxmlformats.org/markup-compatibility/2006" xmlns:a14="http://schemas.microsoft.com/office/drawing/2010/main" val="FFCC00" mc:Ignorable="a14" a14:legacySpreadsheetColorIndex="51"/>
                </a:gs>
                <a:gs pos="100000">
                  <a:srgbClr xmlns:mc="http://schemas.openxmlformats.org/markup-compatibility/2006" xmlns:a14="http://schemas.microsoft.com/office/drawing/2010/main" val="FFCC00" mc:Ignorable="a14" a14:legacySpreadsheetColorIndex="51"/>
                </a:gs>
              </a:gsLst>
              <a:lin ang="5400000" scaled="1"/>
            </a:gradFill>
            <a:ln w="25400">
              <a:noFill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COMPARATIVO!$G$2:$H$2</c:f>
              <c:numCache>
                <c:formatCode>General</c:formatCode>
                <c:ptCount val="2"/>
                <c:pt idx="0">
                  <c:v>2020</c:v>
                </c:pt>
                <c:pt idx="1">
                  <c:v>2019</c:v>
                </c:pt>
              </c:numCache>
            </c:numRef>
          </c:cat>
          <c:val>
            <c:numRef>
              <c:f>(COMPARATIVO!$C$15,COMPARATIVO!$E$15)</c:f>
              <c:numCache>
                <c:formatCode>0%</c:formatCode>
                <c:ptCount val="2"/>
                <c:pt idx="0">
                  <c:v>0.91947585163174961</c:v>
                </c:pt>
                <c:pt idx="1">
                  <c:v>0.93763792048164374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E8-48F3-94FA-772FC816AB99}"/>
            </c:ext>
          </c:extLst>
        </c:ser>
        <c:ser>
          <c:idx val="4"/>
          <c:order val="4"/>
          <c:tx>
            <c:strRef>
              <c:f>COMPARATIVO!$A$16</c:f>
              <c:strCache>
                <c:ptCount val="1"/>
                <c:pt idx="0">
                  <c:v>PROG 794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666699" mc:Ignorable="a14" a14:legacySpreadsheetColorIndex="54"/>
                </a:gs>
                <a:gs pos="100000">
                  <a:srgbClr xmlns:mc="http://schemas.openxmlformats.org/markup-compatibility/2006" xmlns:a14="http://schemas.microsoft.com/office/drawing/2010/main" val="0066CC" mc:Ignorable="a14" a14:legacySpreadsheetColorIndex="30"/>
                </a:gs>
              </a:gsLst>
              <a:lin ang="5400000" scaled="1"/>
            </a:gradFill>
            <a:ln w="25400">
              <a:noFill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COMPARATIVO!$G$2:$H$2</c:f>
              <c:numCache>
                <c:formatCode>General</c:formatCode>
                <c:ptCount val="2"/>
                <c:pt idx="0">
                  <c:v>2020</c:v>
                </c:pt>
                <c:pt idx="1">
                  <c:v>2019</c:v>
                </c:pt>
              </c:numCache>
            </c:numRef>
          </c:cat>
          <c:val>
            <c:numRef>
              <c:f>(COMPARATIVO!$C$16,COMPARATIVO!$E$16)</c:f>
              <c:numCache>
                <c:formatCode>0%</c:formatCode>
                <c:ptCount val="2"/>
                <c:pt idx="0">
                  <c:v>0.94028106022732461</c:v>
                </c:pt>
                <c:pt idx="1">
                  <c:v>0.9395011475584113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E8-48F3-94FA-772FC816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99352544"/>
        <c:axId val="1"/>
      </c:barChart>
      <c:catAx>
        <c:axId val="8993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[$-409]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52544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CONSOLIDADO
Devengado- Disponible Presupuestario</a:t>
            </a:r>
          </a:p>
        </c:rich>
      </c:tx>
      <c:layout>
        <c:manualLayout>
          <c:xMode val="edge"/>
          <c:yMode val="edge"/>
          <c:x val="0.21393062886223416"/>
          <c:y val="2.20393197525755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61031964707923E-3"/>
          <c:y val="0.34987420107213679"/>
          <c:w val="0.96838420757165167"/>
          <c:h val="0.5702673985978922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3721344"/>
        <c:axId val="1"/>
      </c:barChart>
      <c:catAx>
        <c:axId val="10137213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013721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912016655365548E-3"/>
          <c:y val="0.19660798058192785"/>
          <c:w val="0.96730385721308942"/>
          <c:h val="0.6359418631168530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356944"/>
        <c:axId val="1"/>
      </c:barChart>
      <c:catAx>
        <c:axId val="8993569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56944"/>
        <c:crosses val="autoZero"/>
        <c:crossBetween val="between"/>
      </c:valAx>
      <c:spPr>
        <a:solidFill>
          <a:srgbClr val="D9D9D9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Devengado</a:t>
            </a:r>
          </a:p>
        </c:rich>
      </c:tx>
      <c:layout>
        <c:manualLayout>
          <c:xMode val="edge"/>
          <c:yMode val="edge"/>
          <c:x val="0.4170470306513181"/>
          <c:y val="1.70737375314806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40052142351293E-2"/>
          <c:y val="0.2878144326735313"/>
          <c:w val="0.82528320854239712"/>
          <c:h val="0.604898129686743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341744"/>
        <c:axId val="1"/>
      </c:barChart>
      <c:catAx>
        <c:axId val="8993417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41744"/>
        <c:crosses val="autoZero"/>
        <c:crossBetween val="between"/>
      </c:valAx>
      <c:spPr>
        <a:solidFill>
          <a:srgbClr val="D9D9D9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COMPROMISO</a:t>
            </a:r>
          </a:p>
        </c:rich>
      </c:tx>
      <c:layout>
        <c:manualLayout>
          <c:xMode val="edge"/>
          <c:yMode val="edge"/>
          <c:x val="0.34559941547971201"/>
          <c:y val="2.9269264339681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2868063342329704E-2"/>
          <c:y val="0.30976638092829217"/>
          <c:w val="0.9632664559115377"/>
          <c:h val="0.5585551278155819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348544"/>
        <c:axId val="1"/>
      </c:barChart>
      <c:catAx>
        <c:axId val="8993485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48544"/>
        <c:crosses val="autoZero"/>
        <c:crossBetween val="between"/>
      </c:valAx>
      <c:spPr>
        <a:solidFill>
          <a:srgbClr val="D9D9D9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DISPONIBLE</a:t>
            </a:r>
          </a:p>
        </c:rich>
      </c:tx>
      <c:layout>
        <c:manualLayout>
          <c:xMode val="edge"/>
          <c:yMode val="edge"/>
          <c:x val="0.39748480136741471"/>
          <c:y val="1.6908751009913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13092939983664"/>
          <c:y val="0.21739822727031474"/>
          <c:w val="0.54777057432258569"/>
          <c:h val="0.681181112113652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350544"/>
        <c:axId val="1"/>
      </c:barChart>
      <c:catAx>
        <c:axId val="8993505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solidFill>
            <a:srgbClr val="FFFFFF"/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50544"/>
        <c:crosses val="autoZero"/>
        <c:crossBetween val="between"/>
      </c:valAx>
      <c:spPr>
        <a:solidFill>
          <a:srgbClr val="D9D9D9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288205361400154E-2"/>
          <c:y val="4.8340035445867971E-2"/>
          <c:w val="0.94555530811738719"/>
          <c:h val="0.800631837072188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'ANALISIS POR PROG'!$C$5</c:f>
              <c:strCache>
                <c:ptCount val="1"/>
                <c:pt idx="0">
                  <c:v>Apropiación Actual 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8080" mc:Ignorable="a14" a14:legacySpreadsheetColorIndex="29"/>
                </a:gs>
                <a:gs pos="100000">
                  <a:srgbClr xmlns:mc="http://schemas.openxmlformats.org/markup-compatibility/2006" xmlns:a14="http://schemas.microsoft.com/office/drawing/2010/main" val="FF6600" mc:Ignorable="a14" a14:legacySpreadsheetColorIndex="53"/>
                </a:gs>
              </a:gsLst>
              <a:lin ang="5400000" scaled="1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8AA-4B47-8437-4AE9B068FF6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8AA-4B47-8437-4AE9B068FF6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8AA-4B47-8437-4AE9B068FF6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8AA-4B47-8437-4AE9B068FF6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8AA-4B47-8437-4AE9B068FF6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8AA-4B47-8437-4AE9B068FF6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8AA-4B47-8437-4AE9B068FF6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8AA-4B47-8437-4AE9B068FF6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8AA-4B47-8437-4AE9B068FF6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8AA-4B47-8437-4AE9B068FF6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8AA-4B47-8437-4AE9B068FF6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8AA-4B47-8437-4AE9B068FF6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8AA-4B47-8437-4AE9B068FF6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8AA-4B47-8437-4AE9B068FF68}"/>
              </c:ext>
            </c:extLst>
          </c:dPt>
          <c:dLbls>
            <c:dLbl>
              <c:idx val="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8AA-4B47-8437-4AE9B068FF68}"/>
                </c:ext>
              </c:extLst>
            </c:dLbl>
            <c:dLbl>
              <c:idx val="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8AA-4B47-8437-4AE9B068FF68}"/>
                </c:ext>
              </c:extLst>
            </c:dLbl>
            <c:dLbl>
              <c:idx val="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8AA-4B47-8437-4AE9B068FF68}"/>
                </c:ext>
              </c:extLst>
            </c:dLbl>
            <c:dLbl>
              <c:idx val="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8AA-4B47-8437-4AE9B068FF68}"/>
                </c:ext>
              </c:extLst>
            </c:dLbl>
            <c:dLbl>
              <c:idx val="4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8AA-4B47-8437-4AE9B068FF68}"/>
                </c:ext>
              </c:extLst>
            </c:dLbl>
            <c:dLbl>
              <c:idx val="5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8AA-4B47-8437-4AE9B068FF68}"/>
                </c:ext>
              </c:extLst>
            </c:dLbl>
            <c:dLbl>
              <c:idx val="6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A8AA-4B47-8437-4AE9B068FF68}"/>
                </c:ext>
              </c:extLst>
            </c:dLbl>
            <c:dLbl>
              <c:idx val="7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8AA-4B47-8437-4AE9B068FF68}"/>
                </c:ext>
              </c:extLst>
            </c:dLbl>
            <c:dLbl>
              <c:idx val="8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A8AA-4B47-8437-4AE9B068FF68}"/>
                </c:ext>
              </c:extLst>
            </c:dLbl>
            <c:dLbl>
              <c:idx val="9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A8AA-4B47-8437-4AE9B068FF68}"/>
                </c:ext>
              </c:extLst>
            </c:dLbl>
            <c:dLbl>
              <c:idx val="1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A8AA-4B47-8437-4AE9B068FF68}"/>
                </c:ext>
              </c:extLst>
            </c:dLbl>
            <c:dLbl>
              <c:idx val="1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A8AA-4B47-8437-4AE9B068FF68}"/>
                </c:ext>
              </c:extLst>
            </c:dLbl>
            <c:dLbl>
              <c:idx val="1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A8AA-4B47-8437-4AE9B068FF68}"/>
                </c:ext>
              </c:extLst>
            </c:dLbl>
            <c:dLbl>
              <c:idx val="1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A8AA-4B47-8437-4AE9B068FF68}"/>
                </c:ext>
              </c:extLst>
            </c:dLbl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'ANALISIS POR PROG'!$B$6:$B$19</c:f>
              <c:strCache>
                <c:ptCount val="14"/>
                <c:pt idx="0">
                  <c:v>PROG 786</c:v>
                </c:pt>
                <c:pt idx="1">
                  <c:v>PROG 787</c:v>
                </c:pt>
                <c:pt idx="2">
                  <c:v>PROG 788</c:v>
                </c:pt>
                <c:pt idx="3">
                  <c:v>PROG 789</c:v>
                </c:pt>
                <c:pt idx="4">
                  <c:v>PROG 78901</c:v>
                </c:pt>
                <c:pt idx="5">
                  <c:v>PROG 78902</c:v>
                </c:pt>
                <c:pt idx="6">
                  <c:v>PROG 78903</c:v>
                </c:pt>
                <c:pt idx="7">
                  <c:v>PROG 78904</c:v>
                </c:pt>
                <c:pt idx="8">
                  <c:v>PROG 78905</c:v>
                </c:pt>
                <c:pt idx="9">
                  <c:v>PROG 78906</c:v>
                </c:pt>
                <c:pt idx="10">
                  <c:v>PROG 790</c:v>
                </c:pt>
                <c:pt idx="11">
                  <c:v>PROG 791</c:v>
                </c:pt>
                <c:pt idx="12">
                  <c:v>PROG 793</c:v>
                </c:pt>
                <c:pt idx="13">
                  <c:v>PROG 794</c:v>
                </c:pt>
              </c:strCache>
            </c:strRef>
          </c:cat>
          <c:val>
            <c:numRef>
              <c:f>'ANALISIS POR PROG'!$D$6:$D$19</c:f>
              <c:numCache>
                <c:formatCode>0%</c:formatCode>
                <c:ptCount val="14"/>
                <c:pt idx="0">
                  <c:v>1.4023317081900639E-2</c:v>
                </c:pt>
                <c:pt idx="1">
                  <c:v>2.3366216766137232E-2</c:v>
                </c:pt>
                <c:pt idx="2">
                  <c:v>1.9201903079505547E-2</c:v>
                </c:pt>
                <c:pt idx="3">
                  <c:v>0.51048610741829303</c:v>
                </c:pt>
                <c:pt idx="4">
                  <c:v>0.18697200039682474</c:v>
                </c:pt>
                <c:pt idx="5">
                  <c:v>1.4189788978153896E-2</c:v>
                </c:pt>
                <c:pt idx="6">
                  <c:v>9.7687982856262869E-3</c:v>
                </c:pt>
                <c:pt idx="7">
                  <c:v>1.5245719511262704E-2</c:v>
                </c:pt>
                <c:pt idx="8">
                  <c:v>7.7944653422736777E-3</c:v>
                </c:pt>
                <c:pt idx="9">
                  <c:v>4.6911329496808714E-2</c:v>
                </c:pt>
                <c:pt idx="10">
                  <c:v>8.5264843089251901E-3</c:v>
                </c:pt>
                <c:pt idx="11">
                  <c:v>5.1146176775267171E-2</c:v>
                </c:pt>
                <c:pt idx="12">
                  <c:v>6.0347732473696319E-3</c:v>
                </c:pt>
                <c:pt idx="13">
                  <c:v>8.6332919311651518E-2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8AA-4B47-8437-4AE9B068F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99348944"/>
        <c:axId val="1"/>
      </c:barChart>
      <c:catAx>
        <c:axId val="89934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48944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Devengado</a:t>
            </a:r>
          </a:p>
        </c:rich>
      </c:tx>
      <c:layout>
        <c:manualLayout>
          <c:xMode val="edge"/>
          <c:yMode val="edge"/>
          <c:x val="0.4125132314634497"/>
          <c:y val="3.100887431247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877305482267742E-2"/>
          <c:y val="0.33334539885907444"/>
          <c:w val="0.89846631852834691"/>
          <c:h val="0.4728853332651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'ANALISIS POR PROG'!$K$5</c:f>
              <c:strCache>
                <c:ptCount val="1"/>
                <c:pt idx="0">
                  <c:v>Devengado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8080" mc:Ignorable="a14" a14:legacySpreadsheetColorIndex="29"/>
                </a:gs>
                <a:gs pos="100000">
                  <a:srgbClr xmlns:mc="http://schemas.openxmlformats.org/markup-compatibility/2006" xmlns:a14="http://schemas.microsoft.com/office/drawing/2010/main" val="FF6600" mc:Ignorable="a14" a14:legacySpreadsheetColorIndex="53"/>
                </a:gs>
              </a:gsLst>
              <a:lin ang="5400000" scaled="1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553-49DD-92B6-DE5E458223B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553-49DD-92B6-DE5E458223B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553-49DD-92B6-DE5E458223B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553-49DD-92B6-DE5E458223B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553-49DD-92B6-DE5E458223B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553-49DD-92B6-DE5E458223B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553-49DD-92B6-DE5E458223B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553-49DD-92B6-DE5E458223B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553-49DD-92B6-DE5E458223B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553-49DD-92B6-DE5E458223B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553-49DD-92B6-DE5E458223B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553-49DD-92B6-DE5E458223B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553-49DD-92B6-DE5E458223B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553-49DD-92B6-DE5E458223B0}"/>
              </c:ext>
            </c:extLst>
          </c:dPt>
          <c:dLbls>
            <c:dLbl>
              <c:idx val="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553-49DD-92B6-DE5E458223B0}"/>
                </c:ext>
              </c:extLst>
            </c:dLbl>
            <c:dLbl>
              <c:idx val="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553-49DD-92B6-DE5E458223B0}"/>
                </c:ext>
              </c:extLst>
            </c:dLbl>
            <c:dLbl>
              <c:idx val="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553-49DD-92B6-DE5E458223B0}"/>
                </c:ext>
              </c:extLst>
            </c:dLbl>
            <c:dLbl>
              <c:idx val="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553-49DD-92B6-DE5E458223B0}"/>
                </c:ext>
              </c:extLst>
            </c:dLbl>
            <c:dLbl>
              <c:idx val="4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6553-49DD-92B6-DE5E458223B0}"/>
                </c:ext>
              </c:extLst>
            </c:dLbl>
            <c:dLbl>
              <c:idx val="5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553-49DD-92B6-DE5E458223B0}"/>
                </c:ext>
              </c:extLst>
            </c:dLbl>
            <c:dLbl>
              <c:idx val="6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6553-49DD-92B6-DE5E458223B0}"/>
                </c:ext>
              </c:extLst>
            </c:dLbl>
            <c:dLbl>
              <c:idx val="7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6553-49DD-92B6-DE5E458223B0}"/>
                </c:ext>
              </c:extLst>
            </c:dLbl>
            <c:dLbl>
              <c:idx val="8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6553-49DD-92B6-DE5E458223B0}"/>
                </c:ext>
              </c:extLst>
            </c:dLbl>
            <c:dLbl>
              <c:idx val="9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6553-49DD-92B6-DE5E458223B0}"/>
                </c:ext>
              </c:extLst>
            </c:dLbl>
            <c:dLbl>
              <c:idx val="1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6553-49DD-92B6-DE5E458223B0}"/>
                </c:ext>
              </c:extLst>
            </c:dLbl>
            <c:dLbl>
              <c:idx val="1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553-49DD-92B6-DE5E458223B0}"/>
                </c:ext>
              </c:extLst>
            </c:dLbl>
            <c:dLbl>
              <c:idx val="1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6553-49DD-92B6-DE5E458223B0}"/>
                </c:ext>
              </c:extLst>
            </c:dLbl>
            <c:dLbl>
              <c:idx val="1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6553-49DD-92B6-DE5E458223B0}"/>
                </c:ext>
              </c:extLst>
            </c:dLbl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'ANALISIS POR PROG'!$B$6:$B$19</c:f>
              <c:strCache>
                <c:ptCount val="14"/>
                <c:pt idx="0">
                  <c:v>PROG 786</c:v>
                </c:pt>
                <c:pt idx="1">
                  <c:v>PROG 787</c:v>
                </c:pt>
                <c:pt idx="2">
                  <c:v>PROG 788</c:v>
                </c:pt>
                <c:pt idx="3">
                  <c:v>PROG 789</c:v>
                </c:pt>
                <c:pt idx="4">
                  <c:v>PROG 78901</c:v>
                </c:pt>
                <c:pt idx="5">
                  <c:v>PROG 78902</c:v>
                </c:pt>
                <c:pt idx="6">
                  <c:v>PROG 78903</c:v>
                </c:pt>
                <c:pt idx="7">
                  <c:v>PROG 78904</c:v>
                </c:pt>
                <c:pt idx="8">
                  <c:v>PROG 78905</c:v>
                </c:pt>
                <c:pt idx="9">
                  <c:v>PROG 78906</c:v>
                </c:pt>
                <c:pt idx="10">
                  <c:v>PROG 790</c:v>
                </c:pt>
                <c:pt idx="11">
                  <c:v>PROG 791</c:v>
                </c:pt>
                <c:pt idx="12">
                  <c:v>PROG 793</c:v>
                </c:pt>
                <c:pt idx="13">
                  <c:v>PROG 794</c:v>
                </c:pt>
              </c:strCache>
            </c:strRef>
          </c:cat>
          <c:val>
            <c:numRef>
              <c:f>'ANALISIS POR PROG'!$L$6:$L$19</c:f>
              <c:numCache>
                <c:formatCode>0%</c:formatCode>
                <c:ptCount val="14"/>
                <c:pt idx="0">
                  <c:v>0.86580219370546785</c:v>
                </c:pt>
                <c:pt idx="1">
                  <c:v>0.92942109788149929</c:v>
                </c:pt>
                <c:pt idx="2">
                  <c:v>0.83383438540103616</c:v>
                </c:pt>
                <c:pt idx="3">
                  <c:v>0.92703555727861331</c:v>
                </c:pt>
                <c:pt idx="4">
                  <c:v>0.91864866722705674</c:v>
                </c:pt>
                <c:pt idx="5">
                  <c:v>0.89989949934264191</c:v>
                </c:pt>
                <c:pt idx="6">
                  <c:v>0.90613923393060436</c:v>
                </c:pt>
                <c:pt idx="7">
                  <c:v>0.89604929300947067</c:v>
                </c:pt>
                <c:pt idx="8">
                  <c:v>0.89242275866475074</c:v>
                </c:pt>
                <c:pt idx="9">
                  <c:v>0.86131552571821479</c:v>
                </c:pt>
                <c:pt idx="10">
                  <c:v>0.86565319792748896</c:v>
                </c:pt>
                <c:pt idx="11">
                  <c:v>0.95182045914737623</c:v>
                </c:pt>
                <c:pt idx="12">
                  <c:v>0.98495206109281808</c:v>
                </c:pt>
                <c:pt idx="13">
                  <c:v>0.94028106022732461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553-49DD-92B6-DE5E45822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99344144"/>
        <c:axId val="1"/>
      </c:barChart>
      <c:catAx>
        <c:axId val="89934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44144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DISPONIBLE</a:t>
            </a:r>
          </a:p>
        </c:rich>
      </c:tx>
      <c:layout>
        <c:manualLayout>
          <c:xMode val="edge"/>
          <c:yMode val="edge"/>
          <c:x val="0.39970174401909903"/>
          <c:y val="1.2407333109480327E-2"/>
        </c:manualLayout>
      </c:layout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708123013980155"/>
          <c:y val="0.2208505293487498"/>
          <c:w val="0.68275901021161267"/>
          <c:h val="0.67744038777762583"/>
        </c:manualLayout>
      </c:layout>
      <c:pie3DChart>
        <c:varyColors val="1"/>
        <c:ser>
          <c:idx val="0"/>
          <c:order val="0"/>
          <c:tx>
            <c:strRef>
              <c:f>'ANALISIS POR PROG'!$M$5</c:f>
              <c:strCache>
                <c:ptCount val="1"/>
                <c:pt idx="0">
                  <c:v>Disponible Presupuestario 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dPt>
            <c:idx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1799-4FD5-97D7-CCB7383C070A}"/>
              </c:ext>
            </c:extLst>
          </c:dPt>
          <c:dPt>
            <c:idx val="1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  <a:gs pos="5000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  <a:gs pos="10000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799-4FD5-97D7-CCB7383C070A}"/>
              </c:ext>
            </c:extLst>
          </c:dPt>
          <c:dPt>
            <c:idx val="2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808080" mc:Ignorable="a14" a14:legacySpreadsheetColorIndex="23"/>
                  </a:gs>
                  <a:gs pos="100000">
                    <a:srgbClr xmlns:mc="http://schemas.openxmlformats.org/markup-compatibility/2006" xmlns:a14="http://schemas.microsoft.com/office/drawing/2010/main" val="339966" mc:Ignorable="a14" a14:legacySpreadsheetColorIndex="57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1799-4FD5-97D7-CCB7383C070A}"/>
              </c:ext>
            </c:extLst>
          </c:dPt>
          <c:dPt>
            <c:idx val="3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25"/>
                  </a:gs>
                  <a:gs pos="100000">
                    <a:srgbClr xmlns:mc="http://schemas.openxmlformats.org/markup-compatibility/2006" xmlns:a14="http://schemas.microsoft.com/office/drawing/2010/main" val="993300" mc:Ignorable="a14" a14:legacySpreadsheetColorIndex="60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799-4FD5-97D7-CCB7383C070A}"/>
              </c:ext>
            </c:extLst>
          </c:dPt>
          <c:dPt>
            <c:idx val="4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808080" mc:Ignorable="a14" a14:legacySpreadsheetColorIndex="23"/>
                  </a:gs>
                  <a:gs pos="100000">
                    <a:srgbClr xmlns:mc="http://schemas.openxmlformats.org/markup-compatibility/2006" xmlns:a14="http://schemas.microsoft.com/office/drawing/2010/main" val="808000" mc:Ignorable="a14" a14:legacySpreadsheetColorIndex="19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1799-4FD5-97D7-CCB7383C070A}"/>
              </c:ext>
            </c:extLst>
          </c:dPt>
          <c:dPt>
            <c:idx val="5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808080" mc:Ignorable="a14" a14:legacySpreadsheetColorIndex="23"/>
                  </a:gs>
                  <a:gs pos="100000">
                    <a:srgbClr xmlns:mc="http://schemas.openxmlformats.org/markup-compatibility/2006" xmlns:a14="http://schemas.microsoft.com/office/drawing/2010/main" val="333333" mc:Ignorable="a14" a14:legacySpreadsheetColorIndex="6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799-4FD5-97D7-CCB7383C070A}"/>
              </c:ext>
            </c:extLst>
          </c:dPt>
          <c:dPt>
            <c:idx val="6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1799-4FD5-97D7-CCB7383C070A}"/>
              </c:ext>
            </c:extLst>
          </c:dPt>
          <c:dPt>
            <c:idx val="7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CC99" mc:Ignorable="a14" a14:legacySpreadsheetColorIndex="47"/>
                  </a:gs>
                  <a:gs pos="10000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799-4FD5-97D7-CCB7383C070A}"/>
              </c:ext>
            </c:extLst>
          </c:dPt>
          <c:dPt>
            <c:idx val="8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69696" mc:Ignorable="a14" a14:legacySpreadsheetColorIndex="55"/>
                  </a:gs>
                  <a:gs pos="100000">
                    <a:srgbClr xmlns:mc="http://schemas.openxmlformats.org/markup-compatibility/2006" xmlns:a14="http://schemas.microsoft.com/office/drawing/2010/main" val="808080" mc:Ignorable="a14" a14:legacySpreadsheetColorIndex="2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1799-4FD5-97D7-CCB7383C070A}"/>
              </c:ext>
            </c:extLst>
          </c:dPt>
          <c:dPt>
            <c:idx val="9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10000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799-4FD5-97D7-CCB7383C070A}"/>
              </c:ext>
            </c:extLst>
          </c:dPt>
          <c:dPt>
            <c:idx val="1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9900" mc:Ignorable="a14" a14:legacySpreadsheetColorIndex="52"/>
                  </a:gs>
                  <a:gs pos="50000">
                    <a:srgbClr xmlns:mc="http://schemas.openxmlformats.org/markup-compatibility/2006" xmlns:a14="http://schemas.microsoft.com/office/drawing/2010/main" val="FF9900" mc:Ignorable="a14" a14:legacySpreadsheetColorIndex="52"/>
                  </a:gs>
                  <a:gs pos="100000">
                    <a:srgbClr xmlns:mc="http://schemas.openxmlformats.org/markup-compatibility/2006" xmlns:a14="http://schemas.microsoft.com/office/drawing/2010/main" val="FF9900" mc:Ignorable="a14" a14:legacySpreadsheetColorIndex="52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1799-4FD5-97D7-CCB7383C070A}"/>
              </c:ext>
            </c:extLst>
          </c:dPt>
          <c:dPt>
            <c:idx val="11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339966" mc:Ignorable="a14" a14:legacySpreadsheetColorIndex="57"/>
                  </a:gs>
                  <a:gs pos="100000">
                    <a:srgbClr xmlns:mc="http://schemas.openxmlformats.org/markup-compatibility/2006" xmlns:a14="http://schemas.microsoft.com/office/drawing/2010/main" val="808000" mc:Ignorable="a14" a14:legacySpreadsheetColorIndex="19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799-4FD5-97D7-CCB7383C070A}"/>
              </c:ext>
            </c:extLst>
          </c:dPt>
          <c:dPt>
            <c:idx val="12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CC99" mc:Ignorable="a14" a14:legacySpreadsheetColorIndex="47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1799-4FD5-97D7-CCB7383C070A}"/>
              </c:ext>
            </c:extLst>
          </c:dPt>
          <c:dPt>
            <c:idx val="13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CC99" mc:Ignorable="a14" a14:legacySpreadsheetColorIndex="47"/>
                  </a:gs>
                  <a:gs pos="10000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</a:gsLst>
                <a:lin ang="5400000" scaled="1"/>
              </a:gra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799-4FD5-97D7-CCB7383C070A}"/>
              </c:ext>
            </c:extLst>
          </c:dPt>
          <c:dLbls>
            <c:dLbl>
              <c:idx val="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799-4FD5-97D7-CCB7383C070A}"/>
                </c:ext>
              </c:extLst>
            </c:dLbl>
            <c:dLbl>
              <c:idx val="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799-4FD5-97D7-CCB7383C070A}"/>
                </c:ext>
              </c:extLst>
            </c:dLbl>
            <c:dLbl>
              <c:idx val="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799-4FD5-97D7-CCB7383C070A}"/>
                </c:ext>
              </c:extLst>
            </c:dLbl>
            <c:dLbl>
              <c:idx val="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799-4FD5-97D7-CCB7383C070A}"/>
                </c:ext>
              </c:extLst>
            </c:dLbl>
            <c:dLbl>
              <c:idx val="4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799-4FD5-97D7-CCB7383C070A}"/>
                </c:ext>
              </c:extLst>
            </c:dLbl>
            <c:dLbl>
              <c:idx val="5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799-4FD5-97D7-CCB7383C070A}"/>
                </c:ext>
              </c:extLst>
            </c:dLbl>
            <c:dLbl>
              <c:idx val="6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1799-4FD5-97D7-CCB7383C070A}"/>
                </c:ext>
              </c:extLst>
            </c:dLbl>
            <c:dLbl>
              <c:idx val="7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1799-4FD5-97D7-CCB7383C070A}"/>
                </c:ext>
              </c:extLst>
            </c:dLbl>
            <c:dLbl>
              <c:idx val="8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1799-4FD5-97D7-CCB7383C070A}"/>
                </c:ext>
              </c:extLst>
            </c:dLbl>
            <c:dLbl>
              <c:idx val="9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1799-4FD5-97D7-CCB7383C070A}"/>
                </c:ext>
              </c:extLst>
            </c:dLbl>
            <c:dLbl>
              <c:idx val="1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799-4FD5-97D7-CCB7383C070A}"/>
                </c:ext>
              </c:extLst>
            </c:dLbl>
            <c:dLbl>
              <c:idx val="1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1799-4FD5-97D7-CCB7383C070A}"/>
                </c:ext>
              </c:extLst>
            </c:dLbl>
            <c:dLbl>
              <c:idx val="1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1799-4FD5-97D7-CCB7383C070A}"/>
                </c:ext>
              </c:extLst>
            </c:dLbl>
            <c:dLbl>
              <c:idx val="1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dLblPos val="in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1799-4FD5-97D7-CCB7383C070A}"/>
                </c:ext>
              </c:extLst>
            </c:dLbl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'ANALISIS POR PROG'!$N$6:$N$19</c:f>
              <c:numCache>
                <c:formatCode>0%</c:formatCode>
                <c:ptCount val="14"/>
                <c:pt idx="0">
                  <c:v>0.13303141925066508</c:v>
                </c:pt>
                <c:pt idx="1">
                  <c:v>6.2866541725733652E-2</c:v>
                </c:pt>
                <c:pt idx="2">
                  <c:v>0.15362590929096381</c:v>
                </c:pt>
                <c:pt idx="3">
                  <c:v>5.8385575954829891E-2</c:v>
                </c:pt>
                <c:pt idx="4">
                  <c:v>5.3795611846234298E-2</c:v>
                </c:pt>
                <c:pt idx="5">
                  <c:v>7.0767209899038022E-2</c:v>
                </c:pt>
                <c:pt idx="6">
                  <c:v>8.0729059885630158E-2</c:v>
                </c:pt>
                <c:pt idx="7">
                  <c:v>6.9505082255285816E-2</c:v>
                </c:pt>
                <c:pt idx="8">
                  <c:v>9.7586183690843598E-2</c:v>
                </c:pt>
                <c:pt idx="9">
                  <c:v>0.12138223026103902</c:v>
                </c:pt>
                <c:pt idx="10">
                  <c:v>0.12988811473305037</c:v>
                </c:pt>
                <c:pt idx="11">
                  <c:v>4.8179540852623687E-2</c:v>
                </c:pt>
                <c:pt idx="12">
                  <c:v>1.5047938907181884E-2</c:v>
                </c:pt>
                <c:pt idx="13">
                  <c:v>5.9649721619915476E-2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799-4FD5-97D7-CCB7383C0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solidFill>
          <a:srgbClr val="D9D9D9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2.3328895565317063E-2"/>
          <c:y val="0.91814265010154417"/>
          <c:w val="0.80251400744690693"/>
          <c:h val="5.45922656817134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C0C0C0"/>
              </a:solidFill>
              <a:latin typeface="Calibri"/>
              <a:ea typeface="Calibri"/>
              <a:cs typeface="Calibri"/>
            </a:defRPr>
          </a:pPr>
          <a:endParaRPr lang="es-CR"/>
        </a:p>
      </c:txPr>
    </c:legend>
    <c:plotVisOnly val="1"/>
    <c:dispBlanksAs val="zero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288205361400154E-2"/>
          <c:y val="4.8340035445867971E-2"/>
          <c:w val="0.94555530811738719"/>
          <c:h val="0.800631837072188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'ANALISIS POR PROG'!$C$5</c:f>
              <c:strCache>
                <c:ptCount val="1"/>
                <c:pt idx="0">
                  <c:v>Apropiación Actual 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8080" mc:Ignorable="a14" a14:legacySpreadsheetColorIndex="29"/>
                </a:gs>
                <a:gs pos="100000">
                  <a:srgbClr xmlns:mc="http://schemas.openxmlformats.org/markup-compatibility/2006" xmlns:a14="http://schemas.microsoft.com/office/drawing/2010/main" val="FF6600" mc:Ignorable="a14" a14:legacySpreadsheetColorIndex="53"/>
                </a:gs>
              </a:gsLst>
              <a:lin ang="5400000" scaled="1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834-4B1B-9064-EF4E30F509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834-4B1B-9064-EF4E30F509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834-4B1B-9064-EF4E30F509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834-4B1B-9064-EF4E30F509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834-4B1B-9064-EF4E30F509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834-4B1B-9064-EF4E30F509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834-4B1B-9064-EF4E30F509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834-4B1B-9064-EF4E30F509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834-4B1B-9064-EF4E30F509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834-4B1B-9064-EF4E30F5092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834-4B1B-9064-EF4E30F5092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834-4B1B-9064-EF4E30F5092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834-4B1B-9064-EF4E30F5092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834-4B1B-9064-EF4E30F5092C}"/>
              </c:ext>
            </c:extLst>
          </c:dPt>
          <c:dLbls>
            <c:dLbl>
              <c:idx val="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834-4B1B-9064-EF4E30F5092C}"/>
                </c:ext>
              </c:extLst>
            </c:dLbl>
            <c:dLbl>
              <c:idx val="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834-4B1B-9064-EF4E30F5092C}"/>
                </c:ext>
              </c:extLst>
            </c:dLbl>
            <c:dLbl>
              <c:idx val="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834-4B1B-9064-EF4E30F5092C}"/>
                </c:ext>
              </c:extLst>
            </c:dLbl>
            <c:dLbl>
              <c:idx val="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834-4B1B-9064-EF4E30F5092C}"/>
                </c:ext>
              </c:extLst>
            </c:dLbl>
            <c:dLbl>
              <c:idx val="4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F834-4B1B-9064-EF4E30F5092C}"/>
                </c:ext>
              </c:extLst>
            </c:dLbl>
            <c:dLbl>
              <c:idx val="5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834-4B1B-9064-EF4E30F5092C}"/>
                </c:ext>
              </c:extLst>
            </c:dLbl>
            <c:dLbl>
              <c:idx val="6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F834-4B1B-9064-EF4E30F5092C}"/>
                </c:ext>
              </c:extLst>
            </c:dLbl>
            <c:dLbl>
              <c:idx val="7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F834-4B1B-9064-EF4E30F5092C}"/>
                </c:ext>
              </c:extLst>
            </c:dLbl>
            <c:dLbl>
              <c:idx val="8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F834-4B1B-9064-EF4E30F5092C}"/>
                </c:ext>
              </c:extLst>
            </c:dLbl>
            <c:dLbl>
              <c:idx val="9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F834-4B1B-9064-EF4E30F5092C}"/>
                </c:ext>
              </c:extLst>
            </c:dLbl>
            <c:dLbl>
              <c:idx val="1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F834-4B1B-9064-EF4E30F5092C}"/>
                </c:ext>
              </c:extLst>
            </c:dLbl>
            <c:dLbl>
              <c:idx val="1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834-4B1B-9064-EF4E30F5092C}"/>
                </c:ext>
              </c:extLst>
            </c:dLbl>
            <c:dLbl>
              <c:idx val="1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F834-4B1B-9064-EF4E30F5092C}"/>
                </c:ext>
              </c:extLst>
            </c:dLbl>
            <c:dLbl>
              <c:idx val="1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F834-4B1B-9064-EF4E30F5092C}"/>
                </c:ext>
              </c:extLst>
            </c:dLbl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'ANALISIS POR PROG'!$B$6:$B$19</c:f>
              <c:strCache>
                <c:ptCount val="14"/>
                <c:pt idx="0">
                  <c:v>PROG 786</c:v>
                </c:pt>
                <c:pt idx="1">
                  <c:v>PROG 787</c:v>
                </c:pt>
                <c:pt idx="2">
                  <c:v>PROG 788</c:v>
                </c:pt>
                <c:pt idx="3">
                  <c:v>PROG 789</c:v>
                </c:pt>
                <c:pt idx="4">
                  <c:v>PROG 78901</c:v>
                </c:pt>
                <c:pt idx="5">
                  <c:v>PROG 78902</c:v>
                </c:pt>
                <c:pt idx="6">
                  <c:v>PROG 78903</c:v>
                </c:pt>
                <c:pt idx="7">
                  <c:v>PROG 78904</c:v>
                </c:pt>
                <c:pt idx="8">
                  <c:v>PROG 78905</c:v>
                </c:pt>
                <c:pt idx="9">
                  <c:v>PROG 78906</c:v>
                </c:pt>
                <c:pt idx="10">
                  <c:v>PROG 790</c:v>
                </c:pt>
                <c:pt idx="11">
                  <c:v>PROG 791</c:v>
                </c:pt>
                <c:pt idx="12">
                  <c:v>PROG 793</c:v>
                </c:pt>
                <c:pt idx="13">
                  <c:v>PROG 794</c:v>
                </c:pt>
              </c:strCache>
            </c:strRef>
          </c:cat>
          <c:val>
            <c:numRef>
              <c:f>'ANALISIS POR PROG'!$D$6:$D$19</c:f>
              <c:numCache>
                <c:formatCode>0%</c:formatCode>
                <c:ptCount val="14"/>
                <c:pt idx="0">
                  <c:v>1.4023317081900639E-2</c:v>
                </c:pt>
                <c:pt idx="1">
                  <c:v>2.3366216766137232E-2</c:v>
                </c:pt>
                <c:pt idx="2">
                  <c:v>1.9201903079505547E-2</c:v>
                </c:pt>
                <c:pt idx="3">
                  <c:v>0.51048610741829303</c:v>
                </c:pt>
                <c:pt idx="4">
                  <c:v>0.18697200039682474</c:v>
                </c:pt>
                <c:pt idx="5">
                  <c:v>1.4189788978153896E-2</c:v>
                </c:pt>
                <c:pt idx="6">
                  <c:v>9.7687982856262869E-3</c:v>
                </c:pt>
                <c:pt idx="7">
                  <c:v>1.5245719511262704E-2</c:v>
                </c:pt>
                <c:pt idx="8">
                  <c:v>7.7944653422736777E-3</c:v>
                </c:pt>
                <c:pt idx="9">
                  <c:v>4.6911329496808714E-2</c:v>
                </c:pt>
                <c:pt idx="10">
                  <c:v>8.5264843089251901E-3</c:v>
                </c:pt>
                <c:pt idx="11">
                  <c:v>5.1146176775267171E-2</c:v>
                </c:pt>
                <c:pt idx="12">
                  <c:v>6.0347732473696319E-3</c:v>
                </c:pt>
                <c:pt idx="13">
                  <c:v>8.6332919311651518E-2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834-4B1B-9064-EF4E30F50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99346144"/>
        <c:axId val="1"/>
      </c:barChart>
      <c:catAx>
        <c:axId val="89934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46144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r>
              <a:rPr lang="es-CR"/>
              <a:t>Devengado</a:t>
            </a:r>
          </a:p>
        </c:rich>
      </c:tx>
      <c:layout>
        <c:manualLayout>
          <c:xMode val="edge"/>
          <c:yMode val="edge"/>
          <c:x val="0.4125132314634497"/>
          <c:y val="3.100887431247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877305482267742E-2"/>
          <c:y val="0.33334539885907444"/>
          <c:w val="0.89846631852834691"/>
          <c:h val="0.4728853332651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'ANALISIS POR PROG'!$K$5</c:f>
              <c:strCache>
                <c:ptCount val="1"/>
                <c:pt idx="0">
                  <c:v>Devengado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8080" mc:Ignorable="a14" a14:legacySpreadsheetColorIndex="29"/>
                </a:gs>
                <a:gs pos="100000">
                  <a:srgbClr xmlns:mc="http://schemas.openxmlformats.org/markup-compatibility/2006" xmlns:a14="http://schemas.microsoft.com/office/drawing/2010/main" val="FF6600" mc:Ignorable="a14" a14:legacySpreadsheetColorIndex="53"/>
                </a:gs>
              </a:gsLst>
              <a:lin ang="5400000" scaled="1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5A8-469E-99C4-68FD5C8F687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5A8-469E-99C4-68FD5C8F687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5A8-469E-99C4-68FD5C8F687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5A8-469E-99C4-68FD5C8F687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5A8-469E-99C4-68FD5C8F687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5A8-469E-99C4-68FD5C8F687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5A8-469E-99C4-68FD5C8F687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5A8-469E-99C4-68FD5C8F687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5A8-469E-99C4-68FD5C8F687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5A8-469E-99C4-68FD5C8F687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5A8-469E-99C4-68FD5C8F687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5A8-469E-99C4-68FD5C8F687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5A8-469E-99C4-68FD5C8F687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5A8-469E-99C4-68FD5C8F6874}"/>
              </c:ext>
            </c:extLst>
          </c:dPt>
          <c:dLbls>
            <c:dLbl>
              <c:idx val="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5A8-469E-99C4-68FD5C8F6874}"/>
                </c:ext>
              </c:extLst>
            </c:dLbl>
            <c:dLbl>
              <c:idx val="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5A8-469E-99C4-68FD5C8F6874}"/>
                </c:ext>
              </c:extLst>
            </c:dLbl>
            <c:dLbl>
              <c:idx val="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5A8-469E-99C4-68FD5C8F6874}"/>
                </c:ext>
              </c:extLst>
            </c:dLbl>
            <c:dLbl>
              <c:idx val="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5A8-469E-99C4-68FD5C8F6874}"/>
                </c:ext>
              </c:extLst>
            </c:dLbl>
            <c:dLbl>
              <c:idx val="4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45A8-469E-99C4-68FD5C8F6874}"/>
                </c:ext>
              </c:extLst>
            </c:dLbl>
            <c:dLbl>
              <c:idx val="5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45A8-469E-99C4-68FD5C8F6874}"/>
                </c:ext>
              </c:extLst>
            </c:dLbl>
            <c:dLbl>
              <c:idx val="6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45A8-469E-99C4-68FD5C8F6874}"/>
                </c:ext>
              </c:extLst>
            </c:dLbl>
            <c:dLbl>
              <c:idx val="7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45A8-469E-99C4-68FD5C8F6874}"/>
                </c:ext>
              </c:extLst>
            </c:dLbl>
            <c:dLbl>
              <c:idx val="8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45A8-469E-99C4-68FD5C8F6874}"/>
                </c:ext>
              </c:extLst>
            </c:dLbl>
            <c:dLbl>
              <c:idx val="9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45A8-469E-99C4-68FD5C8F6874}"/>
                </c:ext>
              </c:extLst>
            </c:dLbl>
            <c:dLbl>
              <c:idx val="10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45A8-469E-99C4-68FD5C8F6874}"/>
                </c:ext>
              </c:extLst>
            </c:dLbl>
            <c:dLbl>
              <c:idx val="11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5A8-469E-99C4-68FD5C8F6874}"/>
                </c:ext>
              </c:extLst>
            </c:dLbl>
            <c:dLbl>
              <c:idx val="12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45A8-469E-99C4-68FD5C8F6874}"/>
                </c:ext>
              </c:extLst>
            </c:dLbl>
            <c:dLbl>
              <c:idx val="13"/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C0C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45A8-469E-99C4-68FD5C8F6874}"/>
                </c:ext>
              </c:extLst>
            </c:dLbl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C0C0C0"/>
                    </a:solidFill>
                    <a:latin typeface="Calibri"/>
                    <a:ea typeface="Calibri"/>
                    <a:cs typeface="Calibri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'ANALISIS POR PROG'!$B$6:$B$19</c:f>
              <c:strCache>
                <c:ptCount val="14"/>
                <c:pt idx="0">
                  <c:v>PROG 786</c:v>
                </c:pt>
                <c:pt idx="1">
                  <c:v>PROG 787</c:v>
                </c:pt>
                <c:pt idx="2">
                  <c:v>PROG 788</c:v>
                </c:pt>
                <c:pt idx="3">
                  <c:v>PROG 789</c:v>
                </c:pt>
                <c:pt idx="4">
                  <c:v>PROG 78901</c:v>
                </c:pt>
                <c:pt idx="5">
                  <c:v>PROG 78902</c:v>
                </c:pt>
                <c:pt idx="6">
                  <c:v>PROG 78903</c:v>
                </c:pt>
                <c:pt idx="7">
                  <c:v>PROG 78904</c:v>
                </c:pt>
                <c:pt idx="8">
                  <c:v>PROG 78905</c:v>
                </c:pt>
                <c:pt idx="9">
                  <c:v>PROG 78906</c:v>
                </c:pt>
                <c:pt idx="10">
                  <c:v>PROG 790</c:v>
                </c:pt>
                <c:pt idx="11">
                  <c:v>PROG 791</c:v>
                </c:pt>
                <c:pt idx="12">
                  <c:v>PROG 793</c:v>
                </c:pt>
                <c:pt idx="13">
                  <c:v>PROG 794</c:v>
                </c:pt>
              </c:strCache>
            </c:strRef>
          </c:cat>
          <c:val>
            <c:numRef>
              <c:f>'ANALISIS POR PROG'!$L$6:$L$19</c:f>
              <c:numCache>
                <c:formatCode>0%</c:formatCode>
                <c:ptCount val="14"/>
                <c:pt idx="0">
                  <c:v>0.86580219370546785</c:v>
                </c:pt>
                <c:pt idx="1">
                  <c:v>0.92942109788149929</c:v>
                </c:pt>
                <c:pt idx="2">
                  <c:v>0.83383438540103616</c:v>
                </c:pt>
                <c:pt idx="3">
                  <c:v>0.92703555727861331</c:v>
                </c:pt>
                <c:pt idx="4">
                  <c:v>0.91864866722705674</c:v>
                </c:pt>
                <c:pt idx="5">
                  <c:v>0.89989949934264191</c:v>
                </c:pt>
                <c:pt idx="6">
                  <c:v>0.90613923393060436</c:v>
                </c:pt>
                <c:pt idx="7">
                  <c:v>0.89604929300947067</c:v>
                </c:pt>
                <c:pt idx="8">
                  <c:v>0.89242275866475074</c:v>
                </c:pt>
                <c:pt idx="9">
                  <c:v>0.86131552571821479</c:v>
                </c:pt>
                <c:pt idx="10">
                  <c:v>0.86565319792748896</c:v>
                </c:pt>
                <c:pt idx="11">
                  <c:v>0.95182045914737623</c:v>
                </c:pt>
                <c:pt idx="12">
                  <c:v>0.98495206109281808</c:v>
                </c:pt>
                <c:pt idx="13">
                  <c:v>0.94028106022732461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A8-469E-99C4-68FD5C8F6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99346544"/>
        <c:axId val="1"/>
      </c:barChart>
      <c:catAx>
        <c:axId val="89934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C0C0C0"/>
                </a:solidFill>
                <a:latin typeface="Calibri"/>
                <a:ea typeface="Calibri"/>
                <a:cs typeface="Calibri"/>
              </a:defRPr>
            </a:pPr>
            <a:endParaRPr lang="es-CR"/>
          </a:p>
        </c:txPr>
        <c:crossAx val="899346544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1F4E79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R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4" Type="http://schemas.openxmlformats.org/officeDocument/2006/relationships/chart" Target="../charts/chart4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2171700</xdr:colOff>
      <xdr:row>27</xdr:row>
      <xdr:rowOff>38100</xdr:rowOff>
    </xdr:from>
    <xdr:to>
      <xdr:col>8</xdr:col>
      <xdr:colOff>57150</xdr:colOff>
      <xdr:row>44</xdr:row>
      <xdr:rowOff>95250</xdr:rowOff>
    </xdr:to>
    <xdr:graphicFrame macro="">
      <xdr:nvGraphicFramePr>
        <xdr:cNvPr id="1025" name="Gráfico 1">
          <a:extLst>
            <a:ext uri="{FF2B5EF4-FFF2-40B4-BE49-F238E27FC236}">
              <a16:creationId xmlns:a16="http://schemas.microsoft.com/office/drawing/2014/main" id="{A04AD0FA-C7E7-4A00-9887-0F25E3AF8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18</xdr:row>
      <xdr:rowOff>47625</xdr:rowOff>
    </xdr:from>
    <xdr:to>
      <xdr:col>28</xdr:col>
      <xdr:colOff>361950</xdr:colOff>
      <xdr:row>46</xdr:row>
      <xdr:rowOff>19050</xdr:rowOff>
    </xdr:to>
    <xdr:graphicFrame macro="">
      <xdr:nvGraphicFramePr>
        <xdr:cNvPr id="18433" name="Gráfico 1">
          <a:extLst>
            <a:ext uri="{FF2B5EF4-FFF2-40B4-BE49-F238E27FC236}">
              <a16:creationId xmlns:a16="http://schemas.microsoft.com/office/drawing/2014/main" id="{4AA912C8-B9AD-4610-B47D-6792D5FD2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18</xdr:row>
      <xdr:rowOff>47625</xdr:rowOff>
    </xdr:from>
    <xdr:to>
      <xdr:col>28</xdr:col>
      <xdr:colOff>361950</xdr:colOff>
      <xdr:row>46</xdr:row>
      <xdr:rowOff>19050</xdr:rowOff>
    </xdr:to>
    <xdr:graphicFrame macro="">
      <xdr:nvGraphicFramePr>
        <xdr:cNvPr id="18434" name="Gráfico 2">
          <a:extLst>
            <a:ext uri="{FF2B5EF4-FFF2-40B4-BE49-F238E27FC236}">
              <a16:creationId xmlns:a16="http://schemas.microsoft.com/office/drawing/2014/main" id="{F66FA068-7C9A-42EE-A0A1-4E6F810DD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12</xdr:row>
      <xdr:rowOff>47625</xdr:rowOff>
    </xdr:from>
    <xdr:to>
      <xdr:col>6</xdr:col>
      <xdr:colOff>1057275</xdr:colOff>
      <xdr:row>32</xdr:row>
      <xdr:rowOff>161925</xdr:rowOff>
    </xdr:to>
    <xdr:graphicFrame macro="">
      <xdr:nvGraphicFramePr>
        <xdr:cNvPr id="20481" name="Gráfico 1">
          <a:extLst>
            <a:ext uri="{FF2B5EF4-FFF2-40B4-BE49-F238E27FC236}">
              <a16:creationId xmlns:a16="http://schemas.microsoft.com/office/drawing/2014/main" id="{621EBD98-CE32-424D-A8E6-96690EA78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95250</xdr:colOff>
      <xdr:row>12</xdr:row>
      <xdr:rowOff>85725</xdr:rowOff>
    </xdr:from>
    <xdr:to>
      <xdr:col>15</xdr:col>
      <xdr:colOff>142875</xdr:colOff>
      <xdr:row>32</xdr:row>
      <xdr:rowOff>180975</xdr:rowOff>
    </xdr:to>
    <xdr:graphicFrame macro="">
      <xdr:nvGraphicFramePr>
        <xdr:cNvPr id="20482" name="Gráfico 2">
          <a:extLst>
            <a:ext uri="{FF2B5EF4-FFF2-40B4-BE49-F238E27FC236}">
              <a16:creationId xmlns:a16="http://schemas.microsoft.com/office/drawing/2014/main" id="{4187E269-9931-407E-8334-AEBC78FB6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152400</xdr:colOff>
      <xdr:row>33</xdr:row>
      <xdr:rowOff>95250</xdr:rowOff>
    </xdr:from>
    <xdr:to>
      <xdr:col>6</xdr:col>
      <xdr:colOff>1085850</xdr:colOff>
      <xdr:row>54</xdr:row>
      <xdr:rowOff>0</xdr:rowOff>
    </xdr:to>
    <xdr:graphicFrame macro="">
      <xdr:nvGraphicFramePr>
        <xdr:cNvPr id="20483" name="Gráfico 3">
          <a:extLst>
            <a:ext uri="{FF2B5EF4-FFF2-40B4-BE49-F238E27FC236}">
              <a16:creationId xmlns:a16="http://schemas.microsoft.com/office/drawing/2014/main" id="{85772FFD-E28E-4062-A53A-5948EE847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1181100</xdr:colOff>
      <xdr:row>33</xdr:row>
      <xdr:rowOff>76200</xdr:rowOff>
    </xdr:from>
    <xdr:to>
      <xdr:col>15</xdr:col>
      <xdr:colOff>247650</xdr:colOff>
      <xdr:row>54</xdr:row>
      <xdr:rowOff>19050</xdr:rowOff>
    </xdr:to>
    <xdr:graphicFrame macro="">
      <xdr:nvGraphicFramePr>
        <xdr:cNvPr id="20484" name="Gráfico 4">
          <a:extLst>
            <a:ext uri="{FF2B5EF4-FFF2-40B4-BE49-F238E27FC236}">
              <a16:creationId xmlns:a16="http://schemas.microsoft.com/office/drawing/2014/main" id="{957CBEC4-A28E-46A8-A434-0ECC9093D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27</xdr:row>
      <xdr:rowOff>152400</xdr:rowOff>
    </xdr:from>
    <xdr:to>
      <xdr:col>9</xdr:col>
      <xdr:colOff>723900</xdr:colOff>
      <xdr:row>44</xdr:row>
      <xdr:rowOff>66675</xdr:rowOff>
    </xdr:to>
    <xdr:graphicFrame macro="">
      <xdr:nvGraphicFramePr>
        <xdr:cNvPr id="40961" name="Gráfico 1">
          <a:extLst>
            <a:ext uri="{FF2B5EF4-FFF2-40B4-BE49-F238E27FC236}">
              <a16:creationId xmlns:a16="http://schemas.microsoft.com/office/drawing/2014/main" id="{D69FB6E9-67B2-4D13-A974-C1DD10B1A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200025</xdr:colOff>
      <xdr:row>21</xdr:row>
      <xdr:rowOff>171450</xdr:rowOff>
    </xdr:from>
    <xdr:to>
      <xdr:col>18</xdr:col>
      <xdr:colOff>28575</xdr:colOff>
      <xdr:row>34</xdr:row>
      <xdr:rowOff>152400</xdr:rowOff>
    </xdr:to>
    <xdr:graphicFrame macro="">
      <xdr:nvGraphicFramePr>
        <xdr:cNvPr id="40962" name="Gráfico 2">
          <a:extLst>
            <a:ext uri="{FF2B5EF4-FFF2-40B4-BE49-F238E27FC236}">
              <a16:creationId xmlns:a16="http://schemas.microsoft.com/office/drawing/2014/main" id="{CA2A1CDF-5450-439F-B5F2-2CEFAC8A6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27</xdr:row>
      <xdr:rowOff>152400</xdr:rowOff>
    </xdr:from>
    <xdr:to>
      <xdr:col>9</xdr:col>
      <xdr:colOff>723900</xdr:colOff>
      <xdr:row>44</xdr:row>
      <xdr:rowOff>66675</xdr:rowOff>
    </xdr:to>
    <xdr:graphicFrame macro="">
      <xdr:nvGraphicFramePr>
        <xdr:cNvPr id="41985" name="Gráfico 1">
          <a:extLst>
            <a:ext uri="{FF2B5EF4-FFF2-40B4-BE49-F238E27FC236}">
              <a16:creationId xmlns:a16="http://schemas.microsoft.com/office/drawing/2014/main" id="{75F0017D-57B1-49FA-806A-B3A981B64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200025</xdr:colOff>
      <xdr:row>21</xdr:row>
      <xdr:rowOff>171450</xdr:rowOff>
    </xdr:from>
    <xdr:to>
      <xdr:col>18</xdr:col>
      <xdr:colOff>28575</xdr:colOff>
      <xdr:row>34</xdr:row>
      <xdr:rowOff>152400</xdr:rowOff>
    </xdr:to>
    <xdr:graphicFrame macro="">
      <xdr:nvGraphicFramePr>
        <xdr:cNvPr id="41986" name="Gráfico 2">
          <a:extLst>
            <a:ext uri="{FF2B5EF4-FFF2-40B4-BE49-F238E27FC236}">
              <a16:creationId xmlns:a16="http://schemas.microsoft.com/office/drawing/2014/main" id="{6439097F-7204-42B8-9B02-E734507B3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27</xdr:row>
      <xdr:rowOff>152400</xdr:rowOff>
    </xdr:from>
    <xdr:to>
      <xdr:col>9</xdr:col>
      <xdr:colOff>723900</xdr:colOff>
      <xdr:row>44</xdr:row>
      <xdr:rowOff>66675</xdr:rowOff>
    </xdr:to>
    <xdr:graphicFrame macro="">
      <xdr:nvGraphicFramePr>
        <xdr:cNvPr id="41987" name="Gráfico 3">
          <a:extLst>
            <a:ext uri="{FF2B5EF4-FFF2-40B4-BE49-F238E27FC236}">
              <a16:creationId xmlns:a16="http://schemas.microsoft.com/office/drawing/2014/main" id="{50C5ECB3-25A7-43E1-8C7D-B9BAA3C59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200025</xdr:colOff>
      <xdr:row>21</xdr:row>
      <xdr:rowOff>171450</xdr:rowOff>
    </xdr:from>
    <xdr:to>
      <xdr:col>18</xdr:col>
      <xdr:colOff>28575</xdr:colOff>
      <xdr:row>34</xdr:row>
      <xdr:rowOff>152400</xdr:rowOff>
    </xdr:to>
    <xdr:graphicFrame macro="">
      <xdr:nvGraphicFramePr>
        <xdr:cNvPr id="41988" name="Gráfico 4">
          <a:extLst>
            <a:ext uri="{FF2B5EF4-FFF2-40B4-BE49-F238E27FC236}">
              <a16:creationId xmlns:a16="http://schemas.microsoft.com/office/drawing/2014/main" id="{A3398AA7-2BAE-44DF-BED7-413EEFD82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27</xdr:row>
      <xdr:rowOff>152400</xdr:rowOff>
    </xdr:from>
    <xdr:to>
      <xdr:col>9</xdr:col>
      <xdr:colOff>723900</xdr:colOff>
      <xdr:row>44</xdr:row>
      <xdr:rowOff>66675</xdr:rowOff>
    </xdr:to>
    <xdr:graphicFrame macro="">
      <xdr:nvGraphicFramePr>
        <xdr:cNvPr id="43009" name="Gráfico 1">
          <a:extLst>
            <a:ext uri="{FF2B5EF4-FFF2-40B4-BE49-F238E27FC236}">
              <a16:creationId xmlns:a16="http://schemas.microsoft.com/office/drawing/2014/main" id="{973A0B16-6C02-4CBF-B34B-10056502C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200025</xdr:colOff>
      <xdr:row>21</xdr:row>
      <xdr:rowOff>171450</xdr:rowOff>
    </xdr:from>
    <xdr:to>
      <xdr:col>18</xdr:col>
      <xdr:colOff>28575</xdr:colOff>
      <xdr:row>34</xdr:row>
      <xdr:rowOff>152400</xdr:rowOff>
    </xdr:to>
    <xdr:graphicFrame macro="">
      <xdr:nvGraphicFramePr>
        <xdr:cNvPr id="43010" name="Gráfico 2">
          <a:extLst>
            <a:ext uri="{FF2B5EF4-FFF2-40B4-BE49-F238E27FC236}">
              <a16:creationId xmlns:a16="http://schemas.microsoft.com/office/drawing/2014/main" id="{2B379488-A888-4612-B032-D430882B0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27</xdr:row>
      <xdr:rowOff>152400</xdr:rowOff>
    </xdr:from>
    <xdr:to>
      <xdr:col>9</xdr:col>
      <xdr:colOff>723900</xdr:colOff>
      <xdr:row>44</xdr:row>
      <xdr:rowOff>66675</xdr:rowOff>
    </xdr:to>
    <xdr:graphicFrame macro="">
      <xdr:nvGraphicFramePr>
        <xdr:cNvPr id="43011" name="Gráfico 3">
          <a:extLst>
            <a:ext uri="{FF2B5EF4-FFF2-40B4-BE49-F238E27FC236}">
              <a16:creationId xmlns:a16="http://schemas.microsoft.com/office/drawing/2014/main" id="{69CBD564-A960-4F29-8C97-22E09881F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200025</xdr:colOff>
      <xdr:row>21</xdr:row>
      <xdr:rowOff>171450</xdr:rowOff>
    </xdr:from>
    <xdr:to>
      <xdr:col>18</xdr:col>
      <xdr:colOff>28575</xdr:colOff>
      <xdr:row>34</xdr:row>
      <xdr:rowOff>152400</xdr:rowOff>
    </xdr:to>
    <xdr:graphicFrame macro="">
      <xdr:nvGraphicFramePr>
        <xdr:cNvPr id="43012" name="Gráfico 4">
          <a:extLst>
            <a:ext uri="{FF2B5EF4-FFF2-40B4-BE49-F238E27FC236}">
              <a16:creationId xmlns:a16="http://schemas.microsoft.com/office/drawing/2014/main" id="{6750C7DD-7273-44B4-A51D-B79B58613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66675</xdr:colOff>
      <xdr:row>27</xdr:row>
      <xdr:rowOff>152400</xdr:rowOff>
    </xdr:from>
    <xdr:to>
      <xdr:col>9</xdr:col>
      <xdr:colOff>723900</xdr:colOff>
      <xdr:row>44</xdr:row>
      <xdr:rowOff>66675</xdr:rowOff>
    </xdr:to>
    <xdr:graphicFrame macro="">
      <xdr:nvGraphicFramePr>
        <xdr:cNvPr id="43013" name="Gráfico 5">
          <a:extLst>
            <a:ext uri="{FF2B5EF4-FFF2-40B4-BE49-F238E27FC236}">
              <a16:creationId xmlns:a16="http://schemas.microsoft.com/office/drawing/2014/main" id="{39778350-2369-4540-9161-0B766B544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200025</xdr:colOff>
      <xdr:row>21</xdr:row>
      <xdr:rowOff>171450</xdr:rowOff>
    </xdr:from>
    <xdr:to>
      <xdr:col>18</xdr:col>
      <xdr:colOff>28575</xdr:colOff>
      <xdr:row>34</xdr:row>
      <xdr:rowOff>152400</xdr:rowOff>
    </xdr:to>
    <xdr:graphicFrame macro="">
      <xdr:nvGraphicFramePr>
        <xdr:cNvPr id="43014" name="Gráfico 6">
          <a:extLst>
            <a:ext uri="{FF2B5EF4-FFF2-40B4-BE49-F238E27FC236}">
              <a16:creationId xmlns:a16="http://schemas.microsoft.com/office/drawing/2014/main" id="{92BF1DBE-BB52-4507-AEB9-2C03A187C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66675</xdr:colOff>
      <xdr:row>27</xdr:row>
      <xdr:rowOff>152400</xdr:rowOff>
    </xdr:from>
    <xdr:to>
      <xdr:col>9</xdr:col>
      <xdr:colOff>723900</xdr:colOff>
      <xdr:row>44</xdr:row>
      <xdr:rowOff>66675</xdr:rowOff>
    </xdr:to>
    <xdr:graphicFrame macro="">
      <xdr:nvGraphicFramePr>
        <xdr:cNvPr id="43015" name="Gráfico 7">
          <a:extLst>
            <a:ext uri="{FF2B5EF4-FFF2-40B4-BE49-F238E27FC236}">
              <a16:creationId xmlns:a16="http://schemas.microsoft.com/office/drawing/2014/main" id="{358F596A-AA41-40D9-9E8E-36E4F1AB1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200025</xdr:colOff>
      <xdr:row>21</xdr:row>
      <xdr:rowOff>171450</xdr:rowOff>
    </xdr:from>
    <xdr:to>
      <xdr:col>18</xdr:col>
      <xdr:colOff>28575</xdr:colOff>
      <xdr:row>34</xdr:row>
      <xdr:rowOff>152400</xdr:rowOff>
    </xdr:to>
    <xdr:graphicFrame macro="">
      <xdr:nvGraphicFramePr>
        <xdr:cNvPr id="43016" name="Gráfico 8">
          <a:extLst>
            <a:ext uri="{FF2B5EF4-FFF2-40B4-BE49-F238E27FC236}">
              <a16:creationId xmlns:a16="http://schemas.microsoft.com/office/drawing/2014/main" id="{7A5E3C8E-DAF9-4059-A7E8-2E892F8E2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304800</xdr:colOff>
      <xdr:row>0</xdr:row>
      <xdr:rowOff>171450</xdr:rowOff>
    </xdr:from>
    <xdr:to>
      <xdr:col>15</xdr:col>
      <xdr:colOff>514350</xdr:colOff>
      <xdr:row>20</xdr:row>
      <xdr:rowOff>152400</xdr:rowOff>
    </xdr:to>
    <xdr:graphicFrame macro="">
      <xdr:nvGraphicFramePr>
        <xdr:cNvPr id="46081" name="Gráfico 1">
          <a:extLst>
            <a:ext uri="{FF2B5EF4-FFF2-40B4-BE49-F238E27FC236}">
              <a16:creationId xmlns:a16="http://schemas.microsoft.com/office/drawing/2014/main" id="{B55F12E1-C154-4D77-A36C-0188953F5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18</xdr:row>
      <xdr:rowOff>95250</xdr:rowOff>
    </xdr:from>
    <xdr:to>
      <xdr:col>7</xdr:col>
      <xdr:colOff>104775</xdr:colOff>
      <xdr:row>36</xdr:row>
      <xdr:rowOff>47625</xdr:rowOff>
    </xdr:to>
    <xdr:graphicFrame macro="">
      <xdr:nvGraphicFramePr>
        <xdr:cNvPr id="46082" name="Gráfico 2">
          <a:extLst>
            <a:ext uri="{FF2B5EF4-FFF2-40B4-BE49-F238E27FC236}">
              <a16:creationId xmlns:a16="http://schemas.microsoft.com/office/drawing/2014/main" id="{EAE1C21F-F167-4E21-A196-AE4106807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390525</xdr:colOff>
      <xdr:row>12</xdr:row>
      <xdr:rowOff>123825</xdr:rowOff>
    </xdr:from>
    <xdr:to>
      <xdr:col>14</xdr:col>
      <xdr:colOff>342900</xdr:colOff>
      <xdr:row>30</xdr:row>
      <xdr:rowOff>19050</xdr:rowOff>
    </xdr:to>
    <xdr:graphicFrame macro="">
      <xdr:nvGraphicFramePr>
        <xdr:cNvPr id="58369" name="Gráfico 1">
          <a:extLst>
            <a:ext uri="{FF2B5EF4-FFF2-40B4-BE49-F238E27FC236}">
              <a16:creationId xmlns:a16="http://schemas.microsoft.com/office/drawing/2014/main" id="{6E0EA163-B682-4554-BED1-1E6616E7C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12</xdr:row>
      <xdr:rowOff>47625</xdr:rowOff>
    </xdr:from>
    <xdr:to>
      <xdr:col>6</xdr:col>
      <xdr:colOff>1057275</xdr:colOff>
      <xdr:row>32</xdr:row>
      <xdr:rowOff>161925</xdr:rowOff>
    </xdr:to>
    <xdr:graphicFrame macro="">
      <xdr:nvGraphicFramePr>
        <xdr:cNvPr id="59393" name="Gráfico 1">
          <a:extLst>
            <a:ext uri="{FF2B5EF4-FFF2-40B4-BE49-F238E27FC236}">
              <a16:creationId xmlns:a16="http://schemas.microsoft.com/office/drawing/2014/main" id="{0401495A-E84D-476A-A50A-8C6BACC67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95250</xdr:colOff>
      <xdr:row>12</xdr:row>
      <xdr:rowOff>85725</xdr:rowOff>
    </xdr:from>
    <xdr:to>
      <xdr:col>15</xdr:col>
      <xdr:colOff>142875</xdr:colOff>
      <xdr:row>32</xdr:row>
      <xdr:rowOff>180975</xdr:rowOff>
    </xdr:to>
    <xdr:graphicFrame macro="">
      <xdr:nvGraphicFramePr>
        <xdr:cNvPr id="59394" name="Gráfico 2">
          <a:extLst>
            <a:ext uri="{FF2B5EF4-FFF2-40B4-BE49-F238E27FC236}">
              <a16:creationId xmlns:a16="http://schemas.microsoft.com/office/drawing/2014/main" id="{FE46B95F-9ED7-425B-BBE4-7C0C5150B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152400</xdr:colOff>
      <xdr:row>33</xdr:row>
      <xdr:rowOff>95250</xdr:rowOff>
    </xdr:from>
    <xdr:to>
      <xdr:col>6</xdr:col>
      <xdr:colOff>1085850</xdr:colOff>
      <xdr:row>54</xdr:row>
      <xdr:rowOff>0</xdr:rowOff>
    </xdr:to>
    <xdr:graphicFrame macro="">
      <xdr:nvGraphicFramePr>
        <xdr:cNvPr id="59395" name="Gráfico 3">
          <a:extLst>
            <a:ext uri="{FF2B5EF4-FFF2-40B4-BE49-F238E27FC236}">
              <a16:creationId xmlns:a16="http://schemas.microsoft.com/office/drawing/2014/main" id="{940F9A5C-4FC5-4378-88AC-9F35E0F19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1181100</xdr:colOff>
      <xdr:row>33</xdr:row>
      <xdr:rowOff>76200</xdr:rowOff>
    </xdr:from>
    <xdr:to>
      <xdr:col>15</xdr:col>
      <xdr:colOff>247650</xdr:colOff>
      <xdr:row>54</xdr:row>
      <xdr:rowOff>19050</xdr:rowOff>
    </xdr:to>
    <xdr:graphicFrame macro="">
      <xdr:nvGraphicFramePr>
        <xdr:cNvPr id="59396" name="Gráfico 4">
          <a:extLst>
            <a:ext uri="{FF2B5EF4-FFF2-40B4-BE49-F238E27FC236}">
              <a16:creationId xmlns:a16="http://schemas.microsoft.com/office/drawing/2014/main" id="{5711F1B0-7269-489E-9FB9-0703A1917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27</xdr:row>
      <xdr:rowOff>152400</xdr:rowOff>
    </xdr:from>
    <xdr:to>
      <xdr:col>8</xdr:col>
      <xdr:colOff>723900</xdr:colOff>
      <xdr:row>44</xdr:row>
      <xdr:rowOff>66675</xdr:rowOff>
    </xdr:to>
    <xdr:graphicFrame macro="">
      <xdr:nvGraphicFramePr>
        <xdr:cNvPr id="2049" name="Gráfico 1">
          <a:extLst>
            <a:ext uri="{FF2B5EF4-FFF2-40B4-BE49-F238E27FC236}">
              <a16:creationId xmlns:a16="http://schemas.microsoft.com/office/drawing/2014/main" id="{236D6547-821A-4278-AF1B-7C3A908AC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200025</xdr:colOff>
      <xdr:row>21</xdr:row>
      <xdr:rowOff>171450</xdr:rowOff>
    </xdr:from>
    <xdr:to>
      <xdr:col>16</xdr:col>
      <xdr:colOff>28575</xdr:colOff>
      <xdr:row>34</xdr:row>
      <xdr:rowOff>152400</xdr:rowOff>
    </xdr:to>
    <xdr:graphicFrame macro="">
      <xdr:nvGraphicFramePr>
        <xdr:cNvPr id="2050" name="Gráfico 2">
          <a:extLst>
            <a:ext uri="{FF2B5EF4-FFF2-40B4-BE49-F238E27FC236}">
              <a16:creationId xmlns:a16="http://schemas.microsoft.com/office/drawing/2014/main" id="{9A7D5F97-14FF-44A0-88C6-E0CDD6EB5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190500</xdr:colOff>
      <xdr:row>36</xdr:row>
      <xdr:rowOff>57150</xdr:rowOff>
    </xdr:from>
    <xdr:to>
      <xdr:col>16</xdr:col>
      <xdr:colOff>47625</xdr:colOff>
      <xdr:row>56</xdr:row>
      <xdr:rowOff>85725</xdr:rowOff>
    </xdr:to>
    <xdr:graphicFrame macro="">
      <xdr:nvGraphicFramePr>
        <xdr:cNvPr id="2051" name="Gráfico 3">
          <a:extLst>
            <a:ext uri="{FF2B5EF4-FFF2-40B4-BE49-F238E27FC236}">
              <a16:creationId xmlns:a16="http://schemas.microsoft.com/office/drawing/2014/main" id="{1FF1B793-35A7-4234-BC34-D202F3DCC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20</xdr:row>
      <xdr:rowOff>152400</xdr:rowOff>
    </xdr:from>
    <xdr:to>
      <xdr:col>8</xdr:col>
      <xdr:colOff>723900</xdr:colOff>
      <xdr:row>37</xdr:row>
      <xdr:rowOff>66675</xdr:rowOff>
    </xdr:to>
    <xdr:graphicFrame macro="">
      <xdr:nvGraphicFramePr>
        <xdr:cNvPr id="3073" name="Gráfico 1">
          <a:extLst>
            <a:ext uri="{FF2B5EF4-FFF2-40B4-BE49-F238E27FC236}">
              <a16:creationId xmlns:a16="http://schemas.microsoft.com/office/drawing/2014/main" id="{DD1CE26A-5AA3-4E6C-9DB5-F9589725A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200025</xdr:colOff>
      <xdr:row>14</xdr:row>
      <xdr:rowOff>171450</xdr:rowOff>
    </xdr:from>
    <xdr:to>
      <xdr:col>16</xdr:col>
      <xdr:colOff>28575</xdr:colOff>
      <xdr:row>27</xdr:row>
      <xdr:rowOff>152400</xdr:rowOff>
    </xdr:to>
    <xdr:graphicFrame macro="">
      <xdr:nvGraphicFramePr>
        <xdr:cNvPr id="3074" name="Gráfico 2">
          <a:extLst>
            <a:ext uri="{FF2B5EF4-FFF2-40B4-BE49-F238E27FC236}">
              <a16:creationId xmlns:a16="http://schemas.microsoft.com/office/drawing/2014/main" id="{205D8092-34AE-429C-9208-CC4B47C2A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190500</xdr:colOff>
      <xdr:row>29</xdr:row>
      <xdr:rowOff>57150</xdr:rowOff>
    </xdr:from>
    <xdr:to>
      <xdr:col>16</xdr:col>
      <xdr:colOff>47625</xdr:colOff>
      <xdr:row>49</xdr:row>
      <xdr:rowOff>85725</xdr:rowOff>
    </xdr:to>
    <xdr:graphicFrame macro="">
      <xdr:nvGraphicFramePr>
        <xdr:cNvPr id="3075" name="Gráfico 3">
          <a:extLst>
            <a:ext uri="{FF2B5EF4-FFF2-40B4-BE49-F238E27FC236}">
              <a16:creationId xmlns:a16="http://schemas.microsoft.com/office/drawing/2014/main" id="{A289763D-D3C3-4DDF-858B-557F218D0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66675</xdr:colOff>
      <xdr:row>20</xdr:row>
      <xdr:rowOff>152400</xdr:rowOff>
    </xdr:from>
    <xdr:to>
      <xdr:col>8</xdr:col>
      <xdr:colOff>723900</xdr:colOff>
      <xdr:row>37</xdr:row>
      <xdr:rowOff>66675</xdr:rowOff>
    </xdr:to>
    <xdr:graphicFrame macro="">
      <xdr:nvGraphicFramePr>
        <xdr:cNvPr id="3076" name="Gráfico 4">
          <a:extLst>
            <a:ext uri="{FF2B5EF4-FFF2-40B4-BE49-F238E27FC236}">
              <a16:creationId xmlns:a16="http://schemas.microsoft.com/office/drawing/2014/main" id="{29BCB4C4-6B00-4F03-8054-B87A65960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200025</xdr:colOff>
      <xdr:row>14</xdr:row>
      <xdr:rowOff>171450</xdr:rowOff>
    </xdr:from>
    <xdr:to>
      <xdr:col>16</xdr:col>
      <xdr:colOff>28575</xdr:colOff>
      <xdr:row>27</xdr:row>
      <xdr:rowOff>152400</xdr:rowOff>
    </xdr:to>
    <xdr:graphicFrame macro="">
      <xdr:nvGraphicFramePr>
        <xdr:cNvPr id="3077" name="Gráfico 5">
          <a:extLst>
            <a:ext uri="{FF2B5EF4-FFF2-40B4-BE49-F238E27FC236}">
              <a16:creationId xmlns:a16="http://schemas.microsoft.com/office/drawing/2014/main" id="{FFF17BBD-9795-4C44-A995-5300633B4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190500</xdr:colOff>
      <xdr:row>29</xdr:row>
      <xdr:rowOff>57150</xdr:rowOff>
    </xdr:from>
    <xdr:to>
      <xdr:col>16</xdr:col>
      <xdr:colOff>47625</xdr:colOff>
      <xdr:row>49</xdr:row>
      <xdr:rowOff>85725</xdr:rowOff>
    </xdr:to>
    <xdr:graphicFrame macro="">
      <xdr:nvGraphicFramePr>
        <xdr:cNvPr id="3078" name="Gráfico 6">
          <a:extLst>
            <a:ext uri="{FF2B5EF4-FFF2-40B4-BE49-F238E27FC236}">
              <a16:creationId xmlns:a16="http://schemas.microsoft.com/office/drawing/2014/main" id="{2D2A97C2-BAB1-4482-AD7B-9FF23CF39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381000</xdr:colOff>
      <xdr:row>21</xdr:row>
      <xdr:rowOff>142875</xdr:rowOff>
    </xdr:from>
    <xdr:to>
      <xdr:col>8</xdr:col>
      <xdr:colOff>1038225</xdr:colOff>
      <xdr:row>38</xdr:row>
      <xdr:rowOff>57150</xdr:rowOff>
    </xdr:to>
    <xdr:graphicFrame macro="">
      <xdr:nvGraphicFramePr>
        <xdr:cNvPr id="4097" name="Gráfico 1">
          <a:extLst>
            <a:ext uri="{FF2B5EF4-FFF2-40B4-BE49-F238E27FC236}">
              <a16:creationId xmlns:a16="http://schemas.microsoft.com/office/drawing/2014/main" id="{75696D8E-AE30-4D45-B8F9-0DB3FC0EA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200025</xdr:colOff>
      <xdr:row>21</xdr:row>
      <xdr:rowOff>171450</xdr:rowOff>
    </xdr:from>
    <xdr:to>
      <xdr:col>16</xdr:col>
      <xdr:colOff>28575</xdr:colOff>
      <xdr:row>34</xdr:row>
      <xdr:rowOff>152400</xdr:rowOff>
    </xdr:to>
    <xdr:graphicFrame macro="">
      <xdr:nvGraphicFramePr>
        <xdr:cNvPr id="4098" name="Gráfico 2">
          <a:extLst>
            <a:ext uri="{FF2B5EF4-FFF2-40B4-BE49-F238E27FC236}">
              <a16:creationId xmlns:a16="http://schemas.microsoft.com/office/drawing/2014/main" id="{CF38FA9C-D874-42CA-9AB3-5F104735F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657225</xdr:colOff>
      <xdr:row>40</xdr:row>
      <xdr:rowOff>0</xdr:rowOff>
    </xdr:from>
    <xdr:to>
      <xdr:col>8</xdr:col>
      <xdr:colOff>85725</xdr:colOff>
      <xdr:row>60</xdr:row>
      <xdr:rowOff>28575</xdr:rowOff>
    </xdr:to>
    <xdr:graphicFrame macro="">
      <xdr:nvGraphicFramePr>
        <xdr:cNvPr id="4099" name="Gráfico 3">
          <a:extLst>
            <a:ext uri="{FF2B5EF4-FFF2-40B4-BE49-F238E27FC236}">
              <a16:creationId xmlns:a16="http://schemas.microsoft.com/office/drawing/2014/main" id="{99395B9F-6A10-49C0-B9BA-F7880EADD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390525</xdr:colOff>
      <xdr:row>12</xdr:row>
      <xdr:rowOff>123825</xdr:rowOff>
    </xdr:from>
    <xdr:to>
      <xdr:col>14</xdr:col>
      <xdr:colOff>342900</xdr:colOff>
      <xdr:row>30</xdr:row>
      <xdr:rowOff>19050</xdr:rowOff>
    </xdr:to>
    <xdr:graphicFrame macro="">
      <xdr:nvGraphicFramePr>
        <xdr:cNvPr id="13313" name="Gráfico 1">
          <a:extLst>
            <a:ext uri="{FF2B5EF4-FFF2-40B4-BE49-F238E27FC236}">
              <a16:creationId xmlns:a16="http://schemas.microsoft.com/office/drawing/2014/main" id="{4506FBFA-AD5E-40C1-89B5-7F57B1BEE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0</xdr:row>
      <xdr:rowOff>123825</xdr:rowOff>
    </xdr:from>
    <xdr:to>
      <xdr:col>12</xdr:col>
      <xdr:colOff>457200</xdr:colOff>
      <xdr:row>21</xdr:row>
      <xdr:rowOff>66675</xdr:rowOff>
    </xdr:to>
    <xdr:graphicFrame macro="">
      <xdr:nvGraphicFramePr>
        <xdr:cNvPr id="14337" name="Gráfico 1">
          <a:extLst>
            <a:ext uri="{FF2B5EF4-FFF2-40B4-BE49-F238E27FC236}">
              <a16:creationId xmlns:a16="http://schemas.microsoft.com/office/drawing/2014/main" id="{13A3124F-5745-4F7B-B254-D86C93190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</xdr:row>
      <xdr:rowOff>19050</xdr:rowOff>
    </xdr:from>
    <xdr:to>
      <xdr:col>28</xdr:col>
      <xdr:colOff>361950</xdr:colOff>
      <xdr:row>48</xdr:row>
      <xdr:rowOff>95250</xdr:rowOff>
    </xdr:to>
    <xdr:graphicFrame macro="">
      <xdr:nvGraphicFramePr>
        <xdr:cNvPr id="15361" name="Gráfico 1">
          <a:extLst>
            <a:ext uri="{FF2B5EF4-FFF2-40B4-BE49-F238E27FC236}">
              <a16:creationId xmlns:a16="http://schemas.microsoft.com/office/drawing/2014/main" id="{ECC32497-513E-44BD-8EC2-A709ADA58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25</xdr:row>
      <xdr:rowOff>47625</xdr:rowOff>
    </xdr:from>
    <xdr:to>
      <xdr:col>28</xdr:col>
      <xdr:colOff>361950</xdr:colOff>
      <xdr:row>53</xdr:row>
      <xdr:rowOff>19050</xdr:rowOff>
    </xdr:to>
    <xdr:graphicFrame macro="">
      <xdr:nvGraphicFramePr>
        <xdr:cNvPr id="16385" name="Gráfico 1">
          <a:extLst>
            <a:ext uri="{FF2B5EF4-FFF2-40B4-BE49-F238E27FC236}">
              <a16:creationId xmlns:a16="http://schemas.microsoft.com/office/drawing/2014/main" id="{ADD80992-17ED-4D8D-B55F-3D534483A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19050</xdr:rowOff>
    </xdr:from>
    <xdr:to>
      <xdr:col>28</xdr:col>
      <xdr:colOff>361950</xdr:colOff>
      <xdr:row>41</xdr:row>
      <xdr:rowOff>95250</xdr:rowOff>
    </xdr:to>
    <xdr:graphicFrame macro="">
      <xdr:nvGraphicFramePr>
        <xdr:cNvPr id="17409" name="Gráfico 1">
          <a:extLst>
            <a:ext uri="{FF2B5EF4-FFF2-40B4-BE49-F238E27FC236}">
              <a16:creationId xmlns:a16="http://schemas.microsoft.com/office/drawing/2014/main" id="{F1553880-BF7B-4E69-9BC4-933A0A5BA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90"/>
  <sheetViews>
    <sheetView topLeftCell="B1" zoomScaleNormal="100" workbookViewId="0"/>
  </sheetViews>
  <sheetFormatPr baseColWidth="10" defaultColWidth="11" defaultRowHeight="15" x14ac:dyDescent="0.25"/>
  <cols>
    <col min="1" max="1" width="7.28515625" hidden="1" customWidth="1"/>
    <col min="2" max="2" width="34.42578125" customWidth="1"/>
    <col min="3" max="3" width="21" hidden="1" customWidth="1"/>
    <col min="4" max="4" width="23.140625" hidden="1" customWidth="1"/>
    <col min="5" max="5" width="17.140625" customWidth="1"/>
    <col min="6" max="6" width="18.28515625" customWidth="1"/>
    <col min="7" max="7" width="16" customWidth="1"/>
    <col min="8" max="8" width="19.7109375" customWidth="1"/>
    <col min="9" max="9" width="14.7109375" customWidth="1"/>
    <col min="10" max="10" width="18.28515625" hidden="1" customWidth="1"/>
    <col min="11" max="11" width="9.28515625" hidden="1" customWidth="1"/>
    <col min="12" max="12" width="21" customWidth="1"/>
    <col min="13" max="13" width="28.42578125" hidden="1" customWidth="1"/>
    <col min="14" max="14" width="17.42578125" customWidth="1"/>
  </cols>
  <sheetData>
    <row r="1" spans="1:21" ht="15.75" x14ac:dyDescent="0.25">
      <c r="B1" s="600" t="s">
        <v>0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1"/>
      <c r="P1" s="1"/>
      <c r="Q1" s="1"/>
      <c r="R1" s="1"/>
      <c r="S1" s="1"/>
      <c r="T1" s="1"/>
      <c r="U1" s="2"/>
    </row>
    <row r="2" spans="1:21" ht="15" customHeight="1" x14ac:dyDescent="0.25">
      <c r="B2" s="600" t="str">
        <f>+Estado!A4</f>
        <v xml:space="preserve">AL 31 DE DICIEMBRE 2020        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</row>
    <row r="3" spans="1:21" ht="15" customHeight="1" x14ac:dyDescent="0.25">
      <c r="B3" s="600" t="s">
        <v>1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3"/>
      <c r="P3" s="3"/>
      <c r="Q3" s="3"/>
      <c r="R3" s="3"/>
      <c r="S3" s="3"/>
      <c r="T3" s="3"/>
      <c r="U3" s="4"/>
    </row>
    <row r="5" spans="1:21" ht="17.25" hidden="1" customHeight="1" x14ac:dyDescent="0.25">
      <c r="B5" s="601" t="s">
        <v>2</v>
      </c>
      <c r="C5" s="601" t="s">
        <v>3</v>
      </c>
      <c r="D5" s="601" t="s">
        <v>4</v>
      </c>
      <c r="E5" s="601" t="s">
        <v>5</v>
      </c>
      <c r="F5" s="6" t="s">
        <v>6</v>
      </c>
      <c r="G5" s="6"/>
      <c r="H5" s="6"/>
      <c r="I5" s="5"/>
      <c r="J5" s="5"/>
      <c r="K5" s="5"/>
      <c r="L5" s="601" t="s">
        <v>7</v>
      </c>
      <c r="M5" s="601" t="s">
        <v>8</v>
      </c>
      <c r="N5" s="601" t="s">
        <v>9</v>
      </c>
    </row>
    <row r="6" spans="1:21" ht="34.5" x14ac:dyDescent="0.25">
      <c r="B6" s="601"/>
      <c r="C6" s="601"/>
      <c r="D6" s="601"/>
      <c r="E6" s="601"/>
      <c r="F6" s="5" t="s">
        <v>10</v>
      </c>
      <c r="G6" s="5" t="s">
        <v>11</v>
      </c>
      <c r="H6" s="5" t="s">
        <v>12</v>
      </c>
      <c r="I6" s="5" t="s">
        <v>13</v>
      </c>
      <c r="J6" s="5" t="s">
        <v>14</v>
      </c>
      <c r="K6" s="5" t="s">
        <v>15</v>
      </c>
      <c r="L6" s="601"/>
      <c r="M6" s="601"/>
      <c r="N6" s="601"/>
    </row>
    <row r="7" spans="1:21" ht="16.5" x14ac:dyDescent="0.25">
      <c r="A7" s="7" t="str">
        <f>+Estado!A11</f>
        <v>E-0</v>
      </c>
      <c r="B7" s="8" t="s">
        <v>16</v>
      </c>
      <c r="C7" s="9">
        <f>SUMIF(Estado!$A$9:$A$449,$A7,Estado!$C$9:$C$449)</f>
        <v>94465165805.5</v>
      </c>
      <c r="D7" s="9">
        <f>SUMIF(Estado!$A$9:$A$449,$A7,Estado!$D$9:$D$449)</f>
        <v>94465165805.5</v>
      </c>
      <c r="E7" s="9">
        <f>SUMIF(Estado!$A$9:$A$449,$A7,Estado!$E$9:$E$449)</f>
        <v>0</v>
      </c>
      <c r="F7" s="9">
        <f>SUMIF(Estado!$A$9:$A$449,$A7,Estado!$G$9:$G$449)</f>
        <v>58064915.509999998</v>
      </c>
      <c r="G7" s="9">
        <f>SUMIF(Estado!$A$9:$A$449,$A7,Estado!$I$9:$I$449)</f>
        <v>0</v>
      </c>
      <c r="H7" s="9">
        <f>SUMIF(Estado!$A$9:$A$449,$A7,Estado!$K$9:$K$449)</f>
        <v>89065354586.549988</v>
      </c>
      <c r="I7" s="10">
        <f t="shared" ref="I7:I14" si="0">+H7/C7</f>
        <v>0.94283806974871553</v>
      </c>
      <c r="J7" s="9">
        <f t="shared" ref="J7:J13" si="1">+F7+H7</f>
        <v>89123419502.059982</v>
      </c>
      <c r="K7" s="10">
        <f t="shared" ref="K7:K14" si="2">+J7/C7</f>
        <v>0.9434527398762157</v>
      </c>
      <c r="L7" s="9">
        <f>SUMIF(Estado!$A$9:$A$449,$A7,Estado!$O$9:$O$449)</f>
        <v>5341746303.4400005</v>
      </c>
      <c r="M7" s="11">
        <f t="shared" ref="M7:M14" si="3">SUM(F7:H7)/C7</f>
        <v>0.9434527398762157</v>
      </c>
      <c r="N7" s="10">
        <f t="shared" ref="N7:N14" si="4">+L7/C7</f>
        <v>5.6547260123784068E-2</v>
      </c>
    </row>
    <row r="8" spans="1:21" ht="16.5" x14ac:dyDescent="0.25">
      <c r="A8" s="7" t="str">
        <f>+Estado!A121</f>
        <v>E-1</v>
      </c>
      <c r="B8" s="8" t="s">
        <v>17</v>
      </c>
      <c r="C8" s="9">
        <f>SUMIF(Estado!$A$9:$A$449,$A8,Estado!$C$9:$C$449)</f>
        <v>19336844595</v>
      </c>
      <c r="D8" s="9">
        <f>SUMIF(Estado!$A$9:$A$449,$A8,Estado!$D$9:$D$449)</f>
        <v>19336844595</v>
      </c>
      <c r="E8" s="9">
        <f>SUMIF(Estado!$A$9:$A$449,$A8,Estado!$E$9:$E$449)</f>
        <v>0</v>
      </c>
      <c r="F8" s="9">
        <f>SUMIF(Estado!$A$9:$A$449,$A8,Estado!$G$9:$G$449)</f>
        <v>821132059.81000006</v>
      </c>
      <c r="G8" s="9">
        <f>SUMIF(Estado!$A$9:$A$449,$A8,Estado!$I$9:$I$449)</f>
        <v>0</v>
      </c>
      <c r="H8" s="9">
        <f>SUMIF(Estado!$A$9:$A$449,$A8,Estado!$K$9:$K$449)</f>
        <v>16969395887.980001</v>
      </c>
      <c r="I8" s="10">
        <f t="shared" si="0"/>
        <v>0.87756799226528626</v>
      </c>
      <c r="J8" s="9">
        <f t="shared" si="1"/>
        <v>17790527947.790001</v>
      </c>
      <c r="K8" s="10">
        <f t="shared" si="2"/>
        <v>0.9200326278874974</v>
      </c>
      <c r="L8" s="9">
        <f>SUMIF(Estado!$A$9:$A$449,$A8,Estado!$O$9:$O$449)</f>
        <v>1546316647.21</v>
      </c>
      <c r="M8" s="11">
        <f t="shared" si="3"/>
        <v>0.9200326278874974</v>
      </c>
      <c r="N8" s="10">
        <f t="shared" si="4"/>
        <v>7.9967372112502627E-2</v>
      </c>
    </row>
    <row r="9" spans="1:21" ht="16.5" x14ac:dyDescent="0.25">
      <c r="A9" s="7" t="str">
        <f>+Estado!A175</f>
        <v>E-2</v>
      </c>
      <c r="B9" s="8" t="s">
        <v>18</v>
      </c>
      <c r="C9" s="9">
        <f>SUMIF(Estado!$A$9:$A$449,$A9,Estado!$C$9:$C$449)</f>
        <v>16512433047</v>
      </c>
      <c r="D9" s="9">
        <f>SUMIF(Estado!$A$9:$A$449,$A9,Estado!$D$9:$D$449)</f>
        <v>16512433047</v>
      </c>
      <c r="E9" s="9">
        <f>SUMIF(Estado!$A$9:$A$449,$A9,Estado!$E$9:$E$449)</f>
        <v>0</v>
      </c>
      <c r="F9" s="9">
        <f>SUMIF(Estado!$A$9:$A$449,$A9,Estado!$G$9:$G$449)</f>
        <v>1035084392.23</v>
      </c>
      <c r="G9" s="9">
        <f>SUMIF(Estado!$A$9:$A$449,$A9,Estado!$I$9:$I$449)</f>
        <v>0</v>
      </c>
      <c r="H9" s="9">
        <f>SUMIF(Estado!$A$9:$A$449,$A9,Estado!$K$9:$K$449)</f>
        <v>14913238479.99</v>
      </c>
      <c r="I9" s="10">
        <f t="shared" si="0"/>
        <v>0.90315209379149952</v>
      </c>
      <c r="J9" s="9">
        <f t="shared" si="1"/>
        <v>15948322872.219999</v>
      </c>
      <c r="K9" s="10">
        <f t="shared" si="2"/>
        <v>0.96583724680824734</v>
      </c>
      <c r="L9" s="9">
        <f>SUMIF(Estado!$A$9:$A$449,$A9,Estado!$O$9:$O$449)</f>
        <v>564110174.78000009</v>
      </c>
      <c r="M9" s="11">
        <f t="shared" si="3"/>
        <v>0.96583724680824734</v>
      </c>
      <c r="N9" s="10">
        <f t="shared" si="4"/>
        <v>3.4162753191752583E-2</v>
      </c>
    </row>
    <row r="10" spans="1:21" ht="16.5" x14ac:dyDescent="0.25">
      <c r="A10" s="7" t="str">
        <f>+Estado!A208</f>
        <v>E-5</v>
      </c>
      <c r="B10" s="8" t="s">
        <v>19</v>
      </c>
      <c r="C10" s="9">
        <f>SUMIF(Estado!$A$9:$A$449,$A10,Estado!$C$9:$C$449)</f>
        <v>2276506415</v>
      </c>
      <c r="D10" s="9">
        <f>SUMIF(Estado!$A$9:$A$449,$A10,Estado!$D$9:$D$449)</f>
        <v>2276506415</v>
      </c>
      <c r="E10" s="9">
        <f>SUMIF(Estado!$A$9:$A$449,$A10,Estado!$E$9:$E$449)</f>
        <v>0</v>
      </c>
      <c r="F10" s="9">
        <f>SUMIF(Estado!$A$9:$A$449,$A10,Estado!$G$9:$G$449)</f>
        <v>114707718.10000001</v>
      </c>
      <c r="G10" s="9">
        <f>SUMIF(Estado!$A$9:$A$449,$A10,Estado!$I$9:$I$449)</f>
        <v>0</v>
      </c>
      <c r="H10" s="9">
        <f>SUMIF(Estado!$A$9:$A$449,$A10,Estado!$K$9:$K$449)</f>
        <v>1511782895.3500001</v>
      </c>
      <c r="I10" s="10">
        <f t="shared" si="0"/>
        <v>0.66408022634541974</v>
      </c>
      <c r="J10" s="9">
        <f t="shared" si="1"/>
        <v>1626490613.45</v>
      </c>
      <c r="K10" s="10">
        <f t="shared" si="2"/>
        <v>0.71446783665224156</v>
      </c>
      <c r="L10" s="9">
        <f>SUMIF(Estado!$A$9:$A$449,$A10,Estado!$O$9:$O$449)</f>
        <v>650015801.55000019</v>
      </c>
      <c r="M10" s="11">
        <f t="shared" si="3"/>
        <v>0.71446783665224156</v>
      </c>
      <c r="N10" s="10">
        <f t="shared" si="4"/>
        <v>0.28553216334775855</v>
      </c>
    </row>
    <row r="11" spans="1:21" ht="16.5" x14ac:dyDescent="0.25">
      <c r="A11" s="7" t="str">
        <f>+Estado!A224</f>
        <v>E-6</v>
      </c>
      <c r="B11" s="8" t="s">
        <v>20</v>
      </c>
      <c r="C11" s="9">
        <f>SUMIF(Estado!$A$9:$A$449,$A11,Estado!$C$9:$C$449)</f>
        <v>15226061857.5</v>
      </c>
      <c r="D11" s="9">
        <f>SUMIF(Estado!$A$9:$A$449,$A11,Estado!$D$9:$D$449)</f>
        <v>15226061857.5</v>
      </c>
      <c r="E11" s="9">
        <f>SUMIF(Estado!$A$9:$A$449,$A11,Estado!$E$9:$E$449)</f>
        <v>0</v>
      </c>
      <c r="F11" s="9">
        <f>SUMIF(Estado!$A$9:$A$449,$A11,Estado!$G$9:$G$449)</f>
        <v>202182548.19999999</v>
      </c>
      <c r="G11" s="9">
        <f>SUMIF(Estado!$A$9:$A$449,$A11,Estado!$I$9:$I$449)</f>
        <v>0</v>
      </c>
      <c r="H11" s="9">
        <f>SUMIF(Estado!$A$9:$A$449,$A11,Estado!$K$9:$K$449)</f>
        <v>14044527566.980001</v>
      </c>
      <c r="I11" s="10">
        <f t="shared" si="0"/>
        <v>0.92240053261454458</v>
      </c>
      <c r="J11" s="9">
        <f t="shared" si="1"/>
        <v>14246710115.180002</v>
      </c>
      <c r="K11" s="10">
        <f t="shared" si="2"/>
        <v>0.93567924841723982</v>
      </c>
      <c r="L11" s="9">
        <f>SUMIF(Estado!$A$9:$A$449,$A11,Estado!$O$9:$O$449)</f>
        <v>979351742.32000005</v>
      </c>
      <c r="M11" s="11">
        <f t="shared" si="3"/>
        <v>0.93567924841723982</v>
      </c>
      <c r="N11" s="10">
        <f t="shared" si="4"/>
        <v>6.4320751582760349E-2</v>
      </c>
    </row>
    <row r="12" spans="1:21" ht="16.5" x14ac:dyDescent="0.25">
      <c r="A12" t="str">
        <f>+Estado!A273</f>
        <v>E-7</v>
      </c>
      <c r="B12" s="8" t="s">
        <v>21</v>
      </c>
      <c r="C12" s="9">
        <f>SUMIF(Estado!$A$9:$A$449,$A12,Estado!$C$9:$C$449)</f>
        <v>581400000</v>
      </c>
      <c r="D12" s="9">
        <f>SUMIF(Estado!$A$9:$A$449,$A12,Estado!$D$9:$D$449)</f>
        <v>581400000</v>
      </c>
      <c r="E12" s="9">
        <f>SUMIF(Estado!$A$9:$A$449,$A12,Estado!$E$9:$E$449)</f>
        <v>0</v>
      </c>
      <c r="F12" s="9">
        <f>SUMIF(Estado!$A$9:$A$449,$A12,Estado!$G$9:$G$449)</f>
        <v>0</v>
      </c>
      <c r="G12" s="9">
        <f>SUMIF(Estado!$A$9:$A$449,$A12,Estado!$I$9:$I$449)</f>
        <v>0</v>
      </c>
      <c r="H12" s="9">
        <f>SUMIF(Estado!$A$9:$A$449,$A12,Estado!$K$9:$K$449)</f>
        <v>125786735.68000001</v>
      </c>
      <c r="I12" s="10">
        <f t="shared" si="0"/>
        <v>0.21635145455796354</v>
      </c>
      <c r="J12" s="9">
        <f t="shared" si="1"/>
        <v>125786735.68000001</v>
      </c>
      <c r="K12" s="10">
        <f t="shared" si="2"/>
        <v>0.21635145455796354</v>
      </c>
      <c r="L12" s="9">
        <f>SUMIF(Estado!$A$9:$A$449,$A12,Estado!$O$9:$O$449)</f>
        <v>455613264.31999999</v>
      </c>
      <c r="M12" s="11">
        <f t="shared" si="3"/>
        <v>0.21635145455796354</v>
      </c>
      <c r="N12" s="10">
        <f t="shared" si="4"/>
        <v>0.78364854544203644</v>
      </c>
    </row>
    <row r="13" spans="1:21" ht="16.5" hidden="1" x14ac:dyDescent="0.25">
      <c r="A13" t="str">
        <f>+Estado!A278</f>
        <v>E-9</v>
      </c>
      <c r="B13" s="8" t="s">
        <v>22</v>
      </c>
      <c r="C13" s="9">
        <f>SUMIF(Estado!$A$9:$A$449,$A13,Estado!$C$9:$C$449)</f>
        <v>0</v>
      </c>
      <c r="D13" s="9">
        <f>SUMIF(Estado!$A$9:$A$449,$A13,Estado!$D$9:$D$449)</f>
        <v>0</v>
      </c>
      <c r="E13" s="9">
        <f>SUMIF(Estado!$A$9:$A$449,$A13,Estado!$E$9:$E$449)</f>
        <v>0</v>
      </c>
      <c r="F13" s="9">
        <f>SUMIF(Estado!$A$9:$A$449,$A13,Estado!$G$9:$G$449)</f>
        <v>0</v>
      </c>
      <c r="G13" s="9">
        <f>SUMIF(Estado!$A$9:$A$449,$A13,Estado!$I$9:$I$449)</f>
        <v>0</v>
      </c>
      <c r="H13" s="9">
        <f>SUMIF(Estado!$A$9:$A$449,$A13,Estado!$K$9:$K$449)</f>
        <v>0</v>
      </c>
      <c r="I13" s="10" t="e">
        <f t="shared" si="0"/>
        <v>#DIV/0!</v>
      </c>
      <c r="J13" s="9">
        <f t="shared" si="1"/>
        <v>0</v>
      </c>
      <c r="K13" s="10" t="e">
        <f t="shared" si="2"/>
        <v>#DIV/0!</v>
      </c>
      <c r="L13" s="9">
        <f>SUMIF(Estado!$A$9:$A$449,$A13,Estado!$O$9:$O$449)</f>
        <v>0</v>
      </c>
      <c r="M13" s="11" t="e">
        <f t="shared" si="3"/>
        <v>#DIV/0!</v>
      </c>
      <c r="N13" s="10" t="e">
        <f t="shared" si="4"/>
        <v>#DIV/0!</v>
      </c>
    </row>
    <row r="14" spans="1:21" ht="17.25" x14ac:dyDescent="0.25">
      <c r="B14" s="12" t="s">
        <v>23</v>
      </c>
      <c r="C14" s="13">
        <f t="shared" ref="C14:H14" si="5">SUM(C7:C13)</f>
        <v>148398411720</v>
      </c>
      <c r="D14" s="13">
        <f t="shared" si="5"/>
        <v>148398411720</v>
      </c>
      <c r="E14" s="13">
        <f t="shared" si="5"/>
        <v>0</v>
      </c>
      <c r="F14" s="13">
        <f t="shared" si="5"/>
        <v>2231171633.8499999</v>
      </c>
      <c r="G14" s="13">
        <f t="shared" si="5"/>
        <v>0</v>
      </c>
      <c r="H14" s="13">
        <f t="shared" si="5"/>
        <v>136630086152.52998</v>
      </c>
      <c r="I14" s="14">
        <f t="shared" si="0"/>
        <v>0.92069776602680464</v>
      </c>
      <c r="J14" s="13">
        <f>SUM(J7:J13)</f>
        <v>138861257786.37997</v>
      </c>
      <c r="K14" s="15">
        <f t="shared" si="2"/>
        <v>0.93573277622664286</v>
      </c>
      <c r="L14" s="13">
        <f>SUM(L7:L13)</f>
        <v>9537153933.6200008</v>
      </c>
      <c r="M14" s="14">
        <f t="shared" si="3"/>
        <v>0.93573277622664286</v>
      </c>
      <c r="N14" s="14">
        <f t="shared" si="4"/>
        <v>6.4267223773356974E-2</v>
      </c>
    </row>
    <row r="15" spans="1:21" ht="16.5" x14ac:dyDescent="0.25">
      <c r="B15" s="16"/>
      <c r="C15" s="17">
        <f>+C14-Estado!C281</f>
        <v>0</v>
      </c>
      <c r="D15" s="17">
        <f>+D14-Estado!D281</f>
        <v>0</v>
      </c>
      <c r="E15" s="17">
        <f>+E14-Estado!E281</f>
        <v>0</v>
      </c>
      <c r="F15" s="17">
        <f>+F14-Estado!G10</f>
        <v>0</v>
      </c>
      <c r="G15" s="17">
        <f>+G14-Estado!I10</f>
        <v>0</v>
      </c>
      <c r="H15" s="17">
        <f>+H14-Estado!K10</f>
        <v>0</v>
      </c>
      <c r="I15" s="17"/>
      <c r="J15" s="17"/>
      <c r="K15" s="17"/>
      <c r="L15" s="17">
        <f>+C14-F14-H14-E14-G14-L14</f>
        <v>0</v>
      </c>
      <c r="M15" s="18"/>
      <c r="N15" s="18"/>
    </row>
    <row r="16" spans="1:21" ht="16.5" x14ac:dyDescent="0.25"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9"/>
      <c r="M16" s="16"/>
      <c r="N16" s="16"/>
    </row>
    <row r="17" spans="2:15" ht="51" hidden="1" customHeight="1" x14ac:dyDescent="0.25">
      <c r="B17" s="601" t="s">
        <v>24</v>
      </c>
      <c r="C17" s="601" t="s">
        <v>3</v>
      </c>
      <c r="D17" s="601" t="s">
        <v>4</v>
      </c>
      <c r="E17" s="601" t="s">
        <v>5</v>
      </c>
      <c r="F17" s="601" t="s">
        <v>6</v>
      </c>
      <c r="G17" s="601"/>
      <c r="H17" s="601"/>
      <c r="I17" s="5"/>
      <c r="J17" s="5"/>
      <c r="K17" s="5"/>
      <c r="L17" s="601" t="s">
        <v>7</v>
      </c>
      <c r="M17" s="601" t="s">
        <v>8</v>
      </c>
      <c r="N17" s="601" t="s">
        <v>9</v>
      </c>
    </row>
    <row r="18" spans="2:15" ht="34.5" x14ac:dyDescent="0.25">
      <c r="B18" s="601"/>
      <c r="C18" s="601"/>
      <c r="D18" s="601"/>
      <c r="E18" s="601"/>
      <c r="F18" s="5" t="s">
        <v>10</v>
      </c>
      <c r="G18" s="5" t="s">
        <v>11</v>
      </c>
      <c r="H18" s="5" t="s">
        <v>12</v>
      </c>
      <c r="I18" s="5" t="s">
        <v>25</v>
      </c>
      <c r="J18" s="5" t="s">
        <v>14</v>
      </c>
      <c r="K18" s="5" t="s">
        <v>15</v>
      </c>
      <c r="L18" s="601"/>
      <c r="M18" s="601"/>
      <c r="N18" s="601"/>
    </row>
    <row r="19" spans="2:15" ht="16.5" x14ac:dyDescent="0.25">
      <c r="B19" s="8" t="s">
        <v>26</v>
      </c>
      <c r="C19" s="9">
        <f>+C7+Estado!C264</f>
        <v>95016053805.5</v>
      </c>
      <c r="D19" s="9">
        <f>+D7+Estado!D264</f>
        <v>95016053805.5</v>
      </c>
      <c r="E19" s="9">
        <f>+E7+Estado!E264</f>
        <v>0</v>
      </c>
      <c r="F19" s="9">
        <f>+F7+Estado!G264</f>
        <v>58064915.509999998</v>
      </c>
      <c r="G19" s="9">
        <f>+G7+Estado!I264</f>
        <v>0</v>
      </c>
      <c r="H19" s="9">
        <f>+H7+Estado!K264</f>
        <v>89420391792.409988</v>
      </c>
      <c r="I19" s="11">
        <f t="shared" ref="I19:I25" si="6">+H19/C19</f>
        <v>0.94110824656489678</v>
      </c>
      <c r="J19" s="9">
        <f t="shared" ref="J19:J23" si="7">+F19+H19</f>
        <v>89478456707.919983</v>
      </c>
      <c r="K19" s="10">
        <f t="shared" ref="K19:K25" si="8">+J19/C19</f>
        <v>0.94171935293255171</v>
      </c>
      <c r="L19" s="9">
        <f>+L7+Estado!O264</f>
        <v>5537597097.5800009</v>
      </c>
      <c r="M19" s="11">
        <f t="shared" ref="M19:M25" si="9">SUM(F19:H19)/C19</f>
        <v>0.94171935293255171</v>
      </c>
      <c r="N19" s="11">
        <f t="shared" ref="N19:N25" si="10">+L19/C19</f>
        <v>5.8280647067448059E-2</v>
      </c>
      <c r="O19" s="20">
        <f>+F19/C19</f>
        <v>6.1110636765509315E-4</v>
      </c>
    </row>
    <row r="20" spans="2:15" ht="16.5" x14ac:dyDescent="0.25">
      <c r="B20" s="8" t="s">
        <v>27</v>
      </c>
      <c r="C20" s="9">
        <f t="shared" ref="C20:H20" si="11">+C8+C9</f>
        <v>35849277642</v>
      </c>
      <c r="D20" s="9">
        <f t="shared" si="11"/>
        <v>35849277642</v>
      </c>
      <c r="E20" s="9">
        <f t="shared" si="11"/>
        <v>0</v>
      </c>
      <c r="F20" s="9">
        <f t="shared" si="11"/>
        <v>1856216452.04</v>
      </c>
      <c r="G20" s="9">
        <f t="shared" si="11"/>
        <v>0</v>
      </c>
      <c r="H20" s="9">
        <f t="shared" si="11"/>
        <v>31882634367.970001</v>
      </c>
      <c r="I20" s="11">
        <f t="shared" si="6"/>
        <v>0.88935221195690728</v>
      </c>
      <c r="J20" s="9">
        <f t="shared" si="7"/>
        <v>33738850820.010002</v>
      </c>
      <c r="K20" s="10">
        <f t="shared" si="8"/>
        <v>0.94113056215343427</v>
      </c>
      <c r="L20" s="9">
        <f>+L8+L9</f>
        <v>2110426821.9900002</v>
      </c>
      <c r="M20" s="11">
        <f t="shared" si="9"/>
        <v>0.94113056215343427</v>
      </c>
      <c r="N20" s="11">
        <f t="shared" si="10"/>
        <v>5.8869437846565807E-2</v>
      </c>
    </row>
    <row r="21" spans="2:15" ht="16.5" x14ac:dyDescent="0.25">
      <c r="B21" s="8" t="s">
        <v>28</v>
      </c>
      <c r="C21" s="9">
        <f t="shared" ref="C21:H21" si="12">+C10</f>
        <v>2276506415</v>
      </c>
      <c r="D21" s="9">
        <f t="shared" si="12"/>
        <v>2276506415</v>
      </c>
      <c r="E21" s="9">
        <f t="shared" si="12"/>
        <v>0</v>
      </c>
      <c r="F21" s="9">
        <f t="shared" si="12"/>
        <v>114707718.10000001</v>
      </c>
      <c r="G21" s="9">
        <f t="shared" si="12"/>
        <v>0</v>
      </c>
      <c r="H21" s="9">
        <f t="shared" si="12"/>
        <v>1511782895.3500001</v>
      </c>
      <c r="I21" s="11">
        <f t="shared" si="6"/>
        <v>0.66408022634541974</v>
      </c>
      <c r="J21" s="9">
        <f t="shared" si="7"/>
        <v>1626490613.45</v>
      </c>
      <c r="K21" s="10">
        <f t="shared" si="8"/>
        <v>0.71446783665224156</v>
      </c>
      <c r="L21" s="9">
        <f>+L10</f>
        <v>650015801.55000019</v>
      </c>
      <c r="M21" s="11">
        <f t="shared" si="9"/>
        <v>0.71446783665224156</v>
      </c>
      <c r="N21" s="11">
        <f t="shared" si="10"/>
        <v>0.28553216334775855</v>
      </c>
    </row>
    <row r="22" spans="2:15" ht="16.5" x14ac:dyDescent="0.25">
      <c r="B22" s="8" t="s">
        <v>29</v>
      </c>
      <c r="C22" s="9">
        <f>+C11-Estado!C264</f>
        <v>14675173857.5</v>
      </c>
      <c r="D22" s="9">
        <f>+D11-Estado!D264</f>
        <v>14675173857.5</v>
      </c>
      <c r="E22" s="9">
        <f>+E11-Estado!E264</f>
        <v>0</v>
      </c>
      <c r="F22" s="9">
        <f>+F11-Estado!G264</f>
        <v>202182548.19999999</v>
      </c>
      <c r="G22" s="9">
        <f>+G11-Estado!I264</f>
        <v>0</v>
      </c>
      <c r="H22" s="9">
        <f>+H11-Estado!K264</f>
        <v>13689490361.120001</v>
      </c>
      <c r="I22" s="11">
        <f t="shared" si="6"/>
        <v>0.93283326617106832</v>
      </c>
      <c r="J22" s="9">
        <f t="shared" si="7"/>
        <v>13891672909.320002</v>
      </c>
      <c r="K22" s="10">
        <f t="shared" si="8"/>
        <v>0.94661044865375976</v>
      </c>
      <c r="L22" s="9">
        <f>+L11-Estado!O264</f>
        <v>783500948.18000007</v>
      </c>
      <c r="M22" s="11">
        <f t="shared" si="9"/>
        <v>0.94661044865375976</v>
      </c>
      <c r="N22" s="11">
        <f t="shared" si="10"/>
        <v>5.3389551346240335E-2</v>
      </c>
    </row>
    <row r="23" spans="2:15" ht="16.5" x14ac:dyDescent="0.25">
      <c r="B23" s="8" t="s">
        <v>30</v>
      </c>
      <c r="C23" s="9">
        <f t="shared" ref="C23:C24" si="13">+C12</f>
        <v>581400000</v>
      </c>
      <c r="D23" s="9">
        <f t="shared" ref="D23:D24" si="14">+D12</f>
        <v>581400000</v>
      </c>
      <c r="E23" s="9">
        <f t="shared" ref="E23:E24" si="15">+E12</f>
        <v>0</v>
      </c>
      <c r="F23" s="9">
        <f t="shared" ref="F23:F24" si="16">+F12</f>
        <v>0</v>
      </c>
      <c r="G23" s="9">
        <f t="shared" ref="G23:G24" si="17">+G12</f>
        <v>0</v>
      </c>
      <c r="H23" s="9">
        <f t="shared" ref="H23:H24" si="18">+H12</f>
        <v>125786735.68000001</v>
      </c>
      <c r="I23" s="11">
        <f t="shared" si="6"/>
        <v>0.21635145455796354</v>
      </c>
      <c r="J23" s="9">
        <f t="shared" si="7"/>
        <v>125786735.68000001</v>
      </c>
      <c r="K23" s="10">
        <f t="shared" si="8"/>
        <v>0.21635145455796354</v>
      </c>
      <c r="L23" s="9">
        <f t="shared" ref="L23:L24" si="19">+L12</f>
        <v>455613264.31999999</v>
      </c>
      <c r="M23" s="11">
        <f t="shared" si="9"/>
        <v>0.21635145455796354</v>
      </c>
      <c r="N23" s="11">
        <f t="shared" si="10"/>
        <v>0.78364854544203644</v>
      </c>
    </row>
    <row r="24" spans="2:15" ht="16.5" hidden="1" x14ac:dyDescent="0.25">
      <c r="B24" s="8" t="s">
        <v>31</v>
      </c>
      <c r="C24" s="9">
        <f t="shared" si="13"/>
        <v>0</v>
      </c>
      <c r="D24" s="9">
        <f t="shared" si="14"/>
        <v>0</v>
      </c>
      <c r="E24" s="9">
        <f t="shared" si="15"/>
        <v>0</v>
      </c>
      <c r="F24" s="9">
        <f t="shared" si="16"/>
        <v>0</v>
      </c>
      <c r="G24" s="9">
        <f t="shared" si="17"/>
        <v>0</v>
      </c>
      <c r="H24" s="9">
        <f t="shared" si="18"/>
        <v>0</v>
      </c>
      <c r="I24" s="11" t="e">
        <f t="shared" si="6"/>
        <v>#DIV/0!</v>
      </c>
      <c r="J24" s="9">
        <f>+J13</f>
        <v>0</v>
      </c>
      <c r="K24" s="10" t="e">
        <f t="shared" si="8"/>
        <v>#DIV/0!</v>
      </c>
      <c r="L24" s="9">
        <f t="shared" si="19"/>
        <v>0</v>
      </c>
      <c r="M24" s="11" t="e">
        <f t="shared" si="9"/>
        <v>#DIV/0!</v>
      </c>
      <c r="N24" s="11" t="e">
        <f t="shared" si="10"/>
        <v>#DIV/0!</v>
      </c>
    </row>
    <row r="25" spans="2:15" ht="17.25" x14ac:dyDescent="0.25">
      <c r="B25" s="12" t="s">
        <v>23</v>
      </c>
      <c r="C25" s="13">
        <f t="shared" ref="C25:H25" si="20">SUM(C19:C24)</f>
        <v>148398411720</v>
      </c>
      <c r="D25" s="13">
        <f t="shared" si="20"/>
        <v>148398411720</v>
      </c>
      <c r="E25" s="13">
        <f t="shared" si="20"/>
        <v>0</v>
      </c>
      <c r="F25" s="13">
        <f t="shared" si="20"/>
        <v>2231171633.8499999</v>
      </c>
      <c r="G25" s="13">
        <f t="shared" si="20"/>
        <v>0</v>
      </c>
      <c r="H25" s="13">
        <f t="shared" si="20"/>
        <v>136630086152.52998</v>
      </c>
      <c r="I25" s="14">
        <f t="shared" si="6"/>
        <v>0.92069776602680464</v>
      </c>
      <c r="J25" s="13">
        <f>SUM(J19:J24)</f>
        <v>138861257786.37997</v>
      </c>
      <c r="K25" s="15">
        <f t="shared" si="8"/>
        <v>0.93573277622664286</v>
      </c>
      <c r="L25" s="13">
        <f>SUM(L19:L24)</f>
        <v>9537153933.6200008</v>
      </c>
      <c r="M25" s="14">
        <f t="shared" si="9"/>
        <v>0.93573277622664286</v>
      </c>
      <c r="N25" s="14">
        <f t="shared" si="10"/>
        <v>6.4267223773356974E-2</v>
      </c>
    </row>
    <row r="27" spans="2:15" x14ac:dyDescent="0.25">
      <c r="B27" s="20">
        <f>+C23/C25</f>
        <v>3.9178316887716622E-3</v>
      </c>
      <c r="L27" s="20">
        <f>+L23/L25</f>
        <v>4.7772455754739367E-2</v>
      </c>
    </row>
    <row r="28" spans="2:15" x14ac:dyDescent="0.25">
      <c r="N28" s="21"/>
    </row>
    <row r="29" spans="2:15" x14ac:dyDescent="0.25">
      <c r="L29" s="22">
        <f>+E25+F25+G25+H25</f>
        <v>138861257786.37997</v>
      </c>
    </row>
    <row r="30" spans="2:15" x14ac:dyDescent="0.25">
      <c r="L30" s="20">
        <f>+L29/C25</f>
        <v>0.93573277622664286</v>
      </c>
    </row>
    <row r="32" spans="2:15" x14ac:dyDescent="0.25">
      <c r="L32" s="20">
        <f>+L25/C25</f>
        <v>6.4267223773356974E-2</v>
      </c>
    </row>
    <row r="790" spans="3:3" x14ac:dyDescent="0.25">
      <c r="C790">
        <v>8500000068</v>
      </c>
    </row>
  </sheetData>
  <sheetProtection selectLockedCells="1" selectUnlockedCells="1"/>
  <mergeCells count="18">
    <mergeCell ref="M17:M18"/>
    <mergeCell ref="N17:N18"/>
    <mergeCell ref="B17:B18"/>
    <mergeCell ref="C17:C18"/>
    <mergeCell ref="D17:D18"/>
    <mergeCell ref="E17:E18"/>
    <mergeCell ref="F17:H17"/>
    <mergeCell ref="L17:L18"/>
    <mergeCell ref="B1:N1"/>
    <mergeCell ref="B2:N2"/>
    <mergeCell ref="B3:N3"/>
    <mergeCell ref="B5:B6"/>
    <mergeCell ref="C5:C6"/>
    <mergeCell ref="D5:D6"/>
    <mergeCell ref="E5:E6"/>
    <mergeCell ref="L5:L6"/>
    <mergeCell ref="M5:M6"/>
    <mergeCell ref="N5:N6"/>
  </mergeCells>
  <pageMargins left="0.70833333333333337" right="0.70833333333333337" top="0.74791666666666667" bottom="0.74791666666666667" header="0.51180555555555551" footer="0.51180555555555551"/>
  <pageSetup scale="75" firstPageNumber="0" orientation="landscape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850"/>
  <sheetViews>
    <sheetView zoomScaleNormal="100" workbookViewId="0"/>
  </sheetViews>
  <sheetFormatPr baseColWidth="10" defaultColWidth="18" defaultRowHeight="15" x14ac:dyDescent="0.25"/>
  <cols>
    <col min="1" max="1" width="12.28515625" style="143" customWidth="1"/>
    <col min="2" max="2" width="7.85546875" style="143" customWidth="1"/>
    <col min="3" max="3" width="13" style="143" customWidth="1"/>
    <col min="4" max="4" width="6.42578125" style="143" customWidth="1"/>
    <col min="5" max="5" width="15.42578125" style="143" customWidth="1"/>
    <col min="6" max="6" width="14.85546875" style="143" customWidth="1"/>
    <col min="7" max="7" width="15.5703125" style="143" customWidth="1"/>
    <col min="8" max="8" width="12.5703125" style="143" customWidth="1"/>
    <col min="9" max="10" width="18" style="143" hidden="1" customWidth="1"/>
    <col min="11" max="11" width="14.42578125" style="143" customWidth="1"/>
    <col min="12" max="12" width="9.85546875" style="143" customWidth="1"/>
    <col min="13" max="14" width="18" style="143" hidden="1" customWidth="1"/>
    <col min="15" max="15" width="15.28515625" style="143" customWidth="1"/>
    <col min="16" max="16" width="11.7109375" style="143" customWidth="1"/>
    <col min="17" max="17" width="18" style="143" hidden="1" customWidth="1"/>
    <col min="18" max="18" width="13.28515625" style="143" customWidth="1"/>
    <col min="19" max="20" width="16" style="143" customWidth="1"/>
    <col min="21" max="21" width="4.7109375" style="143" customWidth="1"/>
    <col min="22" max="16384" width="18" style="143"/>
  </cols>
  <sheetData>
    <row r="1" spans="1:20" ht="45" x14ac:dyDescent="0.25">
      <c r="A1" s="144" t="s">
        <v>52</v>
      </c>
      <c r="B1" s="144" t="s">
        <v>691</v>
      </c>
      <c r="C1" s="144" t="s">
        <v>54</v>
      </c>
      <c r="D1" s="144" t="s">
        <v>55</v>
      </c>
      <c r="E1" s="145" t="s">
        <v>56</v>
      </c>
      <c r="F1" s="145" t="s">
        <v>57</v>
      </c>
      <c r="G1" s="144" t="s">
        <v>58</v>
      </c>
      <c r="H1" s="144" t="s">
        <v>59</v>
      </c>
      <c r="I1" s="144" t="s">
        <v>60</v>
      </c>
      <c r="J1" s="144" t="s">
        <v>61</v>
      </c>
      <c r="K1" s="146" t="s">
        <v>12</v>
      </c>
      <c r="L1" s="147" t="s">
        <v>62</v>
      </c>
      <c r="M1" s="146" t="s">
        <v>63</v>
      </c>
      <c r="N1" s="146" t="s">
        <v>692</v>
      </c>
      <c r="O1" s="148" t="s">
        <v>65</v>
      </c>
      <c r="P1" s="149" t="s">
        <v>66</v>
      </c>
      <c r="Q1" s="144" t="s">
        <v>67</v>
      </c>
      <c r="R1" s="148" t="s">
        <v>693</v>
      </c>
      <c r="S1" s="150" t="s">
        <v>694</v>
      </c>
      <c r="T1" s="150" t="s">
        <v>695</v>
      </c>
    </row>
    <row r="2" spans="1:20" hidden="1" x14ac:dyDescent="0.25">
      <c r="A2" s="49" t="s">
        <v>68</v>
      </c>
      <c r="B2" s="49"/>
      <c r="C2" s="49"/>
      <c r="D2" s="49" t="s">
        <v>69</v>
      </c>
      <c r="E2" s="50">
        <v>153020984000</v>
      </c>
      <c r="F2" s="50">
        <v>148613841980</v>
      </c>
      <c r="G2" s="50">
        <v>146977601517.51999</v>
      </c>
      <c r="H2" s="50">
        <v>1173239289.73</v>
      </c>
      <c r="I2" s="50">
        <v>8956402333.0900002</v>
      </c>
      <c r="J2" s="50">
        <v>336710591</v>
      </c>
      <c r="K2" s="50">
        <v>105421590558.28</v>
      </c>
      <c r="L2" s="151">
        <f t="shared" ref="L2:L849" si="0">+K2/F2</f>
        <v>0.70936589185593701</v>
      </c>
      <c r="M2" s="50">
        <v>104034659504.33</v>
      </c>
      <c r="N2" s="152">
        <f t="shared" ref="N2:N849" si="1">+M2/F2</f>
        <v>0.70003344317234373</v>
      </c>
      <c r="O2" s="50">
        <v>32725899207.900002</v>
      </c>
      <c r="P2" s="152">
        <f t="shared" ref="P2:P849" si="2">+O2/F2</f>
        <v>0.22020761169948189</v>
      </c>
      <c r="Q2" s="50">
        <v>31089658745.419998</v>
      </c>
      <c r="R2" s="153"/>
      <c r="S2" s="154"/>
      <c r="T2" s="154"/>
    </row>
    <row r="3" spans="1:20" hidden="1" x14ac:dyDescent="0.25">
      <c r="A3" s="49">
        <v>214786</v>
      </c>
      <c r="B3" s="49"/>
      <c r="C3" s="49"/>
      <c r="D3" s="49" t="s">
        <v>69</v>
      </c>
      <c r="E3" s="50">
        <v>2252563898</v>
      </c>
      <c r="F3" s="50">
        <v>2107733459</v>
      </c>
      <c r="G3" s="50">
        <v>2075437981.5999999</v>
      </c>
      <c r="H3" s="50">
        <v>122000</v>
      </c>
      <c r="I3" s="50">
        <v>166142410.61000001</v>
      </c>
      <c r="J3" s="50">
        <v>637424.99</v>
      </c>
      <c r="K3" s="50">
        <v>1401033257.7</v>
      </c>
      <c r="L3" s="151">
        <f t="shared" si="0"/>
        <v>0.66471083035551892</v>
      </c>
      <c r="M3" s="50">
        <v>1394358776.53</v>
      </c>
      <c r="N3" s="152">
        <f t="shared" si="1"/>
        <v>0.66154416753982936</v>
      </c>
      <c r="O3" s="50">
        <v>539798365.70000005</v>
      </c>
      <c r="P3" s="152">
        <f t="shared" si="2"/>
        <v>0.25610371339652394</v>
      </c>
      <c r="Q3" s="50">
        <v>507502888.30000001</v>
      </c>
      <c r="R3" s="50"/>
      <c r="S3" s="154"/>
      <c r="T3" s="154"/>
    </row>
    <row r="4" spans="1:20" hidden="1" x14ac:dyDescent="0.25">
      <c r="A4" s="49" t="s">
        <v>696</v>
      </c>
      <c r="B4" s="49" t="s">
        <v>71</v>
      </c>
      <c r="C4" s="49" t="s">
        <v>72</v>
      </c>
      <c r="D4" s="49" t="s">
        <v>69</v>
      </c>
      <c r="E4" s="50">
        <v>1845529688</v>
      </c>
      <c r="F4" s="50">
        <v>1714066664</v>
      </c>
      <c r="G4" s="50">
        <v>1682113432</v>
      </c>
      <c r="H4" s="50">
        <v>0</v>
      </c>
      <c r="I4" s="50">
        <v>85241280</v>
      </c>
      <c r="J4" s="50">
        <v>0</v>
      </c>
      <c r="K4" s="50">
        <v>1120479306.71</v>
      </c>
      <c r="L4" s="151">
        <f t="shared" si="0"/>
        <v>0.65369645781174823</v>
      </c>
      <c r="M4" s="50">
        <v>1120479306.71</v>
      </c>
      <c r="N4" s="152">
        <f t="shared" si="1"/>
        <v>0.65369645781174823</v>
      </c>
      <c r="O4" s="50">
        <v>508346077.29000002</v>
      </c>
      <c r="P4" s="152">
        <f t="shared" si="2"/>
        <v>0.29657310766648221</v>
      </c>
      <c r="Q4" s="50">
        <v>476392845.29000002</v>
      </c>
      <c r="R4" s="50"/>
      <c r="S4" s="154"/>
      <c r="T4" s="154"/>
    </row>
    <row r="5" spans="1:20" hidden="1" x14ac:dyDescent="0.25">
      <c r="A5" s="49" t="s">
        <v>696</v>
      </c>
      <c r="B5" s="49" t="s">
        <v>73</v>
      </c>
      <c r="C5" s="49" t="s">
        <v>74</v>
      </c>
      <c r="D5" s="49" t="s">
        <v>69</v>
      </c>
      <c r="E5" s="50">
        <v>712211400</v>
      </c>
      <c r="F5" s="50">
        <v>686759100</v>
      </c>
      <c r="G5" s="50">
        <v>676833600</v>
      </c>
      <c r="H5" s="50">
        <v>0</v>
      </c>
      <c r="I5" s="50">
        <v>0</v>
      </c>
      <c r="J5" s="50">
        <v>0</v>
      </c>
      <c r="K5" s="50">
        <v>501617323.24000001</v>
      </c>
      <c r="L5" s="151">
        <f t="shared" si="0"/>
        <v>0.7304123429016085</v>
      </c>
      <c r="M5" s="50">
        <v>501617323.24000001</v>
      </c>
      <c r="N5" s="152">
        <f t="shared" si="1"/>
        <v>0.7304123429016085</v>
      </c>
      <c r="O5" s="50">
        <v>185141776.75999999</v>
      </c>
      <c r="P5" s="152">
        <f t="shared" si="2"/>
        <v>0.26958765709839155</v>
      </c>
      <c r="Q5" s="50">
        <v>175216276.75999999</v>
      </c>
      <c r="R5" s="50"/>
      <c r="S5" s="154"/>
      <c r="T5" s="154"/>
    </row>
    <row r="6" spans="1:20" hidden="1" x14ac:dyDescent="0.25">
      <c r="A6" s="49" t="s">
        <v>696</v>
      </c>
      <c r="B6" s="49" t="s">
        <v>75</v>
      </c>
      <c r="C6" s="49" t="s">
        <v>76</v>
      </c>
      <c r="D6" s="49" t="s">
        <v>69</v>
      </c>
      <c r="E6" s="50">
        <v>712211400</v>
      </c>
      <c r="F6" s="50">
        <v>686759100</v>
      </c>
      <c r="G6" s="50">
        <v>676833600</v>
      </c>
      <c r="H6" s="50">
        <v>0</v>
      </c>
      <c r="I6" s="50">
        <v>0</v>
      </c>
      <c r="J6" s="50">
        <v>0</v>
      </c>
      <c r="K6" s="50">
        <v>501617323.24000001</v>
      </c>
      <c r="L6" s="151">
        <f t="shared" si="0"/>
        <v>0.7304123429016085</v>
      </c>
      <c r="M6" s="50">
        <v>501617323.24000001</v>
      </c>
      <c r="N6" s="152">
        <f t="shared" si="1"/>
        <v>0.7304123429016085</v>
      </c>
      <c r="O6" s="50">
        <v>185141776.75999999</v>
      </c>
      <c r="P6" s="152">
        <f t="shared" si="2"/>
        <v>0.26958765709839155</v>
      </c>
      <c r="Q6" s="50">
        <v>175216276.75999999</v>
      </c>
      <c r="R6" s="50"/>
      <c r="S6" s="154"/>
      <c r="T6" s="154"/>
    </row>
    <row r="7" spans="1:20" hidden="1" x14ac:dyDescent="0.25">
      <c r="A7" s="49" t="s">
        <v>696</v>
      </c>
      <c r="B7" s="49" t="s">
        <v>77</v>
      </c>
      <c r="C7" s="49" t="s">
        <v>78</v>
      </c>
      <c r="D7" s="49" t="s">
        <v>69</v>
      </c>
      <c r="E7" s="50">
        <v>851789535</v>
      </c>
      <c r="F7" s="50">
        <v>755470364</v>
      </c>
      <c r="G7" s="50">
        <v>741062753</v>
      </c>
      <c r="H7" s="50">
        <v>0</v>
      </c>
      <c r="I7" s="50">
        <v>0</v>
      </c>
      <c r="J7" s="50">
        <v>0</v>
      </c>
      <c r="K7" s="50">
        <v>439956184.47000003</v>
      </c>
      <c r="L7" s="151">
        <f t="shared" si="0"/>
        <v>0.58236061324835775</v>
      </c>
      <c r="M7" s="50">
        <v>439956184.47000003</v>
      </c>
      <c r="N7" s="152">
        <f t="shared" si="1"/>
        <v>0.58236061324835775</v>
      </c>
      <c r="O7" s="50">
        <v>315514179.52999997</v>
      </c>
      <c r="P7" s="152">
        <f t="shared" si="2"/>
        <v>0.41763938675164231</v>
      </c>
      <c r="Q7" s="50">
        <v>301106568.52999997</v>
      </c>
      <c r="R7" s="50"/>
      <c r="S7" s="154"/>
      <c r="T7" s="154"/>
    </row>
    <row r="8" spans="1:20" hidden="1" x14ac:dyDescent="0.25">
      <c r="A8" s="49" t="s">
        <v>696</v>
      </c>
      <c r="B8" s="49" t="s">
        <v>79</v>
      </c>
      <c r="C8" s="49" t="s">
        <v>80</v>
      </c>
      <c r="D8" s="49" t="s">
        <v>69</v>
      </c>
      <c r="E8" s="50">
        <v>171630900</v>
      </c>
      <c r="F8" s="50">
        <v>171630900</v>
      </c>
      <c r="G8" s="50">
        <v>166370155</v>
      </c>
      <c r="H8" s="50">
        <v>0</v>
      </c>
      <c r="I8" s="50">
        <v>0</v>
      </c>
      <c r="J8" s="50">
        <v>0</v>
      </c>
      <c r="K8" s="50">
        <v>120997716.33</v>
      </c>
      <c r="L8" s="151">
        <f t="shared" si="0"/>
        <v>0.70498794989713387</v>
      </c>
      <c r="M8" s="50">
        <v>120997716.33</v>
      </c>
      <c r="N8" s="152">
        <f t="shared" si="1"/>
        <v>0.70498794989713387</v>
      </c>
      <c r="O8" s="50">
        <v>50633183.670000002</v>
      </c>
      <c r="P8" s="152">
        <f t="shared" si="2"/>
        <v>0.29501205010286613</v>
      </c>
      <c r="Q8" s="50">
        <v>45372438.670000002</v>
      </c>
      <c r="R8" s="50"/>
      <c r="S8" s="154"/>
      <c r="T8" s="154"/>
    </row>
    <row r="9" spans="1:20" hidden="1" x14ac:dyDescent="0.25">
      <c r="A9" s="49" t="s">
        <v>696</v>
      </c>
      <c r="B9" s="49" t="s">
        <v>81</v>
      </c>
      <c r="C9" s="49" t="s">
        <v>82</v>
      </c>
      <c r="D9" s="49" t="s">
        <v>69</v>
      </c>
      <c r="E9" s="50">
        <v>362005040</v>
      </c>
      <c r="F9" s="50">
        <v>342729445</v>
      </c>
      <c r="G9" s="50">
        <v>338637370</v>
      </c>
      <c r="H9" s="50">
        <v>0</v>
      </c>
      <c r="I9" s="50">
        <v>0</v>
      </c>
      <c r="J9" s="50">
        <v>0</v>
      </c>
      <c r="K9" s="50">
        <v>235011779.36000001</v>
      </c>
      <c r="L9" s="151">
        <f t="shared" si="0"/>
        <v>0.6857064159164965</v>
      </c>
      <c r="M9" s="50">
        <v>235011779.36000001</v>
      </c>
      <c r="N9" s="152">
        <f t="shared" si="1"/>
        <v>0.6857064159164965</v>
      </c>
      <c r="O9" s="50">
        <v>107717665.64</v>
      </c>
      <c r="P9" s="152">
        <f t="shared" si="2"/>
        <v>0.31429358408350355</v>
      </c>
      <c r="Q9" s="50">
        <v>103625590.64</v>
      </c>
      <c r="R9" s="50"/>
      <c r="S9" s="154"/>
      <c r="T9" s="154"/>
    </row>
    <row r="10" spans="1:20" hidden="1" x14ac:dyDescent="0.25">
      <c r="A10" s="49" t="s">
        <v>696</v>
      </c>
      <c r="B10" s="49" t="s">
        <v>86</v>
      </c>
      <c r="C10" s="49" t="s">
        <v>87</v>
      </c>
      <c r="D10" s="49" t="s">
        <v>69</v>
      </c>
      <c r="E10" s="50">
        <v>110671900</v>
      </c>
      <c r="F10" s="50">
        <v>38177498</v>
      </c>
      <c r="G10" s="50">
        <v>36177498</v>
      </c>
      <c r="H10" s="50">
        <v>0</v>
      </c>
      <c r="I10" s="50">
        <v>0</v>
      </c>
      <c r="J10" s="50">
        <v>0</v>
      </c>
      <c r="K10" s="50">
        <v>26177497.469999999</v>
      </c>
      <c r="L10" s="151">
        <f t="shared" si="0"/>
        <v>0.68567870712742884</v>
      </c>
      <c r="M10" s="50">
        <v>26177497.469999999</v>
      </c>
      <c r="N10" s="152">
        <f t="shared" si="1"/>
        <v>0.68567870712742884</v>
      </c>
      <c r="O10" s="50">
        <v>12000000.529999999</v>
      </c>
      <c r="P10" s="152">
        <f t="shared" si="2"/>
        <v>0.31432129287257116</v>
      </c>
      <c r="Q10" s="50">
        <v>10000000.529999999</v>
      </c>
      <c r="R10" s="50"/>
      <c r="S10" s="154"/>
      <c r="T10" s="154"/>
    </row>
    <row r="11" spans="1:20" hidden="1" x14ac:dyDescent="0.25">
      <c r="A11" s="49" t="s">
        <v>696</v>
      </c>
      <c r="B11" s="49" t="s">
        <v>88</v>
      </c>
      <c r="C11" s="49" t="s">
        <v>89</v>
      </c>
      <c r="D11" s="49" t="s">
        <v>69</v>
      </c>
      <c r="E11" s="50">
        <v>87218400</v>
      </c>
      <c r="F11" s="50">
        <v>86809260</v>
      </c>
      <c r="G11" s="50">
        <v>85471779</v>
      </c>
      <c r="H11" s="50">
        <v>0</v>
      </c>
      <c r="I11" s="50">
        <v>0</v>
      </c>
      <c r="J11" s="50">
        <v>0</v>
      </c>
      <c r="K11" s="50">
        <v>57769191.310000002</v>
      </c>
      <c r="L11" s="151">
        <f t="shared" si="0"/>
        <v>0.6654726847112854</v>
      </c>
      <c r="M11" s="50">
        <v>57769191.310000002</v>
      </c>
      <c r="N11" s="152">
        <f t="shared" si="1"/>
        <v>0.6654726847112854</v>
      </c>
      <c r="O11" s="50">
        <v>29040068.690000001</v>
      </c>
      <c r="P11" s="152">
        <f t="shared" si="2"/>
        <v>0.3345273152887146</v>
      </c>
      <c r="Q11" s="50">
        <v>27702587.690000001</v>
      </c>
      <c r="R11" s="50"/>
      <c r="S11" s="154"/>
      <c r="T11" s="154"/>
    </row>
    <row r="12" spans="1:20" hidden="1" x14ac:dyDescent="0.25">
      <c r="A12" s="49" t="s">
        <v>696</v>
      </c>
      <c r="B12" s="49" t="s">
        <v>83</v>
      </c>
      <c r="C12" s="49" t="s">
        <v>84</v>
      </c>
      <c r="D12" s="49" t="s">
        <v>85</v>
      </c>
      <c r="E12" s="50">
        <v>120263295</v>
      </c>
      <c r="F12" s="50">
        <v>116123261</v>
      </c>
      <c r="G12" s="50">
        <v>114405951</v>
      </c>
      <c r="H12" s="50">
        <v>0</v>
      </c>
      <c r="I12" s="50">
        <v>0</v>
      </c>
      <c r="J12" s="50">
        <v>0</v>
      </c>
      <c r="K12" s="50">
        <v>0</v>
      </c>
      <c r="L12" s="151">
        <f t="shared" si="0"/>
        <v>0</v>
      </c>
      <c r="M12" s="50">
        <v>0</v>
      </c>
      <c r="N12" s="152">
        <f t="shared" si="1"/>
        <v>0</v>
      </c>
      <c r="O12" s="50">
        <v>116123261</v>
      </c>
      <c r="P12" s="152">
        <f t="shared" si="2"/>
        <v>1</v>
      </c>
      <c r="Q12" s="50">
        <v>114405951</v>
      </c>
      <c r="R12" s="50"/>
      <c r="S12" s="154"/>
      <c r="T12" s="154"/>
    </row>
    <row r="13" spans="1:20" hidden="1" x14ac:dyDescent="0.25">
      <c r="A13" s="49" t="s">
        <v>696</v>
      </c>
      <c r="B13" s="49" t="s">
        <v>90</v>
      </c>
      <c r="C13" s="49" t="s">
        <v>91</v>
      </c>
      <c r="D13" s="49" t="s">
        <v>69</v>
      </c>
      <c r="E13" s="50">
        <v>140764376</v>
      </c>
      <c r="F13" s="50">
        <v>135918599</v>
      </c>
      <c r="G13" s="50">
        <v>133908533</v>
      </c>
      <c r="H13" s="50">
        <v>0</v>
      </c>
      <c r="I13" s="50">
        <v>44304972</v>
      </c>
      <c r="J13" s="50">
        <v>0</v>
      </c>
      <c r="K13" s="50">
        <v>89533561</v>
      </c>
      <c r="L13" s="151">
        <f t="shared" si="0"/>
        <v>0.65872928104563522</v>
      </c>
      <c r="M13" s="50">
        <v>89533561</v>
      </c>
      <c r="N13" s="152">
        <f t="shared" si="1"/>
        <v>0.65872928104563522</v>
      </c>
      <c r="O13" s="50">
        <v>2080066</v>
      </c>
      <c r="P13" s="152">
        <f t="shared" si="2"/>
        <v>1.5303762805854113E-2</v>
      </c>
      <c r="Q13" s="50">
        <v>70000</v>
      </c>
      <c r="R13" s="50"/>
      <c r="S13" s="154"/>
      <c r="T13" s="154"/>
    </row>
    <row r="14" spans="1:20" hidden="1" x14ac:dyDescent="0.25">
      <c r="A14" s="49" t="s">
        <v>696</v>
      </c>
      <c r="B14" s="49" t="s">
        <v>416</v>
      </c>
      <c r="C14" s="49" t="s">
        <v>697</v>
      </c>
      <c r="D14" s="49" t="s">
        <v>69</v>
      </c>
      <c r="E14" s="50">
        <v>133545724</v>
      </c>
      <c r="F14" s="50">
        <v>128948448</v>
      </c>
      <c r="G14" s="50">
        <v>127041476</v>
      </c>
      <c r="H14" s="50">
        <v>0</v>
      </c>
      <c r="I14" s="50">
        <v>42029350</v>
      </c>
      <c r="J14" s="50">
        <v>0</v>
      </c>
      <c r="K14" s="50">
        <v>84942126</v>
      </c>
      <c r="L14" s="151">
        <f t="shared" si="0"/>
        <v>0.65872933965052449</v>
      </c>
      <c r="M14" s="50">
        <v>84942126</v>
      </c>
      <c r="N14" s="152">
        <f t="shared" si="1"/>
        <v>0.65872933965052449</v>
      </c>
      <c r="O14" s="50">
        <v>1976972</v>
      </c>
      <c r="P14" s="152">
        <f t="shared" si="2"/>
        <v>1.5331491232837483E-2</v>
      </c>
      <c r="Q14" s="50">
        <v>70000</v>
      </c>
      <c r="R14" s="50"/>
      <c r="S14" s="154"/>
      <c r="T14" s="154"/>
    </row>
    <row r="15" spans="1:20" hidden="1" x14ac:dyDescent="0.25">
      <c r="A15" s="49" t="s">
        <v>696</v>
      </c>
      <c r="B15" s="49" t="s">
        <v>433</v>
      </c>
      <c r="C15" s="49" t="s">
        <v>95</v>
      </c>
      <c r="D15" s="49" t="s">
        <v>69</v>
      </c>
      <c r="E15" s="50">
        <v>7218652</v>
      </c>
      <c r="F15" s="50">
        <v>6970151</v>
      </c>
      <c r="G15" s="50">
        <v>6867057</v>
      </c>
      <c r="H15" s="50">
        <v>0</v>
      </c>
      <c r="I15" s="50">
        <v>2275622</v>
      </c>
      <c r="J15" s="50">
        <v>0</v>
      </c>
      <c r="K15" s="50">
        <v>4591435</v>
      </c>
      <c r="L15" s="151">
        <f t="shared" si="0"/>
        <v>0.65872819684968087</v>
      </c>
      <c r="M15" s="50">
        <v>4591435</v>
      </c>
      <c r="N15" s="152">
        <f t="shared" si="1"/>
        <v>0.65872819684968087</v>
      </c>
      <c r="O15" s="50">
        <v>103094</v>
      </c>
      <c r="P15" s="152">
        <f t="shared" si="2"/>
        <v>1.4790784302951256E-2</v>
      </c>
      <c r="Q15" s="50">
        <v>0</v>
      </c>
      <c r="R15" s="50"/>
      <c r="S15" s="154"/>
      <c r="T15" s="154"/>
    </row>
    <row r="16" spans="1:20" hidden="1" x14ac:dyDescent="0.25">
      <c r="A16" s="49" t="s">
        <v>696</v>
      </c>
      <c r="B16" s="49" t="s">
        <v>96</v>
      </c>
      <c r="C16" s="49" t="s">
        <v>97</v>
      </c>
      <c r="D16" s="49" t="s">
        <v>69</v>
      </c>
      <c r="E16" s="50">
        <v>140764377</v>
      </c>
      <c r="F16" s="50">
        <v>135918601</v>
      </c>
      <c r="G16" s="50">
        <v>130308546</v>
      </c>
      <c r="H16" s="50">
        <v>0</v>
      </c>
      <c r="I16" s="50">
        <v>40936308</v>
      </c>
      <c r="J16" s="50">
        <v>0</v>
      </c>
      <c r="K16" s="50">
        <v>89372238</v>
      </c>
      <c r="L16" s="151">
        <f t="shared" si="0"/>
        <v>0.65754236243205588</v>
      </c>
      <c r="M16" s="50">
        <v>89372238</v>
      </c>
      <c r="N16" s="152">
        <f t="shared" si="1"/>
        <v>0.65754236243205588</v>
      </c>
      <c r="O16" s="50">
        <v>5610055</v>
      </c>
      <c r="P16" s="152">
        <f t="shared" si="2"/>
        <v>4.127510847466713E-2</v>
      </c>
      <c r="Q16" s="50">
        <v>0</v>
      </c>
      <c r="R16" s="50"/>
      <c r="S16" s="154"/>
      <c r="T16" s="154"/>
    </row>
    <row r="17" spans="1:20" hidden="1" x14ac:dyDescent="0.25">
      <c r="A17" s="49" t="s">
        <v>696</v>
      </c>
      <c r="B17" s="49" t="s">
        <v>451</v>
      </c>
      <c r="C17" s="49" t="s">
        <v>698</v>
      </c>
      <c r="D17" s="49" t="s">
        <v>69</v>
      </c>
      <c r="E17" s="50">
        <v>75796203</v>
      </c>
      <c r="F17" s="50">
        <v>73186939</v>
      </c>
      <c r="G17" s="50">
        <v>72104601</v>
      </c>
      <c r="H17" s="50">
        <v>0</v>
      </c>
      <c r="I17" s="50">
        <v>24055565</v>
      </c>
      <c r="J17" s="50">
        <v>0</v>
      </c>
      <c r="K17" s="50">
        <v>48049036</v>
      </c>
      <c r="L17" s="151">
        <f t="shared" si="0"/>
        <v>0.656524738655896</v>
      </c>
      <c r="M17" s="50">
        <v>48049036</v>
      </c>
      <c r="N17" s="152">
        <f t="shared" si="1"/>
        <v>0.656524738655896</v>
      </c>
      <c r="O17" s="50">
        <v>1082338</v>
      </c>
      <c r="P17" s="152">
        <f t="shared" si="2"/>
        <v>1.4788676979645234E-2</v>
      </c>
      <c r="Q17" s="50">
        <v>0</v>
      </c>
      <c r="R17" s="50"/>
      <c r="S17" s="154"/>
      <c r="T17" s="154"/>
    </row>
    <row r="18" spans="1:20" hidden="1" x14ac:dyDescent="0.25">
      <c r="A18" s="49" t="s">
        <v>696</v>
      </c>
      <c r="B18" s="49" t="s">
        <v>468</v>
      </c>
      <c r="C18" s="49" t="s">
        <v>699</v>
      </c>
      <c r="D18" s="49" t="s">
        <v>69</v>
      </c>
      <c r="E18" s="50">
        <v>21656058</v>
      </c>
      <c r="F18" s="50">
        <v>20910554</v>
      </c>
      <c r="G18" s="50">
        <v>20601312</v>
      </c>
      <c r="H18" s="50">
        <v>0</v>
      </c>
      <c r="I18" s="50">
        <v>6826906</v>
      </c>
      <c r="J18" s="50">
        <v>0</v>
      </c>
      <c r="K18" s="50">
        <v>13774406</v>
      </c>
      <c r="L18" s="151">
        <f t="shared" si="0"/>
        <v>0.6587298452255258</v>
      </c>
      <c r="M18" s="50">
        <v>13774406</v>
      </c>
      <c r="N18" s="152">
        <f t="shared" si="1"/>
        <v>0.6587298452255258</v>
      </c>
      <c r="O18" s="50">
        <v>309242</v>
      </c>
      <c r="P18" s="152">
        <f t="shared" si="2"/>
        <v>1.4788799952406808E-2</v>
      </c>
      <c r="Q18" s="50">
        <v>0</v>
      </c>
      <c r="R18" s="50"/>
      <c r="S18" s="154"/>
      <c r="T18" s="154"/>
    </row>
    <row r="19" spans="1:20" hidden="1" x14ac:dyDescent="0.25">
      <c r="A19" s="49" t="s">
        <v>696</v>
      </c>
      <c r="B19" s="49" t="s">
        <v>485</v>
      </c>
      <c r="C19" s="49" t="s">
        <v>700</v>
      </c>
      <c r="D19" s="49" t="s">
        <v>69</v>
      </c>
      <c r="E19" s="50">
        <v>43312116</v>
      </c>
      <c r="F19" s="50">
        <v>41821108</v>
      </c>
      <c r="G19" s="50">
        <v>37602633</v>
      </c>
      <c r="H19" s="50">
        <v>0</v>
      </c>
      <c r="I19" s="50">
        <v>10053837</v>
      </c>
      <c r="J19" s="50">
        <v>0</v>
      </c>
      <c r="K19" s="50">
        <v>27548796</v>
      </c>
      <c r="L19" s="151">
        <f t="shared" si="0"/>
        <v>0.65872946264360088</v>
      </c>
      <c r="M19" s="50">
        <v>27548796</v>
      </c>
      <c r="N19" s="152">
        <f t="shared" si="1"/>
        <v>0.65872946264360088</v>
      </c>
      <c r="O19" s="50">
        <v>4218475</v>
      </c>
      <c r="P19" s="152">
        <f t="shared" si="2"/>
        <v>0.1008695178520856</v>
      </c>
      <c r="Q19" s="50">
        <v>0</v>
      </c>
      <c r="R19" s="50"/>
      <c r="S19" s="154"/>
      <c r="T19" s="154"/>
    </row>
    <row r="20" spans="1:20" hidden="1" x14ac:dyDescent="0.25">
      <c r="A20" s="49" t="s">
        <v>696</v>
      </c>
      <c r="B20" s="49" t="s">
        <v>104</v>
      </c>
      <c r="C20" s="49" t="s">
        <v>105</v>
      </c>
      <c r="D20" s="49" t="s">
        <v>69</v>
      </c>
      <c r="E20" s="50">
        <v>83371900</v>
      </c>
      <c r="F20" s="50">
        <v>66099608</v>
      </c>
      <c r="G20" s="50">
        <v>66099607.600000001</v>
      </c>
      <c r="H20" s="50">
        <v>122000</v>
      </c>
      <c r="I20" s="50">
        <v>17674000.190000001</v>
      </c>
      <c r="J20" s="50">
        <v>476540.99</v>
      </c>
      <c r="K20" s="50">
        <v>38797864.109999999</v>
      </c>
      <c r="L20" s="151">
        <f t="shared" si="0"/>
        <v>0.58696057789026523</v>
      </c>
      <c r="M20" s="50">
        <v>32288678.010000002</v>
      </c>
      <c r="N20" s="152">
        <f t="shared" si="1"/>
        <v>0.48848516635681111</v>
      </c>
      <c r="O20" s="50">
        <v>9029202.7100000009</v>
      </c>
      <c r="P20" s="152">
        <f t="shared" si="2"/>
        <v>0.13659994337636619</v>
      </c>
      <c r="Q20" s="50">
        <v>9029202.3100000005</v>
      </c>
      <c r="R20" s="50"/>
      <c r="S20" s="154"/>
      <c r="T20" s="154"/>
    </row>
    <row r="21" spans="1:20" hidden="1" x14ac:dyDescent="0.25">
      <c r="A21" s="49" t="s">
        <v>696</v>
      </c>
      <c r="B21" s="49" t="s">
        <v>106</v>
      </c>
      <c r="C21" s="49" t="s">
        <v>107</v>
      </c>
      <c r="D21" s="49" t="s">
        <v>69</v>
      </c>
      <c r="E21" s="50">
        <v>55749325</v>
      </c>
      <c r="F21" s="50">
        <v>54664325</v>
      </c>
      <c r="G21" s="50">
        <v>54664324.600000001</v>
      </c>
      <c r="H21" s="50">
        <v>0</v>
      </c>
      <c r="I21" s="50">
        <v>13127829.640000001</v>
      </c>
      <c r="J21" s="50">
        <v>475704.99</v>
      </c>
      <c r="K21" s="50">
        <v>32267813.190000001</v>
      </c>
      <c r="L21" s="151">
        <f t="shared" si="0"/>
        <v>0.59029016072182361</v>
      </c>
      <c r="M21" s="50">
        <v>25767627.09</v>
      </c>
      <c r="N21" s="152">
        <f t="shared" si="1"/>
        <v>0.47137922383565517</v>
      </c>
      <c r="O21" s="50">
        <v>8792977.1799999997</v>
      </c>
      <c r="P21" s="152">
        <f t="shared" si="2"/>
        <v>0.16085403377797128</v>
      </c>
      <c r="Q21" s="50">
        <v>8792976.7799999993</v>
      </c>
      <c r="R21" s="50"/>
      <c r="S21" s="154"/>
      <c r="T21" s="154"/>
    </row>
    <row r="22" spans="1:20" hidden="1" x14ac:dyDescent="0.25">
      <c r="A22" s="49" t="s">
        <v>696</v>
      </c>
      <c r="B22" s="49" t="s">
        <v>108</v>
      </c>
      <c r="C22" s="49" t="s">
        <v>109</v>
      </c>
      <c r="D22" s="49" t="s">
        <v>69</v>
      </c>
      <c r="E22" s="50">
        <v>55664325</v>
      </c>
      <c r="F22" s="50">
        <v>54664325</v>
      </c>
      <c r="G22" s="50">
        <v>54664324.600000001</v>
      </c>
      <c r="H22" s="50">
        <v>0</v>
      </c>
      <c r="I22" s="50">
        <v>13127829.640000001</v>
      </c>
      <c r="J22" s="50">
        <v>475704.99</v>
      </c>
      <c r="K22" s="50">
        <v>32267813.190000001</v>
      </c>
      <c r="L22" s="151">
        <f t="shared" si="0"/>
        <v>0.59029016072182361</v>
      </c>
      <c r="M22" s="50">
        <v>25767627.09</v>
      </c>
      <c r="N22" s="152">
        <f t="shared" si="1"/>
        <v>0.47137922383565517</v>
      </c>
      <c r="O22" s="50">
        <v>8792977.1799999997</v>
      </c>
      <c r="P22" s="152">
        <f t="shared" si="2"/>
        <v>0.16085403377797128</v>
      </c>
      <c r="Q22" s="50">
        <v>8792976.7799999993</v>
      </c>
      <c r="R22" s="50"/>
      <c r="S22" s="154"/>
      <c r="T22" s="154"/>
    </row>
    <row r="23" spans="1:20" hidden="1" x14ac:dyDescent="0.25">
      <c r="A23" s="49" t="s">
        <v>696</v>
      </c>
      <c r="B23" s="49" t="s">
        <v>110</v>
      </c>
      <c r="C23" s="49" t="s">
        <v>111</v>
      </c>
      <c r="D23" s="49" t="s">
        <v>69</v>
      </c>
      <c r="E23" s="50">
        <v>85000</v>
      </c>
      <c r="F23" s="50">
        <v>0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151" t="e">
        <f t="shared" si="0"/>
        <v>#DIV/0!</v>
      </c>
      <c r="M23" s="50">
        <v>0</v>
      </c>
      <c r="N23" s="152" t="e">
        <f t="shared" si="1"/>
        <v>#DIV/0!</v>
      </c>
      <c r="O23" s="50">
        <v>0</v>
      </c>
      <c r="P23" s="152" t="e">
        <f t="shared" si="2"/>
        <v>#DIV/0!</v>
      </c>
      <c r="Q23" s="50">
        <v>0</v>
      </c>
      <c r="R23" s="50"/>
      <c r="S23" s="154"/>
      <c r="T23" s="154"/>
    </row>
    <row r="24" spans="1:20" hidden="1" x14ac:dyDescent="0.25">
      <c r="A24" s="49" t="s">
        <v>696</v>
      </c>
      <c r="B24" s="49" t="s">
        <v>124</v>
      </c>
      <c r="C24" s="49" t="s">
        <v>125</v>
      </c>
      <c r="D24" s="49" t="s">
        <v>69</v>
      </c>
      <c r="E24" s="50">
        <v>1900000</v>
      </c>
      <c r="F24" s="50">
        <v>680000</v>
      </c>
      <c r="G24" s="50">
        <v>680000</v>
      </c>
      <c r="H24" s="50">
        <v>0</v>
      </c>
      <c r="I24" s="50">
        <v>481664</v>
      </c>
      <c r="J24" s="50">
        <v>836</v>
      </c>
      <c r="K24" s="50">
        <v>195490</v>
      </c>
      <c r="L24" s="151">
        <f t="shared" si="0"/>
        <v>0.28748529411764706</v>
      </c>
      <c r="M24" s="50">
        <v>195490</v>
      </c>
      <c r="N24" s="152">
        <f t="shared" si="1"/>
        <v>0.28748529411764706</v>
      </c>
      <c r="O24" s="50">
        <v>2010</v>
      </c>
      <c r="P24" s="152">
        <f t="shared" si="2"/>
        <v>2.9558823529411767E-3</v>
      </c>
      <c r="Q24" s="50">
        <v>2010</v>
      </c>
      <c r="R24" s="50"/>
      <c r="S24" s="154"/>
      <c r="T24" s="154"/>
    </row>
    <row r="25" spans="1:20" hidden="1" x14ac:dyDescent="0.25">
      <c r="A25" s="49" t="s">
        <v>696</v>
      </c>
      <c r="B25" s="49" t="s">
        <v>128</v>
      </c>
      <c r="C25" s="49" t="s">
        <v>129</v>
      </c>
      <c r="D25" s="49" t="s">
        <v>69</v>
      </c>
      <c r="E25" s="50">
        <v>1250000</v>
      </c>
      <c r="F25" s="50">
        <v>380000</v>
      </c>
      <c r="G25" s="50">
        <v>380000</v>
      </c>
      <c r="H25" s="50">
        <v>0</v>
      </c>
      <c r="I25" s="50">
        <v>184180</v>
      </c>
      <c r="J25" s="50">
        <v>0</v>
      </c>
      <c r="K25" s="50">
        <v>195490</v>
      </c>
      <c r="L25" s="151">
        <f t="shared" si="0"/>
        <v>0.51444736842105265</v>
      </c>
      <c r="M25" s="50">
        <v>195490</v>
      </c>
      <c r="N25" s="152">
        <f t="shared" si="1"/>
        <v>0.51444736842105265</v>
      </c>
      <c r="O25" s="50">
        <v>330</v>
      </c>
      <c r="P25" s="152">
        <f t="shared" si="2"/>
        <v>8.6842105263157897E-4</v>
      </c>
      <c r="Q25" s="50">
        <v>330</v>
      </c>
      <c r="R25" s="50"/>
      <c r="S25" s="154"/>
      <c r="T25" s="154"/>
    </row>
    <row r="26" spans="1:20" hidden="1" x14ac:dyDescent="0.25">
      <c r="A26" s="49" t="s">
        <v>696</v>
      </c>
      <c r="B26" s="49" t="s">
        <v>130</v>
      </c>
      <c r="C26" s="49" t="s">
        <v>131</v>
      </c>
      <c r="D26" s="49" t="s">
        <v>69</v>
      </c>
      <c r="E26" s="50">
        <v>50000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0</v>
      </c>
      <c r="L26" s="151" t="e">
        <f t="shared" si="0"/>
        <v>#DIV/0!</v>
      </c>
      <c r="M26" s="50">
        <v>0</v>
      </c>
      <c r="N26" s="152" t="e">
        <f t="shared" si="1"/>
        <v>#DIV/0!</v>
      </c>
      <c r="O26" s="50">
        <v>0</v>
      </c>
      <c r="P26" s="152" t="e">
        <f t="shared" si="2"/>
        <v>#DIV/0!</v>
      </c>
      <c r="Q26" s="50">
        <v>0</v>
      </c>
      <c r="R26" s="50"/>
      <c r="S26" s="154"/>
      <c r="T26" s="154"/>
    </row>
    <row r="27" spans="1:20" hidden="1" x14ac:dyDescent="0.25">
      <c r="A27" s="49" t="s">
        <v>696</v>
      </c>
      <c r="B27" s="49" t="s">
        <v>132</v>
      </c>
      <c r="C27" s="49" t="s">
        <v>133</v>
      </c>
      <c r="D27" s="49" t="s">
        <v>69</v>
      </c>
      <c r="E27" s="50">
        <v>600000</v>
      </c>
      <c r="F27" s="50">
        <v>300000</v>
      </c>
      <c r="G27" s="50">
        <v>300000</v>
      </c>
      <c r="H27" s="50">
        <v>0</v>
      </c>
      <c r="I27" s="50">
        <v>297484</v>
      </c>
      <c r="J27" s="50">
        <v>836</v>
      </c>
      <c r="K27" s="50">
        <v>0</v>
      </c>
      <c r="L27" s="151">
        <f t="shared" si="0"/>
        <v>0</v>
      </c>
      <c r="M27" s="50">
        <v>0</v>
      </c>
      <c r="N27" s="152">
        <f t="shared" si="1"/>
        <v>0</v>
      </c>
      <c r="O27" s="50">
        <v>1680</v>
      </c>
      <c r="P27" s="152">
        <f t="shared" si="2"/>
        <v>5.5999999999999999E-3</v>
      </c>
      <c r="Q27" s="50">
        <v>1680</v>
      </c>
      <c r="R27" s="50"/>
      <c r="S27" s="154"/>
      <c r="T27" s="154"/>
    </row>
    <row r="28" spans="1:20" hidden="1" x14ac:dyDescent="0.25">
      <c r="A28" s="49" t="s">
        <v>696</v>
      </c>
      <c r="B28" s="49" t="s">
        <v>140</v>
      </c>
      <c r="C28" s="49" t="s">
        <v>141</v>
      </c>
      <c r="D28" s="49" t="s">
        <v>69</v>
      </c>
      <c r="E28" s="50">
        <v>25000000</v>
      </c>
      <c r="F28" s="50">
        <v>10387708</v>
      </c>
      <c r="G28" s="50">
        <v>10387708</v>
      </c>
      <c r="H28" s="50">
        <v>122000</v>
      </c>
      <c r="I28" s="50">
        <v>3699996.8</v>
      </c>
      <c r="J28" s="50">
        <v>0</v>
      </c>
      <c r="K28" s="50">
        <v>6334560.9199999999</v>
      </c>
      <c r="L28" s="151">
        <f t="shared" si="0"/>
        <v>0.60981314838653533</v>
      </c>
      <c r="M28" s="50">
        <v>6325560.9199999999</v>
      </c>
      <c r="N28" s="152">
        <f t="shared" si="1"/>
        <v>0.60894673974278057</v>
      </c>
      <c r="O28" s="50">
        <v>231150.28</v>
      </c>
      <c r="P28" s="152">
        <f t="shared" si="2"/>
        <v>2.2252288955369171E-2</v>
      </c>
      <c r="Q28" s="50">
        <v>231150.28</v>
      </c>
      <c r="R28" s="50"/>
      <c r="S28" s="154"/>
      <c r="T28" s="154"/>
    </row>
    <row r="29" spans="1:20" hidden="1" x14ac:dyDescent="0.25">
      <c r="A29" s="49" t="s">
        <v>696</v>
      </c>
      <c r="B29" s="49" t="s">
        <v>142</v>
      </c>
      <c r="C29" s="49" t="s">
        <v>143</v>
      </c>
      <c r="D29" s="49" t="s">
        <v>69</v>
      </c>
      <c r="E29" s="50">
        <v>100000</v>
      </c>
      <c r="F29" s="50">
        <v>65000</v>
      </c>
      <c r="G29" s="50">
        <v>65000</v>
      </c>
      <c r="H29" s="50">
        <v>0</v>
      </c>
      <c r="I29" s="50">
        <v>29340</v>
      </c>
      <c r="J29" s="50">
        <v>0</v>
      </c>
      <c r="K29" s="50">
        <v>35660</v>
      </c>
      <c r="L29" s="151">
        <f t="shared" si="0"/>
        <v>0.54861538461538462</v>
      </c>
      <c r="M29" s="50">
        <v>35660</v>
      </c>
      <c r="N29" s="152">
        <f t="shared" si="1"/>
        <v>0.54861538461538462</v>
      </c>
      <c r="O29" s="50">
        <v>0</v>
      </c>
      <c r="P29" s="152">
        <f t="shared" si="2"/>
        <v>0</v>
      </c>
      <c r="Q29" s="50">
        <v>0</v>
      </c>
      <c r="R29" s="50"/>
      <c r="S29" s="154"/>
      <c r="T29" s="154"/>
    </row>
    <row r="30" spans="1:20" hidden="1" x14ac:dyDescent="0.25">
      <c r="A30" s="49" t="s">
        <v>696</v>
      </c>
      <c r="B30" s="49" t="s">
        <v>144</v>
      </c>
      <c r="C30" s="49" t="s">
        <v>145</v>
      </c>
      <c r="D30" s="49" t="s">
        <v>69</v>
      </c>
      <c r="E30" s="50">
        <v>8085000</v>
      </c>
      <c r="F30" s="50">
        <v>4853850</v>
      </c>
      <c r="G30" s="50">
        <v>4853850</v>
      </c>
      <c r="H30" s="50">
        <v>122000</v>
      </c>
      <c r="I30" s="50">
        <v>3664000</v>
      </c>
      <c r="J30" s="50">
        <v>0</v>
      </c>
      <c r="K30" s="50">
        <v>836700</v>
      </c>
      <c r="L30" s="151">
        <f t="shared" si="0"/>
        <v>0.17237862727525571</v>
      </c>
      <c r="M30" s="50">
        <v>827700</v>
      </c>
      <c r="N30" s="152">
        <f t="shared" si="1"/>
        <v>0.17052442906146667</v>
      </c>
      <c r="O30" s="50">
        <v>231150</v>
      </c>
      <c r="P30" s="152">
        <f t="shared" si="2"/>
        <v>4.7621990790815541E-2</v>
      </c>
      <c r="Q30" s="50">
        <v>231150</v>
      </c>
      <c r="R30" s="50"/>
      <c r="S30" s="154"/>
      <c r="T30" s="154"/>
    </row>
    <row r="31" spans="1:20" hidden="1" x14ac:dyDescent="0.25">
      <c r="A31" s="49" t="s">
        <v>696</v>
      </c>
      <c r="B31" s="49" t="s">
        <v>146</v>
      </c>
      <c r="C31" s="49" t="s">
        <v>147</v>
      </c>
      <c r="D31" s="49" t="s">
        <v>69</v>
      </c>
      <c r="E31" s="50">
        <v>8295000</v>
      </c>
      <c r="F31" s="50">
        <v>1585000</v>
      </c>
      <c r="G31" s="50">
        <v>1585000</v>
      </c>
      <c r="H31" s="50">
        <v>0</v>
      </c>
      <c r="I31" s="50">
        <v>6656.8</v>
      </c>
      <c r="J31" s="50">
        <v>0</v>
      </c>
      <c r="K31" s="50">
        <v>1578343.2</v>
      </c>
      <c r="L31" s="151">
        <f t="shared" si="0"/>
        <v>0.99580012618296532</v>
      </c>
      <c r="M31" s="50">
        <v>1578343.2</v>
      </c>
      <c r="N31" s="152">
        <f t="shared" si="1"/>
        <v>0.99580012618296532</v>
      </c>
      <c r="O31" s="50">
        <v>0</v>
      </c>
      <c r="P31" s="152">
        <f t="shared" si="2"/>
        <v>0</v>
      </c>
      <c r="Q31" s="50">
        <v>0</v>
      </c>
      <c r="R31" s="50"/>
      <c r="S31" s="154"/>
      <c r="T31" s="154"/>
    </row>
    <row r="32" spans="1:20" hidden="1" x14ac:dyDescent="0.25">
      <c r="A32" s="49" t="s">
        <v>696</v>
      </c>
      <c r="B32" s="49" t="s">
        <v>148</v>
      </c>
      <c r="C32" s="49" t="s">
        <v>149</v>
      </c>
      <c r="D32" s="49" t="s">
        <v>69</v>
      </c>
      <c r="E32" s="50">
        <v>8520000</v>
      </c>
      <c r="F32" s="50">
        <v>3883858</v>
      </c>
      <c r="G32" s="50">
        <v>3883858</v>
      </c>
      <c r="H32" s="50">
        <v>0</v>
      </c>
      <c r="I32" s="50">
        <v>0</v>
      </c>
      <c r="J32" s="50">
        <v>0</v>
      </c>
      <c r="K32" s="50">
        <v>3883857.72</v>
      </c>
      <c r="L32" s="151">
        <f t="shared" si="0"/>
        <v>0.99999992790673609</v>
      </c>
      <c r="M32" s="50">
        <v>3883857.72</v>
      </c>
      <c r="N32" s="152">
        <f t="shared" si="1"/>
        <v>0.99999992790673609</v>
      </c>
      <c r="O32" s="50">
        <v>0.28000000000000003</v>
      </c>
      <c r="P32" s="152">
        <f t="shared" si="2"/>
        <v>7.2093263965881355E-8</v>
      </c>
      <c r="Q32" s="50">
        <v>0.28000000000000003</v>
      </c>
      <c r="R32" s="50"/>
      <c r="S32" s="154"/>
      <c r="T32" s="154"/>
    </row>
    <row r="33" spans="1:20" hidden="1" x14ac:dyDescent="0.25">
      <c r="A33" s="49" t="s">
        <v>696</v>
      </c>
      <c r="B33" s="49" t="s">
        <v>154</v>
      </c>
      <c r="C33" s="49" t="s">
        <v>155</v>
      </c>
      <c r="D33" s="49" t="s">
        <v>69</v>
      </c>
      <c r="E33" s="50">
        <v>400000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151" t="e">
        <f t="shared" si="0"/>
        <v>#DIV/0!</v>
      </c>
      <c r="M33" s="50">
        <v>0</v>
      </c>
      <c r="N33" s="152" t="e">
        <f t="shared" si="1"/>
        <v>#DIV/0!</v>
      </c>
      <c r="O33" s="50">
        <v>0</v>
      </c>
      <c r="P33" s="152" t="e">
        <f t="shared" si="2"/>
        <v>#DIV/0!</v>
      </c>
      <c r="Q33" s="50">
        <v>0</v>
      </c>
      <c r="R33" s="50"/>
      <c r="S33" s="154"/>
      <c r="T33" s="154"/>
    </row>
    <row r="34" spans="1:20" hidden="1" x14ac:dyDescent="0.25">
      <c r="A34" s="49" t="s">
        <v>696</v>
      </c>
      <c r="B34" s="49" t="s">
        <v>160</v>
      </c>
      <c r="C34" s="49" t="s">
        <v>161</v>
      </c>
      <c r="D34" s="49" t="s">
        <v>69</v>
      </c>
      <c r="E34" s="50">
        <v>400000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151" t="e">
        <f t="shared" si="0"/>
        <v>#DIV/0!</v>
      </c>
      <c r="M34" s="50">
        <v>0</v>
      </c>
      <c r="N34" s="152" t="e">
        <f t="shared" si="1"/>
        <v>#DIV/0!</v>
      </c>
      <c r="O34" s="50">
        <v>0</v>
      </c>
      <c r="P34" s="152" t="e">
        <f t="shared" si="2"/>
        <v>#DIV/0!</v>
      </c>
      <c r="Q34" s="50">
        <v>0</v>
      </c>
      <c r="R34" s="50"/>
      <c r="S34" s="154"/>
      <c r="T34" s="154"/>
    </row>
    <row r="35" spans="1:20" hidden="1" x14ac:dyDescent="0.25">
      <c r="A35" s="49" t="s">
        <v>696</v>
      </c>
      <c r="B35" s="49" t="s">
        <v>162</v>
      </c>
      <c r="C35" s="49" t="s">
        <v>163</v>
      </c>
      <c r="D35" s="49" t="s">
        <v>69</v>
      </c>
      <c r="E35" s="50">
        <v>322575</v>
      </c>
      <c r="F35" s="50">
        <v>367575</v>
      </c>
      <c r="G35" s="50">
        <v>367575</v>
      </c>
      <c r="H35" s="50">
        <v>0</v>
      </c>
      <c r="I35" s="50">
        <v>364509.75</v>
      </c>
      <c r="J35" s="50">
        <v>0</v>
      </c>
      <c r="K35" s="50">
        <v>0</v>
      </c>
      <c r="L35" s="151">
        <f t="shared" si="0"/>
        <v>0</v>
      </c>
      <c r="M35" s="50">
        <v>0</v>
      </c>
      <c r="N35" s="152">
        <f t="shared" si="1"/>
        <v>0</v>
      </c>
      <c r="O35" s="50">
        <v>3065.25</v>
      </c>
      <c r="P35" s="152">
        <f t="shared" si="2"/>
        <v>8.3391144664354214E-3</v>
      </c>
      <c r="Q35" s="50">
        <v>3065.25</v>
      </c>
      <c r="R35" s="50"/>
      <c r="S35" s="154"/>
      <c r="T35" s="154"/>
    </row>
    <row r="36" spans="1:20" hidden="1" x14ac:dyDescent="0.25">
      <c r="A36" s="49" t="s">
        <v>696</v>
      </c>
      <c r="B36" s="49" t="s">
        <v>170</v>
      </c>
      <c r="C36" s="49" t="s">
        <v>171</v>
      </c>
      <c r="D36" s="49" t="s">
        <v>69</v>
      </c>
      <c r="E36" s="50">
        <v>322575</v>
      </c>
      <c r="F36" s="50">
        <v>367575</v>
      </c>
      <c r="G36" s="50">
        <v>367575</v>
      </c>
      <c r="H36" s="50">
        <v>0</v>
      </c>
      <c r="I36" s="50">
        <v>364509.75</v>
      </c>
      <c r="J36" s="50">
        <v>0</v>
      </c>
      <c r="K36" s="50">
        <v>0</v>
      </c>
      <c r="L36" s="151">
        <f t="shared" si="0"/>
        <v>0</v>
      </c>
      <c r="M36" s="50">
        <v>0</v>
      </c>
      <c r="N36" s="152">
        <f t="shared" si="1"/>
        <v>0</v>
      </c>
      <c r="O36" s="50">
        <v>3065.25</v>
      </c>
      <c r="P36" s="152">
        <f t="shared" si="2"/>
        <v>8.3391144664354214E-3</v>
      </c>
      <c r="Q36" s="50">
        <v>3065.25</v>
      </c>
      <c r="R36" s="50"/>
      <c r="S36" s="154"/>
      <c r="T36" s="154"/>
    </row>
    <row r="37" spans="1:20" hidden="1" x14ac:dyDescent="0.25">
      <c r="A37" s="49" t="s">
        <v>696</v>
      </c>
      <c r="B37" s="49" t="s">
        <v>184</v>
      </c>
      <c r="C37" s="49" t="s">
        <v>185</v>
      </c>
      <c r="D37" s="49" t="s">
        <v>69</v>
      </c>
      <c r="E37" s="50">
        <v>4976400</v>
      </c>
      <c r="F37" s="50">
        <v>3876300</v>
      </c>
      <c r="G37" s="50">
        <v>3876300</v>
      </c>
      <c r="H37" s="50">
        <v>0</v>
      </c>
      <c r="I37" s="50">
        <v>357534.01</v>
      </c>
      <c r="J37" s="50">
        <v>160884</v>
      </c>
      <c r="K37" s="50">
        <v>3067138.94</v>
      </c>
      <c r="L37" s="151">
        <f t="shared" si="0"/>
        <v>0.79125427340505117</v>
      </c>
      <c r="M37" s="50">
        <v>2901843.87</v>
      </c>
      <c r="N37" s="152">
        <f t="shared" si="1"/>
        <v>0.74861178701338904</v>
      </c>
      <c r="O37" s="50">
        <v>290743.05</v>
      </c>
      <c r="P37" s="152">
        <f t="shared" si="2"/>
        <v>7.5005301447256395E-2</v>
      </c>
      <c r="Q37" s="50">
        <v>290743.05</v>
      </c>
      <c r="R37" s="50"/>
      <c r="S37" s="154"/>
      <c r="T37" s="154"/>
    </row>
    <row r="38" spans="1:20" hidden="1" x14ac:dyDescent="0.25">
      <c r="A38" s="49" t="s">
        <v>696</v>
      </c>
      <c r="B38" s="49" t="s">
        <v>186</v>
      </c>
      <c r="C38" s="49" t="s">
        <v>187</v>
      </c>
      <c r="D38" s="49" t="s">
        <v>69</v>
      </c>
      <c r="E38" s="50">
        <v>43000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151" t="e">
        <f t="shared" si="0"/>
        <v>#DIV/0!</v>
      </c>
      <c r="M38" s="50">
        <v>0</v>
      </c>
      <c r="N38" s="152" t="e">
        <f t="shared" si="1"/>
        <v>#DIV/0!</v>
      </c>
      <c r="O38" s="50">
        <v>0</v>
      </c>
      <c r="P38" s="152" t="e">
        <f t="shared" si="2"/>
        <v>#DIV/0!</v>
      </c>
      <c r="Q38" s="50">
        <v>0</v>
      </c>
      <c r="R38" s="50"/>
      <c r="S38" s="154"/>
      <c r="T38" s="154"/>
    </row>
    <row r="39" spans="1:20" hidden="1" x14ac:dyDescent="0.25">
      <c r="A39" s="49" t="s">
        <v>696</v>
      </c>
      <c r="B39" s="49" t="s">
        <v>192</v>
      </c>
      <c r="C39" s="49" t="s">
        <v>193</v>
      </c>
      <c r="D39" s="49" t="s">
        <v>69</v>
      </c>
      <c r="E39" s="50">
        <v>43000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151" t="e">
        <f t="shared" si="0"/>
        <v>#DIV/0!</v>
      </c>
      <c r="M39" s="50">
        <v>0</v>
      </c>
      <c r="N39" s="152" t="e">
        <f t="shared" si="1"/>
        <v>#DIV/0!</v>
      </c>
      <c r="O39" s="50">
        <v>0</v>
      </c>
      <c r="P39" s="152" t="e">
        <f t="shared" si="2"/>
        <v>#DIV/0!</v>
      </c>
      <c r="Q39" s="50">
        <v>0</v>
      </c>
      <c r="R39" s="50"/>
      <c r="S39" s="154"/>
      <c r="T39" s="154"/>
    </row>
    <row r="40" spans="1:20" hidden="1" x14ac:dyDescent="0.25">
      <c r="A40" s="49" t="s">
        <v>696</v>
      </c>
      <c r="B40" s="49" t="s">
        <v>206</v>
      </c>
      <c r="C40" s="49" t="s">
        <v>207</v>
      </c>
      <c r="D40" s="49" t="s">
        <v>69</v>
      </c>
      <c r="E40" s="50">
        <v>49000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151" t="e">
        <f t="shared" si="0"/>
        <v>#DIV/0!</v>
      </c>
      <c r="M40" s="50">
        <v>0</v>
      </c>
      <c r="N40" s="152" t="e">
        <f t="shared" si="1"/>
        <v>#DIV/0!</v>
      </c>
      <c r="O40" s="50">
        <v>0</v>
      </c>
      <c r="P40" s="152" t="e">
        <f t="shared" si="2"/>
        <v>#DIV/0!</v>
      </c>
      <c r="Q40" s="50">
        <v>0</v>
      </c>
      <c r="R40" s="50"/>
      <c r="S40" s="154"/>
      <c r="T40" s="154"/>
    </row>
    <row r="41" spans="1:20" hidden="1" x14ac:dyDescent="0.25">
      <c r="A41" s="49" t="s">
        <v>696</v>
      </c>
      <c r="B41" s="49" t="s">
        <v>208</v>
      </c>
      <c r="C41" s="49" t="s">
        <v>209</v>
      </c>
      <c r="D41" s="49" t="s">
        <v>69</v>
      </c>
      <c r="E41" s="50">
        <v>49000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151" t="e">
        <f t="shared" si="0"/>
        <v>#DIV/0!</v>
      </c>
      <c r="M41" s="50">
        <v>0</v>
      </c>
      <c r="N41" s="152" t="e">
        <f t="shared" si="1"/>
        <v>#DIV/0!</v>
      </c>
      <c r="O41" s="50">
        <v>0</v>
      </c>
      <c r="P41" s="152" t="e">
        <f t="shared" si="2"/>
        <v>#DIV/0!</v>
      </c>
      <c r="Q41" s="50">
        <v>0</v>
      </c>
      <c r="R41" s="50"/>
      <c r="S41" s="154"/>
      <c r="T41" s="154"/>
    </row>
    <row r="42" spans="1:20" hidden="1" x14ac:dyDescent="0.25">
      <c r="A42" s="49" t="s">
        <v>696</v>
      </c>
      <c r="B42" s="49" t="s">
        <v>212</v>
      </c>
      <c r="C42" s="49" t="s">
        <v>213</v>
      </c>
      <c r="D42" s="49" t="s">
        <v>69</v>
      </c>
      <c r="E42" s="50">
        <v>4884400</v>
      </c>
      <c r="F42" s="50">
        <v>3876300</v>
      </c>
      <c r="G42" s="50">
        <v>3876300</v>
      </c>
      <c r="H42" s="50">
        <v>0</v>
      </c>
      <c r="I42" s="50">
        <v>357534.01</v>
      </c>
      <c r="J42" s="50">
        <v>160884</v>
      </c>
      <c r="K42" s="50">
        <v>3067138.94</v>
      </c>
      <c r="L42" s="151">
        <f t="shared" si="0"/>
        <v>0.79125427340505117</v>
      </c>
      <c r="M42" s="50">
        <v>2901843.87</v>
      </c>
      <c r="N42" s="152">
        <f t="shared" si="1"/>
        <v>0.74861178701338904</v>
      </c>
      <c r="O42" s="50">
        <v>290743.05</v>
      </c>
      <c r="P42" s="152">
        <f t="shared" si="2"/>
        <v>7.5005301447256395E-2</v>
      </c>
      <c r="Q42" s="50">
        <v>290743.05</v>
      </c>
      <c r="R42" s="50"/>
      <c r="S42" s="154"/>
      <c r="T42" s="154"/>
    </row>
    <row r="43" spans="1:20" hidden="1" x14ac:dyDescent="0.25">
      <c r="A43" s="49" t="s">
        <v>696</v>
      </c>
      <c r="B43" s="49" t="s">
        <v>214</v>
      </c>
      <c r="C43" s="49" t="s">
        <v>215</v>
      </c>
      <c r="D43" s="49" t="s">
        <v>69</v>
      </c>
      <c r="E43" s="50">
        <v>2500000</v>
      </c>
      <c r="F43" s="50">
        <v>1950000</v>
      </c>
      <c r="G43" s="50">
        <v>1950000</v>
      </c>
      <c r="H43" s="50">
        <v>0</v>
      </c>
      <c r="I43" s="50">
        <v>357534.01</v>
      </c>
      <c r="J43" s="50">
        <v>160884</v>
      </c>
      <c r="K43" s="50">
        <v>1323786.1499999999</v>
      </c>
      <c r="L43" s="151">
        <f t="shared" si="0"/>
        <v>0.67886469230769231</v>
      </c>
      <c r="M43" s="50">
        <v>1269726.54</v>
      </c>
      <c r="N43" s="152">
        <f t="shared" si="1"/>
        <v>0.65114181538461535</v>
      </c>
      <c r="O43" s="50">
        <v>107795.84</v>
      </c>
      <c r="P43" s="152">
        <f t="shared" si="2"/>
        <v>5.5279917948717949E-2</v>
      </c>
      <c r="Q43" s="50">
        <v>107795.84</v>
      </c>
      <c r="R43" s="50"/>
      <c r="S43" s="154"/>
      <c r="T43" s="154"/>
    </row>
    <row r="44" spans="1:20" hidden="1" x14ac:dyDescent="0.25">
      <c r="A44" s="49" t="s">
        <v>696</v>
      </c>
      <c r="B44" s="49" t="s">
        <v>218</v>
      </c>
      <c r="C44" s="49" t="s">
        <v>219</v>
      </c>
      <c r="D44" s="49" t="s">
        <v>69</v>
      </c>
      <c r="E44" s="50">
        <v>1800000</v>
      </c>
      <c r="F44" s="50">
        <v>1476300</v>
      </c>
      <c r="G44" s="50">
        <v>1476300</v>
      </c>
      <c r="H44" s="50">
        <v>0</v>
      </c>
      <c r="I44" s="50">
        <v>0</v>
      </c>
      <c r="J44" s="50">
        <v>0</v>
      </c>
      <c r="K44" s="50">
        <v>1430237.18</v>
      </c>
      <c r="L44" s="151">
        <f t="shared" si="0"/>
        <v>0.96879846914583756</v>
      </c>
      <c r="M44" s="50">
        <v>1430237.18</v>
      </c>
      <c r="N44" s="152">
        <f t="shared" si="1"/>
        <v>0.96879846914583756</v>
      </c>
      <c r="O44" s="50">
        <v>46062.82</v>
      </c>
      <c r="P44" s="152">
        <f t="shared" si="2"/>
        <v>3.1201530854162433E-2</v>
      </c>
      <c r="Q44" s="50">
        <v>46062.82</v>
      </c>
      <c r="R44" s="50"/>
      <c r="S44" s="154"/>
      <c r="T44" s="154"/>
    </row>
    <row r="45" spans="1:20" hidden="1" x14ac:dyDescent="0.25">
      <c r="A45" s="49" t="s">
        <v>696</v>
      </c>
      <c r="B45" s="49" t="s">
        <v>222</v>
      </c>
      <c r="C45" s="49" t="s">
        <v>223</v>
      </c>
      <c r="D45" s="49" t="s">
        <v>69</v>
      </c>
      <c r="E45" s="50">
        <v>500000</v>
      </c>
      <c r="F45" s="50">
        <v>450000</v>
      </c>
      <c r="G45" s="50">
        <v>450000</v>
      </c>
      <c r="H45" s="50">
        <v>0</v>
      </c>
      <c r="I45" s="50">
        <v>0</v>
      </c>
      <c r="J45" s="50">
        <v>0</v>
      </c>
      <c r="K45" s="50">
        <v>313115.61</v>
      </c>
      <c r="L45" s="151">
        <f t="shared" si="0"/>
        <v>0.69581246666666663</v>
      </c>
      <c r="M45" s="50">
        <v>201880.15</v>
      </c>
      <c r="N45" s="152">
        <f t="shared" si="1"/>
        <v>0.44862255555555552</v>
      </c>
      <c r="O45" s="50">
        <v>136884.39000000001</v>
      </c>
      <c r="P45" s="152">
        <f t="shared" si="2"/>
        <v>0.30418753333333337</v>
      </c>
      <c r="Q45" s="50">
        <v>136884.39000000001</v>
      </c>
      <c r="R45" s="50"/>
      <c r="S45" s="154"/>
      <c r="T45" s="154"/>
    </row>
    <row r="46" spans="1:20" hidden="1" x14ac:dyDescent="0.25">
      <c r="A46" s="49" t="s">
        <v>696</v>
      </c>
      <c r="B46" s="49" t="s">
        <v>226</v>
      </c>
      <c r="C46" s="49" t="s">
        <v>227</v>
      </c>
      <c r="D46" s="49" t="s">
        <v>69</v>
      </c>
      <c r="E46" s="50">
        <v>37400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151" t="e">
        <f t="shared" si="0"/>
        <v>#DIV/0!</v>
      </c>
      <c r="M46" s="50">
        <v>0</v>
      </c>
      <c r="N46" s="152" t="e">
        <f t="shared" si="1"/>
        <v>#DIV/0!</v>
      </c>
      <c r="O46" s="50">
        <v>0</v>
      </c>
      <c r="P46" s="152" t="e">
        <f t="shared" si="2"/>
        <v>#DIV/0!</v>
      </c>
      <c r="Q46" s="50">
        <v>0</v>
      </c>
      <c r="R46" s="50"/>
      <c r="S46" s="154"/>
      <c r="T46" s="154"/>
    </row>
    <row r="47" spans="1:20" hidden="1" x14ac:dyDescent="0.25">
      <c r="A47" s="49" t="s">
        <v>696</v>
      </c>
      <c r="B47" s="49" t="s">
        <v>228</v>
      </c>
      <c r="C47" s="49" t="s">
        <v>229</v>
      </c>
      <c r="D47" s="49" t="s">
        <v>69</v>
      </c>
      <c r="E47" s="50">
        <v>47000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151" t="e">
        <f t="shared" si="0"/>
        <v>#DIV/0!</v>
      </c>
      <c r="M47" s="50">
        <v>0</v>
      </c>
      <c r="N47" s="152" t="e">
        <f t="shared" si="1"/>
        <v>#DIV/0!</v>
      </c>
      <c r="O47" s="50">
        <v>0</v>
      </c>
      <c r="P47" s="152" t="e">
        <f t="shared" si="2"/>
        <v>#DIV/0!</v>
      </c>
      <c r="Q47" s="50">
        <v>0</v>
      </c>
      <c r="R47" s="50"/>
      <c r="S47" s="154"/>
      <c r="T47" s="154"/>
    </row>
    <row r="48" spans="1:20" hidden="1" x14ac:dyDescent="0.25">
      <c r="A48" s="49" t="s">
        <v>696</v>
      </c>
      <c r="B48" s="49" t="s">
        <v>248</v>
      </c>
      <c r="C48" s="49" t="s">
        <v>249</v>
      </c>
      <c r="D48" s="49" t="s">
        <v>69</v>
      </c>
      <c r="E48" s="50">
        <v>314465910</v>
      </c>
      <c r="F48" s="50">
        <v>320640887</v>
      </c>
      <c r="G48" s="50">
        <v>320298642</v>
      </c>
      <c r="H48" s="50">
        <v>0</v>
      </c>
      <c r="I48" s="50">
        <v>62869596.390000001</v>
      </c>
      <c r="J48" s="50">
        <v>0</v>
      </c>
      <c r="K48" s="50">
        <v>236344955.91</v>
      </c>
      <c r="L48" s="151">
        <f t="shared" si="0"/>
        <v>0.73710174058369538</v>
      </c>
      <c r="M48" s="50">
        <v>236344955.91</v>
      </c>
      <c r="N48" s="152">
        <f t="shared" si="1"/>
        <v>0.73710174058369538</v>
      </c>
      <c r="O48" s="50">
        <v>21426334.699999999</v>
      </c>
      <c r="P48" s="152">
        <f t="shared" si="2"/>
        <v>6.6823463783644038E-2</v>
      </c>
      <c r="Q48" s="50">
        <v>21084089.699999999</v>
      </c>
      <c r="R48" s="50"/>
      <c r="S48" s="154"/>
      <c r="T48" s="154"/>
    </row>
    <row r="49" spans="1:21" hidden="1" x14ac:dyDescent="0.25">
      <c r="A49" s="49" t="s">
        <v>696</v>
      </c>
      <c r="B49" s="49" t="s">
        <v>250</v>
      </c>
      <c r="C49" s="49" t="s">
        <v>251</v>
      </c>
      <c r="D49" s="49" t="s">
        <v>69</v>
      </c>
      <c r="E49" s="50">
        <v>281465910</v>
      </c>
      <c r="F49" s="50">
        <v>280640887</v>
      </c>
      <c r="G49" s="50">
        <v>280298642</v>
      </c>
      <c r="H49" s="50">
        <v>0</v>
      </c>
      <c r="I49" s="50">
        <v>62869596</v>
      </c>
      <c r="J49" s="50">
        <v>0</v>
      </c>
      <c r="K49" s="50">
        <v>217403735</v>
      </c>
      <c r="L49" s="151">
        <f t="shared" si="0"/>
        <v>0.77466878516529203</v>
      </c>
      <c r="M49" s="50">
        <v>217403735</v>
      </c>
      <c r="N49" s="152">
        <f t="shared" si="1"/>
        <v>0.77466878516529203</v>
      </c>
      <c r="O49" s="50">
        <v>367556</v>
      </c>
      <c r="P49" s="152">
        <f t="shared" si="2"/>
        <v>1.3097022459168609E-3</v>
      </c>
      <c r="Q49" s="50">
        <v>25311</v>
      </c>
      <c r="R49" s="50"/>
      <c r="S49" s="154"/>
      <c r="T49" s="154"/>
    </row>
    <row r="50" spans="1:21" hidden="1" x14ac:dyDescent="0.25">
      <c r="A50" s="49" t="s">
        <v>696</v>
      </c>
      <c r="B50" s="49" t="s">
        <v>619</v>
      </c>
      <c r="C50" s="49" t="s">
        <v>701</v>
      </c>
      <c r="D50" s="49" t="s">
        <v>69</v>
      </c>
      <c r="E50" s="50">
        <v>257500000</v>
      </c>
      <c r="F50" s="50">
        <v>257500000</v>
      </c>
      <c r="G50" s="50">
        <v>257500000</v>
      </c>
      <c r="H50" s="50">
        <v>0</v>
      </c>
      <c r="I50" s="50">
        <v>55178572</v>
      </c>
      <c r="J50" s="50">
        <v>0</v>
      </c>
      <c r="K50" s="50">
        <v>202321427</v>
      </c>
      <c r="L50" s="151">
        <f t="shared" si="0"/>
        <v>0.78571427961165052</v>
      </c>
      <c r="M50" s="50">
        <v>202321427</v>
      </c>
      <c r="N50" s="152">
        <f t="shared" si="1"/>
        <v>0.78571427961165052</v>
      </c>
      <c r="O50" s="50">
        <v>1</v>
      </c>
      <c r="P50" s="152">
        <f t="shared" si="2"/>
        <v>3.8834951456310684E-9</v>
      </c>
      <c r="Q50" s="50">
        <v>1</v>
      </c>
      <c r="R50" s="50"/>
      <c r="S50" s="154"/>
      <c r="T50" s="154"/>
    </row>
    <row r="51" spans="1:21" hidden="1" x14ac:dyDescent="0.25">
      <c r="A51" s="49" t="s">
        <v>696</v>
      </c>
      <c r="B51" s="49" t="s">
        <v>625</v>
      </c>
      <c r="C51" s="49" t="s">
        <v>702</v>
      </c>
      <c r="D51" s="49" t="s">
        <v>69</v>
      </c>
      <c r="E51" s="50">
        <v>20356634</v>
      </c>
      <c r="F51" s="50">
        <v>19655861</v>
      </c>
      <c r="G51" s="50">
        <v>19365163</v>
      </c>
      <c r="H51" s="50">
        <v>0</v>
      </c>
      <c r="I51" s="50">
        <v>6578587</v>
      </c>
      <c r="J51" s="50">
        <v>0</v>
      </c>
      <c r="K51" s="50">
        <v>12786574</v>
      </c>
      <c r="L51" s="151">
        <f t="shared" si="0"/>
        <v>0.65052220302127695</v>
      </c>
      <c r="M51" s="50">
        <v>12786574</v>
      </c>
      <c r="N51" s="152">
        <f t="shared" si="1"/>
        <v>0.65052220302127695</v>
      </c>
      <c r="O51" s="50">
        <v>290700</v>
      </c>
      <c r="P51" s="152">
        <f t="shared" si="2"/>
        <v>1.4789481875151641E-2</v>
      </c>
      <c r="Q51" s="50">
        <v>2</v>
      </c>
      <c r="R51" s="50"/>
      <c r="S51" s="154"/>
      <c r="T51" s="154"/>
    </row>
    <row r="52" spans="1:21" hidden="1" x14ac:dyDescent="0.25">
      <c r="A52" s="49" t="s">
        <v>696</v>
      </c>
      <c r="B52" s="49" t="s">
        <v>640</v>
      </c>
      <c r="C52" s="49" t="s">
        <v>703</v>
      </c>
      <c r="D52" s="49" t="s">
        <v>69</v>
      </c>
      <c r="E52" s="50">
        <v>3609276</v>
      </c>
      <c r="F52" s="50">
        <v>3485026</v>
      </c>
      <c r="G52" s="50">
        <v>3433479</v>
      </c>
      <c r="H52" s="50">
        <v>0</v>
      </c>
      <c r="I52" s="50">
        <v>1112437</v>
      </c>
      <c r="J52" s="50">
        <v>0</v>
      </c>
      <c r="K52" s="50">
        <v>2295734</v>
      </c>
      <c r="L52" s="151">
        <f t="shared" si="0"/>
        <v>0.65874228771894383</v>
      </c>
      <c r="M52" s="50">
        <v>2295734</v>
      </c>
      <c r="N52" s="152">
        <f t="shared" si="1"/>
        <v>0.65874228771894383</v>
      </c>
      <c r="O52" s="50">
        <v>76855</v>
      </c>
      <c r="P52" s="152">
        <f t="shared" si="2"/>
        <v>2.2052920121686324E-2</v>
      </c>
      <c r="Q52" s="50">
        <v>25308</v>
      </c>
      <c r="R52" s="50"/>
      <c r="S52" s="154"/>
      <c r="T52" s="154"/>
    </row>
    <row r="53" spans="1:21" hidden="1" x14ac:dyDescent="0.25">
      <c r="A53" s="49" t="s">
        <v>696</v>
      </c>
      <c r="B53" s="49" t="s">
        <v>260</v>
      </c>
      <c r="C53" s="49" t="s">
        <v>261</v>
      </c>
      <c r="D53" s="49" t="s">
        <v>69</v>
      </c>
      <c r="E53" s="50">
        <v>33000000</v>
      </c>
      <c r="F53" s="50">
        <v>40000000</v>
      </c>
      <c r="G53" s="50">
        <v>40000000</v>
      </c>
      <c r="H53" s="50">
        <v>0</v>
      </c>
      <c r="I53" s="50">
        <v>0.39</v>
      </c>
      <c r="J53" s="50">
        <v>0</v>
      </c>
      <c r="K53" s="50">
        <v>18941220.91</v>
      </c>
      <c r="L53" s="151">
        <f t="shared" si="0"/>
        <v>0.47353052275000002</v>
      </c>
      <c r="M53" s="50">
        <v>18941220.91</v>
      </c>
      <c r="N53" s="152">
        <f t="shared" si="1"/>
        <v>0.47353052275000002</v>
      </c>
      <c r="O53" s="50">
        <v>21058778.699999999</v>
      </c>
      <c r="P53" s="152">
        <f t="shared" si="2"/>
        <v>0.52646946750000001</v>
      </c>
      <c r="Q53" s="50">
        <v>21058778.699999999</v>
      </c>
      <c r="R53" s="50"/>
      <c r="S53" s="154"/>
      <c r="T53" s="154"/>
    </row>
    <row r="54" spans="1:21" x14ac:dyDescent="0.25">
      <c r="A54" s="155" t="s">
        <v>696</v>
      </c>
      <c r="B54" s="155" t="s">
        <v>262</v>
      </c>
      <c r="C54" s="155" t="s">
        <v>263</v>
      </c>
      <c r="D54" s="155" t="s">
        <v>69</v>
      </c>
      <c r="E54" s="156">
        <v>23000000</v>
      </c>
      <c r="F54" s="156">
        <v>23000000</v>
      </c>
      <c r="G54" s="156">
        <v>23000000</v>
      </c>
      <c r="H54" s="156">
        <v>0</v>
      </c>
      <c r="I54" s="156">
        <v>0.39</v>
      </c>
      <c r="J54" s="156">
        <v>0</v>
      </c>
      <c r="K54" s="156">
        <v>5194620.41</v>
      </c>
      <c r="L54" s="157">
        <f t="shared" si="0"/>
        <v>0.22585306130434785</v>
      </c>
      <c r="M54" s="156">
        <v>5194620.41</v>
      </c>
      <c r="N54" s="158">
        <f t="shared" si="1"/>
        <v>0.22585306130434785</v>
      </c>
      <c r="O54" s="156">
        <v>17805379.199999999</v>
      </c>
      <c r="P54" s="158">
        <f t="shared" si="2"/>
        <v>0.77414692173913036</v>
      </c>
      <c r="Q54" s="50">
        <v>17805379.199999999</v>
      </c>
      <c r="R54" s="156"/>
      <c r="S54" s="156"/>
      <c r="T54" s="156"/>
      <c r="U54" s="159"/>
    </row>
    <row r="55" spans="1:21" hidden="1" x14ac:dyDescent="0.25">
      <c r="A55" s="49" t="s">
        <v>696</v>
      </c>
      <c r="B55" s="49" t="s">
        <v>264</v>
      </c>
      <c r="C55" s="49" t="s">
        <v>265</v>
      </c>
      <c r="D55" s="49" t="s">
        <v>69</v>
      </c>
      <c r="E55" s="50">
        <v>10000000</v>
      </c>
      <c r="F55" s="50">
        <v>17000000</v>
      </c>
      <c r="G55" s="50">
        <v>17000000</v>
      </c>
      <c r="H55" s="50">
        <v>0</v>
      </c>
      <c r="I55" s="50">
        <v>0</v>
      </c>
      <c r="J55" s="50">
        <v>0</v>
      </c>
      <c r="K55" s="50">
        <v>13746600.5</v>
      </c>
      <c r="L55" s="151">
        <f t="shared" si="0"/>
        <v>0.80862355882352943</v>
      </c>
      <c r="M55" s="50">
        <v>13746600.5</v>
      </c>
      <c r="N55" s="152">
        <f t="shared" si="1"/>
        <v>0.80862355882352943</v>
      </c>
      <c r="O55" s="50">
        <v>3253399.5</v>
      </c>
      <c r="P55" s="152">
        <f t="shared" si="2"/>
        <v>0.1913764411764706</v>
      </c>
      <c r="Q55" s="50">
        <v>3253399.5</v>
      </c>
      <c r="R55" s="50"/>
      <c r="S55" s="50"/>
      <c r="T55" s="50"/>
      <c r="U55" s="44"/>
    </row>
    <row r="56" spans="1:21" hidden="1" x14ac:dyDescent="0.25">
      <c r="A56" s="49" t="s">
        <v>696</v>
      </c>
      <c r="B56" s="49" t="s">
        <v>230</v>
      </c>
      <c r="C56" s="49" t="s">
        <v>231</v>
      </c>
      <c r="D56" s="49" t="s">
        <v>85</v>
      </c>
      <c r="E56" s="50">
        <v>4220000</v>
      </c>
      <c r="F56" s="50">
        <v>3050000</v>
      </c>
      <c r="G56" s="50">
        <v>3050000</v>
      </c>
      <c r="H56" s="50">
        <v>0</v>
      </c>
      <c r="I56" s="50">
        <v>0.02</v>
      </c>
      <c r="J56" s="50">
        <v>0</v>
      </c>
      <c r="K56" s="50">
        <v>2343992.0299999998</v>
      </c>
      <c r="L56" s="151">
        <f t="shared" si="0"/>
        <v>0.76852197704918024</v>
      </c>
      <c r="M56" s="50">
        <v>2343992.0299999998</v>
      </c>
      <c r="N56" s="152">
        <f t="shared" si="1"/>
        <v>0.76852197704918024</v>
      </c>
      <c r="O56" s="50">
        <v>706007.95</v>
      </c>
      <c r="P56" s="152">
        <f t="shared" si="2"/>
        <v>0.23147801639344262</v>
      </c>
      <c r="Q56" s="50">
        <v>706007.95</v>
      </c>
      <c r="R56" s="50"/>
      <c r="S56" s="50"/>
      <c r="T56" s="50"/>
      <c r="U56" s="44"/>
    </row>
    <row r="57" spans="1:21" hidden="1" x14ac:dyDescent="0.25">
      <c r="A57" s="49" t="s">
        <v>696</v>
      </c>
      <c r="B57" s="49" t="s">
        <v>232</v>
      </c>
      <c r="C57" s="49" t="s">
        <v>233</v>
      </c>
      <c r="D57" s="49" t="s">
        <v>85</v>
      </c>
      <c r="E57" s="50">
        <v>3320000</v>
      </c>
      <c r="F57" s="50">
        <v>3050000</v>
      </c>
      <c r="G57" s="50">
        <v>3050000</v>
      </c>
      <c r="H57" s="50">
        <v>0</v>
      </c>
      <c r="I57" s="50">
        <v>0.02</v>
      </c>
      <c r="J57" s="50">
        <v>0</v>
      </c>
      <c r="K57" s="50">
        <v>2343992.0299999998</v>
      </c>
      <c r="L57" s="151">
        <f t="shared" si="0"/>
        <v>0.76852197704918024</v>
      </c>
      <c r="M57" s="50">
        <v>2343992.0299999998</v>
      </c>
      <c r="N57" s="152">
        <f t="shared" si="1"/>
        <v>0.76852197704918024</v>
      </c>
      <c r="O57" s="50">
        <v>706007.95</v>
      </c>
      <c r="P57" s="152">
        <f t="shared" si="2"/>
        <v>0.23147801639344262</v>
      </c>
      <c r="Q57" s="50">
        <v>706007.95</v>
      </c>
      <c r="R57" s="50"/>
      <c r="S57" s="50"/>
      <c r="T57" s="50"/>
      <c r="U57" s="44"/>
    </row>
    <row r="58" spans="1:21" hidden="1" x14ac:dyDescent="0.25">
      <c r="A58" s="49" t="s">
        <v>696</v>
      </c>
      <c r="B58" s="49" t="s">
        <v>236</v>
      </c>
      <c r="C58" s="49" t="s">
        <v>237</v>
      </c>
      <c r="D58" s="49" t="s">
        <v>85</v>
      </c>
      <c r="E58" s="50">
        <v>120000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151" t="e">
        <f t="shared" si="0"/>
        <v>#DIV/0!</v>
      </c>
      <c r="M58" s="50">
        <v>0</v>
      </c>
      <c r="N58" s="152" t="e">
        <f t="shared" si="1"/>
        <v>#DIV/0!</v>
      </c>
      <c r="O58" s="50">
        <v>0</v>
      </c>
      <c r="P58" s="152" t="e">
        <f t="shared" si="2"/>
        <v>#DIV/0!</v>
      </c>
      <c r="Q58" s="50">
        <v>0</v>
      </c>
      <c r="R58" s="50"/>
      <c r="S58" s="50"/>
      <c r="T58" s="50"/>
      <c r="U58" s="44"/>
    </row>
    <row r="59" spans="1:21" hidden="1" x14ac:dyDescent="0.25">
      <c r="A59" s="49" t="s">
        <v>696</v>
      </c>
      <c r="B59" s="49" t="s">
        <v>238</v>
      </c>
      <c r="C59" s="49" t="s">
        <v>239</v>
      </c>
      <c r="D59" s="49" t="s">
        <v>85</v>
      </c>
      <c r="E59" s="50">
        <v>3200000</v>
      </c>
      <c r="F59" s="50">
        <v>3050000</v>
      </c>
      <c r="G59" s="50">
        <v>3050000</v>
      </c>
      <c r="H59" s="50">
        <v>0</v>
      </c>
      <c r="I59" s="50">
        <v>0.02</v>
      </c>
      <c r="J59" s="50">
        <v>0</v>
      </c>
      <c r="K59" s="50">
        <v>2343992.0299999998</v>
      </c>
      <c r="L59" s="151">
        <f t="shared" si="0"/>
        <v>0.76852197704918024</v>
      </c>
      <c r="M59" s="50">
        <v>2343992.0299999998</v>
      </c>
      <c r="N59" s="152">
        <f t="shared" si="1"/>
        <v>0.76852197704918024</v>
      </c>
      <c r="O59" s="50">
        <v>706007.95</v>
      </c>
      <c r="P59" s="152">
        <f t="shared" si="2"/>
        <v>0.23147801639344262</v>
      </c>
      <c r="Q59" s="50">
        <v>706007.95</v>
      </c>
      <c r="R59" s="50"/>
      <c r="S59" s="50"/>
      <c r="T59" s="50"/>
      <c r="U59" s="44"/>
    </row>
    <row r="60" spans="1:21" hidden="1" x14ac:dyDescent="0.25">
      <c r="A60" s="49" t="s">
        <v>696</v>
      </c>
      <c r="B60" s="49" t="s">
        <v>244</v>
      </c>
      <c r="C60" s="49" t="s">
        <v>245</v>
      </c>
      <c r="D60" s="49" t="s">
        <v>85</v>
      </c>
      <c r="E60" s="50">
        <v>900000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151" t="e">
        <f t="shared" si="0"/>
        <v>#DIV/0!</v>
      </c>
      <c r="M60" s="50">
        <v>0</v>
      </c>
      <c r="N60" s="152" t="e">
        <f t="shared" si="1"/>
        <v>#DIV/0!</v>
      </c>
      <c r="O60" s="50">
        <v>0</v>
      </c>
      <c r="P60" s="152" t="e">
        <f t="shared" si="2"/>
        <v>#DIV/0!</v>
      </c>
      <c r="Q60" s="50">
        <v>0</v>
      </c>
      <c r="R60" s="50"/>
      <c r="S60" s="50"/>
      <c r="T60" s="50"/>
      <c r="U60" s="44"/>
    </row>
    <row r="61" spans="1:21" hidden="1" x14ac:dyDescent="0.25">
      <c r="A61" s="49" t="s">
        <v>696</v>
      </c>
      <c r="B61" s="49" t="s">
        <v>246</v>
      </c>
      <c r="C61" s="49" t="s">
        <v>247</v>
      </c>
      <c r="D61" s="49" t="s">
        <v>85</v>
      </c>
      <c r="E61" s="50">
        <v>900000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151" t="e">
        <f t="shared" si="0"/>
        <v>#DIV/0!</v>
      </c>
      <c r="M61" s="50">
        <v>0</v>
      </c>
      <c r="N61" s="152" t="e">
        <f t="shared" si="1"/>
        <v>#DIV/0!</v>
      </c>
      <c r="O61" s="50">
        <v>0</v>
      </c>
      <c r="P61" s="152" t="e">
        <f t="shared" si="2"/>
        <v>#DIV/0!</v>
      </c>
      <c r="Q61" s="50">
        <v>0</v>
      </c>
      <c r="R61" s="50"/>
      <c r="S61" s="50"/>
      <c r="T61" s="50"/>
      <c r="U61" s="44"/>
    </row>
    <row r="62" spans="1:21" hidden="1" x14ac:dyDescent="0.25">
      <c r="A62" s="49">
        <v>214787</v>
      </c>
      <c r="B62" s="49"/>
      <c r="C62" s="49"/>
      <c r="D62" s="49" t="s">
        <v>69</v>
      </c>
      <c r="E62" s="50">
        <v>3672713874</v>
      </c>
      <c r="F62" s="50">
        <v>3477014422</v>
      </c>
      <c r="G62" s="50">
        <v>3462309456</v>
      </c>
      <c r="H62" s="50">
        <v>0</v>
      </c>
      <c r="I62" s="50">
        <v>301758722.49000001</v>
      </c>
      <c r="J62" s="50">
        <v>1191232.5</v>
      </c>
      <c r="K62" s="50">
        <v>2479855045.7399998</v>
      </c>
      <c r="L62" s="151">
        <f t="shared" si="0"/>
        <v>0.71321390847541322</v>
      </c>
      <c r="M62" s="50">
        <v>2454083098.52</v>
      </c>
      <c r="N62" s="152">
        <f t="shared" si="1"/>
        <v>0.70580181749962267</v>
      </c>
      <c r="O62" s="50">
        <v>694209421.26999998</v>
      </c>
      <c r="P62" s="152">
        <f t="shared" si="2"/>
        <v>0.19965675634750071</v>
      </c>
      <c r="Q62" s="50">
        <v>679504455.26999998</v>
      </c>
      <c r="R62" s="50"/>
      <c r="S62" s="50"/>
      <c r="T62" s="50"/>
      <c r="U62" s="44"/>
    </row>
    <row r="63" spans="1:21" hidden="1" x14ac:dyDescent="0.25">
      <c r="A63" s="49" t="s">
        <v>704</v>
      </c>
      <c r="B63" s="49" t="s">
        <v>71</v>
      </c>
      <c r="C63" s="49" t="s">
        <v>72</v>
      </c>
      <c r="D63" s="49" t="s">
        <v>69</v>
      </c>
      <c r="E63" s="50">
        <v>2848782596</v>
      </c>
      <c r="F63" s="50">
        <v>2674350536</v>
      </c>
      <c r="G63" s="50">
        <v>2659767424</v>
      </c>
      <c r="H63" s="50">
        <v>0</v>
      </c>
      <c r="I63" s="50">
        <v>97925894</v>
      </c>
      <c r="J63" s="50">
        <v>0</v>
      </c>
      <c r="K63" s="50">
        <v>1933498952.78</v>
      </c>
      <c r="L63" s="151">
        <f t="shared" si="0"/>
        <v>0.72297887907840064</v>
      </c>
      <c r="M63" s="50">
        <v>1933498952.78</v>
      </c>
      <c r="N63" s="152">
        <f t="shared" si="1"/>
        <v>0.72297887907840064</v>
      </c>
      <c r="O63" s="50">
        <v>642925689.22000003</v>
      </c>
      <c r="P63" s="152">
        <f t="shared" si="2"/>
        <v>0.24040441990137079</v>
      </c>
      <c r="Q63" s="50">
        <v>628342577.22000003</v>
      </c>
      <c r="R63" s="50"/>
      <c r="S63" s="50"/>
      <c r="T63" s="50"/>
      <c r="U63" s="44"/>
    </row>
    <row r="64" spans="1:21" hidden="1" x14ac:dyDescent="0.25">
      <c r="A64" s="49" t="s">
        <v>704</v>
      </c>
      <c r="B64" s="49" t="s">
        <v>73</v>
      </c>
      <c r="C64" s="49" t="s">
        <v>74</v>
      </c>
      <c r="D64" s="49" t="s">
        <v>69</v>
      </c>
      <c r="E64" s="50">
        <v>1118901696</v>
      </c>
      <c r="F64" s="50">
        <v>1090175970</v>
      </c>
      <c r="G64" s="50">
        <v>1085616270</v>
      </c>
      <c r="H64" s="50">
        <v>0</v>
      </c>
      <c r="I64" s="50">
        <v>0</v>
      </c>
      <c r="J64" s="50">
        <v>0</v>
      </c>
      <c r="K64" s="50">
        <v>853606396.07000005</v>
      </c>
      <c r="L64" s="151">
        <f t="shared" si="0"/>
        <v>0.78299872640744417</v>
      </c>
      <c r="M64" s="50">
        <v>853606396.07000005</v>
      </c>
      <c r="N64" s="152">
        <f t="shared" si="1"/>
        <v>0.78299872640744417</v>
      </c>
      <c r="O64" s="50">
        <v>236569573.93000001</v>
      </c>
      <c r="P64" s="152">
        <f t="shared" si="2"/>
        <v>0.21700127359255589</v>
      </c>
      <c r="Q64" s="50">
        <v>232009873.93000001</v>
      </c>
      <c r="R64" s="50"/>
      <c r="S64" s="50"/>
      <c r="T64" s="50"/>
      <c r="U64" s="44"/>
    </row>
    <row r="65" spans="1:21" hidden="1" x14ac:dyDescent="0.25">
      <c r="A65" s="49" t="s">
        <v>704</v>
      </c>
      <c r="B65" s="49" t="s">
        <v>75</v>
      </c>
      <c r="C65" s="49" t="s">
        <v>76</v>
      </c>
      <c r="D65" s="49" t="s">
        <v>69</v>
      </c>
      <c r="E65" s="50">
        <v>1118901696</v>
      </c>
      <c r="F65" s="50">
        <v>1090175970</v>
      </c>
      <c r="G65" s="50">
        <v>1085616270</v>
      </c>
      <c r="H65" s="50">
        <v>0</v>
      </c>
      <c r="I65" s="50">
        <v>0</v>
      </c>
      <c r="J65" s="50">
        <v>0</v>
      </c>
      <c r="K65" s="50">
        <v>853606396.07000005</v>
      </c>
      <c r="L65" s="151">
        <f t="shared" si="0"/>
        <v>0.78299872640744417</v>
      </c>
      <c r="M65" s="50">
        <v>853606396.07000005</v>
      </c>
      <c r="N65" s="152">
        <f t="shared" si="1"/>
        <v>0.78299872640744417</v>
      </c>
      <c r="O65" s="50">
        <v>236569573.93000001</v>
      </c>
      <c r="P65" s="152">
        <f t="shared" si="2"/>
        <v>0.21700127359255589</v>
      </c>
      <c r="Q65" s="50">
        <v>232009873.93000001</v>
      </c>
      <c r="R65" s="50"/>
      <c r="S65" s="50"/>
      <c r="T65" s="50"/>
      <c r="U65" s="44"/>
    </row>
    <row r="66" spans="1:21" hidden="1" x14ac:dyDescent="0.25">
      <c r="A66" s="49" t="s">
        <v>704</v>
      </c>
      <c r="B66" s="49" t="s">
        <v>77</v>
      </c>
      <c r="C66" s="49" t="s">
        <v>78</v>
      </c>
      <c r="D66" s="49" t="s">
        <v>69</v>
      </c>
      <c r="E66" s="50">
        <v>1295309720</v>
      </c>
      <c r="F66" s="50">
        <v>1160748440</v>
      </c>
      <c r="G66" s="50">
        <v>1157356394</v>
      </c>
      <c r="H66" s="50">
        <v>0</v>
      </c>
      <c r="I66" s="50">
        <v>0</v>
      </c>
      <c r="J66" s="50">
        <v>0</v>
      </c>
      <c r="K66" s="50">
        <v>761023690.71000004</v>
      </c>
      <c r="L66" s="151">
        <f t="shared" si="0"/>
        <v>0.65563188756902402</v>
      </c>
      <c r="M66" s="50">
        <v>761023690.71000004</v>
      </c>
      <c r="N66" s="152">
        <f t="shared" si="1"/>
        <v>0.65563188756902402</v>
      </c>
      <c r="O66" s="50">
        <v>399724749.29000002</v>
      </c>
      <c r="P66" s="152">
        <f t="shared" si="2"/>
        <v>0.34436811243097604</v>
      </c>
      <c r="Q66" s="50">
        <v>396332703.29000002</v>
      </c>
      <c r="R66" s="50"/>
      <c r="S66" s="50"/>
      <c r="T66" s="50"/>
      <c r="U66" s="44"/>
    </row>
    <row r="67" spans="1:21" hidden="1" x14ac:dyDescent="0.25">
      <c r="A67" s="49" t="s">
        <v>704</v>
      </c>
      <c r="B67" s="49" t="s">
        <v>79</v>
      </c>
      <c r="C67" s="49" t="s">
        <v>80</v>
      </c>
      <c r="D67" s="49" t="s">
        <v>69</v>
      </c>
      <c r="E67" s="50">
        <v>329734600</v>
      </c>
      <c r="F67" s="50">
        <v>328933600</v>
      </c>
      <c r="G67" s="50">
        <v>328933600</v>
      </c>
      <c r="H67" s="50">
        <v>0</v>
      </c>
      <c r="I67" s="50">
        <v>0</v>
      </c>
      <c r="J67" s="50">
        <v>0</v>
      </c>
      <c r="K67" s="50">
        <v>259038997.87</v>
      </c>
      <c r="L67" s="151">
        <f t="shared" si="0"/>
        <v>0.78751151560679722</v>
      </c>
      <c r="M67" s="50">
        <v>259038997.87</v>
      </c>
      <c r="N67" s="152">
        <f t="shared" si="1"/>
        <v>0.78751151560679722</v>
      </c>
      <c r="O67" s="50">
        <v>69894602.129999995</v>
      </c>
      <c r="P67" s="152">
        <f t="shared" si="2"/>
        <v>0.21248848439320275</v>
      </c>
      <c r="Q67" s="50">
        <v>69894602.129999995</v>
      </c>
      <c r="R67" s="50"/>
      <c r="S67" s="50"/>
      <c r="T67" s="50"/>
      <c r="U67" s="44"/>
    </row>
    <row r="68" spans="1:21" hidden="1" x14ac:dyDescent="0.25">
      <c r="A68" s="49" t="s">
        <v>704</v>
      </c>
      <c r="B68" s="49" t="s">
        <v>81</v>
      </c>
      <c r="C68" s="49" t="s">
        <v>82</v>
      </c>
      <c r="D68" s="49" t="s">
        <v>69</v>
      </c>
      <c r="E68" s="50">
        <v>442514922</v>
      </c>
      <c r="F68" s="50">
        <v>431161620</v>
      </c>
      <c r="G68" s="50">
        <v>428653782</v>
      </c>
      <c r="H68" s="50">
        <v>0</v>
      </c>
      <c r="I68" s="50">
        <v>0</v>
      </c>
      <c r="J68" s="50">
        <v>0</v>
      </c>
      <c r="K68" s="50">
        <v>332839110.56</v>
      </c>
      <c r="L68" s="151">
        <f t="shared" si="0"/>
        <v>0.77195904069569088</v>
      </c>
      <c r="M68" s="50">
        <v>332839110.56</v>
      </c>
      <c r="N68" s="152">
        <f t="shared" si="1"/>
        <v>0.77195904069569088</v>
      </c>
      <c r="O68" s="50">
        <v>98322509.439999998</v>
      </c>
      <c r="P68" s="152">
        <f t="shared" si="2"/>
        <v>0.22804095930430912</v>
      </c>
      <c r="Q68" s="50">
        <v>95814671.439999998</v>
      </c>
      <c r="R68" s="50"/>
      <c r="S68" s="50"/>
      <c r="T68" s="50"/>
      <c r="U68" s="44"/>
    </row>
    <row r="69" spans="1:21" hidden="1" x14ac:dyDescent="0.25">
      <c r="A69" s="49" t="s">
        <v>704</v>
      </c>
      <c r="B69" s="49" t="s">
        <v>86</v>
      </c>
      <c r="C69" s="49" t="s">
        <v>87</v>
      </c>
      <c r="D69" s="49" t="s">
        <v>69</v>
      </c>
      <c r="E69" s="50">
        <v>170646400</v>
      </c>
      <c r="F69" s="50">
        <v>55646400</v>
      </c>
      <c r="G69" s="50">
        <v>55646400</v>
      </c>
      <c r="H69" s="50">
        <v>0</v>
      </c>
      <c r="I69" s="50">
        <v>0</v>
      </c>
      <c r="J69" s="50">
        <v>0</v>
      </c>
      <c r="K69" s="50">
        <v>40448779.990000002</v>
      </c>
      <c r="L69" s="151">
        <f t="shared" si="0"/>
        <v>0.72688943022369823</v>
      </c>
      <c r="M69" s="50">
        <v>40448779.990000002</v>
      </c>
      <c r="N69" s="152">
        <f t="shared" si="1"/>
        <v>0.72688943022369823</v>
      </c>
      <c r="O69" s="50">
        <v>15197620.01</v>
      </c>
      <c r="P69" s="152">
        <f t="shared" si="2"/>
        <v>0.27311056977630177</v>
      </c>
      <c r="Q69" s="50">
        <v>15197620.01</v>
      </c>
      <c r="R69" s="50"/>
      <c r="S69" s="50"/>
      <c r="T69" s="50"/>
      <c r="U69" s="44"/>
    </row>
    <row r="70" spans="1:21" hidden="1" x14ac:dyDescent="0.25">
      <c r="A70" s="49" t="s">
        <v>704</v>
      </c>
      <c r="B70" s="49" t="s">
        <v>88</v>
      </c>
      <c r="C70" s="49" t="s">
        <v>89</v>
      </c>
      <c r="D70" s="49" t="s">
        <v>69</v>
      </c>
      <c r="E70" s="50">
        <v>166773800</v>
      </c>
      <c r="F70" s="50">
        <v>164127760</v>
      </c>
      <c r="G70" s="50">
        <v>163855000</v>
      </c>
      <c r="H70" s="50">
        <v>0</v>
      </c>
      <c r="I70" s="50">
        <v>0</v>
      </c>
      <c r="J70" s="50">
        <v>0</v>
      </c>
      <c r="K70" s="50">
        <v>128696802.29000001</v>
      </c>
      <c r="L70" s="151">
        <f t="shared" si="0"/>
        <v>0.78412574624792297</v>
      </c>
      <c r="M70" s="50">
        <v>128696802.29000001</v>
      </c>
      <c r="N70" s="152">
        <f t="shared" si="1"/>
        <v>0.78412574624792297</v>
      </c>
      <c r="O70" s="50">
        <v>35430957.710000001</v>
      </c>
      <c r="P70" s="152">
        <f t="shared" si="2"/>
        <v>0.21587425375207706</v>
      </c>
      <c r="Q70" s="50">
        <v>35158197.710000001</v>
      </c>
      <c r="R70" s="50"/>
      <c r="S70" s="50"/>
      <c r="T70" s="50"/>
      <c r="U70" s="44"/>
    </row>
    <row r="71" spans="1:21" hidden="1" x14ac:dyDescent="0.25">
      <c r="A71" s="49" t="s">
        <v>704</v>
      </c>
      <c r="B71" s="49" t="s">
        <v>83</v>
      </c>
      <c r="C71" s="49" t="s">
        <v>84</v>
      </c>
      <c r="D71" s="49" t="s">
        <v>85</v>
      </c>
      <c r="E71" s="50">
        <v>185639998</v>
      </c>
      <c r="F71" s="50">
        <v>180879060</v>
      </c>
      <c r="G71" s="50">
        <v>180267612</v>
      </c>
      <c r="H71" s="50">
        <v>0</v>
      </c>
      <c r="I71" s="50">
        <v>0</v>
      </c>
      <c r="J71" s="50">
        <v>0</v>
      </c>
      <c r="K71" s="50">
        <v>0</v>
      </c>
      <c r="L71" s="151">
        <f t="shared" si="0"/>
        <v>0</v>
      </c>
      <c r="M71" s="50">
        <v>0</v>
      </c>
      <c r="N71" s="152">
        <f t="shared" si="1"/>
        <v>0</v>
      </c>
      <c r="O71" s="50">
        <v>180879060</v>
      </c>
      <c r="P71" s="152">
        <f t="shared" si="2"/>
        <v>1</v>
      </c>
      <c r="Q71" s="50">
        <v>180267612</v>
      </c>
      <c r="R71" s="50"/>
      <c r="S71" s="50"/>
      <c r="T71" s="50"/>
      <c r="U71" s="44"/>
    </row>
    <row r="72" spans="1:21" hidden="1" x14ac:dyDescent="0.25">
      <c r="A72" s="49" t="s">
        <v>704</v>
      </c>
      <c r="B72" s="49" t="s">
        <v>90</v>
      </c>
      <c r="C72" s="49" t="s">
        <v>91</v>
      </c>
      <c r="D72" s="49" t="s">
        <v>69</v>
      </c>
      <c r="E72" s="50">
        <v>217285640</v>
      </c>
      <c r="F72" s="50">
        <v>211713113</v>
      </c>
      <c r="G72" s="50">
        <v>210997433</v>
      </c>
      <c r="H72" s="50">
        <v>0</v>
      </c>
      <c r="I72" s="50">
        <v>51375229</v>
      </c>
      <c r="J72" s="50">
        <v>0</v>
      </c>
      <c r="K72" s="50">
        <v>159622204</v>
      </c>
      <c r="L72" s="151">
        <f t="shared" si="0"/>
        <v>0.75395520729979537</v>
      </c>
      <c r="M72" s="50">
        <v>159622204</v>
      </c>
      <c r="N72" s="152">
        <f t="shared" si="1"/>
        <v>0.75395520729979537</v>
      </c>
      <c r="O72" s="50">
        <v>715680</v>
      </c>
      <c r="P72" s="152">
        <f t="shared" si="2"/>
        <v>3.3804235829265803E-3</v>
      </c>
      <c r="Q72" s="50">
        <v>0</v>
      </c>
      <c r="R72" s="50"/>
      <c r="S72" s="50"/>
      <c r="T72" s="50"/>
      <c r="U72" s="44"/>
    </row>
    <row r="73" spans="1:21" hidden="1" x14ac:dyDescent="0.25">
      <c r="A73" s="49" t="s">
        <v>704</v>
      </c>
      <c r="B73" s="49" t="s">
        <v>418</v>
      </c>
      <c r="C73" s="49" t="s">
        <v>697</v>
      </c>
      <c r="D73" s="49" t="s">
        <v>69</v>
      </c>
      <c r="E73" s="50">
        <v>206142800</v>
      </c>
      <c r="F73" s="50">
        <v>200856044</v>
      </c>
      <c r="G73" s="50">
        <v>200177066</v>
      </c>
      <c r="H73" s="50">
        <v>0</v>
      </c>
      <c r="I73" s="50">
        <v>48740597</v>
      </c>
      <c r="J73" s="50">
        <v>0</v>
      </c>
      <c r="K73" s="50">
        <v>151436469</v>
      </c>
      <c r="L73" s="151">
        <f t="shared" si="0"/>
        <v>0.75395525065703273</v>
      </c>
      <c r="M73" s="50">
        <v>151436469</v>
      </c>
      <c r="N73" s="152">
        <f t="shared" si="1"/>
        <v>0.75395525065703273</v>
      </c>
      <c r="O73" s="50">
        <v>678978</v>
      </c>
      <c r="P73" s="152">
        <f t="shared" si="2"/>
        <v>3.3804210541954118E-3</v>
      </c>
      <c r="Q73" s="50">
        <v>0</v>
      </c>
      <c r="R73" s="50"/>
      <c r="S73" s="50"/>
      <c r="T73" s="50"/>
      <c r="U73" s="44"/>
    </row>
    <row r="74" spans="1:21" hidden="1" x14ac:dyDescent="0.25">
      <c r="A74" s="49" t="s">
        <v>704</v>
      </c>
      <c r="B74" s="49" t="s">
        <v>435</v>
      </c>
      <c r="C74" s="49" t="s">
        <v>95</v>
      </c>
      <c r="D74" s="49" t="s">
        <v>69</v>
      </c>
      <c r="E74" s="50">
        <v>11142840</v>
      </c>
      <c r="F74" s="50">
        <v>10857069</v>
      </c>
      <c r="G74" s="50">
        <v>10820367</v>
      </c>
      <c r="H74" s="50">
        <v>0</v>
      </c>
      <c r="I74" s="50">
        <v>2634632</v>
      </c>
      <c r="J74" s="50">
        <v>0</v>
      </c>
      <c r="K74" s="50">
        <v>8185735</v>
      </c>
      <c r="L74" s="151">
        <f t="shared" si="0"/>
        <v>0.75395440518983525</v>
      </c>
      <c r="M74" s="50">
        <v>8185735</v>
      </c>
      <c r="N74" s="152">
        <f t="shared" si="1"/>
        <v>0.75395440518983525</v>
      </c>
      <c r="O74" s="50">
        <v>36702</v>
      </c>
      <c r="P74" s="152">
        <f t="shared" si="2"/>
        <v>3.3804703645155059E-3</v>
      </c>
      <c r="Q74" s="50">
        <v>0</v>
      </c>
      <c r="R74" s="50"/>
      <c r="S74" s="50"/>
      <c r="T74" s="50"/>
      <c r="U74" s="44"/>
    </row>
    <row r="75" spans="1:21" hidden="1" x14ac:dyDescent="0.25">
      <c r="A75" s="49" t="s">
        <v>704</v>
      </c>
      <c r="B75" s="49" t="s">
        <v>96</v>
      </c>
      <c r="C75" s="49" t="s">
        <v>97</v>
      </c>
      <c r="D75" s="49" t="s">
        <v>69</v>
      </c>
      <c r="E75" s="50">
        <v>217285540</v>
      </c>
      <c r="F75" s="50">
        <v>211713013</v>
      </c>
      <c r="G75" s="50">
        <v>205797327</v>
      </c>
      <c r="H75" s="50">
        <v>0</v>
      </c>
      <c r="I75" s="50">
        <v>46550665</v>
      </c>
      <c r="J75" s="50">
        <v>0</v>
      </c>
      <c r="K75" s="50">
        <v>159246662</v>
      </c>
      <c r="L75" s="151">
        <f t="shared" si="0"/>
        <v>0.75218173764311791</v>
      </c>
      <c r="M75" s="50">
        <v>159246662</v>
      </c>
      <c r="N75" s="152">
        <f t="shared" si="1"/>
        <v>0.75218173764311791</v>
      </c>
      <c r="O75" s="50">
        <v>5915686</v>
      </c>
      <c r="P75" s="152">
        <f t="shared" si="2"/>
        <v>2.7942004679702894E-2</v>
      </c>
      <c r="Q75" s="50">
        <v>0</v>
      </c>
      <c r="R75" s="50"/>
      <c r="S75" s="50"/>
      <c r="T75" s="50"/>
      <c r="U75" s="44"/>
    </row>
    <row r="76" spans="1:21" hidden="1" x14ac:dyDescent="0.25">
      <c r="A76" s="49" t="s">
        <v>704</v>
      </c>
      <c r="B76" s="49" t="s">
        <v>453</v>
      </c>
      <c r="C76" s="49" t="s">
        <v>698</v>
      </c>
      <c r="D76" s="49" t="s">
        <v>69</v>
      </c>
      <c r="E76" s="50">
        <v>116999976</v>
      </c>
      <c r="F76" s="50">
        <v>113999385</v>
      </c>
      <c r="G76" s="50">
        <v>113614017</v>
      </c>
      <c r="H76" s="50">
        <v>0</v>
      </c>
      <c r="I76" s="50">
        <v>28039166</v>
      </c>
      <c r="J76" s="50">
        <v>0</v>
      </c>
      <c r="K76" s="50">
        <v>85574851</v>
      </c>
      <c r="L76" s="151">
        <f t="shared" si="0"/>
        <v>0.75066063733589439</v>
      </c>
      <c r="M76" s="50">
        <v>85574851</v>
      </c>
      <c r="N76" s="152">
        <f t="shared" si="1"/>
        <v>0.75066063733589439</v>
      </c>
      <c r="O76" s="50">
        <v>385368</v>
      </c>
      <c r="P76" s="152">
        <f t="shared" si="2"/>
        <v>3.380439289211955E-3</v>
      </c>
      <c r="Q76" s="50">
        <v>0</v>
      </c>
      <c r="R76" s="50"/>
      <c r="S76" s="50"/>
      <c r="T76" s="50"/>
      <c r="U76" s="44"/>
    </row>
    <row r="77" spans="1:21" hidden="1" x14ac:dyDescent="0.25">
      <c r="A77" s="49" t="s">
        <v>704</v>
      </c>
      <c r="B77" s="49" t="s">
        <v>470</v>
      </c>
      <c r="C77" s="49" t="s">
        <v>699</v>
      </c>
      <c r="D77" s="49" t="s">
        <v>69</v>
      </c>
      <c r="E77" s="50">
        <v>33428521</v>
      </c>
      <c r="F77" s="50">
        <v>32571209</v>
      </c>
      <c r="G77" s="50">
        <v>32461103</v>
      </c>
      <c r="H77" s="50">
        <v>0</v>
      </c>
      <c r="I77" s="50">
        <v>7903829</v>
      </c>
      <c r="J77" s="50">
        <v>0</v>
      </c>
      <c r="K77" s="50">
        <v>24557274</v>
      </c>
      <c r="L77" s="151">
        <f t="shared" si="0"/>
        <v>0.75395647732941073</v>
      </c>
      <c r="M77" s="50">
        <v>24557274</v>
      </c>
      <c r="N77" s="152">
        <f t="shared" si="1"/>
        <v>0.75395647732941073</v>
      </c>
      <c r="O77" s="50">
        <v>110106</v>
      </c>
      <c r="P77" s="152">
        <f t="shared" si="2"/>
        <v>3.3804701569413649E-3</v>
      </c>
      <c r="Q77" s="50">
        <v>0</v>
      </c>
      <c r="R77" s="50"/>
      <c r="S77" s="50"/>
      <c r="T77" s="50"/>
      <c r="U77" s="44"/>
    </row>
    <row r="78" spans="1:21" hidden="1" x14ac:dyDescent="0.25">
      <c r="A78" s="49" t="s">
        <v>704</v>
      </c>
      <c r="B78" s="49" t="s">
        <v>487</v>
      </c>
      <c r="C78" s="49" t="s">
        <v>700</v>
      </c>
      <c r="D78" s="49" t="s">
        <v>69</v>
      </c>
      <c r="E78" s="50">
        <v>66857043</v>
      </c>
      <c r="F78" s="50">
        <v>65142419</v>
      </c>
      <c r="G78" s="50">
        <v>59722207</v>
      </c>
      <c r="H78" s="50">
        <v>0</v>
      </c>
      <c r="I78" s="50">
        <v>10607670</v>
      </c>
      <c r="J78" s="50">
        <v>0</v>
      </c>
      <c r="K78" s="50">
        <v>49114537</v>
      </c>
      <c r="L78" s="151">
        <f t="shared" si="0"/>
        <v>0.75395629689465482</v>
      </c>
      <c r="M78" s="50">
        <v>49114537</v>
      </c>
      <c r="N78" s="152">
        <f t="shared" si="1"/>
        <v>0.75395629689465482</v>
      </c>
      <c r="O78" s="50">
        <v>5420212</v>
      </c>
      <c r="P78" s="152">
        <f t="shared" si="2"/>
        <v>8.3205568402364677E-2</v>
      </c>
      <c r="Q78" s="50">
        <v>0</v>
      </c>
      <c r="R78" s="50"/>
      <c r="S78" s="50"/>
      <c r="T78" s="50"/>
      <c r="U78" s="44"/>
    </row>
    <row r="79" spans="1:21" hidden="1" x14ac:dyDescent="0.25">
      <c r="A79" s="49" t="s">
        <v>704</v>
      </c>
      <c r="B79" s="49" t="s">
        <v>104</v>
      </c>
      <c r="C79" s="49" t="s">
        <v>105</v>
      </c>
      <c r="D79" s="49" t="s">
        <v>69</v>
      </c>
      <c r="E79" s="50">
        <v>261541565</v>
      </c>
      <c r="F79" s="50">
        <v>249886315</v>
      </c>
      <c r="G79" s="50">
        <v>249886315</v>
      </c>
      <c r="H79" s="50">
        <v>0</v>
      </c>
      <c r="I79" s="50">
        <v>97758970.890000001</v>
      </c>
      <c r="J79" s="50">
        <v>911698.5</v>
      </c>
      <c r="K79" s="50">
        <v>136223575.37</v>
      </c>
      <c r="L79" s="151">
        <f t="shared" si="0"/>
        <v>0.54514219944377507</v>
      </c>
      <c r="M79" s="50">
        <v>121384965.75</v>
      </c>
      <c r="N79" s="152">
        <f t="shared" si="1"/>
        <v>0.48576075784702333</v>
      </c>
      <c r="O79" s="50">
        <v>14992070.24</v>
      </c>
      <c r="P79" s="152">
        <f t="shared" si="2"/>
        <v>5.9995563342474356E-2</v>
      </c>
      <c r="Q79" s="50">
        <v>14992070.24</v>
      </c>
      <c r="R79" s="50"/>
      <c r="S79" s="50"/>
      <c r="T79" s="50"/>
      <c r="U79" s="44"/>
    </row>
    <row r="80" spans="1:21" hidden="1" x14ac:dyDescent="0.25">
      <c r="A80" s="49" t="s">
        <v>704</v>
      </c>
      <c r="B80" s="49" t="s">
        <v>106</v>
      </c>
      <c r="C80" s="49" t="s">
        <v>107</v>
      </c>
      <c r="D80" s="49" t="s">
        <v>69</v>
      </c>
      <c r="E80" s="50">
        <v>90013380</v>
      </c>
      <c r="F80" s="50">
        <v>90013380</v>
      </c>
      <c r="G80" s="50">
        <v>90013380</v>
      </c>
      <c r="H80" s="50">
        <v>0</v>
      </c>
      <c r="I80" s="50">
        <v>21513076.25</v>
      </c>
      <c r="J80" s="50">
        <v>30000</v>
      </c>
      <c r="K80" s="50">
        <v>55865824.770000003</v>
      </c>
      <c r="L80" s="151">
        <f t="shared" si="0"/>
        <v>0.6206391179844597</v>
      </c>
      <c r="M80" s="50">
        <v>43398973.149999999</v>
      </c>
      <c r="N80" s="152">
        <f t="shared" si="1"/>
        <v>0.48213913475974346</v>
      </c>
      <c r="O80" s="50">
        <v>12604478.98</v>
      </c>
      <c r="P80" s="152">
        <f t="shared" si="2"/>
        <v>0.14002894880738842</v>
      </c>
      <c r="Q80" s="50">
        <v>12604478.98</v>
      </c>
      <c r="R80" s="50"/>
      <c r="S80" s="50"/>
      <c r="T80" s="50"/>
      <c r="U80" s="44"/>
    </row>
    <row r="81" spans="1:21" hidden="1" x14ac:dyDescent="0.25">
      <c r="A81" s="49" t="s">
        <v>704</v>
      </c>
      <c r="B81" s="49" t="s">
        <v>108</v>
      </c>
      <c r="C81" s="49" t="s">
        <v>109</v>
      </c>
      <c r="D81" s="49" t="s">
        <v>69</v>
      </c>
      <c r="E81" s="50">
        <v>0</v>
      </c>
      <c r="F81" s="50">
        <v>90013379.840000004</v>
      </c>
      <c r="G81" s="50">
        <v>90013379.840000004</v>
      </c>
      <c r="H81" s="50">
        <v>0</v>
      </c>
      <c r="I81" s="50">
        <v>21513076.25</v>
      </c>
      <c r="J81" s="50">
        <v>30000</v>
      </c>
      <c r="K81" s="50">
        <v>55865824.770000003</v>
      </c>
      <c r="L81" s="151">
        <f t="shared" si="0"/>
        <v>0.62063911908765412</v>
      </c>
      <c r="M81" s="50">
        <v>43398973.149999999</v>
      </c>
      <c r="N81" s="152">
        <f t="shared" si="1"/>
        <v>0.48213913561675231</v>
      </c>
      <c r="O81" s="50">
        <v>12604478.82</v>
      </c>
      <c r="P81" s="152">
        <f t="shared" si="2"/>
        <v>0.14002894727877824</v>
      </c>
      <c r="Q81" s="50">
        <v>12604478.82</v>
      </c>
      <c r="R81" s="50"/>
      <c r="S81" s="50"/>
      <c r="T81" s="50"/>
      <c r="U81" s="44"/>
    </row>
    <row r="82" spans="1:21" x14ac:dyDescent="0.25">
      <c r="A82" s="155" t="s">
        <v>704</v>
      </c>
      <c r="B82" s="155" t="s">
        <v>304</v>
      </c>
      <c r="C82" s="155" t="s">
        <v>305</v>
      </c>
      <c r="D82" s="155" t="s">
        <v>69</v>
      </c>
      <c r="E82" s="156">
        <v>90013380</v>
      </c>
      <c r="F82" s="156">
        <v>0.16</v>
      </c>
      <c r="G82" s="156">
        <v>0.16</v>
      </c>
      <c r="H82" s="156">
        <v>0</v>
      </c>
      <c r="I82" s="156">
        <v>0</v>
      </c>
      <c r="J82" s="156">
        <v>0</v>
      </c>
      <c r="K82" s="156">
        <v>0</v>
      </c>
      <c r="L82" s="157">
        <f t="shared" si="0"/>
        <v>0</v>
      </c>
      <c r="M82" s="156">
        <v>0</v>
      </c>
      <c r="N82" s="158">
        <f t="shared" si="1"/>
        <v>0</v>
      </c>
      <c r="O82" s="156">
        <v>0.16</v>
      </c>
      <c r="P82" s="158">
        <f t="shared" si="2"/>
        <v>1</v>
      </c>
      <c r="Q82" s="50">
        <v>0.16</v>
      </c>
      <c r="R82" s="156"/>
      <c r="S82" s="156"/>
      <c r="T82" s="156"/>
      <c r="U82" s="160"/>
    </row>
    <row r="83" spans="1:21" hidden="1" x14ac:dyDescent="0.25">
      <c r="A83" s="155" t="s">
        <v>704</v>
      </c>
      <c r="B83" s="155" t="s">
        <v>112</v>
      </c>
      <c r="C83" s="155" t="s">
        <v>113</v>
      </c>
      <c r="D83" s="155" t="s">
        <v>69</v>
      </c>
      <c r="E83" s="156">
        <v>105953785</v>
      </c>
      <c r="F83" s="156">
        <v>102953785</v>
      </c>
      <c r="G83" s="156">
        <v>102953785</v>
      </c>
      <c r="H83" s="156">
        <v>0</v>
      </c>
      <c r="I83" s="156">
        <v>59769506.039999999</v>
      </c>
      <c r="J83" s="156">
        <v>0</v>
      </c>
      <c r="K83" s="156">
        <v>42014858.520000003</v>
      </c>
      <c r="L83" s="157">
        <f t="shared" si="0"/>
        <v>0.40809435534594479</v>
      </c>
      <c r="M83" s="156">
        <v>41770108.520000003</v>
      </c>
      <c r="N83" s="158">
        <f t="shared" si="1"/>
        <v>0.40571707509345095</v>
      </c>
      <c r="O83" s="156">
        <v>1169420.44</v>
      </c>
      <c r="P83" s="158">
        <f t="shared" si="2"/>
        <v>1.1358693029110099E-2</v>
      </c>
      <c r="Q83" s="50">
        <v>1169420.44</v>
      </c>
      <c r="R83" s="156"/>
      <c r="S83" s="156"/>
      <c r="T83" s="156"/>
      <c r="U83" s="44"/>
    </row>
    <row r="84" spans="1:21" hidden="1" x14ac:dyDescent="0.25">
      <c r="A84" s="155" t="s">
        <v>704</v>
      </c>
      <c r="B84" s="155" t="s">
        <v>114</v>
      </c>
      <c r="C84" s="155" t="s">
        <v>115</v>
      </c>
      <c r="D84" s="155" t="s">
        <v>69</v>
      </c>
      <c r="E84" s="156">
        <v>8169861</v>
      </c>
      <c r="F84" s="156">
        <v>6169861</v>
      </c>
      <c r="G84" s="156">
        <v>6169861</v>
      </c>
      <c r="H84" s="156">
        <v>0</v>
      </c>
      <c r="I84" s="156">
        <v>1711944</v>
      </c>
      <c r="J84" s="156">
        <v>0</v>
      </c>
      <c r="K84" s="156">
        <v>3303511</v>
      </c>
      <c r="L84" s="157">
        <f t="shared" si="0"/>
        <v>0.53542713523043717</v>
      </c>
      <c r="M84" s="156">
        <v>3058761</v>
      </c>
      <c r="N84" s="158">
        <f t="shared" si="1"/>
        <v>0.49575849439719955</v>
      </c>
      <c r="O84" s="156">
        <v>1154406</v>
      </c>
      <c r="P84" s="158">
        <f t="shared" si="2"/>
        <v>0.18710405307348091</v>
      </c>
      <c r="Q84" s="50">
        <v>1154406</v>
      </c>
      <c r="R84" s="156"/>
      <c r="S84" s="156"/>
      <c r="T84" s="156"/>
      <c r="U84" s="44"/>
    </row>
    <row r="85" spans="1:21" hidden="1" x14ac:dyDescent="0.25">
      <c r="A85" s="155" t="s">
        <v>704</v>
      </c>
      <c r="B85" s="155" t="s">
        <v>116</v>
      </c>
      <c r="C85" s="155" t="s">
        <v>117</v>
      </c>
      <c r="D85" s="155" t="s">
        <v>69</v>
      </c>
      <c r="E85" s="156">
        <v>49884000</v>
      </c>
      <c r="F85" s="156">
        <v>49884000</v>
      </c>
      <c r="G85" s="156">
        <v>49884000</v>
      </c>
      <c r="H85" s="156">
        <v>0</v>
      </c>
      <c r="I85" s="156">
        <v>16718691.550000001</v>
      </c>
      <c r="J85" s="156">
        <v>0</v>
      </c>
      <c r="K85" s="156">
        <v>33165308.449999999</v>
      </c>
      <c r="L85" s="157">
        <f t="shared" si="0"/>
        <v>0.66484861779328042</v>
      </c>
      <c r="M85" s="156">
        <v>33165308.449999999</v>
      </c>
      <c r="N85" s="158">
        <f t="shared" si="1"/>
        <v>0.66484861779328042</v>
      </c>
      <c r="O85" s="156">
        <v>0</v>
      </c>
      <c r="P85" s="158">
        <f t="shared" si="2"/>
        <v>0</v>
      </c>
      <c r="Q85" s="50">
        <v>0</v>
      </c>
      <c r="R85" s="156"/>
      <c r="S85" s="156"/>
      <c r="T85" s="156"/>
      <c r="U85" s="44"/>
    </row>
    <row r="86" spans="1:21" hidden="1" x14ac:dyDescent="0.25">
      <c r="A86" s="155" t="s">
        <v>704</v>
      </c>
      <c r="B86" s="155" t="s">
        <v>118</v>
      </c>
      <c r="C86" s="155" t="s">
        <v>119</v>
      </c>
      <c r="D86" s="155" t="s">
        <v>69</v>
      </c>
      <c r="E86" s="156">
        <v>19924</v>
      </c>
      <c r="F86" s="156">
        <v>19924</v>
      </c>
      <c r="G86" s="156">
        <v>19924</v>
      </c>
      <c r="H86" s="156">
        <v>0</v>
      </c>
      <c r="I86" s="156">
        <v>999</v>
      </c>
      <c r="J86" s="156">
        <v>0</v>
      </c>
      <c r="K86" s="156">
        <v>18925</v>
      </c>
      <c r="L86" s="157">
        <f t="shared" si="0"/>
        <v>0.9498594659706886</v>
      </c>
      <c r="M86" s="156">
        <v>18925</v>
      </c>
      <c r="N86" s="158">
        <f t="shared" si="1"/>
        <v>0.9498594659706886</v>
      </c>
      <c r="O86" s="156">
        <v>0</v>
      </c>
      <c r="P86" s="158">
        <f t="shared" si="2"/>
        <v>0</v>
      </c>
      <c r="Q86" s="50">
        <v>0</v>
      </c>
      <c r="R86" s="156"/>
      <c r="S86" s="156"/>
      <c r="T86" s="156"/>
      <c r="U86" s="44"/>
    </row>
    <row r="87" spans="1:21" hidden="1" x14ac:dyDescent="0.25">
      <c r="A87" s="155" t="s">
        <v>704</v>
      </c>
      <c r="B87" s="155" t="s">
        <v>120</v>
      </c>
      <c r="C87" s="155" t="s">
        <v>121</v>
      </c>
      <c r="D87" s="155" t="s">
        <v>69</v>
      </c>
      <c r="E87" s="156">
        <v>47460000</v>
      </c>
      <c r="F87" s="156">
        <v>46460000</v>
      </c>
      <c r="G87" s="156">
        <v>46460000</v>
      </c>
      <c r="H87" s="156">
        <v>0</v>
      </c>
      <c r="I87" s="156">
        <v>41038769.32</v>
      </c>
      <c r="J87" s="156">
        <v>0</v>
      </c>
      <c r="K87" s="156">
        <v>5421230.2400000002</v>
      </c>
      <c r="L87" s="157">
        <f t="shared" si="0"/>
        <v>0.11668597158846319</v>
      </c>
      <c r="M87" s="156">
        <v>5421230.2400000002</v>
      </c>
      <c r="N87" s="158">
        <f t="shared" si="1"/>
        <v>0.11668597158846319</v>
      </c>
      <c r="O87" s="156">
        <v>0.44</v>
      </c>
      <c r="P87" s="158">
        <f t="shared" si="2"/>
        <v>9.4705122686181664E-9</v>
      </c>
      <c r="Q87" s="50">
        <v>0.44</v>
      </c>
      <c r="R87" s="156"/>
      <c r="S87" s="156"/>
      <c r="T87" s="156"/>
      <c r="U87" s="44"/>
    </row>
    <row r="88" spans="1:21" hidden="1" x14ac:dyDescent="0.25">
      <c r="A88" s="155" t="s">
        <v>704</v>
      </c>
      <c r="B88" s="155" t="s">
        <v>122</v>
      </c>
      <c r="C88" s="155" t="s">
        <v>123</v>
      </c>
      <c r="D88" s="155" t="s">
        <v>69</v>
      </c>
      <c r="E88" s="156">
        <v>420000</v>
      </c>
      <c r="F88" s="156">
        <v>420000</v>
      </c>
      <c r="G88" s="156">
        <v>420000</v>
      </c>
      <c r="H88" s="156">
        <v>0</v>
      </c>
      <c r="I88" s="156">
        <v>299102.17</v>
      </c>
      <c r="J88" s="156">
        <v>0</v>
      </c>
      <c r="K88" s="156">
        <v>105883.83</v>
      </c>
      <c r="L88" s="157">
        <f t="shared" si="0"/>
        <v>0.25210435714285717</v>
      </c>
      <c r="M88" s="156">
        <v>105883.83</v>
      </c>
      <c r="N88" s="158">
        <f t="shared" si="1"/>
        <v>0.25210435714285717</v>
      </c>
      <c r="O88" s="156">
        <v>15014</v>
      </c>
      <c r="P88" s="158">
        <f t="shared" si="2"/>
        <v>3.5747619047619049E-2</v>
      </c>
      <c r="Q88" s="50">
        <v>15014</v>
      </c>
      <c r="R88" s="156"/>
      <c r="S88" s="156"/>
      <c r="T88" s="156"/>
      <c r="U88" s="44"/>
    </row>
    <row r="89" spans="1:21" hidden="1" x14ac:dyDescent="0.25">
      <c r="A89" s="155" t="s">
        <v>704</v>
      </c>
      <c r="B89" s="155" t="s">
        <v>124</v>
      </c>
      <c r="C89" s="155" t="s">
        <v>125</v>
      </c>
      <c r="D89" s="155" t="s">
        <v>69</v>
      </c>
      <c r="E89" s="156">
        <v>8000000</v>
      </c>
      <c r="F89" s="156">
        <v>10750000</v>
      </c>
      <c r="G89" s="156">
        <v>10750000</v>
      </c>
      <c r="H89" s="156">
        <v>0</v>
      </c>
      <c r="I89" s="156">
        <v>3523767.2</v>
      </c>
      <c r="J89" s="156">
        <v>193600</v>
      </c>
      <c r="K89" s="156">
        <v>6909016</v>
      </c>
      <c r="L89" s="157">
        <f t="shared" si="0"/>
        <v>0.64269916279069772</v>
      </c>
      <c r="M89" s="156">
        <v>6909016</v>
      </c>
      <c r="N89" s="158">
        <f t="shared" si="1"/>
        <v>0.64269916279069772</v>
      </c>
      <c r="O89" s="156">
        <v>123616.8</v>
      </c>
      <c r="P89" s="158">
        <f t="shared" si="2"/>
        <v>1.1499237209302326E-2</v>
      </c>
      <c r="Q89" s="50">
        <v>123616.8</v>
      </c>
      <c r="R89" s="156"/>
      <c r="S89" s="156"/>
      <c r="T89" s="156"/>
      <c r="U89" s="44"/>
    </row>
    <row r="90" spans="1:21" hidden="1" x14ac:dyDescent="0.25">
      <c r="A90" s="155" t="s">
        <v>704</v>
      </c>
      <c r="B90" s="155" t="s">
        <v>126</v>
      </c>
      <c r="C90" s="155" t="s">
        <v>127</v>
      </c>
      <c r="D90" s="155" t="s">
        <v>69</v>
      </c>
      <c r="E90" s="156">
        <v>7000000</v>
      </c>
      <c r="F90" s="156">
        <v>10450000</v>
      </c>
      <c r="G90" s="156">
        <v>10450000</v>
      </c>
      <c r="H90" s="156">
        <v>0</v>
      </c>
      <c r="I90" s="156">
        <v>3362413.2</v>
      </c>
      <c r="J90" s="156">
        <v>193600</v>
      </c>
      <c r="K90" s="156">
        <v>6870370</v>
      </c>
      <c r="L90" s="157">
        <f t="shared" si="0"/>
        <v>0.65745167464114829</v>
      </c>
      <c r="M90" s="156">
        <v>6870370</v>
      </c>
      <c r="N90" s="158">
        <f t="shared" si="1"/>
        <v>0.65745167464114829</v>
      </c>
      <c r="O90" s="156">
        <v>23616.799999999999</v>
      </c>
      <c r="P90" s="158">
        <f t="shared" si="2"/>
        <v>2.2599808612440192E-3</v>
      </c>
      <c r="Q90" s="50">
        <v>23616.799999999999</v>
      </c>
      <c r="R90" s="156"/>
      <c r="S90" s="156"/>
      <c r="T90" s="156"/>
      <c r="U90" s="44"/>
    </row>
    <row r="91" spans="1:21" hidden="1" x14ac:dyDescent="0.25">
      <c r="A91" s="155" t="s">
        <v>704</v>
      </c>
      <c r="B91" s="155" t="s">
        <v>132</v>
      </c>
      <c r="C91" s="155" t="s">
        <v>133</v>
      </c>
      <c r="D91" s="155" t="s">
        <v>69</v>
      </c>
      <c r="E91" s="156">
        <v>1000000</v>
      </c>
      <c r="F91" s="156">
        <v>300000</v>
      </c>
      <c r="G91" s="156">
        <v>300000</v>
      </c>
      <c r="H91" s="156">
        <v>0</v>
      </c>
      <c r="I91" s="156">
        <v>161354</v>
      </c>
      <c r="J91" s="156">
        <v>0</v>
      </c>
      <c r="K91" s="156">
        <v>38646</v>
      </c>
      <c r="L91" s="157">
        <f t="shared" si="0"/>
        <v>0.12881999999999999</v>
      </c>
      <c r="M91" s="156">
        <v>38646</v>
      </c>
      <c r="N91" s="158">
        <f t="shared" si="1"/>
        <v>0.12881999999999999</v>
      </c>
      <c r="O91" s="156">
        <v>100000</v>
      </c>
      <c r="P91" s="158">
        <f t="shared" si="2"/>
        <v>0.33333333333333331</v>
      </c>
      <c r="Q91" s="50">
        <v>100000</v>
      </c>
      <c r="R91" s="156"/>
      <c r="S91" s="156"/>
      <c r="T91" s="156"/>
      <c r="U91" s="44"/>
    </row>
    <row r="92" spans="1:21" hidden="1" x14ac:dyDescent="0.25">
      <c r="A92" s="155" t="s">
        <v>704</v>
      </c>
      <c r="B92" s="155" t="s">
        <v>134</v>
      </c>
      <c r="C92" s="155" t="s">
        <v>135</v>
      </c>
      <c r="D92" s="155" t="s">
        <v>69</v>
      </c>
      <c r="E92" s="156">
        <v>3480000</v>
      </c>
      <c r="F92" s="156">
        <v>1480000</v>
      </c>
      <c r="G92" s="156">
        <v>1480000</v>
      </c>
      <c r="H92" s="156">
        <v>0</v>
      </c>
      <c r="I92" s="156">
        <v>475888.12</v>
      </c>
      <c r="J92" s="156">
        <v>0</v>
      </c>
      <c r="K92" s="156">
        <v>1003792.56</v>
      </c>
      <c r="L92" s="157">
        <f t="shared" si="0"/>
        <v>0.67823821621621627</v>
      </c>
      <c r="M92" s="156">
        <v>1003792.56</v>
      </c>
      <c r="N92" s="158">
        <f t="shared" si="1"/>
        <v>0.67823821621621627</v>
      </c>
      <c r="O92" s="156">
        <v>319.32</v>
      </c>
      <c r="P92" s="158">
        <f t="shared" si="2"/>
        <v>2.1575675675675676E-4</v>
      </c>
      <c r="Q92" s="50">
        <v>319.32</v>
      </c>
      <c r="R92" s="156"/>
      <c r="S92" s="156"/>
      <c r="T92" s="156"/>
      <c r="U92" s="44"/>
    </row>
    <row r="93" spans="1:21" hidden="1" x14ac:dyDescent="0.25">
      <c r="A93" s="155" t="s">
        <v>704</v>
      </c>
      <c r="B93" s="155" t="s">
        <v>136</v>
      </c>
      <c r="C93" s="155" t="s">
        <v>137</v>
      </c>
      <c r="D93" s="155" t="s">
        <v>69</v>
      </c>
      <c r="E93" s="156">
        <v>2000000</v>
      </c>
      <c r="F93" s="156">
        <v>0</v>
      </c>
      <c r="G93" s="156">
        <v>0</v>
      </c>
      <c r="H93" s="156">
        <v>0</v>
      </c>
      <c r="I93" s="156">
        <v>0</v>
      </c>
      <c r="J93" s="156">
        <v>0</v>
      </c>
      <c r="K93" s="156">
        <v>0</v>
      </c>
      <c r="L93" s="157" t="e">
        <f t="shared" si="0"/>
        <v>#DIV/0!</v>
      </c>
      <c r="M93" s="156">
        <v>0</v>
      </c>
      <c r="N93" s="158" t="e">
        <f t="shared" si="1"/>
        <v>#DIV/0!</v>
      </c>
      <c r="O93" s="156">
        <v>0</v>
      </c>
      <c r="P93" s="158" t="e">
        <f t="shared" si="2"/>
        <v>#DIV/0!</v>
      </c>
      <c r="Q93" s="50">
        <v>0</v>
      </c>
      <c r="R93" s="156"/>
      <c r="S93" s="156"/>
      <c r="T93" s="156"/>
      <c r="U93" s="44"/>
    </row>
    <row r="94" spans="1:21" hidden="1" x14ac:dyDescent="0.25">
      <c r="A94" s="155" t="s">
        <v>704</v>
      </c>
      <c r="B94" s="155" t="s">
        <v>138</v>
      </c>
      <c r="C94" s="155" t="s">
        <v>139</v>
      </c>
      <c r="D94" s="155" t="s">
        <v>69</v>
      </c>
      <c r="E94" s="156">
        <v>1480000</v>
      </c>
      <c r="F94" s="156">
        <v>1480000</v>
      </c>
      <c r="G94" s="156">
        <v>1480000</v>
      </c>
      <c r="H94" s="156">
        <v>0</v>
      </c>
      <c r="I94" s="156">
        <v>475888.12</v>
      </c>
      <c r="J94" s="156">
        <v>0</v>
      </c>
      <c r="K94" s="156">
        <v>1003792.56</v>
      </c>
      <c r="L94" s="157">
        <f t="shared" si="0"/>
        <v>0.67823821621621627</v>
      </c>
      <c r="M94" s="156">
        <v>1003792.56</v>
      </c>
      <c r="N94" s="158">
        <f t="shared" si="1"/>
        <v>0.67823821621621627</v>
      </c>
      <c r="O94" s="156">
        <v>319.32</v>
      </c>
      <c r="P94" s="158">
        <f t="shared" si="2"/>
        <v>2.1575675675675676E-4</v>
      </c>
      <c r="Q94" s="50">
        <v>319.32</v>
      </c>
      <c r="R94" s="156"/>
      <c r="S94" s="156"/>
      <c r="T94" s="156"/>
      <c r="U94" s="44"/>
    </row>
    <row r="95" spans="1:21" hidden="1" x14ac:dyDescent="0.25">
      <c r="A95" s="155" t="s">
        <v>704</v>
      </c>
      <c r="B95" s="155" t="s">
        <v>140</v>
      </c>
      <c r="C95" s="155" t="s">
        <v>141</v>
      </c>
      <c r="D95" s="155" t="s">
        <v>69</v>
      </c>
      <c r="E95" s="156">
        <v>1500000</v>
      </c>
      <c r="F95" s="156">
        <v>791650</v>
      </c>
      <c r="G95" s="156">
        <v>791650</v>
      </c>
      <c r="H95" s="156">
        <v>0</v>
      </c>
      <c r="I95" s="156">
        <v>404550</v>
      </c>
      <c r="J95" s="156">
        <v>0</v>
      </c>
      <c r="K95" s="156">
        <v>315500</v>
      </c>
      <c r="L95" s="157">
        <f t="shared" si="0"/>
        <v>0.39853470599381041</v>
      </c>
      <c r="M95" s="156">
        <v>315500</v>
      </c>
      <c r="N95" s="158">
        <f t="shared" si="1"/>
        <v>0.39853470599381041</v>
      </c>
      <c r="O95" s="156">
        <v>71600</v>
      </c>
      <c r="P95" s="158">
        <f t="shared" si="2"/>
        <v>9.0444009347565218E-2</v>
      </c>
      <c r="Q95" s="50">
        <v>71600</v>
      </c>
      <c r="R95" s="156"/>
      <c r="S95" s="156"/>
      <c r="T95" s="156"/>
      <c r="U95" s="44"/>
    </row>
    <row r="96" spans="1:21" hidden="1" x14ac:dyDescent="0.25">
      <c r="A96" s="155" t="s">
        <v>704</v>
      </c>
      <c r="B96" s="155" t="s">
        <v>144</v>
      </c>
      <c r="C96" s="155" t="s">
        <v>145</v>
      </c>
      <c r="D96" s="155" t="s">
        <v>69</v>
      </c>
      <c r="E96" s="156">
        <v>1500000</v>
      </c>
      <c r="F96" s="156">
        <v>791650</v>
      </c>
      <c r="G96" s="156">
        <v>791650</v>
      </c>
      <c r="H96" s="156">
        <v>0</v>
      </c>
      <c r="I96" s="156">
        <v>404550</v>
      </c>
      <c r="J96" s="156">
        <v>0</v>
      </c>
      <c r="K96" s="156">
        <v>315500</v>
      </c>
      <c r="L96" s="157">
        <f t="shared" si="0"/>
        <v>0.39853470599381041</v>
      </c>
      <c r="M96" s="156">
        <v>315500</v>
      </c>
      <c r="N96" s="158">
        <f t="shared" si="1"/>
        <v>0.39853470599381041</v>
      </c>
      <c r="O96" s="156">
        <v>71600</v>
      </c>
      <c r="P96" s="158">
        <f t="shared" si="2"/>
        <v>9.0444009347565218E-2</v>
      </c>
      <c r="Q96" s="50">
        <v>71600</v>
      </c>
      <c r="R96" s="156"/>
      <c r="S96" s="156"/>
      <c r="T96" s="156"/>
      <c r="U96" s="44"/>
    </row>
    <row r="97" spans="1:21" hidden="1" x14ac:dyDescent="0.25">
      <c r="A97" s="155" t="s">
        <v>704</v>
      </c>
      <c r="B97" s="155" t="s">
        <v>150</v>
      </c>
      <c r="C97" s="155" t="s">
        <v>151</v>
      </c>
      <c r="D97" s="155" t="s">
        <v>69</v>
      </c>
      <c r="E97" s="156">
        <v>29000000</v>
      </c>
      <c r="F97" s="156">
        <v>24000000</v>
      </c>
      <c r="G97" s="156">
        <v>24000000</v>
      </c>
      <c r="H97" s="156">
        <v>0</v>
      </c>
      <c r="I97" s="156">
        <v>0</v>
      </c>
      <c r="J97" s="156">
        <v>0</v>
      </c>
      <c r="K97" s="156">
        <v>23906599</v>
      </c>
      <c r="L97" s="157">
        <f t="shared" si="0"/>
        <v>0.9961082916666667</v>
      </c>
      <c r="M97" s="156">
        <v>21779591</v>
      </c>
      <c r="N97" s="158">
        <f t="shared" si="1"/>
        <v>0.90748295833333337</v>
      </c>
      <c r="O97" s="156">
        <v>93401</v>
      </c>
      <c r="P97" s="158">
        <f t="shared" si="2"/>
        <v>3.8917083333333334E-3</v>
      </c>
      <c r="Q97" s="50">
        <v>93401</v>
      </c>
      <c r="R97" s="156"/>
      <c r="S97" s="156"/>
      <c r="T97" s="156"/>
      <c r="U97" s="44"/>
    </row>
    <row r="98" spans="1:21" hidden="1" x14ac:dyDescent="0.25">
      <c r="A98" s="155" t="s">
        <v>704</v>
      </c>
      <c r="B98" s="155" t="s">
        <v>152</v>
      </c>
      <c r="C98" s="155" t="s">
        <v>153</v>
      </c>
      <c r="D98" s="155" t="s">
        <v>69</v>
      </c>
      <c r="E98" s="156">
        <v>29000000</v>
      </c>
      <c r="F98" s="156">
        <v>24000000</v>
      </c>
      <c r="G98" s="156">
        <v>24000000</v>
      </c>
      <c r="H98" s="156">
        <v>0</v>
      </c>
      <c r="I98" s="156">
        <v>0</v>
      </c>
      <c r="J98" s="156">
        <v>0</v>
      </c>
      <c r="K98" s="156">
        <v>23906599</v>
      </c>
      <c r="L98" s="157">
        <f t="shared" si="0"/>
        <v>0.9961082916666667</v>
      </c>
      <c r="M98" s="156">
        <v>21779591</v>
      </c>
      <c r="N98" s="158">
        <f t="shared" si="1"/>
        <v>0.90748295833333337</v>
      </c>
      <c r="O98" s="156">
        <v>93401</v>
      </c>
      <c r="P98" s="158">
        <f t="shared" si="2"/>
        <v>3.8917083333333334E-3</v>
      </c>
      <c r="Q98" s="50">
        <v>93401</v>
      </c>
      <c r="R98" s="156"/>
      <c r="S98" s="156"/>
      <c r="T98" s="156"/>
      <c r="U98" s="44"/>
    </row>
    <row r="99" spans="1:21" hidden="1" x14ac:dyDescent="0.25">
      <c r="A99" s="155" t="s">
        <v>704</v>
      </c>
      <c r="B99" s="155" t="s">
        <v>154</v>
      </c>
      <c r="C99" s="155" t="s">
        <v>155</v>
      </c>
      <c r="D99" s="155" t="s">
        <v>69</v>
      </c>
      <c r="E99" s="156">
        <v>200000</v>
      </c>
      <c r="F99" s="156">
        <v>0</v>
      </c>
      <c r="G99" s="156">
        <v>0</v>
      </c>
      <c r="H99" s="156">
        <v>0</v>
      </c>
      <c r="I99" s="156">
        <v>0</v>
      </c>
      <c r="J99" s="156">
        <v>0</v>
      </c>
      <c r="K99" s="156">
        <v>0</v>
      </c>
      <c r="L99" s="157" t="e">
        <f t="shared" si="0"/>
        <v>#DIV/0!</v>
      </c>
      <c r="M99" s="156">
        <v>0</v>
      </c>
      <c r="N99" s="158" t="e">
        <f t="shared" si="1"/>
        <v>#DIV/0!</v>
      </c>
      <c r="O99" s="156">
        <v>0</v>
      </c>
      <c r="P99" s="158" t="e">
        <f t="shared" si="2"/>
        <v>#DIV/0!</v>
      </c>
      <c r="Q99" s="50">
        <v>0</v>
      </c>
      <c r="R99" s="156"/>
      <c r="S99" s="156"/>
      <c r="T99" s="156"/>
      <c r="U99" s="44"/>
    </row>
    <row r="100" spans="1:21" hidden="1" x14ac:dyDescent="0.25">
      <c r="A100" s="155" t="s">
        <v>704</v>
      </c>
      <c r="B100" s="155" t="s">
        <v>160</v>
      </c>
      <c r="C100" s="155" t="s">
        <v>161</v>
      </c>
      <c r="D100" s="155" t="s">
        <v>69</v>
      </c>
      <c r="E100" s="156">
        <v>200000</v>
      </c>
      <c r="F100" s="156">
        <v>0</v>
      </c>
      <c r="G100" s="156">
        <v>0</v>
      </c>
      <c r="H100" s="156">
        <v>0</v>
      </c>
      <c r="I100" s="156">
        <v>0</v>
      </c>
      <c r="J100" s="156">
        <v>0</v>
      </c>
      <c r="K100" s="156">
        <v>0</v>
      </c>
      <c r="L100" s="157" t="e">
        <f t="shared" si="0"/>
        <v>#DIV/0!</v>
      </c>
      <c r="M100" s="156">
        <v>0</v>
      </c>
      <c r="N100" s="158" t="e">
        <f t="shared" si="1"/>
        <v>#DIV/0!</v>
      </c>
      <c r="O100" s="156">
        <v>0</v>
      </c>
      <c r="P100" s="158" t="e">
        <f t="shared" si="2"/>
        <v>#DIV/0!</v>
      </c>
      <c r="Q100" s="50">
        <v>0</v>
      </c>
      <c r="R100" s="156"/>
      <c r="S100" s="156"/>
      <c r="T100" s="156"/>
      <c r="U100" s="44"/>
    </row>
    <row r="101" spans="1:21" hidden="1" x14ac:dyDescent="0.25">
      <c r="A101" s="155" t="s">
        <v>704</v>
      </c>
      <c r="B101" s="155" t="s">
        <v>162</v>
      </c>
      <c r="C101" s="155" t="s">
        <v>163</v>
      </c>
      <c r="D101" s="155" t="s">
        <v>69</v>
      </c>
      <c r="E101" s="156">
        <v>21394400</v>
      </c>
      <c r="F101" s="156">
        <v>17897500</v>
      </c>
      <c r="G101" s="156">
        <v>17897500</v>
      </c>
      <c r="H101" s="156">
        <v>0</v>
      </c>
      <c r="I101" s="156">
        <v>10400314.279999999</v>
      </c>
      <c r="J101" s="156">
        <v>688098.5</v>
      </c>
      <c r="K101" s="156">
        <v>5879853.5199999996</v>
      </c>
      <c r="L101" s="157">
        <f t="shared" si="0"/>
        <v>0.32852932085486797</v>
      </c>
      <c r="M101" s="156">
        <v>5879853.5199999996</v>
      </c>
      <c r="N101" s="158">
        <f t="shared" si="1"/>
        <v>0.32852932085486797</v>
      </c>
      <c r="O101" s="156">
        <v>929233.7</v>
      </c>
      <c r="P101" s="158">
        <f t="shared" si="2"/>
        <v>5.1919748568235786E-2</v>
      </c>
      <c r="Q101" s="50">
        <v>929233.7</v>
      </c>
      <c r="R101" s="156"/>
      <c r="S101" s="156"/>
      <c r="T101" s="156"/>
      <c r="U101" s="44"/>
    </row>
    <row r="102" spans="1:21" hidden="1" x14ac:dyDescent="0.25">
      <c r="A102" s="155" t="s">
        <v>704</v>
      </c>
      <c r="B102" s="155" t="s">
        <v>166</v>
      </c>
      <c r="C102" s="155" t="s">
        <v>167</v>
      </c>
      <c r="D102" s="155" t="s">
        <v>69</v>
      </c>
      <c r="E102" s="156">
        <v>13000000</v>
      </c>
      <c r="F102" s="156">
        <v>12988100</v>
      </c>
      <c r="G102" s="156">
        <v>12988100</v>
      </c>
      <c r="H102" s="156">
        <v>0</v>
      </c>
      <c r="I102" s="156">
        <v>8840318.6199999992</v>
      </c>
      <c r="J102" s="156">
        <v>202098.5</v>
      </c>
      <c r="K102" s="156">
        <v>3936369.69</v>
      </c>
      <c r="L102" s="157">
        <f t="shared" si="0"/>
        <v>0.30307509874423511</v>
      </c>
      <c r="M102" s="156">
        <v>3936369.69</v>
      </c>
      <c r="N102" s="158">
        <f t="shared" si="1"/>
        <v>0.30307509874423511</v>
      </c>
      <c r="O102" s="156">
        <v>9313.19</v>
      </c>
      <c r="P102" s="158">
        <f t="shared" si="2"/>
        <v>7.1705561244523838E-4</v>
      </c>
      <c r="Q102" s="50">
        <v>9313.19</v>
      </c>
      <c r="R102" s="156"/>
      <c r="S102" s="156"/>
      <c r="T102" s="156"/>
      <c r="U102" s="44"/>
    </row>
    <row r="103" spans="1:21" hidden="1" x14ac:dyDescent="0.25">
      <c r="A103" s="155" t="s">
        <v>704</v>
      </c>
      <c r="B103" s="155" t="s">
        <v>168</v>
      </c>
      <c r="C103" s="155" t="s">
        <v>169</v>
      </c>
      <c r="D103" s="155" t="s">
        <v>69</v>
      </c>
      <c r="E103" s="156">
        <v>6194400</v>
      </c>
      <c r="F103" s="156">
        <v>3194400</v>
      </c>
      <c r="G103" s="156">
        <v>3194400</v>
      </c>
      <c r="H103" s="156">
        <v>0</v>
      </c>
      <c r="I103" s="156">
        <v>450473</v>
      </c>
      <c r="J103" s="156">
        <v>486000</v>
      </c>
      <c r="K103" s="156">
        <v>1351367</v>
      </c>
      <c r="L103" s="157">
        <f t="shared" si="0"/>
        <v>0.42304251189581771</v>
      </c>
      <c r="M103" s="156">
        <v>1351367</v>
      </c>
      <c r="N103" s="158">
        <f t="shared" si="1"/>
        <v>0.42304251189581771</v>
      </c>
      <c r="O103" s="156">
        <v>906560</v>
      </c>
      <c r="P103" s="158">
        <f t="shared" si="2"/>
        <v>0.28379664412722266</v>
      </c>
      <c r="Q103" s="50">
        <v>906560</v>
      </c>
      <c r="R103" s="156"/>
      <c r="S103" s="156"/>
      <c r="T103" s="156"/>
      <c r="U103" s="44"/>
    </row>
    <row r="104" spans="1:21" hidden="1" x14ac:dyDescent="0.25">
      <c r="A104" s="155" t="s">
        <v>704</v>
      </c>
      <c r="B104" s="155" t="s">
        <v>172</v>
      </c>
      <c r="C104" s="155" t="s">
        <v>173</v>
      </c>
      <c r="D104" s="155" t="s">
        <v>69</v>
      </c>
      <c r="E104" s="156">
        <v>2200000</v>
      </c>
      <c r="F104" s="156">
        <v>1715000</v>
      </c>
      <c r="G104" s="156">
        <v>1715000</v>
      </c>
      <c r="H104" s="156">
        <v>0</v>
      </c>
      <c r="I104" s="156">
        <v>1109522.6599999999</v>
      </c>
      <c r="J104" s="156">
        <v>0</v>
      </c>
      <c r="K104" s="156">
        <v>592116.82999999996</v>
      </c>
      <c r="L104" s="157">
        <f t="shared" si="0"/>
        <v>0.34525762682215744</v>
      </c>
      <c r="M104" s="156">
        <v>592116.82999999996</v>
      </c>
      <c r="N104" s="158">
        <f t="shared" si="1"/>
        <v>0.34525762682215744</v>
      </c>
      <c r="O104" s="156">
        <v>13360.51</v>
      </c>
      <c r="P104" s="158">
        <f t="shared" si="2"/>
        <v>7.7903848396501463E-3</v>
      </c>
      <c r="Q104" s="50">
        <v>13360.51</v>
      </c>
      <c r="R104" s="156"/>
      <c r="S104" s="156"/>
      <c r="T104" s="156"/>
      <c r="U104" s="44"/>
    </row>
    <row r="105" spans="1:21" hidden="1" x14ac:dyDescent="0.25">
      <c r="A105" s="155" t="s">
        <v>704</v>
      </c>
      <c r="B105" s="155" t="s">
        <v>174</v>
      </c>
      <c r="C105" s="155" t="s">
        <v>175</v>
      </c>
      <c r="D105" s="155" t="s">
        <v>69</v>
      </c>
      <c r="E105" s="156">
        <v>1000000</v>
      </c>
      <c r="F105" s="156">
        <v>1000000</v>
      </c>
      <c r="G105" s="156">
        <v>1000000</v>
      </c>
      <c r="H105" s="156">
        <v>0</v>
      </c>
      <c r="I105" s="156">
        <v>871869</v>
      </c>
      <c r="J105" s="156">
        <v>0</v>
      </c>
      <c r="K105" s="156">
        <v>128131</v>
      </c>
      <c r="L105" s="157">
        <f t="shared" si="0"/>
        <v>0.12813099999999999</v>
      </c>
      <c r="M105" s="156">
        <v>128131</v>
      </c>
      <c r="N105" s="158">
        <f t="shared" si="1"/>
        <v>0.12813099999999999</v>
      </c>
      <c r="O105" s="156">
        <v>0</v>
      </c>
      <c r="P105" s="158">
        <f t="shared" si="2"/>
        <v>0</v>
      </c>
      <c r="Q105" s="50">
        <v>0</v>
      </c>
      <c r="R105" s="156"/>
      <c r="S105" s="156"/>
      <c r="T105" s="156"/>
      <c r="U105" s="44"/>
    </row>
    <row r="106" spans="1:21" hidden="1" x14ac:dyDescent="0.25">
      <c r="A106" s="155" t="s">
        <v>704</v>
      </c>
      <c r="B106" s="155" t="s">
        <v>176</v>
      </c>
      <c r="C106" s="155" t="s">
        <v>177</v>
      </c>
      <c r="D106" s="155" t="s">
        <v>69</v>
      </c>
      <c r="E106" s="156">
        <v>1000000</v>
      </c>
      <c r="F106" s="156">
        <v>1000000</v>
      </c>
      <c r="G106" s="156">
        <v>1000000</v>
      </c>
      <c r="H106" s="156">
        <v>0</v>
      </c>
      <c r="I106" s="156">
        <v>871869</v>
      </c>
      <c r="J106" s="156">
        <v>0</v>
      </c>
      <c r="K106" s="156">
        <v>128131</v>
      </c>
      <c r="L106" s="157">
        <f t="shared" si="0"/>
        <v>0.12813099999999999</v>
      </c>
      <c r="M106" s="156">
        <v>128131</v>
      </c>
      <c r="N106" s="158">
        <f t="shared" si="1"/>
        <v>0.12813099999999999</v>
      </c>
      <c r="O106" s="156">
        <v>0</v>
      </c>
      <c r="P106" s="158">
        <f t="shared" si="2"/>
        <v>0</v>
      </c>
      <c r="Q106" s="50">
        <v>0</v>
      </c>
      <c r="R106" s="156"/>
      <c r="S106" s="156"/>
      <c r="T106" s="156"/>
      <c r="U106" s="44"/>
    </row>
    <row r="107" spans="1:21" hidden="1" x14ac:dyDescent="0.25">
      <c r="A107" s="155" t="s">
        <v>704</v>
      </c>
      <c r="B107" s="155" t="s">
        <v>178</v>
      </c>
      <c r="C107" s="155" t="s">
        <v>179</v>
      </c>
      <c r="D107" s="155" t="s">
        <v>69</v>
      </c>
      <c r="E107" s="156">
        <v>1000000</v>
      </c>
      <c r="F107" s="156">
        <v>1000000</v>
      </c>
      <c r="G107" s="156">
        <v>1000000</v>
      </c>
      <c r="H107" s="156">
        <v>0</v>
      </c>
      <c r="I107" s="156">
        <v>800000</v>
      </c>
      <c r="J107" s="156">
        <v>0</v>
      </c>
      <c r="K107" s="156">
        <v>200000</v>
      </c>
      <c r="L107" s="157">
        <f t="shared" si="0"/>
        <v>0.2</v>
      </c>
      <c r="M107" s="156">
        <v>200000</v>
      </c>
      <c r="N107" s="158">
        <f t="shared" si="1"/>
        <v>0.2</v>
      </c>
      <c r="O107" s="156">
        <v>0</v>
      </c>
      <c r="P107" s="158">
        <f t="shared" si="2"/>
        <v>0</v>
      </c>
      <c r="Q107" s="50">
        <v>0</v>
      </c>
      <c r="R107" s="156"/>
      <c r="S107" s="156"/>
      <c r="T107" s="156"/>
      <c r="U107" s="44"/>
    </row>
    <row r="108" spans="1:21" hidden="1" x14ac:dyDescent="0.25">
      <c r="A108" s="155" t="s">
        <v>704</v>
      </c>
      <c r="B108" s="155" t="s">
        <v>182</v>
      </c>
      <c r="C108" s="155" t="s">
        <v>183</v>
      </c>
      <c r="D108" s="155" t="s">
        <v>69</v>
      </c>
      <c r="E108" s="156">
        <v>1000000</v>
      </c>
      <c r="F108" s="156">
        <v>1000000</v>
      </c>
      <c r="G108" s="156">
        <v>1000000</v>
      </c>
      <c r="H108" s="156">
        <v>0</v>
      </c>
      <c r="I108" s="156">
        <v>800000</v>
      </c>
      <c r="J108" s="156">
        <v>0</v>
      </c>
      <c r="K108" s="156">
        <v>200000</v>
      </c>
      <c r="L108" s="157">
        <f t="shared" si="0"/>
        <v>0.2</v>
      </c>
      <c r="M108" s="156">
        <v>200000</v>
      </c>
      <c r="N108" s="158">
        <f t="shared" si="1"/>
        <v>0.2</v>
      </c>
      <c r="O108" s="156">
        <v>0</v>
      </c>
      <c r="P108" s="158">
        <f t="shared" si="2"/>
        <v>0</v>
      </c>
      <c r="Q108" s="50">
        <v>0</v>
      </c>
      <c r="R108" s="156"/>
      <c r="S108" s="156"/>
      <c r="T108" s="156"/>
      <c r="U108" s="44"/>
    </row>
    <row r="109" spans="1:21" hidden="1" x14ac:dyDescent="0.25">
      <c r="A109" s="155" t="s">
        <v>704</v>
      </c>
      <c r="B109" s="155" t="s">
        <v>184</v>
      </c>
      <c r="C109" s="155" t="s">
        <v>185</v>
      </c>
      <c r="D109" s="155" t="s">
        <v>69</v>
      </c>
      <c r="E109" s="156">
        <v>40981500</v>
      </c>
      <c r="F109" s="156">
        <v>33070115</v>
      </c>
      <c r="G109" s="156">
        <v>33070115</v>
      </c>
      <c r="H109" s="156">
        <v>0</v>
      </c>
      <c r="I109" s="156">
        <v>7214133.9400000004</v>
      </c>
      <c r="J109" s="156">
        <v>279534</v>
      </c>
      <c r="K109" s="156">
        <v>24359458.25</v>
      </c>
      <c r="L109" s="157">
        <f t="shared" si="0"/>
        <v>0.73660034898578364</v>
      </c>
      <c r="M109" s="156">
        <v>13426120.65</v>
      </c>
      <c r="N109" s="158">
        <f t="shared" si="1"/>
        <v>0.4059895361718579</v>
      </c>
      <c r="O109" s="156">
        <v>1216988.81</v>
      </c>
      <c r="P109" s="158">
        <f t="shared" si="2"/>
        <v>3.6800259388272465E-2</v>
      </c>
      <c r="Q109" s="50">
        <v>1216988.81</v>
      </c>
      <c r="R109" s="156"/>
      <c r="S109" s="156"/>
      <c r="T109" s="156"/>
      <c r="U109" s="44"/>
    </row>
    <row r="110" spans="1:21" hidden="1" x14ac:dyDescent="0.25">
      <c r="A110" s="155" t="s">
        <v>704</v>
      </c>
      <c r="B110" s="155" t="s">
        <v>186</v>
      </c>
      <c r="C110" s="155" t="s">
        <v>187</v>
      </c>
      <c r="D110" s="155" t="s">
        <v>69</v>
      </c>
      <c r="E110" s="156">
        <v>14621000</v>
      </c>
      <c r="F110" s="156">
        <v>9600000</v>
      </c>
      <c r="G110" s="156">
        <v>9600000</v>
      </c>
      <c r="H110" s="156">
        <v>0</v>
      </c>
      <c r="I110" s="156">
        <v>3918260.6</v>
      </c>
      <c r="J110" s="156">
        <v>0</v>
      </c>
      <c r="K110" s="156">
        <v>5681739.4000000004</v>
      </c>
      <c r="L110" s="157">
        <f t="shared" si="0"/>
        <v>0.59184785416666674</v>
      </c>
      <c r="M110" s="156">
        <v>5681739.4000000004</v>
      </c>
      <c r="N110" s="158">
        <f t="shared" si="1"/>
        <v>0.59184785416666674</v>
      </c>
      <c r="O110" s="156">
        <v>0</v>
      </c>
      <c r="P110" s="158">
        <f t="shared" si="2"/>
        <v>0</v>
      </c>
      <c r="Q110" s="50">
        <v>0</v>
      </c>
      <c r="R110" s="156"/>
      <c r="S110" s="156"/>
      <c r="T110" s="156"/>
      <c r="U110" s="44"/>
    </row>
    <row r="111" spans="1:21" hidden="1" x14ac:dyDescent="0.25">
      <c r="A111" s="155" t="s">
        <v>704</v>
      </c>
      <c r="B111" s="155" t="s">
        <v>188</v>
      </c>
      <c r="C111" s="155" t="s">
        <v>189</v>
      </c>
      <c r="D111" s="155" t="s">
        <v>69</v>
      </c>
      <c r="E111" s="156">
        <v>9600000</v>
      </c>
      <c r="F111" s="156">
        <v>9600000</v>
      </c>
      <c r="G111" s="156">
        <v>9600000</v>
      </c>
      <c r="H111" s="156">
        <v>0</v>
      </c>
      <c r="I111" s="156">
        <v>3918260.6</v>
      </c>
      <c r="J111" s="156">
        <v>0</v>
      </c>
      <c r="K111" s="156">
        <v>5681739.4000000004</v>
      </c>
      <c r="L111" s="157">
        <f t="shared" si="0"/>
        <v>0.59184785416666674</v>
      </c>
      <c r="M111" s="156">
        <v>5681739.4000000004</v>
      </c>
      <c r="N111" s="158">
        <f t="shared" si="1"/>
        <v>0.59184785416666674</v>
      </c>
      <c r="O111" s="156">
        <v>0</v>
      </c>
      <c r="P111" s="158">
        <f t="shared" si="2"/>
        <v>0</v>
      </c>
      <c r="Q111" s="50">
        <v>0</v>
      </c>
      <c r="R111" s="156"/>
      <c r="S111" s="156"/>
      <c r="T111" s="156"/>
      <c r="U111" s="44"/>
    </row>
    <row r="112" spans="1:21" hidden="1" x14ac:dyDescent="0.25">
      <c r="A112" s="155" t="s">
        <v>704</v>
      </c>
      <c r="B112" s="155" t="s">
        <v>190</v>
      </c>
      <c r="C112" s="155" t="s">
        <v>191</v>
      </c>
      <c r="D112" s="155" t="s">
        <v>69</v>
      </c>
      <c r="E112" s="156">
        <v>5000000</v>
      </c>
      <c r="F112" s="156">
        <v>0</v>
      </c>
      <c r="G112" s="156">
        <v>0</v>
      </c>
      <c r="H112" s="156">
        <v>0</v>
      </c>
      <c r="I112" s="156">
        <v>0</v>
      </c>
      <c r="J112" s="156">
        <v>0</v>
      </c>
      <c r="K112" s="156">
        <v>0</v>
      </c>
      <c r="L112" s="157" t="e">
        <f t="shared" si="0"/>
        <v>#DIV/0!</v>
      </c>
      <c r="M112" s="156">
        <v>0</v>
      </c>
      <c r="N112" s="158" t="e">
        <f t="shared" si="1"/>
        <v>#DIV/0!</v>
      </c>
      <c r="O112" s="156">
        <v>0</v>
      </c>
      <c r="P112" s="158" t="e">
        <f t="shared" si="2"/>
        <v>#DIV/0!</v>
      </c>
      <c r="Q112" s="50">
        <v>0</v>
      </c>
      <c r="R112" s="156"/>
      <c r="S112" s="156"/>
      <c r="T112" s="156"/>
      <c r="U112" s="44"/>
    </row>
    <row r="113" spans="1:21" hidden="1" x14ac:dyDescent="0.25">
      <c r="A113" s="155" t="s">
        <v>704</v>
      </c>
      <c r="B113" s="155" t="s">
        <v>192</v>
      </c>
      <c r="C113" s="155" t="s">
        <v>193</v>
      </c>
      <c r="D113" s="155" t="s">
        <v>69</v>
      </c>
      <c r="E113" s="156">
        <v>21000</v>
      </c>
      <c r="F113" s="156">
        <v>0</v>
      </c>
      <c r="G113" s="156">
        <v>0</v>
      </c>
      <c r="H113" s="156">
        <v>0</v>
      </c>
      <c r="I113" s="156">
        <v>0</v>
      </c>
      <c r="J113" s="156">
        <v>0</v>
      </c>
      <c r="K113" s="156">
        <v>0</v>
      </c>
      <c r="L113" s="157" t="e">
        <f t="shared" si="0"/>
        <v>#DIV/0!</v>
      </c>
      <c r="M113" s="156">
        <v>0</v>
      </c>
      <c r="N113" s="158" t="e">
        <f t="shared" si="1"/>
        <v>#DIV/0!</v>
      </c>
      <c r="O113" s="156">
        <v>0</v>
      </c>
      <c r="P113" s="158" t="e">
        <f t="shared" si="2"/>
        <v>#DIV/0!</v>
      </c>
      <c r="Q113" s="50">
        <v>0</v>
      </c>
      <c r="R113" s="156"/>
      <c r="S113" s="156"/>
      <c r="T113" s="156"/>
      <c r="U113" s="44"/>
    </row>
    <row r="114" spans="1:21" hidden="1" x14ac:dyDescent="0.25">
      <c r="A114" s="155" t="s">
        <v>704</v>
      </c>
      <c r="B114" s="155" t="s">
        <v>196</v>
      </c>
      <c r="C114" s="155" t="s">
        <v>197</v>
      </c>
      <c r="D114" s="155" t="s">
        <v>69</v>
      </c>
      <c r="E114" s="156">
        <v>3000000</v>
      </c>
      <c r="F114" s="156">
        <v>2755000</v>
      </c>
      <c r="G114" s="156">
        <v>2755000</v>
      </c>
      <c r="H114" s="156">
        <v>0</v>
      </c>
      <c r="I114" s="156">
        <v>803026</v>
      </c>
      <c r="J114" s="156">
        <v>0</v>
      </c>
      <c r="K114" s="156">
        <v>1445734</v>
      </c>
      <c r="L114" s="157">
        <f t="shared" si="0"/>
        <v>0.52476733212341198</v>
      </c>
      <c r="M114" s="156">
        <v>1445734</v>
      </c>
      <c r="N114" s="158">
        <f t="shared" si="1"/>
        <v>0.52476733212341198</v>
      </c>
      <c r="O114" s="156">
        <v>506240</v>
      </c>
      <c r="P114" s="158">
        <f t="shared" si="2"/>
        <v>0.18375317604355718</v>
      </c>
      <c r="Q114" s="50">
        <v>506240</v>
      </c>
      <c r="R114" s="156"/>
      <c r="S114" s="156"/>
      <c r="T114" s="156"/>
      <c r="U114" s="44"/>
    </row>
    <row r="115" spans="1:21" hidden="1" x14ac:dyDescent="0.25">
      <c r="A115" s="155" t="s">
        <v>704</v>
      </c>
      <c r="B115" s="155" t="s">
        <v>198</v>
      </c>
      <c r="C115" s="155" t="s">
        <v>199</v>
      </c>
      <c r="D115" s="155" t="s">
        <v>69</v>
      </c>
      <c r="E115" s="156">
        <v>3000000</v>
      </c>
      <c r="F115" s="156">
        <v>2755000</v>
      </c>
      <c r="G115" s="156">
        <v>2755000</v>
      </c>
      <c r="H115" s="156">
        <v>0</v>
      </c>
      <c r="I115" s="156">
        <v>803026</v>
      </c>
      <c r="J115" s="156">
        <v>0</v>
      </c>
      <c r="K115" s="156">
        <v>1445734</v>
      </c>
      <c r="L115" s="157">
        <f t="shared" si="0"/>
        <v>0.52476733212341198</v>
      </c>
      <c r="M115" s="156">
        <v>1445734</v>
      </c>
      <c r="N115" s="158">
        <f t="shared" si="1"/>
        <v>0.52476733212341198</v>
      </c>
      <c r="O115" s="156">
        <v>506240</v>
      </c>
      <c r="P115" s="158">
        <f t="shared" si="2"/>
        <v>0.18375317604355718</v>
      </c>
      <c r="Q115" s="50">
        <v>506240</v>
      </c>
      <c r="R115" s="156"/>
      <c r="S115" s="156"/>
      <c r="T115" s="156"/>
      <c r="U115" s="44"/>
    </row>
    <row r="116" spans="1:21" hidden="1" x14ac:dyDescent="0.25">
      <c r="A116" s="155" t="s">
        <v>704</v>
      </c>
      <c r="B116" s="155" t="s">
        <v>206</v>
      </c>
      <c r="C116" s="155" t="s">
        <v>207</v>
      </c>
      <c r="D116" s="155" t="s">
        <v>69</v>
      </c>
      <c r="E116" s="156">
        <v>355000</v>
      </c>
      <c r="F116" s="156">
        <v>12615</v>
      </c>
      <c r="G116" s="156">
        <v>12615</v>
      </c>
      <c r="H116" s="156">
        <v>0</v>
      </c>
      <c r="I116" s="156">
        <v>0</v>
      </c>
      <c r="J116" s="156">
        <v>0</v>
      </c>
      <c r="K116" s="156">
        <v>12615</v>
      </c>
      <c r="L116" s="157">
        <f t="shared" si="0"/>
        <v>1</v>
      </c>
      <c r="M116" s="156">
        <v>12615</v>
      </c>
      <c r="N116" s="158">
        <f t="shared" si="1"/>
        <v>1</v>
      </c>
      <c r="O116" s="156">
        <v>0</v>
      </c>
      <c r="P116" s="158">
        <f t="shared" si="2"/>
        <v>0</v>
      </c>
      <c r="Q116" s="50">
        <v>0</v>
      </c>
      <c r="R116" s="156"/>
      <c r="S116" s="156"/>
      <c r="T116" s="156"/>
      <c r="U116" s="44"/>
    </row>
    <row r="117" spans="1:21" hidden="1" x14ac:dyDescent="0.25">
      <c r="A117" s="155" t="s">
        <v>704</v>
      </c>
      <c r="B117" s="155" t="s">
        <v>208</v>
      </c>
      <c r="C117" s="155" t="s">
        <v>209</v>
      </c>
      <c r="D117" s="155" t="s">
        <v>69</v>
      </c>
      <c r="E117" s="156">
        <v>130000</v>
      </c>
      <c r="F117" s="156">
        <v>12615</v>
      </c>
      <c r="G117" s="156">
        <v>12615</v>
      </c>
      <c r="H117" s="156">
        <v>0</v>
      </c>
      <c r="I117" s="156">
        <v>0</v>
      </c>
      <c r="J117" s="156">
        <v>0</v>
      </c>
      <c r="K117" s="156">
        <v>12615</v>
      </c>
      <c r="L117" s="157">
        <f t="shared" si="0"/>
        <v>1</v>
      </c>
      <c r="M117" s="156">
        <v>12615</v>
      </c>
      <c r="N117" s="158">
        <f t="shared" si="1"/>
        <v>1</v>
      </c>
      <c r="O117" s="156">
        <v>0</v>
      </c>
      <c r="P117" s="158">
        <f t="shared" si="2"/>
        <v>0</v>
      </c>
      <c r="Q117" s="50">
        <v>0</v>
      </c>
      <c r="R117" s="156"/>
      <c r="S117" s="156"/>
      <c r="T117" s="156"/>
      <c r="U117" s="44"/>
    </row>
    <row r="118" spans="1:21" hidden="1" x14ac:dyDescent="0.25">
      <c r="A118" s="155" t="s">
        <v>704</v>
      </c>
      <c r="B118" s="155" t="s">
        <v>210</v>
      </c>
      <c r="C118" s="155" t="s">
        <v>211</v>
      </c>
      <c r="D118" s="155" t="s">
        <v>69</v>
      </c>
      <c r="E118" s="156">
        <v>225000</v>
      </c>
      <c r="F118" s="156">
        <v>0</v>
      </c>
      <c r="G118" s="156">
        <v>0</v>
      </c>
      <c r="H118" s="156">
        <v>0</v>
      </c>
      <c r="I118" s="156">
        <v>0</v>
      </c>
      <c r="J118" s="156">
        <v>0</v>
      </c>
      <c r="K118" s="156">
        <v>0</v>
      </c>
      <c r="L118" s="157" t="e">
        <f t="shared" si="0"/>
        <v>#DIV/0!</v>
      </c>
      <c r="M118" s="156">
        <v>0</v>
      </c>
      <c r="N118" s="158" t="e">
        <f t="shared" si="1"/>
        <v>#DIV/0!</v>
      </c>
      <c r="O118" s="156">
        <v>0</v>
      </c>
      <c r="P118" s="158" t="e">
        <f t="shared" si="2"/>
        <v>#DIV/0!</v>
      </c>
      <c r="Q118" s="50">
        <v>0</v>
      </c>
      <c r="R118" s="156"/>
      <c r="S118" s="156"/>
      <c r="T118" s="156"/>
      <c r="U118" s="44"/>
    </row>
    <row r="119" spans="1:21" hidden="1" x14ac:dyDescent="0.25">
      <c r="A119" s="155" t="s">
        <v>704</v>
      </c>
      <c r="B119" s="155" t="s">
        <v>212</v>
      </c>
      <c r="C119" s="155" t="s">
        <v>213</v>
      </c>
      <c r="D119" s="155" t="s">
        <v>69</v>
      </c>
      <c r="E119" s="156">
        <v>23005500</v>
      </c>
      <c r="F119" s="156">
        <v>20702500</v>
      </c>
      <c r="G119" s="156">
        <v>20702500</v>
      </c>
      <c r="H119" s="156">
        <v>0</v>
      </c>
      <c r="I119" s="156">
        <v>2492847.34</v>
      </c>
      <c r="J119" s="156">
        <v>279534</v>
      </c>
      <c r="K119" s="156">
        <v>17219369.850000001</v>
      </c>
      <c r="L119" s="157">
        <f t="shared" si="0"/>
        <v>0.83175316266151433</v>
      </c>
      <c r="M119" s="156">
        <v>6286032.25</v>
      </c>
      <c r="N119" s="158">
        <f t="shared" si="1"/>
        <v>0.30363638449462627</v>
      </c>
      <c r="O119" s="156">
        <v>710748.81</v>
      </c>
      <c r="P119" s="158">
        <f t="shared" si="2"/>
        <v>3.4331544982490039E-2</v>
      </c>
      <c r="Q119" s="50">
        <v>710748.81</v>
      </c>
      <c r="R119" s="156"/>
      <c r="S119" s="156"/>
      <c r="T119" s="156"/>
      <c r="U119" s="44"/>
    </row>
    <row r="120" spans="1:21" hidden="1" x14ac:dyDescent="0.25">
      <c r="A120" s="155" t="s">
        <v>704</v>
      </c>
      <c r="B120" s="155" t="s">
        <v>214</v>
      </c>
      <c r="C120" s="155" t="s">
        <v>215</v>
      </c>
      <c r="D120" s="155" t="s">
        <v>69</v>
      </c>
      <c r="E120" s="156">
        <v>2600000</v>
      </c>
      <c r="F120" s="156">
        <v>2050000</v>
      </c>
      <c r="G120" s="156">
        <v>2050000</v>
      </c>
      <c r="H120" s="156">
        <v>0</v>
      </c>
      <c r="I120" s="156">
        <v>238400.82</v>
      </c>
      <c r="J120" s="156">
        <v>279534</v>
      </c>
      <c r="K120" s="156">
        <v>1236620.6100000001</v>
      </c>
      <c r="L120" s="157">
        <f t="shared" si="0"/>
        <v>0.60322956585365861</v>
      </c>
      <c r="M120" s="156">
        <v>1236620.6100000001</v>
      </c>
      <c r="N120" s="158">
        <f t="shared" si="1"/>
        <v>0.60322956585365861</v>
      </c>
      <c r="O120" s="156">
        <v>295444.57</v>
      </c>
      <c r="P120" s="158">
        <f t="shared" si="2"/>
        <v>0.1441193024390244</v>
      </c>
      <c r="Q120" s="50">
        <v>295444.57</v>
      </c>
      <c r="R120" s="156"/>
      <c r="S120" s="156"/>
      <c r="T120" s="156"/>
      <c r="U120" s="44"/>
    </row>
    <row r="121" spans="1:21" hidden="1" x14ac:dyDescent="0.25">
      <c r="A121" s="155" t="s">
        <v>704</v>
      </c>
      <c r="B121" s="155" t="s">
        <v>216</v>
      </c>
      <c r="C121" s="155" t="s">
        <v>217</v>
      </c>
      <c r="D121" s="155" t="s">
        <v>69</v>
      </c>
      <c r="E121" s="156">
        <v>562500</v>
      </c>
      <c r="F121" s="156">
        <v>502500</v>
      </c>
      <c r="G121" s="156">
        <v>502500</v>
      </c>
      <c r="H121" s="156">
        <v>0</v>
      </c>
      <c r="I121" s="156">
        <v>0</v>
      </c>
      <c r="J121" s="156">
        <v>0</v>
      </c>
      <c r="K121" s="156">
        <v>495000</v>
      </c>
      <c r="L121" s="157">
        <f t="shared" si="0"/>
        <v>0.9850746268656716</v>
      </c>
      <c r="M121" s="156">
        <v>495000</v>
      </c>
      <c r="N121" s="158">
        <f t="shared" si="1"/>
        <v>0.9850746268656716</v>
      </c>
      <c r="O121" s="156">
        <v>7500</v>
      </c>
      <c r="P121" s="158">
        <f t="shared" si="2"/>
        <v>1.4925373134328358E-2</v>
      </c>
      <c r="Q121" s="50">
        <v>7500</v>
      </c>
      <c r="R121" s="156"/>
      <c r="S121" s="156"/>
      <c r="T121" s="156"/>
      <c r="U121" s="44"/>
    </row>
    <row r="122" spans="1:21" hidden="1" x14ac:dyDescent="0.25">
      <c r="A122" s="155" t="s">
        <v>704</v>
      </c>
      <c r="B122" s="155" t="s">
        <v>218</v>
      </c>
      <c r="C122" s="155" t="s">
        <v>219</v>
      </c>
      <c r="D122" s="155" t="s">
        <v>69</v>
      </c>
      <c r="E122" s="156">
        <v>8000000</v>
      </c>
      <c r="F122" s="156">
        <v>6450000</v>
      </c>
      <c r="G122" s="156">
        <v>6450000</v>
      </c>
      <c r="H122" s="156">
        <v>0</v>
      </c>
      <c r="I122" s="156">
        <v>2076810.52</v>
      </c>
      <c r="J122" s="156">
        <v>0</v>
      </c>
      <c r="K122" s="156">
        <v>3996530.64</v>
      </c>
      <c r="L122" s="157">
        <f t="shared" si="0"/>
        <v>0.6196171534883721</v>
      </c>
      <c r="M122" s="156">
        <v>3900141.64</v>
      </c>
      <c r="N122" s="158">
        <f t="shared" si="1"/>
        <v>0.60467312248062022</v>
      </c>
      <c r="O122" s="156">
        <v>376658.84</v>
      </c>
      <c r="P122" s="158">
        <f t="shared" si="2"/>
        <v>5.8396719379844968E-2</v>
      </c>
      <c r="Q122" s="50">
        <v>376658.84</v>
      </c>
      <c r="R122" s="156"/>
      <c r="S122" s="156"/>
      <c r="T122" s="156"/>
      <c r="U122" s="44"/>
    </row>
    <row r="123" spans="1:21" hidden="1" x14ac:dyDescent="0.25">
      <c r="A123" s="155" t="s">
        <v>704</v>
      </c>
      <c r="B123" s="155" t="s">
        <v>222</v>
      </c>
      <c r="C123" s="155" t="s">
        <v>223</v>
      </c>
      <c r="D123" s="155" t="s">
        <v>69</v>
      </c>
      <c r="E123" s="156">
        <v>11000000</v>
      </c>
      <c r="F123" s="156">
        <v>11000000</v>
      </c>
      <c r="G123" s="156">
        <v>11000000</v>
      </c>
      <c r="H123" s="156">
        <v>0</v>
      </c>
      <c r="I123" s="156">
        <v>177636</v>
      </c>
      <c r="J123" s="156">
        <v>0</v>
      </c>
      <c r="K123" s="156">
        <v>10809489.6</v>
      </c>
      <c r="L123" s="157">
        <f t="shared" si="0"/>
        <v>0.98268087272727267</v>
      </c>
      <c r="M123" s="156">
        <v>0</v>
      </c>
      <c r="N123" s="158">
        <f t="shared" si="1"/>
        <v>0</v>
      </c>
      <c r="O123" s="156">
        <v>12874.4</v>
      </c>
      <c r="P123" s="158">
        <f t="shared" si="2"/>
        <v>1.1704E-3</v>
      </c>
      <c r="Q123" s="50">
        <v>12874.4</v>
      </c>
      <c r="R123" s="156"/>
      <c r="S123" s="156"/>
      <c r="T123" s="156"/>
      <c r="U123" s="44"/>
    </row>
    <row r="124" spans="1:21" hidden="1" x14ac:dyDescent="0.25">
      <c r="A124" s="155" t="s">
        <v>704</v>
      </c>
      <c r="B124" s="155" t="s">
        <v>224</v>
      </c>
      <c r="C124" s="155" t="s">
        <v>225</v>
      </c>
      <c r="D124" s="155" t="s">
        <v>69</v>
      </c>
      <c r="E124" s="156">
        <v>800000</v>
      </c>
      <c r="F124" s="156">
        <v>700000</v>
      </c>
      <c r="G124" s="156">
        <v>700000</v>
      </c>
      <c r="H124" s="156">
        <v>0</v>
      </c>
      <c r="I124" s="156">
        <v>0</v>
      </c>
      <c r="J124" s="156">
        <v>0</v>
      </c>
      <c r="K124" s="156">
        <v>681729</v>
      </c>
      <c r="L124" s="157">
        <f t="shared" si="0"/>
        <v>0.97389857142857139</v>
      </c>
      <c r="M124" s="156">
        <v>654270</v>
      </c>
      <c r="N124" s="158">
        <f t="shared" si="1"/>
        <v>0.9346714285714286</v>
      </c>
      <c r="O124" s="156">
        <v>18271</v>
      </c>
      <c r="P124" s="158">
        <f t="shared" si="2"/>
        <v>2.6101428571428571E-2</v>
      </c>
      <c r="Q124" s="50">
        <v>18271</v>
      </c>
      <c r="R124" s="156"/>
      <c r="S124" s="156"/>
      <c r="T124" s="156"/>
      <c r="U124" s="44"/>
    </row>
    <row r="125" spans="1:21" hidden="1" x14ac:dyDescent="0.25">
      <c r="A125" s="155" t="s">
        <v>704</v>
      </c>
      <c r="B125" s="155" t="s">
        <v>226</v>
      </c>
      <c r="C125" s="155" t="s">
        <v>227</v>
      </c>
      <c r="D125" s="155" t="s">
        <v>69</v>
      </c>
      <c r="E125" s="156">
        <v>10000</v>
      </c>
      <c r="F125" s="156">
        <v>0</v>
      </c>
      <c r="G125" s="156">
        <v>0</v>
      </c>
      <c r="H125" s="156">
        <v>0</v>
      </c>
      <c r="I125" s="156">
        <v>0</v>
      </c>
      <c r="J125" s="156">
        <v>0</v>
      </c>
      <c r="K125" s="156">
        <v>0</v>
      </c>
      <c r="L125" s="157" t="e">
        <f t="shared" si="0"/>
        <v>#DIV/0!</v>
      </c>
      <c r="M125" s="156">
        <v>0</v>
      </c>
      <c r="N125" s="158" t="e">
        <f t="shared" si="1"/>
        <v>#DIV/0!</v>
      </c>
      <c r="O125" s="156">
        <v>0</v>
      </c>
      <c r="P125" s="158" t="e">
        <f t="shared" si="2"/>
        <v>#DIV/0!</v>
      </c>
      <c r="Q125" s="50">
        <v>0</v>
      </c>
      <c r="R125" s="156"/>
      <c r="S125" s="156"/>
      <c r="T125" s="156"/>
      <c r="U125" s="44"/>
    </row>
    <row r="126" spans="1:21" hidden="1" x14ac:dyDescent="0.25">
      <c r="A126" s="155" t="s">
        <v>704</v>
      </c>
      <c r="B126" s="155" t="s">
        <v>228</v>
      </c>
      <c r="C126" s="155" t="s">
        <v>229</v>
      </c>
      <c r="D126" s="155" t="s">
        <v>69</v>
      </c>
      <c r="E126" s="156">
        <v>33000</v>
      </c>
      <c r="F126" s="156">
        <v>0</v>
      </c>
      <c r="G126" s="156">
        <v>0</v>
      </c>
      <c r="H126" s="156">
        <v>0</v>
      </c>
      <c r="I126" s="156">
        <v>0</v>
      </c>
      <c r="J126" s="156">
        <v>0</v>
      </c>
      <c r="K126" s="156">
        <v>0</v>
      </c>
      <c r="L126" s="157" t="e">
        <f t="shared" si="0"/>
        <v>#DIV/0!</v>
      </c>
      <c r="M126" s="156">
        <v>0</v>
      </c>
      <c r="N126" s="158" t="e">
        <f t="shared" si="1"/>
        <v>#DIV/0!</v>
      </c>
      <c r="O126" s="156">
        <v>0</v>
      </c>
      <c r="P126" s="158" t="e">
        <f t="shared" si="2"/>
        <v>#DIV/0!</v>
      </c>
      <c r="Q126" s="50">
        <v>0</v>
      </c>
      <c r="R126" s="156"/>
      <c r="S126" s="156"/>
      <c r="T126" s="156"/>
      <c r="U126" s="44"/>
    </row>
    <row r="127" spans="1:21" hidden="1" x14ac:dyDescent="0.25">
      <c r="A127" s="155" t="s">
        <v>704</v>
      </c>
      <c r="B127" s="155" t="s">
        <v>248</v>
      </c>
      <c r="C127" s="155" t="s">
        <v>249</v>
      </c>
      <c r="D127" s="155" t="s">
        <v>69</v>
      </c>
      <c r="E127" s="156">
        <v>509299073</v>
      </c>
      <c r="F127" s="156">
        <v>511238316</v>
      </c>
      <c r="G127" s="156">
        <v>511116462</v>
      </c>
      <c r="H127" s="156">
        <v>0</v>
      </c>
      <c r="I127" s="156">
        <v>98859723.659999996</v>
      </c>
      <c r="J127" s="156">
        <v>0</v>
      </c>
      <c r="K127" s="156">
        <v>385773059.33999997</v>
      </c>
      <c r="L127" s="157">
        <f t="shared" si="0"/>
        <v>0.75458557636748025</v>
      </c>
      <c r="M127" s="156">
        <v>385773059.33999997</v>
      </c>
      <c r="N127" s="158">
        <f t="shared" si="1"/>
        <v>0.75458557636748025</v>
      </c>
      <c r="O127" s="156">
        <v>26605533</v>
      </c>
      <c r="P127" s="158">
        <f t="shared" si="2"/>
        <v>5.2041351689297091E-2</v>
      </c>
      <c r="Q127" s="50">
        <v>26483679</v>
      </c>
      <c r="R127" s="156"/>
      <c r="S127" s="156"/>
      <c r="T127" s="156"/>
      <c r="U127" s="44"/>
    </row>
    <row r="128" spans="1:21" hidden="1" x14ac:dyDescent="0.25">
      <c r="A128" s="155" t="s">
        <v>704</v>
      </c>
      <c r="B128" s="155" t="s">
        <v>250</v>
      </c>
      <c r="C128" s="155" t="s">
        <v>251</v>
      </c>
      <c r="D128" s="155" t="s">
        <v>69</v>
      </c>
      <c r="E128" s="156">
        <v>38994178</v>
      </c>
      <c r="F128" s="156">
        <v>38045421</v>
      </c>
      <c r="G128" s="156">
        <v>37923567</v>
      </c>
      <c r="H128" s="156">
        <v>0</v>
      </c>
      <c r="I128" s="156">
        <v>8689735</v>
      </c>
      <c r="J128" s="156">
        <v>0</v>
      </c>
      <c r="K128" s="156">
        <v>28801131</v>
      </c>
      <c r="L128" s="157">
        <f t="shared" si="0"/>
        <v>0.75701964239007891</v>
      </c>
      <c r="M128" s="156">
        <v>28801131</v>
      </c>
      <c r="N128" s="158">
        <f t="shared" si="1"/>
        <v>0.75701964239007891</v>
      </c>
      <c r="O128" s="156">
        <v>554555</v>
      </c>
      <c r="P128" s="158">
        <f t="shared" si="2"/>
        <v>1.457612993689832E-2</v>
      </c>
      <c r="Q128" s="50">
        <v>432701</v>
      </c>
      <c r="R128" s="156"/>
      <c r="S128" s="156"/>
      <c r="T128" s="156"/>
      <c r="U128" s="44"/>
    </row>
    <row r="129" spans="1:21" hidden="1" x14ac:dyDescent="0.25">
      <c r="A129" s="155" t="s">
        <v>704</v>
      </c>
      <c r="B129" s="155" t="s">
        <v>617</v>
      </c>
      <c r="C129" s="155" t="s">
        <v>253</v>
      </c>
      <c r="D129" s="155" t="s">
        <v>69</v>
      </c>
      <c r="E129" s="156">
        <v>2000000</v>
      </c>
      <c r="F129" s="156">
        <v>2000000</v>
      </c>
      <c r="G129" s="156">
        <v>2000000</v>
      </c>
      <c r="H129" s="156">
        <v>0</v>
      </c>
      <c r="I129" s="156">
        <v>0</v>
      </c>
      <c r="J129" s="156">
        <v>0</v>
      </c>
      <c r="K129" s="156">
        <v>2000000</v>
      </c>
      <c r="L129" s="157">
        <f t="shared" si="0"/>
        <v>1</v>
      </c>
      <c r="M129" s="156">
        <v>2000000</v>
      </c>
      <c r="N129" s="158">
        <f t="shared" si="1"/>
        <v>1</v>
      </c>
      <c r="O129" s="156">
        <v>0</v>
      </c>
      <c r="P129" s="158">
        <f t="shared" si="2"/>
        <v>0</v>
      </c>
      <c r="Q129" s="50">
        <v>0</v>
      </c>
      <c r="R129" s="156"/>
      <c r="S129" s="156"/>
      <c r="T129" s="156"/>
      <c r="U129" s="44"/>
    </row>
    <row r="130" spans="1:21" hidden="1" x14ac:dyDescent="0.25">
      <c r="A130" s="155" t="s">
        <v>704</v>
      </c>
      <c r="B130" s="155" t="s">
        <v>627</v>
      </c>
      <c r="C130" s="155" t="s">
        <v>702</v>
      </c>
      <c r="D130" s="155" t="s">
        <v>69</v>
      </c>
      <c r="E130" s="156">
        <v>31422808</v>
      </c>
      <c r="F130" s="156">
        <v>30616936</v>
      </c>
      <c r="G130" s="156">
        <v>30513436</v>
      </c>
      <c r="H130" s="156">
        <v>0</v>
      </c>
      <c r="I130" s="156">
        <v>7805183</v>
      </c>
      <c r="J130" s="156">
        <v>0</v>
      </c>
      <c r="K130" s="156">
        <v>22708253</v>
      </c>
      <c r="L130" s="157">
        <f t="shared" si="0"/>
        <v>0.74168927289131736</v>
      </c>
      <c r="M130" s="156">
        <v>22708253</v>
      </c>
      <c r="N130" s="158">
        <f t="shared" si="1"/>
        <v>0.74168927289131736</v>
      </c>
      <c r="O130" s="156">
        <v>103500</v>
      </c>
      <c r="P130" s="158">
        <f t="shared" si="2"/>
        <v>3.3804819659289226E-3</v>
      </c>
      <c r="Q130" s="50">
        <v>0</v>
      </c>
      <c r="R130" s="156"/>
      <c r="S130" s="156"/>
      <c r="T130" s="156"/>
      <c r="U130" s="44"/>
    </row>
    <row r="131" spans="1:21" hidden="1" x14ac:dyDescent="0.25">
      <c r="A131" s="155" t="s">
        <v>704</v>
      </c>
      <c r="B131" s="155" t="s">
        <v>642</v>
      </c>
      <c r="C131" s="155" t="s">
        <v>703</v>
      </c>
      <c r="D131" s="155" t="s">
        <v>69</v>
      </c>
      <c r="E131" s="156">
        <v>5571370</v>
      </c>
      <c r="F131" s="156">
        <v>5428485</v>
      </c>
      <c r="G131" s="156">
        <v>5410131</v>
      </c>
      <c r="H131" s="156">
        <v>0</v>
      </c>
      <c r="I131" s="156">
        <v>884552</v>
      </c>
      <c r="J131" s="156">
        <v>0</v>
      </c>
      <c r="K131" s="156">
        <v>4092878</v>
      </c>
      <c r="L131" s="157">
        <f t="shared" si="0"/>
        <v>0.75396321441433478</v>
      </c>
      <c r="M131" s="156">
        <v>4092878</v>
      </c>
      <c r="N131" s="158">
        <f t="shared" si="1"/>
        <v>0.75396321441433478</v>
      </c>
      <c r="O131" s="156">
        <v>451055</v>
      </c>
      <c r="P131" s="158">
        <f t="shared" si="2"/>
        <v>8.3090401834029201E-2</v>
      </c>
      <c r="Q131" s="50">
        <v>432701</v>
      </c>
      <c r="R131" s="156"/>
      <c r="S131" s="156"/>
      <c r="T131" s="156"/>
      <c r="U131" s="44"/>
    </row>
    <row r="132" spans="1:21" hidden="1" x14ac:dyDescent="0.25">
      <c r="A132" s="155" t="s">
        <v>704</v>
      </c>
      <c r="B132" s="155" t="s">
        <v>260</v>
      </c>
      <c r="C132" s="155" t="s">
        <v>261</v>
      </c>
      <c r="D132" s="155" t="s">
        <v>69</v>
      </c>
      <c r="E132" s="156">
        <v>47000000</v>
      </c>
      <c r="F132" s="156">
        <v>50498000</v>
      </c>
      <c r="G132" s="156">
        <v>50498000</v>
      </c>
      <c r="H132" s="156">
        <v>0</v>
      </c>
      <c r="I132" s="156">
        <v>22000000</v>
      </c>
      <c r="J132" s="156">
        <v>0</v>
      </c>
      <c r="K132" s="156">
        <v>2447022</v>
      </c>
      <c r="L132" s="157">
        <f t="shared" si="0"/>
        <v>4.8457800308923125E-2</v>
      </c>
      <c r="M132" s="156">
        <v>2447022</v>
      </c>
      <c r="N132" s="158">
        <f t="shared" si="1"/>
        <v>4.8457800308923125E-2</v>
      </c>
      <c r="O132" s="156">
        <v>26050978</v>
      </c>
      <c r="P132" s="158">
        <f t="shared" si="2"/>
        <v>0.51588138144084916</v>
      </c>
      <c r="Q132" s="50">
        <v>26050978</v>
      </c>
      <c r="R132" s="156"/>
      <c r="S132" s="156"/>
      <c r="T132" s="156"/>
      <c r="U132" s="44"/>
    </row>
    <row r="133" spans="1:21" hidden="1" x14ac:dyDescent="0.25">
      <c r="A133" s="155" t="s">
        <v>704</v>
      </c>
      <c r="B133" s="155" t="s">
        <v>262</v>
      </c>
      <c r="C133" s="155" t="s">
        <v>263</v>
      </c>
      <c r="D133" s="155" t="s">
        <v>69</v>
      </c>
      <c r="E133" s="156">
        <v>22000000</v>
      </c>
      <c r="F133" s="156">
        <v>43498000</v>
      </c>
      <c r="G133" s="156">
        <v>43498000</v>
      </c>
      <c r="H133" s="156">
        <v>0</v>
      </c>
      <c r="I133" s="156">
        <v>22000000</v>
      </c>
      <c r="J133" s="156">
        <v>0</v>
      </c>
      <c r="K133" s="156">
        <v>0</v>
      </c>
      <c r="L133" s="157">
        <f t="shared" si="0"/>
        <v>0</v>
      </c>
      <c r="M133" s="156">
        <v>0</v>
      </c>
      <c r="N133" s="158">
        <f t="shared" si="1"/>
        <v>0</v>
      </c>
      <c r="O133" s="156">
        <v>21498000</v>
      </c>
      <c r="P133" s="158">
        <f t="shared" si="2"/>
        <v>0.4942296197526323</v>
      </c>
      <c r="Q133" s="50">
        <v>21498000</v>
      </c>
      <c r="R133" s="156"/>
      <c r="S133" s="156"/>
      <c r="T133" s="156"/>
      <c r="U133" s="44"/>
    </row>
    <row r="134" spans="1:21" x14ac:dyDescent="0.25">
      <c r="A134" s="155" t="s">
        <v>704</v>
      </c>
      <c r="B134" s="155" t="s">
        <v>264</v>
      </c>
      <c r="C134" s="155" t="s">
        <v>265</v>
      </c>
      <c r="D134" s="155" t="s">
        <v>69</v>
      </c>
      <c r="E134" s="156">
        <v>25000000</v>
      </c>
      <c r="F134" s="156">
        <v>7000000</v>
      </c>
      <c r="G134" s="156">
        <v>7000000</v>
      </c>
      <c r="H134" s="156">
        <v>0</v>
      </c>
      <c r="I134" s="156">
        <v>0</v>
      </c>
      <c r="J134" s="156">
        <v>0</v>
      </c>
      <c r="K134" s="156">
        <v>2447022</v>
      </c>
      <c r="L134" s="157">
        <f t="shared" si="0"/>
        <v>0.3495745714285714</v>
      </c>
      <c r="M134" s="156">
        <v>2447022</v>
      </c>
      <c r="N134" s="158">
        <f t="shared" si="1"/>
        <v>0.3495745714285714</v>
      </c>
      <c r="O134" s="156">
        <v>4552978</v>
      </c>
      <c r="P134" s="158">
        <f t="shared" si="2"/>
        <v>0.6504254285714286</v>
      </c>
      <c r="Q134" s="50">
        <v>4552978</v>
      </c>
      <c r="R134" s="156"/>
      <c r="S134" s="156"/>
      <c r="T134" s="156"/>
      <c r="U134" s="159"/>
    </row>
    <row r="135" spans="1:21" hidden="1" x14ac:dyDescent="0.25">
      <c r="A135" s="155" t="s">
        <v>704</v>
      </c>
      <c r="B135" s="155" t="s">
        <v>266</v>
      </c>
      <c r="C135" s="155" t="s">
        <v>267</v>
      </c>
      <c r="D135" s="155" t="s">
        <v>69</v>
      </c>
      <c r="E135" s="156">
        <v>423304895</v>
      </c>
      <c r="F135" s="156">
        <v>422694895</v>
      </c>
      <c r="G135" s="156">
        <v>422694895</v>
      </c>
      <c r="H135" s="156">
        <v>0</v>
      </c>
      <c r="I135" s="156">
        <v>68169988.659999996</v>
      </c>
      <c r="J135" s="156">
        <v>0</v>
      </c>
      <c r="K135" s="156">
        <v>354524906.33999997</v>
      </c>
      <c r="L135" s="157">
        <f t="shared" si="0"/>
        <v>0.83872530880695872</v>
      </c>
      <c r="M135" s="156">
        <v>354524906.33999997</v>
      </c>
      <c r="N135" s="158">
        <f t="shared" si="1"/>
        <v>0.83872530880695872</v>
      </c>
      <c r="O135" s="156">
        <v>0</v>
      </c>
      <c r="P135" s="158">
        <f t="shared" si="2"/>
        <v>0</v>
      </c>
      <c r="Q135" s="50">
        <v>0</v>
      </c>
      <c r="R135" s="156"/>
      <c r="S135" s="156"/>
      <c r="T135" s="156"/>
      <c r="U135" s="44"/>
    </row>
    <row r="136" spans="1:21" hidden="1" x14ac:dyDescent="0.25">
      <c r="A136" s="155" t="s">
        <v>704</v>
      </c>
      <c r="B136" s="155" t="s">
        <v>664</v>
      </c>
      <c r="C136" s="155" t="s">
        <v>269</v>
      </c>
      <c r="D136" s="155" t="s">
        <v>69</v>
      </c>
      <c r="E136" s="156">
        <v>406300000</v>
      </c>
      <c r="F136" s="156">
        <v>406300000</v>
      </c>
      <c r="G136" s="156">
        <v>406300000</v>
      </c>
      <c r="H136" s="156">
        <v>0</v>
      </c>
      <c r="I136" s="156">
        <v>67716666</v>
      </c>
      <c r="J136" s="156">
        <v>0</v>
      </c>
      <c r="K136" s="156">
        <v>338583334</v>
      </c>
      <c r="L136" s="157">
        <f t="shared" si="0"/>
        <v>0.83333333497415707</v>
      </c>
      <c r="M136" s="156">
        <v>338583334</v>
      </c>
      <c r="N136" s="158">
        <f t="shared" si="1"/>
        <v>0.83333333497415707</v>
      </c>
      <c r="O136" s="156">
        <v>0</v>
      </c>
      <c r="P136" s="158">
        <f t="shared" si="2"/>
        <v>0</v>
      </c>
      <c r="Q136" s="50">
        <v>0</v>
      </c>
      <c r="R136" s="156"/>
      <c r="S136" s="156"/>
      <c r="T136" s="156"/>
      <c r="U136" s="44"/>
    </row>
    <row r="137" spans="1:21" hidden="1" x14ac:dyDescent="0.25">
      <c r="A137" s="155" t="s">
        <v>704</v>
      </c>
      <c r="B137" s="155" t="s">
        <v>666</v>
      </c>
      <c r="C137" s="155" t="s">
        <v>705</v>
      </c>
      <c r="D137" s="155" t="s">
        <v>69</v>
      </c>
      <c r="E137" s="156">
        <v>13007200</v>
      </c>
      <c r="F137" s="156">
        <v>13007200</v>
      </c>
      <c r="G137" s="156">
        <v>13007200</v>
      </c>
      <c r="H137" s="156">
        <v>0</v>
      </c>
      <c r="I137" s="156">
        <v>445902.76</v>
      </c>
      <c r="J137" s="156">
        <v>0</v>
      </c>
      <c r="K137" s="156">
        <v>12561297.24</v>
      </c>
      <c r="L137" s="157">
        <f t="shared" si="0"/>
        <v>0.96571877421735652</v>
      </c>
      <c r="M137" s="156">
        <v>12561297.24</v>
      </c>
      <c r="N137" s="158">
        <f t="shared" si="1"/>
        <v>0.96571877421735652</v>
      </c>
      <c r="O137" s="156">
        <v>0</v>
      </c>
      <c r="P137" s="158">
        <f t="shared" si="2"/>
        <v>0</v>
      </c>
      <c r="Q137" s="50">
        <v>0</v>
      </c>
      <c r="R137" s="156"/>
      <c r="S137" s="156"/>
      <c r="T137" s="156"/>
      <c r="U137" s="44"/>
    </row>
    <row r="138" spans="1:21" hidden="1" x14ac:dyDescent="0.25">
      <c r="A138" s="155" t="s">
        <v>704</v>
      </c>
      <c r="B138" s="155" t="s">
        <v>668</v>
      </c>
      <c r="C138" s="155" t="s">
        <v>273</v>
      </c>
      <c r="D138" s="155" t="s">
        <v>69</v>
      </c>
      <c r="E138" s="156">
        <v>3997695</v>
      </c>
      <c r="F138" s="156">
        <v>3387695</v>
      </c>
      <c r="G138" s="156">
        <v>3387695</v>
      </c>
      <c r="H138" s="156">
        <v>0</v>
      </c>
      <c r="I138" s="156">
        <v>7419.9</v>
      </c>
      <c r="J138" s="156">
        <v>0</v>
      </c>
      <c r="K138" s="156">
        <v>3380275.1</v>
      </c>
      <c r="L138" s="157">
        <f t="shared" si="0"/>
        <v>0.99780974969706548</v>
      </c>
      <c r="M138" s="156">
        <v>3380275.1</v>
      </c>
      <c r="N138" s="158">
        <f t="shared" si="1"/>
        <v>0.99780974969706548</v>
      </c>
      <c r="O138" s="156">
        <v>0</v>
      </c>
      <c r="P138" s="158">
        <f t="shared" si="2"/>
        <v>0</v>
      </c>
      <c r="Q138" s="50">
        <v>0</v>
      </c>
      <c r="R138" s="156"/>
      <c r="S138" s="156"/>
      <c r="T138" s="156"/>
      <c r="U138" s="44"/>
    </row>
    <row r="139" spans="1:21" hidden="1" x14ac:dyDescent="0.25">
      <c r="A139" s="155" t="s">
        <v>704</v>
      </c>
      <c r="B139" s="155" t="s">
        <v>230</v>
      </c>
      <c r="C139" s="155" t="s">
        <v>231</v>
      </c>
      <c r="D139" s="155" t="s">
        <v>85</v>
      </c>
      <c r="E139" s="156">
        <v>12109140</v>
      </c>
      <c r="F139" s="156">
        <v>8469140</v>
      </c>
      <c r="G139" s="156">
        <v>8469140</v>
      </c>
      <c r="H139" s="156">
        <v>0</v>
      </c>
      <c r="I139" s="156">
        <v>0</v>
      </c>
      <c r="J139" s="156">
        <v>0</v>
      </c>
      <c r="K139" s="156">
        <v>0</v>
      </c>
      <c r="L139" s="157">
        <f t="shared" si="0"/>
        <v>0</v>
      </c>
      <c r="M139" s="156">
        <v>0</v>
      </c>
      <c r="N139" s="158">
        <f t="shared" si="1"/>
        <v>0</v>
      </c>
      <c r="O139" s="156">
        <v>8469140</v>
      </c>
      <c r="P139" s="158">
        <f t="shared" si="2"/>
        <v>1</v>
      </c>
      <c r="Q139" s="50">
        <v>8469140</v>
      </c>
      <c r="R139" s="156"/>
      <c r="S139" s="156"/>
      <c r="T139" s="156"/>
      <c r="U139" s="44"/>
    </row>
    <row r="140" spans="1:21" hidden="1" x14ac:dyDescent="0.25">
      <c r="A140" s="155" t="s">
        <v>704</v>
      </c>
      <c r="B140" s="155" t="s">
        <v>232</v>
      </c>
      <c r="C140" s="155" t="s">
        <v>233</v>
      </c>
      <c r="D140" s="155" t="s">
        <v>85</v>
      </c>
      <c r="E140" s="156">
        <v>12109140</v>
      </c>
      <c r="F140" s="156">
        <v>8469140</v>
      </c>
      <c r="G140" s="156">
        <v>8469140</v>
      </c>
      <c r="H140" s="156">
        <v>0</v>
      </c>
      <c r="I140" s="156">
        <v>0</v>
      </c>
      <c r="J140" s="156">
        <v>0</v>
      </c>
      <c r="K140" s="156">
        <v>0</v>
      </c>
      <c r="L140" s="157">
        <f t="shared" si="0"/>
        <v>0</v>
      </c>
      <c r="M140" s="156">
        <v>0</v>
      </c>
      <c r="N140" s="158">
        <f t="shared" si="1"/>
        <v>0</v>
      </c>
      <c r="O140" s="156">
        <v>8469140</v>
      </c>
      <c r="P140" s="158">
        <f t="shared" si="2"/>
        <v>1</v>
      </c>
      <c r="Q140" s="50">
        <v>8469140</v>
      </c>
      <c r="R140" s="156"/>
      <c r="S140" s="156"/>
      <c r="T140" s="156"/>
      <c r="U140" s="44"/>
    </row>
    <row r="141" spans="1:21" hidden="1" x14ac:dyDescent="0.25">
      <c r="A141" s="155" t="s">
        <v>704</v>
      </c>
      <c r="B141" s="155" t="s">
        <v>234</v>
      </c>
      <c r="C141" s="155" t="s">
        <v>235</v>
      </c>
      <c r="D141" s="155" t="s">
        <v>85</v>
      </c>
      <c r="E141" s="156">
        <v>120000</v>
      </c>
      <c r="F141" s="156">
        <v>0</v>
      </c>
      <c r="G141" s="156">
        <v>0</v>
      </c>
      <c r="H141" s="156">
        <v>0</v>
      </c>
      <c r="I141" s="156">
        <v>0</v>
      </c>
      <c r="J141" s="156">
        <v>0</v>
      </c>
      <c r="K141" s="156">
        <v>0</v>
      </c>
      <c r="L141" s="157" t="e">
        <f t="shared" si="0"/>
        <v>#DIV/0!</v>
      </c>
      <c r="M141" s="156">
        <v>0</v>
      </c>
      <c r="N141" s="158" t="e">
        <f t="shared" si="1"/>
        <v>#DIV/0!</v>
      </c>
      <c r="O141" s="156">
        <v>0</v>
      </c>
      <c r="P141" s="158" t="e">
        <f t="shared" si="2"/>
        <v>#DIV/0!</v>
      </c>
      <c r="Q141" s="50">
        <v>0</v>
      </c>
      <c r="R141" s="156"/>
      <c r="S141" s="156"/>
      <c r="T141" s="156"/>
      <c r="U141" s="44"/>
    </row>
    <row r="142" spans="1:21" hidden="1" x14ac:dyDescent="0.25">
      <c r="A142" s="155" t="s">
        <v>704</v>
      </c>
      <c r="B142" s="155" t="s">
        <v>236</v>
      </c>
      <c r="C142" s="155" t="s">
        <v>237</v>
      </c>
      <c r="D142" s="155" t="s">
        <v>85</v>
      </c>
      <c r="E142" s="156">
        <v>620000</v>
      </c>
      <c r="F142" s="156">
        <v>0</v>
      </c>
      <c r="G142" s="156">
        <v>0</v>
      </c>
      <c r="H142" s="156">
        <v>0</v>
      </c>
      <c r="I142" s="156">
        <v>0</v>
      </c>
      <c r="J142" s="156">
        <v>0</v>
      </c>
      <c r="K142" s="156">
        <v>0</v>
      </c>
      <c r="L142" s="157" t="e">
        <f t="shared" si="0"/>
        <v>#DIV/0!</v>
      </c>
      <c r="M142" s="156">
        <v>0</v>
      </c>
      <c r="N142" s="158" t="e">
        <f t="shared" si="1"/>
        <v>#DIV/0!</v>
      </c>
      <c r="O142" s="156">
        <v>0</v>
      </c>
      <c r="P142" s="158" t="e">
        <f t="shared" si="2"/>
        <v>#DIV/0!</v>
      </c>
      <c r="Q142" s="50">
        <v>0</v>
      </c>
      <c r="R142" s="156"/>
      <c r="S142" s="156"/>
      <c r="T142" s="156"/>
      <c r="U142" s="44"/>
    </row>
    <row r="143" spans="1:21" x14ac:dyDescent="0.25">
      <c r="A143" s="155" t="s">
        <v>704</v>
      </c>
      <c r="B143" s="155" t="s">
        <v>238</v>
      </c>
      <c r="C143" s="155" t="s">
        <v>239</v>
      </c>
      <c r="D143" s="155" t="s">
        <v>85</v>
      </c>
      <c r="E143" s="156">
        <v>11369140</v>
      </c>
      <c r="F143" s="156">
        <v>8469140</v>
      </c>
      <c r="G143" s="156">
        <v>8469140</v>
      </c>
      <c r="H143" s="156">
        <v>0</v>
      </c>
      <c r="I143" s="156">
        <v>0</v>
      </c>
      <c r="J143" s="156">
        <v>0</v>
      </c>
      <c r="K143" s="156">
        <v>0</v>
      </c>
      <c r="L143" s="157">
        <f t="shared" si="0"/>
        <v>0</v>
      </c>
      <c r="M143" s="156">
        <v>0</v>
      </c>
      <c r="N143" s="158">
        <f t="shared" si="1"/>
        <v>0</v>
      </c>
      <c r="O143" s="156">
        <v>8469140</v>
      </c>
      <c r="P143" s="158">
        <f t="shared" si="2"/>
        <v>1</v>
      </c>
      <c r="Q143" s="50">
        <v>8469140</v>
      </c>
      <c r="R143" s="156"/>
      <c r="S143" s="156"/>
      <c r="T143" s="156"/>
      <c r="U143" s="160"/>
    </row>
    <row r="144" spans="1:21" hidden="1" x14ac:dyDescent="0.25">
      <c r="A144" s="49">
        <v>214788</v>
      </c>
      <c r="B144" s="49"/>
      <c r="C144" s="49"/>
      <c r="D144" s="49" t="s">
        <v>69</v>
      </c>
      <c r="E144" s="50">
        <v>3537393833</v>
      </c>
      <c r="F144" s="50">
        <v>2849531919</v>
      </c>
      <c r="G144" s="50">
        <v>2730753999.73</v>
      </c>
      <c r="H144" s="50">
        <v>102135448.87</v>
      </c>
      <c r="I144" s="50">
        <v>254102917</v>
      </c>
      <c r="J144" s="50">
        <v>14196733.359999999</v>
      </c>
      <c r="K144" s="50">
        <v>1783526695.6500001</v>
      </c>
      <c r="L144" s="151">
        <f t="shared" si="0"/>
        <v>0.62590163800512955</v>
      </c>
      <c r="M144" s="50">
        <v>1658325058.8299999</v>
      </c>
      <c r="N144" s="152">
        <f t="shared" si="1"/>
        <v>0.58196402285325655</v>
      </c>
      <c r="O144" s="50">
        <v>695570124.12</v>
      </c>
      <c r="P144" s="152">
        <f t="shared" si="2"/>
        <v>0.24409978336515697</v>
      </c>
      <c r="Q144" s="50">
        <v>576792204.85000002</v>
      </c>
      <c r="R144" s="50"/>
      <c r="S144" s="50"/>
      <c r="T144" s="50"/>
      <c r="U144" s="44"/>
    </row>
    <row r="145" spans="1:21" hidden="1" x14ac:dyDescent="0.25">
      <c r="A145" s="49" t="s">
        <v>706</v>
      </c>
      <c r="B145" s="49" t="s">
        <v>71</v>
      </c>
      <c r="C145" s="49" t="s">
        <v>72</v>
      </c>
      <c r="D145" s="49" t="s">
        <v>69</v>
      </c>
      <c r="E145" s="50">
        <v>1329087181</v>
      </c>
      <c r="F145" s="50">
        <v>1295200816</v>
      </c>
      <c r="G145" s="50">
        <v>1195222901</v>
      </c>
      <c r="H145" s="50">
        <v>0</v>
      </c>
      <c r="I145" s="50">
        <v>49934541.950000003</v>
      </c>
      <c r="J145" s="50">
        <v>0</v>
      </c>
      <c r="K145" s="50">
        <v>896228520.67999995</v>
      </c>
      <c r="L145" s="151">
        <f t="shared" si="0"/>
        <v>0.69196105314992329</v>
      </c>
      <c r="M145" s="50">
        <v>896228520.67999995</v>
      </c>
      <c r="N145" s="152">
        <f t="shared" si="1"/>
        <v>0.69196105314992329</v>
      </c>
      <c r="O145" s="50">
        <v>349037753.37</v>
      </c>
      <c r="P145" s="152">
        <f t="shared" si="2"/>
        <v>0.26948543350052984</v>
      </c>
      <c r="Q145" s="50">
        <v>249059838.37</v>
      </c>
      <c r="R145" s="50"/>
      <c r="S145" s="50"/>
      <c r="T145" s="50"/>
      <c r="U145" s="44"/>
    </row>
    <row r="146" spans="1:21" hidden="1" x14ac:dyDescent="0.25">
      <c r="A146" s="49" t="s">
        <v>706</v>
      </c>
      <c r="B146" s="49" t="s">
        <v>73</v>
      </c>
      <c r="C146" s="49" t="s">
        <v>74</v>
      </c>
      <c r="D146" s="49" t="s">
        <v>69</v>
      </c>
      <c r="E146" s="50">
        <v>512821400</v>
      </c>
      <c r="F146" s="50">
        <v>494422100</v>
      </c>
      <c r="G146" s="50">
        <v>405152462</v>
      </c>
      <c r="H146" s="50">
        <v>0</v>
      </c>
      <c r="I146" s="50">
        <v>0</v>
      </c>
      <c r="J146" s="50">
        <v>0</v>
      </c>
      <c r="K146" s="50">
        <v>378745099.94999999</v>
      </c>
      <c r="L146" s="151">
        <f t="shared" si="0"/>
        <v>0.76603594368051098</v>
      </c>
      <c r="M146" s="50">
        <v>378745099.94999999</v>
      </c>
      <c r="N146" s="152">
        <f t="shared" si="1"/>
        <v>0.76603594368051098</v>
      </c>
      <c r="O146" s="50">
        <v>115677000.05</v>
      </c>
      <c r="P146" s="152">
        <f t="shared" si="2"/>
        <v>0.23396405631948894</v>
      </c>
      <c r="Q146" s="50">
        <v>26407362.050000001</v>
      </c>
      <c r="R146" s="50"/>
      <c r="S146" s="50"/>
      <c r="T146" s="50"/>
      <c r="U146" s="44"/>
    </row>
    <row r="147" spans="1:21" hidden="1" x14ac:dyDescent="0.25">
      <c r="A147" s="49" t="s">
        <v>706</v>
      </c>
      <c r="B147" s="49" t="s">
        <v>75</v>
      </c>
      <c r="C147" s="49" t="s">
        <v>76</v>
      </c>
      <c r="D147" s="49" t="s">
        <v>69</v>
      </c>
      <c r="E147" s="50">
        <v>507821400</v>
      </c>
      <c r="F147" s="50">
        <v>493222100</v>
      </c>
      <c r="G147" s="50">
        <v>403952462</v>
      </c>
      <c r="H147" s="50">
        <v>0</v>
      </c>
      <c r="I147" s="50">
        <v>0</v>
      </c>
      <c r="J147" s="50">
        <v>0</v>
      </c>
      <c r="K147" s="50">
        <v>378745099.94999999</v>
      </c>
      <c r="L147" s="151">
        <f t="shared" si="0"/>
        <v>0.76789969457978458</v>
      </c>
      <c r="M147" s="50">
        <v>378745099.94999999</v>
      </c>
      <c r="N147" s="152">
        <f t="shared" si="1"/>
        <v>0.76789969457978458</v>
      </c>
      <c r="O147" s="50">
        <v>114477000.05</v>
      </c>
      <c r="P147" s="152">
        <f t="shared" si="2"/>
        <v>0.23210030542021534</v>
      </c>
      <c r="Q147" s="50">
        <v>25207362.050000001</v>
      </c>
      <c r="R147" s="50"/>
      <c r="S147" s="50"/>
      <c r="T147" s="50"/>
      <c r="U147" s="44"/>
    </row>
    <row r="148" spans="1:21" hidden="1" x14ac:dyDescent="0.25">
      <c r="A148" s="49" t="s">
        <v>706</v>
      </c>
      <c r="B148" s="49" t="s">
        <v>291</v>
      </c>
      <c r="C148" s="49" t="s">
        <v>292</v>
      </c>
      <c r="D148" s="49" t="s">
        <v>69</v>
      </c>
      <c r="E148" s="50">
        <v>5000000</v>
      </c>
      <c r="F148" s="50">
        <v>1200000</v>
      </c>
      <c r="G148" s="50">
        <v>1200000</v>
      </c>
      <c r="H148" s="50">
        <v>0</v>
      </c>
      <c r="I148" s="50">
        <v>0</v>
      </c>
      <c r="J148" s="50">
        <v>0</v>
      </c>
      <c r="K148" s="50">
        <v>0</v>
      </c>
      <c r="L148" s="151">
        <f t="shared" si="0"/>
        <v>0</v>
      </c>
      <c r="M148" s="50">
        <v>0</v>
      </c>
      <c r="N148" s="152">
        <f t="shared" si="1"/>
        <v>0</v>
      </c>
      <c r="O148" s="50">
        <v>1200000</v>
      </c>
      <c r="P148" s="152">
        <f t="shared" si="2"/>
        <v>1</v>
      </c>
      <c r="Q148" s="50">
        <v>1200000</v>
      </c>
      <c r="R148" s="50"/>
      <c r="S148" s="50"/>
      <c r="T148" s="50"/>
      <c r="U148" s="44"/>
    </row>
    <row r="149" spans="1:21" hidden="1" x14ac:dyDescent="0.25">
      <c r="A149" s="49" t="s">
        <v>706</v>
      </c>
      <c r="B149" s="49" t="s">
        <v>293</v>
      </c>
      <c r="C149" s="49" t="s">
        <v>294</v>
      </c>
      <c r="D149" s="49" t="s">
        <v>69</v>
      </c>
      <c r="E149" s="50">
        <v>11000000</v>
      </c>
      <c r="F149" s="50">
        <v>11000000</v>
      </c>
      <c r="G149" s="50">
        <v>11000000</v>
      </c>
      <c r="H149" s="50">
        <v>0</v>
      </c>
      <c r="I149" s="50">
        <v>0</v>
      </c>
      <c r="J149" s="50">
        <v>0</v>
      </c>
      <c r="K149" s="50">
        <v>2788282.07</v>
      </c>
      <c r="L149" s="151">
        <f t="shared" si="0"/>
        <v>0.25348018818181817</v>
      </c>
      <c r="M149" s="50">
        <v>2788282.07</v>
      </c>
      <c r="N149" s="152">
        <f t="shared" si="1"/>
        <v>0.25348018818181817</v>
      </c>
      <c r="O149" s="50">
        <v>8211717.9299999997</v>
      </c>
      <c r="P149" s="152">
        <f t="shared" si="2"/>
        <v>0.74651981181818183</v>
      </c>
      <c r="Q149" s="50">
        <v>8211717.9299999997</v>
      </c>
      <c r="R149" s="50"/>
      <c r="S149" s="50"/>
      <c r="T149" s="50"/>
      <c r="U149" s="44"/>
    </row>
    <row r="150" spans="1:21" hidden="1" x14ac:dyDescent="0.25">
      <c r="A150" s="49" t="s">
        <v>706</v>
      </c>
      <c r="B150" s="49" t="s">
        <v>295</v>
      </c>
      <c r="C150" s="49" t="s">
        <v>296</v>
      </c>
      <c r="D150" s="49" t="s">
        <v>69</v>
      </c>
      <c r="E150" s="50">
        <v>11000000</v>
      </c>
      <c r="F150" s="50">
        <v>11000000</v>
      </c>
      <c r="G150" s="50">
        <v>11000000</v>
      </c>
      <c r="H150" s="50">
        <v>0</v>
      </c>
      <c r="I150" s="50">
        <v>0</v>
      </c>
      <c r="J150" s="50">
        <v>0</v>
      </c>
      <c r="K150" s="50">
        <v>2788282.07</v>
      </c>
      <c r="L150" s="151">
        <f t="shared" si="0"/>
        <v>0.25348018818181817</v>
      </c>
      <c r="M150" s="50">
        <v>2788282.07</v>
      </c>
      <c r="N150" s="152">
        <f t="shared" si="1"/>
        <v>0.25348018818181817</v>
      </c>
      <c r="O150" s="50">
        <v>8211717.9299999997</v>
      </c>
      <c r="P150" s="152">
        <f t="shared" si="2"/>
        <v>0.74651981181818183</v>
      </c>
      <c r="Q150" s="50">
        <v>8211717.9299999997</v>
      </c>
      <c r="R150" s="50"/>
      <c r="S150" s="50"/>
      <c r="T150" s="50"/>
      <c r="U150" s="44"/>
    </row>
    <row r="151" spans="1:21" hidden="1" x14ac:dyDescent="0.25">
      <c r="A151" s="49" t="s">
        <v>706</v>
      </c>
      <c r="B151" s="49" t="s">
        <v>77</v>
      </c>
      <c r="C151" s="49" t="s">
        <v>78</v>
      </c>
      <c r="D151" s="49" t="s">
        <v>69</v>
      </c>
      <c r="E151" s="50">
        <v>602518513</v>
      </c>
      <c r="F151" s="50">
        <v>592617728</v>
      </c>
      <c r="G151" s="50">
        <v>586019351</v>
      </c>
      <c r="H151" s="50">
        <v>0</v>
      </c>
      <c r="I151" s="50">
        <v>0</v>
      </c>
      <c r="J151" s="50">
        <v>0</v>
      </c>
      <c r="K151" s="50">
        <v>371578592.61000001</v>
      </c>
      <c r="L151" s="151">
        <f t="shared" si="0"/>
        <v>0.62701227967652029</v>
      </c>
      <c r="M151" s="50">
        <v>371578592.61000001</v>
      </c>
      <c r="N151" s="152">
        <f t="shared" si="1"/>
        <v>0.62701227967652029</v>
      </c>
      <c r="O151" s="50">
        <v>221039135.38999999</v>
      </c>
      <c r="P151" s="152">
        <f t="shared" si="2"/>
        <v>0.37298772032347971</v>
      </c>
      <c r="Q151" s="50">
        <v>214440758.38999999</v>
      </c>
      <c r="R151" s="50"/>
      <c r="S151" s="50"/>
      <c r="T151" s="50"/>
      <c r="U151" s="44"/>
    </row>
    <row r="152" spans="1:21" hidden="1" x14ac:dyDescent="0.25">
      <c r="A152" s="49" t="s">
        <v>706</v>
      </c>
      <c r="B152" s="49" t="s">
        <v>79</v>
      </c>
      <c r="C152" s="49" t="s">
        <v>80</v>
      </c>
      <c r="D152" s="49" t="s">
        <v>69</v>
      </c>
      <c r="E152" s="50">
        <v>160994500</v>
      </c>
      <c r="F152" s="50">
        <v>160412072</v>
      </c>
      <c r="G152" s="50">
        <v>153813695</v>
      </c>
      <c r="H152" s="50">
        <v>0</v>
      </c>
      <c r="I152" s="50">
        <v>0</v>
      </c>
      <c r="J152" s="50">
        <v>0</v>
      </c>
      <c r="K152" s="50">
        <v>113290298.36</v>
      </c>
      <c r="L152" s="151">
        <f t="shared" si="0"/>
        <v>0.70624546486750694</v>
      </c>
      <c r="M152" s="50">
        <v>113290298.36</v>
      </c>
      <c r="N152" s="152">
        <f t="shared" si="1"/>
        <v>0.70624546486750694</v>
      </c>
      <c r="O152" s="50">
        <v>47121773.640000001</v>
      </c>
      <c r="P152" s="152">
        <f t="shared" si="2"/>
        <v>0.293754535132493</v>
      </c>
      <c r="Q152" s="50">
        <v>40523396.640000001</v>
      </c>
      <c r="R152" s="50"/>
      <c r="S152" s="50"/>
      <c r="T152" s="50"/>
      <c r="U152" s="44"/>
    </row>
    <row r="153" spans="1:21" hidden="1" x14ac:dyDescent="0.25">
      <c r="A153" s="49" t="s">
        <v>706</v>
      </c>
      <c r="B153" s="49" t="s">
        <v>81</v>
      </c>
      <c r="C153" s="49" t="s">
        <v>82</v>
      </c>
      <c r="D153" s="49" t="s">
        <v>69</v>
      </c>
      <c r="E153" s="50">
        <v>218799248</v>
      </c>
      <c r="F153" s="50">
        <v>212368846</v>
      </c>
      <c r="G153" s="50">
        <v>212368846</v>
      </c>
      <c r="H153" s="50">
        <v>0</v>
      </c>
      <c r="I153" s="50">
        <v>0</v>
      </c>
      <c r="J153" s="50">
        <v>0</v>
      </c>
      <c r="K153" s="50">
        <v>147611607.74000001</v>
      </c>
      <c r="L153" s="151">
        <f t="shared" si="0"/>
        <v>0.69507185503093993</v>
      </c>
      <c r="M153" s="50">
        <v>147611607.74000001</v>
      </c>
      <c r="N153" s="152">
        <f t="shared" si="1"/>
        <v>0.69507185503093993</v>
      </c>
      <c r="O153" s="50">
        <v>64757238.259999998</v>
      </c>
      <c r="P153" s="152">
        <f t="shared" si="2"/>
        <v>0.30492814496906007</v>
      </c>
      <c r="Q153" s="50">
        <v>64757238.259999998</v>
      </c>
      <c r="R153" s="50"/>
      <c r="S153" s="50"/>
      <c r="T153" s="50"/>
      <c r="U153" s="44"/>
    </row>
    <row r="154" spans="1:21" hidden="1" x14ac:dyDescent="0.25">
      <c r="A154" s="49" t="s">
        <v>706</v>
      </c>
      <c r="B154" s="49" t="s">
        <v>86</v>
      </c>
      <c r="C154" s="49" t="s">
        <v>87</v>
      </c>
      <c r="D154" s="49" t="s">
        <v>69</v>
      </c>
      <c r="E154" s="50">
        <v>79437600</v>
      </c>
      <c r="F154" s="50">
        <v>79437600</v>
      </c>
      <c r="G154" s="50">
        <v>79437600</v>
      </c>
      <c r="H154" s="50">
        <v>0</v>
      </c>
      <c r="I154" s="50">
        <v>0</v>
      </c>
      <c r="J154" s="50">
        <v>0</v>
      </c>
      <c r="K154" s="50">
        <v>70693690.870000005</v>
      </c>
      <c r="L154" s="151">
        <f t="shared" si="0"/>
        <v>0.88992732496953586</v>
      </c>
      <c r="M154" s="50">
        <v>70693690.870000005</v>
      </c>
      <c r="N154" s="152">
        <f t="shared" si="1"/>
        <v>0.88992732496953586</v>
      </c>
      <c r="O154" s="50">
        <v>8743909.1300000008</v>
      </c>
      <c r="P154" s="152">
        <f t="shared" si="2"/>
        <v>0.11007267503046417</v>
      </c>
      <c r="Q154" s="50">
        <v>8743909.1300000008</v>
      </c>
      <c r="R154" s="50"/>
      <c r="S154" s="50"/>
      <c r="T154" s="50"/>
      <c r="U154" s="44"/>
    </row>
    <row r="155" spans="1:21" hidden="1" x14ac:dyDescent="0.25">
      <c r="A155" s="49" t="s">
        <v>706</v>
      </c>
      <c r="B155" s="49" t="s">
        <v>88</v>
      </c>
      <c r="C155" s="49" t="s">
        <v>89</v>
      </c>
      <c r="D155" s="49" t="s">
        <v>69</v>
      </c>
      <c r="E155" s="50">
        <v>56677700</v>
      </c>
      <c r="F155" s="50">
        <v>56181050</v>
      </c>
      <c r="G155" s="50">
        <v>56181050</v>
      </c>
      <c r="H155" s="50">
        <v>0</v>
      </c>
      <c r="I155" s="50">
        <v>0</v>
      </c>
      <c r="J155" s="50">
        <v>0</v>
      </c>
      <c r="K155" s="50">
        <v>39892895.640000001</v>
      </c>
      <c r="L155" s="151">
        <f t="shared" si="0"/>
        <v>0.71007743073509666</v>
      </c>
      <c r="M155" s="50">
        <v>39892895.640000001</v>
      </c>
      <c r="N155" s="152">
        <f t="shared" si="1"/>
        <v>0.71007743073509666</v>
      </c>
      <c r="O155" s="50">
        <v>16288154.359999999</v>
      </c>
      <c r="P155" s="152">
        <f t="shared" si="2"/>
        <v>0.2899225692649034</v>
      </c>
      <c r="Q155" s="50">
        <v>16288154.359999999</v>
      </c>
      <c r="R155" s="50"/>
      <c r="S155" s="50"/>
      <c r="T155" s="50"/>
      <c r="U155" s="44"/>
    </row>
    <row r="156" spans="1:21" hidden="1" x14ac:dyDescent="0.25">
      <c r="A156" s="49" t="s">
        <v>706</v>
      </c>
      <c r="B156" s="49" t="s">
        <v>83</v>
      </c>
      <c r="C156" s="49" t="s">
        <v>84</v>
      </c>
      <c r="D156" s="49" t="s">
        <v>85</v>
      </c>
      <c r="E156" s="50">
        <v>86609465</v>
      </c>
      <c r="F156" s="50">
        <v>84218160</v>
      </c>
      <c r="G156" s="50">
        <v>84218160</v>
      </c>
      <c r="H156" s="50">
        <v>0</v>
      </c>
      <c r="I156" s="50">
        <v>0</v>
      </c>
      <c r="J156" s="50">
        <v>0</v>
      </c>
      <c r="K156" s="50">
        <v>90100</v>
      </c>
      <c r="L156" s="151">
        <f t="shared" si="0"/>
        <v>1.0698405189569565E-3</v>
      </c>
      <c r="M156" s="50">
        <v>90100</v>
      </c>
      <c r="N156" s="152">
        <f t="shared" si="1"/>
        <v>1.0698405189569565E-3</v>
      </c>
      <c r="O156" s="50">
        <v>84128060</v>
      </c>
      <c r="P156" s="152">
        <f t="shared" si="2"/>
        <v>0.99893015948104302</v>
      </c>
      <c r="Q156" s="50">
        <v>84128060</v>
      </c>
      <c r="R156" s="50"/>
      <c r="S156" s="50"/>
      <c r="T156" s="50"/>
      <c r="U156" s="44"/>
    </row>
    <row r="157" spans="1:21" hidden="1" x14ac:dyDescent="0.25">
      <c r="A157" s="49" t="s">
        <v>706</v>
      </c>
      <c r="B157" s="49" t="s">
        <v>90</v>
      </c>
      <c r="C157" s="49" t="s">
        <v>91</v>
      </c>
      <c r="D157" s="49" t="s">
        <v>69</v>
      </c>
      <c r="E157" s="50">
        <v>101373634</v>
      </c>
      <c r="F157" s="50">
        <v>98580493</v>
      </c>
      <c r="G157" s="50">
        <v>98580493</v>
      </c>
      <c r="H157" s="50">
        <v>0</v>
      </c>
      <c r="I157" s="50">
        <v>26711598.02</v>
      </c>
      <c r="J157" s="50">
        <v>0</v>
      </c>
      <c r="K157" s="50">
        <v>71868894.980000004</v>
      </c>
      <c r="L157" s="151">
        <f t="shared" si="0"/>
        <v>0.72903769085431536</v>
      </c>
      <c r="M157" s="50">
        <v>71868894.980000004</v>
      </c>
      <c r="N157" s="152">
        <f t="shared" si="1"/>
        <v>0.72903769085431536</v>
      </c>
      <c r="O157" s="50">
        <v>0</v>
      </c>
      <c r="P157" s="152">
        <f t="shared" si="2"/>
        <v>0</v>
      </c>
      <c r="Q157" s="50">
        <v>0</v>
      </c>
      <c r="R157" s="50"/>
      <c r="S157" s="50"/>
      <c r="T157" s="50"/>
      <c r="U157" s="44"/>
    </row>
    <row r="158" spans="1:21" hidden="1" x14ac:dyDescent="0.25">
      <c r="A158" s="49" t="s">
        <v>706</v>
      </c>
      <c r="B158" s="49" t="s">
        <v>419</v>
      </c>
      <c r="C158" s="49" t="s">
        <v>697</v>
      </c>
      <c r="D158" s="49" t="s">
        <v>69</v>
      </c>
      <c r="E158" s="50">
        <v>96175035</v>
      </c>
      <c r="F158" s="50">
        <v>93525131</v>
      </c>
      <c r="G158" s="50">
        <v>93525131</v>
      </c>
      <c r="H158" s="50">
        <v>0</v>
      </c>
      <c r="I158" s="50">
        <v>25341662.050000001</v>
      </c>
      <c r="J158" s="50">
        <v>0</v>
      </c>
      <c r="K158" s="50">
        <v>68183468.950000003</v>
      </c>
      <c r="L158" s="151">
        <f t="shared" si="0"/>
        <v>0.72903901038107077</v>
      </c>
      <c r="M158" s="50">
        <v>68183468.950000003</v>
      </c>
      <c r="N158" s="152">
        <f t="shared" si="1"/>
        <v>0.72903901038107077</v>
      </c>
      <c r="O158" s="50">
        <v>0</v>
      </c>
      <c r="P158" s="152">
        <f t="shared" si="2"/>
        <v>0</v>
      </c>
      <c r="Q158" s="50">
        <v>0</v>
      </c>
      <c r="R158" s="50"/>
      <c r="S158" s="50"/>
      <c r="T158" s="50"/>
      <c r="U158" s="44"/>
    </row>
    <row r="159" spans="1:21" hidden="1" x14ac:dyDescent="0.25">
      <c r="A159" s="49" t="s">
        <v>706</v>
      </c>
      <c r="B159" s="49" t="s">
        <v>436</v>
      </c>
      <c r="C159" s="49" t="s">
        <v>95</v>
      </c>
      <c r="D159" s="49" t="s">
        <v>69</v>
      </c>
      <c r="E159" s="50">
        <v>5198599</v>
      </c>
      <c r="F159" s="50">
        <v>5055362</v>
      </c>
      <c r="G159" s="50">
        <v>5055362</v>
      </c>
      <c r="H159" s="50">
        <v>0</v>
      </c>
      <c r="I159" s="50">
        <v>1369935.97</v>
      </c>
      <c r="J159" s="50">
        <v>0</v>
      </c>
      <c r="K159" s="50">
        <v>3685426.03</v>
      </c>
      <c r="L159" s="151">
        <f t="shared" si="0"/>
        <v>0.72901327936555282</v>
      </c>
      <c r="M159" s="50">
        <v>3685426.03</v>
      </c>
      <c r="N159" s="152">
        <f t="shared" si="1"/>
        <v>0.72901327936555282</v>
      </c>
      <c r="O159" s="50">
        <v>0</v>
      </c>
      <c r="P159" s="152">
        <f t="shared" si="2"/>
        <v>0</v>
      </c>
      <c r="Q159" s="50">
        <v>0</v>
      </c>
      <c r="R159" s="50"/>
      <c r="S159" s="50"/>
      <c r="T159" s="50"/>
      <c r="U159" s="44"/>
    </row>
    <row r="160" spans="1:21" hidden="1" x14ac:dyDescent="0.25">
      <c r="A160" s="49" t="s">
        <v>706</v>
      </c>
      <c r="B160" s="49" t="s">
        <v>96</v>
      </c>
      <c r="C160" s="49" t="s">
        <v>97</v>
      </c>
      <c r="D160" s="49" t="s">
        <v>69</v>
      </c>
      <c r="E160" s="50">
        <v>101373634</v>
      </c>
      <c r="F160" s="50">
        <v>98580495</v>
      </c>
      <c r="G160" s="50">
        <v>94470595</v>
      </c>
      <c r="H160" s="50">
        <v>0</v>
      </c>
      <c r="I160" s="50">
        <v>23222943.93</v>
      </c>
      <c r="J160" s="50">
        <v>0</v>
      </c>
      <c r="K160" s="50">
        <v>71247651.069999993</v>
      </c>
      <c r="L160" s="151">
        <f t="shared" si="0"/>
        <v>0.72273578125165627</v>
      </c>
      <c r="M160" s="50">
        <v>71247651.069999993</v>
      </c>
      <c r="N160" s="152">
        <f t="shared" si="1"/>
        <v>0.72273578125165627</v>
      </c>
      <c r="O160" s="50">
        <v>4109900</v>
      </c>
      <c r="P160" s="152">
        <f t="shared" si="2"/>
        <v>4.1690803033602133E-2</v>
      </c>
      <c r="Q160" s="50">
        <v>0</v>
      </c>
      <c r="R160" s="50"/>
      <c r="S160" s="50"/>
      <c r="T160" s="50"/>
      <c r="U160" s="44"/>
    </row>
    <row r="161" spans="1:21" hidden="1" x14ac:dyDescent="0.25">
      <c r="A161" s="49" t="s">
        <v>706</v>
      </c>
      <c r="B161" s="49" t="s">
        <v>454</v>
      </c>
      <c r="C161" s="49" t="s">
        <v>698</v>
      </c>
      <c r="D161" s="49" t="s">
        <v>69</v>
      </c>
      <c r="E161" s="50">
        <v>54585842</v>
      </c>
      <c r="F161" s="50">
        <v>53081843</v>
      </c>
      <c r="G161" s="50">
        <v>53081843</v>
      </c>
      <c r="H161" s="50">
        <v>0</v>
      </c>
      <c r="I161" s="50">
        <v>15003029.890000001</v>
      </c>
      <c r="J161" s="50">
        <v>0</v>
      </c>
      <c r="K161" s="50">
        <v>38078813.109999999</v>
      </c>
      <c r="L161" s="151">
        <f t="shared" si="0"/>
        <v>0.71736041851448151</v>
      </c>
      <c r="M161" s="50">
        <v>38078813.109999999</v>
      </c>
      <c r="N161" s="152">
        <f t="shared" si="1"/>
        <v>0.71736041851448151</v>
      </c>
      <c r="O161" s="50">
        <v>0</v>
      </c>
      <c r="P161" s="152">
        <f t="shared" si="2"/>
        <v>0</v>
      </c>
      <c r="Q161" s="50">
        <v>0</v>
      </c>
      <c r="R161" s="50"/>
      <c r="S161" s="50"/>
      <c r="T161" s="50"/>
      <c r="U161" s="44"/>
    </row>
    <row r="162" spans="1:21" hidden="1" x14ac:dyDescent="0.25">
      <c r="A162" s="49" t="s">
        <v>706</v>
      </c>
      <c r="B162" s="49" t="s">
        <v>471</v>
      </c>
      <c r="C162" s="49" t="s">
        <v>699</v>
      </c>
      <c r="D162" s="49" t="s">
        <v>69</v>
      </c>
      <c r="E162" s="50">
        <v>15595897</v>
      </c>
      <c r="F162" s="50">
        <v>15166184</v>
      </c>
      <c r="G162" s="50">
        <v>15166184</v>
      </c>
      <c r="H162" s="50">
        <v>0</v>
      </c>
      <c r="I162" s="50">
        <v>4109898.08</v>
      </c>
      <c r="J162" s="50">
        <v>0</v>
      </c>
      <c r="K162" s="50">
        <v>11056285.92</v>
      </c>
      <c r="L162" s="151">
        <f t="shared" si="0"/>
        <v>0.72900908494846162</v>
      </c>
      <c r="M162" s="50">
        <v>11056285.92</v>
      </c>
      <c r="N162" s="152">
        <f t="shared" si="1"/>
        <v>0.72900908494846162</v>
      </c>
      <c r="O162" s="50">
        <v>0</v>
      </c>
      <c r="P162" s="152">
        <f t="shared" si="2"/>
        <v>0</v>
      </c>
      <c r="Q162" s="50">
        <v>0</v>
      </c>
      <c r="R162" s="50"/>
      <c r="S162" s="50"/>
      <c r="T162" s="50"/>
      <c r="U162" s="44"/>
    </row>
    <row r="163" spans="1:21" hidden="1" x14ac:dyDescent="0.25">
      <c r="A163" s="49" t="s">
        <v>706</v>
      </c>
      <c r="B163" s="49" t="s">
        <v>488</v>
      </c>
      <c r="C163" s="49" t="s">
        <v>700</v>
      </c>
      <c r="D163" s="49" t="s">
        <v>69</v>
      </c>
      <c r="E163" s="50">
        <v>31191895</v>
      </c>
      <c r="F163" s="50">
        <v>30332468</v>
      </c>
      <c r="G163" s="50">
        <v>26222568</v>
      </c>
      <c r="H163" s="50">
        <v>0</v>
      </c>
      <c r="I163" s="50">
        <v>4110015.96</v>
      </c>
      <c r="J163" s="50">
        <v>0</v>
      </c>
      <c r="K163" s="50">
        <v>22112552.039999999</v>
      </c>
      <c r="L163" s="151">
        <f t="shared" si="0"/>
        <v>0.72900602878737064</v>
      </c>
      <c r="M163" s="50">
        <v>22112552.039999999</v>
      </c>
      <c r="N163" s="152">
        <f t="shared" si="1"/>
        <v>0.72900602878737064</v>
      </c>
      <c r="O163" s="50">
        <v>4109900</v>
      </c>
      <c r="P163" s="152">
        <f t="shared" si="2"/>
        <v>0.13549507412321346</v>
      </c>
      <c r="Q163" s="50">
        <v>0</v>
      </c>
      <c r="R163" s="50"/>
      <c r="S163" s="50"/>
      <c r="T163" s="50"/>
      <c r="U163" s="44"/>
    </row>
    <row r="164" spans="1:21" hidden="1" x14ac:dyDescent="0.25">
      <c r="A164" s="49" t="s">
        <v>706</v>
      </c>
      <c r="B164" s="49" t="s">
        <v>104</v>
      </c>
      <c r="C164" s="49" t="s">
        <v>105</v>
      </c>
      <c r="D164" s="49" t="s">
        <v>69</v>
      </c>
      <c r="E164" s="50">
        <v>1188545520</v>
      </c>
      <c r="F164" s="50">
        <v>1240795520</v>
      </c>
      <c r="G164" s="50">
        <v>1223095516.21</v>
      </c>
      <c r="H164" s="50">
        <v>75899993.870000005</v>
      </c>
      <c r="I164" s="50">
        <v>176714242.09999999</v>
      </c>
      <c r="J164" s="50">
        <v>14196733.359999999</v>
      </c>
      <c r="K164" s="50">
        <v>774951984.79999995</v>
      </c>
      <c r="L164" s="151">
        <f t="shared" si="0"/>
        <v>0.62456059222393057</v>
      </c>
      <c r="M164" s="50">
        <v>667840650.30999994</v>
      </c>
      <c r="N164" s="152">
        <f t="shared" si="1"/>
        <v>0.53823586525360756</v>
      </c>
      <c r="O164" s="50">
        <v>199032565.87</v>
      </c>
      <c r="P164" s="152">
        <f t="shared" si="2"/>
        <v>0.16040722476979929</v>
      </c>
      <c r="Q164" s="50">
        <v>181332562.08000001</v>
      </c>
      <c r="R164" s="50"/>
      <c r="S164" s="50"/>
      <c r="T164" s="50"/>
      <c r="U164" s="44"/>
    </row>
    <row r="165" spans="1:21" hidden="1" x14ac:dyDescent="0.25">
      <c r="A165" s="49" t="s">
        <v>706</v>
      </c>
      <c r="B165" s="49" t="s">
        <v>106</v>
      </c>
      <c r="C165" s="49" t="s">
        <v>107</v>
      </c>
      <c r="D165" s="49" t="s">
        <v>69</v>
      </c>
      <c r="E165" s="50">
        <v>411755980</v>
      </c>
      <c r="F165" s="50">
        <v>427355497.89999998</v>
      </c>
      <c r="G165" s="50">
        <v>427355495.72000003</v>
      </c>
      <c r="H165" s="50">
        <v>10763575.189999999</v>
      </c>
      <c r="I165" s="50">
        <v>91668472.730000004</v>
      </c>
      <c r="J165" s="50">
        <v>13154869.27</v>
      </c>
      <c r="K165" s="50">
        <v>276122890.05000001</v>
      </c>
      <c r="L165" s="151">
        <f t="shared" si="0"/>
        <v>0.64611989644886236</v>
      </c>
      <c r="M165" s="50">
        <v>226288232.53</v>
      </c>
      <c r="N165" s="152">
        <f t="shared" si="1"/>
        <v>0.52950818146008927</v>
      </c>
      <c r="O165" s="50">
        <v>35645690.659999996</v>
      </c>
      <c r="P165" s="152">
        <f t="shared" si="2"/>
        <v>8.3409926478449081E-2</v>
      </c>
      <c r="Q165" s="50">
        <v>35645688.479999997</v>
      </c>
      <c r="R165" s="50"/>
      <c r="S165" s="50"/>
      <c r="T165" s="50"/>
      <c r="U165" s="44"/>
    </row>
    <row r="166" spans="1:21" hidden="1" x14ac:dyDescent="0.25">
      <c r="A166" s="49" t="s">
        <v>706</v>
      </c>
      <c r="B166" s="49" t="s">
        <v>280</v>
      </c>
      <c r="C166" s="49" t="s">
        <v>281</v>
      </c>
      <c r="D166" s="49" t="s">
        <v>69</v>
      </c>
      <c r="E166" s="50">
        <v>168555500</v>
      </c>
      <c r="F166" s="50">
        <v>186505500</v>
      </c>
      <c r="G166" s="50">
        <v>186505499.09</v>
      </c>
      <c r="H166" s="50">
        <v>0</v>
      </c>
      <c r="I166" s="50">
        <v>41438629.109999999</v>
      </c>
      <c r="J166" s="50">
        <v>1556205</v>
      </c>
      <c r="K166" s="50">
        <v>138836534.02000001</v>
      </c>
      <c r="L166" s="151">
        <f t="shared" si="0"/>
        <v>0.74440986469567927</v>
      </c>
      <c r="M166" s="50">
        <v>138836534.02000001</v>
      </c>
      <c r="N166" s="152">
        <f t="shared" si="1"/>
        <v>0.74440986469567927</v>
      </c>
      <c r="O166" s="50">
        <v>4674131.87</v>
      </c>
      <c r="P166" s="152">
        <f t="shared" si="2"/>
        <v>2.5061630193211462E-2</v>
      </c>
      <c r="Q166" s="50">
        <v>4674130.96</v>
      </c>
      <c r="R166" s="50"/>
      <c r="S166" s="50"/>
      <c r="T166" s="50"/>
      <c r="U166" s="44"/>
    </row>
    <row r="167" spans="1:21" hidden="1" x14ac:dyDescent="0.25">
      <c r="A167" s="49" t="s">
        <v>706</v>
      </c>
      <c r="B167" s="49" t="s">
        <v>302</v>
      </c>
      <c r="C167" s="49" t="s">
        <v>303</v>
      </c>
      <c r="D167" s="49" t="s">
        <v>69</v>
      </c>
      <c r="E167" s="50">
        <v>3869560</v>
      </c>
      <c r="F167" s="50">
        <v>3869560</v>
      </c>
      <c r="G167" s="50">
        <v>3869560</v>
      </c>
      <c r="H167" s="50">
        <v>0</v>
      </c>
      <c r="I167" s="50">
        <v>67150.17</v>
      </c>
      <c r="J167" s="50">
        <v>0</v>
      </c>
      <c r="K167" s="50">
        <v>1999233.69</v>
      </c>
      <c r="L167" s="151">
        <f t="shared" si="0"/>
        <v>0.51665659403136277</v>
      </c>
      <c r="M167" s="50">
        <v>1358036.37</v>
      </c>
      <c r="N167" s="152">
        <f t="shared" si="1"/>
        <v>0.35095369240947294</v>
      </c>
      <c r="O167" s="50">
        <v>1803176.14</v>
      </c>
      <c r="P167" s="152">
        <f t="shared" si="2"/>
        <v>0.46598996785164204</v>
      </c>
      <c r="Q167" s="50">
        <v>1803176.14</v>
      </c>
      <c r="R167" s="50"/>
      <c r="S167" s="50"/>
      <c r="T167" s="50"/>
      <c r="U167" s="44"/>
    </row>
    <row r="168" spans="1:21" hidden="1" x14ac:dyDescent="0.25">
      <c r="A168" s="49" t="s">
        <v>706</v>
      </c>
      <c r="B168" s="49" t="s">
        <v>108</v>
      </c>
      <c r="C168" s="49" t="s">
        <v>109</v>
      </c>
      <c r="D168" s="49" t="s">
        <v>69</v>
      </c>
      <c r="E168" s="50">
        <v>194561670</v>
      </c>
      <c r="F168" s="50">
        <v>189561670</v>
      </c>
      <c r="G168" s="50">
        <v>189561669.5</v>
      </c>
      <c r="H168" s="50">
        <v>1685263.72</v>
      </c>
      <c r="I168" s="50">
        <v>48208807.259999998</v>
      </c>
      <c r="J168" s="50">
        <v>0</v>
      </c>
      <c r="K168" s="50">
        <v>111130956.44</v>
      </c>
      <c r="L168" s="151">
        <f t="shared" si="0"/>
        <v>0.58625225468840825</v>
      </c>
      <c r="M168" s="50">
        <v>64541833.57</v>
      </c>
      <c r="N168" s="152">
        <f t="shared" si="1"/>
        <v>0.34047934674768376</v>
      </c>
      <c r="O168" s="50">
        <v>28536642.579999998</v>
      </c>
      <c r="P168" s="152">
        <f t="shared" si="2"/>
        <v>0.15054015181444644</v>
      </c>
      <c r="Q168" s="50">
        <v>28536642.079999998</v>
      </c>
      <c r="R168" s="50"/>
      <c r="S168" s="50"/>
      <c r="T168" s="50"/>
      <c r="U168" s="44"/>
    </row>
    <row r="169" spans="1:21" hidden="1" x14ac:dyDescent="0.25">
      <c r="A169" s="49" t="s">
        <v>706</v>
      </c>
      <c r="B169" s="49" t="s">
        <v>304</v>
      </c>
      <c r="C169" s="49" t="s">
        <v>305</v>
      </c>
      <c r="D169" s="49" t="s">
        <v>69</v>
      </c>
      <c r="E169" s="50">
        <v>1649720</v>
      </c>
      <c r="F169" s="50">
        <v>1799237.9</v>
      </c>
      <c r="G169" s="50">
        <v>1799237.13</v>
      </c>
      <c r="H169" s="50">
        <v>0</v>
      </c>
      <c r="I169" s="50">
        <v>78775.570000000007</v>
      </c>
      <c r="J169" s="50">
        <v>0</v>
      </c>
      <c r="K169" s="50">
        <v>1416529.63</v>
      </c>
      <c r="L169" s="151">
        <f t="shared" si="0"/>
        <v>0.78729423718786717</v>
      </c>
      <c r="M169" s="50">
        <v>1416529.63</v>
      </c>
      <c r="N169" s="152">
        <f t="shared" si="1"/>
        <v>0.78729423718786717</v>
      </c>
      <c r="O169" s="50">
        <v>303932.7</v>
      </c>
      <c r="P169" s="152">
        <f t="shared" si="2"/>
        <v>0.16892302012980054</v>
      </c>
      <c r="Q169" s="50">
        <v>303931.93</v>
      </c>
      <c r="R169" s="50"/>
      <c r="S169" s="50"/>
      <c r="T169" s="50"/>
      <c r="U169" s="44"/>
    </row>
    <row r="170" spans="1:21" hidden="1" x14ac:dyDescent="0.25">
      <c r="A170" s="49" t="s">
        <v>706</v>
      </c>
      <c r="B170" s="49" t="s">
        <v>110</v>
      </c>
      <c r="C170" s="49" t="s">
        <v>111</v>
      </c>
      <c r="D170" s="49" t="s">
        <v>69</v>
      </c>
      <c r="E170" s="50">
        <v>43119530</v>
      </c>
      <c r="F170" s="50">
        <v>45619530</v>
      </c>
      <c r="G170" s="50">
        <v>45619530</v>
      </c>
      <c r="H170" s="50">
        <v>9078311.4700000007</v>
      </c>
      <c r="I170" s="50">
        <v>1875110.62</v>
      </c>
      <c r="J170" s="50">
        <v>11598664.27</v>
      </c>
      <c r="K170" s="50">
        <v>22739636.27</v>
      </c>
      <c r="L170" s="151">
        <f t="shared" si="0"/>
        <v>0.49846274764338871</v>
      </c>
      <c r="M170" s="50">
        <v>20135298.940000001</v>
      </c>
      <c r="N170" s="152">
        <f t="shared" si="1"/>
        <v>0.44137453717738873</v>
      </c>
      <c r="O170" s="50">
        <v>327807.37</v>
      </c>
      <c r="P170" s="152">
        <f t="shared" si="2"/>
        <v>7.1856805626888311E-3</v>
      </c>
      <c r="Q170" s="50">
        <v>327807.37</v>
      </c>
      <c r="R170" s="50"/>
      <c r="S170" s="50"/>
      <c r="T170" s="50"/>
      <c r="U170" s="44"/>
    </row>
    <row r="171" spans="1:21" hidden="1" x14ac:dyDescent="0.25">
      <c r="A171" s="49" t="s">
        <v>706</v>
      </c>
      <c r="B171" s="49" t="s">
        <v>112</v>
      </c>
      <c r="C171" s="49" t="s">
        <v>113</v>
      </c>
      <c r="D171" s="49" t="s">
        <v>69</v>
      </c>
      <c r="E171" s="50">
        <v>114662680</v>
      </c>
      <c r="F171" s="50">
        <v>114662680</v>
      </c>
      <c r="G171" s="50">
        <v>114662679.39</v>
      </c>
      <c r="H171" s="50">
        <v>0</v>
      </c>
      <c r="I171" s="50">
        <v>18346949.52</v>
      </c>
      <c r="J171" s="50">
        <v>166524.59</v>
      </c>
      <c r="K171" s="50">
        <v>76156354.030000001</v>
      </c>
      <c r="L171" s="151">
        <f t="shared" si="0"/>
        <v>0.66417734200875123</v>
      </c>
      <c r="M171" s="50">
        <v>71540948.510000005</v>
      </c>
      <c r="N171" s="152">
        <f t="shared" si="1"/>
        <v>0.62392531301378973</v>
      </c>
      <c r="O171" s="50">
        <v>19992851.859999999</v>
      </c>
      <c r="P171" s="152">
        <f t="shared" si="2"/>
        <v>0.17436232835304391</v>
      </c>
      <c r="Q171" s="50">
        <v>19992851.25</v>
      </c>
      <c r="R171" s="50"/>
      <c r="S171" s="50"/>
      <c r="T171" s="50"/>
      <c r="U171" s="44"/>
    </row>
    <row r="172" spans="1:21" hidden="1" x14ac:dyDescent="0.25">
      <c r="A172" s="49" t="s">
        <v>706</v>
      </c>
      <c r="B172" s="49" t="s">
        <v>114</v>
      </c>
      <c r="C172" s="49" t="s">
        <v>115</v>
      </c>
      <c r="D172" s="49" t="s">
        <v>69</v>
      </c>
      <c r="E172" s="50">
        <v>19200000</v>
      </c>
      <c r="F172" s="50">
        <v>19200000</v>
      </c>
      <c r="G172" s="50">
        <v>19199999.890000001</v>
      </c>
      <c r="H172" s="50">
        <v>0</v>
      </c>
      <c r="I172" s="50">
        <v>3313198.01</v>
      </c>
      <c r="J172" s="50">
        <v>0</v>
      </c>
      <c r="K172" s="50">
        <v>14077723</v>
      </c>
      <c r="L172" s="151">
        <f t="shared" si="0"/>
        <v>0.73321473958333339</v>
      </c>
      <c r="M172" s="50">
        <v>14077723</v>
      </c>
      <c r="N172" s="152">
        <f t="shared" si="1"/>
        <v>0.73321473958333339</v>
      </c>
      <c r="O172" s="50">
        <v>1809078.99</v>
      </c>
      <c r="P172" s="152">
        <f t="shared" si="2"/>
        <v>9.4222864062499995E-2</v>
      </c>
      <c r="Q172" s="50">
        <v>1809078.88</v>
      </c>
      <c r="R172" s="50"/>
      <c r="S172" s="50"/>
      <c r="T172" s="50"/>
      <c r="U172" s="44"/>
    </row>
    <row r="173" spans="1:21" hidden="1" x14ac:dyDescent="0.25">
      <c r="A173" s="49" t="s">
        <v>706</v>
      </c>
      <c r="B173" s="49" t="s">
        <v>116</v>
      </c>
      <c r="C173" s="49" t="s">
        <v>117</v>
      </c>
      <c r="D173" s="49" t="s">
        <v>69</v>
      </c>
      <c r="E173" s="50">
        <v>37800000</v>
      </c>
      <c r="F173" s="50">
        <v>37800000</v>
      </c>
      <c r="G173" s="50">
        <v>37799999.5</v>
      </c>
      <c r="H173" s="50">
        <v>0</v>
      </c>
      <c r="I173" s="50">
        <v>2994900.5</v>
      </c>
      <c r="J173" s="50">
        <v>0</v>
      </c>
      <c r="K173" s="50">
        <v>33788404.5</v>
      </c>
      <c r="L173" s="151">
        <f t="shared" si="0"/>
        <v>0.89387313492063492</v>
      </c>
      <c r="M173" s="50">
        <v>31350340.350000001</v>
      </c>
      <c r="N173" s="152">
        <f t="shared" si="1"/>
        <v>0.8293740833333334</v>
      </c>
      <c r="O173" s="50">
        <v>1016695</v>
      </c>
      <c r="P173" s="152">
        <f t="shared" si="2"/>
        <v>2.689669312169312E-2</v>
      </c>
      <c r="Q173" s="50">
        <v>1016694.5</v>
      </c>
      <c r="R173" s="50"/>
      <c r="S173" s="50"/>
      <c r="T173" s="50"/>
      <c r="U173" s="44"/>
    </row>
    <row r="174" spans="1:21" x14ac:dyDescent="0.25">
      <c r="A174" s="161" t="s">
        <v>706</v>
      </c>
      <c r="B174" s="161" t="s">
        <v>118</v>
      </c>
      <c r="C174" s="161" t="s">
        <v>119</v>
      </c>
      <c r="D174" s="161" t="s">
        <v>69</v>
      </c>
      <c r="E174" s="162">
        <v>7200000</v>
      </c>
      <c r="F174" s="162">
        <v>7200000</v>
      </c>
      <c r="G174" s="162">
        <v>7200000</v>
      </c>
      <c r="H174" s="162">
        <v>0</v>
      </c>
      <c r="I174" s="162">
        <v>275520.40000000002</v>
      </c>
      <c r="J174" s="162">
        <v>0</v>
      </c>
      <c r="K174" s="162">
        <v>974479.6</v>
      </c>
      <c r="L174" s="163">
        <f t="shared" si="0"/>
        <v>0.13534438888888889</v>
      </c>
      <c r="M174" s="162">
        <v>974479.6</v>
      </c>
      <c r="N174" s="164">
        <f t="shared" si="1"/>
        <v>0.13534438888888889</v>
      </c>
      <c r="O174" s="162">
        <v>5950000</v>
      </c>
      <c r="P174" s="164">
        <f t="shared" si="2"/>
        <v>0.82638888888888884</v>
      </c>
      <c r="Q174" s="50">
        <v>5950000</v>
      </c>
      <c r="R174" s="162"/>
      <c r="S174" s="162"/>
      <c r="T174" s="162"/>
      <c r="U174" s="160"/>
    </row>
    <row r="175" spans="1:21" hidden="1" x14ac:dyDescent="0.25">
      <c r="A175" s="161" t="s">
        <v>706</v>
      </c>
      <c r="B175" s="161" t="s">
        <v>120</v>
      </c>
      <c r="C175" s="161" t="s">
        <v>121</v>
      </c>
      <c r="D175" s="161" t="s">
        <v>69</v>
      </c>
      <c r="E175" s="162">
        <v>45662680</v>
      </c>
      <c r="F175" s="162">
        <v>45662680</v>
      </c>
      <c r="G175" s="162">
        <v>45662680</v>
      </c>
      <c r="H175" s="162">
        <v>0</v>
      </c>
      <c r="I175" s="162">
        <v>11761846.26</v>
      </c>
      <c r="J175" s="162">
        <v>166524.59</v>
      </c>
      <c r="K175" s="162">
        <v>26006681.68</v>
      </c>
      <c r="L175" s="163">
        <f t="shared" si="0"/>
        <v>0.56953910020174026</v>
      </c>
      <c r="M175" s="162">
        <v>23829340.309999999</v>
      </c>
      <c r="N175" s="164">
        <f t="shared" si="1"/>
        <v>0.52185592939354408</v>
      </c>
      <c r="O175" s="162">
        <v>7727627.4699999997</v>
      </c>
      <c r="P175" s="164">
        <f t="shared" si="2"/>
        <v>0.16923289368911329</v>
      </c>
      <c r="Q175" s="50">
        <v>7727627.4699999997</v>
      </c>
      <c r="R175" s="162"/>
      <c r="S175" s="162"/>
      <c r="T175" s="162"/>
      <c r="U175" s="44"/>
    </row>
    <row r="176" spans="1:21" x14ac:dyDescent="0.25">
      <c r="A176" s="161" t="s">
        <v>706</v>
      </c>
      <c r="B176" s="161" t="s">
        <v>122</v>
      </c>
      <c r="C176" s="161" t="s">
        <v>123</v>
      </c>
      <c r="D176" s="161" t="s">
        <v>69</v>
      </c>
      <c r="E176" s="162">
        <v>4800000</v>
      </c>
      <c r="F176" s="162">
        <v>4800000</v>
      </c>
      <c r="G176" s="162">
        <v>4800000</v>
      </c>
      <c r="H176" s="162">
        <v>0</v>
      </c>
      <c r="I176" s="162">
        <v>1484.35</v>
      </c>
      <c r="J176" s="162">
        <v>0</v>
      </c>
      <c r="K176" s="162">
        <v>1309065.25</v>
      </c>
      <c r="L176" s="163">
        <f t="shared" si="0"/>
        <v>0.27272192708333332</v>
      </c>
      <c r="M176" s="162">
        <v>1309065.25</v>
      </c>
      <c r="N176" s="164">
        <f t="shared" si="1"/>
        <v>0.27272192708333332</v>
      </c>
      <c r="O176" s="162">
        <v>3489450.4</v>
      </c>
      <c r="P176" s="164">
        <f t="shared" si="2"/>
        <v>0.72696883333333329</v>
      </c>
      <c r="Q176" s="50">
        <v>3489450.4</v>
      </c>
      <c r="R176" s="162"/>
      <c r="S176" s="162"/>
      <c r="T176" s="162"/>
      <c r="U176" s="159"/>
    </row>
    <row r="177" spans="1:21" hidden="1" x14ac:dyDescent="0.25">
      <c r="A177" s="161" t="s">
        <v>706</v>
      </c>
      <c r="B177" s="161" t="s">
        <v>124</v>
      </c>
      <c r="C177" s="161" t="s">
        <v>125</v>
      </c>
      <c r="D177" s="161" t="s">
        <v>69</v>
      </c>
      <c r="E177" s="162">
        <v>5424230</v>
      </c>
      <c r="F177" s="162">
        <v>6924230</v>
      </c>
      <c r="G177" s="162">
        <v>6924230</v>
      </c>
      <c r="H177" s="162">
        <v>0</v>
      </c>
      <c r="I177" s="162">
        <v>610700.12</v>
      </c>
      <c r="J177" s="162">
        <v>0</v>
      </c>
      <c r="K177" s="162">
        <v>1566052.4</v>
      </c>
      <c r="L177" s="163">
        <f t="shared" si="0"/>
        <v>0.22616989903570503</v>
      </c>
      <c r="M177" s="162">
        <v>1327542.17</v>
      </c>
      <c r="N177" s="164">
        <f t="shared" si="1"/>
        <v>0.19172415849849006</v>
      </c>
      <c r="O177" s="162">
        <v>4747477.4800000004</v>
      </c>
      <c r="P177" s="164">
        <f t="shared" si="2"/>
        <v>0.68563255120063893</v>
      </c>
      <c r="Q177" s="50">
        <v>4747477.4800000004</v>
      </c>
      <c r="R177" s="162"/>
      <c r="S177" s="162"/>
      <c r="T177" s="162"/>
      <c r="U177" s="159"/>
    </row>
    <row r="178" spans="1:21" x14ac:dyDescent="0.25">
      <c r="A178" s="161" t="s">
        <v>706</v>
      </c>
      <c r="B178" s="161" t="s">
        <v>126</v>
      </c>
      <c r="C178" s="161" t="s">
        <v>127</v>
      </c>
      <c r="D178" s="161" t="s">
        <v>69</v>
      </c>
      <c r="E178" s="162">
        <v>500000</v>
      </c>
      <c r="F178" s="162">
        <v>2000000</v>
      </c>
      <c r="G178" s="162">
        <v>2000000</v>
      </c>
      <c r="H178" s="162">
        <v>0</v>
      </c>
      <c r="I178" s="162">
        <v>115821.44</v>
      </c>
      <c r="J178" s="162">
        <v>0</v>
      </c>
      <c r="K178" s="162">
        <v>788213.6</v>
      </c>
      <c r="L178" s="163">
        <f t="shared" si="0"/>
        <v>0.39410679999999998</v>
      </c>
      <c r="M178" s="162">
        <v>566801.4</v>
      </c>
      <c r="N178" s="164">
        <f t="shared" si="1"/>
        <v>0.28340070000000001</v>
      </c>
      <c r="O178" s="162">
        <v>1095964.96</v>
      </c>
      <c r="P178" s="164">
        <f t="shared" si="2"/>
        <v>0.54798247999999994</v>
      </c>
      <c r="Q178" s="50">
        <v>1095964.96</v>
      </c>
      <c r="R178" s="162"/>
      <c r="S178" s="162"/>
      <c r="T178" s="162"/>
      <c r="U178" s="159"/>
    </row>
    <row r="179" spans="1:21" x14ac:dyDescent="0.25">
      <c r="A179" s="161" t="s">
        <v>706</v>
      </c>
      <c r="B179" s="161" t="s">
        <v>128</v>
      </c>
      <c r="C179" s="161" t="s">
        <v>129</v>
      </c>
      <c r="D179" s="161" t="s">
        <v>69</v>
      </c>
      <c r="E179" s="162">
        <v>1000000</v>
      </c>
      <c r="F179" s="162">
        <v>1000000</v>
      </c>
      <c r="G179" s="162">
        <v>1000000</v>
      </c>
      <c r="H179" s="162">
        <v>0</v>
      </c>
      <c r="I179" s="162">
        <v>158122.87</v>
      </c>
      <c r="J179" s="162">
        <v>0</v>
      </c>
      <c r="K179" s="162">
        <v>49492.13</v>
      </c>
      <c r="L179" s="163">
        <f t="shared" si="0"/>
        <v>4.9492129999999995E-2</v>
      </c>
      <c r="M179" s="162">
        <v>49492.13</v>
      </c>
      <c r="N179" s="164">
        <f t="shared" si="1"/>
        <v>4.9492129999999995E-2</v>
      </c>
      <c r="O179" s="162">
        <v>792385</v>
      </c>
      <c r="P179" s="164">
        <f t="shared" si="2"/>
        <v>0.79238500000000001</v>
      </c>
      <c r="Q179" s="50">
        <v>792385</v>
      </c>
      <c r="R179" s="162"/>
      <c r="S179" s="162"/>
      <c r="T179" s="162"/>
      <c r="U179" s="159"/>
    </row>
    <row r="180" spans="1:21" hidden="1" x14ac:dyDescent="0.25">
      <c r="A180" s="161" t="s">
        <v>706</v>
      </c>
      <c r="B180" s="161" t="s">
        <v>130</v>
      </c>
      <c r="C180" s="161" t="s">
        <v>131</v>
      </c>
      <c r="D180" s="161" t="s">
        <v>69</v>
      </c>
      <c r="E180" s="162">
        <v>138100</v>
      </c>
      <c r="F180" s="162">
        <v>138100</v>
      </c>
      <c r="G180" s="162">
        <v>138100</v>
      </c>
      <c r="H180" s="162">
        <v>0</v>
      </c>
      <c r="I180" s="162">
        <v>33819.9</v>
      </c>
      <c r="J180" s="162">
        <v>0</v>
      </c>
      <c r="K180" s="162">
        <v>74180.100000000006</v>
      </c>
      <c r="L180" s="163">
        <f t="shared" si="0"/>
        <v>0.53714771904417091</v>
      </c>
      <c r="M180" s="162">
        <v>74180.100000000006</v>
      </c>
      <c r="N180" s="164">
        <f t="shared" si="1"/>
        <v>0.53714771904417091</v>
      </c>
      <c r="O180" s="162">
        <v>30100</v>
      </c>
      <c r="P180" s="164">
        <f t="shared" si="2"/>
        <v>0.21795800144822591</v>
      </c>
      <c r="Q180" s="50">
        <v>30100</v>
      </c>
      <c r="R180" s="162"/>
      <c r="S180" s="162"/>
      <c r="T180" s="162"/>
      <c r="U180" s="159"/>
    </row>
    <row r="181" spans="1:21" x14ac:dyDescent="0.25">
      <c r="A181" s="161" t="s">
        <v>706</v>
      </c>
      <c r="B181" s="161" t="s">
        <v>132</v>
      </c>
      <c r="C181" s="161" t="s">
        <v>133</v>
      </c>
      <c r="D181" s="161" t="s">
        <v>69</v>
      </c>
      <c r="E181" s="162">
        <v>3786130</v>
      </c>
      <c r="F181" s="162">
        <v>3786130</v>
      </c>
      <c r="G181" s="162">
        <v>3786130</v>
      </c>
      <c r="H181" s="162">
        <v>0</v>
      </c>
      <c r="I181" s="162">
        <v>302935.90999999997</v>
      </c>
      <c r="J181" s="162">
        <v>0</v>
      </c>
      <c r="K181" s="162">
        <v>654166.56999999995</v>
      </c>
      <c r="L181" s="163">
        <f t="shared" si="0"/>
        <v>0.17277974343194766</v>
      </c>
      <c r="M181" s="162">
        <v>637068.54</v>
      </c>
      <c r="N181" s="164">
        <f t="shared" si="1"/>
        <v>0.16826377858129543</v>
      </c>
      <c r="O181" s="162">
        <v>2829027.52</v>
      </c>
      <c r="P181" s="164">
        <f t="shared" si="2"/>
        <v>0.74720823637857126</v>
      </c>
      <c r="Q181" s="50">
        <v>2829027.52</v>
      </c>
      <c r="R181" s="162"/>
      <c r="S181" s="162"/>
      <c r="T181" s="162"/>
      <c r="U181" s="159"/>
    </row>
    <row r="182" spans="1:21" hidden="1" x14ac:dyDescent="0.25">
      <c r="A182" s="161" t="s">
        <v>706</v>
      </c>
      <c r="B182" s="161" t="s">
        <v>134</v>
      </c>
      <c r="C182" s="161" t="s">
        <v>135</v>
      </c>
      <c r="D182" s="161" t="s">
        <v>69</v>
      </c>
      <c r="E182" s="162">
        <v>385113260</v>
      </c>
      <c r="F182" s="162">
        <v>425413260</v>
      </c>
      <c r="G182" s="162">
        <v>425413260</v>
      </c>
      <c r="H182" s="162">
        <v>63099159.780000001</v>
      </c>
      <c r="I182" s="162">
        <v>29031143.32</v>
      </c>
      <c r="J182" s="162">
        <v>0</v>
      </c>
      <c r="K182" s="162">
        <v>312786209.25999999</v>
      </c>
      <c r="L182" s="163">
        <f t="shared" si="0"/>
        <v>0.73525260886320276</v>
      </c>
      <c r="M182" s="162">
        <v>266135286.16999999</v>
      </c>
      <c r="N182" s="164">
        <f t="shared" si="1"/>
        <v>0.62559236204814106</v>
      </c>
      <c r="O182" s="162">
        <v>20496747.640000001</v>
      </c>
      <c r="P182" s="164">
        <f t="shared" si="2"/>
        <v>4.8180791637759485E-2</v>
      </c>
      <c r="Q182" s="50">
        <v>20496747.640000001</v>
      </c>
      <c r="R182" s="162"/>
      <c r="S182" s="162"/>
      <c r="T182" s="162"/>
      <c r="U182" s="44"/>
    </row>
    <row r="183" spans="1:21" x14ac:dyDescent="0.25">
      <c r="A183" s="161" t="s">
        <v>706</v>
      </c>
      <c r="B183" s="161" t="s">
        <v>306</v>
      </c>
      <c r="C183" s="161" t="s">
        <v>307</v>
      </c>
      <c r="D183" s="161" t="s">
        <v>69</v>
      </c>
      <c r="E183" s="162">
        <v>2000000</v>
      </c>
      <c r="F183" s="162">
        <v>2000000</v>
      </c>
      <c r="G183" s="162">
        <v>2000000</v>
      </c>
      <c r="H183" s="162">
        <v>0</v>
      </c>
      <c r="I183" s="162">
        <v>0</v>
      </c>
      <c r="J183" s="162">
        <v>0</v>
      </c>
      <c r="K183" s="162">
        <v>0</v>
      </c>
      <c r="L183" s="163">
        <f t="shared" si="0"/>
        <v>0</v>
      </c>
      <c r="M183" s="162">
        <v>0</v>
      </c>
      <c r="N183" s="164">
        <f t="shared" si="1"/>
        <v>0</v>
      </c>
      <c r="O183" s="162">
        <v>2000000</v>
      </c>
      <c r="P183" s="164">
        <f t="shared" si="2"/>
        <v>1</v>
      </c>
      <c r="Q183" s="50">
        <v>2000000</v>
      </c>
      <c r="R183" s="162"/>
      <c r="S183" s="162"/>
      <c r="T183" s="162"/>
      <c r="U183" s="160"/>
    </row>
    <row r="184" spans="1:21" hidden="1" x14ac:dyDescent="0.25">
      <c r="A184" s="161" t="s">
        <v>706</v>
      </c>
      <c r="B184" s="161" t="s">
        <v>136</v>
      </c>
      <c r="C184" s="161" t="s">
        <v>137</v>
      </c>
      <c r="D184" s="161" t="s">
        <v>69</v>
      </c>
      <c r="E184" s="162">
        <v>373281100</v>
      </c>
      <c r="F184" s="162">
        <v>407581100</v>
      </c>
      <c r="G184" s="162">
        <v>407581100</v>
      </c>
      <c r="H184" s="162">
        <v>62499159.780000001</v>
      </c>
      <c r="I184" s="162">
        <v>26908516.620000001</v>
      </c>
      <c r="J184" s="162">
        <v>0</v>
      </c>
      <c r="K184" s="162">
        <v>304023875.06999999</v>
      </c>
      <c r="L184" s="163">
        <f t="shared" si="0"/>
        <v>0.74592240677990218</v>
      </c>
      <c r="M184" s="162">
        <v>258014863.25999999</v>
      </c>
      <c r="N184" s="164">
        <f t="shared" si="1"/>
        <v>0.63303932213736114</v>
      </c>
      <c r="O184" s="162">
        <v>14149548.529999999</v>
      </c>
      <c r="P184" s="164">
        <f t="shared" si="2"/>
        <v>3.4715909373619139E-2</v>
      </c>
      <c r="Q184" s="50">
        <v>14149548.529999999</v>
      </c>
      <c r="R184" s="162"/>
      <c r="S184" s="162"/>
      <c r="T184" s="162"/>
      <c r="U184" s="44"/>
    </row>
    <row r="185" spans="1:21" hidden="1" x14ac:dyDescent="0.25">
      <c r="A185" s="161" t="s">
        <v>706</v>
      </c>
      <c r="B185" s="161" t="s">
        <v>138</v>
      </c>
      <c r="C185" s="161" t="s">
        <v>139</v>
      </c>
      <c r="D185" s="161" t="s">
        <v>69</v>
      </c>
      <c r="E185" s="162">
        <v>9832160</v>
      </c>
      <c r="F185" s="162">
        <v>15832160</v>
      </c>
      <c r="G185" s="162">
        <v>15832160</v>
      </c>
      <c r="H185" s="162">
        <v>600000</v>
      </c>
      <c r="I185" s="162">
        <v>2122626.7000000002</v>
      </c>
      <c r="J185" s="162">
        <v>0</v>
      </c>
      <c r="K185" s="162">
        <v>8762334.1899999995</v>
      </c>
      <c r="L185" s="163">
        <f t="shared" si="0"/>
        <v>0.55345159409707834</v>
      </c>
      <c r="M185" s="162">
        <v>8120422.9100000001</v>
      </c>
      <c r="N185" s="164">
        <f t="shared" si="1"/>
        <v>0.51290682446362346</v>
      </c>
      <c r="O185" s="162">
        <v>4347199.1100000003</v>
      </c>
      <c r="P185" s="164">
        <f t="shared" si="2"/>
        <v>0.27458029163424325</v>
      </c>
      <c r="Q185" s="50">
        <v>4347199.1100000003</v>
      </c>
      <c r="R185" s="162"/>
      <c r="S185" s="162"/>
      <c r="T185" s="162"/>
      <c r="U185" s="44"/>
    </row>
    <row r="186" spans="1:21" hidden="1" x14ac:dyDescent="0.25">
      <c r="A186" s="161" t="s">
        <v>706</v>
      </c>
      <c r="B186" s="161" t="s">
        <v>140</v>
      </c>
      <c r="C186" s="161" t="s">
        <v>141</v>
      </c>
      <c r="D186" s="161" t="s">
        <v>69</v>
      </c>
      <c r="E186" s="162">
        <v>35800000</v>
      </c>
      <c r="F186" s="162">
        <v>35800000</v>
      </c>
      <c r="G186" s="162">
        <v>35799999</v>
      </c>
      <c r="H186" s="162">
        <v>0</v>
      </c>
      <c r="I186" s="162">
        <v>10436776.27</v>
      </c>
      <c r="J186" s="162">
        <v>0</v>
      </c>
      <c r="K186" s="162">
        <v>8191123.7300000004</v>
      </c>
      <c r="L186" s="163">
        <f t="shared" si="0"/>
        <v>0.22880233882681567</v>
      </c>
      <c r="M186" s="162">
        <v>8062241.7300000004</v>
      </c>
      <c r="N186" s="164">
        <f t="shared" si="1"/>
        <v>0.22520228296089387</v>
      </c>
      <c r="O186" s="162">
        <v>17172100</v>
      </c>
      <c r="P186" s="164">
        <f t="shared" si="2"/>
        <v>0.47966759776536311</v>
      </c>
      <c r="Q186" s="50">
        <v>17172099</v>
      </c>
      <c r="R186" s="162"/>
      <c r="S186" s="162"/>
      <c r="T186" s="162"/>
      <c r="U186" s="44"/>
    </row>
    <row r="187" spans="1:21" x14ac:dyDescent="0.25">
      <c r="A187" s="161" t="s">
        <v>706</v>
      </c>
      <c r="B187" s="161" t="s">
        <v>142</v>
      </c>
      <c r="C187" s="161" t="s">
        <v>143</v>
      </c>
      <c r="D187" s="161" t="s">
        <v>69</v>
      </c>
      <c r="E187" s="162">
        <v>1800000</v>
      </c>
      <c r="F187" s="162">
        <v>1800000</v>
      </c>
      <c r="G187" s="162">
        <v>1799999.5</v>
      </c>
      <c r="H187" s="162">
        <v>0</v>
      </c>
      <c r="I187" s="162">
        <v>280376.27</v>
      </c>
      <c r="J187" s="162">
        <v>0</v>
      </c>
      <c r="K187" s="162">
        <v>419623.73</v>
      </c>
      <c r="L187" s="163">
        <f t="shared" si="0"/>
        <v>0.23312429444444444</v>
      </c>
      <c r="M187" s="162">
        <v>392941.73</v>
      </c>
      <c r="N187" s="164">
        <f t="shared" si="1"/>
        <v>0.21830096111111111</v>
      </c>
      <c r="O187" s="162">
        <v>1100000</v>
      </c>
      <c r="P187" s="164">
        <f t="shared" si="2"/>
        <v>0.61111111111111116</v>
      </c>
      <c r="Q187" s="50">
        <v>1099999.5</v>
      </c>
      <c r="R187" s="162"/>
      <c r="S187" s="162"/>
      <c r="T187" s="162"/>
      <c r="U187" s="159"/>
    </row>
    <row r="188" spans="1:21" x14ac:dyDescent="0.25">
      <c r="A188" s="161" t="s">
        <v>706</v>
      </c>
      <c r="B188" s="161" t="s">
        <v>144</v>
      </c>
      <c r="C188" s="161" t="s">
        <v>145</v>
      </c>
      <c r="D188" s="161" t="s">
        <v>69</v>
      </c>
      <c r="E188" s="162">
        <v>34000000</v>
      </c>
      <c r="F188" s="162">
        <v>34000000</v>
      </c>
      <c r="G188" s="162">
        <v>33999999.5</v>
      </c>
      <c r="H188" s="162">
        <v>0</v>
      </c>
      <c r="I188" s="162">
        <v>10156400</v>
      </c>
      <c r="J188" s="162">
        <v>0</v>
      </c>
      <c r="K188" s="162">
        <v>7771500</v>
      </c>
      <c r="L188" s="163">
        <f t="shared" si="0"/>
        <v>0.2285735294117647</v>
      </c>
      <c r="M188" s="162">
        <v>7669300</v>
      </c>
      <c r="N188" s="164">
        <f t="shared" si="1"/>
        <v>0.22556764705882354</v>
      </c>
      <c r="O188" s="162">
        <v>16072100</v>
      </c>
      <c r="P188" s="164">
        <f t="shared" si="2"/>
        <v>0.47270882352941179</v>
      </c>
      <c r="Q188" s="50">
        <v>16072099.5</v>
      </c>
      <c r="R188" s="162"/>
      <c r="S188" s="162"/>
      <c r="T188" s="162"/>
      <c r="U188" s="160"/>
    </row>
    <row r="189" spans="1:21" hidden="1" x14ac:dyDescent="0.25">
      <c r="A189" s="161" t="s">
        <v>706</v>
      </c>
      <c r="B189" s="161" t="s">
        <v>150</v>
      </c>
      <c r="C189" s="161" t="s">
        <v>151</v>
      </c>
      <c r="D189" s="161" t="s">
        <v>69</v>
      </c>
      <c r="E189" s="162">
        <v>113000000</v>
      </c>
      <c r="F189" s="162">
        <v>113000000</v>
      </c>
      <c r="G189" s="162">
        <v>113000000</v>
      </c>
      <c r="H189" s="162">
        <v>0</v>
      </c>
      <c r="I189" s="162">
        <v>97207.72</v>
      </c>
      <c r="J189" s="162">
        <v>0</v>
      </c>
      <c r="K189" s="162">
        <v>70392536.819999993</v>
      </c>
      <c r="L189" s="163">
        <f t="shared" si="0"/>
        <v>0.6229428037168141</v>
      </c>
      <c r="M189" s="162">
        <v>70203061.819999993</v>
      </c>
      <c r="N189" s="164">
        <f t="shared" si="1"/>
        <v>0.62126603380530965</v>
      </c>
      <c r="O189" s="162">
        <v>42510255.460000001</v>
      </c>
      <c r="P189" s="164">
        <f t="shared" si="2"/>
        <v>0.37619695097345135</v>
      </c>
      <c r="Q189" s="50">
        <v>42510255.460000001</v>
      </c>
      <c r="R189" s="162"/>
      <c r="S189" s="162"/>
      <c r="T189" s="162"/>
      <c r="U189" s="160"/>
    </row>
    <row r="190" spans="1:21" hidden="1" x14ac:dyDescent="0.25">
      <c r="A190" s="161" t="s">
        <v>706</v>
      </c>
      <c r="B190" s="161" t="s">
        <v>152</v>
      </c>
      <c r="C190" s="161" t="s">
        <v>153</v>
      </c>
      <c r="D190" s="161" t="s">
        <v>69</v>
      </c>
      <c r="E190" s="162">
        <v>113000000</v>
      </c>
      <c r="F190" s="162">
        <v>113000000</v>
      </c>
      <c r="G190" s="162">
        <v>113000000</v>
      </c>
      <c r="H190" s="162">
        <v>0</v>
      </c>
      <c r="I190" s="162">
        <v>97207.72</v>
      </c>
      <c r="J190" s="162">
        <v>0</v>
      </c>
      <c r="K190" s="162">
        <v>70392536.819999993</v>
      </c>
      <c r="L190" s="163">
        <f t="shared" si="0"/>
        <v>0.6229428037168141</v>
      </c>
      <c r="M190" s="162">
        <v>70203061.819999993</v>
      </c>
      <c r="N190" s="164">
        <f t="shared" si="1"/>
        <v>0.62126603380530965</v>
      </c>
      <c r="O190" s="162">
        <v>42510255.460000001</v>
      </c>
      <c r="P190" s="164">
        <f t="shared" si="2"/>
        <v>0.37619695097345135</v>
      </c>
      <c r="Q190" s="50">
        <v>42510255.460000001</v>
      </c>
      <c r="R190" s="162"/>
      <c r="S190" s="162"/>
      <c r="T190" s="162"/>
      <c r="U190" s="160"/>
    </row>
    <row r="191" spans="1:21" hidden="1" x14ac:dyDescent="0.25">
      <c r="A191" s="161" t="s">
        <v>706</v>
      </c>
      <c r="B191" s="161" t="s">
        <v>162</v>
      </c>
      <c r="C191" s="161" t="s">
        <v>163</v>
      </c>
      <c r="D191" s="161" t="s">
        <v>69</v>
      </c>
      <c r="E191" s="162">
        <v>119064370</v>
      </c>
      <c r="F191" s="162">
        <v>113914852.09999999</v>
      </c>
      <c r="G191" s="162">
        <v>96214852.099999994</v>
      </c>
      <c r="H191" s="162">
        <v>2037258.9</v>
      </c>
      <c r="I191" s="162">
        <v>24995917.420000002</v>
      </c>
      <c r="J191" s="162">
        <v>875339.5</v>
      </c>
      <c r="K191" s="162">
        <v>29538893.510000002</v>
      </c>
      <c r="L191" s="163">
        <f t="shared" si="0"/>
        <v>0.25930678015601799</v>
      </c>
      <c r="M191" s="162">
        <v>24130187.379999999</v>
      </c>
      <c r="N191" s="164">
        <f t="shared" si="1"/>
        <v>0.21182652599871127</v>
      </c>
      <c r="O191" s="162">
        <v>56467442.770000003</v>
      </c>
      <c r="P191" s="164">
        <f t="shared" si="2"/>
        <v>0.49569868835391312</v>
      </c>
      <c r="Q191" s="50">
        <v>38767442.770000003</v>
      </c>
      <c r="R191" s="162"/>
      <c r="S191" s="162"/>
      <c r="T191" s="162"/>
      <c r="U191" s="160"/>
    </row>
    <row r="192" spans="1:21" hidden="1" x14ac:dyDescent="0.25">
      <c r="A192" s="161" t="s">
        <v>706</v>
      </c>
      <c r="B192" s="161" t="s">
        <v>310</v>
      </c>
      <c r="C192" s="161" t="s">
        <v>311</v>
      </c>
      <c r="D192" s="161" t="s">
        <v>69</v>
      </c>
      <c r="E192" s="162">
        <v>25816590</v>
      </c>
      <c r="F192" s="162">
        <v>25816590</v>
      </c>
      <c r="G192" s="162">
        <v>20816590</v>
      </c>
      <c r="H192" s="162">
        <v>714067.23</v>
      </c>
      <c r="I192" s="162">
        <v>11763576.15</v>
      </c>
      <c r="J192" s="162">
        <v>0</v>
      </c>
      <c r="K192" s="162">
        <v>2616077.69</v>
      </c>
      <c r="L192" s="163">
        <f t="shared" si="0"/>
        <v>0.10133320047302916</v>
      </c>
      <c r="M192" s="162">
        <v>2097039.31</v>
      </c>
      <c r="N192" s="164">
        <f t="shared" si="1"/>
        <v>8.1228361685257433E-2</v>
      </c>
      <c r="O192" s="162">
        <v>10722868.93</v>
      </c>
      <c r="P192" s="164">
        <f t="shared" si="2"/>
        <v>0.41534799638527009</v>
      </c>
      <c r="Q192" s="50">
        <v>5722868.9299999997</v>
      </c>
      <c r="R192" s="162"/>
      <c r="S192" s="162"/>
      <c r="T192" s="162"/>
      <c r="U192" s="160"/>
    </row>
    <row r="193" spans="1:21" hidden="1" x14ac:dyDescent="0.25">
      <c r="A193" s="161" t="s">
        <v>706</v>
      </c>
      <c r="B193" s="161" t="s">
        <v>164</v>
      </c>
      <c r="C193" s="161" t="s">
        <v>165</v>
      </c>
      <c r="D193" s="161" t="s">
        <v>69</v>
      </c>
      <c r="E193" s="162">
        <v>4358000</v>
      </c>
      <c r="F193" s="162">
        <v>4358000</v>
      </c>
      <c r="G193" s="162">
        <v>4358000</v>
      </c>
      <c r="H193" s="162">
        <v>0</v>
      </c>
      <c r="I193" s="162">
        <v>1387942.13</v>
      </c>
      <c r="J193" s="162">
        <v>0</v>
      </c>
      <c r="K193" s="162">
        <v>1254490.69</v>
      </c>
      <c r="L193" s="163">
        <f t="shared" si="0"/>
        <v>0.28785926801284994</v>
      </c>
      <c r="M193" s="162">
        <v>826722.13</v>
      </c>
      <c r="N193" s="164">
        <f t="shared" si="1"/>
        <v>0.18970218678292794</v>
      </c>
      <c r="O193" s="162">
        <v>1715567.18</v>
      </c>
      <c r="P193" s="164">
        <f t="shared" si="2"/>
        <v>0.39365928866452499</v>
      </c>
      <c r="Q193" s="50">
        <v>1715567.18</v>
      </c>
      <c r="R193" s="162"/>
      <c r="S193" s="162"/>
      <c r="T193" s="162"/>
      <c r="U193" s="160"/>
    </row>
    <row r="194" spans="1:21" x14ac:dyDescent="0.25">
      <c r="A194" s="161" t="s">
        <v>706</v>
      </c>
      <c r="B194" s="161" t="s">
        <v>166</v>
      </c>
      <c r="C194" s="161" t="s">
        <v>167</v>
      </c>
      <c r="D194" s="161" t="s">
        <v>69</v>
      </c>
      <c r="E194" s="162">
        <v>28300000</v>
      </c>
      <c r="F194" s="162">
        <v>23150482.100000001</v>
      </c>
      <c r="G194" s="162">
        <v>15150482.1</v>
      </c>
      <c r="H194" s="162">
        <v>0</v>
      </c>
      <c r="I194" s="162">
        <v>4767377.66</v>
      </c>
      <c r="J194" s="162">
        <v>875339.5</v>
      </c>
      <c r="K194" s="162">
        <v>4016338.95</v>
      </c>
      <c r="L194" s="163">
        <f t="shared" si="0"/>
        <v>0.17348835037867311</v>
      </c>
      <c r="M194" s="162">
        <v>4016338.95</v>
      </c>
      <c r="N194" s="164">
        <f t="shared" si="1"/>
        <v>0.17348835037867311</v>
      </c>
      <c r="O194" s="162">
        <v>13491425.99</v>
      </c>
      <c r="P194" s="164">
        <f t="shared" si="2"/>
        <v>0.58277084389529843</v>
      </c>
      <c r="Q194" s="50">
        <v>5491425.9900000002</v>
      </c>
      <c r="R194" s="162"/>
      <c r="S194" s="162">
        <v>8000000</v>
      </c>
      <c r="T194" s="162"/>
      <c r="U194" s="160"/>
    </row>
    <row r="195" spans="1:21" x14ac:dyDescent="0.25">
      <c r="A195" s="161" t="s">
        <v>706</v>
      </c>
      <c r="B195" s="161" t="s">
        <v>312</v>
      </c>
      <c r="C195" s="161" t="s">
        <v>313</v>
      </c>
      <c r="D195" s="161" t="s">
        <v>69</v>
      </c>
      <c r="E195" s="162">
        <v>8695420</v>
      </c>
      <c r="F195" s="162">
        <v>8695420</v>
      </c>
      <c r="G195" s="162">
        <v>8695420</v>
      </c>
      <c r="H195" s="162">
        <v>365018.4</v>
      </c>
      <c r="I195" s="162">
        <v>962397.7</v>
      </c>
      <c r="J195" s="162">
        <v>0</v>
      </c>
      <c r="K195" s="162">
        <v>2845534.65</v>
      </c>
      <c r="L195" s="163">
        <f t="shared" si="0"/>
        <v>0.32724522219743268</v>
      </c>
      <c r="M195" s="162">
        <v>2517008.39</v>
      </c>
      <c r="N195" s="164">
        <f t="shared" si="1"/>
        <v>0.28946369353061729</v>
      </c>
      <c r="O195" s="162">
        <v>4522469.25</v>
      </c>
      <c r="P195" s="164">
        <f t="shared" si="2"/>
        <v>0.5200978503626047</v>
      </c>
      <c r="Q195" s="50">
        <v>4522469.25</v>
      </c>
      <c r="R195" s="162"/>
      <c r="S195" s="162"/>
      <c r="T195" s="162"/>
      <c r="U195" s="159"/>
    </row>
    <row r="196" spans="1:21" x14ac:dyDescent="0.25">
      <c r="A196" s="161" t="s">
        <v>706</v>
      </c>
      <c r="B196" s="161" t="s">
        <v>168</v>
      </c>
      <c r="C196" s="161" t="s">
        <v>169</v>
      </c>
      <c r="D196" s="161" t="s">
        <v>69</v>
      </c>
      <c r="E196" s="162">
        <v>19689160</v>
      </c>
      <c r="F196" s="162">
        <v>19689160</v>
      </c>
      <c r="G196" s="162">
        <v>16989160</v>
      </c>
      <c r="H196" s="162">
        <v>958173.27</v>
      </c>
      <c r="I196" s="162">
        <v>1177136.8400000001</v>
      </c>
      <c r="J196" s="162">
        <v>0</v>
      </c>
      <c r="K196" s="162">
        <v>4794086.93</v>
      </c>
      <c r="L196" s="163">
        <f t="shared" si="0"/>
        <v>0.24348864705248979</v>
      </c>
      <c r="M196" s="162">
        <v>2969353.89</v>
      </c>
      <c r="N196" s="164">
        <f t="shared" si="1"/>
        <v>0.15081160851961181</v>
      </c>
      <c r="O196" s="162">
        <v>12759762.960000001</v>
      </c>
      <c r="P196" s="164">
        <f t="shared" si="2"/>
        <v>0.64806030120127023</v>
      </c>
      <c r="Q196" s="50">
        <v>10059762.960000001</v>
      </c>
      <c r="R196" s="162"/>
      <c r="S196" s="162">
        <v>2700000</v>
      </c>
      <c r="T196" s="162"/>
      <c r="U196" s="160"/>
    </row>
    <row r="197" spans="1:21" hidden="1" x14ac:dyDescent="0.25">
      <c r="A197" s="161" t="s">
        <v>706</v>
      </c>
      <c r="B197" s="161" t="s">
        <v>170</v>
      </c>
      <c r="C197" s="161" t="s">
        <v>171</v>
      </c>
      <c r="D197" s="161" t="s">
        <v>69</v>
      </c>
      <c r="E197" s="162">
        <v>26663380</v>
      </c>
      <c r="F197" s="162">
        <v>26663380</v>
      </c>
      <c r="G197" s="162">
        <v>24663380</v>
      </c>
      <c r="H197" s="162">
        <v>0</v>
      </c>
      <c r="I197" s="162">
        <v>4188714.66</v>
      </c>
      <c r="J197" s="162">
        <v>0</v>
      </c>
      <c r="K197" s="162">
        <v>12173539.890000001</v>
      </c>
      <c r="L197" s="163">
        <f t="shared" si="0"/>
        <v>0.45656401739014335</v>
      </c>
      <c r="M197" s="162">
        <v>9864900</v>
      </c>
      <c r="N197" s="164">
        <f t="shared" si="1"/>
        <v>0.36997934995488196</v>
      </c>
      <c r="O197" s="162">
        <v>10301125.449999999</v>
      </c>
      <c r="P197" s="164">
        <f t="shared" si="2"/>
        <v>0.3863398207579084</v>
      </c>
      <c r="Q197" s="50">
        <v>8301125.4500000002</v>
      </c>
      <c r="R197" s="162"/>
      <c r="S197" s="162"/>
      <c r="T197" s="162"/>
      <c r="U197" s="44"/>
    </row>
    <row r="198" spans="1:21" x14ac:dyDescent="0.25">
      <c r="A198" s="161" t="s">
        <v>706</v>
      </c>
      <c r="B198" s="161" t="s">
        <v>172</v>
      </c>
      <c r="C198" s="161" t="s">
        <v>173</v>
      </c>
      <c r="D198" s="161" t="s">
        <v>69</v>
      </c>
      <c r="E198" s="162">
        <v>5541820</v>
      </c>
      <c r="F198" s="162">
        <v>5541820</v>
      </c>
      <c r="G198" s="162">
        <v>5541820</v>
      </c>
      <c r="H198" s="162">
        <v>0</v>
      </c>
      <c r="I198" s="162">
        <v>748772.28</v>
      </c>
      <c r="J198" s="162">
        <v>0</v>
      </c>
      <c r="K198" s="162">
        <v>1838824.71</v>
      </c>
      <c r="L198" s="163">
        <f t="shared" si="0"/>
        <v>0.33180881190655775</v>
      </c>
      <c r="M198" s="162">
        <v>1838824.71</v>
      </c>
      <c r="N198" s="164">
        <f t="shared" si="1"/>
        <v>0.33180881190655775</v>
      </c>
      <c r="O198" s="162">
        <v>2954223.01</v>
      </c>
      <c r="P198" s="164">
        <f t="shared" si="2"/>
        <v>0.53307812415415867</v>
      </c>
      <c r="Q198" s="50">
        <v>2954223.01</v>
      </c>
      <c r="R198" s="162"/>
      <c r="S198" s="162"/>
      <c r="T198" s="162"/>
      <c r="U198" s="159"/>
    </row>
    <row r="199" spans="1:21" hidden="1" x14ac:dyDescent="0.25">
      <c r="A199" s="161" t="s">
        <v>706</v>
      </c>
      <c r="B199" s="161" t="s">
        <v>174</v>
      </c>
      <c r="C199" s="161" t="s">
        <v>175</v>
      </c>
      <c r="D199" s="161" t="s">
        <v>69</v>
      </c>
      <c r="E199" s="162">
        <v>1525000</v>
      </c>
      <c r="F199" s="162">
        <v>1525000</v>
      </c>
      <c r="G199" s="162">
        <v>1525000</v>
      </c>
      <c r="H199" s="162">
        <v>0</v>
      </c>
      <c r="I199" s="162">
        <v>1477075</v>
      </c>
      <c r="J199" s="162">
        <v>0</v>
      </c>
      <c r="K199" s="162">
        <v>47925</v>
      </c>
      <c r="L199" s="163">
        <f t="shared" si="0"/>
        <v>3.1426229508196721E-2</v>
      </c>
      <c r="M199" s="162">
        <v>3150</v>
      </c>
      <c r="N199" s="164">
        <f t="shared" si="1"/>
        <v>2.0655737704918034E-3</v>
      </c>
      <c r="O199" s="162">
        <v>0</v>
      </c>
      <c r="P199" s="164">
        <f t="shared" si="2"/>
        <v>0</v>
      </c>
      <c r="Q199" s="50">
        <v>0</v>
      </c>
      <c r="R199" s="162"/>
      <c r="S199" s="162"/>
      <c r="T199" s="162"/>
      <c r="U199" s="44"/>
    </row>
    <row r="200" spans="1:21" hidden="1" x14ac:dyDescent="0.25">
      <c r="A200" s="161" t="s">
        <v>706</v>
      </c>
      <c r="B200" s="161" t="s">
        <v>176</v>
      </c>
      <c r="C200" s="161" t="s">
        <v>177</v>
      </c>
      <c r="D200" s="161" t="s">
        <v>69</v>
      </c>
      <c r="E200" s="162">
        <v>1525000</v>
      </c>
      <c r="F200" s="162">
        <v>1525000</v>
      </c>
      <c r="G200" s="162">
        <v>1525000</v>
      </c>
      <c r="H200" s="162">
        <v>0</v>
      </c>
      <c r="I200" s="162">
        <v>1477075</v>
      </c>
      <c r="J200" s="162">
        <v>0</v>
      </c>
      <c r="K200" s="162">
        <v>47925</v>
      </c>
      <c r="L200" s="163">
        <f t="shared" si="0"/>
        <v>3.1426229508196721E-2</v>
      </c>
      <c r="M200" s="162">
        <v>3150</v>
      </c>
      <c r="N200" s="164">
        <f t="shared" si="1"/>
        <v>2.0655737704918034E-3</v>
      </c>
      <c r="O200" s="162">
        <v>0</v>
      </c>
      <c r="P200" s="164">
        <f t="shared" si="2"/>
        <v>0</v>
      </c>
      <c r="Q200" s="50">
        <v>0</v>
      </c>
      <c r="R200" s="162"/>
      <c r="S200" s="162"/>
      <c r="T200" s="162"/>
      <c r="U200" s="44"/>
    </row>
    <row r="201" spans="1:21" hidden="1" x14ac:dyDescent="0.25">
      <c r="A201" s="161" t="s">
        <v>706</v>
      </c>
      <c r="B201" s="161" t="s">
        <v>178</v>
      </c>
      <c r="C201" s="161" t="s">
        <v>179</v>
      </c>
      <c r="D201" s="161" t="s">
        <v>69</v>
      </c>
      <c r="E201" s="162">
        <v>2200000</v>
      </c>
      <c r="F201" s="162">
        <v>2200000</v>
      </c>
      <c r="G201" s="162">
        <v>2200000</v>
      </c>
      <c r="H201" s="162">
        <v>0</v>
      </c>
      <c r="I201" s="162">
        <v>50000</v>
      </c>
      <c r="J201" s="162">
        <v>0</v>
      </c>
      <c r="K201" s="162">
        <v>150000</v>
      </c>
      <c r="L201" s="163">
        <f t="shared" si="0"/>
        <v>6.8181818181818177E-2</v>
      </c>
      <c r="M201" s="162">
        <v>150000</v>
      </c>
      <c r="N201" s="164">
        <f t="shared" si="1"/>
        <v>6.8181818181818177E-2</v>
      </c>
      <c r="O201" s="162">
        <v>2000000</v>
      </c>
      <c r="P201" s="164">
        <f t="shared" si="2"/>
        <v>0.90909090909090906</v>
      </c>
      <c r="Q201" s="50">
        <v>2000000</v>
      </c>
      <c r="R201" s="162"/>
      <c r="S201" s="162"/>
      <c r="T201" s="162"/>
      <c r="U201" s="44"/>
    </row>
    <row r="202" spans="1:21" x14ac:dyDescent="0.25">
      <c r="A202" s="161" t="s">
        <v>706</v>
      </c>
      <c r="B202" s="161" t="s">
        <v>180</v>
      </c>
      <c r="C202" s="161" t="s">
        <v>181</v>
      </c>
      <c r="D202" s="161" t="s">
        <v>69</v>
      </c>
      <c r="E202" s="162">
        <v>200000</v>
      </c>
      <c r="F202" s="162">
        <v>200000</v>
      </c>
      <c r="G202" s="162">
        <v>200000</v>
      </c>
      <c r="H202" s="162">
        <v>0</v>
      </c>
      <c r="I202" s="162">
        <v>0</v>
      </c>
      <c r="J202" s="162">
        <v>0</v>
      </c>
      <c r="K202" s="162">
        <v>0</v>
      </c>
      <c r="L202" s="163">
        <f t="shared" si="0"/>
        <v>0</v>
      </c>
      <c r="M202" s="162">
        <v>0</v>
      </c>
      <c r="N202" s="164">
        <f t="shared" si="1"/>
        <v>0</v>
      </c>
      <c r="O202" s="162">
        <v>200000</v>
      </c>
      <c r="P202" s="164">
        <f t="shared" si="2"/>
        <v>1</v>
      </c>
      <c r="Q202" s="50">
        <v>200000</v>
      </c>
      <c r="R202" s="162"/>
      <c r="S202" s="162"/>
      <c r="T202" s="162"/>
      <c r="U202" s="160"/>
    </row>
    <row r="203" spans="1:21" x14ac:dyDescent="0.25">
      <c r="A203" s="161" t="s">
        <v>706</v>
      </c>
      <c r="B203" s="161" t="s">
        <v>182</v>
      </c>
      <c r="C203" s="161" t="s">
        <v>183</v>
      </c>
      <c r="D203" s="161" t="s">
        <v>69</v>
      </c>
      <c r="E203" s="162">
        <v>2000000</v>
      </c>
      <c r="F203" s="162">
        <v>2000000</v>
      </c>
      <c r="G203" s="162">
        <v>2000000</v>
      </c>
      <c r="H203" s="162">
        <v>0</v>
      </c>
      <c r="I203" s="162">
        <v>50000</v>
      </c>
      <c r="J203" s="162">
        <v>0</v>
      </c>
      <c r="K203" s="162">
        <v>150000</v>
      </c>
      <c r="L203" s="163">
        <f t="shared" si="0"/>
        <v>7.4999999999999997E-2</v>
      </c>
      <c r="M203" s="162">
        <v>150000</v>
      </c>
      <c r="N203" s="164">
        <f t="shared" si="1"/>
        <v>7.4999999999999997E-2</v>
      </c>
      <c r="O203" s="162">
        <v>1800000</v>
      </c>
      <c r="P203" s="164">
        <f t="shared" si="2"/>
        <v>0.9</v>
      </c>
      <c r="Q203" s="50">
        <v>1800000</v>
      </c>
      <c r="R203" s="162"/>
      <c r="S203" s="162"/>
      <c r="T203" s="162"/>
      <c r="U203" s="159"/>
    </row>
    <row r="204" spans="1:21" ht="13.5" hidden="1" customHeight="1" x14ac:dyDescent="0.25">
      <c r="A204" s="161" t="s">
        <v>706</v>
      </c>
      <c r="B204" s="161" t="s">
        <v>184</v>
      </c>
      <c r="C204" s="161" t="s">
        <v>185</v>
      </c>
      <c r="D204" s="161" t="s">
        <v>69</v>
      </c>
      <c r="E204" s="162">
        <v>56348380</v>
      </c>
      <c r="F204" s="162">
        <v>50848380</v>
      </c>
      <c r="G204" s="162">
        <v>50848379.520000003</v>
      </c>
      <c r="H204" s="162">
        <v>3574740</v>
      </c>
      <c r="I204" s="162">
        <v>2666004.73</v>
      </c>
      <c r="J204" s="162">
        <v>0</v>
      </c>
      <c r="K204" s="162">
        <v>20725802.25</v>
      </c>
      <c r="L204" s="163">
        <f t="shared" si="0"/>
        <v>0.40760005038508601</v>
      </c>
      <c r="M204" s="162">
        <v>19800822.629999999</v>
      </c>
      <c r="N204" s="164">
        <f t="shared" si="1"/>
        <v>0.38940911450866278</v>
      </c>
      <c r="O204" s="162">
        <v>23881833.02</v>
      </c>
      <c r="P204" s="164">
        <f t="shared" si="2"/>
        <v>0.46966752962434594</v>
      </c>
      <c r="Q204" s="50">
        <v>23881832.539999999</v>
      </c>
      <c r="R204" s="162"/>
      <c r="S204" s="162"/>
      <c r="T204" s="162"/>
      <c r="U204" s="44"/>
    </row>
    <row r="205" spans="1:21" hidden="1" x14ac:dyDescent="0.25">
      <c r="A205" s="161" t="s">
        <v>706</v>
      </c>
      <c r="B205" s="161" t="s">
        <v>186</v>
      </c>
      <c r="C205" s="161" t="s">
        <v>187</v>
      </c>
      <c r="D205" s="161" t="s">
        <v>69</v>
      </c>
      <c r="E205" s="162">
        <v>30858480</v>
      </c>
      <c r="F205" s="162">
        <v>29358480</v>
      </c>
      <c r="G205" s="162">
        <v>29358480</v>
      </c>
      <c r="H205" s="162">
        <v>182800</v>
      </c>
      <c r="I205" s="162">
        <v>1117209.81</v>
      </c>
      <c r="J205" s="162">
        <v>0</v>
      </c>
      <c r="K205" s="162">
        <v>8539047.3599999994</v>
      </c>
      <c r="L205" s="163">
        <f t="shared" si="0"/>
        <v>0.29085454560317836</v>
      </c>
      <c r="M205" s="162">
        <v>8082457.9199999999</v>
      </c>
      <c r="N205" s="164">
        <f t="shared" si="1"/>
        <v>0.2753023290034089</v>
      </c>
      <c r="O205" s="162">
        <v>19519422.829999998</v>
      </c>
      <c r="P205" s="164">
        <f t="shared" si="2"/>
        <v>0.66486489865960352</v>
      </c>
      <c r="Q205" s="50">
        <v>19519422.829999998</v>
      </c>
      <c r="R205" s="162"/>
      <c r="S205" s="162"/>
      <c r="T205" s="162"/>
      <c r="U205" s="44"/>
    </row>
    <row r="206" spans="1:21" x14ac:dyDescent="0.25">
      <c r="A206" s="161" t="s">
        <v>706</v>
      </c>
      <c r="B206" s="161" t="s">
        <v>188</v>
      </c>
      <c r="C206" s="161" t="s">
        <v>189</v>
      </c>
      <c r="D206" s="161" t="s">
        <v>69</v>
      </c>
      <c r="E206" s="162">
        <v>25379000</v>
      </c>
      <c r="F206" s="162">
        <v>25379000</v>
      </c>
      <c r="G206" s="162">
        <v>25379000</v>
      </c>
      <c r="H206" s="162">
        <v>0</v>
      </c>
      <c r="I206" s="162">
        <v>970079.16</v>
      </c>
      <c r="J206" s="162">
        <v>0</v>
      </c>
      <c r="K206" s="162">
        <v>6041384.04</v>
      </c>
      <c r="L206" s="163">
        <f t="shared" si="0"/>
        <v>0.23804657551518973</v>
      </c>
      <c r="M206" s="162">
        <v>6041384.04</v>
      </c>
      <c r="N206" s="164">
        <f t="shared" si="1"/>
        <v>0.23804657551518973</v>
      </c>
      <c r="O206" s="162">
        <v>18367536.800000001</v>
      </c>
      <c r="P206" s="164">
        <f t="shared" si="2"/>
        <v>0.72372972930375512</v>
      </c>
      <c r="Q206" s="50">
        <v>18367536.800000001</v>
      </c>
      <c r="R206" s="162"/>
      <c r="S206" s="162"/>
      <c r="T206" s="162"/>
      <c r="U206" s="160"/>
    </row>
    <row r="207" spans="1:21" hidden="1" x14ac:dyDescent="0.25">
      <c r="A207" s="161" t="s">
        <v>706</v>
      </c>
      <c r="B207" s="161" t="s">
        <v>190</v>
      </c>
      <c r="C207" s="161" t="s">
        <v>191</v>
      </c>
      <c r="D207" s="161" t="s">
        <v>69</v>
      </c>
      <c r="E207" s="162">
        <v>231600</v>
      </c>
      <c r="F207" s="162">
        <v>231600</v>
      </c>
      <c r="G207" s="162">
        <v>231600</v>
      </c>
      <c r="H207" s="162">
        <v>0</v>
      </c>
      <c r="I207" s="162">
        <v>0</v>
      </c>
      <c r="J207" s="162">
        <v>0</v>
      </c>
      <c r="K207" s="162">
        <v>167805</v>
      </c>
      <c r="L207" s="163">
        <f t="shared" si="0"/>
        <v>0.72454663212435233</v>
      </c>
      <c r="M207" s="162">
        <v>167805</v>
      </c>
      <c r="N207" s="164">
        <f t="shared" si="1"/>
        <v>0.72454663212435233</v>
      </c>
      <c r="O207" s="162">
        <v>63795</v>
      </c>
      <c r="P207" s="164">
        <f t="shared" si="2"/>
        <v>0.27545336787564767</v>
      </c>
      <c r="Q207" s="50">
        <v>63795</v>
      </c>
      <c r="R207" s="162"/>
      <c r="S207" s="162"/>
      <c r="T207" s="162"/>
      <c r="U207" s="44"/>
    </row>
    <row r="208" spans="1:21" hidden="1" x14ac:dyDescent="0.25">
      <c r="A208" s="161" t="s">
        <v>706</v>
      </c>
      <c r="B208" s="161" t="s">
        <v>192</v>
      </c>
      <c r="C208" s="161" t="s">
        <v>193</v>
      </c>
      <c r="D208" s="161" t="s">
        <v>69</v>
      </c>
      <c r="E208" s="162">
        <v>4850880</v>
      </c>
      <c r="F208" s="162">
        <v>3350880</v>
      </c>
      <c r="G208" s="162">
        <v>3350880</v>
      </c>
      <c r="H208" s="162">
        <v>0</v>
      </c>
      <c r="I208" s="162">
        <v>147130.65</v>
      </c>
      <c r="J208" s="162">
        <v>0</v>
      </c>
      <c r="K208" s="162">
        <v>2329858.3199999998</v>
      </c>
      <c r="L208" s="163">
        <f t="shared" si="0"/>
        <v>0.69529745022203115</v>
      </c>
      <c r="M208" s="162">
        <v>1873268.88</v>
      </c>
      <c r="N208" s="164">
        <f t="shared" si="1"/>
        <v>0.55903788855464831</v>
      </c>
      <c r="O208" s="162">
        <v>873891.03</v>
      </c>
      <c r="P208" s="164">
        <f t="shared" si="2"/>
        <v>0.2607944868213723</v>
      </c>
      <c r="Q208" s="50">
        <v>873891.03</v>
      </c>
      <c r="R208" s="162"/>
      <c r="S208" s="162"/>
      <c r="T208" s="162"/>
      <c r="U208" s="44"/>
    </row>
    <row r="209" spans="1:21" x14ac:dyDescent="0.25">
      <c r="A209" s="161" t="s">
        <v>706</v>
      </c>
      <c r="B209" s="161" t="s">
        <v>194</v>
      </c>
      <c r="C209" s="161" t="s">
        <v>195</v>
      </c>
      <c r="D209" s="161" t="s">
        <v>69</v>
      </c>
      <c r="E209" s="162">
        <v>397000</v>
      </c>
      <c r="F209" s="162">
        <v>397000</v>
      </c>
      <c r="G209" s="162">
        <v>397000</v>
      </c>
      <c r="H209" s="162">
        <v>182800</v>
      </c>
      <c r="I209" s="162">
        <v>0</v>
      </c>
      <c r="J209" s="162">
        <v>0</v>
      </c>
      <c r="K209" s="162">
        <v>0</v>
      </c>
      <c r="L209" s="163">
        <f t="shared" si="0"/>
        <v>0</v>
      </c>
      <c r="M209" s="162">
        <v>0</v>
      </c>
      <c r="N209" s="164">
        <f t="shared" si="1"/>
        <v>0</v>
      </c>
      <c r="O209" s="162">
        <v>214200</v>
      </c>
      <c r="P209" s="164">
        <f t="shared" si="2"/>
        <v>0.53954659949622163</v>
      </c>
      <c r="Q209" s="50">
        <v>214200</v>
      </c>
      <c r="R209" s="162"/>
      <c r="S209" s="162"/>
      <c r="T209" s="162"/>
      <c r="U209" s="159"/>
    </row>
    <row r="210" spans="1:21" hidden="1" x14ac:dyDescent="0.25">
      <c r="A210" s="161" t="s">
        <v>706</v>
      </c>
      <c r="B210" s="161" t="s">
        <v>200</v>
      </c>
      <c r="C210" s="161" t="s">
        <v>201</v>
      </c>
      <c r="D210" s="161" t="s">
        <v>69</v>
      </c>
      <c r="E210" s="162">
        <v>5536500</v>
      </c>
      <c r="F210" s="162">
        <v>5536500</v>
      </c>
      <c r="G210" s="162">
        <v>5536500</v>
      </c>
      <c r="H210" s="162">
        <v>852549</v>
      </c>
      <c r="I210" s="162">
        <v>1330155.99</v>
      </c>
      <c r="J210" s="162">
        <v>0</v>
      </c>
      <c r="K210" s="162">
        <v>3189556.33</v>
      </c>
      <c r="L210" s="163">
        <f t="shared" si="0"/>
        <v>0.57609614919172769</v>
      </c>
      <c r="M210" s="162">
        <v>3130570.89</v>
      </c>
      <c r="N210" s="164">
        <f t="shared" si="1"/>
        <v>0.56544222703874292</v>
      </c>
      <c r="O210" s="162">
        <v>164238.68</v>
      </c>
      <c r="P210" s="164">
        <f t="shared" si="2"/>
        <v>2.9664712363406481E-2</v>
      </c>
      <c r="Q210" s="50">
        <v>164238.68</v>
      </c>
      <c r="R210" s="162"/>
      <c r="S210" s="162"/>
      <c r="T210" s="162"/>
      <c r="U210" s="159"/>
    </row>
    <row r="211" spans="1:21" hidden="1" x14ac:dyDescent="0.25">
      <c r="A211" s="161" t="s">
        <v>706</v>
      </c>
      <c r="B211" s="161" t="s">
        <v>314</v>
      </c>
      <c r="C211" s="161" t="s">
        <v>315</v>
      </c>
      <c r="D211" s="161" t="s">
        <v>69</v>
      </c>
      <c r="E211" s="162">
        <v>1274000</v>
      </c>
      <c r="F211" s="162">
        <v>1274000</v>
      </c>
      <c r="G211" s="162">
        <v>1274000</v>
      </c>
      <c r="H211" s="162">
        <v>0</v>
      </c>
      <c r="I211" s="162">
        <v>130808.8</v>
      </c>
      <c r="J211" s="162">
        <v>0</v>
      </c>
      <c r="K211" s="162">
        <v>1118167.49</v>
      </c>
      <c r="L211" s="163">
        <f t="shared" si="0"/>
        <v>0.87768248822605965</v>
      </c>
      <c r="M211" s="162">
        <v>1118167.49</v>
      </c>
      <c r="N211" s="164">
        <f t="shared" si="1"/>
        <v>0.87768248822605965</v>
      </c>
      <c r="O211" s="162">
        <v>25023.71</v>
      </c>
      <c r="P211" s="164">
        <f t="shared" si="2"/>
        <v>1.964184458398744E-2</v>
      </c>
      <c r="Q211" s="50">
        <v>25023.71</v>
      </c>
      <c r="R211" s="162"/>
      <c r="S211" s="162"/>
      <c r="T211" s="162"/>
      <c r="U211" s="159"/>
    </row>
    <row r="212" spans="1:21" hidden="1" x14ac:dyDescent="0.25">
      <c r="A212" s="161" t="s">
        <v>706</v>
      </c>
      <c r="B212" s="161" t="s">
        <v>316</v>
      </c>
      <c r="C212" s="161" t="s">
        <v>317</v>
      </c>
      <c r="D212" s="161" t="s">
        <v>69</v>
      </c>
      <c r="E212" s="162">
        <v>290000</v>
      </c>
      <c r="F212" s="162">
        <v>290000</v>
      </c>
      <c r="G212" s="162">
        <v>290000</v>
      </c>
      <c r="H212" s="162">
        <v>0</v>
      </c>
      <c r="I212" s="162">
        <v>149952.13</v>
      </c>
      <c r="J212" s="162">
        <v>0</v>
      </c>
      <c r="K212" s="162">
        <v>137464.5</v>
      </c>
      <c r="L212" s="163">
        <f t="shared" si="0"/>
        <v>0.4740155172413793</v>
      </c>
      <c r="M212" s="162">
        <v>137464.5</v>
      </c>
      <c r="N212" s="164">
        <f t="shared" si="1"/>
        <v>0.4740155172413793</v>
      </c>
      <c r="O212" s="162">
        <v>2583.37</v>
      </c>
      <c r="P212" s="164">
        <f t="shared" si="2"/>
        <v>8.9081724137931029E-3</v>
      </c>
      <c r="Q212" s="50">
        <v>2583.37</v>
      </c>
      <c r="R212" s="162"/>
      <c r="S212" s="162"/>
      <c r="T212" s="162"/>
      <c r="U212" s="159"/>
    </row>
    <row r="213" spans="1:21" hidden="1" x14ac:dyDescent="0.25">
      <c r="A213" s="161" t="s">
        <v>706</v>
      </c>
      <c r="B213" s="161" t="s">
        <v>318</v>
      </c>
      <c r="C213" s="161" t="s">
        <v>319</v>
      </c>
      <c r="D213" s="161" t="s">
        <v>69</v>
      </c>
      <c r="E213" s="162">
        <v>100000</v>
      </c>
      <c r="F213" s="162">
        <v>100000</v>
      </c>
      <c r="G213" s="162">
        <v>100000</v>
      </c>
      <c r="H213" s="162">
        <v>0</v>
      </c>
      <c r="I213" s="162">
        <v>1944.28</v>
      </c>
      <c r="J213" s="162">
        <v>0</v>
      </c>
      <c r="K213" s="162">
        <v>78619.070000000007</v>
      </c>
      <c r="L213" s="163">
        <f t="shared" si="0"/>
        <v>0.78619070000000002</v>
      </c>
      <c r="M213" s="162">
        <v>78619.070000000007</v>
      </c>
      <c r="N213" s="164">
        <f t="shared" si="1"/>
        <v>0.78619070000000002</v>
      </c>
      <c r="O213" s="162">
        <v>19436.650000000001</v>
      </c>
      <c r="P213" s="164">
        <f t="shared" si="2"/>
        <v>0.19436650000000003</v>
      </c>
      <c r="Q213" s="50">
        <v>19436.650000000001</v>
      </c>
      <c r="R213" s="162"/>
      <c r="S213" s="162"/>
      <c r="T213" s="162"/>
      <c r="U213" s="159"/>
    </row>
    <row r="214" spans="1:21" hidden="1" x14ac:dyDescent="0.25">
      <c r="A214" s="161" t="s">
        <v>706</v>
      </c>
      <c r="B214" s="161" t="s">
        <v>202</v>
      </c>
      <c r="C214" s="161" t="s">
        <v>203</v>
      </c>
      <c r="D214" s="161" t="s">
        <v>69</v>
      </c>
      <c r="E214" s="162">
        <v>2782500</v>
      </c>
      <c r="F214" s="162">
        <v>2782500</v>
      </c>
      <c r="G214" s="162">
        <v>2782500</v>
      </c>
      <c r="H214" s="162">
        <v>111150</v>
      </c>
      <c r="I214" s="162">
        <v>909868.42</v>
      </c>
      <c r="J214" s="162">
        <v>0</v>
      </c>
      <c r="K214" s="162">
        <v>1650894.83</v>
      </c>
      <c r="L214" s="163">
        <f t="shared" si="0"/>
        <v>0.59331350584007192</v>
      </c>
      <c r="M214" s="162">
        <v>1650894.83</v>
      </c>
      <c r="N214" s="164">
        <f t="shared" si="1"/>
        <v>0.59331350584007192</v>
      </c>
      <c r="O214" s="162">
        <v>110586.75</v>
      </c>
      <c r="P214" s="164">
        <f t="shared" si="2"/>
        <v>3.9743665768194068E-2</v>
      </c>
      <c r="Q214" s="50">
        <v>110586.75</v>
      </c>
      <c r="R214" s="162"/>
      <c r="S214" s="162"/>
      <c r="T214" s="162"/>
      <c r="U214" s="159"/>
    </row>
    <row r="215" spans="1:21" hidden="1" x14ac:dyDescent="0.25">
      <c r="A215" s="161" t="s">
        <v>706</v>
      </c>
      <c r="B215" s="161" t="s">
        <v>204</v>
      </c>
      <c r="C215" s="161" t="s">
        <v>205</v>
      </c>
      <c r="D215" s="161" t="s">
        <v>69</v>
      </c>
      <c r="E215" s="162">
        <v>200000</v>
      </c>
      <c r="F215" s="162">
        <v>200000</v>
      </c>
      <c r="G215" s="162">
        <v>200000</v>
      </c>
      <c r="H215" s="162">
        <v>0</v>
      </c>
      <c r="I215" s="162">
        <v>137582.35999999999</v>
      </c>
      <c r="J215" s="162">
        <v>0</v>
      </c>
      <c r="K215" s="162">
        <v>58985.440000000002</v>
      </c>
      <c r="L215" s="163">
        <f t="shared" si="0"/>
        <v>0.2949272</v>
      </c>
      <c r="M215" s="162">
        <v>0</v>
      </c>
      <c r="N215" s="164">
        <f t="shared" si="1"/>
        <v>0</v>
      </c>
      <c r="O215" s="162">
        <v>3432.2</v>
      </c>
      <c r="P215" s="164">
        <f t="shared" si="2"/>
        <v>1.7160999999999999E-2</v>
      </c>
      <c r="Q215" s="50">
        <v>3432.2</v>
      </c>
      <c r="R215" s="162"/>
      <c r="S215" s="162"/>
      <c r="T215" s="162"/>
      <c r="U215" s="159"/>
    </row>
    <row r="216" spans="1:21" hidden="1" x14ac:dyDescent="0.25">
      <c r="A216" s="161" t="s">
        <v>706</v>
      </c>
      <c r="B216" s="161" t="s">
        <v>322</v>
      </c>
      <c r="C216" s="161" t="s">
        <v>323</v>
      </c>
      <c r="D216" s="161" t="s">
        <v>69</v>
      </c>
      <c r="E216" s="162">
        <v>890000</v>
      </c>
      <c r="F216" s="162">
        <v>890000</v>
      </c>
      <c r="G216" s="162">
        <v>890000</v>
      </c>
      <c r="H216" s="162">
        <v>741399</v>
      </c>
      <c r="I216" s="162">
        <v>0</v>
      </c>
      <c r="J216" s="162">
        <v>0</v>
      </c>
      <c r="K216" s="162">
        <v>145425</v>
      </c>
      <c r="L216" s="163">
        <f t="shared" si="0"/>
        <v>0.16339887640449438</v>
      </c>
      <c r="M216" s="162">
        <v>145425</v>
      </c>
      <c r="N216" s="164">
        <f t="shared" si="1"/>
        <v>0.16339887640449438</v>
      </c>
      <c r="O216" s="162">
        <v>3176</v>
      </c>
      <c r="P216" s="164">
        <f t="shared" si="2"/>
        <v>3.5685393258426965E-3</v>
      </c>
      <c r="Q216" s="50">
        <v>3176</v>
      </c>
      <c r="R216" s="162"/>
      <c r="S216" s="162"/>
      <c r="T216" s="162"/>
      <c r="U216" s="159"/>
    </row>
    <row r="217" spans="1:21" hidden="1" x14ac:dyDescent="0.25">
      <c r="A217" s="161" t="s">
        <v>706</v>
      </c>
      <c r="B217" s="161" t="s">
        <v>206</v>
      </c>
      <c r="C217" s="161" t="s">
        <v>207</v>
      </c>
      <c r="D217" s="161" t="s">
        <v>69</v>
      </c>
      <c r="E217" s="162">
        <v>3341900</v>
      </c>
      <c r="F217" s="162">
        <v>2341900</v>
      </c>
      <c r="G217" s="162">
        <v>2341900</v>
      </c>
      <c r="H217" s="162">
        <v>492820</v>
      </c>
      <c r="I217" s="162">
        <v>5557.67</v>
      </c>
      <c r="J217" s="162">
        <v>0</v>
      </c>
      <c r="K217" s="162">
        <v>111538.33</v>
      </c>
      <c r="L217" s="163">
        <f t="shared" si="0"/>
        <v>4.7627281267347027E-2</v>
      </c>
      <c r="M217" s="162">
        <v>111538.33</v>
      </c>
      <c r="N217" s="164">
        <f t="shared" si="1"/>
        <v>4.7627281267347027E-2</v>
      </c>
      <c r="O217" s="162">
        <v>1731984</v>
      </c>
      <c r="P217" s="164">
        <f t="shared" si="2"/>
        <v>0.73956360220333917</v>
      </c>
      <c r="Q217" s="50">
        <v>1731984</v>
      </c>
      <c r="R217" s="162"/>
      <c r="S217" s="162"/>
      <c r="T217" s="162"/>
      <c r="U217" s="159"/>
    </row>
    <row r="218" spans="1:21" hidden="1" x14ac:dyDescent="0.25">
      <c r="A218" s="161" t="s">
        <v>706</v>
      </c>
      <c r="B218" s="161" t="s">
        <v>208</v>
      </c>
      <c r="C218" s="161" t="s">
        <v>209</v>
      </c>
      <c r="D218" s="161" t="s">
        <v>69</v>
      </c>
      <c r="E218" s="162">
        <v>671900</v>
      </c>
      <c r="F218" s="162">
        <v>671900</v>
      </c>
      <c r="G218" s="162">
        <v>671900</v>
      </c>
      <c r="H218" s="162">
        <v>492820</v>
      </c>
      <c r="I218" s="162">
        <v>0</v>
      </c>
      <c r="J218" s="162">
        <v>0</v>
      </c>
      <c r="K218" s="162">
        <v>45250</v>
      </c>
      <c r="L218" s="163">
        <f t="shared" si="0"/>
        <v>6.7346331299300496E-2</v>
      </c>
      <c r="M218" s="162">
        <v>45250</v>
      </c>
      <c r="N218" s="164">
        <f t="shared" si="1"/>
        <v>6.7346331299300496E-2</v>
      </c>
      <c r="O218" s="162">
        <v>133830</v>
      </c>
      <c r="P218" s="164">
        <f t="shared" si="2"/>
        <v>0.19918142580741183</v>
      </c>
      <c r="Q218" s="50">
        <v>133830</v>
      </c>
      <c r="R218" s="162"/>
      <c r="S218" s="162"/>
      <c r="T218" s="162"/>
      <c r="U218" s="159"/>
    </row>
    <row r="219" spans="1:21" x14ac:dyDescent="0.25">
      <c r="A219" s="161" t="s">
        <v>706</v>
      </c>
      <c r="B219" s="161" t="s">
        <v>210</v>
      </c>
      <c r="C219" s="161" t="s">
        <v>211</v>
      </c>
      <c r="D219" s="161" t="s">
        <v>69</v>
      </c>
      <c r="E219" s="162">
        <v>2670000</v>
      </c>
      <c r="F219" s="162">
        <v>1670000</v>
      </c>
      <c r="G219" s="162">
        <v>1670000</v>
      </c>
      <c r="H219" s="162">
        <v>0</v>
      </c>
      <c r="I219" s="162">
        <v>5557.67</v>
      </c>
      <c r="J219" s="162">
        <v>0</v>
      </c>
      <c r="K219" s="162">
        <v>66288.33</v>
      </c>
      <c r="L219" s="163">
        <f t="shared" si="0"/>
        <v>3.9693610778443113E-2</v>
      </c>
      <c r="M219" s="162">
        <v>66288.33</v>
      </c>
      <c r="N219" s="164">
        <f t="shared" si="1"/>
        <v>3.9693610778443113E-2</v>
      </c>
      <c r="O219" s="162">
        <v>1598154</v>
      </c>
      <c r="P219" s="164">
        <f t="shared" si="2"/>
        <v>0.95697844311377245</v>
      </c>
      <c r="Q219" s="50">
        <v>1598154</v>
      </c>
      <c r="R219" s="162"/>
      <c r="S219" s="162"/>
      <c r="T219" s="162"/>
      <c r="U219" s="159"/>
    </row>
    <row r="220" spans="1:21" hidden="1" x14ac:dyDescent="0.25">
      <c r="A220" s="161" t="s">
        <v>706</v>
      </c>
      <c r="B220" s="161" t="s">
        <v>212</v>
      </c>
      <c r="C220" s="161" t="s">
        <v>213</v>
      </c>
      <c r="D220" s="161" t="s">
        <v>69</v>
      </c>
      <c r="E220" s="162">
        <v>16611500</v>
      </c>
      <c r="F220" s="162">
        <v>13611500</v>
      </c>
      <c r="G220" s="162">
        <v>13611499.52</v>
      </c>
      <c r="H220" s="162">
        <v>2046571</v>
      </c>
      <c r="I220" s="162">
        <v>213081.26</v>
      </c>
      <c r="J220" s="162">
        <v>0</v>
      </c>
      <c r="K220" s="162">
        <v>8885660.2300000004</v>
      </c>
      <c r="L220" s="163">
        <f t="shared" si="0"/>
        <v>0.65280536531609301</v>
      </c>
      <c r="M220" s="162">
        <v>8476255.4900000002</v>
      </c>
      <c r="N220" s="164">
        <f t="shared" si="1"/>
        <v>0.62272750909157704</v>
      </c>
      <c r="O220" s="162">
        <v>2466187.5099999998</v>
      </c>
      <c r="P220" s="164">
        <f t="shared" si="2"/>
        <v>0.18118410976012927</v>
      </c>
      <c r="Q220" s="50">
        <v>2466187.0299999998</v>
      </c>
      <c r="R220" s="162"/>
      <c r="S220" s="162"/>
      <c r="T220" s="162"/>
      <c r="U220" s="159"/>
    </row>
    <row r="221" spans="1:21" hidden="1" x14ac:dyDescent="0.25">
      <c r="A221" s="161" t="s">
        <v>706</v>
      </c>
      <c r="B221" s="161" t="s">
        <v>214</v>
      </c>
      <c r="C221" s="161" t="s">
        <v>215</v>
      </c>
      <c r="D221" s="161" t="s">
        <v>69</v>
      </c>
      <c r="E221" s="162">
        <v>5232000</v>
      </c>
      <c r="F221" s="162">
        <v>2232000</v>
      </c>
      <c r="G221" s="162">
        <v>2232000</v>
      </c>
      <c r="H221" s="162">
        <v>0</v>
      </c>
      <c r="I221" s="162">
        <v>0</v>
      </c>
      <c r="J221" s="162">
        <v>0</v>
      </c>
      <c r="K221" s="162">
        <v>2152542.12</v>
      </c>
      <c r="L221" s="163">
        <f t="shared" si="0"/>
        <v>0.9644005913978495</v>
      </c>
      <c r="M221" s="162">
        <v>2152542.12</v>
      </c>
      <c r="N221" s="164">
        <f t="shared" si="1"/>
        <v>0.9644005913978495</v>
      </c>
      <c r="O221" s="162">
        <v>79457.88</v>
      </c>
      <c r="P221" s="164">
        <f t="shared" si="2"/>
        <v>3.5599408602150537E-2</v>
      </c>
      <c r="Q221" s="50">
        <v>79457.88</v>
      </c>
      <c r="R221" s="162"/>
      <c r="S221" s="162"/>
      <c r="T221" s="162"/>
      <c r="U221" s="159"/>
    </row>
    <row r="222" spans="1:21" hidden="1" x14ac:dyDescent="0.25">
      <c r="A222" s="161" t="s">
        <v>706</v>
      </c>
      <c r="B222" s="161" t="s">
        <v>218</v>
      </c>
      <c r="C222" s="161" t="s">
        <v>219</v>
      </c>
      <c r="D222" s="161" t="s">
        <v>69</v>
      </c>
      <c r="E222" s="162">
        <v>6600000</v>
      </c>
      <c r="F222" s="162">
        <v>2600000</v>
      </c>
      <c r="G222" s="162">
        <v>2599999.52</v>
      </c>
      <c r="H222" s="162">
        <v>0</v>
      </c>
      <c r="I222" s="162">
        <v>94500.02</v>
      </c>
      <c r="J222" s="162">
        <v>0</v>
      </c>
      <c r="K222" s="162">
        <v>2192594.7000000002</v>
      </c>
      <c r="L222" s="163">
        <f t="shared" si="0"/>
        <v>0.84330565384615397</v>
      </c>
      <c r="M222" s="162">
        <v>2118014.7000000002</v>
      </c>
      <c r="N222" s="164">
        <f t="shared" si="1"/>
        <v>0.81462103846153855</v>
      </c>
      <c r="O222" s="162">
        <v>312905.28000000003</v>
      </c>
      <c r="P222" s="164">
        <f t="shared" si="2"/>
        <v>0.12034818461538463</v>
      </c>
      <c r="Q222" s="50">
        <v>312904.8</v>
      </c>
      <c r="R222" s="162"/>
      <c r="S222" s="162"/>
      <c r="T222" s="162"/>
      <c r="U222" s="159"/>
    </row>
    <row r="223" spans="1:21" hidden="1" x14ac:dyDescent="0.25">
      <c r="A223" s="161" t="s">
        <v>706</v>
      </c>
      <c r="B223" s="161" t="s">
        <v>220</v>
      </c>
      <c r="C223" s="161" t="s">
        <v>221</v>
      </c>
      <c r="D223" s="161" t="s">
        <v>69</v>
      </c>
      <c r="E223" s="162">
        <v>340000</v>
      </c>
      <c r="F223" s="162">
        <v>340000</v>
      </c>
      <c r="G223" s="162">
        <v>340000</v>
      </c>
      <c r="H223" s="162">
        <v>0</v>
      </c>
      <c r="I223" s="162">
        <v>0</v>
      </c>
      <c r="J223" s="162">
        <v>0</v>
      </c>
      <c r="K223" s="162">
        <v>334824.74</v>
      </c>
      <c r="L223" s="163">
        <f t="shared" si="0"/>
        <v>0.98477864705882345</v>
      </c>
      <c r="M223" s="162">
        <v>0</v>
      </c>
      <c r="N223" s="164">
        <f t="shared" si="1"/>
        <v>0</v>
      </c>
      <c r="O223" s="162">
        <v>5175.26</v>
      </c>
      <c r="P223" s="164">
        <f t="shared" si="2"/>
        <v>1.5221352941176471E-2</v>
      </c>
      <c r="Q223" s="50">
        <v>5175.26</v>
      </c>
      <c r="R223" s="162"/>
      <c r="S223" s="162"/>
      <c r="T223" s="162"/>
      <c r="U223" s="159"/>
    </row>
    <row r="224" spans="1:21" hidden="1" x14ac:dyDescent="0.25">
      <c r="A224" s="161" t="s">
        <v>706</v>
      </c>
      <c r="B224" s="161" t="s">
        <v>222</v>
      </c>
      <c r="C224" s="161" t="s">
        <v>223</v>
      </c>
      <c r="D224" s="161" t="s">
        <v>69</v>
      </c>
      <c r="E224" s="162">
        <v>1393100</v>
      </c>
      <c r="F224" s="162">
        <v>5393100</v>
      </c>
      <c r="G224" s="162">
        <v>5393100</v>
      </c>
      <c r="H224" s="162">
        <v>962975</v>
      </c>
      <c r="I224" s="162">
        <v>118581.24</v>
      </c>
      <c r="J224" s="162">
        <v>0</v>
      </c>
      <c r="K224" s="162">
        <v>3767752.67</v>
      </c>
      <c r="L224" s="163">
        <f t="shared" si="0"/>
        <v>0.69862466299530879</v>
      </c>
      <c r="M224" s="162">
        <v>3767752.67</v>
      </c>
      <c r="N224" s="164">
        <f t="shared" si="1"/>
        <v>0.69862466299530879</v>
      </c>
      <c r="O224" s="162">
        <v>543791.09</v>
      </c>
      <c r="P224" s="164">
        <f t="shared" si="2"/>
        <v>0.10083089317832045</v>
      </c>
      <c r="Q224" s="50">
        <v>543791.09</v>
      </c>
      <c r="R224" s="162"/>
      <c r="S224" s="162"/>
      <c r="T224" s="162"/>
      <c r="U224" s="159"/>
    </row>
    <row r="225" spans="1:21" x14ac:dyDescent="0.25">
      <c r="A225" s="161" t="s">
        <v>706</v>
      </c>
      <c r="B225" s="161" t="s">
        <v>224</v>
      </c>
      <c r="C225" s="161" t="s">
        <v>225</v>
      </c>
      <c r="D225" s="161" t="s">
        <v>69</v>
      </c>
      <c r="E225" s="162">
        <v>2296200</v>
      </c>
      <c r="F225" s="162">
        <v>2296200</v>
      </c>
      <c r="G225" s="162">
        <v>2296200</v>
      </c>
      <c r="H225" s="162">
        <v>670796</v>
      </c>
      <c r="I225" s="162">
        <v>0</v>
      </c>
      <c r="J225" s="162">
        <v>0</v>
      </c>
      <c r="K225" s="162">
        <v>101106</v>
      </c>
      <c r="L225" s="163">
        <f t="shared" si="0"/>
        <v>4.4031878756205907E-2</v>
      </c>
      <c r="M225" s="162">
        <v>101106</v>
      </c>
      <c r="N225" s="164">
        <f t="shared" si="1"/>
        <v>4.4031878756205907E-2</v>
      </c>
      <c r="O225" s="162">
        <v>1524298</v>
      </c>
      <c r="P225" s="164">
        <f t="shared" si="2"/>
        <v>0.66383503179165582</v>
      </c>
      <c r="Q225" s="50">
        <v>1524298</v>
      </c>
      <c r="R225" s="162"/>
      <c r="S225" s="162"/>
      <c r="T225" s="162"/>
      <c r="U225" s="159"/>
    </row>
    <row r="226" spans="1:21" hidden="1" x14ac:dyDescent="0.25">
      <c r="A226" s="161" t="s">
        <v>706</v>
      </c>
      <c r="B226" s="161" t="s">
        <v>228</v>
      </c>
      <c r="C226" s="161" t="s">
        <v>229</v>
      </c>
      <c r="D226" s="161" t="s">
        <v>69</v>
      </c>
      <c r="E226" s="162">
        <v>750200</v>
      </c>
      <c r="F226" s="162">
        <v>750200</v>
      </c>
      <c r="G226" s="162">
        <v>750200</v>
      </c>
      <c r="H226" s="162">
        <v>412800</v>
      </c>
      <c r="I226" s="162">
        <v>0</v>
      </c>
      <c r="J226" s="162">
        <v>0</v>
      </c>
      <c r="K226" s="162">
        <v>336840</v>
      </c>
      <c r="L226" s="163">
        <f t="shared" si="0"/>
        <v>0.44900026659557452</v>
      </c>
      <c r="M226" s="162">
        <v>336840</v>
      </c>
      <c r="N226" s="164">
        <f t="shared" si="1"/>
        <v>0.44900026659557452</v>
      </c>
      <c r="O226" s="162">
        <v>560</v>
      </c>
      <c r="P226" s="164">
        <f t="shared" si="2"/>
        <v>7.4646760863769656E-4</v>
      </c>
      <c r="Q226" s="50">
        <v>560</v>
      </c>
      <c r="R226" s="162"/>
      <c r="S226" s="162"/>
      <c r="T226" s="162"/>
      <c r="U226" s="44"/>
    </row>
    <row r="227" spans="1:21" hidden="1" x14ac:dyDescent="0.25">
      <c r="A227" s="161" t="s">
        <v>706</v>
      </c>
      <c r="B227" s="161" t="s">
        <v>248</v>
      </c>
      <c r="C227" s="161" t="s">
        <v>249</v>
      </c>
      <c r="D227" s="161" t="s">
        <v>69</v>
      </c>
      <c r="E227" s="162">
        <v>218960452</v>
      </c>
      <c r="F227" s="162">
        <v>123234903</v>
      </c>
      <c r="G227" s="162">
        <v>123234903</v>
      </c>
      <c r="H227" s="162">
        <v>0</v>
      </c>
      <c r="I227" s="162">
        <v>4707041.62</v>
      </c>
      <c r="J227" s="162">
        <v>0</v>
      </c>
      <c r="K227" s="162">
        <v>29261293.199999999</v>
      </c>
      <c r="L227" s="163">
        <f t="shared" si="0"/>
        <v>0.2374432282386752</v>
      </c>
      <c r="M227" s="162">
        <v>29261293.199999999</v>
      </c>
      <c r="N227" s="164">
        <f t="shared" si="1"/>
        <v>0.2374432282386752</v>
      </c>
      <c r="O227" s="162">
        <v>89266568.180000007</v>
      </c>
      <c r="P227" s="164">
        <f t="shared" si="2"/>
        <v>0.72436108607964744</v>
      </c>
      <c r="Q227" s="50">
        <v>89266568.180000007</v>
      </c>
      <c r="R227" s="162"/>
      <c r="S227" s="162"/>
      <c r="T227" s="162"/>
      <c r="U227" s="44"/>
    </row>
    <row r="228" spans="1:21" hidden="1" x14ac:dyDescent="0.25">
      <c r="A228" s="161" t="s">
        <v>706</v>
      </c>
      <c r="B228" s="161" t="s">
        <v>250</v>
      </c>
      <c r="C228" s="161" t="s">
        <v>251</v>
      </c>
      <c r="D228" s="161" t="s">
        <v>69</v>
      </c>
      <c r="E228" s="162">
        <v>17259352</v>
      </c>
      <c r="F228" s="162">
        <v>16783803</v>
      </c>
      <c r="G228" s="162">
        <v>16783803</v>
      </c>
      <c r="H228" s="162">
        <v>0</v>
      </c>
      <c r="I228" s="162">
        <v>4707041.62</v>
      </c>
      <c r="J228" s="162">
        <v>0</v>
      </c>
      <c r="K228" s="162">
        <v>12076761.380000001</v>
      </c>
      <c r="L228" s="163">
        <f t="shared" si="0"/>
        <v>0.71954856595969341</v>
      </c>
      <c r="M228" s="162">
        <v>12076761.380000001</v>
      </c>
      <c r="N228" s="164">
        <f t="shared" si="1"/>
        <v>0.71954856595969341</v>
      </c>
      <c r="O228" s="162">
        <v>0</v>
      </c>
      <c r="P228" s="164">
        <f t="shared" si="2"/>
        <v>0</v>
      </c>
      <c r="Q228" s="50">
        <v>0</v>
      </c>
      <c r="R228" s="162"/>
      <c r="S228" s="162"/>
      <c r="T228" s="162"/>
      <c r="U228" s="44"/>
    </row>
    <row r="229" spans="1:21" hidden="1" x14ac:dyDescent="0.25">
      <c r="A229" s="161" t="s">
        <v>706</v>
      </c>
      <c r="B229" s="161" t="s">
        <v>628</v>
      </c>
      <c r="C229" s="161" t="s">
        <v>702</v>
      </c>
      <c r="D229" s="161" t="s">
        <v>69</v>
      </c>
      <c r="E229" s="162">
        <v>14660103</v>
      </c>
      <c r="F229" s="162">
        <v>14256172</v>
      </c>
      <c r="G229" s="162">
        <v>14256172</v>
      </c>
      <c r="H229" s="162">
        <v>0</v>
      </c>
      <c r="I229" s="162">
        <v>4031028.56</v>
      </c>
      <c r="J229" s="162">
        <v>0</v>
      </c>
      <c r="K229" s="162">
        <v>10225143.439999999</v>
      </c>
      <c r="L229" s="163">
        <f t="shared" si="0"/>
        <v>0.71724327119510056</v>
      </c>
      <c r="M229" s="162">
        <v>10225143.439999999</v>
      </c>
      <c r="N229" s="164">
        <f t="shared" si="1"/>
        <v>0.71724327119510056</v>
      </c>
      <c r="O229" s="162">
        <v>0</v>
      </c>
      <c r="P229" s="164">
        <f t="shared" si="2"/>
        <v>0</v>
      </c>
      <c r="Q229" s="50">
        <v>0</v>
      </c>
      <c r="R229" s="162"/>
      <c r="S229" s="162"/>
      <c r="T229" s="162"/>
      <c r="U229" s="44"/>
    </row>
    <row r="230" spans="1:21" hidden="1" x14ac:dyDescent="0.25">
      <c r="A230" s="161" t="s">
        <v>706</v>
      </c>
      <c r="B230" s="161" t="s">
        <v>643</v>
      </c>
      <c r="C230" s="161" t="s">
        <v>703</v>
      </c>
      <c r="D230" s="161" t="s">
        <v>69</v>
      </c>
      <c r="E230" s="162">
        <v>2599249</v>
      </c>
      <c r="F230" s="162">
        <v>2527631</v>
      </c>
      <c r="G230" s="162">
        <v>2527631</v>
      </c>
      <c r="H230" s="162">
        <v>0</v>
      </c>
      <c r="I230" s="162">
        <v>676013.06</v>
      </c>
      <c r="J230" s="162">
        <v>0</v>
      </c>
      <c r="K230" s="162">
        <v>1851617.94</v>
      </c>
      <c r="L230" s="163">
        <f t="shared" si="0"/>
        <v>0.73255073228647694</v>
      </c>
      <c r="M230" s="162">
        <v>1851617.94</v>
      </c>
      <c r="N230" s="164">
        <f t="shared" si="1"/>
        <v>0.73255073228647694</v>
      </c>
      <c r="O230" s="162">
        <v>0</v>
      </c>
      <c r="P230" s="164">
        <f t="shared" si="2"/>
        <v>0</v>
      </c>
      <c r="Q230" s="50">
        <v>0</v>
      </c>
      <c r="R230" s="162"/>
      <c r="S230" s="162"/>
      <c r="T230" s="162"/>
      <c r="U230" s="44"/>
    </row>
    <row r="231" spans="1:21" hidden="1" x14ac:dyDescent="0.25">
      <c r="A231" s="161" t="s">
        <v>706</v>
      </c>
      <c r="B231" s="161" t="s">
        <v>260</v>
      </c>
      <c r="C231" s="161" t="s">
        <v>261</v>
      </c>
      <c r="D231" s="161" t="s">
        <v>69</v>
      </c>
      <c r="E231" s="162">
        <v>195701100</v>
      </c>
      <c r="F231" s="162">
        <v>100451100</v>
      </c>
      <c r="G231" s="162">
        <v>100451100</v>
      </c>
      <c r="H231" s="162">
        <v>0</v>
      </c>
      <c r="I231" s="162">
        <v>0</v>
      </c>
      <c r="J231" s="162">
        <v>0</v>
      </c>
      <c r="K231" s="162">
        <v>17184531.82</v>
      </c>
      <c r="L231" s="163">
        <f t="shared" si="0"/>
        <v>0.17107360516709125</v>
      </c>
      <c r="M231" s="162">
        <v>17184531.82</v>
      </c>
      <c r="N231" s="164">
        <f t="shared" si="1"/>
        <v>0.17107360516709125</v>
      </c>
      <c r="O231" s="162">
        <v>83266568.180000007</v>
      </c>
      <c r="P231" s="164">
        <f t="shared" si="2"/>
        <v>0.82892639483290886</v>
      </c>
      <c r="Q231" s="50">
        <v>83266568.180000007</v>
      </c>
      <c r="R231" s="162"/>
      <c r="S231" s="162"/>
      <c r="T231" s="162"/>
      <c r="U231" s="44"/>
    </row>
    <row r="232" spans="1:21" x14ac:dyDescent="0.25">
      <c r="A232" s="161" t="s">
        <v>706</v>
      </c>
      <c r="B232" s="161" t="s">
        <v>262</v>
      </c>
      <c r="C232" s="161" t="s">
        <v>263</v>
      </c>
      <c r="D232" s="161" t="s">
        <v>69</v>
      </c>
      <c r="E232" s="162">
        <v>165701100</v>
      </c>
      <c r="F232" s="162">
        <v>70451100</v>
      </c>
      <c r="G232" s="162">
        <v>70451100</v>
      </c>
      <c r="H232" s="162">
        <v>0</v>
      </c>
      <c r="I232" s="162">
        <v>0</v>
      </c>
      <c r="J232" s="162">
        <v>0</v>
      </c>
      <c r="K232" s="162">
        <v>14880077.82</v>
      </c>
      <c r="L232" s="163">
        <f t="shared" si="0"/>
        <v>0.21121143346235899</v>
      </c>
      <c r="M232" s="162">
        <v>14880077.82</v>
      </c>
      <c r="N232" s="164">
        <f t="shared" si="1"/>
        <v>0.21121143346235899</v>
      </c>
      <c r="O232" s="162">
        <v>55571022.18</v>
      </c>
      <c r="P232" s="164">
        <f t="shared" si="2"/>
        <v>0.78878856653764096</v>
      </c>
      <c r="Q232" s="50">
        <v>55571022.18</v>
      </c>
      <c r="R232" s="162"/>
      <c r="S232" s="162"/>
      <c r="T232" s="162"/>
      <c r="U232" s="160"/>
    </row>
    <row r="233" spans="1:21" x14ac:dyDescent="0.25">
      <c r="A233" s="161" t="s">
        <v>706</v>
      </c>
      <c r="B233" s="161" t="s">
        <v>264</v>
      </c>
      <c r="C233" s="161" t="s">
        <v>265</v>
      </c>
      <c r="D233" s="161" t="s">
        <v>69</v>
      </c>
      <c r="E233" s="162">
        <v>30000000</v>
      </c>
      <c r="F233" s="162">
        <v>30000000</v>
      </c>
      <c r="G233" s="162">
        <v>30000000</v>
      </c>
      <c r="H233" s="162">
        <v>0</v>
      </c>
      <c r="I233" s="162">
        <v>0</v>
      </c>
      <c r="J233" s="162">
        <v>0</v>
      </c>
      <c r="K233" s="162">
        <v>2304454</v>
      </c>
      <c r="L233" s="163">
        <f t="shared" si="0"/>
        <v>7.6815133333333327E-2</v>
      </c>
      <c r="M233" s="162">
        <v>2304454</v>
      </c>
      <c r="N233" s="164">
        <f t="shared" si="1"/>
        <v>7.6815133333333327E-2</v>
      </c>
      <c r="O233" s="162">
        <v>27695546</v>
      </c>
      <c r="P233" s="164">
        <f t="shared" si="2"/>
        <v>0.92318486666666666</v>
      </c>
      <c r="Q233" s="50">
        <v>27695546</v>
      </c>
      <c r="R233" s="162"/>
      <c r="S233" s="162"/>
      <c r="T233" s="162"/>
      <c r="U233" s="160"/>
    </row>
    <row r="234" spans="1:21" hidden="1" x14ac:dyDescent="0.25">
      <c r="A234" s="161" t="s">
        <v>706</v>
      </c>
      <c r="B234" s="161" t="s">
        <v>286</v>
      </c>
      <c r="C234" s="161" t="s">
        <v>287</v>
      </c>
      <c r="D234" s="161" t="s">
        <v>69</v>
      </c>
      <c r="E234" s="162">
        <v>6000000</v>
      </c>
      <c r="F234" s="162">
        <v>6000000</v>
      </c>
      <c r="G234" s="162">
        <v>6000000</v>
      </c>
      <c r="H234" s="162">
        <v>0</v>
      </c>
      <c r="I234" s="162">
        <v>0</v>
      </c>
      <c r="J234" s="162">
        <v>0</v>
      </c>
      <c r="K234" s="162">
        <v>0</v>
      </c>
      <c r="L234" s="163">
        <f t="shared" si="0"/>
        <v>0</v>
      </c>
      <c r="M234" s="162">
        <v>0</v>
      </c>
      <c r="N234" s="164">
        <f t="shared" si="1"/>
        <v>0</v>
      </c>
      <c r="O234" s="162">
        <v>6000000</v>
      </c>
      <c r="P234" s="164">
        <f t="shared" si="2"/>
        <v>1</v>
      </c>
      <c r="Q234" s="50">
        <v>6000000</v>
      </c>
      <c r="R234" s="162"/>
      <c r="S234" s="162"/>
      <c r="T234" s="162"/>
      <c r="U234" s="44"/>
    </row>
    <row r="235" spans="1:21" x14ac:dyDescent="0.25">
      <c r="A235" s="161" t="s">
        <v>706</v>
      </c>
      <c r="B235" s="161" t="s">
        <v>288</v>
      </c>
      <c r="C235" s="161" t="s">
        <v>289</v>
      </c>
      <c r="D235" s="161" t="s">
        <v>69</v>
      </c>
      <c r="E235" s="162">
        <v>6000000</v>
      </c>
      <c r="F235" s="162">
        <v>6000000</v>
      </c>
      <c r="G235" s="162">
        <v>6000000</v>
      </c>
      <c r="H235" s="162">
        <v>0</v>
      </c>
      <c r="I235" s="162">
        <v>0</v>
      </c>
      <c r="J235" s="162">
        <v>0</v>
      </c>
      <c r="K235" s="162">
        <v>0</v>
      </c>
      <c r="L235" s="163">
        <f t="shared" si="0"/>
        <v>0</v>
      </c>
      <c r="M235" s="162">
        <v>0</v>
      </c>
      <c r="N235" s="164">
        <f t="shared" si="1"/>
        <v>0</v>
      </c>
      <c r="O235" s="162">
        <v>6000000</v>
      </c>
      <c r="P235" s="164">
        <f t="shared" si="2"/>
        <v>1</v>
      </c>
      <c r="Q235" s="50">
        <v>6000000</v>
      </c>
      <c r="R235" s="162"/>
      <c r="S235" s="162"/>
      <c r="T235" s="162"/>
      <c r="U235" s="160"/>
    </row>
    <row r="236" spans="1:21" hidden="1" x14ac:dyDescent="0.25">
      <c r="A236" s="161" t="s">
        <v>706</v>
      </c>
      <c r="B236" s="161" t="s">
        <v>230</v>
      </c>
      <c r="C236" s="161" t="s">
        <v>231</v>
      </c>
      <c r="D236" s="161" t="s">
        <v>85</v>
      </c>
      <c r="E236" s="162">
        <v>744452300</v>
      </c>
      <c r="F236" s="162">
        <v>139452300</v>
      </c>
      <c r="G236" s="162">
        <v>138352300</v>
      </c>
      <c r="H236" s="162">
        <v>22660715</v>
      </c>
      <c r="I236" s="162">
        <v>20081086.600000001</v>
      </c>
      <c r="J236" s="162">
        <v>0</v>
      </c>
      <c r="K236" s="162">
        <v>62359094.719999999</v>
      </c>
      <c r="L236" s="163">
        <f t="shared" si="0"/>
        <v>0.44717150394794491</v>
      </c>
      <c r="M236" s="162">
        <v>45193772.009999998</v>
      </c>
      <c r="N236" s="164">
        <f t="shared" si="1"/>
        <v>0.32408050645274405</v>
      </c>
      <c r="O236" s="162">
        <v>34351403.68</v>
      </c>
      <c r="P236" s="164">
        <f t="shared" si="2"/>
        <v>0.24633085062060647</v>
      </c>
      <c r="Q236" s="50">
        <v>33251403.68</v>
      </c>
      <c r="R236" s="162"/>
      <c r="S236" s="162"/>
      <c r="T236" s="162"/>
      <c r="U236" s="160"/>
    </row>
    <row r="237" spans="1:21" hidden="1" x14ac:dyDescent="0.25">
      <c r="A237" s="161" t="s">
        <v>706</v>
      </c>
      <c r="B237" s="161" t="s">
        <v>232</v>
      </c>
      <c r="C237" s="161" t="s">
        <v>233</v>
      </c>
      <c r="D237" s="161" t="s">
        <v>85</v>
      </c>
      <c r="E237" s="162">
        <v>67752300</v>
      </c>
      <c r="F237" s="162">
        <v>53252300</v>
      </c>
      <c r="G237" s="162">
        <v>52152300</v>
      </c>
      <c r="H237" s="162">
        <v>16867991</v>
      </c>
      <c r="I237" s="162">
        <v>2512532.7799999998</v>
      </c>
      <c r="J237" s="162">
        <v>0</v>
      </c>
      <c r="K237" s="162">
        <v>32243558.710000001</v>
      </c>
      <c r="L237" s="163">
        <f t="shared" si="0"/>
        <v>0.6054866871477852</v>
      </c>
      <c r="M237" s="162">
        <v>24514978.530000001</v>
      </c>
      <c r="N237" s="164">
        <f t="shared" si="1"/>
        <v>0.46035529977108974</v>
      </c>
      <c r="O237" s="162">
        <v>1628217.51</v>
      </c>
      <c r="P237" s="164">
        <f t="shared" si="2"/>
        <v>3.0575534014493273E-2</v>
      </c>
      <c r="Q237" s="50">
        <v>528217.51</v>
      </c>
      <c r="R237" s="162"/>
      <c r="S237" s="162"/>
      <c r="T237" s="162"/>
      <c r="U237" s="160"/>
    </row>
    <row r="238" spans="1:21" hidden="1" x14ac:dyDescent="0.25">
      <c r="A238" s="161" t="s">
        <v>706</v>
      </c>
      <c r="B238" s="161" t="s">
        <v>234</v>
      </c>
      <c r="C238" s="161" t="s">
        <v>235</v>
      </c>
      <c r="D238" s="161" t="s">
        <v>85</v>
      </c>
      <c r="E238" s="162">
        <v>0</v>
      </c>
      <c r="F238" s="162">
        <v>0</v>
      </c>
      <c r="G238" s="162">
        <v>0</v>
      </c>
      <c r="H238" s="162">
        <v>0</v>
      </c>
      <c r="I238" s="162">
        <v>0</v>
      </c>
      <c r="J238" s="162">
        <v>0</v>
      </c>
      <c r="K238" s="162">
        <v>0</v>
      </c>
      <c r="L238" s="163" t="e">
        <f t="shared" si="0"/>
        <v>#DIV/0!</v>
      </c>
      <c r="M238" s="162">
        <v>0</v>
      </c>
      <c r="N238" s="164" t="e">
        <f t="shared" si="1"/>
        <v>#DIV/0!</v>
      </c>
      <c r="O238" s="162">
        <v>0</v>
      </c>
      <c r="P238" s="164" t="e">
        <f t="shared" si="2"/>
        <v>#DIV/0!</v>
      </c>
      <c r="Q238" s="50">
        <v>0</v>
      </c>
      <c r="R238" s="162"/>
      <c r="S238" s="162"/>
      <c r="T238" s="162"/>
      <c r="U238" s="160"/>
    </row>
    <row r="239" spans="1:21" hidden="1" x14ac:dyDescent="0.25">
      <c r="A239" s="161" t="s">
        <v>706</v>
      </c>
      <c r="B239" s="161" t="s">
        <v>238</v>
      </c>
      <c r="C239" s="161" t="s">
        <v>239</v>
      </c>
      <c r="D239" s="161" t="s">
        <v>85</v>
      </c>
      <c r="E239" s="162">
        <v>45252300</v>
      </c>
      <c r="F239" s="162">
        <v>17752300</v>
      </c>
      <c r="G239" s="162">
        <v>16652300</v>
      </c>
      <c r="H239" s="162">
        <v>0</v>
      </c>
      <c r="I239" s="162">
        <v>1480653.43</v>
      </c>
      <c r="J239" s="162">
        <v>0</v>
      </c>
      <c r="K239" s="162">
        <v>14682244.199999999</v>
      </c>
      <c r="L239" s="163">
        <f t="shared" si="0"/>
        <v>0.8270615187891146</v>
      </c>
      <c r="M239" s="162">
        <v>14682244.199999999</v>
      </c>
      <c r="N239" s="164">
        <f t="shared" si="1"/>
        <v>0.8270615187891146</v>
      </c>
      <c r="O239" s="162">
        <v>1589402.37</v>
      </c>
      <c r="P239" s="164">
        <f t="shared" si="2"/>
        <v>8.9532194138224344E-2</v>
      </c>
      <c r="Q239" s="50">
        <v>489402.37</v>
      </c>
      <c r="R239" s="162"/>
      <c r="S239" s="162"/>
      <c r="T239" s="162"/>
      <c r="U239" s="160"/>
    </row>
    <row r="240" spans="1:21" hidden="1" x14ac:dyDescent="0.25">
      <c r="A240" s="161" t="s">
        <v>706</v>
      </c>
      <c r="B240" s="161" t="s">
        <v>282</v>
      </c>
      <c r="C240" s="161" t="s">
        <v>283</v>
      </c>
      <c r="D240" s="161" t="s">
        <v>85</v>
      </c>
      <c r="E240" s="162">
        <v>22500000</v>
      </c>
      <c r="F240" s="162">
        <v>35500000</v>
      </c>
      <c r="G240" s="162">
        <v>35500000</v>
      </c>
      <c r="H240" s="162">
        <v>16867991</v>
      </c>
      <c r="I240" s="162">
        <v>1031879.35</v>
      </c>
      <c r="J240" s="162">
        <v>0</v>
      </c>
      <c r="K240" s="162">
        <v>17561314.510000002</v>
      </c>
      <c r="L240" s="163">
        <f t="shared" si="0"/>
        <v>0.49468491577464796</v>
      </c>
      <c r="M240" s="162">
        <v>9832734.3300000001</v>
      </c>
      <c r="N240" s="164">
        <f t="shared" si="1"/>
        <v>0.27697843183098592</v>
      </c>
      <c r="O240" s="162">
        <v>38815.14</v>
      </c>
      <c r="P240" s="164">
        <f t="shared" si="2"/>
        <v>1.0933842253521126E-3</v>
      </c>
      <c r="Q240" s="50">
        <v>38815.14</v>
      </c>
      <c r="R240" s="162"/>
      <c r="S240" s="162"/>
      <c r="T240" s="162"/>
      <c r="U240" s="160"/>
    </row>
    <row r="241" spans="1:21" hidden="1" x14ac:dyDescent="0.25">
      <c r="A241" s="161" t="s">
        <v>706</v>
      </c>
      <c r="B241" s="161" t="s">
        <v>242</v>
      </c>
      <c r="C241" s="161" t="s">
        <v>243</v>
      </c>
      <c r="D241" s="161" t="s">
        <v>85</v>
      </c>
      <c r="E241" s="162">
        <v>0</v>
      </c>
      <c r="F241" s="162">
        <v>0</v>
      </c>
      <c r="G241" s="162">
        <v>0</v>
      </c>
      <c r="H241" s="162">
        <v>0</v>
      </c>
      <c r="I241" s="162">
        <v>0</v>
      </c>
      <c r="J241" s="162">
        <v>0</v>
      </c>
      <c r="K241" s="162">
        <v>0</v>
      </c>
      <c r="L241" s="163" t="e">
        <f t="shared" si="0"/>
        <v>#DIV/0!</v>
      </c>
      <c r="M241" s="162">
        <v>0</v>
      </c>
      <c r="N241" s="164" t="e">
        <f t="shared" si="1"/>
        <v>#DIV/0!</v>
      </c>
      <c r="O241" s="162">
        <v>0</v>
      </c>
      <c r="P241" s="164" t="e">
        <f t="shared" si="2"/>
        <v>#DIV/0!</v>
      </c>
      <c r="Q241" s="50">
        <v>0</v>
      </c>
      <c r="R241" s="162"/>
      <c r="S241" s="162"/>
      <c r="T241" s="162"/>
      <c r="U241" s="160"/>
    </row>
    <row r="242" spans="1:21" hidden="1" x14ac:dyDescent="0.25">
      <c r="A242" s="161" t="s">
        <v>706</v>
      </c>
      <c r="B242" s="161" t="s">
        <v>328</v>
      </c>
      <c r="C242" s="161" t="s">
        <v>329</v>
      </c>
      <c r="D242" s="161" t="s">
        <v>85</v>
      </c>
      <c r="E242" s="162">
        <v>630000000</v>
      </c>
      <c r="F242" s="162">
        <v>30000000</v>
      </c>
      <c r="G242" s="162">
        <v>30000000</v>
      </c>
      <c r="H242" s="162">
        <v>0</v>
      </c>
      <c r="I242" s="162">
        <v>0</v>
      </c>
      <c r="J242" s="162">
        <v>0</v>
      </c>
      <c r="K242" s="162">
        <v>0</v>
      </c>
      <c r="L242" s="163">
        <f t="shared" si="0"/>
        <v>0</v>
      </c>
      <c r="M242" s="162">
        <v>0</v>
      </c>
      <c r="N242" s="164">
        <f t="shared" si="1"/>
        <v>0</v>
      </c>
      <c r="O242" s="162">
        <v>30000000</v>
      </c>
      <c r="P242" s="164">
        <f t="shared" si="2"/>
        <v>1</v>
      </c>
      <c r="Q242" s="50">
        <v>30000000</v>
      </c>
      <c r="R242" s="162"/>
      <c r="S242" s="162"/>
      <c r="T242" s="162"/>
      <c r="U242" s="160"/>
    </row>
    <row r="243" spans="1:21" x14ac:dyDescent="0.25">
      <c r="A243" s="161" t="s">
        <v>706</v>
      </c>
      <c r="B243" s="161" t="s">
        <v>330</v>
      </c>
      <c r="C243" s="161" t="s">
        <v>331</v>
      </c>
      <c r="D243" s="161" t="s">
        <v>85</v>
      </c>
      <c r="E243" s="162">
        <v>630000000</v>
      </c>
      <c r="F243" s="162">
        <v>30000000</v>
      </c>
      <c r="G243" s="162">
        <v>30000000</v>
      </c>
      <c r="H243" s="162">
        <v>0</v>
      </c>
      <c r="I243" s="162">
        <v>0</v>
      </c>
      <c r="J243" s="162">
        <v>0</v>
      </c>
      <c r="K243" s="162">
        <v>0</v>
      </c>
      <c r="L243" s="163">
        <f t="shared" si="0"/>
        <v>0</v>
      </c>
      <c r="M243" s="162">
        <v>0</v>
      </c>
      <c r="N243" s="164">
        <f t="shared" si="1"/>
        <v>0</v>
      </c>
      <c r="O243" s="162">
        <v>30000000</v>
      </c>
      <c r="P243" s="164">
        <f t="shared" si="2"/>
        <v>1</v>
      </c>
      <c r="Q243" s="50">
        <v>30000000</v>
      </c>
      <c r="R243" s="162"/>
      <c r="S243" s="162"/>
      <c r="T243" s="162"/>
      <c r="U243" s="160"/>
    </row>
    <row r="244" spans="1:21" hidden="1" x14ac:dyDescent="0.25">
      <c r="A244" s="49" t="s">
        <v>706</v>
      </c>
      <c r="B244" s="49" t="s">
        <v>244</v>
      </c>
      <c r="C244" s="49" t="s">
        <v>245</v>
      </c>
      <c r="D244" s="49" t="s">
        <v>85</v>
      </c>
      <c r="E244" s="50">
        <v>46700000</v>
      </c>
      <c r="F244" s="50">
        <v>56200000</v>
      </c>
      <c r="G244" s="50">
        <v>56200000</v>
      </c>
      <c r="H244" s="50">
        <v>5792724</v>
      </c>
      <c r="I244" s="50">
        <v>17568553.82</v>
      </c>
      <c r="J244" s="50">
        <v>0</v>
      </c>
      <c r="K244" s="50">
        <v>30115536.010000002</v>
      </c>
      <c r="L244" s="151">
        <f t="shared" si="0"/>
        <v>0.53586363007117443</v>
      </c>
      <c r="M244" s="50">
        <v>20678793.48</v>
      </c>
      <c r="N244" s="152">
        <f t="shared" si="1"/>
        <v>0.3679500619217082</v>
      </c>
      <c r="O244" s="50">
        <v>2723186.17</v>
      </c>
      <c r="P244" s="152">
        <f t="shared" si="2"/>
        <v>4.8455269928825623E-2</v>
      </c>
      <c r="Q244" s="50">
        <v>2723186.17</v>
      </c>
      <c r="R244" s="50"/>
      <c r="S244" s="50"/>
      <c r="T244" s="50"/>
      <c r="U244" s="44"/>
    </row>
    <row r="245" spans="1:21" hidden="1" x14ac:dyDescent="0.25">
      <c r="A245" s="49" t="s">
        <v>706</v>
      </c>
      <c r="B245" s="49" t="s">
        <v>246</v>
      </c>
      <c r="C245" s="49" t="s">
        <v>247</v>
      </c>
      <c r="D245" s="49" t="s">
        <v>85</v>
      </c>
      <c r="E245" s="50">
        <v>46700000</v>
      </c>
      <c r="F245" s="50">
        <v>56200000</v>
      </c>
      <c r="G245" s="50">
        <v>56200000</v>
      </c>
      <c r="H245" s="50">
        <v>5792724</v>
      </c>
      <c r="I245" s="50">
        <v>17568553.82</v>
      </c>
      <c r="J245" s="50">
        <v>0</v>
      </c>
      <c r="K245" s="50">
        <v>30115536.010000002</v>
      </c>
      <c r="L245" s="151">
        <f t="shared" si="0"/>
        <v>0.53586363007117443</v>
      </c>
      <c r="M245" s="50">
        <v>20678793.48</v>
      </c>
      <c r="N245" s="152">
        <f t="shared" si="1"/>
        <v>0.3679500619217082</v>
      </c>
      <c r="O245" s="50">
        <v>2723186.17</v>
      </c>
      <c r="P245" s="152">
        <f t="shared" si="2"/>
        <v>4.8455269928825623E-2</v>
      </c>
      <c r="Q245" s="50">
        <v>2723186.17</v>
      </c>
      <c r="R245" s="50"/>
      <c r="S245" s="50"/>
      <c r="T245" s="50"/>
      <c r="U245" s="44"/>
    </row>
    <row r="246" spans="1:21" hidden="1" x14ac:dyDescent="0.25">
      <c r="A246" s="49">
        <v>214789</v>
      </c>
      <c r="B246" s="49"/>
      <c r="C246" s="49"/>
      <c r="D246" s="49" t="s">
        <v>69</v>
      </c>
      <c r="E246" s="50">
        <v>77210852108</v>
      </c>
      <c r="F246" s="50">
        <v>75853899258</v>
      </c>
      <c r="G246" s="50">
        <v>75220083787.380005</v>
      </c>
      <c r="H246" s="50">
        <v>123961274.97</v>
      </c>
      <c r="I246" s="50">
        <v>5806411759.2200003</v>
      </c>
      <c r="J246" s="50">
        <v>303464378.69999999</v>
      </c>
      <c r="K246" s="50">
        <v>55184073349.459999</v>
      </c>
      <c r="L246" s="151">
        <f t="shared" si="0"/>
        <v>0.72750476757646654</v>
      </c>
      <c r="M246" s="50">
        <v>53986396434.809998</v>
      </c>
      <c r="N246" s="152">
        <f t="shared" si="1"/>
        <v>0.71171550787636373</v>
      </c>
      <c r="O246" s="50">
        <v>14435988495.65</v>
      </c>
      <c r="P246" s="152">
        <f t="shared" si="2"/>
        <v>0.19031307074339351</v>
      </c>
      <c r="Q246" s="50">
        <v>13802173025.030001</v>
      </c>
      <c r="R246" s="50"/>
      <c r="S246" s="50"/>
      <c r="T246" s="50"/>
      <c r="U246" s="44"/>
    </row>
    <row r="247" spans="1:21" hidden="1" x14ac:dyDescent="0.25">
      <c r="A247" s="49" t="s">
        <v>707</v>
      </c>
      <c r="B247" s="49" t="s">
        <v>71</v>
      </c>
      <c r="C247" s="49" t="s">
        <v>72</v>
      </c>
      <c r="D247" s="49" t="s">
        <v>69</v>
      </c>
      <c r="E247" s="50">
        <v>48966684366</v>
      </c>
      <c r="F247" s="50">
        <v>48019702941</v>
      </c>
      <c r="G247" s="50">
        <v>47910517096</v>
      </c>
      <c r="H247" s="50">
        <v>0</v>
      </c>
      <c r="I247" s="50">
        <v>1095008272</v>
      </c>
      <c r="J247" s="50">
        <v>0</v>
      </c>
      <c r="K247" s="50">
        <v>36502223688.370003</v>
      </c>
      <c r="L247" s="151">
        <f t="shared" si="0"/>
        <v>0.76015096830604945</v>
      </c>
      <c r="M247" s="50">
        <v>36502223688.370003</v>
      </c>
      <c r="N247" s="152">
        <f t="shared" si="1"/>
        <v>0.76015096830604945</v>
      </c>
      <c r="O247" s="50">
        <v>10422470980.629999</v>
      </c>
      <c r="P247" s="152">
        <f t="shared" si="2"/>
        <v>0.21704571961712668</v>
      </c>
      <c r="Q247" s="50">
        <v>10313285135.629999</v>
      </c>
      <c r="R247" s="50"/>
      <c r="S247" s="50"/>
      <c r="T247" s="50"/>
      <c r="U247" s="44"/>
    </row>
    <row r="248" spans="1:21" hidden="1" x14ac:dyDescent="0.25">
      <c r="A248" s="49" t="s">
        <v>707</v>
      </c>
      <c r="B248" s="49" t="s">
        <v>73</v>
      </c>
      <c r="C248" s="49" t="s">
        <v>74</v>
      </c>
      <c r="D248" s="49" t="s">
        <v>69</v>
      </c>
      <c r="E248" s="50">
        <v>17541843984</v>
      </c>
      <c r="F248" s="50">
        <v>16935768300</v>
      </c>
      <c r="G248" s="50">
        <v>16912582455</v>
      </c>
      <c r="H248" s="50">
        <v>0</v>
      </c>
      <c r="I248" s="50">
        <v>0</v>
      </c>
      <c r="J248" s="50">
        <v>0</v>
      </c>
      <c r="K248" s="50">
        <v>13481625496.299999</v>
      </c>
      <c r="L248" s="151">
        <f t="shared" si="0"/>
        <v>0.79604451699424816</v>
      </c>
      <c r="M248" s="50">
        <v>13481625496.299999</v>
      </c>
      <c r="N248" s="152">
        <f t="shared" si="1"/>
        <v>0.79604451699424816</v>
      </c>
      <c r="O248" s="50">
        <v>3454142803.6999998</v>
      </c>
      <c r="P248" s="152">
        <f t="shared" si="2"/>
        <v>0.20395548300575178</v>
      </c>
      <c r="Q248" s="50">
        <v>3430956958.6999998</v>
      </c>
      <c r="R248" s="50"/>
      <c r="S248" s="50"/>
      <c r="T248" s="50"/>
      <c r="U248" s="44"/>
    </row>
    <row r="249" spans="1:21" hidden="1" x14ac:dyDescent="0.25">
      <c r="A249" s="49" t="s">
        <v>707</v>
      </c>
      <c r="B249" s="49" t="s">
        <v>75</v>
      </c>
      <c r="C249" s="49" t="s">
        <v>76</v>
      </c>
      <c r="D249" s="49" t="s">
        <v>69</v>
      </c>
      <c r="E249" s="50">
        <v>17541843984</v>
      </c>
      <c r="F249" s="50">
        <v>16935768300</v>
      </c>
      <c r="G249" s="50">
        <v>16912582455</v>
      </c>
      <c r="H249" s="50">
        <v>0</v>
      </c>
      <c r="I249" s="50">
        <v>0</v>
      </c>
      <c r="J249" s="50">
        <v>0</v>
      </c>
      <c r="K249" s="50">
        <v>13481625496.299999</v>
      </c>
      <c r="L249" s="151">
        <f t="shared" si="0"/>
        <v>0.79604451699424816</v>
      </c>
      <c r="M249" s="50">
        <v>13481625496.299999</v>
      </c>
      <c r="N249" s="152">
        <f t="shared" si="1"/>
        <v>0.79604451699424816</v>
      </c>
      <c r="O249" s="50">
        <v>3454142803.6999998</v>
      </c>
      <c r="P249" s="152">
        <f t="shared" si="2"/>
        <v>0.20395548300575178</v>
      </c>
      <c r="Q249" s="50">
        <v>3430956958.6999998</v>
      </c>
      <c r="R249" s="50"/>
      <c r="S249" s="50"/>
      <c r="T249" s="50"/>
      <c r="U249" s="44"/>
    </row>
    <row r="250" spans="1:21" hidden="1" x14ac:dyDescent="0.25">
      <c r="A250" s="49" t="s">
        <v>707</v>
      </c>
      <c r="B250" s="49" t="s">
        <v>293</v>
      </c>
      <c r="C250" s="49" t="s">
        <v>294</v>
      </c>
      <c r="D250" s="49" t="s">
        <v>69</v>
      </c>
      <c r="E250" s="50">
        <v>3681614000</v>
      </c>
      <c r="F250" s="50">
        <v>3681614000</v>
      </c>
      <c r="G250" s="50">
        <v>3681614000</v>
      </c>
      <c r="H250" s="50">
        <v>0</v>
      </c>
      <c r="I250" s="50">
        <v>0</v>
      </c>
      <c r="J250" s="50">
        <v>0</v>
      </c>
      <c r="K250" s="50">
        <v>3021992145.9699998</v>
      </c>
      <c r="L250" s="151">
        <f t="shared" si="0"/>
        <v>0.82083351105520563</v>
      </c>
      <c r="M250" s="50">
        <v>3021992145.9699998</v>
      </c>
      <c r="N250" s="152">
        <f t="shared" si="1"/>
        <v>0.82083351105520563</v>
      </c>
      <c r="O250" s="50">
        <v>659621854.02999997</v>
      </c>
      <c r="P250" s="152">
        <f t="shared" si="2"/>
        <v>0.17916648894479431</v>
      </c>
      <c r="Q250" s="50">
        <v>659621854.02999997</v>
      </c>
      <c r="R250" s="50"/>
      <c r="S250" s="50"/>
      <c r="T250" s="50"/>
      <c r="U250" s="44"/>
    </row>
    <row r="251" spans="1:21" hidden="1" x14ac:dyDescent="0.25">
      <c r="A251" s="49" t="s">
        <v>707</v>
      </c>
      <c r="B251" s="49" t="s">
        <v>295</v>
      </c>
      <c r="C251" s="49" t="s">
        <v>296</v>
      </c>
      <c r="D251" s="49" t="s">
        <v>69</v>
      </c>
      <c r="E251" s="50">
        <v>8000000</v>
      </c>
      <c r="F251" s="50">
        <v>8000000</v>
      </c>
      <c r="G251" s="50">
        <v>8000000</v>
      </c>
      <c r="H251" s="50">
        <v>0</v>
      </c>
      <c r="I251" s="50">
        <v>0</v>
      </c>
      <c r="J251" s="50">
        <v>0</v>
      </c>
      <c r="K251" s="50">
        <v>4972501.4800000004</v>
      </c>
      <c r="L251" s="151">
        <f t="shared" si="0"/>
        <v>0.621562685</v>
      </c>
      <c r="M251" s="50">
        <v>4972501.4800000004</v>
      </c>
      <c r="N251" s="152">
        <f t="shared" si="1"/>
        <v>0.621562685</v>
      </c>
      <c r="O251" s="50">
        <v>3027498.52</v>
      </c>
      <c r="P251" s="152">
        <f t="shared" si="2"/>
        <v>0.378437315</v>
      </c>
      <c r="Q251" s="50">
        <v>3027498.52</v>
      </c>
      <c r="R251" s="50"/>
      <c r="S251" s="50"/>
      <c r="T251" s="50"/>
      <c r="U251" s="44"/>
    </row>
    <row r="252" spans="1:21" hidden="1" x14ac:dyDescent="0.25">
      <c r="A252" s="49" t="s">
        <v>707</v>
      </c>
      <c r="B252" s="49" t="s">
        <v>337</v>
      </c>
      <c r="C252" s="49" t="s">
        <v>338</v>
      </c>
      <c r="D252" s="49" t="s">
        <v>69</v>
      </c>
      <c r="E252" s="50">
        <v>25000000</v>
      </c>
      <c r="F252" s="50">
        <v>25000000</v>
      </c>
      <c r="G252" s="50">
        <v>25000000</v>
      </c>
      <c r="H252" s="50">
        <v>0</v>
      </c>
      <c r="I252" s="50">
        <v>0</v>
      </c>
      <c r="J252" s="50">
        <v>0</v>
      </c>
      <c r="K252" s="50">
        <v>2126940</v>
      </c>
      <c r="L252" s="151">
        <f t="shared" si="0"/>
        <v>8.5077600000000003E-2</v>
      </c>
      <c r="M252" s="50">
        <v>2126940</v>
      </c>
      <c r="N252" s="152">
        <f t="shared" si="1"/>
        <v>8.5077600000000003E-2</v>
      </c>
      <c r="O252" s="50">
        <v>22873060</v>
      </c>
      <c r="P252" s="152">
        <f t="shared" si="2"/>
        <v>0.91492240000000002</v>
      </c>
      <c r="Q252" s="50">
        <v>22873060</v>
      </c>
      <c r="R252" s="50"/>
      <c r="S252" s="50"/>
      <c r="T252" s="50"/>
      <c r="U252" s="44"/>
    </row>
    <row r="253" spans="1:21" hidden="1" x14ac:dyDescent="0.25">
      <c r="A253" s="49" t="s">
        <v>707</v>
      </c>
      <c r="B253" s="49" t="s">
        <v>339</v>
      </c>
      <c r="C253" s="49" t="s">
        <v>340</v>
      </c>
      <c r="D253" s="49" t="s">
        <v>69</v>
      </c>
      <c r="E253" s="50">
        <v>3648614000</v>
      </c>
      <c r="F253" s="50">
        <v>3648614000</v>
      </c>
      <c r="G253" s="50">
        <v>3648614000</v>
      </c>
      <c r="H253" s="50">
        <v>0</v>
      </c>
      <c r="I253" s="50">
        <v>0</v>
      </c>
      <c r="J253" s="50">
        <v>0</v>
      </c>
      <c r="K253" s="50">
        <v>3014892704.4899998</v>
      </c>
      <c r="L253" s="151">
        <f t="shared" si="0"/>
        <v>0.82631177331721029</v>
      </c>
      <c r="M253" s="50">
        <v>3014892704.4899998</v>
      </c>
      <c r="N253" s="152">
        <f t="shared" si="1"/>
        <v>0.82631177331721029</v>
      </c>
      <c r="O253" s="50">
        <v>633721295.50999999</v>
      </c>
      <c r="P253" s="152">
        <f t="shared" si="2"/>
        <v>0.17368822668278969</v>
      </c>
      <c r="Q253" s="50">
        <v>633721295.50999999</v>
      </c>
      <c r="R253" s="50"/>
      <c r="S253" s="50"/>
      <c r="T253" s="50"/>
      <c r="U253" s="44"/>
    </row>
    <row r="254" spans="1:21" hidden="1" x14ac:dyDescent="0.25">
      <c r="A254" s="49" t="s">
        <v>707</v>
      </c>
      <c r="B254" s="49" t="s">
        <v>77</v>
      </c>
      <c r="C254" s="49" t="s">
        <v>78</v>
      </c>
      <c r="D254" s="49" t="s">
        <v>69</v>
      </c>
      <c r="E254" s="50">
        <v>20273537632</v>
      </c>
      <c r="F254" s="50">
        <v>20043354521</v>
      </c>
      <c r="G254" s="50">
        <v>20043354521</v>
      </c>
      <c r="H254" s="50">
        <v>0</v>
      </c>
      <c r="I254" s="50">
        <v>0</v>
      </c>
      <c r="J254" s="50">
        <v>0</v>
      </c>
      <c r="K254" s="50">
        <v>13886318349.1</v>
      </c>
      <c r="L254" s="151">
        <f t="shared" si="0"/>
        <v>0.69281408631229391</v>
      </c>
      <c r="M254" s="50">
        <v>13886318349.1</v>
      </c>
      <c r="N254" s="152">
        <f t="shared" si="1"/>
        <v>0.69281408631229391</v>
      </c>
      <c r="O254" s="50">
        <v>6157036171.8999996</v>
      </c>
      <c r="P254" s="152">
        <f t="shared" si="2"/>
        <v>0.30718591368770609</v>
      </c>
      <c r="Q254" s="50">
        <v>6157036171.8999996</v>
      </c>
      <c r="R254" s="50"/>
      <c r="S254" s="50"/>
      <c r="T254" s="50"/>
      <c r="U254" s="44"/>
    </row>
    <row r="255" spans="1:21" hidden="1" x14ac:dyDescent="0.25">
      <c r="A255" s="49" t="s">
        <v>707</v>
      </c>
      <c r="B255" s="49" t="s">
        <v>79</v>
      </c>
      <c r="C255" s="49" t="s">
        <v>80</v>
      </c>
      <c r="D255" s="49" t="s">
        <v>69</v>
      </c>
      <c r="E255" s="50">
        <v>7240363600</v>
      </c>
      <c r="F255" s="50">
        <v>7234363600</v>
      </c>
      <c r="G255" s="50">
        <v>7234363600</v>
      </c>
      <c r="H255" s="50">
        <v>0</v>
      </c>
      <c r="I255" s="50">
        <v>0</v>
      </c>
      <c r="J255" s="50">
        <v>0</v>
      </c>
      <c r="K255" s="50">
        <v>5677498004.8400002</v>
      </c>
      <c r="L255" s="151">
        <f t="shared" si="0"/>
        <v>0.78479577731481454</v>
      </c>
      <c r="M255" s="50">
        <v>5677498004.8400002</v>
      </c>
      <c r="N255" s="152">
        <f t="shared" si="1"/>
        <v>0.78479577731481454</v>
      </c>
      <c r="O255" s="50">
        <v>1556865595.1600001</v>
      </c>
      <c r="P255" s="152">
        <f t="shared" si="2"/>
        <v>0.21520422268518549</v>
      </c>
      <c r="Q255" s="50">
        <v>1556865595.1600001</v>
      </c>
      <c r="R255" s="50"/>
      <c r="S255" s="50"/>
      <c r="T255" s="50"/>
      <c r="U255" s="44"/>
    </row>
    <row r="256" spans="1:21" hidden="1" x14ac:dyDescent="0.25">
      <c r="A256" s="49" t="s">
        <v>707</v>
      </c>
      <c r="B256" s="49" t="s">
        <v>81</v>
      </c>
      <c r="C256" s="49" t="s">
        <v>82</v>
      </c>
      <c r="D256" s="49" t="s">
        <v>69</v>
      </c>
      <c r="E256" s="50">
        <v>646663149</v>
      </c>
      <c r="F256" s="50">
        <v>507159410</v>
      </c>
      <c r="G256" s="50">
        <v>507159410</v>
      </c>
      <c r="H256" s="50">
        <v>0</v>
      </c>
      <c r="I256" s="50">
        <v>0</v>
      </c>
      <c r="J256" s="50">
        <v>0</v>
      </c>
      <c r="K256" s="50">
        <v>382872455.10000002</v>
      </c>
      <c r="L256" s="151">
        <f t="shared" si="0"/>
        <v>0.75493512996239198</v>
      </c>
      <c r="M256" s="50">
        <v>382872455.10000002</v>
      </c>
      <c r="N256" s="152">
        <f t="shared" si="1"/>
        <v>0.75493512996239198</v>
      </c>
      <c r="O256" s="50">
        <v>124286954.90000001</v>
      </c>
      <c r="P256" s="152">
        <f t="shared" si="2"/>
        <v>0.2450648700376081</v>
      </c>
      <c r="Q256" s="50">
        <v>124286954.90000001</v>
      </c>
      <c r="R256" s="50"/>
      <c r="S256" s="50"/>
      <c r="T256" s="50"/>
      <c r="U256" s="44"/>
    </row>
    <row r="257" spans="1:21" hidden="1" x14ac:dyDescent="0.25">
      <c r="A257" s="49" t="s">
        <v>707</v>
      </c>
      <c r="B257" s="49" t="s">
        <v>86</v>
      </c>
      <c r="C257" s="49" t="s">
        <v>87</v>
      </c>
      <c r="D257" s="49" t="s">
        <v>69</v>
      </c>
      <c r="E257" s="50">
        <v>2924191700</v>
      </c>
      <c r="F257" s="50">
        <v>2924191700</v>
      </c>
      <c r="G257" s="50">
        <v>2924191700</v>
      </c>
      <c r="H257" s="50">
        <v>0</v>
      </c>
      <c r="I257" s="50">
        <v>0</v>
      </c>
      <c r="J257" s="50">
        <v>0</v>
      </c>
      <c r="K257" s="50">
        <v>2864128603.6799998</v>
      </c>
      <c r="L257" s="151">
        <f t="shared" si="0"/>
        <v>0.97945993201471704</v>
      </c>
      <c r="M257" s="50">
        <v>2864128603.6799998</v>
      </c>
      <c r="N257" s="152">
        <f t="shared" si="1"/>
        <v>0.97945993201471704</v>
      </c>
      <c r="O257" s="50">
        <v>60063096.32</v>
      </c>
      <c r="P257" s="152">
        <f t="shared" si="2"/>
        <v>2.0540067985282906E-2</v>
      </c>
      <c r="Q257" s="50">
        <v>60063096.32</v>
      </c>
      <c r="R257" s="50"/>
      <c r="S257" s="50"/>
      <c r="T257" s="50"/>
      <c r="U257" s="44"/>
    </row>
    <row r="258" spans="1:21" hidden="1" x14ac:dyDescent="0.25">
      <c r="A258" s="49" t="s">
        <v>707</v>
      </c>
      <c r="B258" s="49" t="s">
        <v>88</v>
      </c>
      <c r="C258" s="49" t="s">
        <v>89</v>
      </c>
      <c r="D258" s="49" t="s">
        <v>69</v>
      </c>
      <c r="E258" s="50">
        <v>6271421300</v>
      </c>
      <c r="F258" s="50">
        <v>6239262627</v>
      </c>
      <c r="G258" s="50">
        <v>6239262627</v>
      </c>
      <c r="H258" s="50">
        <v>0</v>
      </c>
      <c r="I258" s="50">
        <v>0</v>
      </c>
      <c r="J258" s="50">
        <v>0</v>
      </c>
      <c r="K258" s="50">
        <v>4961548131.25</v>
      </c>
      <c r="L258" s="151">
        <f t="shared" si="0"/>
        <v>0.79521386225661117</v>
      </c>
      <c r="M258" s="50">
        <v>4961548131.25</v>
      </c>
      <c r="N258" s="152">
        <f t="shared" si="1"/>
        <v>0.79521386225661117</v>
      </c>
      <c r="O258" s="50">
        <v>1277714495.75</v>
      </c>
      <c r="P258" s="152">
        <f t="shared" si="2"/>
        <v>0.20478613774338883</v>
      </c>
      <c r="Q258" s="50">
        <v>1277714495.75</v>
      </c>
      <c r="R258" s="50"/>
      <c r="S258" s="50"/>
      <c r="T258" s="50"/>
      <c r="U258" s="44"/>
    </row>
    <row r="259" spans="1:21" hidden="1" x14ac:dyDescent="0.25">
      <c r="A259" s="49" t="s">
        <v>707</v>
      </c>
      <c r="B259" s="49" t="s">
        <v>83</v>
      </c>
      <c r="C259" s="49" t="s">
        <v>84</v>
      </c>
      <c r="D259" s="49" t="s">
        <v>85</v>
      </c>
      <c r="E259" s="50">
        <v>3190897883</v>
      </c>
      <c r="F259" s="50">
        <v>3138377184</v>
      </c>
      <c r="G259" s="50">
        <v>3138377184</v>
      </c>
      <c r="H259" s="50">
        <v>0</v>
      </c>
      <c r="I259" s="50">
        <v>0</v>
      </c>
      <c r="J259" s="50">
        <v>0</v>
      </c>
      <c r="K259" s="50">
        <v>271154.23</v>
      </c>
      <c r="L259" s="151">
        <f t="shared" si="0"/>
        <v>8.6399503342807874E-5</v>
      </c>
      <c r="M259" s="50">
        <v>271154.23</v>
      </c>
      <c r="N259" s="152">
        <f t="shared" si="1"/>
        <v>8.6399503342807874E-5</v>
      </c>
      <c r="O259" s="50">
        <v>3138106029.77</v>
      </c>
      <c r="P259" s="152">
        <f t="shared" si="2"/>
        <v>0.99991360049665723</v>
      </c>
      <c r="Q259" s="50">
        <v>3138106029.77</v>
      </c>
      <c r="R259" s="50"/>
      <c r="S259" s="50"/>
      <c r="T259" s="50"/>
      <c r="U259" s="44"/>
    </row>
    <row r="260" spans="1:21" hidden="1" x14ac:dyDescent="0.25">
      <c r="A260" s="49" t="s">
        <v>707</v>
      </c>
      <c r="B260" s="49" t="s">
        <v>90</v>
      </c>
      <c r="C260" s="49" t="s">
        <v>91</v>
      </c>
      <c r="D260" s="49" t="s">
        <v>69</v>
      </c>
      <c r="E260" s="50">
        <v>3734844376</v>
      </c>
      <c r="F260" s="50">
        <v>3679483060</v>
      </c>
      <c r="G260" s="50">
        <v>3679483060</v>
      </c>
      <c r="H260" s="50">
        <v>0</v>
      </c>
      <c r="I260" s="50">
        <v>584372815</v>
      </c>
      <c r="J260" s="50">
        <v>0</v>
      </c>
      <c r="K260" s="50">
        <v>3062275170</v>
      </c>
      <c r="L260" s="151">
        <f t="shared" si="0"/>
        <v>0.83225690132678587</v>
      </c>
      <c r="M260" s="50">
        <v>3062275170</v>
      </c>
      <c r="N260" s="152">
        <f t="shared" si="1"/>
        <v>0.83225690132678587</v>
      </c>
      <c r="O260" s="50">
        <v>32835075</v>
      </c>
      <c r="P260" s="152">
        <f t="shared" si="2"/>
        <v>8.9238282836393863E-3</v>
      </c>
      <c r="Q260" s="50">
        <v>32835075</v>
      </c>
      <c r="R260" s="50"/>
      <c r="S260" s="50"/>
      <c r="T260" s="50"/>
      <c r="U260" s="44"/>
    </row>
    <row r="261" spans="1:21" hidden="1" x14ac:dyDescent="0.25">
      <c r="A261" s="49" t="s">
        <v>707</v>
      </c>
      <c r="B261" s="49" t="s">
        <v>420</v>
      </c>
      <c r="C261" s="49" t="s">
        <v>697</v>
      </c>
      <c r="D261" s="49" t="s">
        <v>69</v>
      </c>
      <c r="E261" s="50">
        <v>3543313962</v>
      </c>
      <c r="F261" s="50">
        <v>3490791688</v>
      </c>
      <c r="G261" s="50">
        <v>3490791688</v>
      </c>
      <c r="H261" s="50">
        <v>0</v>
      </c>
      <c r="I261" s="50">
        <v>554335744</v>
      </c>
      <c r="J261" s="50">
        <v>0</v>
      </c>
      <c r="K261" s="50">
        <v>2905304719</v>
      </c>
      <c r="L261" s="151">
        <f t="shared" si="0"/>
        <v>0.83227673796386104</v>
      </c>
      <c r="M261" s="50">
        <v>2905304719</v>
      </c>
      <c r="N261" s="152">
        <f t="shared" si="1"/>
        <v>0.83227673796386104</v>
      </c>
      <c r="O261" s="50">
        <v>31151225</v>
      </c>
      <c r="P261" s="152">
        <f t="shared" si="2"/>
        <v>8.9238281124267415E-3</v>
      </c>
      <c r="Q261" s="50">
        <v>31151225</v>
      </c>
      <c r="R261" s="50"/>
      <c r="S261" s="50"/>
      <c r="T261" s="50"/>
      <c r="U261" s="44"/>
    </row>
    <row r="262" spans="1:21" hidden="1" x14ac:dyDescent="0.25">
      <c r="A262" s="49" t="s">
        <v>707</v>
      </c>
      <c r="B262" s="49" t="s">
        <v>437</v>
      </c>
      <c r="C262" s="49" t="s">
        <v>95</v>
      </c>
      <c r="D262" s="49" t="s">
        <v>69</v>
      </c>
      <c r="E262" s="50">
        <v>191530414</v>
      </c>
      <c r="F262" s="50">
        <v>188691372</v>
      </c>
      <c r="G262" s="50">
        <v>188691372</v>
      </c>
      <c r="H262" s="50">
        <v>0</v>
      </c>
      <c r="I262" s="50">
        <v>30037071</v>
      </c>
      <c r="J262" s="50">
        <v>0</v>
      </c>
      <c r="K262" s="50">
        <v>156970451</v>
      </c>
      <c r="L262" s="151">
        <f t="shared" si="0"/>
        <v>0.83188992340359902</v>
      </c>
      <c r="M262" s="50">
        <v>156970451</v>
      </c>
      <c r="N262" s="152">
        <f t="shared" si="1"/>
        <v>0.83188992340359902</v>
      </c>
      <c r="O262" s="50">
        <v>1683850</v>
      </c>
      <c r="P262" s="152">
        <f t="shared" si="2"/>
        <v>8.9238314510745095E-3</v>
      </c>
      <c r="Q262" s="50">
        <v>1683850</v>
      </c>
      <c r="R262" s="50"/>
      <c r="S262" s="50"/>
      <c r="T262" s="50"/>
      <c r="U262" s="44"/>
    </row>
    <row r="263" spans="1:21" hidden="1" x14ac:dyDescent="0.25">
      <c r="A263" s="49" t="s">
        <v>707</v>
      </c>
      <c r="B263" s="49" t="s">
        <v>96</v>
      </c>
      <c r="C263" s="49" t="s">
        <v>97</v>
      </c>
      <c r="D263" s="49" t="s">
        <v>69</v>
      </c>
      <c r="E263" s="50">
        <v>3734844374</v>
      </c>
      <c r="F263" s="50">
        <v>3679483060</v>
      </c>
      <c r="G263" s="50">
        <v>3593483060</v>
      </c>
      <c r="H263" s="50">
        <v>0</v>
      </c>
      <c r="I263" s="50">
        <v>510635457</v>
      </c>
      <c r="J263" s="50">
        <v>0</v>
      </c>
      <c r="K263" s="50">
        <v>3050012527</v>
      </c>
      <c r="L263" s="151">
        <f t="shared" si="0"/>
        <v>0.82892419322620825</v>
      </c>
      <c r="M263" s="50">
        <v>3050012527</v>
      </c>
      <c r="N263" s="152">
        <f t="shared" si="1"/>
        <v>0.82892419322620825</v>
      </c>
      <c r="O263" s="50">
        <v>118835076</v>
      </c>
      <c r="P263" s="152">
        <f t="shared" si="2"/>
        <v>3.2296677022885925E-2</v>
      </c>
      <c r="Q263" s="50">
        <v>32835076</v>
      </c>
      <c r="R263" s="50"/>
      <c r="S263" s="50"/>
      <c r="T263" s="50"/>
      <c r="U263" s="44"/>
    </row>
    <row r="264" spans="1:21" hidden="1" x14ac:dyDescent="0.25">
      <c r="A264" s="49" t="s">
        <v>707</v>
      </c>
      <c r="B264" s="49" t="s">
        <v>455</v>
      </c>
      <c r="C264" s="49" t="s">
        <v>698</v>
      </c>
      <c r="D264" s="49" t="s">
        <v>69</v>
      </c>
      <c r="E264" s="50">
        <v>2011070048</v>
      </c>
      <c r="F264" s="50">
        <v>1981260109</v>
      </c>
      <c r="G264" s="50">
        <v>1981260109</v>
      </c>
      <c r="H264" s="50">
        <v>0</v>
      </c>
      <c r="I264" s="50">
        <v>326304575</v>
      </c>
      <c r="J264" s="50">
        <v>0</v>
      </c>
      <c r="K264" s="50">
        <v>1637275109</v>
      </c>
      <c r="L264" s="151">
        <f t="shared" si="0"/>
        <v>0.8263806965892937</v>
      </c>
      <c r="M264" s="50">
        <v>1637275109</v>
      </c>
      <c r="N264" s="152">
        <f t="shared" si="1"/>
        <v>0.8263806965892937</v>
      </c>
      <c r="O264" s="50">
        <v>17680425</v>
      </c>
      <c r="P264" s="152">
        <f t="shared" si="2"/>
        <v>8.9238282846787996E-3</v>
      </c>
      <c r="Q264" s="50">
        <v>17680425</v>
      </c>
      <c r="R264" s="50"/>
      <c r="S264" s="50"/>
      <c r="T264" s="50"/>
      <c r="U264" s="44"/>
    </row>
    <row r="265" spans="1:21" hidden="1" x14ac:dyDescent="0.25">
      <c r="A265" s="49" t="s">
        <v>707</v>
      </c>
      <c r="B265" s="49" t="s">
        <v>472</v>
      </c>
      <c r="C265" s="49" t="s">
        <v>699</v>
      </c>
      <c r="D265" s="49" t="s">
        <v>69</v>
      </c>
      <c r="E265" s="50">
        <v>574591442</v>
      </c>
      <c r="F265" s="50">
        <v>566074317</v>
      </c>
      <c r="G265" s="50">
        <v>566074317</v>
      </c>
      <c r="H265" s="50">
        <v>0</v>
      </c>
      <c r="I265" s="50">
        <v>90110317</v>
      </c>
      <c r="J265" s="50">
        <v>0</v>
      </c>
      <c r="K265" s="50">
        <v>470912450</v>
      </c>
      <c r="L265" s="151">
        <f t="shared" si="0"/>
        <v>0.83189156592666968</v>
      </c>
      <c r="M265" s="50">
        <v>470912450</v>
      </c>
      <c r="N265" s="152">
        <f t="shared" si="1"/>
        <v>0.83189156592666968</v>
      </c>
      <c r="O265" s="50">
        <v>5051550</v>
      </c>
      <c r="P265" s="152">
        <f t="shared" si="2"/>
        <v>8.9238282824267399E-3</v>
      </c>
      <c r="Q265" s="50">
        <v>5051550</v>
      </c>
      <c r="R265" s="50"/>
      <c r="S265" s="50"/>
      <c r="T265" s="50"/>
      <c r="U265" s="44"/>
    </row>
    <row r="266" spans="1:21" hidden="1" x14ac:dyDescent="0.25">
      <c r="A266" s="49" t="s">
        <v>707</v>
      </c>
      <c r="B266" s="49" t="s">
        <v>489</v>
      </c>
      <c r="C266" s="49" t="s">
        <v>700</v>
      </c>
      <c r="D266" s="49" t="s">
        <v>69</v>
      </c>
      <c r="E266" s="50">
        <v>1149182884</v>
      </c>
      <c r="F266" s="50">
        <v>1132148634</v>
      </c>
      <c r="G266" s="50">
        <v>1046148634</v>
      </c>
      <c r="H266" s="50">
        <v>0</v>
      </c>
      <c r="I266" s="50">
        <v>94220565</v>
      </c>
      <c r="J266" s="50">
        <v>0</v>
      </c>
      <c r="K266" s="50">
        <v>941824968</v>
      </c>
      <c r="L266" s="151">
        <f t="shared" si="0"/>
        <v>0.83189162598945465</v>
      </c>
      <c r="M266" s="50">
        <v>941824968</v>
      </c>
      <c r="N266" s="152">
        <f t="shared" si="1"/>
        <v>0.83189162598945465</v>
      </c>
      <c r="O266" s="50">
        <v>96103101</v>
      </c>
      <c r="P266" s="152">
        <f t="shared" si="2"/>
        <v>8.488558667465565E-2</v>
      </c>
      <c r="Q266" s="50">
        <v>10103101</v>
      </c>
      <c r="R266" s="50"/>
      <c r="S266" s="50"/>
      <c r="T266" s="50"/>
      <c r="U266" s="44"/>
    </row>
    <row r="267" spans="1:21" hidden="1" x14ac:dyDescent="0.25">
      <c r="A267" s="49" t="s">
        <v>707</v>
      </c>
      <c r="B267" s="49" t="s">
        <v>104</v>
      </c>
      <c r="C267" s="49" t="s">
        <v>105</v>
      </c>
      <c r="D267" s="49" t="s">
        <v>69</v>
      </c>
      <c r="E267" s="50">
        <v>6509291577</v>
      </c>
      <c r="F267" s="50">
        <v>6441103286</v>
      </c>
      <c r="G267" s="50">
        <v>6295711666.5900002</v>
      </c>
      <c r="H267" s="50">
        <v>6859479</v>
      </c>
      <c r="I267" s="50">
        <v>1527319764.05</v>
      </c>
      <c r="J267" s="50">
        <v>63412590.789999999</v>
      </c>
      <c r="K267" s="50">
        <v>3934596186.3499999</v>
      </c>
      <c r="L267" s="151">
        <f t="shared" si="0"/>
        <v>0.61085749003621859</v>
      </c>
      <c r="M267" s="50">
        <v>3718938493.2600002</v>
      </c>
      <c r="N267" s="152">
        <f t="shared" si="1"/>
        <v>0.57737600658310573</v>
      </c>
      <c r="O267" s="50">
        <v>908915265.80999994</v>
      </c>
      <c r="P267" s="152">
        <f t="shared" si="2"/>
        <v>0.14111173590176146</v>
      </c>
      <c r="Q267" s="50">
        <v>763523646.39999998</v>
      </c>
      <c r="R267" s="50"/>
      <c r="S267" s="50"/>
      <c r="T267" s="50"/>
      <c r="U267" s="44"/>
    </row>
    <row r="268" spans="1:21" hidden="1" x14ac:dyDescent="0.25">
      <c r="A268" s="49" t="s">
        <v>707</v>
      </c>
      <c r="B268" s="49" t="s">
        <v>106</v>
      </c>
      <c r="C268" s="49" t="s">
        <v>107</v>
      </c>
      <c r="D268" s="49" t="s">
        <v>69</v>
      </c>
      <c r="E268" s="50">
        <v>3002893777</v>
      </c>
      <c r="F268" s="50">
        <v>2992122950</v>
      </c>
      <c r="G268" s="50">
        <v>2958042980</v>
      </c>
      <c r="H268" s="50">
        <v>0</v>
      </c>
      <c r="I268" s="50">
        <v>670379125.84000003</v>
      </c>
      <c r="J268" s="50">
        <v>7894520</v>
      </c>
      <c r="K268" s="50">
        <v>1765276722.9300001</v>
      </c>
      <c r="L268" s="151">
        <f t="shared" si="0"/>
        <v>0.58997466094433049</v>
      </c>
      <c r="M268" s="50">
        <v>1621285547.24</v>
      </c>
      <c r="N268" s="152">
        <f t="shared" si="1"/>
        <v>0.5418512455312039</v>
      </c>
      <c r="O268" s="50">
        <v>548572581.23000002</v>
      </c>
      <c r="P268" s="152">
        <f t="shared" si="2"/>
        <v>0.18333891701542546</v>
      </c>
      <c r="Q268" s="50">
        <v>514492611.23000002</v>
      </c>
      <c r="R268" s="50"/>
      <c r="S268" s="50"/>
      <c r="T268" s="50"/>
      <c r="U268" s="44"/>
    </row>
    <row r="269" spans="1:21" hidden="1" x14ac:dyDescent="0.25">
      <c r="A269" s="49" t="s">
        <v>707</v>
      </c>
      <c r="B269" s="49" t="s">
        <v>280</v>
      </c>
      <c r="C269" s="49" t="s">
        <v>281</v>
      </c>
      <c r="D269" s="49" t="s">
        <v>69</v>
      </c>
      <c r="E269" s="50">
        <v>540000000</v>
      </c>
      <c r="F269" s="50">
        <v>493566479</v>
      </c>
      <c r="G269" s="50">
        <v>493566479</v>
      </c>
      <c r="H269" s="50">
        <v>0</v>
      </c>
      <c r="I269" s="50">
        <v>81843811.430000007</v>
      </c>
      <c r="J269" s="50">
        <v>87000</v>
      </c>
      <c r="K269" s="50">
        <v>346958491.73000002</v>
      </c>
      <c r="L269" s="151">
        <f t="shared" si="0"/>
        <v>0.70296202536477359</v>
      </c>
      <c r="M269" s="50">
        <v>346958491.73000002</v>
      </c>
      <c r="N269" s="152">
        <f t="shared" si="1"/>
        <v>0.70296202536477359</v>
      </c>
      <c r="O269" s="50">
        <v>64677175.840000004</v>
      </c>
      <c r="P269" s="152">
        <f t="shared" si="2"/>
        <v>0.1310404547145107</v>
      </c>
      <c r="Q269" s="50">
        <v>64677175.840000004</v>
      </c>
      <c r="R269" s="50"/>
      <c r="S269" s="50"/>
      <c r="T269" s="50"/>
      <c r="U269" s="44"/>
    </row>
    <row r="270" spans="1:21" hidden="1" x14ac:dyDescent="0.25">
      <c r="A270" s="49" t="s">
        <v>707</v>
      </c>
      <c r="B270" s="49" t="s">
        <v>108</v>
      </c>
      <c r="C270" s="49" t="s">
        <v>109</v>
      </c>
      <c r="D270" s="49" t="s">
        <v>69</v>
      </c>
      <c r="E270" s="50">
        <v>974595134</v>
      </c>
      <c r="F270" s="50">
        <v>1010257828</v>
      </c>
      <c r="G270" s="50">
        <v>1010257828</v>
      </c>
      <c r="H270" s="50">
        <v>0</v>
      </c>
      <c r="I270" s="50">
        <v>344703010.73000002</v>
      </c>
      <c r="J270" s="50">
        <v>0</v>
      </c>
      <c r="K270" s="50">
        <v>548162626.49000001</v>
      </c>
      <c r="L270" s="151">
        <f t="shared" si="0"/>
        <v>0.542596762229691</v>
      </c>
      <c r="M270" s="50">
        <v>484230343.60000002</v>
      </c>
      <c r="N270" s="152">
        <f t="shared" si="1"/>
        <v>0.47931362685763818</v>
      </c>
      <c r="O270" s="50">
        <v>117392190.78</v>
      </c>
      <c r="P270" s="152">
        <f t="shared" si="2"/>
        <v>0.11620022881921188</v>
      </c>
      <c r="Q270" s="50">
        <v>117392190.78</v>
      </c>
      <c r="R270" s="50"/>
      <c r="S270" s="50"/>
      <c r="T270" s="50"/>
      <c r="U270" s="44"/>
    </row>
    <row r="271" spans="1:21" x14ac:dyDescent="0.25">
      <c r="A271" s="165" t="s">
        <v>707</v>
      </c>
      <c r="B271" s="165" t="s">
        <v>304</v>
      </c>
      <c r="C271" s="165" t="s">
        <v>305</v>
      </c>
      <c r="D271" s="165" t="s">
        <v>69</v>
      </c>
      <c r="E271" s="166">
        <v>114061860</v>
      </c>
      <c r="F271" s="166">
        <v>114061860</v>
      </c>
      <c r="G271" s="166">
        <v>79981890</v>
      </c>
      <c r="H271" s="166">
        <v>0</v>
      </c>
      <c r="I271" s="166">
        <v>31666502.510000002</v>
      </c>
      <c r="J271" s="166">
        <v>0</v>
      </c>
      <c r="K271" s="166">
        <v>20560552.489999998</v>
      </c>
      <c r="L271" s="167">
        <f t="shared" si="0"/>
        <v>0.18025790996219068</v>
      </c>
      <c r="M271" s="166">
        <v>20560552.489999998</v>
      </c>
      <c r="N271" s="168">
        <f t="shared" si="1"/>
        <v>0.18025790996219068</v>
      </c>
      <c r="O271" s="166">
        <v>61834805</v>
      </c>
      <c r="P271" s="168">
        <f t="shared" si="2"/>
        <v>0.5421164006969551</v>
      </c>
      <c r="Q271" s="50">
        <v>27754835</v>
      </c>
      <c r="R271" s="166">
        <v>6183480.5</v>
      </c>
      <c r="S271" s="166">
        <v>34079970</v>
      </c>
      <c r="T271" s="166"/>
      <c r="U271" s="160"/>
    </row>
    <row r="272" spans="1:21" hidden="1" x14ac:dyDescent="0.25">
      <c r="A272" s="165" t="s">
        <v>707</v>
      </c>
      <c r="B272" s="165" t="s">
        <v>110</v>
      </c>
      <c r="C272" s="165" t="s">
        <v>111</v>
      </c>
      <c r="D272" s="165" t="s">
        <v>69</v>
      </c>
      <c r="E272" s="166">
        <v>1374236783</v>
      </c>
      <c r="F272" s="166">
        <v>1374236783</v>
      </c>
      <c r="G272" s="166">
        <v>1374236783</v>
      </c>
      <c r="H272" s="166">
        <v>0</v>
      </c>
      <c r="I272" s="166">
        <v>212165801.16999999</v>
      </c>
      <c r="J272" s="166">
        <v>7807520</v>
      </c>
      <c r="K272" s="166">
        <v>849595052.22000003</v>
      </c>
      <c r="L272" s="167">
        <f t="shared" si="0"/>
        <v>0.61823046998153308</v>
      </c>
      <c r="M272" s="166">
        <v>769536159.41999996</v>
      </c>
      <c r="N272" s="168">
        <f t="shared" si="1"/>
        <v>0.55997348414738213</v>
      </c>
      <c r="O272" s="166">
        <v>304668409.61000001</v>
      </c>
      <c r="P272" s="168">
        <f t="shared" si="2"/>
        <v>0.22170008355103096</v>
      </c>
      <c r="Q272" s="50">
        <v>304668409.61000001</v>
      </c>
      <c r="R272" s="166"/>
      <c r="S272" s="166"/>
      <c r="T272" s="166"/>
      <c r="U272" s="44"/>
    </row>
    <row r="273" spans="1:21" hidden="1" x14ac:dyDescent="0.25">
      <c r="A273" s="165" t="s">
        <v>707</v>
      </c>
      <c r="B273" s="165" t="s">
        <v>112</v>
      </c>
      <c r="C273" s="165" t="s">
        <v>113</v>
      </c>
      <c r="D273" s="165" t="s">
        <v>69</v>
      </c>
      <c r="E273" s="166">
        <v>758051064</v>
      </c>
      <c r="F273" s="166">
        <v>708510005</v>
      </c>
      <c r="G273" s="166">
        <v>692686555.34000003</v>
      </c>
      <c r="H273" s="166">
        <v>0</v>
      </c>
      <c r="I273" s="166">
        <v>38939089.770000003</v>
      </c>
      <c r="J273" s="166">
        <v>25392477.66</v>
      </c>
      <c r="K273" s="166">
        <v>525045691.06</v>
      </c>
      <c r="L273" s="167">
        <f t="shared" si="0"/>
        <v>0.74105614226294514</v>
      </c>
      <c r="M273" s="166">
        <v>497997314.42000002</v>
      </c>
      <c r="N273" s="168">
        <f t="shared" si="1"/>
        <v>0.70287972068933591</v>
      </c>
      <c r="O273" s="166">
        <v>119132746.51000001</v>
      </c>
      <c r="P273" s="168">
        <f t="shared" si="2"/>
        <v>0.16814546819278861</v>
      </c>
      <c r="Q273" s="50">
        <v>103309296.84999999</v>
      </c>
      <c r="R273" s="166"/>
      <c r="S273" s="166"/>
      <c r="T273" s="166"/>
      <c r="U273" s="44"/>
    </row>
    <row r="274" spans="1:21" hidden="1" x14ac:dyDescent="0.25">
      <c r="A274" s="165" t="s">
        <v>707</v>
      </c>
      <c r="B274" s="165" t="s">
        <v>114</v>
      </c>
      <c r="C274" s="165" t="s">
        <v>115</v>
      </c>
      <c r="D274" s="165" t="s">
        <v>69</v>
      </c>
      <c r="E274" s="166">
        <v>18001000</v>
      </c>
      <c r="F274" s="166">
        <v>18001000</v>
      </c>
      <c r="G274" s="166">
        <v>18001000</v>
      </c>
      <c r="H274" s="166">
        <v>0</v>
      </c>
      <c r="I274" s="166">
        <v>4883270</v>
      </c>
      <c r="J274" s="166">
        <v>0</v>
      </c>
      <c r="K274" s="166">
        <v>13117730</v>
      </c>
      <c r="L274" s="167">
        <f t="shared" si="0"/>
        <v>0.72872229320593296</v>
      </c>
      <c r="M274" s="166">
        <v>13117730</v>
      </c>
      <c r="N274" s="168">
        <f t="shared" si="1"/>
        <v>0.72872229320593296</v>
      </c>
      <c r="O274" s="166">
        <v>0</v>
      </c>
      <c r="P274" s="168">
        <f t="shared" si="2"/>
        <v>0</v>
      </c>
      <c r="Q274" s="50">
        <v>0</v>
      </c>
      <c r="R274" s="166"/>
      <c r="S274" s="166"/>
      <c r="T274" s="166"/>
      <c r="U274" s="44"/>
    </row>
    <row r="275" spans="1:21" hidden="1" x14ac:dyDescent="0.25">
      <c r="A275" s="165" t="s">
        <v>707</v>
      </c>
      <c r="B275" s="165" t="s">
        <v>116</v>
      </c>
      <c r="C275" s="165" t="s">
        <v>117</v>
      </c>
      <c r="D275" s="165" t="s">
        <v>69</v>
      </c>
      <c r="E275" s="166">
        <v>244470000</v>
      </c>
      <c r="F275" s="166">
        <v>206743349</v>
      </c>
      <c r="G275" s="166">
        <v>190919899.34</v>
      </c>
      <c r="H275" s="166">
        <v>0</v>
      </c>
      <c r="I275" s="166">
        <v>15200437.699999999</v>
      </c>
      <c r="J275" s="166">
        <v>0</v>
      </c>
      <c r="K275" s="166">
        <v>174929115.12</v>
      </c>
      <c r="L275" s="167">
        <f t="shared" si="0"/>
        <v>0.8461172558445883</v>
      </c>
      <c r="M275" s="166">
        <v>174929115.12</v>
      </c>
      <c r="N275" s="168">
        <f t="shared" si="1"/>
        <v>0.8461172558445883</v>
      </c>
      <c r="O275" s="166">
        <v>16613796.18</v>
      </c>
      <c r="P275" s="168">
        <f t="shared" si="2"/>
        <v>8.0359519473586549E-2</v>
      </c>
      <c r="Q275" s="50">
        <v>790346.52</v>
      </c>
      <c r="R275" s="166"/>
      <c r="S275" s="166"/>
      <c r="T275" s="166"/>
      <c r="U275" s="44"/>
    </row>
    <row r="276" spans="1:21" hidden="1" x14ac:dyDescent="0.25">
      <c r="A276" s="165" t="s">
        <v>707</v>
      </c>
      <c r="B276" s="165" t="s">
        <v>118</v>
      </c>
      <c r="C276" s="165" t="s">
        <v>119</v>
      </c>
      <c r="D276" s="165" t="s">
        <v>69</v>
      </c>
      <c r="E276" s="166">
        <v>6000000</v>
      </c>
      <c r="F276" s="166">
        <v>4500000</v>
      </c>
      <c r="G276" s="166">
        <v>4500000</v>
      </c>
      <c r="H276" s="166">
        <v>0</v>
      </c>
      <c r="I276" s="166">
        <v>2038860.6</v>
      </c>
      <c r="J276" s="166">
        <v>0</v>
      </c>
      <c r="K276" s="166">
        <v>961139.4</v>
      </c>
      <c r="L276" s="167">
        <f t="shared" si="0"/>
        <v>0.21358653333333333</v>
      </c>
      <c r="M276" s="166">
        <v>961139.4</v>
      </c>
      <c r="N276" s="168">
        <f t="shared" si="1"/>
        <v>0.21358653333333333</v>
      </c>
      <c r="O276" s="166">
        <v>1500000</v>
      </c>
      <c r="P276" s="168">
        <f t="shared" si="2"/>
        <v>0.33333333333333331</v>
      </c>
      <c r="Q276" s="50">
        <v>1500000</v>
      </c>
      <c r="R276" s="166"/>
      <c r="S276" s="166"/>
      <c r="T276" s="166"/>
      <c r="U276" s="44"/>
    </row>
    <row r="277" spans="1:21" hidden="1" x14ac:dyDescent="0.25">
      <c r="A277" s="165" t="s">
        <v>707</v>
      </c>
      <c r="B277" s="165" t="s">
        <v>120</v>
      </c>
      <c r="C277" s="165" t="s">
        <v>121</v>
      </c>
      <c r="D277" s="165" t="s">
        <v>69</v>
      </c>
      <c r="E277" s="166">
        <v>411938379</v>
      </c>
      <c r="F277" s="166">
        <v>411938379</v>
      </c>
      <c r="G277" s="166">
        <v>411938379</v>
      </c>
      <c r="H277" s="166">
        <v>0</v>
      </c>
      <c r="I277" s="166">
        <v>9488588.8699999992</v>
      </c>
      <c r="J277" s="166">
        <v>25392477.66</v>
      </c>
      <c r="K277" s="166">
        <v>306164181.25999999</v>
      </c>
      <c r="L277" s="167">
        <f t="shared" si="0"/>
        <v>0.74322810611438561</v>
      </c>
      <c r="M277" s="166">
        <v>279115804.62</v>
      </c>
      <c r="N277" s="168">
        <f t="shared" si="1"/>
        <v>0.6775668858472641</v>
      </c>
      <c r="O277" s="166">
        <v>70893131.209999993</v>
      </c>
      <c r="P277" s="168">
        <f t="shared" si="2"/>
        <v>0.17209644651730785</v>
      </c>
      <c r="Q277" s="50">
        <v>70893131.209999993</v>
      </c>
      <c r="R277" s="166"/>
      <c r="S277" s="166"/>
      <c r="T277" s="166"/>
      <c r="U277" s="44"/>
    </row>
    <row r="278" spans="1:21" hidden="1" x14ac:dyDescent="0.25">
      <c r="A278" s="165" t="s">
        <v>707</v>
      </c>
      <c r="B278" s="165" t="s">
        <v>122</v>
      </c>
      <c r="C278" s="165" t="s">
        <v>123</v>
      </c>
      <c r="D278" s="165" t="s">
        <v>69</v>
      </c>
      <c r="E278" s="166">
        <v>77641685</v>
      </c>
      <c r="F278" s="166">
        <v>67327277</v>
      </c>
      <c r="G278" s="166">
        <v>67327277</v>
      </c>
      <c r="H278" s="166">
        <v>0</v>
      </c>
      <c r="I278" s="166">
        <v>7327932.5999999996</v>
      </c>
      <c r="J278" s="166">
        <v>0</v>
      </c>
      <c r="K278" s="166">
        <v>29873525.280000001</v>
      </c>
      <c r="L278" s="167">
        <f t="shared" si="0"/>
        <v>0.44370612641886586</v>
      </c>
      <c r="M278" s="166">
        <v>29873525.280000001</v>
      </c>
      <c r="N278" s="168">
        <f t="shared" si="1"/>
        <v>0.44370612641886586</v>
      </c>
      <c r="O278" s="166">
        <v>30125819.120000001</v>
      </c>
      <c r="P278" s="168">
        <f t="shared" si="2"/>
        <v>0.44745340168740227</v>
      </c>
      <c r="Q278" s="50">
        <v>30125819.120000001</v>
      </c>
      <c r="R278" s="166"/>
      <c r="S278" s="166"/>
      <c r="T278" s="166"/>
      <c r="U278" s="44"/>
    </row>
    <row r="279" spans="1:21" hidden="1" x14ac:dyDescent="0.25">
      <c r="A279" s="165" t="s">
        <v>707</v>
      </c>
      <c r="B279" s="165" t="s">
        <v>116</v>
      </c>
      <c r="C279" s="165" t="s">
        <v>117</v>
      </c>
      <c r="D279" s="165" t="s">
        <v>85</v>
      </c>
      <c r="E279" s="166">
        <v>0</v>
      </c>
      <c r="F279" s="166">
        <v>0</v>
      </c>
      <c r="G279" s="166">
        <v>0</v>
      </c>
      <c r="H279" s="166">
        <v>0</v>
      </c>
      <c r="I279" s="166">
        <v>0</v>
      </c>
      <c r="J279" s="166">
        <v>0</v>
      </c>
      <c r="K279" s="166">
        <v>0</v>
      </c>
      <c r="L279" s="167" t="e">
        <f t="shared" si="0"/>
        <v>#DIV/0!</v>
      </c>
      <c r="M279" s="166">
        <v>0</v>
      </c>
      <c r="N279" s="168" t="e">
        <f t="shared" si="1"/>
        <v>#DIV/0!</v>
      </c>
      <c r="O279" s="166">
        <v>0</v>
      </c>
      <c r="P279" s="168" t="e">
        <f t="shared" si="2"/>
        <v>#DIV/0!</v>
      </c>
      <c r="Q279" s="50">
        <v>0</v>
      </c>
      <c r="R279" s="166"/>
      <c r="S279" s="166"/>
      <c r="T279" s="166"/>
      <c r="U279" s="44"/>
    </row>
    <row r="280" spans="1:21" hidden="1" x14ac:dyDescent="0.25">
      <c r="A280" s="165" t="s">
        <v>707</v>
      </c>
      <c r="B280" s="165" t="s">
        <v>124</v>
      </c>
      <c r="C280" s="165" t="s">
        <v>125</v>
      </c>
      <c r="D280" s="165" t="s">
        <v>69</v>
      </c>
      <c r="E280" s="166">
        <v>9633760</v>
      </c>
      <c r="F280" s="166">
        <v>9633760</v>
      </c>
      <c r="G280" s="166">
        <v>9633760</v>
      </c>
      <c r="H280" s="166">
        <v>0</v>
      </c>
      <c r="I280" s="166">
        <v>3092000</v>
      </c>
      <c r="J280" s="166">
        <v>0</v>
      </c>
      <c r="K280" s="166">
        <v>2081792.51</v>
      </c>
      <c r="L280" s="167">
        <f t="shared" si="0"/>
        <v>0.21609345779840894</v>
      </c>
      <c r="M280" s="166">
        <v>2081792.51</v>
      </c>
      <c r="N280" s="168">
        <f t="shared" si="1"/>
        <v>0.21609345779840894</v>
      </c>
      <c r="O280" s="166">
        <v>4459967.49</v>
      </c>
      <c r="P280" s="168">
        <f t="shared" si="2"/>
        <v>0.46295189936224279</v>
      </c>
      <c r="Q280" s="50">
        <v>4459967.49</v>
      </c>
      <c r="R280" s="166"/>
      <c r="S280" s="166"/>
      <c r="T280" s="166"/>
      <c r="U280" s="44"/>
    </row>
    <row r="281" spans="1:21" hidden="1" x14ac:dyDescent="0.25">
      <c r="A281" s="165" t="s">
        <v>707</v>
      </c>
      <c r="B281" s="165" t="s">
        <v>126</v>
      </c>
      <c r="C281" s="165" t="s">
        <v>127</v>
      </c>
      <c r="D281" s="165" t="s">
        <v>69</v>
      </c>
      <c r="E281" s="166">
        <v>5513760</v>
      </c>
      <c r="F281" s="166">
        <v>5513760</v>
      </c>
      <c r="G281" s="166">
        <v>5513760</v>
      </c>
      <c r="H281" s="166">
        <v>0</v>
      </c>
      <c r="I281" s="166">
        <v>2592000</v>
      </c>
      <c r="J281" s="166">
        <v>0</v>
      </c>
      <c r="K281" s="166">
        <v>401200.01</v>
      </c>
      <c r="L281" s="167">
        <f t="shared" si="0"/>
        <v>7.276341552769798E-2</v>
      </c>
      <c r="M281" s="166">
        <v>401200.01</v>
      </c>
      <c r="N281" s="168">
        <f t="shared" si="1"/>
        <v>7.276341552769798E-2</v>
      </c>
      <c r="O281" s="166">
        <v>2520559.9900000002</v>
      </c>
      <c r="P281" s="168">
        <f t="shared" si="2"/>
        <v>0.45713995349815739</v>
      </c>
      <c r="Q281" s="50">
        <v>2520559.9900000002</v>
      </c>
      <c r="R281" s="166"/>
      <c r="S281" s="166"/>
      <c r="T281" s="166"/>
      <c r="U281" s="44"/>
    </row>
    <row r="282" spans="1:21" hidden="1" x14ac:dyDescent="0.25">
      <c r="A282" s="165" t="s">
        <v>707</v>
      </c>
      <c r="B282" s="165" t="s">
        <v>128</v>
      </c>
      <c r="C282" s="165" t="s">
        <v>129</v>
      </c>
      <c r="D282" s="165" t="s">
        <v>69</v>
      </c>
      <c r="E282" s="166">
        <v>2620000</v>
      </c>
      <c r="F282" s="166">
        <v>2620000</v>
      </c>
      <c r="G282" s="166">
        <v>2620000</v>
      </c>
      <c r="H282" s="166">
        <v>0</v>
      </c>
      <c r="I282" s="166">
        <v>0</v>
      </c>
      <c r="J282" s="166">
        <v>0</v>
      </c>
      <c r="K282" s="166">
        <v>1680592.5</v>
      </c>
      <c r="L282" s="167">
        <f t="shared" si="0"/>
        <v>0.64144751908396946</v>
      </c>
      <c r="M282" s="166">
        <v>1680592.5</v>
      </c>
      <c r="N282" s="168">
        <f t="shared" si="1"/>
        <v>0.64144751908396946</v>
      </c>
      <c r="O282" s="166">
        <v>939407.5</v>
      </c>
      <c r="P282" s="168">
        <f t="shared" si="2"/>
        <v>0.35855248091603054</v>
      </c>
      <c r="Q282" s="50">
        <v>939407.5</v>
      </c>
      <c r="R282" s="166"/>
      <c r="S282" s="166"/>
      <c r="T282" s="166"/>
      <c r="U282" s="44"/>
    </row>
    <row r="283" spans="1:21" x14ac:dyDescent="0.25">
      <c r="A283" s="165" t="s">
        <v>707</v>
      </c>
      <c r="B283" s="165" t="s">
        <v>132</v>
      </c>
      <c r="C283" s="165" t="s">
        <v>133</v>
      </c>
      <c r="D283" s="165" t="s">
        <v>69</v>
      </c>
      <c r="E283" s="166">
        <v>1500000</v>
      </c>
      <c r="F283" s="166">
        <v>1500000</v>
      </c>
      <c r="G283" s="166">
        <v>1500000</v>
      </c>
      <c r="H283" s="166">
        <v>0</v>
      </c>
      <c r="I283" s="166">
        <v>500000</v>
      </c>
      <c r="J283" s="166">
        <v>0</v>
      </c>
      <c r="K283" s="166">
        <v>0</v>
      </c>
      <c r="L283" s="167">
        <f t="shared" si="0"/>
        <v>0</v>
      </c>
      <c r="M283" s="166">
        <v>0</v>
      </c>
      <c r="N283" s="168">
        <f t="shared" si="1"/>
        <v>0</v>
      </c>
      <c r="O283" s="166">
        <v>1000000</v>
      </c>
      <c r="P283" s="168">
        <f t="shared" si="2"/>
        <v>0.66666666666666663</v>
      </c>
      <c r="Q283" s="50">
        <v>1000000</v>
      </c>
      <c r="R283" s="166">
        <v>100000</v>
      </c>
      <c r="S283" s="166"/>
      <c r="T283" s="166"/>
      <c r="U283" s="159"/>
    </row>
    <row r="284" spans="1:21" hidden="1" x14ac:dyDescent="0.25">
      <c r="A284" s="165" t="s">
        <v>707</v>
      </c>
      <c r="B284" s="165" t="s">
        <v>134</v>
      </c>
      <c r="C284" s="165" t="s">
        <v>135</v>
      </c>
      <c r="D284" s="165" t="s">
        <v>69</v>
      </c>
      <c r="E284" s="166">
        <v>312558343</v>
      </c>
      <c r="F284" s="166">
        <v>319872751</v>
      </c>
      <c r="G284" s="166">
        <v>278479567.98000002</v>
      </c>
      <c r="H284" s="166">
        <v>3100000</v>
      </c>
      <c r="I284" s="166">
        <v>49824098.670000002</v>
      </c>
      <c r="J284" s="166">
        <v>13546009.93</v>
      </c>
      <c r="K284" s="166">
        <v>183225045.31999999</v>
      </c>
      <c r="L284" s="167">
        <f t="shared" si="0"/>
        <v>0.57280604473870922</v>
      </c>
      <c r="M284" s="166">
        <v>181927218.66999999</v>
      </c>
      <c r="N284" s="168">
        <f t="shared" si="1"/>
        <v>0.56874872305081092</v>
      </c>
      <c r="O284" s="166">
        <v>70177597.079999998</v>
      </c>
      <c r="P284" s="168">
        <f t="shared" si="2"/>
        <v>0.21939223288200624</v>
      </c>
      <c r="Q284" s="50">
        <v>28784414.059999999</v>
      </c>
      <c r="R284" s="166"/>
      <c r="S284" s="166"/>
      <c r="T284" s="166"/>
      <c r="U284" s="44"/>
    </row>
    <row r="285" spans="1:21" x14ac:dyDescent="0.25">
      <c r="A285" s="165" t="s">
        <v>707</v>
      </c>
      <c r="B285" s="165" t="s">
        <v>346</v>
      </c>
      <c r="C285" s="165" t="s">
        <v>347</v>
      </c>
      <c r="D285" s="165" t="s">
        <v>69</v>
      </c>
      <c r="E285" s="166">
        <v>34001608</v>
      </c>
      <c r="F285" s="166">
        <v>31001608</v>
      </c>
      <c r="G285" s="166">
        <v>12025548.75</v>
      </c>
      <c r="H285" s="166">
        <v>3100000</v>
      </c>
      <c r="I285" s="166">
        <v>671757.29</v>
      </c>
      <c r="J285" s="166">
        <v>0</v>
      </c>
      <c r="K285" s="166">
        <v>5800895.9900000002</v>
      </c>
      <c r="L285" s="167">
        <f t="shared" si="0"/>
        <v>0.18711597121026755</v>
      </c>
      <c r="M285" s="166">
        <v>5800895.9900000002</v>
      </c>
      <c r="N285" s="168">
        <f t="shared" si="1"/>
        <v>0.18711597121026755</v>
      </c>
      <c r="O285" s="166">
        <v>21428954.719999999</v>
      </c>
      <c r="P285" s="168">
        <f t="shared" si="2"/>
        <v>0.6912207495817636</v>
      </c>
      <c r="Q285" s="50">
        <v>2452895.4700000002</v>
      </c>
      <c r="R285" s="166">
        <v>2452895.4700000002</v>
      </c>
      <c r="S285" s="166">
        <v>17076058</v>
      </c>
      <c r="T285" s="166"/>
      <c r="U285" s="160"/>
    </row>
    <row r="286" spans="1:21" hidden="1" x14ac:dyDescent="0.25">
      <c r="A286" s="165" t="s">
        <v>707</v>
      </c>
      <c r="B286" s="165" t="s">
        <v>308</v>
      </c>
      <c r="C286" s="165" t="s">
        <v>309</v>
      </c>
      <c r="D286" s="165" t="s">
        <v>69</v>
      </c>
      <c r="E286" s="166">
        <v>95000000</v>
      </c>
      <c r="F286" s="166">
        <v>95000000</v>
      </c>
      <c r="G286" s="166">
        <v>73219179.230000004</v>
      </c>
      <c r="H286" s="166">
        <v>0</v>
      </c>
      <c r="I286" s="166">
        <v>17144627.850000001</v>
      </c>
      <c r="J286" s="166">
        <v>8370062.2300000004</v>
      </c>
      <c r="K286" s="166">
        <v>45533954.329999998</v>
      </c>
      <c r="L286" s="167">
        <f t="shared" si="0"/>
        <v>0.47930478242105262</v>
      </c>
      <c r="M286" s="166">
        <v>45493728.079999998</v>
      </c>
      <c r="N286" s="168">
        <f t="shared" si="1"/>
        <v>0.4788813482105263</v>
      </c>
      <c r="O286" s="166">
        <v>23951355.59</v>
      </c>
      <c r="P286" s="168">
        <f t="shared" si="2"/>
        <v>0.2521195325263158</v>
      </c>
      <c r="Q286" s="50">
        <v>2170534.8199999998</v>
      </c>
      <c r="R286" s="166"/>
      <c r="S286" s="166"/>
      <c r="T286" s="166"/>
      <c r="U286" s="44"/>
    </row>
    <row r="287" spans="1:21" hidden="1" x14ac:dyDescent="0.25">
      <c r="A287" s="165" t="s">
        <v>707</v>
      </c>
      <c r="B287" s="165" t="s">
        <v>136</v>
      </c>
      <c r="C287" s="165" t="s">
        <v>137</v>
      </c>
      <c r="D287" s="165" t="s">
        <v>69</v>
      </c>
      <c r="E287" s="166">
        <v>131200000</v>
      </c>
      <c r="F287" s="166">
        <v>141514408</v>
      </c>
      <c r="G287" s="166">
        <v>140878105</v>
      </c>
      <c r="H287" s="166">
        <v>0</v>
      </c>
      <c r="I287" s="166">
        <v>22394784.73</v>
      </c>
      <c r="J287" s="166">
        <v>5046671.7</v>
      </c>
      <c r="K287" s="166">
        <v>94968026.890000001</v>
      </c>
      <c r="L287" s="167">
        <f t="shared" si="0"/>
        <v>0.67108380151652125</v>
      </c>
      <c r="M287" s="166">
        <v>94968026.890000001</v>
      </c>
      <c r="N287" s="168">
        <f t="shared" si="1"/>
        <v>0.67108380151652125</v>
      </c>
      <c r="O287" s="166">
        <v>19104924.68</v>
      </c>
      <c r="P287" s="168">
        <f t="shared" si="2"/>
        <v>0.13500338905420853</v>
      </c>
      <c r="Q287" s="50">
        <v>18468621.68</v>
      </c>
      <c r="R287" s="166"/>
      <c r="S287" s="166"/>
      <c r="T287" s="166"/>
      <c r="U287" s="44"/>
    </row>
    <row r="288" spans="1:21" hidden="1" x14ac:dyDescent="0.25">
      <c r="A288" s="165" t="s">
        <v>707</v>
      </c>
      <c r="B288" s="165" t="s">
        <v>138</v>
      </c>
      <c r="C288" s="165" t="s">
        <v>139</v>
      </c>
      <c r="D288" s="165" t="s">
        <v>69</v>
      </c>
      <c r="E288" s="166">
        <v>52356735</v>
      </c>
      <c r="F288" s="166">
        <v>52356735</v>
      </c>
      <c r="G288" s="166">
        <v>52356735</v>
      </c>
      <c r="H288" s="166">
        <v>0</v>
      </c>
      <c r="I288" s="166">
        <v>9612928.8000000007</v>
      </c>
      <c r="J288" s="166">
        <v>129276</v>
      </c>
      <c r="K288" s="166">
        <v>36922168.109999999</v>
      </c>
      <c r="L288" s="167">
        <f t="shared" si="0"/>
        <v>0.70520379297906943</v>
      </c>
      <c r="M288" s="166">
        <v>35664567.710000001</v>
      </c>
      <c r="N288" s="168">
        <f t="shared" si="1"/>
        <v>0.68118395293365797</v>
      </c>
      <c r="O288" s="166">
        <v>5692362.0899999999</v>
      </c>
      <c r="P288" s="168">
        <f t="shared" si="2"/>
        <v>0.10872263310536839</v>
      </c>
      <c r="Q288" s="50">
        <v>5692362.0899999999</v>
      </c>
      <c r="R288" s="166"/>
      <c r="S288" s="166"/>
      <c r="T288" s="166"/>
      <c r="U288" s="44"/>
    </row>
    <row r="289" spans="1:21" hidden="1" x14ac:dyDescent="0.25">
      <c r="A289" s="165" t="s">
        <v>707</v>
      </c>
      <c r="B289" s="165" t="s">
        <v>140</v>
      </c>
      <c r="C289" s="165" t="s">
        <v>141</v>
      </c>
      <c r="D289" s="165" t="s">
        <v>69</v>
      </c>
      <c r="E289" s="166">
        <v>134000000</v>
      </c>
      <c r="F289" s="166">
        <v>134000000</v>
      </c>
      <c r="G289" s="166">
        <v>92171529</v>
      </c>
      <c r="H289" s="166">
        <v>959000</v>
      </c>
      <c r="I289" s="166">
        <v>24800980</v>
      </c>
      <c r="J289" s="166">
        <v>0</v>
      </c>
      <c r="K289" s="166">
        <v>54154813</v>
      </c>
      <c r="L289" s="167">
        <f t="shared" si="0"/>
        <v>0.40414039552238806</v>
      </c>
      <c r="M289" s="166">
        <v>53662813</v>
      </c>
      <c r="N289" s="168">
        <f t="shared" si="1"/>
        <v>0.40046875373134327</v>
      </c>
      <c r="O289" s="166">
        <v>54085207</v>
      </c>
      <c r="P289" s="168">
        <f t="shared" si="2"/>
        <v>0.403620947761194</v>
      </c>
      <c r="Q289" s="50">
        <v>12256736</v>
      </c>
      <c r="R289" s="166"/>
      <c r="S289" s="166"/>
      <c r="T289" s="166"/>
      <c r="U289" s="44"/>
    </row>
    <row r="290" spans="1:21" x14ac:dyDescent="0.25">
      <c r="A290" s="165" t="s">
        <v>707</v>
      </c>
      <c r="B290" s="165" t="s">
        <v>142</v>
      </c>
      <c r="C290" s="165" t="s">
        <v>143</v>
      </c>
      <c r="D290" s="165" t="s">
        <v>69</v>
      </c>
      <c r="E290" s="166">
        <v>4000000</v>
      </c>
      <c r="F290" s="166">
        <v>4000000</v>
      </c>
      <c r="G290" s="166">
        <v>2171529</v>
      </c>
      <c r="H290" s="166">
        <v>0</v>
      </c>
      <c r="I290" s="166">
        <v>747980</v>
      </c>
      <c r="J290" s="166">
        <v>0</v>
      </c>
      <c r="K290" s="166">
        <v>1223549</v>
      </c>
      <c r="L290" s="167">
        <f t="shared" si="0"/>
        <v>0.30588725</v>
      </c>
      <c r="M290" s="166">
        <v>1223549</v>
      </c>
      <c r="N290" s="168">
        <f t="shared" si="1"/>
        <v>0.30588725</v>
      </c>
      <c r="O290" s="166">
        <v>2028471</v>
      </c>
      <c r="P290" s="168">
        <f t="shared" si="2"/>
        <v>0.50711775000000003</v>
      </c>
      <c r="Q290" s="50">
        <v>200000</v>
      </c>
      <c r="R290" s="166">
        <v>200000</v>
      </c>
      <c r="S290" s="166">
        <v>1828471</v>
      </c>
      <c r="T290" s="166"/>
      <c r="U290" s="159"/>
    </row>
    <row r="291" spans="1:21" hidden="1" x14ac:dyDescent="0.25">
      <c r="A291" s="165" t="s">
        <v>707</v>
      </c>
      <c r="B291" s="165" t="s">
        <v>144</v>
      </c>
      <c r="C291" s="165" t="s">
        <v>145</v>
      </c>
      <c r="D291" s="165" t="s">
        <v>69</v>
      </c>
      <c r="E291" s="166">
        <v>130000000</v>
      </c>
      <c r="F291" s="166">
        <v>130000000</v>
      </c>
      <c r="G291" s="166">
        <v>90000000</v>
      </c>
      <c r="H291" s="166">
        <v>959000</v>
      </c>
      <c r="I291" s="166">
        <v>24053000</v>
      </c>
      <c r="J291" s="166">
        <v>0</v>
      </c>
      <c r="K291" s="166">
        <v>52931264</v>
      </c>
      <c r="L291" s="167">
        <f t="shared" si="0"/>
        <v>0.40716356923076924</v>
      </c>
      <c r="M291" s="166">
        <v>52439264</v>
      </c>
      <c r="N291" s="168">
        <f t="shared" si="1"/>
        <v>0.40337895384615385</v>
      </c>
      <c r="O291" s="166">
        <v>52056736</v>
      </c>
      <c r="P291" s="168">
        <f t="shared" si="2"/>
        <v>0.40043643076923074</v>
      </c>
      <c r="Q291" s="50">
        <v>12056736</v>
      </c>
      <c r="R291" s="166"/>
      <c r="S291" s="166"/>
      <c r="T291" s="166"/>
      <c r="U291" s="44"/>
    </row>
    <row r="292" spans="1:21" hidden="1" x14ac:dyDescent="0.25">
      <c r="A292" s="165" t="s">
        <v>707</v>
      </c>
      <c r="B292" s="165" t="s">
        <v>150</v>
      </c>
      <c r="C292" s="165" t="s">
        <v>151</v>
      </c>
      <c r="D292" s="165" t="s">
        <v>69</v>
      </c>
      <c r="E292" s="166">
        <v>1300000000</v>
      </c>
      <c r="F292" s="166">
        <v>1300000000</v>
      </c>
      <c r="G292" s="166">
        <v>1300000000</v>
      </c>
      <c r="H292" s="166">
        <v>0</v>
      </c>
      <c r="I292" s="166">
        <v>343582495.69999999</v>
      </c>
      <c r="J292" s="166">
        <v>0</v>
      </c>
      <c r="K292" s="166">
        <v>926735737</v>
      </c>
      <c r="L292" s="167">
        <f t="shared" si="0"/>
        <v>0.71287364384615381</v>
      </c>
      <c r="M292" s="166">
        <v>926735737</v>
      </c>
      <c r="N292" s="168">
        <f t="shared" si="1"/>
        <v>0.71287364384615381</v>
      </c>
      <c r="O292" s="166">
        <v>29681767.300000001</v>
      </c>
      <c r="P292" s="168">
        <f t="shared" si="2"/>
        <v>2.2832128692307694E-2</v>
      </c>
      <c r="Q292" s="50">
        <v>29681767.300000001</v>
      </c>
      <c r="R292" s="166"/>
      <c r="S292" s="166"/>
      <c r="T292" s="166"/>
      <c r="U292" s="44"/>
    </row>
    <row r="293" spans="1:21" hidden="1" x14ac:dyDescent="0.25">
      <c r="A293" s="165" t="s">
        <v>707</v>
      </c>
      <c r="B293" s="165" t="s">
        <v>152</v>
      </c>
      <c r="C293" s="165" t="s">
        <v>153</v>
      </c>
      <c r="D293" s="165" t="s">
        <v>69</v>
      </c>
      <c r="E293" s="166">
        <v>1300000000</v>
      </c>
      <c r="F293" s="166">
        <v>1300000000</v>
      </c>
      <c r="G293" s="166">
        <v>1300000000</v>
      </c>
      <c r="H293" s="166">
        <v>0</v>
      </c>
      <c r="I293" s="166">
        <v>343582495.69999999</v>
      </c>
      <c r="J293" s="166">
        <v>0</v>
      </c>
      <c r="K293" s="166">
        <v>926735737</v>
      </c>
      <c r="L293" s="167">
        <f t="shared" si="0"/>
        <v>0.71287364384615381</v>
      </c>
      <c r="M293" s="166">
        <v>926735737</v>
      </c>
      <c r="N293" s="168">
        <f t="shared" si="1"/>
        <v>0.71287364384615381</v>
      </c>
      <c r="O293" s="166">
        <v>29681767.300000001</v>
      </c>
      <c r="P293" s="168">
        <f t="shared" si="2"/>
        <v>2.2832128692307694E-2</v>
      </c>
      <c r="Q293" s="50">
        <v>29681767.300000001</v>
      </c>
      <c r="R293" s="166"/>
      <c r="S293" s="166"/>
      <c r="T293" s="166"/>
      <c r="U293" s="44"/>
    </row>
    <row r="294" spans="1:21" hidden="1" x14ac:dyDescent="0.25">
      <c r="A294" s="165" t="s">
        <v>707</v>
      </c>
      <c r="B294" s="165" t="s">
        <v>154</v>
      </c>
      <c r="C294" s="165" t="s">
        <v>155</v>
      </c>
      <c r="D294" s="165" t="s">
        <v>69</v>
      </c>
      <c r="E294" s="166">
        <v>5000000</v>
      </c>
      <c r="F294" s="166">
        <v>1303100</v>
      </c>
      <c r="G294" s="166">
        <v>1303100</v>
      </c>
      <c r="H294" s="166">
        <v>0</v>
      </c>
      <c r="I294" s="166">
        <v>810900</v>
      </c>
      <c r="J294" s="166">
        <v>0</v>
      </c>
      <c r="K294" s="166">
        <v>357000</v>
      </c>
      <c r="L294" s="167">
        <f t="shared" si="0"/>
        <v>0.27396209039981584</v>
      </c>
      <c r="M294" s="166">
        <v>357000</v>
      </c>
      <c r="N294" s="168">
        <f t="shared" si="1"/>
        <v>0.27396209039981584</v>
      </c>
      <c r="O294" s="166">
        <v>135200</v>
      </c>
      <c r="P294" s="168">
        <f t="shared" si="2"/>
        <v>0.10375258997774538</v>
      </c>
      <c r="Q294" s="50">
        <v>135200</v>
      </c>
      <c r="R294" s="166"/>
      <c r="S294" s="166"/>
      <c r="T294" s="166"/>
      <c r="U294" s="44"/>
    </row>
    <row r="295" spans="1:21" hidden="1" x14ac:dyDescent="0.25">
      <c r="A295" s="165" t="s">
        <v>707</v>
      </c>
      <c r="B295" s="165" t="s">
        <v>156</v>
      </c>
      <c r="C295" s="165" t="s">
        <v>157</v>
      </c>
      <c r="D295" s="165" t="s">
        <v>69</v>
      </c>
      <c r="E295" s="166">
        <v>5000000</v>
      </c>
      <c r="F295" s="166">
        <v>1303100</v>
      </c>
      <c r="G295" s="166">
        <v>1303100</v>
      </c>
      <c r="H295" s="166">
        <v>0</v>
      </c>
      <c r="I295" s="166">
        <v>810900</v>
      </c>
      <c r="J295" s="166">
        <v>0</v>
      </c>
      <c r="K295" s="166">
        <v>357000</v>
      </c>
      <c r="L295" s="167">
        <f t="shared" si="0"/>
        <v>0.27396209039981584</v>
      </c>
      <c r="M295" s="166">
        <v>357000</v>
      </c>
      <c r="N295" s="168">
        <f t="shared" si="1"/>
        <v>0.27396209039981584</v>
      </c>
      <c r="O295" s="166">
        <v>135200</v>
      </c>
      <c r="P295" s="168">
        <f t="shared" si="2"/>
        <v>0.10375258997774538</v>
      </c>
      <c r="Q295" s="50">
        <v>135200</v>
      </c>
      <c r="R295" s="166"/>
      <c r="S295" s="166"/>
      <c r="T295" s="166"/>
      <c r="U295" s="44"/>
    </row>
    <row r="296" spans="1:21" hidden="1" x14ac:dyDescent="0.25">
      <c r="A296" s="165" t="s">
        <v>707</v>
      </c>
      <c r="B296" s="165" t="s">
        <v>162</v>
      </c>
      <c r="C296" s="165" t="s">
        <v>163</v>
      </c>
      <c r="D296" s="165" t="s">
        <v>69</v>
      </c>
      <c r="E296" s="166">
        <v>932264008</v>
      </c>
      <c r="F296" s="166">
        <v>924325095</v>
      </c>
      <c r="G296" s="166">
        <v>923325095</v>
      </c>
      <c r="H296" s="166">
        <v>2800479</v>
      </c>
      <c r="I296" s="166">
        <v>387871771.67000002</v>
      </c>
      <c r="J296" s="166">
        <v>16579583.199999999</v>
      </c>
      <c r="K296" s="166">
        <v>474784581.75999999</v>
      </c>
      <c r="L296" s="167">
        <f t="shared" si="0"/>
        <v>0.51365540579637725</v>
      </c>
      <c r="M296" s="166">
        <v>431956267.64999998</v>
      </c>
      <c r="N296" s="168">
        <f t="shared" si="1"/>
        <v>0.46732071863741836</v>
      </c>
      <c r="O296" s="166">
        <v>42288679.369999997</v>
      </c>
      <c r="P296" s="168">
        <f t="shared" si="2"/>
        <v>4.5750872283739086E-2</v>
      </c>
      <c r="Q296" s="50">
        <v>41288679.369999997</v>
      </c>
      <c r="R296" s="166"/>
      <c r="S296" s="166"/>
      <c r="T296" s="166"/>
      <c r="U296" s="44"/>
    </row>
    <row r="297" spans="1:21" hidden="1" x14ac:dyDescent="0.25">
      <c r="A297" s="165" t="s">
        <v>707</v>
      </c>
      <c r="B297" s="165" t="s">
        <v>310</v>
      </c>
      <c r="C297" s="165" t="s">
        <v>311</v>
      </c>
      <c r="D297" s="165" t="s">
        <v>69</v>
      </c>
      <c r="E297" s="166">
        <v>120656000</v>
      </c>
      <c r="F297" s="166">
        <v>118656000</v>
      </c>
      <c r="G297" s="166">
        <v>117656000</v>
      </c>
      <c r="H297" s="166">
        <v>0</v>
      </c>
      <c r="I297" s="166">
        <v>66256621.460000001</v>
      </c>
      <c r="J297" s="166">
        <v>6901735.4299999997</v>
      </c>
      <c r="K297" s="166">
        <v>35418841.229999997</v>
      </c>
      <c r="L297" s="167">
        <f t="shared" si="0"/>
        <v>0.29850021263147247</v>
      </c>
      <c r="M297" s="166">
        <v>17585674.260000002</v>
      </c>
      <c r="N297" s="168">
        <f t="shared" si="1"/>
        <v>0.14820720620954694</v>
      </c>
      <c r="O297" s="166">
        <v>10078801.880000001</v>
      </c>
      <c r="P297" s="168">
        <f t="shared" si="2"/>
        <v>8.4941358886192031E-2</v>
      </c>
      <c r="Q297" s="50">
        <v>9078801.8800000008</v>
      </c>
      <c r="R297" s="166"/>
      <c r="S297" s="166"/>
      <c r="T297" s="166"/>
      <c r="U297" s="44"/>
    </row>
    <row r="298" spans="1:21" hidden="1" x14ac:dyDescent="0.25">
      <c r="A298" s="165" t="s">
        <v>707</v>
      </c>
      <c r="B298" s="165" t="s">
        <v>164</v>
      </c>
      <c r="C298" s="165" t="s">
        <v>165</v>
      </c>
      <c r="D298" s="165" t="s">
        <v>69</v>
      </c>
      <c r="E298" s="166">
        <v>504520000</v>
      </c>
      <c r="F298" s="166">
        <v>504520000</v>
      </c>
      <c r="G298" s="166">
        <v>504520000</v>
      </c>
      <c r="H298" s="166">
        <v>0</v>
      </c>
      <c r="I298" s="166">
        <v>185867129.43000001</v>
      </c>
      <c r="J298" s="166">
        <v>7547816.2300000004</v>
      </c>
      <c r="K298" s="166">
        <v>301559523.01999998</v>
      </c>
      <c r="L298" s="167">
        <f t="shared" si="0"/>
        <v>0.59771569614683262</v>
      </c>
      <c r="M298" s="166">
        <v>280959329.88999999</v>
      </c>
      <c r="N298" s="168">
        <f t="shared" si="1"/>
        <v>0.55688442458178067</v>
      </c>
      <c r="O298" s="166">
        <v>9545531.3200000003</v>
      </c>
      <c r="P298" s="168">
        <f t="shared" si="2"/>
        <v>1.8920025608499168E-2</v>
      </c>
      <c r="Q298" s="50">
        <v>9545531.3200000003</v>
      </c>
      <c r="R298" s="166"/>
      <c r="S298" s="166"/>
      <c r="T298" s="166"/>
      <c r="U298" s="44"/>
    </row>
    <row r="299" spans="1:21" hidden="1" x14ac:dyDescent="0.25">
      <c r="A299" s="165" t="s">
        <v>707</v>
      </c>
      <c r="B299" s="165" t="s">
        <v>166</v>
      </c>
      <c r="C299" s="165" t="s">
        <v>167</v>
      </c>
      <c r="D299" s="165" t="s">
        <v>69</v>
      </c>
      <c r="E299" s="166">
        <v>95028648</v>
      </c>
      <c r="F299" s="166">
        <v>95028648</v>
      </c>
      <c r="G299" s="166">
        <v>95028648</v>
      </c>
      <c r="H299" s="166">
        <v>0</v>
      </c>
      <c r="I299" s="166">
        <v>26641356.800000001</v>
      </c>
      <c r="J299" s="166">
        <v>139300</v>
      </c>
      <c r="K299" s="166">
        <v>68082812.469999999</v>
      </c>
      <c r="L299" s="167">
        <f t="shared" si="0"/>
        <v>0.71644513420837053</v>
      </c>
      <c r="M299" s="166">
        <v>68082812.469999999</v>
      </c>
      <c r="N299" s="168">
        <f t="shared" si="1"/>
        <v>0.71644513420837053</v>
      </c>
      <c r="O299" s="166">
        <v>165178.73000000001</v>
      </c>
      <c r="P299" s="168">
        <f t="shared" si="2"/>
        <v>1.738199305960872E-3</v>
      </c>
      <c r="Q299" s="50">
        <v>165178.73000000001</v>
      </c>
      <c r="R299" s="166"/>
      <c r="S299" s="166"/>
      <c r="T299" s="166"/>
      <c r="U299" s="44"/>
    </row>
    <row r="300" spans="1:21" hidden="1" x14ac:dyDescent="0.25">
      <c r="A300" s="165" t="s">
        <v>707</v>
      </c>
      <c r="B300" s="165" t="s">
        <v>312</v>
      </c>
      <c r="C300" s="165" t="s">
        <v>313</v>
      </c>
      <c r="D300" s="165" t="s">
        <v>69</v>
      </c>
      <c r="E300" s="166">
        <v>3000000</v>
      </c>
      <c r="F300" s="166">
        <v>3000000</v>
      </c>
      <c r="G300" s="166">
        <v>3000000</v>
      </c>
      <c r="H300" s="166">
        <v>2800479</v>
      </c>
      <c r="I300" s="166">
        <v>0</v>
      </c>
      <c r="J300" s="166">
        <v>0</v>
      </c>
      <c r="K300" s="166">
        <v>0</v>
      </c>
      <c r="L300" s="167">
        <f t="shared" si="0"/>
        <v>0</v>
      </c>
      <c r="M300" s="166">
        <v>0</v>
      </c>
      <c r="N300" s="168">
        <f t="shared" si="1"/>
        <v>0</v>
      </c>
      <c r="O300" s="166">
        <v>199521</v>
      </c>
      <c r="P300" s="168">
        <f t="shared" si="2"/>
        <v>6.6506999999999997E-2</v>
      </c>
      <c r="Q300" s="50">
        <v>199521</v>
      </c>
      <c r="R300" s="166"/>
      <c r="S300" s="166"/>
      <c r="T300" s="166"/>
      <c r="U300" s="44"/>
    </row>
    <row r="301" spans="1:21" hidden="1" x14ac:dyDescent="0.25">
      <c r="A301" s="165" t="s">
        <v>707</v>
      </c>
      <c r="B301" s="165" t="s">
        <v>168</v>
      </c>
      <c r="C301" s="165" t="s">
        <v>169</v>
      </c>
      <c r="D301" s="165" t="s">
        <v>69</v>
      </c>
      <c r="E301" s="166">
        <v>16864852</v>
      </c>
      <c r="F301" s="166">
        <v>11257762</v>
      </c>
      <c r="G301" s="166">
        <v>11257762</v>
      </c>
      <c r="H301" s="166">
        <v>0</v>
      </c>
      <c r="I301" s="166">
        <v>4808896.76</v>
      </c>
      <c r="J301" s="166">
        <v>545731.54</v>
      </c>
      <c r="K301" s="166">
        <v>5892242.25</v>
      </c>
      <c r="L301" s="167">
        <f t="shared" si="0"/>
        <v>0.52339374824232388</v>
      </c>
      <c r="M301" s="166">
        <v>5265312.25</v>
      </c>
      <c r="N301" s="168">
        <f t="shared" si="1"/>
        <v>0.4677050598511498</v>
      </c>
      <c r="O301" s="166">
        <v>10891.45</v>
      </c>
      <c r="P301" s="168">
        <f t="shared" si="2"/>
        <v>9.6746138353253524E-4</v>
      </c>
      <c r="Q301" s="50">
        <v>10891.45</v>
      </c>
      <c r="R301" s="166"/>
      <c r="S301" s="166"/>
      <c r="T301" s="166"/>
      <c r="U301" s="44"/>
    </row>
    <row r="302" spans="1:21" hidden="1" x14ac:dyDescent="0.25">
      <c r="A302" s="165" t="s">
        <v>707</v>
      </c>
      <c r="B302" s="165" t="s">
        <v>170</v>
      </c>
      <c r="C302" s="165" t="s">
        <v>171</v>
      </c>
      <c r="D302" s="165" t="s">
        <v>69</v>
      </c>
      <c r="E302" s="166">
        <v>40562000</v>
      </c>
      <c r="F302" s="166">
        <v>24844258</v>
      </c>
      <c r="G302" s="166">
        <v>24844258</v>
      </c>
      <c r="H302" s="166">
        <v>0</v>
      </c>
      <c r="I302" s="166">
        <v>18862201.129999999</v>
      </c>
      <c r="J302" s="166">
        <v>0</v>
      </c>
      <c r="K302" s="166">
        <v>3768024.01</v>
      </c>
      <c r="L302" s="167">
        <f t="shared" si="0"/>
        <v>0.15166578973700884</v>
      </c>
      <c r="M302" s="166">
        <v>0</v>
      </c>
      <c r="N302" s="168">
        <f t="shared" si="1"/>
        <v>0</v>
      </c>
      <c r="O302" s="166">
        <v>2214032.86</v>
      </c>
      <c r="P302" s="168">
        <f t="shared" si="2"/>
        <v>8.9116481562862532E-2</v>
      </c>
      <c r="Q302" s="50">
        <v>2214032.86</v>
      </c>
      <c r="R302" s="166"/>
      <c r="S302" s="166"/>
      <c r="T302" s="166"/>
      <c r="U302" s="44"/>
    </row>
    <row r="303" spans="1:21" hidden="1" x14ac:dyDescent="0.25">
      <c r="A303" s="165" t="s">
        <v>707</v>
      </c>
      <c r="B303" s="165" t="s">
        <v>172</v>
      </c>
      <c r="C303" s="165" t="s">
        <v>173</v>
      </c>
      <c r="D303" s="165" t="s">
        <v>69</v>
      </c>
      <c r="E303" s="166">
        <v>151632508</v>
      </c>
      <c r="F303" s="166">
        <v>167018427</v>
      </c>
      <c r="G303" s="166">
        <v>167018427</v>
      </c>
      <c r="H303" s="166">
        <v>0</v>
      </c>
      <c r="I303" s="166">
        <v>85435566.090000004</v>
      </c>
      <c r="J303" s="166">
        <v>1445000</v>
      </c>
      <c r="K303" s="166">
        <v>60063138.780000001</v>
      </c>
      <c r="L303" s="167">
        <f t="shared" si="0"/>
        <v>0.35961983272660086</v>
      </c>
      <c r="M303" s="166">
        <v>60063138.780000001</v>
      </c>
      <c r="N303" s="168">
        <f t="shared" si="1"/>
        <v>0.35961983272660086</v>
      </c>
      <c r="O303" s="166">
        <v>20074722.129999999</v>
      </c>
      <c r="P303" s="168">
        <f t="shared" si="2"/>
        <v>0.12019465450958892</v>
      </c>
      <c r="Q303" s="50">
        <v>20074722.129999999</v>
      </c>
      <c r="R303" s="166"/>
      <c r="S303" s="166"/>
      <c r="T303" s="166"/>
      <c r="U303" s="44"/>
    </row>
    <row r="304" spans="1:21" hidden="1" x14ac:dyDescent="0.25">
      <c r="A304" s="165" t="s">
        <v>707</v>
      </c>
      <c r="B304" s="165" t="s">
        <v>164</v>
      </c>
      <c r="C304" s="165" t="s">
        <v>165</v>
      </c>
      <c r="D304" s="165" t="s">
        <v>85</v>
      </c>
      <c r="E304" s="166">
        <v>0</v>
      </c>
      <c r="F304" s="166">
        <v>0</v>
      </c>
      <c r="G304" s="166">
        <v>0</v>
      </c>
      <c r="H304" s="166">
        <v>0</v>
      </c>
      <c r="I304" s="166">
        <v>0</v>
      </c>
      <c r="J304" s="166">
        <v>0</v>
      </c>
      <c r="K304" s="166">
        <v>0</v>
      </c>
      <c r="L304" s="167" t="e">
        <f t="shared" si="0"/>
        <v>#DIV/0!</v>
      </c>
      <c r="M304" s="166">
        <v>0</v>
      </c>
      <c r="N304" s="168" t="e">
        <f t="shared" si="1"/>
        <v>#DIV/0!</v>
      </c>
      <c r="O304" s="166">
        <v>0</v>
      </c>
      <c r="P304" s="168" t="e">
        <f t="shared" si="2"/>
        <v>#DIV/0!</v>
      </c>
      <c r="Q304" s="50">
        <v>0</v>
      </c>
      <c r="R304" s="166"/>
      <c r="S304" s="166"/>
      <c r="T304" s="166"/>
      <c r="U304" s="44"/>
    </row>
    <row r="305" spans="1:21" hidden="1" x14ac:dyDescent="0.25">
      <c r="A305" s="165" t="s">
        <v>707</v>
      </c>
      <c r="B305" s="165" t="s">
        <v>174</v>
      </c>
      <c r="C305" s="165" t="s">
        <v>175</v>
      </c>
      <c r="D305" s="165" t="s">
        <v>69</v>
      </c>
      <c r="E305" s="166">
        <v>18000000</v>
      </c>
      <c r="F305" s="166">
        <v>18000000</v>
      </c>
      <c r="G305" s="166">
        <v>18000000</v>
      </c>
      <c r="H305" s="166">
        <v>0</v>
      </c>
      <c r="I305" s="166">
        <v>1328634</v>
      </c>
      <c r="J305" s="166">
        <v>0</v>
      </c>
      <c r="K305" s="166">
        <v>221366</v>
      </c>
      <c r="L305" s="167">
        <f t="shared" si="0"/>
        <v>1.229811111111111E-2</v>
      </c>
      <c r="M305" s="166">
        <v>221366</v>
      </c>
      <c r="N305" s="168">
        <f t="shared" si="1"/>
        <v>1.229811111111111E-2</v>
      </c>
      <c r="O305" s="166">
        <v>16450000</v>
      </c>
      <c r="P305" s="168">
        <f t="shared" si="2"/>
        <v>0.91388888888888886</v>
      </c>
      <c r="Q305" s="50">
        <v>16450000</v>
      </c>
      <c r="R305" s="166"/>
      <c r="S305" s="166"/>
      <c r="T305" s="166"/>
      <c r="U305" s="44"/>
    </row>
    <row r="306" spans="1:21" x14ac:dyDescent="0.25">
      <c r="A306" s="165" t="s">
        <v>707</v>
      </c>
      <c r="B306" s="165" t="s">
        <v>176</v>
      </c>
      <c r="C306" s="165" t="s">
        <v>177</v>
      </c>
      <c r="D306" s="165" t="s">
        <v>69</v>
      </c>
      <c r="E306" s="166">
        <v>18000000</v>
      </c>
      <c r="F306" s="166">
        <v>18000000</v>
      </c>
      <c r="G306" s="166">
        <v>18000000</v>
      </c>
      <c r="H306" s="166">
        <v>0</v>
      </c>
      <c r="I306" s="166">
        <v>1328634</v>
      </c>
      <c r="J306" s="166">
        <v>0</v>
      </c>
      <c r="K306" s="166">
        <v>221366</v>
      </c>
      <c r="L306" s="167">
        <f t="shared" si="0"/>
        <v>1.229811111111111E-2</v>
      </c>
      <c r="M306" s="166">
        <v>221366</v>
      </c>
      <c r="N306" s="168">
        <f t="shared" si="1"/>
        <v>1.229811111111111E-2</v>
      </c>
      <c r="O306" s="166">
        <v>16450000</v>
      </c>
      <c r="P306" s="168">
        <f t="shared" si="2"/>
        <v>0.91388888888888886</v>
      </c>
      <c r="Q306" s="50">
        <v>16450000</v>
      </c>
      <c r="R306" s="166">
        <v>1645000</v>
      </c>
      <c r="S306" s="166"/>
      <c r="T306" s="166"/>
      <c r="U306" s="160"/>
    </row>
    <row r="307" spans="1:21" hidden="1" x14ac:dyDescent="0.25">
      <c r="A307" s="165" t="s">
        <v>707</v>
      </c>
      <c r="B307" s="165" t="s">
        <v>178</v>
      </c>
      <c r="C307" s="165" t="s">
        <v>179</v>
      </c>
      <c r="D307" s="165" t="s">
        <v>69</v>
      </c>
      <c r="E307" s="166">
        <v>36890625</v>
      </c>
      <c r="F307" s="166">
        <v>33335625</v>
      </c>
      <c r="G307" s="166">
        <v>22069079.27</v>
      </c>
      <c r="H307" s="166">
        <v>0</v>
      </c>
      <c r="I307" s="166">
        <v>6690668.4000000004</v>
      </c>
      <c r="J307" s="166">
        <v>0</v>
      </c>
      <c r="K307" s="166">
        <v>2713436.77</v>
      </c>
      <c r="L307" s="167">
        <f t="shared" si="0"/>
        <v>8.1397507021392285E-2</v>
      </c>
      <c r="M307" s="166">
        <v>2713436.77</v>
      </c>
      <c r="N307" s="168">
        <f t="shared" si="1"/>
        <v>8.1397507021392285E-2</v>
      </c>
      <c r="O307" s="166">
        <v>23931519.829999998</v>
      </c>
      <c r="P307" s="168">
        <f t="shared" si="2"/>
        <v>0.71789623953353199</v>
      </c>
      <c r="Q307" s="50">
        <v>12664974.1</v>
      </c>
      <c r="R307" s="166"/>
      <c r="S307" s="166"/>
      <c r="T307" s="166"/>
      <c r="U307" s="160"/>
    </row>
    <row r="308" spans="1:21" hidden="1" x14ac:dyDescent="0.25">
      <c r="A308" s="165" t="s">
        <v>707</v>
      </c>
      <c r="B308" s="165" t="s">
        <v>348</v>
      </c>
      <c r="C308" s="165" t="s">
        <v>349</v>
      </c>
      <c r="D308" s="165" t="s">
        <v>69</v>
      </c>
      <c r="E308" s="166">
        <v>3000000</v>
      </c>
      <c r="F308" s="166">
        <v>5000000</v>
      </c>
      <c r="G308" s="166">
        <v>5000000</v>
      </c>
      <c r="H308" s="166">
        <v>0</v>
      </c>
      <c r="I308" s="166">
        <v>2078562.3</v>
      </c>
      <c r="J308" s="166">
        <v>0</v>
      </c>
      <c r="K308" s="166">
        <v>2713436.77</v>
      </c>
      <c r="L308" s="167">
        <f t="shared" si="0"/>
        <v>0.54268735400000001</v>
      </c>
      <c r="M308" s="166">
        <v>2713436.77</v>
      </c>
      <c r="N308" s="168">
        <f t="shared" si="1"/>
        <v>0.54268735400000001</v>
      </c>
      <c r="O308" s="166">
        <v>208000.93</v>
      </c>
      <c r="P308" s="168">
        <f t="shared" si="2"/>
        <v>4.1600185999999997E-2</v>
      </c>
      <c r="Q308" s="50">
        <v>208000.93</v>
      </c>
      <c r="R308" s="166"/>
      <c r="S308" s="166"/>
      <c r="T308" s="166"/>
      <c r="U308" s="160"/>
    </row>
    <row r="309" spans="1:21" x14ac:dyDescent="0.25">
      <c r="A309" s="165" t="s">
        <v>707</v>
      </c>
      <c r="B309" s="165" t="s">
        <v>180</v>
      </c>
      <c r="C309" s="165" t="s">
        <v>181</v>
      </c>
      <c r="D309" s="165" t="s">
        <v>69</v>
      </c>
      <c r="E309" s="166">
        <v>19500000</v>
      </c>
      <c r="F309" s="166">
        <v>13945000</v>
      </c>
      <c r="G309" s="166">
        <v>2678454.27</v>
      </c>
      <c r="H309" s="166">
        <v>0</v>
      </c>
      <c r="I309" s="166">
        <v>1426615.85</v>
      </c>
      <c r="J309" s="166">
        <v>0</v>
      </c>
      <c r="K309" s="166">
        <v>0</v>
      </c>
      <c r="L309" s="167">
        <f t="shared" si="0"/>
        <v>0</v>
      </c>
      <c r="M309" s="166">
        <v>0</v>
      </c>
      <c r="N309" s="168">
        <f t="shared" si="1"/>
        <v>0</v>
      </c>
      <c r="O309" s="166">
        <v>12518384.15</v>
      </c>
      <c r="P309" s="168">
        <f t="shared" si="2"/>
        <v>0.89769696306920044</v>
      </c>
      <c r="Q309" s="50">
        <v>1251838.42</v>
      </c>
      <c r="R309" s="166">
        <v>1251838.42</v>
      </c>
      <c r="S309" s="166">
        <v>11266545</v>
      </c>
      <c r="T309" s="166"/>
      <c r="U309" s="160"/>
    </row>
    <row r="310" spans="1:21" x14ac:dyDescent="0.25">
      <c r="A310" s="165" t="s">
        <v>707</v>
      </c>
      <c r="B310" s="165" t="s">
        <v>182</v>
      </c>
      <c r="C310" s="165" t="s">
        <v>183</v>
      </c>
      <c r="D310" s="165" t="s">
        <v>69</v>
      </c>
      <c r="E310" s="166">
        <v>14390625</v>
      </c>
      <c r="F310" s="166">
        <v>14390625</v>
      </c>
      <c r="G310" s="166">
        <v>14390625</v>
      </c>
      <c r="H310" s="166">
        <v>0</v>
      </c>
      <c r="I310" s="166">
        <v>3185490.25</v>
      </c>
      <c r="J310" s="166">
        <v>0</v>
      </c>
      <c r="K310" s="166">
        <v>0</v>
      </c>
      <c r="L310" s="167">
        <f t="shared" si="0"/>
        <v>0</v>
      </c>
      <c r="M310" s="166">
        <v>0</v>
      </c>
      <c r="N310" s="168">
        <f t="shared" si="1"/>
        <v>0</v>
      </c>
      <c r="O310" s="166">
        <v>11205134.75</v>
      </c>
      <c r="P310" s="168">
        <f t="shared" si="2"/>
        <v>0.77864128555917478</v>
      </c>
      <c r="Q310" s="50">
        <v>11205134.75</v>
      </c>
      <c r="R310" s="166">
        <v>1120513.48</v>
      </c>
      <c r="S310" s="166"/>
      <c r="T310" s="166">
        <v>34079970</v>
      </c>
      <c r="U310" s="160"/>
    </row>
    <row r="311" spans="1:21" hidden="1" x14ac:dyDescent="0.25">
      <c r="A311" s="165" t="s">
        <v>707</v>
      </c>
      <c r="B311" s="165" t="s">
        <v>184</v>
      </c>
      <c r="C311" s="165" t="s">
        <v>185</v>
      </c>
      <c r="D311" s="165" t="s">
        <v>69</v>
      </c>
      <c r="E311" s="166">
        <v>5938711949</v>
      </c>
      <c r="F311" s="166">
        <v>5607355253</v>
      </c>
      <c r="G311" s="166">
        <v>5395933675.5500002</v>
      </c>
      <c r="H311" s="166">
        <v>26202326.640000001</v>
      </c>
      <c r="I311" s="166">
        <v>1147477919.8199999</v>
      </c>
      <c r="J311" s="166">
        <v>195014718.83000001</v>
      </c>
      <c r="K311" s="166">
        <v>3758184568.5</v>
      </c>
      <c r="L311" s="167">
        <f t="shared" si="0"/>
        <v>0.67022408942064582</v>
      </c>
      <c r="M311" s="166">
        <v>2824907951.3000002</v>
      </c>
      <c r="N311" s="168">
        <f t="shared" si="1"/>
        <v>0.50378615654655401</v>
      </c>
      <c r="O311" s="166">
        <v>480475719.20999998</v>
      </c>
      <c r="P311" s="168">
        <f t="shared" si="2"/>
        <v>8.5686691413557198E-2</v>
      </c>
      <c r="Q311" s="50">
        <v>269054141.75999999</v>
      </c>
      <c r="R311" s="166"/>
      <c r="S311" s="166"/>
      <c r="T311" s="166"/>
      <c r="U311" s="160"/>
    </row>
    <row r="312" spans="1:21" hidden="1" x14ac:dyDescent="0.25">
      <c r="A312" s="165" t="s">
        <v>707</v>
      </c>
      <c r="B312" s="165" t="s">
        <v>186</v>
      </c>
      <c r="C312" s="165" t="s">
        <v>187</v>
      </c>
      <c r="D312" s="165" t="s">
        <v>69</v>
      </c>
      <c r="E312" s="166">
        <v>1018969461</v>
      </c>
      <c r="F312" s="166">
        <v>1024605450</v>
      </c>
      <c r="G312" s="166">
        <v>867253786</v>
      </c>
      <c r="H312" s="166">
        <v>0</v>
      </c>
      <c r="I312" s="166">
        <v>115924394.43000001</v>
      </c>
      <c r="J312" s="166">
        <v>5722442</v>
      </c>
      <c r="K312" s="166">
        <v>619898443.22000003</v>
      </c>
      <c r="L312" s="167">
        <f t="shared" si="0"/>
        <v>0.60501185428986348</v>
      </c>
      <c r="M312" s="166">
        <v>602435961.14999998</v>
      </c>
      <c r="N312" s="168">
        <f t="shared" si="1"/>
        <v>0.58796872605938211</v>
      </c>
      <c r="O312" s="166">
        <v>283060170.35000002</v>
      </c>
      <c r="P312" s="168">
        <f t="shared" si="2"/>
        <v>0.27626260464454883</v>
      </c>
      <c r="Q312" s="50">
        <v>125708506.34999999</v>
      </c>
      <c r="R312" s="166"/>
      <c r="S312" s="166"/>
      <c r="T312" s="166"/>
      <c r="U312" s="160"/>
    </row>
    <row r="313" spans="1:21" hidden="1" x14ac:dyDescent="0.25">
      <c r="A313" s="165" t="s">
        <v>707</v>
      </c>
      <c r="B313" s="165" t="s">
        <v>188</v>
      </c>
      <c r="C313" s="165" t="s">
        <v>189</v>
      </c>
      <c r="D313" s="165" t="s">
        <v>69</v>
      </c>
      <c r="E313" s="166">
        <v>735778133</v>
      </c>
      <c r="F313" s="166">
        <v>749681315</v>
      </c>
      <c r="G313" s="166">
        <v>592329957</v>
      </c>
      <c r="H313" s="166">
        <v>0</v>
      </c>
      <c r="I313" s="166">
        <v>88380875.629999995</v>
      </c>
      <c r="J313" s="166">
        <v>4675000</v>
      </c>
      <c r="K313" s="166">
        <v>393836038.44</v>
      </c>
      <c r="L313" s="167">
        <f t="shared" si="0"/>
        <v>0.52533794101564346</v>
      </c>
      <c r="M313" s="166">
        <v>376373556.37</v>
      </c>
      <c r="N313" s="168">
        <f t="shared" si="1"/>
        <v>0.50204473399473748</v>
      </c>
      <c r="O313" s="166">
        <v>262789400.93000001</v>
      </c>
      <c r="P313" s="168">
        <f t="shared" si="2"/>
        <v>0.35053481482328264</v>
      </c>
      <c r="Q313" s="50">
        <v>105438042.93000001</v>
      </c>
      <c r="R313" s="166"/>
      <c r="S313" s="166"/>
      <c r="T313" s="166"/>
      <c r="U313" s="160"/>
    </row>
    <row r="314" spans="1:21" hidden="1" x14ac:dyDescent="0.25">
      <c r="A314" s="165" t="s">
        <v>707</v>
      </c>
      <c r="B314" s="165" t="s">
        <v>190</v>
      </c>
      <c r="C314" s="165" t="s">
        <v>191</v>
      </c>
      <c r="D314" s="165" t="s">
        <v>69</v>
      </c>
      <c r="E314" s="166">
        <v>224830540</v>
      </c>
      <c r="F314" s="166">
        <v>220146790</v>
      </c>
      <c r="G314" s="166">
        <v>220146790</v>
      </c>
      <c r="H314" s="166">
        <v>0</v>
      </c>
      <c r="I314" s="166">
        <v>25977601</v>
      </c>
      <c r="J314" s="166">
        <v>0</v>
      </c>
      <c r="K314" s="166">
        <v>186909564.38</v>
      </c>
      <c r="L314" s="167">
        <f t="shared" si="0"/>
        <v>0.84902243807415945</v>
      </c>
      <c r="M314" s="166">
        <v>186909564.38</v>
      </c>
      <c r="N314" s="168">
        <f t="shared" si="1"/>
        <v>0.84902243807415945</v>
      </c>
      <c r="O314" s="166">
        <v>7259624.6200000001</v>
      </c>
      <c r="P314" s="168">
        <f t="shared" si="2"/>
        <v>3.2976291046533088E-2</v>
      </c>
      <c r="Q314" s="50">
        <v>7259624.6200000001</v>
      </c>
      <c r="R314" s="166"/>
      <c r="S314" s="166"/>
      <c r="T314" s="166"/>
      <c r="U314" s="160"/>
    </row>
    <row r="315" spans="1:21" x14ac:dyDescent="0.25">
      <c r="A315" s="165" t="s">
        <v>707</v>
      </c>
      <c r="B315" s="165" t="s">
        <v>350</v>
      </c>
      <c r="C315" s="165" t="s">
        <v>351</v>
      </c>
      <c r="D315" s="165" t="s">
        <v>69</v>
      </c>
      <c r="E315" s="166">
        <v>12909188</v>
      </c>
      <c r="F315" s="166">
        <v>12909188</v>
      </c>
      <c r="G315" s="166">
        <v>12909188</v>
      </c>
      <c r="H315" s="166">
        <v>0</v>
      </c>
      <c r="I315" s="166">
        <v>120975</v>
      </c>
      <c r="J315" s="166">
        <v>0</v>
      </c>
      <c r="K315" s="166">
        <v>2016114.92</v>
      </c>
      <c r="L315" s="167">
        <f t="shared" si="0"/>
        <v>0.1561767417129567</v>
      </c>
      <c r="M315" s="166">
        <v>2016114.92</v>
      </c>
      <c r="N315" s="168">
        <f t="shared" si="1"/>
        <v>0.1561767417129567</v>
      </c>
      <c r="O315" s="166">
        <v>10772098.08</v>
      </c>
      <c r="P315" s="168">
        <f t="shared" si="2"/>
        <v>0.83445202595236823</v>
      </c>
      <c r="Q315" s="50">
        <v>10772098.08</v>
      </c>
      <c r="R315" s="166">
        <v>1077209.81</v>
      </c>
      <c r="S315" s="166"/>
      <c r="T315" s="166"/>
      <c r="U315" s="160"/>
    </row>
    <row r="316" spans="1:21" hidden="1" x14ac:dyDescent="0.25">
      <c r="A316" s="165" t="s">
        <v>707</v>
      </c>
      <c r="B316" s="165" t="s">
        <v>192</v>
      </c>
      <c r="C316" s="165" t="s">
        <v>193</v>
      </c>
      <c r="D316" s="165" t="s">
        <v>69</v>
      </c>
      <c r="E316" s="166">
        <v>40465200</v>
      </c>
      <c r="F316" s="166">
        <v>36881757</v>
      </c>
      <c r="G316" s="166">
        <v>36881451</v>
      </c>
      <c r="H316" s="166">
        <v>0</v>
      </c>
      <c r="I316" s="166">
        <v>1444942.8</v>
      </c>
      <c r="J316" s="166">
        <v>1047442</v>
      </c>
      <c r="K316" s="166">
        <v>34137152.119999997</v>
      </c>
      <c r="L316" s="167">
        <f t="shared" si="0"/>
        <v>0.92558367325070756</v>
      </c>
      <c r="M316" s="166">
        <v>34137152.119999997</v>
      </c>
      <c r="N316" s="168">
        <f t="shared" si="1"/>
        <v>0.92558367325070756</v>
      </c>
      <c r="O316" s="166">
        <v>252220.08</v>
      </c>
      <c r="P316" s="168">
        <f t="shared" si="2"/>
        <v>6.838613464103676E-3</v>
      </c>
      <c r="Q316" s="50">
        <v>251914.08</v>
      </c>
      <c r="R316" s="166"/>
      <c r="S316" s="166"/>
      <c r="T316" s="166"/>
      <c r="U316" s="44"/>
    </row>
    <row r="317" spans="1:21" hidden="1" x14ac:dyDescent="0.25">
      <c r="A317" s="165" t="s">
        <v>707</v>
      </c>
      <c r="B317" s="165" t="s">
        <v>194</v>
      </c>
      <c r="C317" s="165" t="s">
        <v>195</v>
      </c>
      <c r="D317" s="165" t="s">
        <v>69</v>
      </c>
      <c r="E317" s="166">
        <v>4986400</v>
      </c>
      <c r="F317" s="166">
        <v>4986400</v>
      </c>
      <c r="G317" s="166">
        <v>4986400</v>
      </c>
      <c r="H317" s="166">
        <v>0</v>
      </c>
      <c r="I317" s="166">
        <v>0</v>
      </c>
      <c r="J317" s="166">
        <v>0</v>
      </c>
      <c r="K317" s="166">
        <v>2999573.36</v>
      </c>
      <c r="L317" s="167">
        <f t="shared" si="0"/>
        <v>0.60155089042194765</v>
      </c>
      <c r="M317" s="166">
        <v>2999573.36</v>
      </c>
      <c r="N317" s="168">
        <f t="shared" si="1"/>
        <v>0.60155089042194765</v>
      </c>
      <c r="O317" s="166">
        <v>1986826.64</v>
      </c>
      <c r="P317" s="168">
        <f t="shared" si="2"/>
        <v>0.3984491095780523</v>
      </c>
      <c r="Q317" s="50">
        <v>1986826.64</v>
      </c>
      <c r="R317" s="166"/>
      <c r="S317" s="166"/>
      <c r="T317" s="166"/>
      <c r="U317" s="44"/>
    </row>
    <row r="318" spans="1:21" hidden="1" x14ac:dyDescent="0.25">
      <c r="A318" s="165" t="s">
        <v>707</v>
      </c>
      <c r="B318" s="165" t="s">
        <v>196</v>
      </c>
      <c r="C318" s="165" t="s">
        <v>197</v>
      </c>
      <c r="D318" s="165" t="s">
        <v>69</v>
      </c>
      <c r="E318" s="166">
        <v>1012911000</v>
      </c>
      <c r="F318" s="166">
        <v>1012911000</v>
      </c>
      <c r="G318" s="166">
        <v>1012900892.55</v>
      </c>
      <c r="H318" s="166">
        <v>0</v>
      </c>
      <c r="I318" s="166">
        <v>137357295.16</v>
      </c>
      <c r="J318" s="166">
        <v>36937802.990000002</v>
      </c>
      <c r="K318" s="166">
        <v>833555854.23000002</v>
      </c>
      <c r="L318" s="167">
        <f t="shared" si="0"/>
        <v>0.82293099218983701</v>
      </c>
      <c r="M318" s="166">
        <v>788626085.23000002</v>
      </c>
      <c r="N318" s="168">
        <f t="shared" si="1"/>
        <v>0.77857391738267234</v>
      </c>
      <c r="O318" s="166">
        <v>5060047.62</v>
      </c>
      <c r="P318" s="168">
        <f t="shared" si="2"/>
        <v>4.9955500730074019E-3</v>
      </c>
      <c r="Q318" s="50">
        <v>5049940.17</v>
      </c>
      <c r="R318" s="166"/>
      <c r="S318" s="166"/>
      <c r="T318" s="166"/>
      <c r="U318" s="44"/>
    </row>
    <row r="319" spans="1:21" hidden="1" x14ac:dyDescent="0.25">
      <c r="A319" s="165" t="s">
        <v>707</v>
      </c>
      <c r="B319" s="165" t="s">
        <v>198</v>
      </c>
      <c r="C319" s="165" t="s">
        <v>199</v>
      </c>
      <c r="D319" s="165" t="s">
        <v>69</v>
      </c>
      <c r="E319" s="166">
        <v>987000000</v>
      </c>
      <c r="F319" s="166">
        <v>987000000</v>
      </c>
      <c r="G319" s="166">
        <v>987000000</v>
      </c>
      <c r="H319" s="166">
        <v>0</v>
      </c>
      <c r="I319" s="166">
        <v>125138124.91</v>
      </c>
      <c r="J319" s="166">
        <v>36937802.990000002</v>
      </c>
      <c r="K319" s="166">
        <v>819875254.98000002</v>
      </c>
      <c r="L319" s="167">
        <f t="shared" si="0"/>
        <v>0.83067401720364742</v>
      </c>
      <c r="M319" s="166">
        <v>774945485.98000002</v>
      </c>
      <c r="N319" s="168">
        <f t="shared" si="1"/>
        <v>0.78515246806484296</v>
      </c>
      <c r="O319" s="166">
        <v>5048817.12</v>
      </c>
      <c r="P319" s="168">
        <f t="shared" si="2"/>
        <v>5.1153162310030396E-3</v>
      </c>
      <c r="Q319" s="50">
        <v>5048817.12</v>
      </c>
      <c r="R319" s="166"/>
      <c r="S319" s="166"/>
      <c r="T319" s="166"/>
      <c r="U319" s="44"/>
    </row>
    <row r="320" spans="1:21" hidden="1" x14ac:dyDescent="0.25">
      <c r="A320" s="165" t="s">
        <v>707</v>
      </c>
      <c r="B320" s="165" t="s">
        <v>352</v>
      </c>
      <c r="C320" s="165" t="s">
        <v>353</v>
      </c>
      <c r="D320" s="165" t="s">
        <v>69</v>
      </c>
      <c r="E320" s="166">
        <v>25911000</v>
      </c>
      <c r="F320" s="166">
        <v>25911000</v>
      </c>
      <c r="G320" s="166">
        <v>25900892.550000001</v>
      </c>
      <c r="H320" s="166">
        <v>0</v>
      </c>
      <c r="I320" s="166">
        <v>12219170.25</v>
      </c>
      <c r="J320" s="166">
        <v>0</v>
      </c>
      <c r="K320" s="166">
        <v>13680599.25</v>
      </c>
      <c r="L320" s="167">
        <f t="shared" si="0"/>
        <v>0.52798422484659024</v>
      </c>
      <c r="M320" s="166">
        <v>13680599.25</v>
      </c>
      <c r="N320" s="168">
        <f t="shared" si="1"/>
        <v>0.52798422484659024</v>
      </c>
      <c r="O320" s="166">
        <v>11230.5</v>
      </c>
      <c r="P320" s="168">
        <f t="shared" si="2"/>
        <v>4.3342595808729882E-4</v>
      </c>
      <c r="Q320" s="50">
        <v>1123.05</v>
      </c>
      <c r="R320" s="166"/>
      <c r="S320" s="166"/>
      <c r="T320" s="166"/>
      <c r="U320" s="44"/>
    </row>
    <row r="321" spans="1:21" hidden="1" x14ac:dyDescent="0.25">
      <c r="A321" s="165" t="s">
        <v>707</v>
      </c>
      <c r="B321" s="165" t="s">
        <v>200</v>
      </c>
      <c r="C321" s="165" t="s">
        <v>201</v>
      </c>
      <c r="D321" s="165" t="s">
        <v>69</v>
      </c>
      <c r="E321" s="166">
        <v>492133633</v>
      </c>
      <c r="F321" s="166">
        <v>532279085</v>
      </c>
      <c r="G321" s="166">
        <v>531798290</v>
      </c>
      <c r="H321" s="166">
        <v>0</v>
      </c>
      <c r="I321" s="166">
        <v>95783331.700000003</v>
      </c>
      <c r="J321" s="166">
        <v>19624639.780000001</v>
      </c>
      <c r="K321" s="166">
        <v>400050222.38</v>
      </c>
      <c r="L321" s="167">
        <f t="shared" si="0"/>
        <v>0.75157982654907429</v>
      </c>
      <c r="M321" s="166">
        <v>375575270.45999998</v>
      </c>
      <c r="N321" s="168">
        <f t="shared" si="1"/>
        <v>0.70559839949375425</v>
      </c>
      <c r="O321" s="166">
        <v>16820891.140000001</v>
      </c>
      <c r="P321" s="168">
        <f t="shared" si="2"/>
        <v>3.160163833978185E-2</v>
      </c>
      <c r="Q321" s="50">
        <v>16340096.140000001</v>
      </c>
      <c r="R321" s="166"/>
      <c r="S321" s="166"/>
      <c r="T321" s="166"/>
      <c r="U321" s="44"/>
    </row>
    <row r="322" spans="1:21" hidden="1" x14ac:dyDescent="0.25">
      <c r="A322" s="165" t="s">
        <v>707</v>
      </c>
      <c r="B322" s="165" t="s">
        <v>314</v>
      </c>
      <c r="C322" s="165" t="s">
        <v>315</v>
      </c>
      <c r="D322" s="165" t="s">
        <v>69</v>
      </c>
      <c r="E322" s="166">
        <v>116502163</v>
      </c>
      <c r="F322" s="166">
        <v>138638873</v>
      </c>
      <c r="G322" s="166">
        <v>138638873</v>
      </c>
      <c r="H322" s="166">
        <v>0</v>
      </c>
      <c r="I322" s="166">
        <v>22776710.98</v>
      </c>
      <c r="J322" s="166">
        <v>5589893.7999999998</v>
      </c>
      <c r="K322" s="166">
        <v>103410140.13</v>
      </c>
      <c r="L322" s="167">
        <f t="shared" si="0"/>
        <v>0.74589570653823767</v>
      </c>
      <c r="M322" s="166">
        <v>85138235.909999996</v>
      </c>
      <c r="N322" s="168">
        <f t="shared" si="1"/>
        <v>0.61410075015540555</v>
      </c>
      <c r="O322" s="166">
        <v>6862128.0899999999</v>
      </c>
      <c r="P322" s="168">
        <f t="shared" si="2"/>
        <v>4.9496421469034879E-2</v>
      </c>
      <c r="Q322" s="50">
        <v>6862128.0899999999</v>
      </c>
      <c r="R322" s="166"/>
      <c r="S322" s="166"/>
      <c r="T322" s="166"/>
      <c r="U322" s="44"/>
    </row>
    <row r="323" spans="1:21" hidden="1" x14ac:dyDescent="0.25">
      <c r="A323" s="165" t="s">
        <v>707</v>
      </c>
      <c r="B323" s="165" t="s">
        <v>316</v>
      </c>
      <c r="C323" s="165" t="s">
        <v>317</v>
      </c>
      <c r="D323" s="165" t="s">
        <v>69</v>
      </c>
      <c r="E323" s="166">
        <v>100168000</v>
      </c>
      <c r="F323" s="166">
        <v>100168000</v>
      </c>
      <c r="G323" s="166">
        <v>100168000</v>
      </c>
      <c r="H323" s="166">
        <v>0</v>
      </c>
      <c r="I323" s="166">
        <v>16846473</v>
      </c>
      <c r="J323" s="166">
        <v>1428000</v>
      </c>
      <c r="K323" s="166">
        <v>80079070.760000005</v>
      </c>
      <c r="L323" s="167">
        <f t="shared" si="0"/>
        <v>0.79944763557223875</v>
      </c>
      <c r="M323" s="166">
        <v>76044970.760000005</v>
      </c>
      <c r="N323" s="168">
        <f t="shared" si="1"/>
        <v>0.75917429478476162</v>
      </c>
      <c r="O323" s="166">
        <v>1814456.24</v>
      </c>
      <c r="P323" s="168">
        <f t="shared" si="2"/>
        <v>1.8114130660490377E-2</v>
      </c>
      <c r="Q323" s="50">
        <v>1814456.24</v>
      </c>
      <c r="R323" s="166"/>
      <c r="S323" s="166"/>
      <c r="T323" s="166"/>
      <c r="U323" s="44"/>
    </row>
    <row r="324" spans="1:21" hidden="1" x14ac:dyDescent="0.25">
      <c r="A324" s="165" t="s">
        <v>707</v>
      </c>
      <c r="B324" s="165" t="s">
        <v>318</v>
      </c>
      <c r="C324" s="165" t="s">
        <v>319</v>
      </c>
      <c r="D324" s="165" t="s">
        <v>69</v>
      </c>
      <c r="E324" s="166">
        <v>88546837</v>
      </c>
      <c r="F324" s="166">
        <v>124611598</v>
      </c>
      <c r="G324" s="166">
        <v>124589535</v>
      </c>
      <c r="H324" s="166">
        <v>0</v>
      </c>
      <c r="I324" s="166">
        <v>17759667.600000001</v>
      </c>
      <c r="J324" s="166">
        <v>0</v>
      </c>
      <c r="K324" s="166">
        <v>106729563.36</v>
      </c>
      <c r="L324" s="167">
        <f t="shared" si="0"/>
        <v>0.85649783064334029</v>
      </c>
      <c r="M324" s="166">
        <v>106729563.36</v>
      </c>
      <c r="N324" s="168">
        <f t="shared" si="1"/>
        <v>0.85649783064334029</v>
      </c>
      <c r="O324" s="166">
        <v>122367.03999999999</v>
      </c>
      <c r="P324" s="168">
        <f t="shared" si="2"/>
        <v>9.8198756748147948E-4</v>
      </c>
      <c r="Q324" s="50">
        <v>100304.04</v>
      </c>
      <c r="R324" s="166"/>
      <c r="S324" s="166"/>
      <c r="T324" s="166"/>
      <c r="U324" s="44"/>
    </row>
    <row r="325" spans="1:21" hidden="1" x14ac:dyDescent="0.25">
      <c r="A325" s="165" t="s">
        <v>707</v>
      </c>
      <c r="B325" s="165" t="s">
        <v>202</v>
      </c>
      <c r="C325" s="165" t="s">
        <v>203</v>
      </c>
      <c r="D325" s="165" t="s">
        <v>69</v>
      </c>
      <c r="E325" s="166">
        <v>110456300</v>
      </c>
      <c r="F325" s="166">
        <v>105456300</v>
      </c>
      <c r="G325" s="166">
        <v>105456299</v>
      </c>
      <c r="H325" s="166">
        <v>0</v>
      </c>
      <c r="I325" s="166">
        <v>34462435.770000003</v>
      </c>
      <c r="J325" s="166">
        <v>772759.46</v>
      </c>
      <c r="K325" s="166">
        <v>65667613.549999997</v>
      </c>
      <c r="L325" s="167">
        <f t="shared" si="0"/>
        <v>0.62269976805558314</v>
      </c>
      <c r="M325" s="166">
        <v>64515564.149999999</v>
      </c>
      <c r="N325" s="168">
        <f t="shared" si="1"/>
        <v>0.6117753434360963</v>
      </c>
      <c r="O325" s="166">
        <v>4553491.22</v>
      </c>
      <c r="P325" s="168">
        <f t="shared" si="2"/>
        <v>4.3178939712468577E-2</v>
      </c>
      <c r="Q325" s="50">
        <v>4553490.22</v>
      </c>
      <c r="R325" s="166"/>
      <c r="S325" s="166"/>
      <c r="T325" s="166"/>
      <c r="U325" s="44"/>
    </row>
    <row r="326" spans="1:21" hidden="1" x14ac:dyDescent="0.25">
      <c r="A326" s="165" t="s">
        <v>707</v>
      </c>
      <c r="B326" s="165" t="s">
        <v>320</v>
      </c>
      <c r="C326" s="165" t="s">
        <v>321</v>
      </c>
      <c r="D326" s="165" t="s">
        <v>69</v>
      </c>
      <c r="E326" s="166">
        <v>2261183</v>
      </c>
      <c r="F326" s="166">
        <v>1140592</v>
      </c>
      <c r="G326" s="166">
        <v>1091036</v>
      </c>
      <c r="H326" s="166">
        <v>0</v>
      </c>
      <c r="I326" s="166">
        <v>0</v>
      </c>
      <c r="J326" s="166">
        <v>0</v>
      </c>
      <c r="K326" s="166">
        <v>1016898.3</v>
      </c>
      <c r="L326" s="167">
        <f t="shared" si="0"/>
        <v>0.8915530706860999</v>
      </c>
      <c r="M326" s="166">
        <v>0</v>
      </c>
      <c r="N326" s="168">
        <f t="shared" si="1"/>
        <v>0</v>
      </c>
      <c r="O326" s="166">
        <v>123693.7</v>
      </c>
      <c r="P326" s="168">
        <f t="shared" si="2"/>
        <v>0.10844692931390015</v>
      </c>
      <c r="Q326" s="50">
        <v>74137.7</v>
      </c>
      <c r="R326" s="166"/>
      <c r="S326" s="166"/>
      <c r="T326" s="166"/>
      <c r="U326" s="44"/>
    </row>
    <row r="327" spans="1:21" hidden="1" x14ac:dyDescent="0.25">
      <c r="A327" s="165" t="s">
        <v>707</v>
      </c>
      <c r="B327" s="165" t="s">
        <v>204</v>
      </c>
      <c r="C327" s="165" t="s">
        <v>205</v>
      </c>
      <c r="D327" s="165" t="s">
        <v>69</v>
      </c>
      <c r="E327" s="166">
        <v>51120350</v>
      </c>
      <c r="F327" s="166">
        <v>39184922</v>
      </c>
      <c r="G327" s="166">
        <v>39184922</v>
      </c>
      <c r="H327" s="166">
        <v>0</v>
      </c>
      <c r="I327" s="166">
        <v>434275.95</v>
      </c>
      <c r="J327" s="166">
        <v>11833986.52</v>
      </c>
      <c r="K327" s="166">
        <v>24397936.649999999</v>
      </c>
      <c r="L327" s="167">
        <f t="shared" si="0"/>
        <v>0.62263583553898616</v>
      </c>
      <c r="M327" s="166">
        <v>24397936.649999999</v>
      </c>
      <c r="N327" s="168">
        <f t="shared" si="1"/>
        <v>0.62263583553898616</v>
      </c>
      <c r="O327" s="166">
        <v>2518722.88</v>
      </c>
      <c r="P327" s="168">
        <f t="shared" si="2"/>
        <v>6.4277858713103986E-2</v>
      </c>
      <c r="Q327" s="50">
        <v>2518722.88</v>
      </c>
      <c r="R327" s="166"/>
      <c r="S327" s="166"/>
      <c r="T327" s="166"/>
      <c r="U327" s="44"/>
    </row>
    <row r="328" spans="1:21" hidden="1" x14ac:dyDescent="0.25">
      <c r="A328" s="165" t="s">
        <v>707</v>
      </c>
      <c r="B328" s="165" t="s">
        <v>322</v>
      </c>
      <c r="C328" s="165" t="s">
        <v>323</v>
      </c>
      <c r="D328" s="165" t="s">
        <v>69</v>
      </c>
      <c r="E328" s="166">
        <v>23078800</v>
      </c>
      <c r="F328" s="166">
        <v>23078800</v>
      </c>
      <c r="G328" s="166">
        <v>22669625</v>
      </c>
      <c r="H328" s="166">
        <v>0</v>
      </c>
      <c r="I328" s="166">
        <v>3503768.4</v>
      </c>
      <c r="J328" s="166">
        <v>0</v>
      </c>
      <c r="K328" s="166">
        <v>18748999.629999999</v>
      </c>
      <c r="L328" s="167">
        <f t="shared" si="0"/>
        <v>0.81239057619980237</v>
      </c>
      <c r="M328" s="166">
        <v>18748999.629999999</v>
      </c>
      <c r="N328" s="168">
        <f t="shared" si="1"/>
        <v>0.81239057619980237</v>
      </c>
      <c r="O328" s="166">
        <v>826031.97</v>
      </c>
      <c r="P328" s="168">
        <f t="shared" si="2"/>
        <v>3.5791807632979185E-2</v>
      </c>
      <c r="Q328" s="50">
        <v>416856.97</v>
      </c>
      <c r="R328" s="166"/>
      <c r="S328" s="166"/>
      <c r="T328" s="166"/>
      <c r="U328" s="44"/>
    </row>
    <row r="329" spans="1:21" hidden="1" x14ac:dyDescent="0.25">
      <c r="A329" s="165" t="s">
        <v>707</v>
      </c>
      <c r="B329" s="165" t="s">
        <v>206</v>
      </c>
      <c r="C329" s="165" t="s">
        <v>207</v>
      </c>
      <c r="D329" s="165" t="s">
        <v>69</v>
      </c>
      <c r="E329" s="166">
        <v>144803139</v>
      </c>
      <c r="F329" s="166">
        <v>148458599</v>
      </c>
      <c r="G329" s="166">
        <v>147229775</v>
      </c>
      <c r="H329" s="166">
        <v>0</v>
      </c>
      <c r="I329" s="166">
        <v>23344130.640000001</v>
      </c>
      <c r="J329" s="166">
        <v>29243236.350000001</v>
      </c>
      <c r="K329" s="166">
        <v>69958566.379999995</v>
      </c>
      <c r="L329" s="167">
        <f t="shared" si="0"/>
        <v>0.47123283427994628</v>
      </c>
      <c r="M329" s="166">
        <v>69685512.200000003</v>
      </c>
      <c r="N329" s="168">
        <f t="shared" si="1"/>
        <v>0.4693935728168902</v>
      </c>
      <c r="O329" s="166">
        <v>25912665.629999999</v>
      </c>
      <c r="P329" s="168">
        <f t="shared" si="2"/>
        <v>0.17454472697805803</v>
      </c>
      <c r="Q329" s="50">
        <v>24683841.629999999</v>
      </c>
      <c r="R329" s="166"/>
      <c r="S329" s="166"/>
      <c r="T329" s="166"/>
      <c r="U329" s="44"/>
    </row>
    <row r="330" spans="1:21" hidden="1" x14ac:dyDescent="0.25">
      <c r="A330" s="165" t="s">
        <v>707</v>
      </c>
      <c r="B330" s="165" t="s">
        <v>208</v>
      </c>
      <c r="C330" s="165" t="s">
        <v>209</v>
      </c>
      <c r="D330" s="165" t="s">
        <v>69</v>
      </c>
      <c r="E330" s="166">
        <v>17162500</v>
      </c>
      <c r="F330" s="166">
        <v>22627960</v>
      </c>
      <c r="G330" s="166">
        <v>22413980</v>
      </c>
      <c r="H330" s="166">
        <v>0</v>
      </c>
      <c r="I330" s="166">
        <v>782.09</v>
      </c>
      <c r="J330" s="166">
        <v>0</v>
      </c>
      <c r="K330" s="166">
        <v>16190004.48</v>
      </c>
      <c r="L330" s="167">
        <f t="shared" si="0"/>
        <v>0.71548670229220845</v>
      </c>
      <c r="M330" s="166">
        <v>15919950.300000001</v>
      </c>
      <c r="N330" s="168">
        <f t="shared" si="1"/>
        <v>0.70355216731866244</v>
      </c>
      <c r="O330" s="166">
        <v>6437173.4299999997</v>
      </c>
      <c r="P330" s="168">
        <f t="shared" si="2"/>
        <v>0.28447873471581175</v>
      </c>
      <c r="Q330" s="50">
        <v>6223193.4299999997</v>
      </c>
      <c r="R330" s="166"/>
      <c r="S330" s="166"/>
      <c r="T330" s="166"/>
      <c r="U330" s="44"/>
    </row>
    <row r="331" spans="1:21" hidden="1" x14ac:dyDescent="0.25">
      <c r="A331" s="165" t="s">
        <v>707</v>
      </c>
      <c r="B331" s="165" t="s">
        <v>210</v>
      </c>
      <c r="C331" s="165" t="s">
        <v>211</v>
      </c>
      <c r="D331" s="165" t="s">
        <v>69</v>
      </c>
      <c r="E331" s="166">
        <v>127640639</v>
      </c>
      <c r="F331" s="166">
        <v>125830639</v>
      </c>
      <c r="G331" s="166">
        <v>124815795</v>
      </c>
      <c r="H331" s="166">
        <v>0</v>
      </c>
      <c r="I331" s="166">
        <v>23343348.550000001</v>
      </c>
      <c r="J331" s="166">
        <v>29243236.350000001</v>
      </c>
      <c r="K331" s="166">
        <v>53768561.899999999</v>
      </c>
      <c r="L331" s="167">
        <f t="shared" si="0"/>
        <v>0.42730897917477795</v>
      </c>
      <c r="M331" s="166">
        <v>53765561.899999999</v>
      </c>
      <c r="N331" s="168">
        <f t="shared" si="1"/>
        <v>0.42728513760468145</v>
      </c>
      <c r="O331" s="166">
        <v>19475492.199999999</v>
      </c>
      <c r="P331" s="168">
        <f t="shared" si="2"/>
        <v>0.15477543748307596</v>
      </c>
      <c r="Q331" s="50">
        <v>18460648.199999999</v>
      </c>
      <c r="R331" s="166"/>
      <c r="S331" s="166"/>
      <c r="T331" s="166"/>
      <c r="U331" s="44"/>
    </row>
    <row r="332" spans="1:21" hidden="1" x14ac:dyDescent="0.25">
      <c r="A332" s="165" t="s">
        <v>707</v>
      </c>
      <c r="B332" s="165" t="s">
        <v>212</v>
      </c>
      <c r="C332" s="165" t="s">
        <v>213</v>
      </c>
      <c r="D332" s="165" t="s">
        <v>69</v>
      </c>
      <c r="E332" s="166">
        <v>3269894716</v>
      </c>
      <c r="F332" s="166">
        <v>2889101119</v>
      </c>
      <c r="G332" s="166">
        <v>2836750932</v>
      </c>
      <c r="H332" s="166">
        <v>26202326.640000001</v>
      </c>
      <c r="I332" s="166">
        <v>775068767.88999999</v>
      </c>
      <c r="J332" s="166">
        <v>103486597.70999999</v>
      </c>
      <c r="K332" s="166">
        <v>1834721482.29</v>
      </c>
      <c r="L332" s="167">
        <f t="shared" si="0"/>
        <v>0.63504924428711207</v>
      </c>
      <c r="M332" s="166">
        <v>988585122.25999999</v>
      </c>
      <c r="N332" s="168">
        <f t="shared" si="1"/>
        <v>0.34217740450779977</v>
      </c>
      <c r="O332" s="166">
        <v>149621944.47</v>
      </c>
      <c r="P332" s="168">
        <f t="shared" si="2"/>
        <v>5.1788406949836496E-2</v>
      </c>
      <c r="Q332" s="50">
        <v>97271757.469999999</v>
      </c>
      <c r="R332" s="166"/>
      <c r="S332" s="166"/>
      <c r="T332" s="166"/>
      <c r="U332" s="44"/>
    </row>
    <row r="333" spans="1:21" hidden="1" x14ac:dyDescent="0.25">
      <c r="A333" s="165" t="s">
        <v>707</v>
      </c>
      <c r="B333" s="165" t="s">
        <v>214</v>
      </c>
      <c r="C333" s="165" t="s">
        <v>215</v>
      </c>
      <c r="D333" s="165" t="s">
        <v>69</v>
      </c>
      <c r="E333" s="166">
        <v>34070136</v>
      </c>
      <c r="F333" s="166">
        <v>14603063</v>
      </c>
      <c r="G333" s="166">
        <v>14603063</v>
      </c>
      <c r="H333" s="166">
        <v>0</v>
      </c>
      <c r="I333" s="166">
        <v>2632528.2599999998</v>
      </c>
      <c r="J333" s="166">
        <v>0</v>
      </c>
      <c r="K333" s="166">
        <v>11319225.75</v>
      </c>
      <c r="L333" s="167">
        <f t="shared" si="0"/>
        <v>0.77512681757245039</v>
      </c>
      <c r="M333" s="166">
        <v>11319225.75</v>
      </c>
      <c r="N333" s="168">
        <f t="shared" si="1"/>
        <v>0.77512681757245039</v>
      </c>
      <c r="O333" s="166">
        <v>651308.99</v>
      </c>
      <c r="P333" s="168">
        <f t="shared" si="2"/>
        <v>4.4600847781044291E-2</v>
      </c>
      <c r="Q333" s="50">
        <v>651308.99</v>
      </c>
      <c r="R333" s="166"/>
      <c r="S333" s="166"/>
      <c r="T333" s="166"/>
      <c r="U333" s="44"/>
    </row>
    <row r="334" spans="1:21" hidden="1" x14ac:dyDescent="0.25">
      <c r="A334" s="165" t="s">
        <v>707</v>
      </c>
      <c r="B334" s="165" t="s">
        <v>216</v>
      </c>
      <c r="C334" s="165" t="s">
        <v>217</v>
      </c>
      <c r="D334" s="165" t="s">
        <v>69</v>
      </c>
      <c r="E334" s="166">
        <v>26479307</v>
      </c>
      <c r="F334" s="166">
        <v>26479307</v>
      </c>
      <c r="G334" s="166">
        <v>26479307</v>
      </c>
      <c r="H334" s="166">
        <v>367855.77</v>
      </c>
      <c r="I334" s="166">
        <v>7582844.5499999998</v>
      </c>
      <c r="J334" s="166">
        <v>9040662.5600000005</v>
      </c>
      <c r="K334" s="166">
        <v>8783550.6600000001</v>
      </c>
      <c r="L334" s="167">
        <f t="shared" si="0"/>
        <v>0.33171376652719803</v>
      </c>
      <c r="M334" s="166">
        <v>6984477.6600000001</v>
      </c>
      <c r="N334" s="168">
        <f t="shared" si="1"/>
        <v>0.26377116515926946</v>
      </c>
      <c r="O334" s="166">
        <v>704393.46</v>
      </c>
      <c r="P334" s="168">
        <f t="shared" si="2"/>
        <v>2.6601657664228145E-2</v>
      </c>
      <c r="Q334" s="50">
        <v>704393.46</v>
      </c>
      <c r="R334" s="166"/>
      <c r="S334" s="166"/>
      <c r="T334" s="166"/>
      <c r="U334" s="44"/>
    </row>
    <row r="335" spans="1:21" hidden="1" x14ac:dyDescent="0.25">
      <c r="A335" s="165" t="s">
        <v>707</v>
      </c>
      <c r="B335" s="165" t="s">
        <v>218</v>
      </c>
      <c r="C335" s="165" t="s">
        <v>219</v>
      </c>
      <c r="D335" s="165" t="s">
        <v>69</v>
      </c>
      <c r="E335" s="166">
        <v>140601000</v>
      </c>
      <c r="F335" s="166">
        <v>120972732</v>
      </c>
      <c r="G335" s="166">
        <v>81947267</v>
      </c>
      <c r="H335" s="166">
        <v>0</v>
      </c>
      <c r="I335" s="166">
        <v>9298152</v>
      </c>
      <c r="J335" s="166">
        <v>0</v>
      </c>
      <c r="K335" s="166">
        <v>58483260.600000001</v>
      </c>
      <c r="L335" s="167">
        <f t="shared" si="0"/>
        <v>0.48344167841063557</v>
      </c>
      <c r="M335" s="166">
        <v>58214038.609999999</v>
      </c>
      <c r="N335" s="168">
        <f t="shared" si="1"/>
        <v>0.48121620176355112</v>
      </c>
      <c r="O335" s="166">
        <v>53191319.399999999</v>
      </c>
      <c r="P335" s="168">
        <f t="shared" si="2"/>
        <v>0.43969676902064175</v>
      </c>
      <c r="Q335" s="50">
        <v>14165854.4</v>
      </c>
      <c r="R335" s="166"/>
      <c r="S335" s="166"/>
      <c r="T335" s="166"/>
      <c r="U335" s="44"/>
    </row>
    <row r="336" spans="1:21" hidden="1" x14ac:dyDescent="0.25">
      <c r="A336" s="165" t="s">
        <v>707</v>
      </c>
      <c r="B336" s="165" t="s">
        <v>220</v>
      </c>
      <c r="C336" s="165" t="s">
        <v>221</v>
      </c>
      <c r="D336" s="165" t="s">
        <v>69</v>
      </c>
      <c r="E336" s="166">
        <v>1260371675</v>
      </c>
      <c r="F336" s="166">
        <v>1239367145</v>
      </c>
      <c r="G336" s="166">
        <v>1238685978</v>
      </c>
      <c r="H336" s="166">
        <v>13836663</v>
      </c>
      <c r="I336" s="166">
        <v>564847293.13</v>
      </c>
      <c r="J336" s="166">
        <v>1931367.75</v>
      </c>
      <c r="K336" s="166">
        <v>601695804.50999999</v>
      </c>
      <c r="L336" s="167">
        <f t="shared" si="0"/>
        <v>0.48548632819373311</v>
      </c>
      <c r="M336" s="166">
        <v>130096451.90000001</v>
      </c>
      <c r="N336" s="168">
        <f t="shared" si="1"/>
        <v>0.10497006671901087</v>
      </c>
      <c r="O336" s="166">
        <v>57056016.609999999</v>
      </c>
      <c r="P336" s="168">
        <f t="shared" si="2"/>
        <v>4.6036412083523479E-2</v>
      </c>
      <c r="Q336" s="50">
        <v>56374849.609999999</v>
      </c>
      <c r="R336" s="166"/>
      <c r="S336" s="166"/>
      <c r="T336" s="166"/>
      <c r="U336" s="44"/>
    </row>
    <row r="337" spans="1:21" hidden="1" x14ac:dyDescent="0.25">
      <c r="A337" s="165" t="s">
        <v>707</v>
      </c>
      <c r="B337" s="165" t="s">
        <v>222</v>
      </c>
      <c r="C337" s="165" t="s">
        <v>223</v>
      </c>
      <c r="D337" s="165" t="s">
        <v>69</v>
      </c>
      <c r="E337" s="166">
        <v>291010979</v>
      </c>
      <c r="F337" s="166">
        <v>313668508</v>
      </c>
      <c r="G337" s="166">
        <v>313668508</v>
      </c>
      <c r="H337" s="166">
        <v>5474950</v>
      </c>
      <c r="I337" s="166">
        <v>39686413.600000001</v>
      </c>
      <c r="J337" s="166">
        <v>38508456.539999999</v>
      </c>
      <c r="K337" s="166">
        <v>229954170.03999999</v>
      </c>
      <c r="L337" s="167">
        <f t="shared" si="0"/>
        <v>0.73311207269809819</v>
      </c>
      <c r="M337" s="166">
        <v>227856032.84</v>
      </c>
      <c r="N337" s="168">
        <f t="shared" si="1"/>
        <v>0.72642304544006053</v>
      </c>
      <c r="O337" s="166">
        <v>44517.82</v>
      </c>
      <c r="P337" s="168">
        <f t="shared" si="2"/>
        <v>1.4192632943566016E-4</v>
      </c>
      <c r="Q337" s="50">
        <v>44517.82</v>
      </c>
      <c r="R337" s="166"/>
      <c r="S337" s="166"/>
      <c r="T337" s="166"/>
      <c r="U337" s="44"/>
    </row>
    <row r="338" spans="1:21" hidden="1" x14ac:dyDescent="0.25">
      <c r="A338" s="165" t="s">
        <v>707</v>
      </c>
      <c r="B338" s="165" t="s">
        <v>224</v>
      </c>
      <c r="C338" s="165" t="s">
        <v>225</v>
      </c>
      <c r="D338" s="165" t="s">
        <v>69</v>
      </c>
      <c r="E338" s="166">
        <v>1243089320</v>
      </c>
      <c r="F338" s="166">
        <v>899738065</v>
      </c>
      <c r="G338" s="166">
        <v>887095368</v>
      </c>
      <c r="H338" s="166">
        <v>4523731.87</v>
      </c>
      <c r="I338" s="166">
        <v>85213627.430000007</v>
      </c>
      <c r="J338" s="166">
        <v>54006110.859999999</v>
      </c>
      <c r="K338" s="166">
        <v>718820247.65999997</v>
      </c>
      <c r="L338" s="167">
        <f t="shared" si="0"/>
        <v>0.79892168134511454</v>
      </c>
      <c r="M338" s="166">
        <v>348449672.43000001</v>
      </c>
      <c r="N338" s="168">
        <f t="shared" si="1"/>
        <v>0.38727901595449338</v>
      </c>
      <c r="O338" s="166">
        <v>37174347.18</v>
      </c>
      <c r="P338" s="168">
        <f t="shared" si="2"/>
        <v>4.1316855011574949E-2</v>
      </c>
      <c r="Q338" s="50">
        <v>24531650.18</v>
      </c>
      <c r="R338" s="166"/>
      <c r="S338" s="166"/>
      <c r="T338" s="166"/>
      <c r="U338" s="44"/>
    </row>
    <row r="339" spans="1:21" hidden="1" x14ac:dyDescent="0.25">
      <c r="A339" s="165" t="s">
        <v>707</v>
      </c>
      <c r="B339" s="165" t="s">
        <v>226</v>
      </c>
      <c r="C339" s="165" t="s">
        <v>227</v>
      </c>
      <c r="D339" s="165" t="s">
        <v>69</v>
      </c>
      <c r="E339" s="166">
        <v>90632447</v>
      </c>
      <c r="F339" s="166">
        <v>90632447</v>
      </c>
      <c r="G339" s="166">
        <v>90632447</v>
      </c>
      <c r="H339" s="166">
        <v>0</v>
      </c>
      <c r="I339" s="166">
        <v>4164190.25</v>
      </c>
      <c r="J339" s="166">
        <v>0</v>
      </c>
      <c r="K339" s="166">
        <v>86313998.739999995</v>
      </c>
      <c r="L339" s="167">
        <f t="shared" si="0"/>
        <v>0.95235207254196719</v>
      </c>
      <c r="M339" s="166">
        <v>86313998.739999995</v>
      </c>
      <c r="N339" s="168">
        <f t="shared" si="1"/>
        <v>0.95235207254196719</v>
      </c>
      <c r="O339" s="166">
        <v>154258.01</v>
      </c>
      <c r="P339" s="168">
        <f t="shared" si="2"/>
        <v>1.702017490491016E-3</v>
      </c>
      <c r="Q339" s="50">
        <v>154258.01</v>
      </c>
      <c r="R339" s="166"/>
      <c r="S339" s="166"/>
      <c r="T339" s="166"/>
      <c r="U339" s="44"/>
    </row>
    <row r="340" spans="1:21" hidden="1" x14ac:dyDescent="0.25">
      <c r="A340" s="165" t="s">
        <v>707</v>
      </c>
      <c r="B340" s="165" t="s">
        <v>228</v>
      </c>
      <c r="C340" s="165" t="s">
        <v>229</v>
      </c>
      <c r="D340" s="165" t="s">
        <v>69</v>
      </c>
      <c r="E340" s="166">
        <v>183639852</v>
      </c>
      <c r="F340" s="166">
        <v>183639852</v>
      </c>
      <c r="G340" s="166">
        <v>183638994</v>
      </c>
      <c r="H340" s="166">
        <v>1999126</v>
      </c>
      <c r="I340" s="166">
        <v>61643718.670000002</v>
      </c>
      <c r="J340" s="166">
        <v>0</v>
      </c>
      <c r="K340" s="166">
        <v>119351224.33</v>
      </c>
      <c r="L340" s="167">
        <f t="shared" si="0"/>
        <v>0.64992006381055023</v>
      </c>
      <c r="M340" s="166">
        <v>119351224.33</v>
      </c>
      <c r="N340" s="168">
        <f t="shared" si="1"/>
        <v>0.64992006381055023</v>
      </c>
      <c r="O340" s="166">
        <v>645783</v>
      </c>
      <c r="P340" s="168">
        <f t="shared" si="2"/>
        <v>3.516573298044261E-3</v>
      </c>
      <c r="Q340" s="50">
        <v>644925</v>
      </c>
      <c r="R340" s="166"/>
      <c r="S340" s="166"/>
      <c r="T340" s="166"/>
      <c r="U340" s="44"/>
    </row>
    <row r="341" spans="1:21" hidden="1" x14ac:dyDescent="0.25">
      <c r="A341" s="165" t="s">
        <v>707</v>
      </c>
      <c r="B341" s="165" t="s">
        <v>248</v>
      </c>
      <c r="C341" s="165" t="s">
        <v>249</v>
      </c>
      <c r="D341" s="165" t="s">
        <v>69</v>
      </c>
      <c r="E341" s="166">
        <v>13160774264</v>
      </c>
      <c r="F341" s="166">
        <v>13151348647</v>
      </c>
      <c r="G341" s="166">
        <v>13151348647</v>
      </c>
      <c r="H341" s="166">
        <v>0</v>
      </c>
      <c r="I341" s="166">
        <v>1146752164.97</v>
      </c>
      <c r="J341" s="166">
        <v>0</v>
      </c>
      <c r="K341" s="166">
        <v>9942424413.7099991</v>
      </c>
      <c r="L341" s="167">
        <f t="shared" si="0"/>
        <v>0.75600036776289103</v>
      </c>
      <c r="M341" s="166">
        <v>9942424413.7099991</v>
      </c>
      <c r="N341" s="168">
        <f t="shared" si="1"/>
        <v>0.75600036776289103</v>
      </c>
      <c r="O341" s="166">
        <v>2062172068.3199999</v>
      </c>
      <c r="P341" s="168">
        <f t="shared" si="2"/>
        <v>0.156803087171627</v>
      </c>
      <c r="Q341" s="50">
        <v>2062172068.3199999</v>
      </c>
      <c r="R341" s="166"/>
      <c r="S341" s="166"/>
      <c r="T341" s="166"/>
      <c r="U341" s="44"/>
    </row>
    <row r="342" spans="1:21" hidden="1" x14ac:dyDescent="0.25">
      <c r="A342" s="165" t="s">
        <v>707</v>
      </c>
      <c r="B342" s="165" t="s">
        <v>250</v>
      </c>
      <c r="C342" s="165" t="s">
        <v>251</v>
      </c>
      <c r="D342" s="165" t="s">
        <v>69</v>
      </c>
      <c r="E342" s="166">
        <v>11073271142</v>
      </c>
      <c r="F342" s="166">
        <v>11063845525</v>
      </c>
      <c r="G342" s="166">
        <v>11063845525</v>
      </c>
      <c r="H342" s="166">
        <v>0</v>
      </c>
      <c r="I342" s="166">
        <v>858944685.98000002</v>
      </c>
      <c r="J342" s="166">
        <v>0</v>
      </c>
      <c r="K342" s="166">
        <v>8925400355.0200005</v>
      </c>
      <c r="L342" s="167">
        <f t="shared" si="0"/>
        <v>0.80671773072500486</v>
      </c>
      <c r="M342" s="166">
        <v>8925400355.0200005</v>
      </c>
      <c r="N342" s="168">
        <f t="shared" si="1"/>
        <v>0.80671773072500486</v>
      </c>
      <c r="O342" s="166">
        <v>1279500484</v>
      </c>
      <c r="P342" s="168">
        <f t="shared" si="2"/>
        <v>0.11564699462847933</v>
      </c>
      <c r="Q342" s="50">
        <v>1279500484</v>
      </c>
      <c r="R342" s="166"/>
      <c r="S342" s="166"/>
      <c r="T342" s="166"/>
      <c r="U342" s="44"/>
    </row>
    <row r="343" spans="1:21" hidden="1" x14ac:dyDescent="0.25">
      <c r="A343" s="165" t="s">
        <v>707</v>
      </c>
      <c r="B343" s="165" t="s">
        <v>621</v>
      </c>
      <c r="C343" s="165" t="s">
        <v>708</v>
      </c>
      <c r="D343" s="165" t="s">
        <v>69</v>
      </c>
      <c r="E343" s="166">
        <v>44000000</v>
      </c>
      <c r="F343" s="166">
        <v>44000000</v>
      </c>
      <c r="G343" s="166">
        <v>44000000</v>
      </c>
      <c r="H343" s="166">
        <v>0</v>
      </c>
      <c r="I343" s="166">
        <v>19000000</v>
      </c>
      <c r="J343" s="166">
        <v>0</v>
      </c>
      <c r="K343" s="166">
        <v>25000000</v>
      </c>
      <c r="L343" s="167">
        <f t="shared" si="0"/>
        <v>0.56818181818181823</v>
      </c>
      <c r="M343" s="166">
        <v>25000000</v>
      </c>
      <c r="N343" s="168">
        <f t="shared" si="1"/>
        <v>0.56818181818181823</v>
      </c>
      <c r="O343" s="166">
        <v>0</v>
      </c>
      <c r="P343" s="168">
        <f t="shared" si="2"/>
        <v>0</v>
      </c>
      <c r="Q343" s="50">
        <v>0</v>
      </c>
      <c r="R343" s="166"/>
      <c r="S343" s="166"/>
      <c r="T343" s="166"/>
      <c r="U343" s="44"/>
    </row>
    <row r="344" spans="1:21" hidden="1" x14ac:dyDescent="0.25">
      <c r="A344" s="165" t="s">
        <v>707</v>
      </c>
      <c r="B344" s="165" t="s">
        <v>629</v>
      </c>
      <c r="C344" s="165" t="s">
        <v>702</v>
      </c>
      <c r="D344" s="165" t="s">
        <v>69</v>
      </c>
      <c r="E344" s="166">
        <v>540115935</v>
      </c>
      <c r="F344" s="166">
        <v>532109838</v>
      </c>
      <c r="G344" s="166">
        <v>532109838</v>
      </c>
      <c r="H344" s="166">
        <v>0</v>
      </c>
      <c r="I344" s="166">
        <v>96086142</v>
      </c>
      <c r="J344" s="166">
        <v>0</v>
      </c>
      <c r="K344" s="166">
        <v>431275239</v>
      </c>
      <c r="L344" s="167">
        <f t="shared" si="0"/>
        <v>0.81050040461758954</v>
      </c>
      <c r="M344" s="166">
        <v>431275239</v>
      </c>
      <c r="N344" s="168">
        <f t="shared" si="1"/>
        <v>0.81050040461758954</v>
      </c>
      <c r="O344" s="166">
        <v>4748457</v>
      </c>
      <c r="P344" s="168">
        <f t="shared" si="2"/>
        <v>8.9238286175043428E-3</v>
      </c>
      <c r="Q344" s="50">
        <v>4748457</v>
      </c>
      <c r="R344" s="166"/>
      <c r="S344" s="166"/>
      <c r="T344" s="166"/>
      <c r="U344" s="44"/>
    </row>
    <row r="345" spans="1:21" hidden="1" x14ac:dyDescent="0.25">
      <c r="A345" s="165" t="s">
        <v>707</v>
      </c>
      <c r="B345" s="165" t="s">
        <v>644</v>
      </c>
      <c r="C345" s="165" t="s">
        <v>703</v>
      </c>
      <c r="D345" s="165" t="s">
        <v>69</v>
      </c>
      <c r="E345" s="166">
        <v>95765207</v>
      </c>
      <c r="F345" s="166">
        <v>94345687</v>
      </c>
      <c r="G345" s="166">
        <v>94345687</v>
      </c>
      <c r="H345" s="166">
        <v>0</v>
      </c>
      <c r="I345" s="166">
        <v>15027216</v>
      </c>
      <c r="J345" s="166">
        <v>0</v>
      </c>
      <c r="K345" s="166">
        <v>78476546</v>
      </c>
      <c r="L345" s="167">
        <f t="shared" si="0"/>
        <v>0.83179791779988843</v>
      </c>
      <c r="M345" s="166">
        <v>78476546</v>
      </c>
      <c r="N345" s="168">
        <f t="shared" si="1"/>
        <v>0.83179791779988843</v>
      </c>
      <c r="O345" s="166">
        <v>841925</v>
      </c>
      <c r="P345" s="168">
        <f t="shared" si="2"/>
        <v>8.9238313564879764E-3</v>
      </c>
      <c r="Q345" s="50">
        <v>841925</v>
      </c>
      <c r="R345" s="166"/>
      <c r="S345" s="166"/>
      <c r="T345" s="166"/>
      <c r="U345" s="44"/>
    </row>
    <row r="346" spans="1:21" hidden="1" x14ac:dyDescent="0.25">
      <c r="A346" s="165" t="s">
        <v>707</v>
      </c>
      <c r="B346" s="165" t="s">
        <v>655</v>
      </c>
      <c r="C346" s="165" t="s">
        <v>709</v>
      </c>
      <c r="D346" s="165" t="s">
        <v>69</v>
      </c>
      <c r="E346" s="166">
        <v>10393390000</v>
      </c>
      <c r="F346" s="166">
        <v>10393390000</v>
      </c>
      <c r="G346" s="166">
        <v>10393390000</v>
      </c>
      <c r="H346" s="166">
        <v>0</v>
      </c>
      <c r="I346" s="166">
        <v>728831327.98000002</v>
      </c>
      <c r="J346" s="166">
        <v>0</v>
      </c>
      <c r="K346" s="166">
        <v>8390648570.0200005</v>
      </c>
      <c r="L346" s="167">
        <f t="shared" si="0"/>
        <v>0.80730623694675174</v>
      </c>
      <c r="M346" s="166">
        <v>8390648570.0200005</v>
      </c>
      <c r="N346" s="168">
        <f t="shared" si="1"/>
        <v>0.80730623694675174</v>
      </c>
      <c r="O346" s="166">
        <v>1273910102</v>
      </c>
      <c r="P346" s="168">
        <f t="shared" si="2"/>
        <v>0.12256925815349948</v>
      </c>
      <c r="Q346" s="50">
        <v>1273910102</v>
      </c>
      <c r="R346" s="166"/>
      <c r="S346" s="166"/>
      <c r="T346" s="166"/>
      <c r="U346" s="44"/>
    </row>
    <row r="347" spans="1:21" hidden="1" x14ac:dyDescent="0.25">
      <c r="A347" s="165" t="s">
        <v>707</v>
      </c>
      <c r="B347" s="165" t="s">
        <v>366</v>
      </c>
      <c r="C347" s="165" t="s">
        <v>367</v>
      </c>
      <c r="D347" s="165" t="s">
        <v>69</v>
      </c>
      <c r="E347" s="166">
        <v>666000000</v>
      </c>
      <c r="F347" s="166">
        <v>666000000</v>
      </c>
      <c r="G347" s="166">
        <v>666000000</v>
      </c>
      <c r="H347" s="166">
        <v>0</v>
      </c>
      <c r="I347" s="166">
        <v>149850000</v>
      </c>
      <c r="J347" s="166">
        <v>0</v>
      </c>
      <c r="K347" s="166">
        <v>499500000</v>
      </c>
      <c r="L347" s="167">
        <f t="shared" si="0"/>
        <v>0.75</v>
      </c>
      <c r="M347" s="166">
        <v>499500000</v>
      </c>
      <c r="N347" s="168">
        <f t="shared" si="1"/>
        <v>0.75</v>
      </c>
      <c r="O347" s="166">
        <v>16650000</v>
      </c>
      <c r="P347" s="168">
        <f t="shared" si="2"/>
        <v>2.5000000000000001E-2</v>
      </c>
      <c r="Q347" s="50">
        <v>16650000</v>
      </c>
      <c r="R347" s="166"/>
      <c r="S347" s="166"/>
      <c r="T347" s="166"/>
      <c r="U347" s="44"/>
    </row>
    <row r="348" spans="1:21" hidden="1" x14ac:dyDescent="0.25">
      <c r="A348" s="165" t="s">
        <v>707</v>
      </c>
      <c r="B348" s="165" t="s">
        <v>368</v>
      </c>
      <c r="C348" s="165" t="s">
        <v>369</v>
      </c>
      <c r="D348" s="165" t="s">
        <v>69</v>
      </c>
      <c r="E348" s="166">
        <v>666000000</v>
      </c>
      <c r="F348" s="166">
        <v>666000000</v>
      </c>
      <c r="G348" s="166">
        <v>666000000</v>
      </c>
      <c r="H348" s="166">
        <v>0</v>
      </c>
      <c r="I348" s="166">
        <v>149850000</v>
      </c>
      <c r="J348" s="166">
        <v>0</v>
      </c>
      <c r="K348" s="166">
        <v>499500000</v>
      </c>
      <c r="L348" s="167">
        <f t="shared" si="0"/>
        <v>0.75</v>
      </c>
      <c r="M348" s="166">
        <v>499500000</v>
      </c>
      <c r="N348" s="168">
        <f t="shared" si="1"/>
        <v>0.75</v>
      </c>
      <c r="O348" s="166">
        <v>16650000</v>
      </c>
      <c r="P348" s="168">
        <f t="shared" si="2"/>
        <v>2.5000000000000001E-2</v>
      </c>
      <c r="Q348" s="50">
        <v>16650000</v>
      </c>
      <c r="R348" s="166"/>
      <c r="S348" s="166"/>
      <c r="T348" s="166"/>
      <c r="U348" s="44"/>
    </row>
    <row r="349" spans="1:21" hidden="1" x14ac:dyDescent="0.25">
      <c r="A349" s="165" t="s">
        <v>707</v>
      </c>
      <c r="B349" s="165" t="s">
        <v>260</v>
      </c>
      <c r="C349" s="165" t="s">
        <v>261</v>
      </c>
      <c r="D349" s="165" t="s">
        <v>69</v>
      </c>
      <c r="E349" s="166">
        <v>1271503122</v>
      </c>
      <c r="F349" s="166">
        <v>1271503122</v>
      </c>
      <c r="G349" s="166">
        <v>1271503122</v>
      </c>
      <c r="H349" s="166">
        <v>0</v>
      </c>
      <c r="I349" s="166">
        <v>83755776.890000001</v>
      </c>
      <c r="J349" s="166">
        <v>0</v>
      </c>
      <c r="K349" s="166">
        <v>493968578.47000003</v>
      </c>
      <c r="L349" s="167">
        <f t="shared" si="0"/>
        <v>0.38849183295202322</v>
      </c>
      <c r="M349" s="166">
        <v>493968578.47000003</v>
      </c>
      <c r="N349" s="168">
        <f t="shared" si="1"/>
        <v>0.38849183295202322</v>
      </c>
      <c r="O349" s="166">
        <v>693778766.63999999</v>
      </c>
      <c r="P349" s="168">
        <f t="shared" si="2"/>
        <v>0.54563669930178904</v>
      </c>
      <c r="Q349" s="50">
        <v>693778766.63999999</v>
      </c>
      <c r="R349" s="166"/>
      <c r="S349" s="166"/>
      <c r="T349" s="166"/>
      <c r="U349" s="44"/>
    </row>
    <row r="350" spans="1:21" x14ac:dyDescent="0.25">
      <c r="A350" s="165" t="s">
        <v>707</v>
      </c>
      <c r="B350" s="165" t="s">
        <v>262</v>
      </c>
      <c r="C350" s="165" t="s">
        <v>263</v>
      </c>
      <c r="D350" s="165" t="s">
        <v>69</v>
      </c>
      <c r="E350" s="166">
        <v>1000003122</v>
      </c>
      <c r="F350" s="166">
        <v>1000003122</v>
      </c>
      <c r="G350" s="166">
        <v>1000003122</v>
      </c>
      <c r="H350" s="166">
        <v>0</v>
      </c>
      <c r="I350" s="166">
        <v>83755776.890000001</v>
      </c>
      <c r="J350" s="166">
        <v>0</v>
      </c>
      <c r="K350" s="166">
        <v>366245003.11000001</v>
      </c>
      <c r="L350" s="167">
        <f t="shared" si="0"/>
        <v>0.36624385969667006</v>
      </c>
      <c r="M350" s="166">
        <v>366245003.11000001</v>
      </c>
      <c r="N350" s="168">
        <f t="shared" si="1"/>
        <v>0.36624385969667006</v>
      </c>
      <c r="O350" s="166">
        <v>550002342</v>
      </c>
      <c r="P350" s="168">
        <f t="shared" si="2"/>
        <v>0.55000062489804902</v>
      </c>
      <c r="Q350" s="50">
        <v>550002342</v>
      </c>
      <c r="R350" s="166">
        <v>55000234.200000003</v>
      </c>
      <c r="S350" s="166"/>
      <c r="T350" s="166"/>
      <c r="U350" s="160"/>
    </row>
    <row r="351" spans="1:21" x14ac:dyDescent="0.25">
      <c r="A351" s="165" t="s">
        <v>707</v>
      </c>
      <c r="B351" s="165" t="s">
        <v>264</v>
      </c>
      <c r="C351" s="165" t="s">
        <v>265</v>
      </c>
      <c r="D351" s="165" t="s">
        <v>69</v>
      </c>
      <c r="E351" s="166">
        <v>271500000</v>
      </c>
      <c r="F351" s="166">
        <v>271500000</v>
      </c>
      <c r="G351" s="166">
        <v>271500000</v>
      </c>
      <c r="H351" s="166">
        <v>0</v>
      </c>
      <c r="I351" s="166">
        <v>0</v>
      </c>
      <c r="J351" s="166">
        <v>0</v>
      </c>
      <c r="K351" s="166">
        <v>127723575.36</v>
      </c>
      <c r="L351" s="167">
        <f t="shared" si="0"/>
        <v>0.47043674165745858</v>
      </c>
      <c r="M351" s="166">
        <v>127723575.36</v>
      </c>
      <c r="N351" s="168">
        <f t="shared" si="1"/>
        <v>0.47043674165745858</v>
      </c>
      <c r="O351" s="166">
        <v>143776424.63999999</v>
      </c>
      <c r="P351" s="168">
        <f t="shared" si="2"/>
        <v>0.52956325834254137</v>
      </c>
      <c r="Q351" s="50">
        <v>143776424.63999999</v>
      </c>
      <c r="R351" s="166"/>
      <c r="S351" s="166"/>
      <c r="T351" s="166"/>
      <c r="U351" s="160"/>
    </row>
    <row r="352" spans="1:21" hidden="1" x14ac:dyDescent="0.25">
      <c r="A352" s="165" t="s">
        <v>707</v>
      </c>
      <c r="B352" s="165" t="s">
        <v>286</v>
      </c>
      <c r="C352" s="165" t="s">
        <v>287</v>
      </c>
      <c r="D352" s="165" t="s">
        <v>69</v>
      </c>
      <c r="E352" s="166">
        <v>150000000</v>
      </c>
      <c r="F352" s="166">
        <v>150000000</v>
      </c>
      <c r="G352" s="166">
        <v>150000000</v>
      </c>
      <c r="H352" s="166">
        <v>0</v>
      </c>
      <c r="I352" s="166">
        <v>54201702.100000001</v>
      </c>
      <c r="J352" s="166">
        <v>0</v>
      </c>
      <c r="K352" s="166">
        <v>23555480.219999999</v>
      </c>
      <c r="L352" s="167">
        <f t="shared" si="0"/>
        <v>0.15703653479999999</v>
      </c>
      <c r="M352" s="166">
        <v>23555480.219999999</v>
      </c>
      <c r="N352" s="168">
        <f t="shared" si="1"/>
        <v>0.15703653479999999</v>
      </c>
      <c r="O352" s="166">
        <v>72242817.680000007</v>
      </c>
      <c r="P352" s="168">
        <f t="shared" si="2"/>
        <v>0.4816187845333334</v>
      </c>
      <c r="Q352" s="50">
        <v>72242817.680000007</v>
      </c>
      <c r="R352" s="166"/>
      <c r="S352" s="166"/>
      <c r="T352" s="166"/>
      <c r="U352" s="160"/>
    </row>
    <row r="353" spans="1:21" x14ac:dyDescent="0.25">
      <c r="A353" s="165" t="s">
        <v>707</v>
      </c>
      <c r="B353" s="165" t="s">
        <v>288</v>
      </c>
      <c r="C353" s="165" t="s">
        <v>289</v>
      </c>
      <c r="D353" s="165" t="s">
        <v>69</v>
      </c>
      <c r="E353" s="166">
        <v>100000000</v>
      </c>
      <c r="F353" s="166">
        <v>100000000</v>
      </c>
      <c r="G353" s="166">
        <v>100000000</v>
      </c>
      <c r="H353" s="166">
        <v>0</v>
      </c>
      <c r="I353" s="166">
        <v>47368336.640000001</v>
      </c>
      <c r="J353" s="166">
        <v>0</v>
      </c>
      <c r="K353" s="166">
        <v>2888845.68</v>
      </c>
      <c r="L353" s="167">
        <f t="shared" si="0"/>
        <v>2.88884568E-2</v>
      </c>
      <c r="M353" s="166">
        <v>2888845.68</v>
      </c>
      <c r="N353" s="168">
        <f t="shared" si="1"/>
        <v>2.88884568E-2</v>
      </c>
      <c r="O353" s="166">
        <v>49742817.68</v>
      </c>
      <c r="P353" s="168">
        <f t="shared" si="2"/>
        <v>0.49742817680000001</v>
      </c>
      <c r="Q353" s="50">
        <v>49742817.68</v>
      </c>
      <c r="R353" s="166"/>
      <c r="S353" s="166"/>
      <c r="T353" s="166"/>
      <c r="U353" s="160"/>
    </row>
    <row r="354" spans="1:21" hidden="1" x14ac:dyDescent="0.25">
      <c r="A354" s="165" t="s">
        <v>707</v>
      </c>
      <c r="B354" s="165" t="s">
        <v>370</v>
      </c>
      <c r="C354" s="165" t="s">
        <v>371</v>
      </c>
      <c r="D354" s="165" t="s">
        <v>69</v>
      </c>
      <c r="E354" s="166">
        <v>50000000</v>
      </c>
      <c r="F354" s="166">
        <v>50000000</v>
      </c>
      <c r="G354" s="166">
        <v>50000000</v>
      </c>
      <c r="H354" s="166">
        <v>0</v>
      </c>
      <c r="I354" s="166">
        <v>6833365.46</v>
      </c>
      <c r="J354" s="166">
        <v>0</v>
      </c>
      <c r="K354" s="166">
        <v>20666634.539999999</v>
      </c>
      <c r="L354" s="167">
        <f t="shared" si="0"/>
        <v>0.41333269079999996</v>
      </c>
      <c r="M354" s="166">
        <v>20666634.539999999</v>
      </c>
      <c r="N354" s="168">
        <f t="shared" si="1"/>
        <v>0.41333269079999996</v>
      </c>
      <c r="O354" s="166">
        <v>22500000</v>
      </c>
      <c r="P354" s="168">
        <f t="shared" si="2"/>
        <v>0.45</v>
      </c>
      <c r="Q354" s="50">
        <v>22500000</v>
      </c>
      <c r="R354" s="166"/>
      <c r="S354" s="166"/>
      <c r="T354" s="166"/>
      <c r="U354" s="44"/>
    </row>
    <row r="355" spans="1:21" hidden="1" x14ac:dyDescent="0.25">
      <c r="A355" s="165" t="s">
        <v>707</v>
      </c>
      <c r="B355" s="165" t="s">
        <v>230</v>
      </c>
      <c r="C355" s="165" t="s">
        <v>231</v>
      </c>
      <c r="D355" s="165" t="s">
        <v>85</v>
      </c>
      <c r="E355" s="166">
        <v>2053989952</v>
      </c>
      <c r="F355" s="166">
        <v>2052989131</v>
      </c>
      <c r="G355" s="166">
        <v>1885172702.24</v>
      </c>
      <c r="H355" s="166">
        <v>90899469.329999998</v>
      </c>
      <c r="I355" s="166">
        <v>426701231.42000002</v>
      </c>
      <c r="J355" s="166">
        <v>45037069.079999998</v>
      </c>
      <c r="K355" s="166">
        <v>928396899.49000001</v>
      </c>
      <c r="L355" s="167">
        <f t="shared" si="0"/>
        <v>0.45221715277069335</v>
      </c>
      <c r="M355" s="166">
        <v>879654295.13</v>
      </c>
      <c r="N355" s="168">
        <f t="shared" si="1"/>
        <v>0.42847489148738216</v>
      </c>
      <c r="O355" s="166">
        <v>561954461.67999995</v>
      </c>
      <c r="P355" s="168">
        <f t="shared" si="2"/>
        <v>0.27372500574626762</v>
      </c>
      <c r="Q355" s="50">
        <v>394138032.92000002</v>
      </c>
      <c r="R355" s="166"/>
      <c r="S355" s="166"/>
      <c r="T355" s="166"/>
      <c r="U355" s="44"/>
    </row>
    <row r="356" spans="1:21" hidden="1" x14ac:dyDescent="0.25">
      <c r="A356" s="165" t="s">
        <v>707</v>
      </c>
      <c r="B356" s="165" t="s">
        <v>232</v>
      </c>
      <c r="C356" s="165" t="s">
        <v>233</v>
      </c>
      <c r="D356" s="165" t="s">
        <v>85</v>
      </c>
      <c r="E356" s="166">
        <v>1511257014</v>
      </c>
      <c r="F356" s="166">
        <v>1463751731</v>
      </c>
      <c r="G356" s="166">
        <v>1296761440.8800001</v>
      </c>
      <c r="H356" s="166">
        <v>1134500</v>
      </c>
      <c r="I356" s="166">
        <v>223795167.18000001</v>
      </c>
      <c r="J356" s="166">
        <v>45037069.079999998</v>
      </c>
      <c r="K356" s="166">
        <v>922376265.74000001</v>
      </c>
      <c r="L356" s="167">
        <f t="shared" si="0"/>
        <v>0.63014529459162771</v>
      </c>
      <c r="M356" s="166">
        <v>873633661.38</v>
      </c>
      <c r="N356" s="168">
        <f t="shared" si="1"/>
        <v>0.59684551886620452</v>
      </c>
      <c r="O356" s="166">
        <v>271408729</v>
      </c>
      <c r="P356" s="168">
        <f t="shared" si="2"/>
        <v>0.18541992009435923</v>
      </c>
      <c r="Q356" s="50">
        <v>104418438.88</v>
      </c>
      <c r="R356" s="166"/>
      <c r="S356" s="166"/>
      <c r="T356" s="166"/>
      <c r="U356" s="44"/>
    </row>
    <row r="357" spans="1:21" hidden="1" x14ac:dyDescent="0.25">
      <c r="A357" s="165" t="s">
        <v>707</v>
      </c>
      <c r="B357" s="165" t="s">
        <v>234</v>
      </c>
      <c r="C357" s="165" t="s">
        <v>235</v>
      </c>
      <c r="D357" s="165" t="s">
        <v>85</v>
      </c>
      <c r="E357" s="166">
        <v>46000000</v>
      </c>
      <c r="F357" s="166">
        <v>46000000</v>
      </c>
      <c r="G357" s="166">
        <v>38692637.880000003</v>
      </c>
      <c r="H357" s="166">
        <v>0</v>
      </c>
      <c r="I357" s="166">
        <v>34130572.100000001</v>
      </c>
      <c r="J357" s="166">
        <v>0</v>
      </c>
      <c r="K357" s="166">
        <v>3750136.65</v>
      </c>
      <c r="L357" s="167">
        <f t="shared" si="0"/>
        <v>8.1524709782608687E-2</v>
      </c>
      <c r="M357" s="166">
        <v>3750136.65</v>
      </c>
      <c r="N357" s="168">
        <f t="shared" si="1"/>
        <v>8.1524709782608687E-2</v>
      </c>
      <c r="O357" s="166">
        <v>8119291.25</v>
      </c>
      <c r="P357" s="168">
        <f t="shared" si="2"/>
        <v>0.17650633152173914</v>
      </c>
      <c r="Q357" s="50">
        <v>811929.13</v>
      </c>
      <c r="R357" s="166"/>
      <c r="S357" s="166"/>
      <c r="T357" s="166"/>
      <c r="U357" s="44"/>
    </row>
    <row r="358" spans="1:21" hidden="1" x14ac:dyDescent="0.25">
      <c r="A358" s="165" t="s">
        <v>707</v>
      </c>
      <c r="B358" s="165" t="s">
        <v>324</v>
      </c>
      <c r="C358" s="165" t="s">
        <v>325</v>
      </c>
      <c r="D358" s="165" t="s">
        <v>85</v>
      </c>
      <c r="E358" s="166">
        <v>0</v>
      </c>
      <c r="F358" s="166">
        <v>815400</v>
      </c>
      <c r="G358" s="166">
        <v>815400</v>
      </c>
      <c r="H358" s="166">
        <v>0</v>
      </c>
      <c r="I358" s="166">
        <v>815400</v>
      </c>
      <c r="J358" s="166">
        <v>0</v>
      </c>
      <c r="K358" s="166">
        <v>0</v>
      </c>
      <c r="L358" s="167">
        <f t="shared" si="0"/>
        <v>0</v>
      </c>
      <c r="M358" s="166">
        <v>0</v>
      </c>
      <c r="N358" s="168">
        <f t="shared" si="1"/>
        <v>0</v>
      </c>
      <c r="O358" s="166">
        <v>0</v>
      </c>
      <c r="P358" s="168">
        <f t="shared" si="2"/>
        <v>0</v>
      </c>
      <c r="Q358" s="50">
        <v>0</v>
      </c>
      <c r="R358" s="166"/>
      <c r="S358" s="166"/>
      <c r="T358" s="166"/>
      <c r="U358" s="44"/>
    </row>
    <row r="359" spans="1:21" hidden="1" x14ac:dyDescent="0.25">
      <c r="A359" s="165" t="s">
        <v>707</v>
      </c>
      <c r="B359" s="165" t="s">
        <v>236</v>
      </c>
      <c r="C359" s="165" t="s">
        <v>237</v>
      </c>
      <c r="D359" s="165" t="s">
        <v>85</v>
      </c>
      <c r="E359" s="166">
        <v>302703422</v>
      </c>
      <c r="F359" s="166">
        <v>287003422</v>
      </c>
      <c r="G359" s="166">
        <v>284269894</v>
      </c>
      <c r="H359" s="166">
        <v>0</v>
      </c>
      <c r="I359" s="166">
        <v>3718716.02</v>
      </c>
      <c r="J359" s="166">
        <v>0</v>
      </c>
      <c r="K359" s="166">
        <v>258615757.62</v>
      </c>
      <c r="L359" s="167">
        <f t="shared" si="0"/>
        <v>0.90108945676612873</v>
      </c>
      <c r="M359" s="166">
        <v>258615757.62</v>
      </c>
      <c r="N359" s="168">
        <f t="shared" si="1"/>
        <v>0.90108945676612873</v>
      </c>
      <c r="O359" s="166">
        <v>24668948.359999999</v>
      </c>
      <c r="P359" s="168">
        <f t="shared" si="2"/>
        <v>8.5953499049220394E-2</v>
      </c>
      <c r="Q359" s="50">
        <v>21935420.359999999</v>
      </c>
      <c r="R359" s="166"/>
      <c r="S359" s="166"/>
      <c r="T359" s="166"/>
      <c r="U359" s="44"/>
    </row>
    <row r="360" spans="1:21" hidden="1" x14ac:dyDescent="0.25">
      <c r="A360" s="165" t="s">
        <v>707</v>
      </c>
      <c r="B360" s="165" t="s">
        <v>238</v>
      </c>
      <c r="C360" s="165" t="s">
        <v>239</v>
      </c>
      <c r="D360" s="165" t="s">
        <v>85</v>
      </c>
      <c r="E360" s="166">
        <v>68995579</v>
      </c>
      <c r="F360" s="166">
        <v>122129459</v>
      </c>
      <c r="G360" s="166">
        <v>122014297</v>
      </c>
      <c r="H360" s="166">
        <v>734500</v>
      </c>
      <c r="I360" s="166">
        <v>12461545.32</v>
      </c>
      <c r="J360" s="166">
        <v>34548750</v>
      </c>
      <c r="K360" s="166">
        <v>62113881.469999999</v>
      </c>
      <c r="L360" s="167">
        <f t="shared" si="0"/>
        <v>0.50859049060390904</v>
      </c>
      <c r="M360" s="166">
        <v>54073931.469999999</v>
      </c>
      <c r="N360" s="168">
        <f t="shared" si="1"/>
        <v>0.44275911735595258</v>
      </c>
      <c r="O360" s="166">
        <v>12270782.210000001</v>
      </c>
      <c r="P360" s="168">
        <f t="shared" si="2"/>
        <v>0.10047356559566846</v>
      </c>
      <c r="Q360" s="50">
        <v>12155620.210000001</v>
      </c>
      <c r="R360" s="166"/>
      <c r="S360" s="166"/>
      <c r="T360" s="166"/>
      <c r="U360" s="44"/>
    </row>
    <row r="361" spans="1:21" hidden="1" x14ac:dyDescent="0.25">
      <c r="A361" s="165" t="s">
        <v>707</v>
      </c>
      <c r="B361" s="165" t="s">
        <v>282</v>
      </c>
      <c r="C361" s="165" t="s">
        <v>283</v>
      </c>
      <c r="D361" s="165" t="s">
        <v>85</v>
      </c>
      <c r="E361" s="166">
        <v>100000000</v>
      </c>
      <c r="F361" s="166">
        <v>100000000</v>
      </c>
      <c r="G361" s="166">
        <v>100000000</v>
      </c>
      <c r="H361" s="166">
        <v>400000</v>
      </c>
      <c r="I361" s="166">
        <v>39796324.899999999</v>
      </c>
      <c r="J361" s="166">
        <v>0</v>
      </c>
      <c r="K361" s="166">
        <v>57151159.82</v>
      </c>
      <c r="L361" s="167">
        <f t="shared" si="0"/>
        <v>0.57151159819999997</v>
      </c>
      <c r="M361" s="166">
        <v>50942100.170000002</v>
      </c>
      <c r="N361" s="168">
        <f t="shared" si="1"/>
        <v>0.50942100170000004</v>
      </c>
      <c r="O361" s="166">
        <v>2652515.2799999998</v>
      </c>
      <c r="P361" s="168">
        <f t="shared" si="2"/>
        <v>2.6525152799999997E-2</v>
      </c>
      <c r="Q361" s="50">
        <v>2652515.2799999998</v>
      </c>
      <c r="R361" s="166"/>
      <c r="S361" s="166"/>
      <c r="T361" s="166"/>
      <c r="U361" s="44"/>
    </row>
    <row r="362" spans="1:21" hidden="1" x14ac:dyDescent="0.25">
      <c r="A362" s="165" t="s">
        <v>707</v>
      </c>
      <c r="B362" s="165" t="s">
        <v>326</v>
      </c>
      <c r="C362" s="165" t="s">
        <v>327</v>
      </c>
      <c r="D362" s="165" t="s">
        <v>85</v>
      </c>
      <c r="E362" s="166">
        <v>1200000</v>
      </c>
      <c r="F362" s="166">
        <v>1200000</v>
      </c>
      <c r="G362" s="166">
        <v>1200000</v>
      </c>
      <c r="H362" s="166">
        <v>0</v>
      </c>
      <c r="I362" s="166">
        <v>0</v>
      </c>
      <c r="J362" s="166">
        <v>888319.08</v>
      </c>
      <c r="K362" s="166">
        <v>39000</v>
      </c>
      <c r="L362" s="167">
        <f t="shared" si="0"/>
        <v>3.2500000000000001E-2</v>
      </c>
      <c r="M362" s="166">
        <v>39000</v>
      </c>
      <c r="N362" s="168">
        <f t="shared" si="1"/>
        <v>3.2500000000000001E-2</v>
      </c>
      <c r="O362" s="166">
        <v>272680.92</v>
      </c>
      <c r="P362" s="168">
        <f t="shared" si="2"/>
        <v>0.22723409999999999</v>
      </c>
      <c r="Q362" s="50">
        <v>272680.92</v>
      </c>
      <c r="R362" s="166"/>
      <c r="S362" s="166"/>
      <c r="T362" s="166"/>
      <c r="U362" s="44"/>
    </row>
    <row r="363" spans="1:21" hidden="1" x14ac:dyDescent="0.25">
      <c r="A363" s="165" t="s">
        <v>707</v>
      </c>
      <c r="B363" s="165" t="s">
        <v>240</v>
      </c>
      <c r="C363" s="165" t="s">
        <v>241</v>
      </c>
      <c r="D363" s="165" t="s">
        <v>85</v>
      </c>
      <c r="E363" s="166">
        <v>2700000</v>
      </c>
      <c r="F363" s="166">
        <v>2700000</v>
      </c>
      <c r="G363" s="166">
        <v>2700000</v>
      </c>
      <c r="H363" s="166">
        <v>0</v>
      </c>
      <c r="I363" s="166">
        <v>2575676.65</v>
      </c>
      <c r="J363" s="166">
        <v>0</v>
      </c>
      <c r="K363" s="166">
        <v>0</v>
      </c>
      <c r="L363" s="167">
        <f t="shared" si="0"/>
        <v>0</v>
      </c>
      <c r="M363" s="166">
        <v>0</v>
      </c>
      <c r="N363" s="168">
        <f t="shared" si="1"/>
        <v>0</v>
      </c>
      <c r="O363" s="166">
        <v>124323.35</v>
      </c>
      <c r="P363" s="168">
        <f t="shared" si="2"/>
        <v>4.6045685185185189E-2</v>
      </c>
      <c r="Q363" s="50">
        <v>124323.35</v>
      </c>
      <c r="R363" s="166"/>
      <c r="S363" s="166"/>
      <c r="T363" s="166"/>
      <c r="U363" s="44"/>
    </row>
    <row r="364" spans="1:21" hidden="1" x14ac:dyDescent="0.25">
      <c r="A364" s="165" t="s">
        <v>707</v>
      </c>
      <c r="B364" s="165" t="s">
        <v>242</v>
      </c>
      <c r="C364" s="165" t="s">
        <v>243</v>
      </c>
      <c r="D364" s="165" t="s">
        <v>85</v>
      </c>
      <c r="E364" s="166">
        <v>989658013</v>
      </c>
      <c r="F364" s="166">
        <v>903903450</v>
      </c>
      <c r="G364" s="166">
        <v>747069212</v>
      </c>
      <c r="H364" s="166">
        <v>0</v>
      </c>
      <c r="I364" s="166">
        <v>130296932.19</v>
      </c>
      <c r="J364" s="166">
        <v>9600000</v>
      </c>
      <c r="K364" s="166">
        <v>540706330.17999995</v>
      </c>
      <c r="L364" s="167">
        <f t="shared" si="0"/>
        <v>0.59819036002130532</v>
      </c>
      <c r="M364" s="166">
        <v>506212735.47000003</v>
      </c>
      <c r="N364" s="168">
        <f t="shared" si="1"/>
        <v>0.56002965302322949</v>
      </c>
      <c r="O364" s="166">
        <v>223300187.63</v>
      </c>
      <c r="P364" s="168">
        <f t="shared" si="2"/>
        <v>0.24703986651450438</v>
      </c>
      <c r="Q364" s="50">
        <v>66465949.630000003</v>
      </c>
      <c r="R364" s="166"/>
      <c r="S364" s="166"/>
      <c r="T364" s="166"/>
      <c r="U364" s="44"/>
    </row>
    <row r="365" spans="1:21" hidden="1" x14ac:dyDescent="0.25">
      <c r="A365" s="165" t="s">
        <v>707</v>
      </c>
      <c r="B365" s="165" t="s">
        <v>328</v>
      </c>
      <c r="C365" s="165" t="s">
        <v>329</v>
      </c>
      <c r="D365" s="165" t="s">
        <v>85</v>
      </c>
      <c r="E365" s="166">
        <v>94148000</v>
      </c>
      <c r="F365" s="166">
        <v>94148000</v>
      </c>
      <c r="G365" s="166">
        <v>93321861.359999999</v>
      </c>
      <c r="H365" s="166">
        <v>89764969.329999998</v>
      </c>
      <c r="I365" s="166">
        <v>0</v>
      </c>
      <c r="J365" s="166">
        <v>0</v>
      </c>
      <c r="K365" s="166">
        <v>3465098.52</v>
      </c>
      <c r="L365" s="167">
        <f t="shared" si="0"/>
        <v>3.6804802226282025E-2</v>
      </c>
      <c r="M365" s="166">
        <v>3465098.52</v>
      </c>
      <c r="N365" s="168">
        <f t="shared" si="1"/>
        <v>3.6804802226282025E-2</v>
      </c>
      <c r="O365" s="166">
        <v>917932.15</v>
      </c>
      <c r="P365" s="168">
        <f t="shared" si="2"/>
        <v>9.7498847559162171E-3</v>
      </c>
      <c r="Q365" s="50">
        <v>91793.51</v>
      </c>
      <c r="R365" s="166"/>
      <c r="S365" s="166"/>
      <c r="T365" s="166"/>
      <c r="U365" s="44"/>
    </row>
    <row r="366" spans="1:21" hidden="1" x14ac:dyDescent="0.25">
      <c r="A366" s="165" t="s">
        <v>707</v>
      </c>
      <c r="B366" s="165" t="s">
        <v>330</v>
      </c>
      <c r="C366" s="165" t="s">
        <v>331</v>
      </c>
      <c r="D366" s="165" t="s">
        <v>85</v>
      </c>
      <c r="E366" s="166">
        <v>92800000</v>
      </c>
      <c r="F366" s="166">
        <v>92800000</v>
      </c>
      <c r="G366" s="166">
        <v>92800000</v>
      </c>
      <c r="H366" s="166">
        <v>89764969.329999998</v>
      </c>
      <c r="I366" s="166">
        <v>0</v>
      </c>
      <c r="J366" s="166">
        <v>0</v>
      </c>
      <c r="K366" s="166">
        <v>3035030.34</v>
      </c>
      <c r="L366" s="167">
        <f t="shared" si="0"/>
        <v>3.2705068318965518E-2</v>
      </c>
      <c r="M366" s="166">
        <v>3035030.34</v>
      </c>
      <c r="N366" s="168">
        <f t="shared" si="1"/>
        <v>3.2705068318965518E-2</v>
      </c>
      <c r="O366" s="166">
        <v>0.33</v>
      </c>
      <c r="P366" s="168">
        <f t="shared" si="2"/>
        <v>3.5560344827586207E-9</v>
      </c>
      <c r="Q366" s="50">
        <v>0.33</v>
      </c>
      <c r="R366" s="166"/>
      <c r="S366" s="166"/>
      <c r="T366" s="166"/>
      <c r="U366" s="44"/>
    </row>
    <row r="367" spans="1:21" x14ac:dyDescent="0.25">
      <c r="A367" s="165" t="s">
        <v>707</v>
      </c>
      <c r="B367" s="165" t="s">
        <v>358</v>
      </c>
      <c r="C367" s="165" t="s">
        <v>359</v>
      </c>
      <c r="D367" s="165" t="s">
        <v>85</v>
      </c>
      <c r="E367" s="166">
        <v>1348000</v>
      </c>
      <c r="F367" s="166">
        <v>1348000</v>
      </c>
      <c r="G367" s="166">
        <v>521861.36</v>
      </c>
      <c r="H367" s="166">
        <v>0</v>
      </c>
      <c r="I367" s="166">
        <v>0</v>
      </c>
      <c r="J367" s="166">
        <v>0</v>
      </c>
      <c r="K367" s="166">
        <v>430068.18</v>
      </c>
      <c r="L367" s="167">
        <f t="shared" si="0"/>
        <v>0.31904167655786347</v>
      </c>
      <c r="M367" s="166">
        <v>430068.18</v>
      </c>
      <c r="N367" s="168">
        <f t="shared" si="1"/>
        <v>0.31904167655786347</v>
      </c>
      <c r="O367" s="166">
        <v>917931.82</v>
      </c>
      <c r="P367" s="168">
        <f t="shared" si="2"/>
        <v>0.68095832344213647</v>
      </c>
      <c r="Q367" s="50">
        <v>91793.18</v>
      </c>
      <c r="R367" s="166">
        <v>91793.18</v>
      </c>
      <c r="S367" s="166">
        <v>826138</v>
      </c>
      <c r="T367" s="166"/>
      <c r="U367" s="159"/>
    </row>
    <row r="368" spans="1:21" hidden="1" x14ac:dyDescent="0.25">
      <c r="A368" s="165" t="s">
        <v>707</v>
      </c>
      <c r="B368" s="165" t="s">
        <v>244</v>
      </c>
      <c r="C368" s="165" t="s">
        <v>245</v>
      </c>
      <c r="D368" s="165" t="s">
        <v>85</v>
      </c>
      <c r="E368" s="166">
        <v>448584938</v>
      </c>
      <c r="F368" s="166">
        <v>495089400</v>
      </c>
      <c r="G368" s="166">
        <v>495089400</v>
      </c>
      <c r="H368" s="166">
        <v>0</v>
      </c>
      <c r="I368" s="166">
        <v>202906064.24000001</v>
      </c>
      <c r="J368" s="166">
        <v>0</v>
      </c>
      <c r="K368" s="166">
        <v>2555535.23</v>
      </c>
      <c r="L368" s="167">
        <f t="shared" si="0"/>
        <v>5.1617651882670075E-3</v>
      </c>
      <c r="M368" s="166">
        <v>2555535.23</v>
      </c>
      <c r="N368" s="168">
        <f t="shared" si="1"/>
        <v>5.1617651882670075E-3</v>
      </c>
      <c r="O368" s="166">
        <v>289627800.52999997</v>
      </c>
      <c r="P368" s="168">
        <f t="shared" si="2"/>
        <v>0.58500101300896357</v>
      </c>
      <c r="Q368" s="50">
        <v>289627800.52999997</v>
      </c>
      <c r="R368" s="166"/>
      <c r="S368" s="166"/>
      <c r="T368" s="166"/>
      <c r="U368" s="44"/>
    </row>
    <row r="369" spans="1:21" x14ac:dyDescent="0.25">
      <c r="A369" s="165" t="s">
        <v>707</v>
      </c>
      <c r="B369" s="165" t="s">
        <v>246</v>
      </c>
      <c r="C369" s="165" t="s">
        <v>247</v>
      </c>
      <c r="D369" s="165" t="s">
        <v>85</v>
      </c>
      <c r="E369" s="166">
        <v>448584938</v>
      </c>
      <c r="F369" s="166">
        <v>495089400</v>
      </c>
      <c r="G369" s="166">
        <v>495089400</v>
      </c>
      <c r="H369" s="166">
        <v>0</v>
      </c>
      <c r="I369" s="166">
        <v>202906064.24000001</v>
      </c>
      <c r="J369" s="166">
        <v>0</v>
      </c>
      <c r="K369" s="166">
        <v>2555535.23</v>
      </c>
      <c r="L369" s="167">
        <f t="shared" si="0"/>
        <v>5.1617651882670075E-3</v>
      </c>
      <c r="M369" s="166">
        <v>2555535.23</v>
      </c>
      <c r="N369" s="168">
        <f t="shared" si="1"/>
        <v>5.1617651882670075E-3</v>
      </c>
      <c r="O369" s="166">
        <v>289627800.52999997</v>
      </c>
      <c r="P369" s="168">
        <f t="shared" si="2"/>
        <v>0.58500101300896357</v>
      </c>
      <c r="Q369" s="50">
        <v>289627800.52999997</v>
      </c>
      <c r="R369" s="166"/>
      <c r="S369" s="166"/>
      <c r="T369" s="166"/>
      <c r="U369" s="160"/>
    </row>
    <row r="370" spans="1:21" hidden="1" x14ac:dyDescent="0.25">
      <c r="A370" s="49" t="s">
        <v>707</v>
      </c>
      <c r="B370" s="49" t="s">
        <v>372</v>
      </c>
      <c r="C370" s="49" t="s">
        <v>373</v>
      </c>
      <c r="D370" s="49" t="s">
        <v>85</v>
      </c>
      <c r="E370" s="50">
        <v>581400000</v>
      </c>
      <c r="F370" s="50">
        <v>581400000</v>
      </c>
      <c r="G370" s="50">
        <v>581400000</v>
      </c>
      <c r="H370" s="50">
        <v>0</v>
      </c>
      <c r="I370" s="50">
        <v>463152406.95999998</v>
      </c>
      <c r="J370" s="50">
        <v>0</v>
      </c>
      <c r="K370" s="50">
        <v>118247593.04000001</v>
      </c>
      <c r="L370" s="151">
        <f t="shared" si="0"/>
        <v>0.20338423295493638</v>
      </c>
      <c r="M370" s="50">
        <v>118247593.04000001</v>
      </c>
      <c r="N370" s="152">
        <f t="shared" si="1"/>
        <v>0.20338423295493638</v>
      </c>
      <c r="O370" s="50">
        <v>0</v>
      </c>
      <c r="P370" s="152">
        <f t="shared" si="2"/>
        <v>0</v>
      </c>
      <c r="Q370" s="50">
        <v>0</v>
      </c>
      <c r="R370" s="50"/>
      <c r="S370" s="50"/>
      <c r="T370" s="50"/>
      <c r="U370" s="44"/>
    </row>
    <row r="371" spans="1:21" hidden="1" x14ac:dyDescent="0.25">
      <c r="A371" s="49" t="s">
        <v>707</v>
      </c>
      <c r="B371" s="49" t="s">
        <v>374</v>
      </c>
      <c r="C371" s="49" t="s">
        <v>375</v>
      </c>
      <c r="D371" s="49" t="s">
        <v>85</v>
      </c>
      <c r="E371" s="50">
        <v>581400000</v>
      </c>
      <c r="F371" s="50">
        <v>581400000</v>
      </c>
      <c r="G371" s="50">
        <v>581400000</v>
      </c>
      <c r="H371" s="50">
        <v>0</v>
      </c>
      <c r="I371" s="50">
        <v>463152406.95999998</v>
      </c>
      <c r="J371" s="50">
        <v>0</v>
      </c>
      <c r="K371" s="50">
        <v>118247593.04000001</v>
      </c>
      <c r="L371" s="151">
        <f t="shared" si="0"/>
        <v>0.20338423295493638</v>
      </c>
      <c r="M371" s="50">
        <v>118247593.04000001</v>
      </c>
      <c r="N371" s="152">
        <f t="shared" si="1"/>
        <v>0.20338423295493638</v>
      </c>
      <c r="O371" s="50">
        <v>0</v>
      </c>
      <c r="P371" s="152">
        <f t="shared" si="2"/>
        <v>0</v>
      </c>
      <c r="Q371" s="50">
        <v>0</v>
      </c>
      <c r="R371" s="50"/>
      <c r="S371" s="50"/>
      <c r="T371" s="50"/>
      <c r="U371" s="44"/>
    </row>
    <row r="372" spans="1:21" hidden="1" x14ac:dyDescent="0.25">
      <c r="A372" s="49" t="s">
        <v>707</v>
      </c>
      <c r="B372" s="49" t="s">
        <v>674</v>
      </c>
      <c r="C372" s="49" t="s">
        <v>710</v>
      </c>
      <c r="D372" s="49" t="s">
        <v>85</v>
      </c>
      <c r="E372" s="50">
        <v>581400000</v>
      </c>
      <c r="F372" s="50">
        <v>581400000</v>
      </c>
      <c r="G372" s="50">
        <v>581400000</v>
      </c>
      <c r="H372" s="50">
        <v>0</v>
      </c>
      <c r="I372" s="50">
        <v>463152406.95999998</v>
      </c>
      <c r="J372" s="50">
        <v>0</v>
      </c>
      <c r="K372" s="50">
        <v>118247593.04000001</v>
      </c>
      <c r="L372" s="151">
        <f t="shared" si="0"/>
        <v>0.20338423295493638</v>
      </c>
      <c r="M372" s="50">
        <v>118247593.04000001</v>
      </c>
      <c r="N372" s="152">
        <f t="shared" si="1"/>
        <v>0.20338423295493638</v>
      </c>
      <c r="O372" s="50">
        <v>0</v>
      </c>
      <c r="P372" s="152">
        <f t="shared" si="2"/>
        <v>0</v>
      </c>
      <c r="Q372" s="50">
        <v>0</v>
      </c>
      <c r="R372" s="50"/>
      <c r="S372" s="50"/>
      <c r="T372" s="50"/>
      <c r="U372" s="44"/>
    </row>
    <row r="373" spans="1:21" hidden="1" x14ac:dyDescent="0.25">
      <c r="A373" s="49">
        <v>214789001</v>
      </c>
      <c r="B373" s="49"/>
      <c r="C373" s="49"/>
      <c r="D373" s="49" t="s">
        <v>69</v>
      </c>
      <c r="E373" s="50">
        <v>27896892306</v>
      </c>
      <c r="F373" s="50">
        <v>27565207857</v>
      </c>
      <c r="G373" s="50">
        <v>27451956452.720001</v>
      </c>
      <c r="H373" s="50">
        <v>903102960.88</v>
      </c>
      <c r="I373" s="50">
        <v>1308543194.1199999</v>
      </c>
      <c r="J373" s="50">
        <v>3981836.43</v>
      </c>
      <c r="K373" s="50">
        <v>18639840292.529999</v>
      </c>
      <c r="L373" s="151">
        <f t="shared" si="0"/>
        <v>0.67620895112519663</v>
      </c>
      <c r="M373" s="50">
        <v>18617591489.009998</v>
      </c>
      <c r="N373" s="152">
        <f t="shared" si="1"/>
        <v>0.67540181759529838</v>
      </c>
      <c r="O373" s="50">
        <v>6709739573.04</v>
      </c>
      <c r="P373" s="152">
        <f t="shared" si="2"/>
        <v>0.24341334946023657</v>
      </c>
      <c r="Q373" s="50">
        <v>6596488168.7600002</v>
      </c>
      <c r="R373" s="50"/>
      <c r="S373" s="50"/>
      <c r="T373" s="50"/>
      <c r="U373" s="44"/>
    </row>
    <row r="374" spans="1:21" hidden="1" x14ac:dyDescent="0.25">
      <c r="A374" s="49" t="s">
        <v>711</v>
      </c>
      <c r="B374" s="49" t="s">
        <v>71</v>
      </c>
      <c r="C374" s="49" t="s">
        <v>72</v>
      </c>
      <c r="D374" s="49" t="s">
        <v>69</v>
      </c>
      <c r="E374" s="50">
        <v>13888392480</v>
      </c>
      <c r="F374" s="50">
        <v>13554210603</v>
      </c>
      <c r="G374" s="50">
        <v>13510210603</v>
      </c>
      <c r="H374" s="50">
        <v>0</v>
      </c>
      <c r="I374" s="50">
        <v>583709331</v>
      </c>
      <c r="J374" s="50">
        <v>0</v>
      </c>
      <c r="K374" s="50">
        <v>9694843797.4099998</v>
      </c>
      <c r="L374" s="151">
        <f t="shared" si="0"/>
        <v>0.71526436185551123</v>
      </c>
      <c r="M374" s="50">
        <v>9694843797.4099998</v>
      </c>
      <c r="N374" s="152">
        <f t="shared" si="1"/>
        <v>0.71526436185551123</v>
      </c>
      <c r="O374" s="50">
        <v>3275657474.5900002</v>
      </c>
      <c r="P374" s="152">
        <f t="shared" si="2"/>
        <v>0.24167084093152483</v>
      </c>
      <c r="Q374" s="50">
        <v>3231657474.5900002</v>
      </c>
      <c r="R374" s="50"/>
      <c r="S374" s="50"/>
      <c r="T374" s="50"/>
      <c r="U374" s="44"/>
    </row>
    <row r="375" spans="1:21" hidden="1" x14ac:dyDescent="0.25">
      <c r="A375" s="49" t="s">
        <v>711</v>
      </c>
      <c r="B375" s="49" t="s">
        <v>73</v>
      </c>
      <c r="C375" s="49" t="s">
        <v>74</v>
      </c>
      <c r="D375" s="49" t="s">
        <v>69</v>
      </c>
      <c r="E375" s="50">
        <v>5229936552</v>
      </c>
      <c r="F375" s="50">
        <v>5032025148</v>
      </c>
      <c r="G375" s="50">
        <v>5032025148</v>
      </c>
      <c r="H375" s="50">
        <v>0</v>
      </c>
      <c r="I375" s="50">
        <v>0</v>
      </c>
      <c r="J375" s="50">
        <v>0</v>
      </c>
      <c r="K375" s="50">
        <v>3948339191.1500001</v>
      </c>
      <c r="L375" s="151">
        <f t="shared" si="0"/>
        <v>0.78464218182997048</v>
      </c>
      <c r="M375" s="50">
        <v>3948339191.1500001</v>
      </c>
      <c r="N375" s="152">
        <f t="shared" si="1"/>
        <v>0.78464218182997048</v>
      </c>
      <c r="O375" s="50">
        <v>1083685956.8499999</v>
      </c>
      <c r="P375" s="152">
        <f t="shared" si="2"/>
        <v>0.21535781817002952</v>
      </c>
      <c r="Q375" s="50">
        <v>1083685956.8499999</v>
      </c>
      <c r="R375" s="50"/>
      <c r="S375" s="50"/>
      <c r="T375" s="50"/>
      <c r="U375" s="44"/>
    </row>
    <row r="376" spans="1:21" hidden="1" x14ac:dyDescent="0.25">
      <c r="A376" s="49" t="s">
        <v>711</v>
      </c>
      <c r="B376" s="49" t="s">
        <v>75</v>
      </c>
      <c r="C376" s="49" t="s">
        <v>76</v>
      </c>
      <c r="D376" s="49" t="s">
        <v>69</v>
      </c>
      <c r="E376" s="50">
        <v>5229936552</v>
      </c>
      <c r="F376" s="50">
        <v>5032025148</v>
      </c>
      <c r="G376" s="50">
        <v>5032025148</v>
      </c>
      <c r="H376" s="50">
        <v>0</v>
      </c>
      <c r="I376" s="50">
        <v>0</v>
      </c>
      <c r="J376" s="50">
        <v>0</v>
      </c>
      <c r="K376" s="50">
        <v>3948339191.1500001</v>
      </c>
      <c r="L376" s="151">
        <f t="shared" si="0"/>
        <v>0.78464218182997048</v>
      </c>
      <c r="M376" s="50">
        <v>3948339191.1500001</v>
      </c>
      <c r="N376" s="152">
        <f t="shared" si="1"/>
        <v>0.78464218182997048</v>
      </c>
      <c r="O376" s="50">
        <v>1083685956.8499999</v>
      </c>
      <c r="P376" s="152">
        <f t="shared" si="2"/>
        <v>0.21535781817002952</v>
      </c>
      <c r="Q376" s="50">
        <v>1083685956.8499999</v>
      </c>
      <c r="R376" s="50"/>
      <c r="S376" s="50"/>
      <c r="T376" s="50"/>
      <c r="U376" s="44"/>
    </row>
    <row r="377" spans="1:21" hidden="1" x14ac:dyDescent="0.25">
      <c r="A377" s="49" t="s">
        <v>711</v>
      </c>
      <c r="B377" s="49" t="s">
        <v>293</v>
      </c>
      <c r="C377" s="49" t="s">
        <v>294</v>
      </c>
      <c r="D377" s="49" t="s">
        <v>69</v>
      </c>
      <c r="E377" s="50">
        <v>26335200</v>
      </c>
      <c r="F377" s="50">
        <v>26335200</v>
      </c>
      <c r="G377" s="50">
        <v>26335200</v>
      </c>
      <c r="H377" s="50">
        <v>0</v>
      </c>
      <c r="I377" s="50">
        <v>0</v>
      </c>
      <c r="J377" s="50">
        <v>0</v>
      </c>
      <c r="K377" s="50">
        <v>4199753.17</v>
      </c>
      <c r="L377" s="151">
        <f t="shared" si="0"/>
        <v>0.15947299318023025</v>
      </c>
      <c r="M377" s="50">
        <v>4199753.17</v>
      </c>
      <c r="N377" s="152">
        <f t="shared" si="1"/>
        <v>0.15947299318023025</v>
      </c>
      <c r="O377" s="50">
        <v>22135446.829999998</v>
      </c>
      <c r="P377" s="152">
        <f t="shared" si="2"/>
        <v>0.84052700681976966</v>
      </c>
      <c r="Q377" s="50">
        <v>22135446.829999998</v>
      </c>
      <c r="R377" s="50"/>
      <c r="S377" s="50"/>
      <c r="T377" s="50"/>
      <c r="U377" s="44"/>
    </row>
    <row r="378" spans="1:21" hidden="1" x14ac:dyDescent="0.25">
      <c r="A378" s="49" t="s">
        <v>711</v>
      </c>
      <c r="B378" s="49" t="s">
        <v>339</v>
      </c>
      <c r="C378" s="49" t="s">
        <v>340</v>
      </c>
      <c r="D378" s="49" t="s">
        <v>69</v>
      </c>
      <c r="E378" s="50">
        <v>26335200</v>
      </c>
      <c r="F378" s="50">
        <v>26335200</v>
      </c>
      <c r="G378" s="50">
        <v>26335200</v>
      </c>
      <c r="H378" s="50">
        <v>0</v>
      </c>
      <c r="I378" s="50">
        <v>0</v>
      </c>
      <c r="J378" s="50">
        <v>0</v>
      </c>
      <c r="K378" s="50">
        <v>4199753.17</v>
      </c>
      <c r="L378" s="151">
        <f t="shared" si="0"/>
        <v>0.15947299318023025</v>
      </c>
      <c r="M378" s="50">
        <v>4199753.17</v>
      </c>
      <c r="N378" s="152">
        <f t="shared" si="1"/>
        <v>0.15947299318023025</v>
      </c>
      <c r="O378" s="50">
        <v>22135446.829999998</v>
      </c>
      <c r="P378" s="152">
        <f t="shared" si="2"/>
        <v>0.84052700681976966</v>
      </c>
      <c r="Q378" s="50">
        <v>22135446.829999998</v>
      </c>
      <c r="R378" s="50"/>
      <c r="S378" s="50"/>
      <c r="T378" s="50"/>
      <c r="U378" s="44"/>
    </row>
    <row r="379" spans="1:21" hidden="1" x14ac:dyDescent="0.25">
      <c r="A379" s="49" t="s">
        <v>711</v>
      </c>
      <c r="B379" s="49" t="s">
        <v>77</v>
      </c>
      <c r="C379" s="49" t="s">
        <v>78</v>
      </c>
      <c r="D379" s="49" t="s">
        <v>69</v>
      </c>
      <c r="E379" s="50">
        <v>6513497315</v>
      </c>
      <c r="F379" s="50">
        <v>6428205068</v>
      </c>
      <c r="G379" s="50">
        <v>6408205068</v>
      </c>
      <c r="H379" s="50">
        <v>0</v>
      </c>
      <c r="I379" s="50">
        <v>0</v>
      </c>
      <c r="J379" s="50">
        <v>0</v>
      </c>
      <c r="K379" s="50">
        <v>4298229101.0900002</v>
      </c>
      <c r="L379" s="151">
        <f t="shared" si="0"/>
        <v>0.66865152178900589</v>
      </c>
      <c r="M379" s="50">
        <v>4298229101.0900002</v>
      </c>
      <c r="N379" s="152">
        <f t="shared" si="1"/>
        <v>0.66865152178900589</v>
      </c>
      <c r="O379" s="50">
        <v>2129975966.9100001</v>
      </c>
      <c r="P379" s="152">
        <f t="shared" si="2"/>
        <v>0.33134847821099411</v>
      </c>
      <c r="Q379" s="50">
        <v>2109975966.9100001</v>
      </c>
      <c r="R379" s="50"/>
      <c r="S379" s="50"/>
      <c r="T379" s="50"/>
      <c r="U379" s="44"/>
    </row>
    <row r="380" spans="1:21" hidden="1" x14ac:dyDescent="0.25">
      <c r="A380" s="49" t="s">
        <v>711</v>
      </c>
      <c r="B380" s="49" t="s">
        <v>79</v>
      </c>
      <c r="C380" s="49" t="s">
        <v>80</v>
      </c>
      <c r="D380" s="49" t="s">
        <v>69</v>
      </c>
      <c r="E380" s="50">
        <v>1819317700</v>
      </c>
      <c r="F380" s="50">
        <v>1819317700</v>
      </c>
      <c r="G380" s="50">
        <v>1818117700</v>
      </c>
      <c r="H380" s="50">
        <v>0</v>
      </c>
      <c r="I380" s="50">
        <v>0</v>
      </c>
      <c r="J380" s="50">
        <v>0</v>
      </c>
      <c r="K380" s="50">
        <v>1258549177.51</v>
      </c>
      <c r="L380" s="151">
        <f t="shared" si="0"/>
        <v>0.69176987477778074</v>
      </c>
      <c r="M380" s="50">
        <v>1258549177.51</v>
      </c>
      <c r="N380" s="152">
        <f t="shared" si="1"/>
        <v>0.69176987477778074</v>
      </c>
      <c r="O380" s="50">
        <v>560768522.49000001</v>
      </c>
      <c r="P380" s="152">
        <f t="shared" si="2"/>
        <v>0.30823012522221932</v>
      </c>
      <c r="Q380" s="50">
        <v>559568522.49000001</v>
      </c>
      <c r="R380" s="50"/>
      <c r="S380" s="50"/>
      <c r="T380" s="50"/>
      <c r="U380" s="44"/>
    </row>
    <row r="381" spans="1:21" hidden="1" x14ac:dyDescent="0.25">
      <c r="A381" s="49" t="s">
        <v>711</v>
      </c>
      <c r="B381" s="49" t="s">
        <v>81</v>
      </c>
      <c r="C381" s="49" t="s">
        <v>82</v>
      </c>
      <c r="D381" s="49" t="s">
        <v>69</v>
      </c>
      <c r="E381" s="50">
        <v>1750176673</v>
      </c>
      <c r="F381" s="50">
        <v>1705397775</v>
      </c>
      <c r="G381" s="50">
        <v>1704597775</v>
      </c>
      <c r="H381" s="50">
        <v>0</v>
      </c>
      <c r="I381" s="50">
        <v>0</v>
      </c>
      <c r="J381" s="50">
        <v>0</v>
      </c>
      <c r="K381" s="50">
        <v>1302321586.1800001</v>
      </c>
      <c r="L381" s="151">
        <f t="shared" si="0"/>
        <v>0.7636468191006055</v>
      </c>
      <c r="M381" s="50">
        <v>1302321586.1800001</v>
      </c>
      <c r="N381" s="152">
        <f t="shared" si="1"/>
        <v>0.7636468191006055</v>
      </c>
      <c r="O381" s="50">
        <v>403076188.81999999</v>
      </c>
      <c r="P381" s="152">
        <f t="shared" si="2"/>
        <v>0.23635318089939455</v>
      </c>
      <c r="Q381" s="50">
        <v>402276188.81999999</v>
      </c>
      <c r="R381" s="50"/>
      <c r="S381" s="50"/>
      <c r="T381" s="50"/>
      <c r="U381" s="44"/>
    </row>
    <row r="382" spans="1:21" hidden="1" x14ac:dyDescent="0.25">
      <c r="A382" s="49" t="s">
        <v>711</v>
      </c>
      <c r="B382" s="49" t="s">
        <v>86</v>
      </c>
      <c r="C382" s="49" t="s">
        <v>87</v>
      </c>
      <c r="D382" s="49" t="s">
        <v>69</v>
      </c>
      <c r="E382" s="50">
        <v>831593600</v>
      </c>
      <c r="F382" s="50">
        <v>831593600</v>
      </c>
      <c r="G382" s="50">
        <v>813593600</v>
      </c>
      <c r="H382" s="50">
        <v>0</v>
      </c>
      <c r="I382" s="50">
        <v>0</v>
      </c>
      <c r="J382" s="50">
        <v>0</v>
      </c>
      <c r="K382" s="50">
        <v>804861075</v>
      </c>
      <c r="L382" s="151">
        <f t="shared" si="0"/>
        <v>0.96785385914465916</v>
      </c>
      <c r="M382" s="50">
        <v>804861075</v>
      </c>
      <c r="N382" s="152">
        <f t="shared" si="1"/>
        <v>0.96785385914465916</v>
      </c>
      <c r="O382" s="50">
        <v>26732525</v>
      </c>
      <c r="P382" s="152">
        <f t="shared" si="2"/>
        <v>3.2146140855340878E-2</v>
      </c>
      <c r="Q382" s="50">
        <v>8732525</v>
      </c>
      <c r="R382" s="50"/>
      <c r="S382" s="50"/>
      <c r="T382" s="50"/>
      <c r="U382" s="44"/>
    </row>
    <row r="383" spans="1:21" hidden="1" x14ac:dyDescent="0.25">
      <c r="A383" s="49" t="s">
        <v>711</v>
      </c>
      <c r="B383" s="49" t="s">
        <v>88</v>
      </c>
      <c r="C383" s="49" t="s">
        <v>89</v>
      </c>
      <c r="D383" s="49" t="s">
        <v>69</v>
      </c>
      <c r="E383" s="50">
        <v>1207376800</v>
      </c>
      <c r="F383" s="50">
        <v>1188640303</v>
      </c>
      <c r="G383" s="50">
        <v>1188640303</v>
      </c>
      <c r="H383" s="50">
        <v>0</v>
      </c>
      <c r="I383" s="50">
        <v>0</v>
      </c>
      <c r="J383" s="50">
        <v>0</v>
      </c>
      <c r="K383" s="50">
        <v>932108818.78999996</v>
      </c>
      <c r="L383" s="151">
        <f t="shared" si="0"/>
        <v>0.78418072854963594</v>
      </c>
      <c r="M383" s="50">
        <v>932108818.78999996</v>
      </c>
      <c r="N383" s="152">
        <f t="shared" si="1"/>
        <v>0.78418072854963594</v>
      </c>
      <c r="O383" s="50">
        <v>256531484.21000001</v>
      </c>
      <c r="P383" s="152">
        <f t="shared" si="2"/>
        <v>0.21581927145036409</v>
      </c>
      <c r="Q383" s="50">
        <v>256531484.21000001</v>
      </c>
      <c r="R383" s="50"/>
      <c r="S383" s="50"/>
      <c r="T383" s="50"/>
      <c r="U383" s="44"/>
    </row>
    <row r="384" spans="1:21" hidden="1" x14ac:dyDescent="0.25">
      <c r="A384" s="49" t="s">
        <v>711</v>
      </c>
      <c r="B384" s="49" t="s">
        <v>83</v>
      </c>
      <c r="C384" s="49" t="s">
        <v>84</v>
      </c>
      <c r="D384" s="49" t="s">
        <v>85</v>
      </c>
      <c r="E384" s="50">
        <v>905032542</v>
      </c>
      <c r="F384" s="50">
        <v>883255690</v>
      </c>
      <c r="G384" s="50">
        <v>883255690</v>
      </c>
      <c r="H384" s="50">
        <v>0</v>
      </c>
      <c r="I384" s="50">
        <v>0</v>
      </c>
      <c r="J384" s="50">
        <v>0</v>
      </c>
      <c r="K384" s="50">
        <v>388443.61</v>
      </c>
      <c r="L384" s="151">
        <f t="shared" si="0"/>
        <v>4.3978613939073518E-4</v>
      </c>
      <c r="M384" s="50">
        <v>388443.61</v>
      </c>
      <c r="N384" s="152">
        <f t="shared" si="1"/>
        <v>4.3978613939073518E-4</v>
      </c>
      <c r="O384" s="50">
        <v>882867246.38999999</v>
      </c>
      <c r="P384" s="152">
        <f t="shared" si="2"/>
        <v>0.99956021386060923</v>
      </c>
      <c r="Q384" s="50">
        <v>882867246.38999999</v>
      </c>
      <c r="R384" s="50"/>
      <c r="S384" s="50"/>
      <c r="T384" s="50"/>
      <c r="U384" s="44"/>
    </row>
    <row r="385" spans="1:21" hidden="1" x14ac:dyDescent="0.25">
      <c r="A385" s="49" t="s">
        <v>711</v>
      </c>
      <c r="B385" s="49" t="s">
        <v>90</v>
      </c>
      <c r="C385" s="49" t="s">
        <v>91</v>
      </c>
      <c r="D385" s="49" t="s">
        <v>69</v>
      </c>
      <c r="E385" s="50">
        <v>1059311707</v>
      </c>
      <c r="F385" s="50">
        <v>1033822594</v>
      </c>
      <c r="G385" s="50">
        <v>1033822594</v>
      </c>
      <c r="H385" s="50">
        <v>0</v>
      </c>
      <c r="I385" s="50">
        <v>303229660</v>
      </c>
      <c r="J385" s="50">
        <v>0</v>
      </c>
      <c r="K385" s="50">
        <v>722662882</v>
      </c>
      <c r="L385" s="151">
        <f t="shared" si="0"/>
        <v>0.69902020539512411</v>
      </c>
      <c r="M385" s="50">
        <v>722662882</v>
      </c>
      <c r="N385" s="152">
        <f t="shared" si="1"/>
        <v>0.69902020539512411</v>
      </c>
      <c r="O385" s="50">
        <v>7930052</v>
      </c>
      <c r="P385" s="152">
        <f t="shared" si="2"/>
        <v>7.6706120044422246E-3</v>
      </c>
      <c r="Q385" s="50">
        <v>7930052</v>
      </c>
      <c r="R385" s="50"/>
      <c r="S385" s="50"/>
      <c r="T385" s="50"/>
      <c r="U385" s="44"/>
    </row>
    <row r="386" spans="1:21" hidden="1" x14ac:dyDescent="0.25">
      <c r="A386" s="49" t="s">
        <v>711</v>
      </c>
      <c r="B386" s="49" t="s">
        <v>421</v>
      </c>
      <c r="C386" s="49" t="s">
        <v>697</v>
      </c>
      <c r="D386" s="49" t="s">
        <v>69</v>
      </c>
      <c r="E386" s="50">
        <v>1004988079</v>
      </c>
      <c r="F386" s="50">
        <v>980806100</v>
      </c>
      <c r="G386" s="50">
        <v>980806100</v>
      </c>
      <c r="H386" s="50">
        <v>0</v>
      </c>
      <c r="I386" s="50">
        <v>287679471</v>
      </c>
      <c r="J386" s="50">
        <v>0</v>
      </c>
      <c r="K386" s="50">
        <v>685603246</v>
      </c>
      <c r="L386" s="151">
        <f t="shared" si="0"/>
        <v>0.69902016922610899</v>
      </c>
      <c r="M386" s="50">
        <v>685603246</v>
      </c>
      <c r="N386" s="152">
        <f t="shared" si="1"/>
        <v>0.69902016922610899</v>
      </c>
      <c r="O386" s="50">
        <v>7523383</v>
      </c>
      <c r="P386" s="152">
        <f t="shared" si="2"/>
        <v>7.670611958877499E-3</v>
      </c>
      <c r="Q386" s="50">
        <v>7523383</v>
      </c>
      <c r="R386" s="50"/>
      <c r="S386" s="50"/>
      <c r="T386" s="50"/>
      <c r="U386" s="44"/>
    </row>
    <row r="387" spans="1:21" hidden="1" x14ac:dyDescent="0.25">
      <c r="A387" s="49" t="s">
        <v>711</v>
      </c>
      <c r="B387" s="49" t="s">
        <v>438</v>
      </c>
      <c r="C387" s="49" t="s">
        <v>95</v>
      </c>
      <c r="D387" s="49" t="s">
        <v>69</v>
      </c>
      <c r="E387" s="50">
        <v>54323628</v>
      </c>
      <c r="F387" s="50">
        <v>53016494</v>
      </c>
      <c r="G387" s="50">
        <v>53016494</v>
      </c>
      <c r="H387" s="50">
        <v>0</v>
      </c>
      <c r="I387" s="50">
        <v>15550189</v>
      </c>
      <c r="J387" s="50">
        <v>0</v>
      </c>
      <c r="K387" s="50">
        <v>37059636</v>
      </c>
      <c r="L387" s="151">
        <f t="shared" si="0"/>
        <v>0.69902087452255901</v>
      </c>
      <c r="M387" s="50">
        <v>37059636</v>
      </c>
      <c r="N387" s="152">
        <f t="shared" si="1"/>
        <v>0.69902087452255901</v>
      </c>
      <c r="O387" s="50">
        <v>406669</v>
      </c>
      <c r="P387" s="152">
        <f t="shared" si="2"/>
        <v>7.670612847390474E-3</v>
      </c>
      <c r="Q387" s="50">
        <v>406669</v>
      </c>
      <c r="R387" s="50"/>
      <c r="S387" s="50"/>
      <c r="T387" s="50"/>
      <c r="U387" s="44"/>
    </row>
    <row r="388" spans="1:21" hidden="1" x14ac:dyDescent="0.25">
      <c r="A388" s="49" t="s">
        <v>711</v>
      </c>
      <c r="B388" s="49" t="s">
        <v>96</v>
      </c>
      <c r="C388" s="49" t="s">
        <v>97</v>
      </c>
      <c r="D388" s="49" t="s">
        <v>69</v>
      </c>
      <c r="E388" s="50">
        <v>1059311706</v>
      </c>
      <c r="F388" s="50">
        <v>1033822593</v>
      </c>
      <c r="G388" s="50">
        <v>1009822593</v>
      </c>
      <c r="H388" s="50">
        <v>0</v>
      </c>
      <c r="I388" s="50">
        <v>280479671</v>
      </c>
      <c r="J388" s="50">
        <v>0</v>
      </c>
      <c r="K388" s="50">
        <v>721412870</v>
      </c>
      <c r="L388" s="151">
        <f t="shared" si="0"/>
        <v>0.69781108952800763</v>
      </c>
      <c r="M388" s="50">
        <v>721412870</v>
      </c>
      <c r="N388" s="152">
        <f t="shared" si="1"/>
        <v>0.69781108952800763</v>
      </c>
      <c r="O388" s="50">
        <v>31930052</v>
      </c>
      <c r="P388" s="152">
        <f t="shared" si="2"/>
        <v>3.0885426780376042E-2</v>
      </c>
      <c r="Q388" s="50">
        <v>7930052</v>
      </c>
      <c r="R388" s="50"/>
      <c r="S388" s="50"/>
      <c r="T388" s="50"/>
      <c r="U388" s="44"/>
    </row>
    <row r="389" spans="1:21" hidden="1" x14ac:dyDescent="0.25">
      <c r="A389" s="49" t="s">
        <v>711</v>
      </c>
      <c r="B389" s="49" t="s">
        <v>456</v>
      </c>
      <c r="C389" s="49" t="s">
        <v>698</v>
      </c>
      <c r="D389" s="49" t="s">
        <v>69</v>
      </c>
      <c r="E389" s="50">
        <v>570398650</v>
      </c>
      <c r="F389" s="50">
        <v>556673743</v>
      </c>
      <c r="G389" s="50">
        <v>556673743</v>
      </c>
      <c r="H389" s="50">
        <v>0</v>
      </c>
      <c r="I389" s="50">
        <v>164527559</v>
      </c>
      <c r="J389" s="50">
        <v>0</v>
      </c>
      <c r="K389" s="50">
        <v>387876156</v>
      </c>
      <c r="L389" s="151">
        <f t="shared" si="0"/>
        <v>0.69677465638971225</v>
      </c>
      <c r="M389" s="50">
        <v>387876156</v>
      </c>
      <c r="N389" s="152">
        <f t="shared" si="1"/>
        <v>0.69677465638971225</v>
      </c>
      <c r="O389" s="50">
        <v>4270028</v>
      </c>
      <c r="P389" s="152">
        <f t="shared" si="2"/>
        <v>7.6706114734066055E-3</v>
      </c>
      <c r="Q389" s="50">
        <v>4270028</v>
      </c>
      <c r="R389" s="50"/>
      <c r="S389" s="50"/>
      <c r="T389" s="50"/>
      <c r="U389" s="44"/>
    </row>
    <row r="390" spans="1:21" hidden="1" x14ac:dyDescent="0.25">
      <c r="A390" s="49" t="s">
        <v>711</v>
      </c>
      <c r="B390" s="49" t="s">
        <v>473</v>
      </c>
      <c r="C390" s="49" t="s">
        <v>699</v>
      </c>
      <c r="D390" s="49" t="s">
        <v>69</v>
      </c>
      <c r="E390" s="50">
        <v>162970985</v>
      </c>
      <c r="F390" s="50">
        <v>159049583</v>
      </c>
      <c r="G390" s="50">
        <v>159049583</v>
      </c>
      <c r="H390" s="50">
        <v>0</v>
      </c>
      <c r="I390" s="50">
        <v>46650670</v>
      </c>
      <c r="J390" s="50">
        <v>0</v>
      </c>
      <c r="K390" s="50">
        <v>111178905</v>
      </c>
      <c r="L390" s="151">
        <f t="shared" si="0"/>
        <v>0.69902041176681362</v>
      </c>
      <c r="M390" s="50">
        <v>111178905</v>
      </c>
      <c r="N390" s="152">
        <f t="shared" si="1"/>
        <v>0.69902041176681362</v>
      </c>
      <c r="O390" s="50">
        <v>1220008</v>
      </c>
      <c r="P390" s="152">
        <f t="shared" si="2"/>
        <v>7.670614263729318E-3</v>
      </c>
      <c r="Q390" s="50">
        <v>1220008</v>
      </c>
      <c r="R390" s="50"/>
      <c r="S390" s="50"/>
      <c r="T390" s="50"/>
      <c r="U390" s="44"/>
    </row>
    <row r="391" spans="1:21" hidden="1" x14ac:dyDescent="0.25">
      <c r="A391" s="49" t="s">
        <v>711</v>
      </c>
      <c r="B391" s="49" t="s">
        <v>490</v>
      </c>
      <c r="C391" s="49" t="s">
        <v>700</v>
      </c>
      <c r="D391" s="49" t="s">
        <v>69</v>
      </c>
      <c r="E391" s="50">
        <v>325942071</v>
      </c>
      <c r="F391" s="50">
        <v>318099267</v>
      </c>
      <c r="G391" s="50">
        <v>294099267</v>
      </c>
      <c r="H391" s="50">
        <v>0</v>
      </c>
      <c r="I391" s="50">
        <v>69301442</v>
      </c>
      <c r="J391" s="50">
        <v>0</v>
      </c>
      <c r="K391" s="50">
        <v>222357809</v>
      </c>
      <c r="L391" s="151">
        <f t="shared" si="0"/>
        <v>0.69902018667650689</v>
      </c>
      <c r="M391" s="50">
        <v>222357809</v>
      </c>
      <c r="N391" s="152">
        <f t="shared" si="1"/>
        <v>0.69902018667650689</v>
      </c>
      <c r="O391" s="50">
        <v>26440016</v>
      </c>
      <c r="P391" s="152">
        <f t="shared" si="2"/>
        <v>8.3118758019646743E-2</v>
      </c>
      <c r="Q391" s="50">
        <v>2440016</v>
      </c>
      <c r="R391" s="50"/>
      <c r="S391" s="50"/>
      <c r="T391" s="50"/>
      <c r="U391" s="44"/>
    </row>
    <row r="392" spans="1:21" hidden="1" x14ac:dyDescent="0.25">
      <c r="A392" s="49" t="s">
        <v>711</v>
      </c>
      <c r="B392" s="49" t="s">
        <v>104</v>
      </c>
      <c r="C392" s="49" t="s">
        <v>105</v>
      </c>
      <c r="D392" s="49" t="s">
        <v>69</v>
      </c>
      <c r="E392" s="50">
        <v>3955829992</v>
      </c>
      <c r="F392" s="50">
        <v>3999861533</v>
      </c>
      <c r="G392" s="50">
        <v>3940945577.71</v>
      </c>
      <c r="H392" s="50">
        <v>0</v>
      </c>
      <c r="I392" s="50">
        <v>92616114.680000007</v>
      </c>
      <c r="J392" s="50">
        <v>0</v>
      </c>
      <c r="K392" s="50">
        <v>2993294194.1500001</v>
      </c>
      <c r="L392" s="151">
        <f t="shared" si="0"/>
        <v>0.74834945396346053</v>
      </c>
      <c r="M392" s="50">
        <v>2993290158.1500001</v>
      </c>
      <c r="N392" s="152">
        <f t="shared" si="1"/>
        <v>0.74834844492853103</v>
      </c>
      <c r="O392" s="50">
        <v>913951224.16999996</v>
      </c>
      <c r="P392" s="152">
        <f t="shared" si="2"/>
        <v>0.22849571582157066</v>
      </c>
      <c r="Q392" s="50">
        <v>855035268.88</v>
      </c>
      <c r="R392" s="50"/>
      <c r="S392" s="50"/>
      <c r="T392" s="50"/>
      <c r="U392" s="44"/>
    </row>
    <row r="393" spans="1:21" hidden="1" x14ac:dyDescent="0.25">
      <c r="A393" s="49" t="s">
        <v>711</v>
      </c>
      <c r="B393" s="49" t="s">
        <v>112</v>
      </c>
      <c r="C393" s="49" t="s">
        <v>113</v>
      </c>
      <c r="D393" s="49" t="s">
        <v>69</v>
      </c>
      <c r="E393" s="50">
        <v>3954369992</v>
      </c>
      <c r="F393" s="50">
        <v>3999201533</v>
      </c>
      <c r="G393" s="50">
        <v>3940879577.71</v>
      </c>
      <c r="H393" s="50">
        <v>0</v>
      </c>
      <c r="I393" s="50">
        <v>92616114.680000007</v>
      </c>
      <c r="J393" s="50">
        <v>0</v>
      </c>
      <c r="K393" s="50">
        <v>2993294194.1500001</v>
      </c>
      <c r="L393" s="151">
        <f t="shared" si="0"/>
        <v>0.74847295627649479</v>
      </c>
      <c r="M393" s="50">
        <v>2993290158.1500001</v>
      </c>
      <c r="N393" s="152">
        <f t="shared" si="1"/>
        <v>0.74847194707504128</v>
      </c>
      <c r="O393" s="50">
        <v>913291224.16999996</v>
      </c>
      <c r="P393" s="152">
        <f t="shared" si="2"/>
        <v>0.22836839219875343</v>
      </c>
      <c r="Q393" s="50">
        <v>854969268.88</v>
      </c>
      <c r="R393" s="50"/>
      <c r="S393" s="50"/>
      <c r="T393" s="50"/>
      <c r="U393" s="44"/>
    </row>
    <row r="394" spans="1:21" hidden="1" x14ac:dyDescent="0.25">
      <c r="A394" s="49" t="s">
        <v>711</v>
      </c>
      <c r="B394" s="49" t="s">
        <v>114</v>
      </c>
      <c r="C394" s="49" t="s">
        <v>115</v>
      </c>
      <c r="D394" s="49" t="s">
        <v>69</v>
      </c>
      <c r="E394" s="50">
        <v>2664489000</v>
      </c>
      <c r="F394" s="50">
        <v>2664489000</v>
      </c>
      <c r="G394" s="50">
        <v>2664489000</v>
      </c>
      <c r="H394" s="50">
        <v>0</v>
      </c>
      <c r="I394" s="50">
        <v>5714032.5599999996</v>
      </c>
      <c r="J394" s="50">
        <v>0</v>
      </c>
      <c r="K394" s="50">
        <v>1981777046.3599999</v>
      </c>
      <c r="L394" s="151">
        <f t="shared" si="0"/>
        <v>0.74377377664535294</v>
      </c>
      <c r="M394" s="50">
        <v>1981777046.3599999</v>
      </c>
      <c r="N394" s="152">
        <f t="shared" si="1"/>
        <v>0.74377377664535294</v>
      </c>
      <c r="O394" s="50">
        <v>676997921.08000004</v>
      </c>
      <c r="P394" s="152">
        <f t="shared" si="2"/>
        <v>0.25408170988133189</v>
      </c>
      <c r="Q394" s="50">
        <v>676997921.08000004</v>
      </c>
      <c r="R394" s="50"/>
      <c r="S394" s="50"/>
      <c r="T394" s="50"/>
      <c r="U394" s="44"/>
    </row>
    <row r="395" spans="1:21" hidden="1" x14ac:dyDescent="0.25">
      <c r="A395" s="49" t="s">
        <v>711</v>
      </c>
      <c r="B395" s="49" t="s">
        <v>116</v>
      </c>
      <c r="C395" s="49" t="s">
        <v>117</v>
      </c>
      <c r="D395" s="49" t="s">
        <v>69</v>
      </c>
      <c r="E395" s="50">
        <v>1052390992</v>
      </c>
      <c r="F395" s="50">
        <v>1097222533</v>
      </c>
      <c r="G395" s="50">
        <v>1097222533</v>
      </c>
      <c r="H395" s="50">
        <v>0</v>
      </c>
      <c r="I395" s="50">
        <v>69373814.140000001</v>
      </c>
      <c r="J395" s="50">
        <v>0</v>
      </c>
      <c r="K395" s="50">
        <v>920704612.86000001</v>
      </c>
      <c r="L395" s="151">
        <f t="shared" si="0"/>
        <v>0.83912295379373147</v>
      </c>
      <c r="M395" s="50">
        <v>920704612.86000001</v>
      </c>
      <c r="N395" s="152">
        <f t="shared" si="1"/>
        <v>0.83912295379373147</v>
      </c>
      <c r="O395" s="50">
        <v>107144106</v>
      </c>
      <c r="P395" s="152">
        <f t="shared" si="2"/>
        <v>9.7650296797176697E-2</v>
      </c>
      <c r="Q395" s="50">
        <v>107144106</v>
      </c>
      <c r="R395" s="50"/>
      <c r="S395" s="50"/>
      <c r="T395" s="50"/>
      <c r="U395" s="44"/>
    </row>
    <row r="396" spans="1:21" x14ac:dyDescent="0.25">
      <c r="A396" s="165" t="s">
        <v>711</v>
      </c>
      <c r="B396" s="165" t="s">
        <v>120</v>
      </c>
      <c r="C396" s="165" t="s">
        <v>121</v>
      </c>
      <c r="D396" s="165" t="s">
        <v>69</v>
      </c>
      <c r="E396" s="166">
        <v>124690000</v>
      </c>
      <c r="F396" s="166">
        <v>124690000</v>
      </c>
      <c r="G396" s="166">
        <v>124690000</v>
      </c>
      <c r="H396" s="166">
        <v>0</v>
      </c>
      <c r="I396" s="166">
        <v>14772132.470000001</v>
      </c>
      <c r="J396" s="166">
        <v>0</v>
      </c>
      <c r="K396" s="166">
        <v>47572867.530000001</v>
      </c>
      <c r="L396" s="167">
        <f t="shared" si="0"/>
        <v>0.38152913248857168</v>
      </c>
      <c r="M396" s="166">
        <v>47572867.530000001</v>
      </c>
      <c r="N396" s="168">
        <f t="shared" si="1"/>
        <v>0.38152913248857168</v>
      </c>
      <c r="O396" s="166">
        <v>62345000</v>
      </c>
      <c r="P396" s="168">
        <f t="shared" si="2"/>
        <v>0.5</v>
      </c>
      <c r="Q396" s="50">
        <v>62345000</v>
      </c>
      <c r="R396" s="166"/>
      <c r="S396" s="166"/>
      <c r="T396" s="166"/>
      <c r="U396" s="160"/>
    </row>
    <row r="397" spans="1:21" x14ac:dyDescent="0.25">
      <c r="A397" s="165" t="s">
        <v>711</v>
      </c>
      <c r="B397" s="165" t="s">
        <v>122</v>
      </c>
      <c r="C397" s="165" t="s">
        <v>123</v>
      </c>
      <c r="D397" s="165" t="s">
        <v>69</v>
      </c>
      <c r="E397" s="166">
        <v>112800000</v>
      </c>
      <c r="F397" s="166">
        <v>112800000</v>
      </c>
      <c r="G397" s="166">
        <v>54478044.710000001</v>
      </c>
      <c r="H397" s="166">
        <v>0</v>
      </c>
      <c r="I397" s="166">
        <v>2756135.51</v>
      </c>
      <c r="J397" s="166">
        <v>0</v>
      </c>
      <c r="K397" s="166">
        <v>43239667.399999999</v>
      </c>
      <c r="L397" s="167">
        <f t="shared" si="0"/>
        <v>0.38333038475177306</v>
      </c>
      <c r="M397" s="166">
        <v>43235631.399999999</v>
      </c>
      <c r="N397" s="168">
        <f t="shared" si="1"/>
        <v>0.38329460460992909</v>
      </c>
      <c r="O397" s="166">
        <v>66804197.090000004</v>
      </c>
      <c r="P397" s="168">
        <f t="shared" si="2"/>
        <v>0.59223578980496461</v>
      </c>
      <c r="Q397" s="50">
        <v>8482241.8000000007</v>
      </c>
      <c r="R397" s="166">
        <v>6680419.71</v>
      </c>
      <c r="S397" s="166">
        <f>3731955+49700000</f>
        <v>53431955</v>
      </c>
      <c r="T397" s="166"/>
      <c r="U397" s="160"/>
    </row>
    <row r="398" spans="1:21" hidden="1" x14ac:dyDescent="0.25">
      <c r="A398" s="165" t="s">
        <v>711</v>
      </c>
      <c r="B398" s="165" t="s">
        <v>134</v>
      </c>
      <c r="C398" s="165" t="s">
        <v>135</v>
      </c>
      <c r="D398" s="165" t="s">
        <v>69</v>
      </c>
      <c r="E398" s="166">
        <v>340000</v>
      </c>
      <c r="F398" s="166">
        <v>340000</v>
      </c>
      <c r="G398" s="166">
        <v>34000</v>
      </c>
      <c r="H398" s="166">
        <v>0</v>
      </c>
      <c r="I398" s="166">
        <v>0</v>
      </c>
      <c r="J398" s="166">
        <v>0</v>
      </c>
      <c r="K398" s="166">
        <v>0</v>
      </c>
      <c r="L398" s="167">
        <f t="shared" si="0"/>
        <v>0</v>
      </c>
      <c r="M398" s="166">
        <v>0</v>
      </c>
      <c r="N398" s="168">
        <f t="shared" si="1"/>
        <v>0</v>
      </c>
      <c r="O398" s="166">
        <v>340000</v>
      </c>
      <c r="P398" s="168">
        <f t="shared" si="2"/>
        <v>1</v>
      </c>
      <c r="Q398" s="50">
        <v>34000</v>
      </c>
      <c r="R398" s="166"/>
      <c r="S398" s="166"/>
      <c r="T398" s="166"/>
      <c r="U398" s="44"/>
    </row>
    <row r="399" spans="1:21" x14ac:dyDescent="0.25">
      <c r="A399" s="165" t="s">
        <v>711</v>
      </c>
      <c r="B399" s="165" t="s">
        <v>346</v>
      </c>
      <c r="C399" s="165" t="s">
        <v>347</v>
      </c>
      <c r="D399" s="165" t="s">
        <v>69</v>
      </c>
      <c r="E399" s="166">
        <v>180000</v>
      </c>
      <c r="F399" s="166">
        <v>180000</v>
      </c>
      <c r="G399" s="166">
        <v>18000</v>
      </c>
      <c r="H399" s="166">
        <v>0</v>
      </c>
      <c r="I399" s="166">
        <v>0</v>
      </c>
      <c r="J399" s="166">
        <v>0</v>
      </c>
      <c r="K399" s="166">
        <v>0</v>
      </c>
      <c r="L399" s="167">
        <f t="shared" si="0"/>
        <v>0</v>
      </c>
      <c r="M399" s="166">
        <v>0</v>
      </c>
      <c r="N399" s="168">
        <f t="shared" si="1"/>
        <v>0</v>
      </c>
      <c r="O399" s="166">
        <v>180000</v>
      </c>
      <c r="P399" s="168">
        <f t="shared" si="2"/>
        <v>1</v>
      </c>
      <c r="Q399" s="50">
        <v>18000</v>
      </c>
      <c r="R399" s="166"/>
      <c r="S399" s="166">
        <v>162000</v>
      </c>
      <c r="T399" s="166"/>
      <c r="U399" s="159"/>
    </row>
    <row r="400" spans="1:21" x14ac:dyDescent="0.25">
      <c r="A400" s="165" t="s">
        <v>711</v>
      </c>
      <c r="B400" s="165" t="s">
        <v>138</v>
      </c>
      <c r="C400" s="165" t="s">
        <v>139</v>
      </c>
      <c r="D400" s="165" t="s">
        <v>69</v>
      </c>
      <c r="E400" s="166">
        <v>160000</v>
      </c>
      <c r="F400" s="166">
        <v>160000</v>
      </c>
      <c r="G400" s="166">
        <v>16000</v>
      </c>
      <c r="H400" s="166">
        <v>0</v>
      </c>
      <c r="I400" s="166">
        <v>0</v>
      </c>
      <c r="J400" s="166">
        <v>0</v>
      </c>
      <c r="K400" s="166">
        <v>0</v>
      </c>
      <c r="L400" s="167">
        <f t="shared" si="0"/>
        <v>0</v>
      </c>
      <c r="M400" s="166">
        <v>0</v>
      </c>
      <c r="N400" s="168">
        <f t="shared" si="1"/>
        <v>0</v>
      </c>
      <c r="O400" s="166">
        <v>160000</v>
      </c>
      <c r="P400" s="168">
        <f t="shared" si="2"/>
        <v>1</v>
      </c>
      <c r="Q400" s="50">
        <v>16000</v>
      </c>
      <c r="R400" s="166">
        <v>16000</v>
      </c>
      <c r="S400" s="166"/>
      <c r="T400" s="166"/>
      <c r="U400" s="159"/>
    </row>
    <row r="401" spans="1:21" hidden="1" x14ac:dyDescent="0.25">
      <c r="A401" s="165" t="s">
        <v>711</v>
      </c>
      <c r="B401" s="165" t="s">
        <v>140</v>
      </c>
      <c r="C401" s="165" t="s">
        <v>141</v>
      </c>
      <c r="D401" s="165" t="s">
        <v>69</v>
      </c>
      <c r="E401" s="166">
        <v>0</v>
      </c>
      <c r="F401" s="166">
        <v>0</v>
      </c>
      <c r="G401" s="166">
        <v>0</v>
      </c>
      <c r="H401" s="166">
        <v>0</v>
      </c>
      <c r="I401" s="166">
        <v>0</v>
      </c>
      <c r="J401" s="166">
        <v>0</v>
      </c>
      <c r="K401" s="166">
        <v>0</v>
      </c>
      <c r="L401" s="167" t="e">
        <f t="shared" si="0"/>
        <v>#DIV/0!</v>
      </c>
      <c r="M401" s="166">
        <v>0</v>
      </c>
      <c r="N401" s="168" t="e">
        <f t="shared" si="1"/>
        <v>#DIV/0!</v>
      </c>
      <c r="O401" s="166">
        <v>0</v>
      </c>
      <c r="P401" s="168" t="e">
        <f t="shared" si="2"/>
        <v>#DIV/0!</v>
      </c>
      <c r="Q401" s="50">
        <v>0</v>
      </c>
      <c r="R401" s="166"/>
      <c r="S401" s="166"/>
      <c r="T401" s="166"/>
      <c r="U401" s="159"/>
    </row>
    <row r="402" spans="1:21" hidden="1" x14ac:dyDescent="0.25">
      <c r="A402" s="165" t="s">
        <v>711</v>
      </c>
      <c r="B402" s="165" t="s">
        <v>144</v>
      </c>
      <c r="C402" s="165" t="s">
        <v>145</v>
      </c>
      <c r="D402" s="165" t="s">
        <v>69</v>
      </c>
      <c r="E402" s="166">
        <v>0</v>
      </c>
      <c r="F402" s="166">
        <v>0</v>
      </c>
      <c r="G402" s="166">
        <v>0</v>
      </c>
      <c r="H402" s="166">
        <v>0</v>
      </c>
      <c r="I402" s="166">
        <v>0</v>
      </c>
      <c r="J402" s="166">
        <v>0</v>
      </c>
      <c r="K402" s="166">
        <v>0</v>
      </c>
      <c r="L402" s="167" t="e">
        <f t="shared" si="0"/>
        <v>#DIV/0!</v>
      </c>
      <c r="M402" s="166">
        <v>0</v>
      </c>
      <c r="N402" s="168" t="e">
        <f t="shared" si="1"/>
        <v>#DIV/0!</v>
      </c>
      <c r="O402" s="166">
        <v>0</v>
      </c>
      <c r="P402" s="168" t="e">
        <f t="shared" si="2"/>
        <v>#DIV/0!</v>
      </c>
      <c r="Q402" s="50">
        <v>0</v>
      </c>
      <c r="R402" s="166"/>
      <c r="S402" s="166"/>
      <c r="T402" s="166"/>
      <c r="U402" s="159"/>
    </row>
    <row r="403" spans="1:21" hidden="1" x14ac:dyDescent="0.25">
      <c r="A403" s="165" t="s">
        <v>711</v>
      </c>
      <c r="B403" s="165" t="s">
        <v>162</v>
      </c>
      <c r="C403" s="165" t="s">
        <v>163</v>
      </c>
      <c r="D403" s="165" t="s">
        <v>69</v>
      </c>
      <c r="E403" s="166">
        <v>1120000</v>
      </c>
      <c r="F403" s="166">
        <v>320000</v>
      </c>
      <c r="G403" s="166">
        <v>32000</v>
      </c>
      <c r="H403" s="166">
        <v>0</v>
      </c>
      <c r="I403" s="166">
        <v>0</v>
      </c>
      <c r="J403" s="166">
        <v>0</v>
      </c>
      <c r="K403" s="166">
        <v>0</v>
      </c>
      <c r="L403" s="167">
        <f t="shared" si="0"/>
        <v>0</v>
      </c>
      <c r="M403" s="166">
        <v>0</v>
      </c>
      <c r="N403" s="168">
        <f t="shared" si="1"/>
        <v>0</v>
      </c>
      <c r="O403" s="166">
        <v>320000</v>
      </c>
      <c r="P403" s="168">
        <f t="shared" si="2"/>
        <v>1</v>
      </c>
      <c r="Q403" s="50">
        <v>32000</v>
      </c>
      <c r="R403" s="166"/>
      <c r="S403" s="166"/>
      <c r="T403" s="166"/>
      <c r="U403" s="159"/>
    </row>
    <row r="404" spans="1:21" hidden="1" x14ac:dyDescent="0.25">
      <c r="A404" s="165" t="s">
        <v>711</v>
      </c>
      <c r="B404" s="165" t="s">
        <v>164</v>
      </c>
      <c r="C404" s="165" t="s">
        <v>165</v>
      </c>
      <c r="D404" s="165" t="s">
        <v>69</v>
      </c>
      <c r="E404" s="166">
        <v>800000</v>
      </c>
      <c r="F404" s="166">
        <v>0</v>
      </c>
      <c r="G404" s="166">
        <v>0</v>
      </c>
      <c r="H404" s="166">
        <v>0</v>
      </c>
      <c r="I404" s="166">
        <v>0</v>
      </c>
      <c r="J404" s="166">
        <v>0</v>
      </c>
      <c r="K404" s="166">
        <v>0</v>
      </c>
      <c r="L404" s="167" t="e">
        <f t="shared" si="0"/>
        <v>#DIV/0!</v>
      </c>
      <c r="M404" s="166">
        <v>0</v>
      </c>
      <c r="N404" s="168" t="e">
        <f t="shared" si="1"/>
        <v>#DIV/0!</v>
      </c>
      <c r="O404" s="166">
        <v>0</v>
      </c>
      <c r="P404" s="168" t="e">
        <f t="shared" si="2"/>
        <v>#DIV/0!</v>
      </c>
      <c r="Q404" s="50">
        <v>0</v>
      </c>
      <c r="R404" s="166"/>
      <c r="S404" s="166"/>
      <c r="T404" s="166"/>
      <c r="U404" s="159"/>
    </row>
    <row r="405" spans="1:21" x14ac:dyDescent="0.25">
      <c r="A405" s="165" t="s">
        <v>711</v>
      </c>
      <c r="B405" s="165" t="s">
        <v>172</v>
      </c>
      <c r="C405" s="165" t="s">
        <v>173</v>
      </c>
      <c r="D405" s="165" t="s">
        <v>69</v>
      </c>
      <c r="E405" s="166">
        <v>320000</v>
      </c>
      <c r="F405" s="166">
        <v>320000</v>
      </c>
      <c r="G405" s="166">
        <v>32000</v>
      </c>
      <c r="H405" s="166">
        <v>0</v>
      </c>
      <c r="I405" s="166">
        <v>0</v>
      </c>
      <c r="J405" s="166">
        <v>0</v>
      </c>
      <c r="K405" s="166">
        <v>0</v>
      </c>
      <c r="L405" s="167">
        <f t="shared" si="0"/>
        <v>0</v>
      </c>
      <c r="M405" s="166">
        <v>0</v>
      </c>
      <c r="N405" s="168">
        <f t="shared" si="1"/>
        <v>0</v>
      </c>
      <c r="O405" s="166">
        <v>320000</v>
      </c>
      <c r="P405" s="168">
        <f t="shared" si="2"/>
        <v>1</v>
      </c>
      <c r="Q405" s="50">
        <v>32000</v>
      </c>
      <c r="R405" s="166"/>
      <c r="S405" s="166"/>
      <c r="T405" s="166"/>
      <c r="U405" s="159"/>
    </row>
    <row r="406" spans="1:21" hidden="1" x14ac:dyDescent="0.25">
      <c r="A406" s="165" t="s">
        <v>711</v>
      </c>
      <c r="B406" s="165" t="s">
        <v>184</v>
      </c>
      <c r="C406" s="165" t="s">
        <v>185</v>
      </c>
      <c r="D406" s="165" t="s">
        <v>69</v>
      </c>
      <c r="E406" s="166">
        <v>9762991308</v>
      </c>
      <c r="F406" s="166">
        <v>9727778878</v>
      </c>
      <c r="G406" s="166">
        <v>9717630460.0100002</v>
      </c>
      <c r="H406" s="166">
        <v>861578892.89999998</v>
      </c>
      <c r="I406" s="166">
        <v>579341022.44000006</v>
      </c>
      <c r="J406" s="166">
        <v>3157842.52</v>
      </c>
      <c r="K406" s="166">
        <v>5765153806.4700003</v>
      </c>
      <c r="L406" s="167">
        <f t="shared" si="0"/>
        <v>0.59264852529782186</v>
      </c>
      <c r="M406" s="166">
        <v>5742909038.9499998</v>
      </c>
      <c r="N406" s="168">
        <f t="shared" si="1"/>
        <v>0.59036179902669861</v>
      </c>
      <c r="O406" s="166">
        <v>2518547313.6700001</v>
      </c>
      <c r="P406" s="168">
        <f t="shared" si="2"/>
        <v>0.25890260718876512</v>
      </c>
      <c r="Q406" s="50">
        <v>2508398895.6799998</v>
      </c>
      <c r="R406" s="166"/>
      <c r="S406" s="166"/>
      <c r="T406" s="166"/>
      <c r="U406" s="44"/>
    </row>
    <row r="407" spans="1:21" hidden="1" x14ac:dyDescent="0.25">
      <c r="A407" s="165" t="s">
        <v>711</v>
      </c>
      <c r="B407" s="165" t="s">
        <v>186</v>
      </c>
      <c r="C407" s="165" t="s">
        <v>187</v>
      </c>
      <c r="D407" s="165" t="s">
        <v>69</v>
      </c>
      <c r="E407" s="166">
        <v>20114885</v>
      </c>
      <c r="F407" s="166">
        <v>15114885</v>
      </c>
      <c r="G407" s="166">
        <v>11692175</v>
      </c>
      <c r="H407" s="166">
        <v>0</v>
      </c>
      <c r="I407" s="166">
        <v>6796085.2199999997</v>
      </c>
      <c r="J407" s="166">
        <v>0</v>
      </c>
      <c r="K407" s="166">
        <v>1170358.99</v>
      </c>
      <c r="L407" s="167">
        <f t="shared" si="0"/>
        <v>7.7430889484107882E-2</v>
      </c>
      <c r="M407" s="166">
        <v>1170358.99</v>
      </c>
      <c r="N407" s="168">
        <f t="shared" si="1"/>
        <v>7.7430889484107882E-2</v>
      </c>
      <c r="O407" s="166">
        <v>7148440.79</v>
      </c>
      <c r="P407" s="168">
        <f t="shared" si="2"/>
        <v>0.47294046828672531</v>
      </c>
      <c r="Q407" s="50">
        <v>3725730.79</v>
      </c>
      <c r="R407" s="166"/>
      <c r="S407" s="166"/>
      <c r="T407" s="166"/>
      <c r="U407" s="44"/>
    </row>
    <row r="408" spans="1:21" x14ac:dyDescent="0.25">
      <c r="A408" s="165" t="s">
        <v>711</v>
      </c>
      <c r="B408" s="165" t="s">
        <v>188</v>
      </c>
      <c r="C408" s="165" t="s">
        <v>189</v>
      </c>
      <c r="D408" s="165" t="s">
        <v>69</v>
      </c>
      <c r="E408" s="166">
        <v>4558400</v>
      </c>
      <c r="F408" s="166">
        <v>4558400</v>
      </c>
      <c r="G408" s="166">
        <v>1139600</v>
      </c>
      <c r="H408" s="166">
        <v>0</v>
      </c>
      <c r="I408" s="166">
        <v>0</v>
      </c>
      <c r="J408" s="166">
        <v>0</v>
      </c>
      <c r="K408" s="166">
        <v>0</v>
      </c>
      <c r="L408" s="167">
        <f t="shared" si="0"/>
        <v>0</v>
      </c>
      <c r="M408" s="166">
        <v>0</v>
      </c>
      <c r="N408" s="168">
        <f t="shared" si="1"/>
        <v>0</v>
      </c>
      <c r="O408" s="166">
        <v>4558400</v>
      </c>
      <c r="P408" s="168">
        <f t="shared" si="2"/>
        <v>1</v>
      </c>
      <c r="Q408" s="50">
        <v>1139600</v>
      </c>
      <c r="R408" s="166"/>
      <c r="S408" s="166">
        <v>3418800</v>
      </c>
      <c r="T408" s="166"/>
      <c r="U408" s="160"/>
    </row>
    <row r="409" spans="1:21" x14ac:dyDescent="0.25">
      <c r="A409" s="165" t="s">
        <v>711</v>
      </c>
      <c r="B409" s="165" t="s">
        <v>190</v>
      </c>
      <c r="C409" s="165" t="s">
        <v>191</v>
      </c>
      <c r="D409" s="165" t="s">
        <v>69</v>
      </c>
      <c r="E409" s="166">
        <v>1998283</v>
      </c>
      <c r="F409" s="166">
        <v>3620553</v>
      </c>
      <c r="G409" s="166">
        <v>3616643</v>
      </c>
      <c r="H409" s="166">
        <v>0</v>
      </c>
      <c r="I409" s="166">
        <v>1657639.52</v>
      </c>
      <c r="J409" s="166">
        <v>0</v>
      </c>
      <c r="K409" s="166">
        <v>0</v>
      </c>
      <c r="L409" s="167">
        <f t="shared" si="0"/>
        <v>0</v>
      </c>
      <c r="M409" s="166">
        <v>0</v>
      </c>
      <c r="N409" s="168">
        <f t="shared" si="1"/>
        <v>0</v>
      </c>
      <c r="O409" s="166">
        <v>1962913.48</v>
      </c>
      <c r="P409" s="168">
        <f t="shared" si="2"/>
        <v>0.54215847137163853</v>
      </c>
      <c r="Q409" s="50">
        <v>1959003.48</v>
      </c>
      <c r="R409" s="166">
        <v>362055.3</v>
      </c>
      <c r="S409" s="166">
        <v>3910</v>
      </c>
      <c r="T409" s="166"/>
      <c r="U409" s="159"/>
    </row>
    <row r="410" spans="1:21" hidden="1" x14ac:dyDescent="0.25">
      <c r="A410" s="165" t="s">
        <v>711</v>
      </c>
      <c r="B410" s="165" t="s">
        <v>350</v>
      </c>
      <c r="C410" s="165" t="s">
        <v>351</v>
      </c>
      <c r="D410" s="165" t="s">
        <v>69</v>
      </c>
      <c r="E410" s="166">
        <v>1432676</v>
      </c>
      <c r="F410" s="166">
        <v>1432676</v>
      </c>
      <c r="G410" s="166">
        <v>1432676</v>
      </c>
      <c r="H410" s="166">
        <v>0</v>
      </c>
      <c r="I410" s="166">
        <v>0</v>
      </c>
      <c r="J410" s="166">
        <v>0</v>
      </c>
      <c r="K410" s="166">
        <v>1170358.99</v>
      </c>
      <c r="L410" s="167">
        <f t="shared" si="0"/>
        <v>0.81690416395612131</v>
      </c>
      <c r="M410" s="166">
        <v>1170358.99</v>
      </c>
      <c r="N410" s="168">
        <f t="shared" si="1"/>
        <v>0.81690416395612131</v>
      </c>
      <c r="O410" s="166">
        <v>262317.01</v>
      </c>
      <c r="P410" s="168">
        <f t="shared" si="2"/>
        <v>0.18309583604387875</v>
      </c>
      <c r="Q410" s="50">
        <v>262317.01</v>
      </c>
      <c r="R410" s="166"/>
      <c r="S410" s="166"/>
      <c r="T410" s="166"/>
      <c r="U410" s="159"/>
    </row>
    <row r="411" spans="1:21" hidden="1" x14ac:dyDescent="0.25">
      <c r="A411" s="165" t="s">
        <v>711</v>
      </c>
      <c r="B411" s="165" t="s">
        <v>194</v>
      </c>
      <c r="C411" s="165" t="s">
        <v>195</v>
      </c>
      <c r="D411" s="165" t="s">
        <v>69</v>
      </c>
      <c r="E411" s="166">
        <v>12125526</v>
      </c>
      <c r="F411" s="166">
        <v>5503256</v>
      </c>
      <c r="G411" s="166">
        <v>5503256</v>
      </c>
      <c r="H411" s="166">
        <v>0</v>
      </c>
      <c r="I411" s="166">
        <v>5138445.7</v>
      </c>
      <c r="J411" s="166">
        <v>0</v>
      </c>
      <c r="K411" s="166">
        <v>0</v>
      </c>
      <c r="L411" s="167">
        <f t="shared" si="0"/>
        <v>0</v>
      </c>
      <c r="M411" s="166">
        <v>0</v>
      </c>
      <c r="N411" s="168">
        <f t="shared" si="1"/>
        <v>0</v>
      </c>
      <c r="O411" s="166">
        <v>364810.3</v>
      </c>
      <c r="P411" s="168">
        <f t="shared" si="2"/>
        <v>6.6289901832660522E-2</v>
      </c>
      <c r="Q411" s="50">
        <v>364810.3</v>
      </c>
      <c r="R411" s="166"/>
      <c r="S411" s="166"/>
      <c r="T411" s="166"/>
      <c r="U411" s="159"/>
    </row>
    <row r="412" spans="1:21" hidden="1" x14ac:dyDescent="0.25">
      <c r="A412" s="165" t="s">
        <v>711</v>
      </c>
      <c r="B412" s="165" t="s">
        <v>196</v>
      </c>
      <c r="C412" s="165" t="s">
        <v>197</v>
      </c>
      <c r="D412" s="165" t="s">
        <v>69</v>
      </c>
      <c r="E412" s="166">
        <v>9704809902</v>
      </c>
      <c r="F412" s="166">
        <v>9683827239</v>
      </c>
      <c r="G412" s="166">
        <v>9683525554</v>
      </c>
      <c r="H412" s="166">
        <v>861015002.98000002</v>
      </c>
      <c r="I412" s="166">
        <v>564990288.23000002</v>
      </c>
      <c r="J412" s="166">
        <v>3157842.52</v>
      </c>
      <c r="K412" s="166">
        <v>5755482218.1300001</v>
      </c>
      <c r="L412" s="167">
        <f t="shared" si="0"/>
        <v>0.59433962173042032</v>
      </c>
      <c r="M412" s="166">
        <v>5733249541.6099997</v>
      </c>
      <c r="N412" s="168">
        <f t="shared" si="1"/>
        <v>0.59204376535346404</v>
      </c>
      <c r="O412" s="166">
        <v>2499181887.1399999</v>
      </c>
      <c r="P412" s="168">
        <f t="shared" si="2"/>
        <v>0.25807790922528662</v>
      </c>
      <c r="Q412" s="50">
        <v>2498880202.1399999</v>
      </c>
      <c r="R412" s="166"/>
      <c r="S412" s="166"/>
      <c r="T412" s="166"/>
      <c r="U412" s="159"/>
    </row>
    <row r="413" spans="1:21" hidden="1" x14ac:dyDescent="0.25">
      <c r="A413" s="165" t="s">
        <v>711</v>
      </c>
      <c r="B413" s="165" t="s">
        <v>579</v>
      </c>
      <c r="C413" s="165" t="s">
        <v>580</v>
      </c>
      <c r="D413" s="165" t="s">
        <v>69</v>
      </c>
      <c r="E413" s="166">
        <v>3494885</v>
      </c>
      <c r="F413" s="166">
        <v>2843230</v>
      </c>
      <c r="G413" s="166">
        <v>2541545</v>
      </c>
      <c r="H413" s="166">
        <v>0</v>
      </c>
      <c r="I413" s="166">
        <v>327640</v>
      </c>
      <c r="J413" s="166">
        <v>0</v>
      </c>
      <c r="K413" s="166">
        <v>1863935</v>
      </c>
      <c r="L413" s="167">
        <f t="shared" si="0"/>
        <v>0.65556954590377847</v>
      </c>
      <c r="M413" s="166">
        <v>1863935</v>
      </c>
      <c r="N413" s="168">
        <f t="shared" si="1"/>
        <v>0.65556954590377847</v>
      </c>
      <c r="O413" s="166">
        <v>651655</v>
      </c>
      <c r="P413" s="168">
        <f t="shared" si="2"/>
        <v>0.22919531659415524</v>
      </c>
      <c r="Q413" s="50">
        <v>349970</v>
      </c>
      <c r="R413" s="166"/>
      <c r="S413" s="166"/>
      <c r="T413" s="166"/>
      <c r="U413" s="159"/>
    </row>
    <row r="414" spans="1:21" hidden="1" x14ac:dyDescent="0.25">
      <c r="A414" s="165" t="s">
        <v>711</v>
      </c>
      <c r="B414" s="165" t="s">
        <v>198</v>
      </c>
      <c r="C414" s="165" t="s">
        <v>199</v>
      </c>
      <c r="D414" s="165" t="s">
        <v>69</v>
      </c>
      <c r="E414" s="166">
        <v>9654391017</v>
      </c>
      <c r="F414" s="166">
        <v>9654391017</v>
      </c>
      <c r="G414" s="166">
        <v>9654391017</v>
      </c>
      <c r="H414" s="166">
        <v>861015002.98000002</v>
      </c>
      <c r="I414" s="166">
        <v>554906929.08000004</v>
      </c>
      <c r="J414" s="166">
        <v>0</v>
      </c>
      <c r="K414" s="166">
        <v>5744238853.7700005</v>
      </c>
      <c r="L414" s="167">
        <f t="shared" si="0"/>
        <v>0.59498717668004319</v>
      </c>
      <c r="M414" s="166">
        <v>5722006177.25</v>
      </c>
      <c r="N414" s="168">
        <f t="shared" si="1"/>
        <v>0.59268432024084861</v>
      </c>
      <c r="O414" s="166">
        <v>2494230231.1700001</v>
      </c>
      <c r="P414" s="168">
        <f t="shared" si="2"/>
        <v>0.25835189674605241</v>
      </c>
      <c r="Q414" s="50">
        <v>2494230231.1700001</v>
      </c>
      <c r="R414" s="166"/>
      <c r="S414" s="166"/>
      <c r="T414" s="166"/>
      <c r="U414" s="159"/>
    </row>
    <row r="415" spans="1:21" hidden="1" x14ac:dyDescent="0.25">
      <c r="A415" s="165" t="s">
        <v>711</v>
      </c>
      <c r="B415" s="165" t="s">
        <v>352</v>
      </c>
      <c r="C415" s="165" t="s">
        <v>353</v>
      </c>
      <c r="D415" s="165" t="s">
        <v>69</v>
      </c>
      <c r="E415" s="166">
        <v>46924000</v>
      </c>
      <c r="F415" s="166">
        <v>26592992</v>
      </c>
      <c r="G415" s="166">
        <v>26592992</v>
      </c>
      <c r="H415" s="166">
        <v>0</v>
      </c>
      <c r="I415" s="166">
        <v>9755719.1500000004</v>
      </c>
      <c r="J415" s="166">
        <v>3157842.52</v>
      </c>
      <c r="K415" s="166">
        <v>9379429.3599999994</v>
      </c>
      <c r="L415" s="167">
        <f t="shared" si="0"/>
        <v>0.35270304898373223</v>
      </c>
      <c r="M415" s="166">
        <v>9379429.3599999994</v>
      </c>
      <c r="N415" s="168">
        <f t="shared" si="1"/>
        <v>0.35270304898373223</v>
      </c>
      <c r="O415" s="166">
        <v>4300000.97</v>
      </c>
      <c r="P415" s="168">
        <f t="shared" si="2"/>
        <v>0.1616967722172819</v>
      </c>
      <c r="Q415" s="50">
        <v>4300000.97</v>
      </c>
      <c r="R415" s="166"/>
      <c r="S415" s="166"/>
      <c r="T415" s="166"/>
      <c r="U415" s="159"/>
    </row>
    <row r="416" spans="1:21" hidden="1" x14ac:dyDescent="0.25">
      <c r="A416" s="165" t="s">
        <v>711</v>
      </c>
      <c r="B416" s="165" t="s">
        <v>198</v>
      </c>
      <c r="C416" s="165" t="s">
        <v>199</v>
      </c>
      <c r="D416" s="165" t="s">
        <v>85</v>
      </c>
      <c r="E416" s="166">
        <v>0</v>
      </c>
      <c r="F416" s="166">
        <v>0</v>
      </c>
      <c r="G416" s="166">
        <v>0</v>
      </c>
      <c r="H416" s="166">
        <v>0</v>
      </c>
      <c r="I416" s="166">
        <v>0</v>
      </c>
      <c r="J416" s="166">
        <v>0</v>
      </c>
      <c r="K416" s="166">
        <v>0</v>
      </c>
      <c r="L416" s="167" t="e">
        <f t="shared" si="0"/>
        <v>#DIV/0!</v>
      </c>
      <c r="M416" s="166">
        <v>0</v>
      </c>
      <c r="N416" s="168" t="e">
        <f t="shared" si="1"/>
        <v>#DIV/0!</v>
      </c>
      <c r="O416" s="166">
        <v>0</v>
      </c>
      <c r="P416" s="168" t="e">
        <f t="shared" si="2"/>
        <v>#DIV/0!</v>
      </c>
      <c r="Q416" s="50">
        <v>0</v>
      </c>
      <c r="R416" s="166"/>
      <c r="S416" s="166"/>
      <c r="T416" s="166"/>
      <c r="U416" s="159"/>
    </row>
    <row r="417" spans="1:21" hidden="1" x14ac:dyDescent="0.25">
      <c r="A417" s="165" t="s">
        <v>711</v>
      </c>
      <c r="B417" s="165" t="s">
        <v>200</v>
      </c>
      <c r="C417" s="165" t="s">
        <v>201</v>
      </c>
      <c r="D417" s="165" t="s">
        <v>69</v>
      </c>
      <c r="E417" s="166">
        <v>9701312</v>
      </c>
      <c r="F417" s="166">
        <v>8721992</v>
      </c>
      <c r="G417" s="166">
        <v>7078749.8099999996</v>
      </c>
      <c r="H417" s="166">
        <v>0</v>
      </c>
      <c r="I417" s="166">
        <v>196680.3</v>
      </c>
      <c r="J417" s="166">
        <v>0</v>
      </c>
      <c r="K417" s="166">
        <v>5501736.3300000001</v>
      </c>
      <c r="L417" s="167">
        <f t="shared" si="0"/>
        <v>0.63078896770370807</v>
      </c>
      <c r="M417" s="166">
        <v>5489645.3300000001</v>
      </c>
      <c r="N417" s="168">
        <f t="shared" si="1"/>
        <v>0.62940270181398927</v>
      </c>
      <c r="O417" s="166">
        <v>3023575.37</v>
      </c>
      <c r="P417" s="168">
        <f t="shared" si="2"/>
        <v>0.34666110333510969</v>
      </c>
      <c r="Q417" s="50">
        <v>1380333.18</v>
      </c>
      <c r="R417" s="166"/>
      <c r="S417" s="166"/>
      <c r="T417" s="166"/>
      <c r="U417" s="159"/>
    </row>
    <row r="418" spans="1:21" hidden="1" x14ac:dyDescent="0.25">
      <c r="A418" s="165" t="s">
        <v>711</v>
      </c>
      <c r="B418" s="165" t="s">
        <v>314</v>
      </c>
      <c r="C418" s="165" t="s">
        <v>315</v>
      </c>
      <c r="D418" s="165" t="s">
        <v>69</v>
      </c>
      <c r="E418" s="166">
        <v>3440012</v>
      </c>
      <c r="F418" s="166">
        <v>3440012</v>
      </c>
      <c r="G418" s="166">
        <v>2712257.31</v>
      </c>
      <c r="H418" s="166">
        <v>0</v>
      </c>
      <c r="I418" s="166">
        <v>196680.3</v>
      </c>
      <c r="J418" s="166">
        <v>0</v>
      </c>
      <c r="K418" s="166">
        <v>2418048.58</v>
      </c>
      <c r="L418" s="167">
        <f t="shared" si="0"/>
        <v>0.70291864679541816</v>
      </c>
      <c r="M418" s="166">
        <v>2418048.58</v>
      </c>
      <c r="N418" s="168">
        <f t="shared" si="1"/>
        <v>0.70291864679541816</v>
      </c>
      <c r="O418" s="166">
        <v>825283.12</v>
      </c>
      <c r="P418" s="168">
        <f t="shared" si="2"/>
        <v>0.23990704683588313</v>
      </c>
      <c r="Q418" s="50">
        <v>97528.43</v>
      </c>
      <c r="R418" s="166"/>
      <c r="S418" s="166"/>
      <c r="T418" s="166"/>
      <c r="U418" s="159"/>
    </row>
    <row r="419" spans="1:21" hidden="1" x14ac:dyDescent="0.25">
      <c r="A419" s="165" t="s">
        <v>711</v>
      </c>
      <c r="B419" s="165" t="s">
        <v>316</v>
      </c>
      <c r="C419" s="165" t="s">
        <v>317</v>
      </c>
      <c r="D419" s="165" t="s">
        <v>69</v>
      </c>
      <c r="E419" s="166">
        <v>678950</v>
      </c>
      <c r="F419" s="166">
        <v>0</v>
      </c>
      <c r="G419" s="166">
        <v>0</v>
      </c>
      <c r="H419" s="166">
        <v>0</v>
      </c>
      <c r="I419" s="166">
        <v>0</v>
      </c>
      <c r="J419" s="166">
        <v>0</v>
      </c>
      <c r="K419" s="166">
        <v>0</v>
      </c>
      <c r="L419" s="167" t="e">
        <f t="shared" si="0"/>
        <v>#DIV/0!</v>
      </c>
      <c r="M419" s="166">
        <v>0</v>
      </c>
      <c r="N419" s="168" t="e">
        <f t="shared" si="1"/>
        <v>#DIV/0!</v>
      </c>
      <c r="O419" s="166">
        <v>0</v>
      </c>
      <c r="P419" s="168" t="e">
        <f t="shared" si="2"/>
        <v>#DIV/0!</v>
      </c>
      <c r="Q419" s="50">
        <v>0</v>
      </c>
      <c r="R419" s="166"/>
      <c r="S419" s="166"/>
      <c r="T419" s="166"/>
      <c r="U419" s="159"/>
    </row>
    <row r="420" spans="1:21" hidden="1" x14ac:dyDescent="0.25">
      <c r="A420" s="165" t="s">
        <v>711</v>
      </c>
      <c r="B420" s="165" t="s">
        <v>318</v>
      </c>
      <c r="C420" s="165" t="s">
        <v>319</v>
      </c>
      <c r="D420" s="165" t="s">
        <v>69</v>
      </c>
      <c r="E420" s="166">
        <v>648835</v>
      </c>
      <c r="F420" s="166">
        <v>600000</v>
      </c>
      <c r="G420" s="166">
        <v>60000</v>
      </c>
      <c r="H420" s="166">
        <v>0</v>
      </c>
      <c r="I420" s="166">
        <v>0</v>
      </c>
      <c r="J420" s="166">
        <v>0</v>
      </c>
      <c r="K420" s="166">
        <v>0</v>
      </c>
      <c r="L420" s="167">
        <f t="shared" si="0"/>
        <v>0</v>
      </c>
      <c r="M420" s="166">
        <v>0</v>
      </c>
      <c r="N420" s="168">
        <f t="shared" si="1"/>
        <v>0</v>
      </c>
      <c r="O420" s="166">
        <v>600000</v>
      </c>
      <c r="P420" s="168">
        <f t="shared" si="2"/>
        <v>1</v>
      </c>
      <c r="Q420" s="50">
        <v>60000</v>
      </c>
      <c r="R420" s="166"/>
      <c r="S420" s="166"/>
      <c r="T420" s="166"/>
      <c r="U420" s="159"/>
    </row>
    <row r="421" spans="1:21" x14ac:dyDescent="0.25">
      <c r="A421" s="165" t="s">
        <v>711</v>
      </c>
      <c r="B421" s="165" t="s">
        <v>202</v>
      </c>
      <c r="C421" s="165" t="s">
        <v>203</v>
      </c>
      <c r="D421" s="165" t="s">
        <v>69</v>
      </c>
      <c r="E421" s="166">
        <v>274510</v>
      </c>
      <c r="F421" s="166">
        <v>274510</v>
      </c>
      <c r="G421" s="166">
        <v>271864</v>
      </c>
      <c r="H421" s="166">
        <v>0</v>
      </c>
      <c r="I421" s="166">
        <v>0</v>
      </c>
      <c r="J421" s="166">
        <v>0</v>
      </c>
      <c r="K421" s="166">
        <v>112924.29</v>
      </c>
      <c r="L421" s="167">
        <f t="shared" si="0"/>
        <v>0.41136676259516958</v>
      </c>
      <c r="M421" s="166">
        <v>112924.29</v>
      </c>
      <c r="N421" s="168">
        <f t="shared" si="1"/>
        <v>0.41136676259516958</v>
      </c>
      <c r="O421" s="166">
        <v>161585.71</v>
      </c>
      <c r="P421" s="168">
        <f t="shared" si="2"/>
        <v>0.58863323740483042</v>
      </c>
      <c r="Q421" s="50">
        <v>158939.71</v>
      </c>
      <c r="R421" s="166"/>
      <c r="S421" s="166"/>
      <c r="T421" s="166"/>
      <c r="U421" s="159"/>
    </row>
    <row r="422" spans="1:21" hidden="1" x14ac:dyDescent="0.25">
      <c r="A422" s="165" t="s">
        <v>711</v>
      </c>
      <c r="B422" s="165" t="s">
        <v>204</v>
      </c>
      <c r="C422" s="165" t="s">
        <v>205</v>
      </c>
      <c r="D422" s="165" t="s">
        <v>69</v>
      </c>
      <c r="E422" s="166">
        <v>4524220</v>
      </c>
      <c r="F422" s="166">
        <v>4272685</v>
      </c>
      <c r="G422" s="166">
        <v>4021150</v>
      </c>
      <c r="H422" s="166">
        <v>0</v>
      </c>
      <c r="I422" s="166">
        <v>0</v>
      </c>
      <c r="J422" s="166">
        <v>0</v>
      </c>
      <c r="K422" s="166">
        <v>2970763.46</v>
      </c>
      <c r="L422" s="167">
        <f t="shared" si="0"/>
        <v>0.69529194405859551</v>
      </c>
      <c r="M422" s="166">
        <v>2958672.46</v>
      </c>
      <c r="N422" s="168">
        <f t="shared" si="1"/>
        <v>0.69246210755063853</v>
      </c>
      <c r="O422" s="166">
        <v>1301921.54</v>
      </c>
      <c r="P422" s="168">
        <f t="shared" si="2"/>
        <v>0.30470805594140454</v>
      </c>
      <c r="Q422" s="50">
        <v>1050386.54</v>
      </c>
      <c r="R422" s="166"/>
      <c r="S422" s="166"/>
      <c r="T422" s="166"/>
      <c r="U422" s="159"/>
    </row>
    <row r="423" spans="1:21" x14ac:dyDescent="0.25">
      <c r="A423" s="165" t="s">
        <v>711</v>
      </c>
      <c r="B423" s="165" t="s">
        <v>322</v>
      </c>
      <c r="C423" s="165" t="s">
        <v>323</v>
      </c>
      <c r="D423" s="165" t="s">
        <v>69</v>
      </c>
      <c r="E423" s="166">
        <v>134785</v>
      </c>
      <c r="F423" s="166">
        <v>134785</v>
      </c>
      <c r="G423" s="166">
        <v>13478.5</v>
      </c>
      <c r="H423" s="166">
        <v>0</v>
      </c>
      <c r="I423" s="166">
        <v>0</v>
      </c>
      <c r="J423" s="166">
        <v>0</v>
      </c>
      <c r="K423" s="166">
        <v>0</v>
      </c>
      <c r="L423" s="167">
        <f t="shared" si="0"/>
        <v>0</v>
      </c>
      <c r="M423" s="166">
        <v>0</v>
      </c>
      <c r="N423" s="168">
        <f t="shared" si="1"/>
        <v>0</v>
      </c>
      <c r="O423" s="166">
        <v>134785</v>
      </c>
      <c r="P423" s="168">
        <f t="shared" si="2"/>
        <v>1</v>
      </c>
      <c r="Q423" s="50">
        <v>13478.5</v>
      </c>
      <c r="R423" s="166"/>
      <c r="S423" s="166">
        <v>121306</v>
      </c>
      <c r="T423" s="166"/>
      <c r="U423" s="159"/>
    </row>
    <row r="424" spans="1:21" hidden="1" x14ac:dyDescent="0.25">
      <c r="A424" s="165" t="s">
        <v>711</v>
      </c>
      <c r="B424" s="165" t="s">
        <v>206</v>
      </c>
      <c r="C424" s="165" t="s">
        <v>207</v>
      </c>
      <c r="D424" s="165" t="s">
        <v>69</v>
      </c>
      <c r="E424" s="166">
        <v>4818247</v>
      </c>
      <c r="F424" s="166">
        <v>0</v>
      </c>
      <c r="G424" s="166">
        <v>0</v>
      </c>
      <c r="H424" s="166">
        <v>0</v>
      </c>
      <c r="I424" s="166">
        <v>0</v>
      </c>
      <c r="J424" s="166">
        <v>0</v>
      </c>
      <c r="K424" s="166">
        <v>0</v>
      </c>
      <c r="L424" s="167" t="e">
        <f t="shared" si="0"/>
        <v>#DIV/0!</v>
      </c>
      <c r="M424" s="166">
        <v>0</v>
      </c>
      <c r="N424" s="168" t="e">
        <f t="shared" si="1"/>
        <v>#DIV/0!</v>
      </c>
      <c r="O424" s="166">
        <v>0</v>
      </c>
      <c r="P424" s="168" t="e">
        <f t="shared" si="2"/>
        <v>#DIV/0!</v>
      </c>
      <c r="Q424" s="50">
        <v>0</v>
      </c>
      <c r="R424" s="166"/>
      <c r="S424" s="166"/>
      <c r="T424" s="166"/>
      <c r="U424" s="159"/>
    </row>
    <row r="425" spans="1:21" hidden="1" x14ac:dyDescent="0.25">
      <c r="A425" s="165" t="s">
        <v>711</v>
      </c>
      <c r="B425" s="165" t="s">
        <v>208</v>
      </c>
      <c r="C425" s="165" t="s">
        <v>209</v>
      </c>
      <c r="D425" s="165" t="s">
        <v>69</v>
      </c>
      <c r="E425" s="166">
        <v>4818247</v>
      </c>
      <c r="F425" s="166">
        <v>0</v>
      </c>
      <c r="G425" s="166">
        <v>0</v>
      </c>
      <c r="H425" s="166">
        <v>0</v>
      </c>
      <c r="I425" s="166">
        <v>0</v>
      </c>
      <c r="J425" s="166">
        <v>0</v>
      </c>
      <c r="K425" s="166">
        <v>0</v>
      </c>
      <c r="L425" s="167" t="e">
        <f t="shared" si="0"/>
        <v>#DIV/0!</v>
      </c>
      <c r="M425" s="166">
        <v>0</v>
      </c>
      <c r="N425" s="168" t="e">
        <f t="shared" si="1"/>
        <v>#DIV/0!</v>
      </c>
      <c r="O425" s="166">
        <v>0</v>
      </c>
      <c r="P425" s="168" t="e">
        <f t="shared" si="2"/>
        <v>#DIV/0!</v>
      </c>
      <c r="Q425" s="50">
        <v>0</v>
      </c>
      <c r="R425" s="166"/>
      <c r="S425" s="166"/>
      <c r="T425" s="166"/>
      <c r="U425" s="159"/>
    </row>
    <row r="426" spans="1:21" hidden="1" x14ac:dyDescent="0.25">
      <c r="A426" s="165" t="s">
        <v>711</v>
      </c>
      <c r="B426" s="165" t="s">
        <v>354</v>
      </c>
      <c r="C426" s="165" t="s">
        <v>355</v>
      </c>
      <c r="D426" s="165" t="s">
        <v>69</v>
      </c>
      <c r="E426" s="166">
        <v>2859160</v>
      </c>
      <c r="F426" s="166">
        <v>859160</v>
      </c>
      <c r="G426" s="166">
        <v>0</v>
      </c>
      <c r="H426" s="166">
        <v>0</v>
      </c>
      <c r="I426" s="166">
        <v>0</v>
      </c>
      <c r="J426" s="166">
        <v>0</v>
      </c>
      <c r="K426" s="166">
        <v>0</v>
      </c>
      <c r="L426" s="167">
        <f t="shared" si="0"/>
        <v>0</v>
      </c>
      <c r="M426" s="166">
        <v>0</v>
      </c>
      <c r="N426" s="168">
        <f t="shared" si="1"/>
        <v>0</v>
      </c>
      <c r="O426" s="166">
        <v>859160</v>
      </c>
      <c r="P426" s="168">
        <f t="shared" si="2"/>
        <v>1</v>
      </c>
      <c r="Q426" s="50">
        <v>0</v>
      </c>
      <c r="R426" s="166"/>
      <c r="S426" s="166"/>
      <c r="T426" s="166"/>
      <c r="U426" s="159"/>
    </row>
    <row r="427" spans="1:21" x14ac:dyDescent="0.25">
      <c r="A427" s="165" t="s">
        <v>711</v>
      </c>
      <c r="B427" s="165" t="s">
        <v>356</v>
      </c>
      <c r="C427" s="165" t="s">
        <v>357</v>
      </c>
      <c r="D427" s="165" t="s">
        <v>69</v>
      </c>
      <c r="E427" s="166">
        <v>2859160</v>
      </c>
      <c r="F427" s="166">
        <v>859160</v>
      </c>
      <c r="G427" s="166">
        <v>0</v>
      </c>
      <c r="H427" s="166">
        <v>0</v>
      </c>
      <c r="I427" s="166">
        <v>0</v>
      </c>
      <c r="J427" s="166">
        <v>0</v>
      </c>
      <c r="K427" s="166">
        <v>0</v>
      </c>
      <c r="L427" s="167">
        <f t="shared" si="0"/>
        <v>0</v>
      </c>
      <c r="M427" s="166">
        <v>0</v>
      </c>
      <c r="N427" s="168">
        <f t="shared" si="1"/>
        <v>0</v>
      </c>
      <c r="O427" s="166">
        <v>859160</v>
      </c>
      <c r="P427" s="168">
        <f t="shared" si="2"/>
        <v>1</v>
      </c>
      <c r="Q427" s="50">
        <v>0</v>
      </c>
      <c r="R427" s="166"/>
      <c r="S427" s="166">
        <v>859160</v>
      </c>
      <c r="T427" s="166"/>
      <c r="U427" s="159"/>
    </row>
    <row r="428" spans="1:21" hidden="1" x14ac:dyDescent="0.25">
      <c r="A428" s="165" t="s">
        <v>711</v>
      </c>
      <c r="B428" s="165" t="s">
        <v>212</v>
      </c>
      <c r="C428" s="165" t="s">
        <v>213</v>
      </c>
      <c r="D428" s="165" t="s">
        <v>69</v>
      </c>
      <c r="E428" s="166">
        <v>20687802</v>
      </c>
      <c r="F428" s="166">
        <v>19255602</v>
      </c>
      <c r="G428" s="166">
        <v>15333981.199999999</v>
      </c>
      <c r="H428" s="166">
        <v>563889.92000000004</v>
      </c>
      <c r="I428" s="166">
        <v>7357968.6900000004</v>
      </c>
      <c r="J428" s="166">
        <v>0</v>
      </c>
      <c r="K428" s="166">
        <v>2999493.02</v>
      </c>
      <c r="L428" s="167">
        <f t="shared" si="0"/>
        <v>0.15577248740392535</v>
      </c>
      <c r="M428" s="166">
        <v>2999493.02</v>
      </c>
      <c r="N428" s="168">
        <f t="shared" si="1"/>
        <v>0.15577248740392535</v>
      </c>
      <c r="O428" s="166">
        <v>8334250.3700000001</v>
      </c>
      <c r="P428" s="168">
        <f t="shared" si="2"/>
        <v>0.43282211431249984</v>
      </c>
      <c r="Q428" s="50">
        <v>4412629.57</v>
      </c>
      <c r="R428" s="166"/>
      <c r="S428" s="166"/>
      <c r="T428" s="166"/>
      <c r="U428" s="44"/>
    </row>
    <row r="429" spans="1:21" x14ac:dyDescent="0.25">
      <c r="A429" s="165" t="s">
        <v>711</v>
      </c>
      <c r="B429" s="165" t="s">
        <v>216</v>
      </c>
      <c r="C429" s="165" t="s">
        <v>217</v>
      </c>
      <c r="D429" s="165" t="s">
        <v>69</v>
      </c>
      <c r="E429" s="166">
        <v>9443712</v>
      </c>
      <c r="F429" s="166">
        <v>9443712</v>
      </c>
      <c r="G429" s="166">
        <v>5525693.2000000002</v>
      </c>
      <c r="H429" s="166">
        <v>310219.40000000002</v>
      </c>
      <c r="I429" s="166">
        <v>2605851.42</v>
      </c>
      <c r="J429" s="166">
        <v>0</v>
      </c>
      <c r="K429" s="166">
        <v>0</v>
      </c>
      <c r="L429" s="167">
        <f t="shared" si="0"/>
        <v>0</v>
      </c>
      <c r="M429" s="166">
        <v>0</v>
      </c>
      <c r="N429" s="168">
        <f t="shared" si="1"/>
        <v>0</v>
      </c>
      <c r="O429" s="166">
        <v>6527641.1799999997</v>
      </c>
      <c r="P429" s="168">
        <f t="shared" si="2"/>
        <v>0.69121561309790047</v>
      </c>
      <c r="Q429" s="50">
        <v>2609622.38</v>
      </c>
      <c r="R429" s="166"/>
      <c r="S429" s="166">
        <v>3918018</v>
      </c>
      <c r="T429" s="166"/>
      <c r="U429" s="160"/>
    </row>
    <row r="430" spans="1:21" hidden="1" x14ac:dyDescent="0.25">
      <c r="A430" s="165" t="s">
        <v>711</v>
      </c>
      <c r="B430" s="165" t="s">
        <v>218</v>
      </c>
      <c r="C430" s="165" t="s">
        <v>219</v>
      </c>
      <c r="D430" s="165" t="s">
        <v>69</v>
      </c>
      <c r="E430" s="166">
        <v>4708500</v>
      </c>
      <c r="F430" s="166">
        <v>4708500</v>
      </c>
      <c r="G430" s="166">
        <v>4706173</v>
      </c>
      <c r="H430" s="166">
        <v>253670.52</v>
      </c>
      <c r="I430" s="166">
        <v>3454713.4</v>
      </c>
      <c r="J430" s="166">
        <v>0</v>
      </c>
      <c r="K430" s="166">
        <v>0</v>
      </c>
      <c r="L430" s="167">
        <f t="shared" si="0"/>
        <v>0</v>
      </c>
      <c r="M430" s="166">
        <v>0</v>
      </c>
      <c r="N430" s="168">
        <f t="shared" si="1"/>
        <v>0</v>
      </c>
      <c r="O430" s="166">
        <v>1000116.08</v>
      </c>
      <c r="P430" s="168">
        <f t="shared" si="2"/>
        <v>0.21240651587554421</v>
      </c>
      <c r="Q430" s="50">
        <v>997789.08</v>
      </c>
      <c r="R430" s="166"/>
      <c r="S430" s="166"/>
      <c r="T430" s="166"/>
      <c r="U430" s="44"/>
    </row>
    <row r="431" spans="1:21" hidden="1" x14ac:dyDescent="0.25">
      <c r="A431" s="165" t="s">
        <v>711</v>
      </c>
      <c r="B431" s="165" t="s">
        <v>220</v>
      </c>
      <c r="C431" s="165" t="s">
        <v>221</v>
      </c>
      <c r="D431" s="165" t="s">
        <v>69</v>
      </c>
      <c r="E431" s="166">
        <v>4306450</v>
      </c>
      <c r="F431" s="166">
        <v>3981750</v>
      </c>
      <c r="G431" s="166">
        <v>3981750</v>
      </c>
      <c r="H431" s="166">
        <v>0</v>
      </c>
      <c r="I431" s="166">
        <v>1265600.02</v>
      </c>
      <c r="J431" s="166">
        <v>0</v>
      </c>
      <c r="K431" s="166">
        <v>2409124.52</v>
      </c>
      <c r="L431" s="167">
        <f t="shared" si="0"/>
        <v>0.60504163244804421</v>
      </c>
      <c r="M431" s="166">
        <v>2409124.52</v>
      </c>
      <c r="N431" s="168">
        <f t="shared" si="1"/>
        <v>0.60504163244804421</v>
      </c>
      <c r="O431" s="166">
        <v>307025.46000000002</v>
      </c>
      <c r="P431" s="168">
        <f t="shared" si="2"/>
        <v>7.710817103032587E-2</v>
      </c>
      <c r="Q431" s="50">
        <v>307025.46000000002</v>
      </c>
      <c r="R431" s="166"/>
      <c r="S431" s="166"/>
      <c r="T431" s="166"/>
      <c r="U431" s="44"/>
    </row>
    <row r="432" spans="1:21" hidden="1" x14ac:dyDescent="0.25">
      <c r="A432" s="165" t="s">
        <v>711</v>
      </c>
      <c r="B432" s="165" t="s">
        <v>222</v>
      </c>
      <c r="C432" s="165" t="s">
        <v>223</v>
      </c>
      <c r="D432" s="165" t="s">
        <v>69</v>
      </c>
      <c r="E432" s="166">
        <v>842640</v>
      </c>
      <c r="F432" s="166">
        <v>842640</v>
      </c>
      <c r="G432" s="166">
        <v>842640</v>
      </c>
      <c r="H432" s="166">
        <v>0</v>
      </c>
      <c r="I432" s="166">
        <v>0</v>
      </c>
      <c r="J432" s="166">
        <v>0</v>
      </c>
      <c r="K432" s="166">
        <v>590368.5</v>
      </c>
      <c r="L432" s="167">
        <f t="shared" si="0"/>
        <v>0.70061770150954139</v>
      </c>
      <c r="M432" s="166">
        <v>590368.5</v>
      </c>
      <c r="N432" s="168">
        <f t="shared" si="1"/>
        <v>0.70061770150954139</v>
      </c>
      <c r="O432" s="166">
        <v>252271.5</v>
      </c>
      <c r="P432" s="168">
        <f t="shared" si="2"/>
        <v>0.29938229849045855</v>
      </c>
      <c r="Q432" s="50">
        <v>252271.5</v>
      </c>
      <c r="R432" s="166"/>
      <c r="S432" s="166"/>
      <c r="T432" s="166"/>
      <c r="U432" s="44"/>
    </row>
    <row r="433" spans="1:21" x14ac:dyDescent="0.25">
      <c r="A433" s="165" t="s">
        <v>711</v>
      </c>
      <c r="B433" s="165" t="s">
        <v>224</v>
      </c>
      <c r="C433" s="165" t="s">
        <v>225</v>
      </c>
      <c r="D433" s="165" t="s">
        <v>69</v>
      </c>
      <c r="E433" s="166">
        <v>887300</v>
      </c>
      <c r="F433" s="166">
        <v>162000</v>
      </c>
      <c r="G433" s="166">
        <v>160725</v>
      </c>
      <c r="H433" s="166">
        <v>0</v>
      </c>
      <c r="I433" s="166">
        <v>31803.85</v>
      </c>
      <c r="J433" s="166">
        <v>0</v>
      </c>
      <c r="K433" s="166">
        <v>0</v>
      </c>
      <c r="L433" s="167">
        <f t="shared" si="0"/>
        <v>0</v>
      </c>
      <c r="M433" s="166">
        <v>0</v>
      </c>
      <c r="N433" s="168">
        <f t="shared" si="1"/>
        <v>0</v>
      </c>
      <c r="O433" s="166">
        <v>130196.15</v>
      </c>
      <c r="P433" s="168">
        <f t="shared" si="2"/>
        <v>0.80367993827160489</v>
      </c>
      <c r="Q433" s="50">
        <v>128921.15</v>
      </c>
      <c r="R433" s="166"/>
      <c r="S433" s="166">
        <v>1275</v>
      </c>
      <c r="T433" s="166"/>
      <c r="U433" s="159"/>
    </row>
    <row r="434" spans="1:21" x14ac:dyDescent="0.25">
      <c r="A434" s="165" t="s">
        <v>711</v>
      </c>
      <c r="B434" s="165" t="s">
        <v>228</v>
      </c>
      <c r="C434" s="165" t="s">
        <v>229</v>
      </c>
      <c r="D434" s="165" t="s">
        <v>69</v>
      </c>
      <c r="E434" s="166">
        <v>499200</v>
      </c>
      <c r="F434" s="166">
        <v>117000</v>
      </c>
      <c r="G434" s="166">
        <v>117000</v>
      </c>
      <c r="H434" s="166">
        <v>0</v>
      </c>
      <c r="I434" s="166">
        <v>0</v>
      </c>
      <c r="J434" s="166">
        <v>0</v>
      </c>
      <c r="K434" s="166">
        <v>0</v>
      </c>
      <c r="L434" s="167">
        <f t="shared" si="0"/>
        <v>0</v>
      </c>
      <c r="M434" s="166">
        <v>0</v>
      </c>
      <c r="N434" s="168">
        <f t="shared" si="1"/>
        <v>0</v>
      </c>
      <c r="O434" s="166">
        <v>117000</v>
      </c>
      <c r="P434" s="168">
        <f t="shared" si="2"/>
        <v>1</v>
      </c>
      <c r="Q434" s="50">
        <v>117000</v>
      </c>
      <c r="R434" s="166"/>
      <c r="S434" s="166"/>
      <c r="T434" s="166"/>
      <c r="U434" s="159"/>
    </row>
    <row r="435" spans="1:21" hidden="1" x14ac:dyDescent="0.25">
      <c r="A435" s="165" t="s">
        <v>711</v>
      </c>
      <c r="B435" s="165" t="s">
        <v>222</v>
      </c>
      <c r="C435" s="165" t="s">
        <v>223</v>
      </c>
      <c r="D435" s="165" t="s">
        <v>85</v>
      </c>
      <c r="E435" s="166">
        <v>0</v>
      </c>
      <c r="F435" s="166">
        <v>0</v>
      </c>
      <c r="G435" s="166">
        <v>0</v>
      </c>
      <c r="H435" s="166">
        <v>0</v>
      </c>
      <c r="I435" s="166">
        <v>0</v>
      </c>
      <c r="J435" s="166">
        <v>0</v>
      </c>
      <c r="K435" s="166">
        <v>0</v>
      </c>
      <c r="L435" s="167" t="e">
        <f t="shared" si="0"/>
        <v>#DIV/0!</v>
      </c>
      <c r="M435" s="166">
        <v>0</v>
      </c>
      <c r="N435" s="168" t="e">
        <f t="shared" si="1"/>
        <v>#DIV/0!</v>
      </c>
      <c r="O435" s="166">
        <v>0</v>
      </c>
      <c r="P435" s="168" t="e">
        <f t="shared" si="2"/>
        <v>#DIV/0!</v>
      </c>
      <c r="Q435" s="50">
        <v>0</v>
      </c>
      <c r="R435" s="166"/>
      <c r="S435" s="166"/>
      <c r="T435" s="166"/>
      <c r="U435" s="159"/>
    </row>
    <row r="436" spans="1:21" hidden="1" x14ac:dyDescent="0.25">
      <c r="A436" s="165" t="s">
        <v>711</v>
      </c>
      <c r="B436" s="165" t="s">
        <v>248</v>
      </c>
      <c r="C436" s="165" t="s">
        <v>249</v>
      </c>
      <c r="D436" s="165" t="s">
        <v>69</v>
      </c>
      <c r="E436" s="166">
        <v>236354526</v>
      </c>
      <c r="F436" s="166">
        <v>232014843</v>
      </c>
      <c r="G436" s="166">
        <v>231974843</v>
      </c>
      <c r="H436" s="166">
        <v>0</v>
      </c>
      <c r="I436" s="166">
        <v>52876726</v>
      </c>
      <c r="J436" s="166">
        <v>0</v>
      </c>
      <c r="K436" s="166">
        <v>177748494.5</v>
      </c>
      <c r="L436" s="167">
        <f t="shared" si="0"/>
        <v>0.76610828945973941</v>
      </c>
      <c r="M436" s="166">
        <v>177748494.5</v>
      </c>
      <c r="N436" s="168">
        <f t="shared" si="1"/>
        <v>0.76610828945973941</v>
      </c>
      <c r="O436" s="166">
        <v>1389622.5</v>
      </c>
      <c r="P436" s="168">
        <f t="shared" si="2"/>
        <v>5.9893689646399045E-3</v>
      </c>
      <c r="Q436" s="50">
        <v>1349622.5</v>
      </c>
      <c r="R436" s="166"/>
      <c r="S436" s="166"/>
      <c r="T436" s="166"/>
      <c r="U436" s="159"/>
    </row>
    <row r="437" spans="1:21" hidden="1" x14ac:dyDescent="0.25">
      <c r="A437" s="165" t="s">
        <v>711</v>
      </c>
      <c r="B437" s="165" t="s">
        <v>250</v>
      </c>
      <c r="C437" s="165" t="s">
        <v>251</v>
      </c>
      <c r="D437" s="165" t="s">
        <v>69</v>
      </c>
      <c r="E437" s="166">
        <v>180354526</v>
      </c>
      <c r="F437" s="166">
        <v>176014843</v>
      </c>
      <c r="G437" s="166">
        <v>175974843</v>
      </c>
      <c r="H437" s="166">
        <v>0</v>
      </c>
      <c r="I437" s="166">
        <v>52876726</v>
      </c>
      <c r="J437" s="166">
        <v>0</v>
      </c>
      <c r="K437" s="166">
        <v>121787975</v>
      </c>
      <c r="L437" s="167">
        <f t="shared" si="0"/>
        <v>0.69191877755445885</v>
      </c>
      <c r="M437" s="166">
        <v>121787975</v>
      </c>
      <c r="N437" s="168">
        <f t="shared" si="1"/>
        <v>0.69191877755445885</v>
      </c>
      <c r="O437" s="166">
        <v>1350142</v>
      </c>
      <c r="P437" s="168">
        <f t="shared" si="2"/>
        <v>7.6706144606225055E-3</v>
      </c>
      <c r="Q437" s="50">
        <v>1310142</v>
      </c>
      <c r="R437" s="166"/>
      <c r="S437" s="166"/>
      <c r="T437" s="166"/>
      <c r="U437" s="159"/>
    </row>
    <row r="438" spans="1:21" hidden="1" x14ac:dyDescent="0.25">
      <c r="A438" s="165" t="s">
        <v>711</v>
      </c>
      <c r="B438" s="165" t="s">
        <v>630</v>
      </c>
      <c r="C438" s="165" t="s">
        <v>702</v>
      </c>
      <c r="D438" s="165" t="s">
        <v>69</v>
      </c>
      <c r="E438" s="166">
        <v>153192762</v>
      </c>
      <c r="F438" s="166">
        <v>149506644</v>
      </c>
      <c r="G438" s="166">
        <v>149466644</v>
      </c>
      <c r="H438" s="166">
        <v>0</v>
      </c>
      <c r="I438" s="166">
        <v>45101678</v>
      </c>
      <c r="J438" s="166">
        <v>0</v>
      </c>
      <c r="K438" s="166">
        <v>103258158</v>
      </c>
      <c r="L438" s="167">
        <f t="shared" si="0"/>
        <v>0.69065932615008063</v>
      </c>
      <c r="M438" s="166">
        <v>103258158</v>
      </c>
      <c r="N438" s="168">
        <f t="shared" si="1"/>
        <v>0.69065932615008063</v>
      </c>
      <c r="O438" s="166">
        <v>1146808</v>
      </c>
      <c r="P438" s="168">
        <f t="shared" si="2"/>
        <v>7.6706156282927464E-3</v>
      </c>
      <c r="Q438" s="50">
        <v>1106808</v>
      </c>
      <c r="R438" s="166"/>
      <c r="S438" s="166"/>
      <c r="T438" s="166"/>
      <c r="U438" s="159"/>
    </row>
    <row r="439" spans="1:21" hidden="1" x14ac:dyDescent="0.25">
      <c r="A439" s="165" t="s">
        <v>711</v>
      </c>
      <c r="B439" s="165" t="s">
        <v>645</v>
      </c>
      <c r="C439" s="165" t="s">
        <v>703</v>
      </c>
      <c r="D439" s="165" t="s">
        <v>69</v>
      </c>
      <c r="E439" s="166">
        <v>27161764</v>
      </c>
      <c r="F439" s="166">
        <v>26508199</v>
      </c>
      <c r="G439" s="166">
        <v>26508199</v>
      </c>
      <c r="H439" s="166">
        <v>0</v>
      </c>
      <c r="I439" s="166">
        <v>7775048</v>
      </c>
      <c r="J439" s="166">
        <v>0</v>
      </c>
      <c r="K439" s="166">
        <v>18529817</v>
      </c>
      <c r="L439" s="167">
        <f t="shared" si="0"/>
        <v>0.69902210255777841</v>
      </c>
      <c r="M439" s="166">
        <v>18529817</v>
      </c>
      <c r="N439" s="168">
        <f t="shared" si="1"/>
        <v>0.69902210255777841</v>
      </c>
      <c r="O439" s="166">
        <v>203334</v>
      </c>
      <c r="P439" s="168">
        <f t="shared" si="2"/>
        <v>7.6706078749446543E-3</v>
      </c>
      <c r="Q439" s="50">
        <v>203334</v>
      </c>
      <c r="R439" s="166"/>
      <c r="S439" s="166"/>
      <c r="T439" s="166"/>
      <c r="U439" s="159"/>
    </row>
    <row r="440" spans="1:21" hidden="1" x14ac:dyDescent="0.25">
      <c r="A440" s="165" t="s">
        <v>711</v>
      </c>
      <c r="B440" s="165" t="s">
        <v>260</v>
      </c>
      <c r="C440" s="165" t="s">
        <v>261</v>
      </c>
      <c r="D440" s="165" t="s">
        <v>69</v>
      </c>
      <c r="E440" s="166">
        <v>56000000</v>
      </c>
      <c r="F440" s="166">
        <v>56000000</v>
      </c>
      <c r="G440" s="166">
        <v>56000000</v>
      </c>
      <c r="H440" s="166">
        <v>0</v>
      </c>
      <c r="I440" s="166">
        <v>0</v>
      </c>
      <c r="J440" s="166">
        <v>0</v>
      </c>
      <c r="K440" s="166">
        <v>55960519.5</v>
      </c>
      <c r="L440" s="167">
        <f t="shared" si="0"/>
        <v>0.99929499107142861</v>
      </c>
      <c r="M440" s="166">
        <v>55960519.5</v>
      </c>
      <c r="N440" s="168">
        <f t="shared" si="1"/>
        <v>0.99929499107142861</v>
      </c>
      <c r="O440" s="166">
        <v>39480.5</v>
      </c>
      <c r="P440" s="168">
        <f t="shared" si="2"/>
        <v>7.0500892857142854E-4</v>
      </c>
      <c r="Q440" s="50">
        <v>39480.5</v>
      </c>
      <c r="R440" s="166"/>
      <c r="S440" s="166"/>
      <c r="T440" s="166"/>
      <c r="U440" s="159"/>
    </row>
    <row r="441" spans="1:21" hidden="1" x14ac:dyDescent="0.25">
      <c r="A441" s="165" t="s">
        <v>711</v>
      </c>
      <c r="B441" s="165" t="s">
        <v>264</v>
      </c>
      <c r="C441" s="165" t="s">
        <v>265</v>
      </c>
      <c r="D441" s="165" t="s">
        <v>69</v>
      </c>
      <c r="E441" s="166">
        <v>56000000</v>
      </c>
      <c r="F441" s="166">
        <v>56000000</v>
      </c>
      <c r="G441" s="166">
        <v>56000000</v>
      </c>
      <c r="H441" s="166">
        <v>0</v>
      </c>
      <c r="I441" s="166">
        <v>0</v>
      </c>
      <c r="J441" s="166">
        <v>0</v>
      </c>
      <c r="K441" s="166">
        <v>55960519.5</v>
      </c>
      <c r="L441" s="167">
        <f t="shared" si="0"/>
        <v>0.99929499107142861</v>
      </c>
      <c r="M441" s="166">
        <v>55960519.5</v>
      </c>
      <c r="N441" s="168">
        <f t="shared" si="1"/>
        <v>0.99929499107142861</v>
      </c>
      <c r="O441" s="166">
        <v>39480.5</v>
      </c>
      <c r="P441" s="168">
        <f t="shared" si="2"/>
        <v>7.0500892857142854E-4</v>
      </c>
      <c r="Q441" s="50">
        <v>39480.5</v>
      </c>
      <c r="R441" s="166"/>
      <c r="S441" s="166"/>
      <c r="T441" s="166"/>
      <c r="U441" s="159"/>
    </row>
    <row r="442" spans="1:21" hidden="1" x14ac:dyDescent="0.25">
      <c r="A442" s="165" t="s">
        <v>711</v>
      </c>
      <c r="B442" s="165" t="s">
        <v>230</v>
      </c>
      <c r="C442" s="165" t="s">
        <v>231</v>
      </c>
      <c r="D442" s="165" t="s">
        <v>85</v>
      </c>
      <c r="E442" s="166">
        <v>53324000</v>
      </c>
      <c r="F442" s="166">
        <v>51342000</v>
      </c>
      <c r="G442" s="166">
        <v>51194969</v>
      </c>
      <c r="H442" s="166">
        <v>41524067.979999997</v>
      </c>
      <c r="I442" s="166">
        <v>0</v>
      </c>
      <c r="J442" s="166">
        <v>823993.91</v>
      </c>
      <c r="K442" s="166">
        <v>8800000</v>
      </c>
      <c r="L442" s="167">
        <f t="shared" si="0"/>
        <v>0.17139963382805501</v>
      </c>
      <c r="M442" s="166">
        <v>8800000</v>
      </c>
      <c r="N442" s="168">
        <f t="shared" si="1"/>
        <v>0.17139963382805501</v>
      </c>
      <c r="O442" s="166">
        <v>193938.11</v>
      </c>
      <c r="P442" s="168">
        <f t="shared" si="2"/>
        <v>3.7773773908301193E-3</v>
      </c>
      <c r="Q442" s="50">
        <v>46907.11</v>
      </c>
      <c r="R442" s="166"/>
      <c r="S442" s="166"/>
      <c r="T442" s="166"/>
      <c r="U442" s="159"/>
    </row>
    <row r="443" spans="1:21" hidden="1" x14ac:dyDescent="0.25">
      <c r="A443" s="165" t="s">
        <v>711</v>
      </c>
      <c r="B443" s="165" t="s">
        <v>232</v>
      </c>
      <c r="C443" s="165" t="s">
        <v>233</v>
      </c>
      <c r="D443" s="165" t="s">
        <v>85</v>
      </c>
      <c r="E443" s="166">
        <v>45824000</v>
      </c>
      <c r="F443" s="166">
        <v>42525000</v>
      </c>
      <c r="G443" s="166">
        <v>42377969</v>
      </c>
      <c r="H443" s="166">
        <v>41524067.979999997</v>
      </c>
      <c r="I443" s="166">
        <v>0</v>
      </c>
      <c r="J443" s="166">
        <v>823993.91</v>
      </c>
      <c r="K443" s="166">
        <v>0</v>
      </c>
      <c r="L443" s="167">
        <f t="shared" si="0"/>
        <v>0</v>
      </c>
      <c r="M443" s="166">
        <v>0</v>
      </c>
      <c r="N443" s="168">
        <f t="shared" si="1"/>
        <v>0</v>
      </c>
      <c r="O443" s="166">
        <v>176938.11</v>
      </c>
      <c r="P443" s="168">
        <f t="shared" si="2"/>
        <v>4.1608021164021161E-3</v>
      </c>
      <c r="Q443" s="50">
        <v>29907.11</v>
      </c>
      <c r="R443" s="166"/>
      <c r="S443" s="166"/>
      <c r="T443" s="166"/>
      <c r="U443" s="159"/>
    </row>
    <row r="444" spans="1:21" hidden="1" x14ac:dyDescent="0.25">
      <c r="A444" s="165" t="s">
        <v>711</v>
      </c>
      <c r="B444" s="165" t="s">
        <v>234</v>
      </c>
      <c r="C444" s="165" t="s">
        <v>235</v>
      </c>
      <c r="D444" s="165" t="s">
        <v>85</v>
      </c>
      <c r="E444" s="166">
        <v>3490000</v>
      </c>
      <c r="F444" s="166">
        <v>790000</v>
      </c>
      <c r="G444" s="166">
        <v>754000</v>
      </c>
      <c r="H444" s="166">
        <v>0</v>
      </c>
      <c r="I444" s="166">
        <v>0</v>
      </c>
      <c r="J444" s="166">
        <v>749985.6</v>
      </c>
      <c r="K444" s="166">
        <v>0</v>
      </c>
      <c r="L444" s="167">
        <f t="shared" si="0"/>
        <v>0</v>
      </c>
      <c r="M444" s="166">
        <v>0</v>
      </c>
      <c r="N444" s="168">
        <f t="shared" si="1"/>
        <v>0</v>
      </c>
      <c r="O444" s="166">
        <v>40014.400000000001</v>
      </c>
      <c r="P444" s="168">
        <f t="shared" si="2"/>
        <v>5.0651139240506328E-2</v>
      </c>
      <c r="Q444" s="50">
        <v>4014.4</v>
      </c>
      <c r="R444" s="166"/>
      <c r="S444" s="166"/>
      <c r="T444" s="166"/>
      <c r="U444" s="159"/>
    </row>
    <row r="445" spans="1:21" hidden="1" x14ac:dyDescent="0.25">
      <c r="A445" s="165" t="s">
        <v>711</v>
      </c>
      <c r="B445" s="165" t="s">
        <v>238</v>
      </c>
      <c r="C445" s="165" t="s">
        <v>239</v>
      </c>
      <c r="D445" s="165" t="s">
        <v>85</v>
      </c>
      <c r="E445" s="166">
        <v>420000</v>
      </c>
      <c r="F445" s="166">
        <v>0</v>
      </c>
      <c r="G445" s="166">
        <v>0</v>
      </c>
      <c r="H445" s="166">
        <v>0</v>
      </c>
      <c r="I445" s="166">
        <v>0</v>
      </c>
      <c r="J445" s="166">
        <v>0</v>
      </c>
      <c r="K445" s="166">
        <v>0</v>
      </c>
      <c r="L445" s="167" t="e">
        <f t="shared" si="0"/>
        <v>#DIV/0!</v>
      </c>
      <c r="M445" s="166">
        <v>0</v>
      </c>
      <c r="N445" s="168" t="e">
        <f t="shared" si="1"/>
        <v>#DIV/0!</v>
      </c>
      <c r="O445" s="166">
        <v>0</v>
      </c>
      <c r="P445" s="168" t="e">
        <f t="shared" si="2"/>
        <v>#DIV/0!</v>
      </c>
      <c r="Q445" s="50">
        <v>0</v>
      </c>
      <c r="R445" s="166"/>
      <c r="S445" s="166"/>
      <c r="T445" s="166"/>
      <c r="U445" s="159"/>
    </row>
    <row r="446" spans="1:21" hidden="1" x14ac:dyDescent="0.25">
      <c r="A446" s="165" t="s">
        <v>711</v>
      </c>
      <c r="B446" s="165" t="s">
        <v>326</v>
      </c>
      <c r="C446" s="165" t="s">
        <v>327</v>
      </c>
      <c r="D446" s="165" t="s">
        <v>85</v>
      </c>
      <c r="E446" s="166">
        <v>41125000</v>
      </c>
      <c r="F446" s="166">
        <v>41545000</v>
      </c>
      <c r="G446" s="166">
        <v>41524069</v>
      </c>
      <c r="H446" s="166">
        <v>41524067.979999997</v>
      </c>
      <c r="I446" s="166">
        <v>0</v>
      </c>
      <c r="J446" s="166">
        <v>0</v>
      </c>
      <c r="K446" s="166">
        <v>0</v>
      </c>
      <c r="L446" s="167">
        <f t="shared" si="0"/>
        <v>0</v>
      </c>
      <c r="M446" s="166">
        <v>0</v>
      </c>
      <c r="N446" s="168">
        <f t="shared" si="1"/>
        <v>0</v>
      </c>
      <c r="O446" s="166">
        <v>20932.02</v>
      </c>
      <c r="P446" s="168">
        <f t="shared" si="2"/>
        <v>5.0383969190034904E-4</v>
      </c>
      <c r="Q446" s="50">
        <v>1.02</v>
      </c>
      <c r="R446" s="166"/>
      <c r="S446" s="166"/>
      <c r="T446" s="166"/>
      <c r="U446" s="159"/>
    </row>
    <row r="447" spans="1:21" x14ac:dyDescent="0.25">
      <c r="A447" s="165" t="s">
        <v>711</v>
      </c>
      <c r="B447" s="165" t="s">
        <v>242</v>
      </c>
      <c r="C447" s="165" t="s">
        <v>243</v>
      </c>
      <c r="D447" s="165" t="s">
        <v>85</v>
      </c>
      <c r="E447" s="166">
        <v>789000</v>
      </c>
      <c r="F447" s="166">
        <v>190000</v>
      </c>
      <c r="G447" s="166">
        <v>99900</v>
      </c>
      <c r="H447" s="166">
        <v>0</v>
      </c>
      <c r="I447" s="166">
        <v>0</v>
      </c>
      <c r="J447" s="166">
        <v>74008.31</v>
      </c>
      <c r="K447" s="166">
        <v>0</v>
      </c>
      <c r="L447" s="167">
        <f t="shared" si="0"/>
        <v>0</v>
      </c>
      <c r="M447" s="166">
        <v>0</v>
      </c>
      <c r="N447" s="168">
        <f t="shared" si="1"/>
        <v>0</v>
      </c>
      <c r="O447" s="166">
        <v>115991.69</v>
      </c>
      <c r="P447" s="168">
        <f t="shared" si="2"/>
        <v>0.61048257894736846</v>
      </c>
      <c r="Q447" s="50">
        <v>25891.69</v>
      </c>
      <c r="R447" s="166"/>
      <c r="S447" s="166">
        <v>90100</v>
      </c>
      <c r="T447" s="166"/>
      <c r="U447" s="159"/>
    </row>
    <row r="448" spans="1:21" hidden="1" x14ac:dyDescent="0.25">
      <c r="A448" s="49" t="s">
        <v>711</v>
      </c>
      <c r="B448" s="49" t="s">
        <v>244</v>
      </c>
      <c r="C448" s="49" t="s">
        <v>245</v>
      </c>
      <c r="D448" s="49" t="s">
        <v>85</v>
      </c>
      <c r="E448" s="50">
        <v>7500000</v>
      </c>
      <c r="F448" s="50">
        <v>8817000</v>
      </c>
      <c r="G448" s="50">
        <v>8817000</v>
      </c>
      <c r="H448" s="50">
        <v>0</v>
      </c>
      <c r="I448" s="50">
        <v>0</v>
      </c>
      <c r="J448" s="50">
        <v>0</v>
      </c>
      <c r="K448" s="50">
        <v>8800000</v>
      </c>
      <c r="L448" s="151">
        <f t="shared" si="0"/>
        <v>0.99807190654417599</v>
      </c>
      <c r="M448" s="50">
        <v>8800000</v>
      </c>
      <c r="N448" s="152">
        <f t="shared" si="1"/>
        <v>0.99807190654417599</v>
      </c>
      <c r="O448" s="50">
        <v>17000</v>
      </c>
      <c r="P448" s="152">
        <f t="shared" si="2"/>
        <v>1.9280934558239763E-3</v>
      </c>
      <c r="Q448" s="50">
        <v>17000</v>
      </c>
      <c r="R448" s="50"/>
      <c r="S448" s="50"/>
      <c r="T448" s="50"/>
      <c r="U448" s="44"/>
    </row>
    <row r="449" spans="1:21" hidden="1" x14ac:dyDescent="0.25">
      <c r="A449" s="49" t="s">
        <v>711</v>
      </c>
      <c r="B449" s="49" t="s">
        <v>611</v>
      </c>
      <c r="C449" s="49" t="s">
        <v>612</v>
      </c>
      <c r="D449" s="49" t="s">
        <v>85</v>
      </c>
      <c r="E449" s="50">
        <v>7500000</v>
      </c>
      <c r="F449" s="50">
        <v>8817000</v>
      </c>
      <c r="G449" s="50">
        <v>8817000</v>
      </c>
      <c r="H449" s="50">
        <v>0</v>
      </c>
      <c r="I449" s="50">
        <v>0</v>
      </c>
      <c r="J449" s="50">
        <v>0</v>
      </c>
      <c r="K449" s="50">
        <v>8800000</v>
      </c>
      <c r="L449" s="151">
        <f t="shared" si="0"/>
        <v>0.99807190654417599</v>
      </c>
      <c r="M449" s="50">
        <v>8800000</v>
      </c>
      <c r="N449" s="152">
        <f t="shared" si="1"/>
        <v>0.99807190654417599</v>
      </c>
      <c r="O449" s="50">
        <v>17000</v>
      </c>
      <c r="P449" s="152">
        <f t="shared" si="2"/>
        <v>1.9280934558239763E-3</v>
      </c>
      <c r="Q449" s="50">
        <v>17000</v>
      </c>
      <c r="R449" s="50"/>
      <c r="S449" s="50"/>
      <c r="T449" s="50"/>
      <c r="U449" s="44"/>
    </row>
    <row r="450" spans="1:21" hidden="1" x14ac:dyDescent="0.25">
      <c r="A450" s="49">
        <v>214789002</v>
      </c>
      <c r="B450" s="49"/>
      <c r="C450" s="49"/>
      <c r="D450" s="49" t="s">
        <v>69</v>
      </c>
      <c r="E450" s="50">
        <v>2218633702</v>
      </c>
      <c r="F450" s="50">
        <v>2188337693</v>
      </c>
      <c r="G450" s="50">
        <v>2007563728.8299999</v>
      </c>
      <c r="H450" s="50">
        <v>41427074.869999997</v>
      </c>
      <c r="I450" s="50">
        <v>108782117.02</v>
      </c>
      <c r="J450" s="50">
        <v>493765.37</v>
      </c>
      <c r="K450" s="50">
        <v>1432815921.23</v>
      </c>
      <c r="L450" s="151">
        <f t="shared" si="0"/>
        <v>0.65475083019099645</v>
      </c>
      <c r="M450" s="50">
        <v>1429589225.6099999</v>
      </c>
      <c r="N450" s="152">
        <f t="shared" si="1"/>
        <v>0.65327633398763552</v>
      </c>
      <c r="O450" s="50">
        <v>604818814.50999999</v>
      </c>
      <c r="P450" s="152">
        <f t="shared" si="2"/>
        <v>0.27638276141962886</v>
      </c>
      <c r="Q450" s="50">
        <v>424044850.33999997</v>
      </c>
      <c r="R450" s="50"/>
      <c r="S450" s="50"/>
      <c r="T450" s="50"/>
      <c r="U450" s="44"/>
    </row>
    <row r="451" spans="1:21" hidden="1" x14ac:dyDescent="0.25">
      <c r="A451" s="49" t="s">
        <v>712</v>
      </c>
      <c r="B451" s="49" t="s">
        <v>71</v>
      </c>
      <c r="C451" s="49" t="s">
        <v>72</v>
      </c>
      <c r="D451" s="49" t="s">
        <v>69</v>
      </c>
      <c r="E451" s="50">
        <v>1258145726</v>
      </c>
      <c r="F451" s="50">
        <v>1228348840</v>
      </c>
      <c r="G451" s="50">
        <v>1225548840</v>
      </c>
      <c r="H451" s="50">
        <v>0</v>
      </c>
      <c r="I451" s="50">
        <v>43145975</v>
      </c>
      <c r="J451" s="50">
        <v>0</v>
      </c>
      <c r="K451" s="50">
        <v>926047916.73000002</v>
      </c>
      <c r="L451" s="151">
        <f t="shared" si="0"/>
        <v>0.75389652073917379</v>
      </c>
      <c r="M451" s="50">
        <v>926047916.73000002</v>
      </c>
      <c r="N451" s="152">
        <f t="shared" si="1"/>
        <v>0.75389652073917379</v>
      </c>
      <c r="O451" s="50">
        <v>259154948.27000001</v>
      </c>
      <c r="P451" s="152">
        <f t="shared" si="2"/>
        <v>0.21097829853447822</v>
      </c>
      <c r="Q451" s="50">
        <v>256354948.27000001</v>
      </c>
      <c r="R451" s="50"/>
      <c r="S451" s="50"/>
      <c r="T451" s="50"/>
      <c r="U451" s="44"/>
    </row>
    <row r="452" spans="1:21" hidden="1" x14ac:dyDescent="0.25">
      <c r="A452" s="49" t="s">
        <v>712</v>
      </c>
      <c r="B452" s="49" t="s">
        <v>73</v>
      </c>
      <c r="C452" s="49" t="s">
        <v>74</v>
      </c>
      <c r="D452" s="49" t="s">
        <v>69</v>
      </c>
      <c r="E452" s="50">
        <v>493376624</v>
      </c>
      <c r="F452" s="50">
        <v>477092402</v>
      </c>
      <c r="G452" s="50">
        <v>477092402</v>
      </c>
      <c r="H452" s="50">
        <v>0</v>
      </c>
      <c r="I452" s="50">
        <v>0</v>
      </c>
      <c r="J452" s="50">
        <v>0</v>
      </c>
      <c r="K452" s="50">
        <v>381551464.77999997</v>
      </c>
      <c r="L452" s="151">
        <f t="shared" si="0"/>
        <v>0.79974332682833205</v>
      </c>
      <c r="M452" s="50">
        <v>381551464.77999997</v>
      </c>
      <c r="N452" s="152">
        <f t="shared" si="1"/>
        <v>0.79974332682833205</v>
      </c>
      <c r="O452" s="50">
        <v>95540937.219999999</v>
      </c>
      <c r="P452" s="152">
        <f t="shared" si="2"/>
        <v>0.2002566731716679</v>
      </c>
      <c r="Q452" s="50">
        <v>95540937.219999999</v>
      </c>
      <c r="R452" s="50"/>
      <c r="S452" s="50"/>
      <c r="T452" s="50"/>
      <c r="U452" s="44"/>
    </row>
    <row r="453" spans="1:21" hidden="1" x14ac:dyDescent="0.25">
      <c r="A453" s="49" t="s">
        <v>712</v>
      </c>
      <c r="B453" s="49" t="s">
        <v>75</v>
      </c>
      <c r="C453" s="49" t="s">
        <v>76</v>
      </c>
      <c r="D453" s="49" t="s">
        <v>69</v>
      </c>
      <c r="E453" s="50">
        <v>493376624</v>
      </c>
      <c r="F453" s="50">
        <v>477092402</v>
      </c>
      <c r="G453" s="50">
        <v>477092402</v>
      </c>
      <c r="H453" s="50">
        <v>0</v>
      </c>
      <c r="I453" s="50">
        <v>0</v>
      </c>
      <c r="J453" s="50">
        <v>0</v>
      </c>
      <c r="K453" s="50">
        <v>381551464.77999997</v>
      </c>
      <c r="L453" s="151">
        <f t="shared" si="0"/>
        <v>0.79974332682833205</v>
      </c>
      <c r="M453" s="50">
        <v>381551464.77999997</v>
      </c>
      <c r="N453" s="152">
        <f t="shared" si="1"/>
        <v>0.79974332682833205</v>
      </c>
      <c r="O453" s="50">
        <v>95540937.219999999</v>
      </c>
      <c r="P453" s="152">
        <f t="shared" si="2"/>
        <v>0.2002566731716679</v>
      </c>
      <c r="Q453" s="50">
        <v>95540937.219999999</v>
      </c>
      <c r="R453" s="50"/>
      <c r="S453" s="50"/>
      <c r="T453" s="50"/>
      <c r="U453" s="44"/>
    </row>
    <row r="454" spans="1:21" hidden="1" x14ac:dyDescent="0.25">
      <c r="A454" s="49" t="s">
        <v>712</v>
      </c>
      <c r="B454" s="49" t="s">
        <v>77</v>
      </c>
      <c r="C454" s="49" t="s">
        <v>78</v>
      </c>
      <c r="D454" s="49" t="s">
        <v>69</v>
      </c>
      <c r="E454" s="50">
        <v>572843880</v>
      </c>
      <c r="F454" s="50">
        <v>563876622</v>
      </c>
      <c r="G454" s="50">
        <v>563876622</v>
      </c>
      <c r="H454" s="50">
        <v>0</v>
      </c>
      <c r="I454" s="50">
        <v>0</v>
      </c>
      <c r="J454" s="50">
        <v>0</v>
      </c>
      <c r="K454" s="50">
        <v>404393440.94999999</v>
      </c>
      <c r="L454" s="151">
        <f t="shared" si="0"/>
        <v>0.71716653106785477</v>
      </c>
      <c r="M454" s="50">
        <v>404393440.94999999</v>
      </c>
      <c r="N454" s="152">
        <f t="shared" si="1"/>
        <v>0.71716653106785477</v>
      </c>
      <c r="O454" s="50">
        <v>159483181.05000001</v>
      </c>
      <c r="P454" s="152">
        <f t="shared" si="2"/>
        <v>0.28283346893214523</v>
      </c>
      <c r="Q454" s="50">
        <v>159483181.05000001</v>
      </c>
      <c r="R454" s="50"/>
      <c r="S454" s="50"/>
      <c r="T454" s="50"/>
      <c r="U454" s="44"/>
    </row>
    <row r="455" spans="1:21" hidden="1" x14ac:dyDescent="0.25">
      <c r="A455" s="49" t="s">
        <v>712</v>
      </c>
      <c r="B455" s="49" t="s">
        <v>79</v>
      </c>
      <c r="C455" s="49" t="s">
        <v>80</v>
      </c>
      <c r="D455" s="49" t="s">
        <v>69</v>
      </c>
      <c r="E455" s="50">
        <v>166263500</v>
      </c>
      <c r="F455" s="50">
        <v>166263500</v>
      </c>
      <c r="G455" s="50">
        <v>166263500</v>
      </c>
      <c r="H455" s="50">
        <v>0</v>
      </c>
      <c r="I455" s="50">
        <v>0</v>
      </c>
      <c r="J455" s="50">
        <v>0</v>
      </c>
      <c r="K455" s="50">
        <v>124221456.68000001</v>
      </c>
      <c r="L455" s="151">
        <f t="shared" si="0"/>
        <v>0.74713606221449691</v>
      </c>
      <c r="M455" s="50">
        <v>124221456.68000001</v>
      </c>
      <c r="N455" s="152">
        <f t="shared" si="1"/>
        <v>0.74713606221449691</v>
      </c>
      <c r="O455" s="50">
        <v>42042043.32</v>
      </c>
      <c r="P455" s="152">
        <f t="shared" si="2"/>
        <v>0.25286393778550315</v>
      </c>
      <c r="Q455" s="50">
        <v>42042043.32</v>
      </c>
      <c r="R455" s="50"/>
      <c r="S455" s="50"/>
      <c r="T455" s="50"/>
      <c r="U455" s="44"/>
    </row>
    <row r="456" spans="1:21" hidden="1" x14ac:dyDescent="0.25">
      <c r="A456" s="49" t="s">
        <v>712</v>
      </c>
      <c r="B456" s="49" t="s">
        <v>81</v>
      </c>
      <c r="C456" s="49" t="s">
        <v>82</v>
      </c>
      <c r="D456" s="49" t="s">
        <v>69</v>
      </c>
      <c r="E456" s="50">
        <v>139725380</v>
      </c>
      <c r="F456" s="50">
        <v>133724590</v>
      </c>
      <c r="G456" s="50">
        <v>133724590</v>
      </c>
      <c r="H456" s="50">
        <v>0</v>
      </c>
      <c r="I456" s="50">
        <v>0</v>
      </c>
      <c r="J456" s="50">
        <v>0</v>
      </c>
      <c r="K456" s="50">
        <v>121322307.91</v>
      </c>
      <c r="L456" s="151">
        <f t="shared" si="0"/>
        <v>0.90725503746169645</v>
      </c>
      <c r="M456" s="50">
        <v>121322307.91</v>
      </c>
      <c r="N456" s="152">
        <f t="shared" si="1"/>
        <v>0.90725503746169645</v>
      </c>
      <c r="O456" s="50">
        <v>12402282.09</v>
      </c>
      <c r="P456" s="152">
        <f t="shared" si="2"/>
        <v>9.2744962538303541E-2</v>
      </c>
      <c r="Q456" s="50">
        <v>12402282.09</v>
      </c>
      <c r="R456" s="50"/>
      <c r="S456" s="50"/>
      <c r="T456" s="50"/>
      <c r="U456" s="44"/>
    </row>
    <row r="457" spans="1:21" hidden="1" x14ac:dyDescent="0.25">
      <c r="A457" s="49" t="s">
        <v>712</v>
      </c>
      <c r="B457" s="49" t="s">
        <v>86</v>
      </c>
      <c r="C457" s="49" t="s">
        <v>87</v>
      </c>
      <c r="D457" s="49" t="s">
        <v>69</v>
      </c>
      <c r="E457" s="50">
        <v>75278800</v>
      </c>
      <c r="F457" s="50">
        <v>75278800</v>
      </c>
      <c r="G457" s="50">
        <v>75278800</v>
      </c>
      <c r="H457" s="50">
        <v>0</v>
      </c>
      <c r="I457" s="50">
        <v>0</v>
      </c>
      <c r="J457" s="50">
        <v>0</v>
      </c>
      <c r="K457" s="50">
        <v>63401849.280000001</v>
      </c>
      <c r="L457" s="151">
        <f t="shared" si="0"/>
        <v>0.84222715133609993</v>
      </c>
      <c r="M457" s="50">
        <v>63401849.280000001</v>
      </c>
      <c r="N457" s="152">
        <f t="shared" si="1"/>
        <v>0.84222715133609993</v>
      </c>
      <c r="O457" s="50">
        <v>11876950.720000001</v>
      </c>
      <c r="P457" s="152">
        <f t="shared" si="2"/>
        <v>0.15777284866390007</v>
      </c>
      <c r="Q457" s="50">
        <v>11876950.720000001</v>
      </c>
      <c r="R457" s="50"/>
      <c r="S457" s="50"/>
      <c r="T457" s="50"/>
      <c r="U457" s="44"/>
    </row>
    <row r="458" spans="1:21" hidden="1" x14ac:dyDescent="0.25">
      <c r="A458" s="49" t="s">
        <v>712</v>
      </c>
      <c r="B458" s="49" t="s">
        <v>88</v>
      </c>
      <c r="C458" s="49" t="s">
        <v>89</v>
      </c>
      <c r="D458" s="49" t="s">
        <v>69</v>
      </c>
      <c r="E458" s="50">
        <v>109589600</v>
      </c>
      <c r="F458" s="50">
        <v>108564836</v>
      </c>
      <c r="G458" s="50">
        <v>108564836</v>
      </c>
      <c r="H458" s="50">
        <v>0</v>
      </c>
      <c r="I458" s="50">
        <v>0</v>
      </c>
      <c r="J458" s="50">
        <v>0</v>
      </c>
      <c r="K458" s="50">
        <v>95405343.769999996</v>
      </c>
      <c r="L458" s="151">
        <f t="shared" si="0"/>
        <v>0.87878679031947315</v>
      </c>
      <c r="M458" s="50">
        <v>95405343.769999996</v>
      </c>
      <c r="N458" s="152">
        <f t="shared" si="1"/>
        <v>0.87878679031947315</v>
      </c>
      <c r="O458" s="50">
        <v>13159492.23</v>
      </c>
      <c r="P458" s="152">
        <f t="shared" si="2"/>
        <v>0.12121320968052676</v>
      </c>
      <c r="Q458" s="50">
        <v>13159492.23</v>
      </c>
      <c r="R458" s="50"/>
      <c r="S458" s="50"/>
      <c r="T458" s="50"/>
      <c r="U458" s="44"/>
    </row>
    <row r="459" spans="1:21" hidden="1" x14ac:dyDescent="0.25">
      <c r="A459" s="49" t="s">
        <v>712</v>
      </c>
      <c r="B459" s="49" t="s">
        <v>83</v>
      </c>
      <c r="C459" s="49" t="s">
        <v>84</v>
      </c>
      <c r="D459" s="49" t="s">
        <v>85</v>
      </c>
      <c r="E459" s="50">
        <v>81986600</v>
      </c>
      <c r="F459" s="50">
        <v>80044896</v>
      </c>
      <c r="G459" s="50">
        <v>80044896</v>
      </c>
      <c r="H459" s="50">
        <v>0</v>
      </c>
      <c r="I459" s="50">
        <v>0</v>
      </c>
      <c r="J459" s="50">
        <v>0</v>
      </c>
      <c r="K459" s="50">
        <v>42483.31</v>
      </c>
      <c r="L459" s="151">
        <f t="shared" si="0"/>
        <v>5.3074352173560196E-4</v>
      </c>
      <c r="M459" s="50">
        <v>42483.31</v>
      </c>
      <c r="N459" s="152">
        <f t="shared" si="1"/>
        <v>5.3074352173560196E-4</v>
      </c>
      <c r="O459" s="50">
        <v>80002412.689999998</v>
      </c>
      <c r="P459" s="152">
        <f t="shared" si="2"/>
        <v>0.99946925647826435</v>
      </c>
      <c r="Q459" s="50">
        <v>80002412.689999998</v>
      </c>
      <c r="R459" s="50"/>
      <c r="S459" s="50"/>
      <c r="T459" s="50"/>
      <c r="U459" s="44"/>
    </row>
    <row r="460" spans="1:21" hidden="1" x14ac:dyDescent="0.25">
      <c r="A460" s="49" t="s">
        <v>712</v>
      </c>
      <c r="B460" s="49" t="s">
        <v>90</v>
      </c>
      <c r="C460" s="49" t="s">
        <v>91</v>
      </c>
      <c r="D460" s="49" t="s">
        <v>69</v>
      </c>
      <c r="E460" s="50">
        <v>95962711</v>
      </c>
      <c r="F460" s="50">
        <v>93690008</v>
      </c>
      <c r="G460" s="50">
        <v>93690008</v>
      </c>
      <c r="H460" s="50">
        <v>0</v>
      </c>
      <c r="I460" s="50">
        <v>22909849</v>
      </c>
      <c r="J460" s="50">
        <v>0</v>
      </c>
      <c r="K460" s="50">
        <v>70114744</v>
      </c>
      <c r="L460" s="151">
        <f t="shared" si="0"/>
        <v>0.74836949528278407</v>
      </c>
      <c r="M460" s="50">
        <v>70114744</v>
      </c>
      <c r="N460" s="152">
        <f t="shared" si="1"/>
        <v>0.74836949528278407</v>
      </c>
      <c r="O460" s="50">
        <v>665415</v>
      </c>
      <c r="P460" s="152">
        <f t="shared" si="2"/>
        <v>7.1023048690528447E-3</v>
      </c>
      <c r="Q460" s="50">
        <v>665415</v>
      </c>
      <c r="R460" s="50"/>
      <c r="S460" s="50"/>
      <c r="T460" s="50"/>
      <c r="U460" s="44"/>
    </row>
    <row r="461" spans="1:21" hidden="1" x14ac:dyDescent="0.25">
      <c r="A461" s="49" t="s">
        <v>712</v>
      </c>
      <c r="B461" s="49" t="s">
        <v>422</v>
      </c>
      <c r="C461" s="49" t="s">
        <v>697</v>
      </c>
      <c r="D461" s="49" t="s">
        <v>69</v>
      </c>
      <c r="E461" s="50">
        <v>91041575</v>
      </c>
      <c r="F461" s="50">
        <v>88885421</v>
      </c>
      <c r="G461" s="50">
        <v>88885421</v>
      </c>
      <c r="H461" s="50">
        <v>0</v>
      </c>
      <c r="I461" s="50">
        <v>21735012</v>
      </c>
      <c r="J461" s="50">
        <v>0</v>
      </c>
      <c r="K461" s="50">
        <v>66519117</v>
      </c>
      <c r="L461" s="151">
        <f t="shared" si="0"/>
        <v>0.7483692629413321</v>
      </c>
      <c r="M461" s="50">
        <v>66519117</v>
      </c>
      <c r="N461" s="152">
        <f t="shared" si="1"/>
        <v>0.7483692629413321</v>
      </c>
      <c r="O461" s="50">
        <v>631292</v>
      </c>
      <c r="P461" s="152">
        <f t="shared" si="2"/>
        <v>7.1023120878282164E-3</v>
      </c>
      <c r="Q461" s="50">
        <v>631292</v>
      </c>
      <c r="R461" s="50"/>
      <c r="S461" s="50"/>
      <c r="T461" s="50"/>
      <c r="U461" s="44"/>
    </row>
    <row r="462" spans="1:21" hidden="1" x14ac:dyDescent="0.25">
      <c r="A462" s="49" t="s">
        <v>712</v>
      </c>
      <c r="B462" s="49" t="s">
        <v>439</v>
      </c>
      <c r="C462" s="49" t="s">
        <v>95</v>
      </c>
      <c r="D462" s="49" t="s">
        <v>69</v>
      </c>
      <c r="E462" s="50">
        <v>4921136</v>
      </c>
      <c r="F462" s="50">
        <v>4804587</v>
      </c>
      <c r="G462" s="50">
        <v>4804587</v>
      </c>
      <c r="H462" s="50">
        <v>0</v>
      </c>
      <c r="I462" s="50">
        <v>1174837</v>
      </c>
      <c r="J462" s="50">
        <v>0</v>
      </c>
      <c r="K462" s="50">
        <v>3595627</v>
      </c>
      <c r="L462" s="151">
        <f t="shared" si="0"/>
        <v>0.74837379362679868</v>
      </c>
      <c r="M462" s="50">
        <v>3595627</v>
      </c>
      <c r="N462" s="152">
        <f t="shared" si="1"/>
        <v>0.74837379362679868</v>
      </c>
      <c r="O462" s="50">
        <v>34123</v>
      </c>
      <c r="P462" s="152">
        <f t="shared" si="2"/>
        <v>7.1021713208648321E-3</v>
      </c>
      <c r="Q462" s="50">
        <v>34123</v>
      </c>
      <c r="R462" s="50"/>
      <c r="S462" s="50"/>
      <c r="T462" s="50"/>
      <c r="U462" s="44"/>
    </row>
    <row r="463" spans="1:21" hidden="1" x14ac:dyDescent="0.25">
      <c r="A463" s="49" t="s">
        <v>712</v>
      </c>
      <c r="B463" s="49" t="s">
        <v>96</v>
      </c>
      <c r="C463" s="49" t="s">
        <v>97</v>
      </c>
      <c r="D463" s="49" t="s">
        <v>69</v>
      </c>
      <c r="E463" s="50">
        <v>95962511</v>
      </c>
      <c r="F463" s="50">
        <v>93689808</v>
      </c>
      <c r="G463" s="50">
        <v>90889808</v>
      </c>
      <c r="H463" s="50">
        <v>0</v>
      </c>
      <c r="I463" s="50">
        <v>20236126</v>
      </c>
      <c r="J463" s="50">
        <v>0</v>
      </c>
      <c r="K463" s="50">
        <v>69988267</v>
      </c>
      <c r="L463" s="151">
        <f t="shared" si="0"/>
        <v>0.7470211380943379</v>
      </c>
      <c r="M463" s="50">
        <v>69988267</v>
      </c>
      <c r="N463" s="152">
        <f t="shared" si="1"/>
        <v>0.7470211380943379</v>
      </c>
      <c r="O463" s="50">
        <v>3465415</v>
      </c>
      <c r="P463" s="152">
        <f t="shared" si="2"/>
        <v>3.6988174850352988E-2</v>
      </c>
      <c r="Q463" s="50">
        <v>665415</v>
      </c>
      <c r="R463" s="50"/>
      <c r="S463" s="50"/>
      <c r="T463" s="50"/>
      <c r="U463" s="44"/>
    </row>
    <row r="464" spans="1:21" hidden="1" x14ac:dyDescent="0.25">
      <c r="A464" s="49" t="s">
        <v>712</v>
      </c>
      <c r="B464" s="49" t="s">
        <v>457</v>
      </c>
      <c r="C464" s="49" t="s">
        <v>698</v>
      </c>
      <c r="D464" s="49" t="s">
        <v>69</v>
      </c>
      <c r="E464" s="50">
        <v>51672183</v>
      </c>
      <c r="F464" s="50">
        <v>50448420</v>
      </c>
      <c r="G464" s="50">
        <v>50448420</v>
      </c>
      <c r="H464" s="50">
        <v>0</v>
      </c>
      <c r="I464" s="50">
        <v>12462504</v>
      </c>
      <c r="J464" s="50">
        <v>0</v>
      </c>
      <c r="K464" s="50">
        <v>37627615</v>
      </c>
      <c r="L464" s="151">
        <f t="shared" si="0"/>
        <v>0.74586310136174727</v>
      </c>
      <c r="M464" s="50">
        <v>37627615</v>
      </c>
      <c r="N464" s="152">
        <f t="shared" si="1"/>
        <v>0.74586310136174727</v>
      </c>
      <c r="O464" s="50">
        <v>358301</v>
      </c>
      <c r="P464" s="152">
        <f t="shared" si="2"/>
        <v>7.1023235217277372E-3</v>
      </c>
      <c r="Q464" s="50">
        <v>358301</v>
      </c>
      <c r="R464" s="50"/>
      <c r="S464" s="50"/>
      <c r="T464" s="50"/>
      <c r="U464" s="44"/>
    </row>
    <row r="465" spans="1:21" hidden="1" x14ac:dyDescent="0.25">
      <c r="A465" s="49" t="s">
        <v>712</v>
      </c>
      <c r="B465" s="49" t="s">
        <v>474</v>
      </c>
      <c r="C465" s="49" t="s">
        <v>699</v>
      </c>
      <c r="D465" s="49" t="s">
        <v>69</v>
      </c>
      <c r="E465" s="50">
        <v>14763409</v>
      </c>
      <c r="F465" s="50">
        <v>14413762</v>
      </c>
      <c r="G465" s="50">
        <v>14413762</v>
      </c>
      <c r="H465" s="50">
        <v>0</v>
      </c>
      <c r="I465" s="50">
        <v>3524508</v>
      </c>
      <c r="J465" s="50">
        <v>0</v>
      </c>
      <c r="K465" s="50">
        <v>10786883</v>
      </c>
      <c r="L465" s="151">
        <f t="shared" si="0"/>
        <v>0.74837388046229703</v>
      </c>
      <c r="M465" s="50">
        <v>10786883</v>
      </c>
      <c r="N465" s="152">
        <f t="shared" si="1"/>
        <v>0.74837388046229703</v>
      </c>
      <c r="O465" s="50">
        <v>102371</v>
      </c>
      <c r="P465" s="152">
        <f t="shared" si="2"/>
        <v>7.1023095844096771E-3</v>
      </c>
      <c r="Q465" s="50">
        <v>102371</v>
      </c>
      <c r="R465" s="50"/>
      <c r="S465" s="50"/>
      <c r="T465" s="50"/>
      <c r="U465" s="44"/>
    </row>
    <row r="466" spans="1:21" hidden="1" x14ac:dyDescent="0.25">
      <c r="A466" s="49" t="s">
        <v>712</v>
      </c>
      <c r="B466" s="49" t="s">
        <v>491</v>
      </c>
      <c r="C466" s="49" t="s">
        <v>700</v>
      </c>
      <c r="D466" s="49" t="s">
        <v>69</v>
      </c>
      <c r="E466" s="50">
        <v>29526919</v>
      </c>
      <c r="F466" s="50">
        <v>28827626</v>
      </c>
      <c r="G466" s="50">
        <v>26027626</v>
      </c>
      <c r="H466" s="50">
        <v>0</v>
      </c>
      <c r="I466" s="50">
        <v>4249114</v>
      </c>
      <c r="J466" s="50">
        <v>0</v>
      </c>
      <c r="K466" s="50">
        <v>21573769</v>
      </c>
      <c r="L466" s="151">
        <f t="shared" si="0"/>
        <v>0.74837133657832244</v>
      </c>
      <c r="M466" s="50">
        <v>21573769</v>
      </c>
      <c r="N466" s="152">
        <f t="shared" si="1"/>
        <v>0.74837133657832244</v>
      </c>
      <c r="O466" s="50">
        <v>3004743</v>
      </c>
      <c r="P466" s="152">
        <f t="shared" si="2"/>
        <v>0.10423137167104915</v>
      </c>
      <c r="Q466" s="50">
        <v>204743</v>
      </c>
      <c r="R466" s="50"/>
      <c r="S466" s="50"/>
      <c r="T466" s="50"/>
      <c r="U466" s="44"/>
    </row>
    <row r="467" spans="1:21" hidden="1" x14ac:dyDescent="0.25">
      <c r="A467" s="49" t="s">
        <v>712</v>
      </c>
      <c r="B467" s="49" t="s">
        <v>104</v>
      </c>
      <c r="C467" s="49" t="s">
        <v>105</v>
      </c>
      <c r="D467" s="49" t="s">
        <v>69</v>
      </c>
      <c r="E467" s="50">
        <v>306630000</v>
      </c>
      <c r="F467" s="50">
        <v>306606621</v>
      </c>
      <c r="G467" s="50">
        <v>306606620.5</v>
      </c>
      <c r="H467" s="50">
        <v>0</v>
      </c>
      <c r="I467" s="50">
        <v>21919648.710000001</v>
      </c>
      <c r="J467" s="50">
        <v>0</v>
      </c>
      <c r="K467" s="50">
        <v>239490358.86000001</v>
      </c>
      <c r="L467" s="151">
        <f t="shared" si="0"/>
        <v>0.78109976255209446</v>
      </c>
      <c r="M467" s="50">
        <v>238277169</v>
      </c>
      <c r="N467" s="152">
        <f t="shared" si="1"/>
        <v>0.77714293390944089</v>
      </c>
      <c r="O467" s="50">
        <v>45196613.43</v>
      </c>
      <c r="P467" s="152">
        <f t="shared" si="2"/>
        <v>0.1474091240514992</v>
      </c>
      <c r="Q467" s="50">
        <v>45196612.93</v>
      </c>
      <c r="R467" s="50"/>
      <c r="S467" s="50"/>
      <c r="T467" s="50"/>
      <c r="U467" s="44"/>
    </row>
    <row r="468" spans="1:21" hidden="1" x14ac:dyDescent="0.25">
      <c r="A468" s="49" t="s">
        <v>712</v>
      </c>
      <c r="B468" s="49" t="s">
        <v>112</v>
      </c>
      <c r="C468" s="49" t="s">
        <v>113</v>
      </c>
      <c r="D468" s="49" t="s">
        <v>69</v>
      </c>
      <c r="E468" s="50">
        <v>291630000</v>
      </c>
      <c r="F468" s="50">
        <v>291640000</v>
      </c>
      <c r="G468" s="50">
        <v>291639999.5</v>
      </c>
      <c r="H468" s="50">
        <v>0</v>
      </c>
      <c r="I468" s="50">
        <v>10050220.77</v>
      </c>
      <c r="J468" s="50">
        <v>0</v>
      </c>
      <c r="K468" s="50">
        <v>237118825.34999999</v>
      </c>
      <c r="L468" s="151">
        <f t="shared" si="0"/>
        <v>0.81305316606089695</v>
      </c>
      <c r="M468" s="50">
        <v>237118825.34999999</v>
      </c>
      <c r="N468" s="152">
        <f t="shared" si="1"/>
        <v>0.81305316606089695</v>
      </c>
      <c r="O468" s="50">
        <v>44470953.880000003</v>
      </c>
      <c r="P468" s="152">
        <f t="shared" si="2"/>
        <v>0.15248578343162805</v>
      </c>
      <c r="Q468" s="50">
        <v>44470953.380000003</v>
      </c>
      <c r="R468" s="50"/>
      <c r="S468" s="50"/>
      <c r="T468" s="50"/>
      <c r="U468" s="44"/>
    </row>
    <row r="469" spans="1:21" hidden="1" x14ac:dyDescent="0.25">
      <c r="A469" s="49" t="s">
        <v>712</v>
      </c>
      <c r="B469" s="49" t="s">
        <v>114</v>
      </c>
      <c r="C469" s="49" t="s">
        <v>115</v>
      </c>
      <c r="D469" s="49" t="s">
        <v>69</v>
      </c>
      <c r="E469" s="50">
        <v>221840000</v>
      </c>
      <c r="F469" s="50">
        <v>221840000</v>
      </c>
      <c r="G469" s="50">
        <v>221839999.5</v>
      </c>
      <c r="H469" s="50">
        <v>0</v>
      </c>
      <c r="I469" s="50">
        <v>4904956.12</v>
      </c>
      <c r="J469" s="50">
        <v>0</v>
      </c>
      <c r="K469" s="50">
        <v>192059090</v>
      </c>
      <c r="L469" s="151">
        <f t="shared" si="0"/>
        <v>0.86575500360620272</v>
      </c>
      <c r="M469" s="50">
        <v>192059090</v>
      </c>
      <c r="N469" s="152">
        <f t="shared" si="1"/>
        <v>0.86575500360620272</v>
      </c>
      <c r="O469" s="50">
        <v>24875953.879999999</v>
      </c>
      <c r="P469" s="152">
        <f t="shared" si="2"/>
        <v>0.11213466408222142</v>
      </c>
      <c r="Q469" s="50">
        <v>24875953.379999999</v>
      </c>
      <c r="R469" s="50"/>
      <c r="S469" s="50"/>
      <c r="T469" s="50"/>
      <c r="U469" s="44"/>
    </row>
    <row r="470" spans="1:21" hidden="1" x14ac:dyDescent="0.25">
      <c r="A470" s="49" t="s">
        <v>712</v>
      </c>
      <c r="B470" s="49" t="s">
        <v>116</v>
      </c>
      <c r="C470" s="49" t="s">
        <v>117</v>
      </c>
      <c r="D470" s="49" t="s">
        <v>69</v>
      </c>
      <c r="E470" s="50">
        <v>52200000</v>
      </c>
      <c r="F470" s="50">
        <v>52200000</v>
      </c>
      <c r="G470" s="50">
        <v>52200000</v>
      </c>
      <c r="H470" s="50">
        <v>0</v>
      </c>
      <c r="I470" s="50">
        <v>3589310</v>
      </c>
      <c r="J470" s="50">
        <v>0</v>
      </c>
      <c r="K470" s="50">
        <v>35560690</v>
      </c>
      <c r="L470" s="151">
        <f t="shared" si="0"/>
        <v>0.68123927203065138</v>
      </c>
      <c r="M470" s="50">
        <v>35560690</v>
      </c>
      <c r="N470" s="152">
        <f t="shared" si="1"/>
        <v>0.68123927203065138</v>
      </c>
      <c r="O470" s="50">
        <v>13050000</v>
      </c>
      <c r="P470" s="152">
        <f t="shared" si="2"/>
        <v>0.25</v>
      </c>
      <c r="Q470" s="50">
        <v>13050000</v>
      </c>
      <c r="R470" s="50"/>
      <c r="S470" s="50"/>
      <c r="T470" s="50"/>
      <c r="U470" s="44"/>
    </row>
    <row r="471" spans="1:21" x14ac:dyDescent="0.25">
      <c r="A471" s="155" t="s">
        <v>712</v>
      </c>
      <c r="B471" s="155" t="s">
        <v>120</v>
      </c>
      <c r="C471" s="155" t="s">
        <v>121</v>
      </c>
      <c r="D471" s="155" t="s">
        <v>69</v>
      </c>
      <c r="E471" s="156">
        <v>13090000</v>
      </c>
      <c r="F471" s="156">
        <v>13090000</v>
      </c>
      <c r="G471" s="156">
        <v>13090000</v>
      </c>
      <c r="H471" s="156">
        <v>0</v>
      </c>
      <c r="I471" s="156">
        <v>1553779.65</v>
      </c>
      <c r="J471" s="156">
        <v>0</v>
      </c>
      <c r="K471" s="156">
        <v>4991220.3499999996</v>
      </c>
      <c r="L471" s="157">
        <f t="shared" si="0"/>
        <v>0.38130025592055</v>
      </c>
      <c r="M471" s="156">
        <v>4991220.3499999996</v>
      </c>
      <c r="N471" s="158">
        <f t="shared" si="1"/>
        <v>0.38130025592055</v>
      </c>
      <c r="O471" s="156">
        <v>6545000</v>
      </c>
      <c r="P471" s="158">
        <f t="shared" si="2"/>
        <v>0.5</v>
      </c>
      <c r="Q471" s="50">
        <v>6545000</v>
      </c>
      <c r="R471" s="156"/>
      <c r="S471" s="156"/>
      <c r="T471" s="156"/>
      <c r="U471" s="160"/>
    </row>
    <row r="472" spans="1:21" hidden="1" x14ac:dyDescent="0.25">
      <c r="A472" s="155" t="s">
        <v>712</v>
      </c>
      <c r="B472" s="155" t="s">
        <v>122</v>
      </c>
      <c r="C472" s="155" t="s">
        <v>123</v>
      </c>
      <c r="D472" s="155" t="s">
        <v>69</v>
      </c>
      <c r="E472" s="156">
        <v>4500000</v>
      </c>
      <c r="F472" s="156">
        <v>4510000</v>
      </c>
      <c r="G472" s="156">
        <v>4510000</v>
      </c>
      <c r="H472" s="156">
        <v>0</v>
      </c>
      <c r="I472" s="156">
        <v>2175</v>
      </c>
      <c r="J472" s="156">
        <v>0</v>
      </c>
      <c r="K472" s="156">
        <v>4507825</v>
      </c>
      <c r="L472" s="157">
        <f t="shared" si="0"/>
        <v>0.99951773835920177</v>
      </c>
      <c r="M472" s="156">
        <v>4507825</v>
      </c>
      <c r="N472" s="158">
        <f t="shared" si="1"/>
        <v>0.99951773835920177</v>
      </c>
      <c r="O472" s="156">
        <v>0</v>
      </c>
      <c r="P472" s="158">
        <f t="shared" si="2"/>
        <v>0</v>
      </c>
      <c r="Q472" s="50">
        <v>0</v>
      </c>
      <c r="R472" s="156"/>
      <c r="S472" s="156"/>
      <c r="T472" s="156"/>
      <c r="U472" s="44"/>
    </row>
    <row r="473" spans="1:21" hidden="1" x14ac:dyDescent="0.25">
      <c r="A473" s="155" t="s">
        <v>712</v>
      </c>
      <c r="B473" s="155" t="s">
        <v>162</v>
      </c>
      <c r="C473" s="155" t="s">
        <v>163</v>
      </c>
      <c r="D473" s="155" t="s">
        <v>69</v>
      </c>
      <c r="E473" s="156">
        <v>15000000</v>
      </c>
      <c r="F473" s="156">
        <v>14966621</v>
      </c>
      <c r="G473" s="156">
        <v>14966621</v>
      </c>
      <c r="H473" s="156">
        <v>0</v>
      </c>
      <c r="I473" s="156">
        <v>11869427.939999999</v>
      </c>
      <c r="J473" s="156">
        <v>0</v>
      </c>
      <c r="K473" s="156">
        <v>2371533.5099999998</v>
      </c>
      <c r="L473" s="157">
        <f t="shared" si="0"/>
        <v>0.15845483826977377</v>
      </c>
      <c r="M473" s="156">
        <v>1158343.6499999999</v>
      </c>
      <c r="N473" s="158">
        <f t="shared" si="1"/>
        <v>7.7395134813663016E-2</v>
      </c>
      <c r="O473" s="156">
        <v>725659.55</v>
      </c>
      <c r="P473" s="158">
        <f t="shared" si="2"/>
        <v>4.848519582342601E-2</v>
      </c>
      <c r="Q473" s="50">
        <v>725659.55</v>
      </c>
      <c r="R473" s="156"/>
      <c r="S473" s="156"/>
      <c r="T473" s="156"/>
      <c r="U473" s="44"/>
    </row>
    <row r="474" spans="1:21" hidden="1" x14ac:dyDescent="0.25">
      <c r="A474" s="155" t="s">
        <v>712</v>
      </c>
      <c r="B474" s="155" t="s">
        <v>164</v>
      </c>
      <c r="C474" s="155" t="s">
        <v>165</v>
      </c>
      <c r="D474" s="155" t="s">
        <v>69</v>
      </c>
      <c r="E474" s="156">
        <v>15000000</v>
      </c>
      <c r="F474" s="156">
        <v>14966621</v>
      </c>
      <c r="G474" s="156">
        <v>14966621</v>
      </c>
      <c r="H474" s="156">
        <v>0</v>
      </c>
      <c r="I474" s="156">
        <v>11869427.939999999</v>
      </c>
      <c r="J474" s="156">
        <v>0</v>
      </c>
      <c r="K474" s="156">
        <v>2371533.5099999998</v>
      </c>
      <c r="L474" s="157">
        <f t="shared" si="0"/>
        <v>0.15845483826977377</v>
      </c>
      <c r="M474" s="156">
        <v>1158343.6499999999</v>
      </c>
      <c r="N474" s="158">
        <f t="shared" si="1"/>
        <v>7.7395134813663016E-2</v>
      </c>
      <c r="O474" s="156">
        <v>725659.55</v>
      </c>
      <c r="P474" s="158">
        <f t="shared" si="2"/>
        <v>4.848519582342601E-2</v>
      </c>
      <c r="Q474" s="50">
        <v>725659.55</v>
      </c>
      <c r="R474" s="156"/>
      <c r="S474" s="156"/>
      <c r="T474" s="156"/>
      <c r="U474" s="44"/>
    </row>
    <row r="475" spans="1:21" hidden="1" x14ac:dyDescent="0.25">
      <c r="A475" s="155" t="s">
        <v>712</v>
      </c>
      <c r="B475" s="155" t="s">
        <v>184</v>
      </c>
      <c r="C475" s="155" t="s">
        <v>185</v>
      </c>
      <c r="D475" s="155" t="s">
        <v>69</v>
      </c>
      <c r="E475" s="156">
        <v>621407272</v>
      </c>
      <c r="F475" s="156">
        <v>621318468</v>
      </c>
      <c r="G475" s="156">
        <v>443344504.32999998</v>
      </c>
      <c r="H475" s="156">
        <v>38347074.869999997</v>
      </c>
      <c r="I475" s="156">
        <v>39689527.310000002</v>
      </c>
      <c r="J475" s="156">
        <v>493765.37</v>
      </c>
      <c r="K475" s="156">
        <v>245972618.63999999</v>
      </c>
      <c r="L475" s="157">
        <f t="shared" si="0"/>
        <v>0.3958881496501726</v>
      </c>
      <c r="M475" s="156">
        <v>243959112.88</v>
      </c>
      <c r="N475" s="158">
        <f t="shared" si="1"/>
        <v>0.39264745125844225</v>
      </c>
      <c r="O475" s="156">
        <v>296815481.81</v>
      </c>
      <c r="P475" s="158">
        <f t="shared" si="2"/>
        <v>0.47771874987949015</v>
      </c>
      <c r="Q475" s="50">
        <v>118841518.14</v>
      </c>
      <c r="R475" s="156"/>
      <c r="S475" s="156"/>
      <c r="T475" s="156"/>
      <c r="U475" s="44"/>
    </row>
    <row r="476" spans="1:21" hidden="1" x14ac:dyDescent="0.25">
      <c r="A476" s="155" t="s">
        <v>712</v>
      </c>
      <c r="B476" s="155" t="s">
        <v>186</v>
      </c>
      <c r="C476" s="155" t="s">
        <v>187</v>
      </c>
      <c r="D476" s="155" t="s">
        <v>69</v>
      </c>
      <c r="E476" s="156">
        <v>25251750</v>
      </c>
      <c r="F476" s="156">
        <v>25251750</v>
      </c>
      <c r="G476" s="156">
        <v>9185560.1999999993</v>
      </c>
      <c r="H476" s="156">
        <v>0</v>
      </c>
      <c r="I476" s="156">
        <v>142476.37</v>
      </c>
      <c r="J476" s="156">
        <v>0</v>
      </c>
      <c r="K476" s="156">
        <v>0</v>
      </c>
      <c r="L476" s="157">
        <f t="shared" si="0"/>
        <v>0</v>
      </c>
      <c r="M476" s="156">
        <v>0</v>
      </c>
      <c r="N476" s="158">
        <f t="shared" si="1"/>
        <v>0</v>
      </c>
      <c r="O476" s="156">
        <v>25109273.629999999</v>
      </c>
      <c r="P476" s="158">
        <f t="shared" si="2"/>
        <v>0.9943577625313097</v>
      </c>
      <c r="Q476" s="50">
        <v>9043083.8300000001</v>
      </c>
      <c r="R476" s="156"/>
      <c r="S476" s="156"/>
      <c r="T476" s="156"/>
      <c r="U476" s="44"/>
    </row>
    <row r="477" spans="1:21" x14ac:dyDescent="0.25">
      <c r="A477" s="155" t="s">
        <v>712</v>
      </c>
      <c r="B477" s="155" t="s">
        <v>188</v>
      </c>
      <c r="C477" s="155" t="s">
        <v>189</v>
      </c>
      <c r="D477" s="155" t="s">
        <v>69</v>
      </c>
      <c r="E477" s="156">
        <v>24819750</v>
      </c>
      <c r="F477" s="156">
        <v>24819750</v>
      </c>
      <c r="G477" s="156">
        <v>8754186.1999999993</v>
      </c>
      <c r="H477" s="156">
        <v>0</v>
      </c>
      <c r="I477" s="156">
        <v>0</v>
      </c>
      <c r="J477" s="156">
        <v>0</v>
      </c>
      <c r="K477" s="156">
        <v>0</v>
      </c>
      <c r="L477" s="157">
        <f t="shared" si="0"/>
        <v>0</v>
      </c>
      <c r="M477" s="156">
        <v>0</v>
      </c>
      <c r="N477" s="158">
        <f t="shared" si="1"/>
        <v>0</v>
      </c>
      <c r="O477" s="156">
        <v>24819750</v>
      </c>
      <c r="P477" s="158">
        <f t="shared" si="2"/>
        <v>1</v>
      </c>
      <c r="Q477" s="50">
        <v>8754186.1999999993</v>
      </c>
      <c r="R477" s="156">
        <v>2480935.2000000002</v>
      </c>
      <c r="S477" s="156">
        <v>13584627</v>
      </c>
      <c r="T477" s="156"/>
      <c r="U477" s="160"/>
    </row>
    <row r="478" spans="1:21" x14ac:dyDescent="0.25">
      <c r="A478" s="155" t="s">
        <v>712</v>
      </c>
      <c r="B478" s="155" t="s">
        <v>190</v>
      </c>
      <c r="C478" s="155" t="s">
        <v>191</v>
      </c>
      <c r="D478" s="155" t="s">
        <v>69</v>
      </c>
      <c r="E478" s="156">
        <v>197000</v>
      </c>
      <c r="F478" s="156">
        <v>432000</v>
      </c>
      <c r="G478" s="156">
        <v>431374</v>
      </c>
      <c r="H478" s="156">
        <v>0</v>
      </c>
      <c r="I478" s="156">
        <v>142476.37</v>
      </c>
      <c r="J478" s="156">
        <v>0</v>
      </c>
      <c r="K478" s="156">
        <v>0</v>
      </c>
      <c r="L478" s="157">
        <f t="shared" si="0"/>
        <v>0</v>
      </c>
      <c r="M478" s="156">
        <v>0</v>
      </c>
      <c r="N478" s="158">
        <f t="shared" si="1"/>
        <v>0</v>
      </c>
      <c r="O478" s="156">
        <v>289523.63</v>
      </c>
      <c r="P478" s="158">
        <f t="shared" si="2"/>
        <v>0.67019358796296302</v>
      </c>
      <c r="Q478" s="50">
        <v>288897.63</v>
      </c>
      <c r="R478" s="156">
        <v>43200</v>
      </c>
      <c r="S478" s="156">
        <v>626</v>
      </c>
      <c r="T478" s="156"/>
      <c r="U478" s="159"/>
    </row>
    <row r="479" spans="1:21" hidden="1" x14ac:dyDescent="0.25">
      <c r="A479" s="155" t="s">
        <v>712</v>
      </c>
      <c r="B479" s="155" t="s">
        <v>194</v>
      </c>
      <c r="C479" s="155" t="s">
        <v>195</v>
      </c>
      <c r="D479" s="155" t="s">
        <v>69</v>
      </c>
      <c r="E479" s="156">
        <v>235000</v>
      </c>
      <c r="F479" s="156">
        <v>0</v>
      </c>
      <c r="G479" s="156">
        <v>0</v>
      </c>
      <c r="H479" s="156">
        <v>0</v>
      </c>
      <c r="I479" s="156">
        <v>0</v>
      </c>
      <c r="J479" s="156">
        <v>0</v>
      </c>
      <c r="K479" s="156">
        <v>0</v>
      </c>
      <c r="L479" s="157" t="e">
        <f t="shared" si="0"/>
        <v>#DIV/0!</v>
      </c>
      <c r="M479" s="156">
        <v>0</v>
      </c>
      <c r="N479" s="158" t="e">
        <f t="shared" si="1"/>
        <v>#DIV/0!</v>
      </c>
      <c r="O479" s="156">
        <v>0</v>
      </c>
      <c r="P479" s="158" t="e">
        <f t="shared" si="2"/>
        <v>#DIV/0!</v>
      </c>
      <c r="Q479" s="50">
        <v>0</v>
      </c>
      <c r="R479" s="156"/>
      <c r="S479" s="156"/>
      <c r="T479" s="156"/>
      <c r="U479" s="44"/>
    </row>
    <row r="480" spans="1:21" hidden="1" x14ac:dyDescent="0.25">
      <c r="A480" s="155" t="s">
        <v>712</v>
      </c>
      <c r="B480" s="155" t="s">
        <v>196</v>
      </c>
      <c r="C480" s="155" t="s">
        <v>197</v>
      </c>
      <c r="D480" s="155" t="s">
        <v>69</v>
      </c>
      <c r="E480" s="156">
        <v>582942552</v>
      </c>
      <c r="F480" s="156">
        <v>582942552</v>
      </c>
      <c r="G480" s="156">
        <v>421043122.13</v>
      </c>
      <c r="H480" s="156">
        <v>38314164.869999997</v>
      </c>
      <c r="I480" s="156">
        <v>38695073.789999999</v>
      </c>
      <c r="J480" s="156">
        <v>493765.37</v>
      </c>
      <c r="K480" s="156">
        <v>235942395.12</v>
      </c>
      <c r="L480" s="157">
        <f t="shared" si="0"/>
        <v>0.40474381962770151</v>
      </c>
      <c r="M480" s="156">
        <v>233928889.36000001</v>
      </c>
      <c r="N480" s="158">
        <f t="shared" si="1"/>
        <v>0.40128978157010575</v>
      </c>
      <c r="O480" s="156">
        <v>269497152.85000002</v>
      </c>
      <c r="P480" s="158">
        <f t="shared" si="2"/>
        <v>0.46230482219112395</v>
      </c>
      <c r="Q480" s="50">
        <v>107597722.98</v>
      </c>
      <c r="R480" s="156"/>
      <c r="S480" s="156"/>
      <c r="T480" s="156"/>
      <c r="U480" s="44"/>
    </row>
    <row r="481" spans="1:21" hidden="1" x14ac:dyDescent="0.25">
      <c r="A481" s="155" t="s">
        <v>712</v>
      </c>
      <c r="B481" s="155" t="s">
        <v>198</v>
      </c>
      <c r="C481" s="155" t="s">
        <v>199</v>
      </c>
      <c r="D481" s="155" t="s">
        <v>69</v>
      </c>
      <c r="E481" s="156">
        <v>582942552</v>
      </c>
      <c r="F481" s="156">
        <v>582942552</v>
      </c>
      <c r="G481" s="156">
        <v>421043122.13</v>
      </c>
      <c r="H481" s="156">
        <v>38314164.869999997</v>
      </c>
      <c r="I481" s="156">
        <v>38695073.789999999</v>
      </c>
      <c r="J481" s="156">
        <v>493765.37</v>
      </c>
      <c r="K481" s="156">
        <v>235942395.12</v>
      </c>
      <c r="L481" s="157">
        <f t="shared" si="0"/>
        <v>0.40474381962770151</v>
      </c>
      <c r="M481" s="156">
        <v>233928889.36000001</v>
      </c>
      <c r="N481" s="158">
        <f t="shared" si="1"/>
        <v>0.40128978157010575</v>
      </c>
      <c r="O481" s="156">
        <v>269497152.85000002</v>
      </c>
      <c r="P481" s="158">
        <f t="shared" si="2"/>
        <v>0.46230482219112395</v>
      </c>
      <c r="Q481" s="50">
        <v>107597722.98</v>
      </c>
      <c r="R481" s="156"/>
      <c r="S481" s="156"/>
      <c r="T481" s="156"/>
      <c r="U481" s="44"/>
    </row>
    <row r="482" spans="1:21" hidden="1" x14ac:dyDescent="0.25">
      <c r="A482" s="155" t="s">
        <v>712</v>
      </c>
      <c r="B482" s="155" t="s">
        <v>206</v>
      </c>
      <c r="C482" s="155" t="s">
        <v>207</v>
      </c>
      <c r="D482" s="155" t="s">
        <v>69</v>
      </c>
      <c r="E482" s="156">
        <v>367200</v>
      </c>
      <c r="F482" s="156">
        <v>367200</v>
      </c>
      <c r="G482" s="156">
        <v>367200</v>
      </c>
      <c r="H482" s="156">
        <v>0</v>
      </c>
      <c r="I482" s="156">
        <v>0</v>
      </c>
      <c r="J482" s="156">
        <v>0</v>
      </c>
      <c r="K482" s="156">
        <v>0</v>
      </c>
      <c r="L482" s="157">
        <f t="shared" si="0"/>
        <v>0</v>
      </c>
      <c r="M482" s="156">
        <v>0</v>
      </c>
      <c r="N482" s="158">
        <f t="shared" si="1"/>
        <v>0</v>
      </c>
      <c r="O482" s="156">
        <v>367200</v>
      </c>
      <c r="P482" s="158">
        <f t="shared" si="2"/>
        <v>1</v>
      </c>
      <c r="Q482" s="50">
        <v>367200</v>
      </c>
      <c r="R482" s="156"/>
      <c r="S482" s="156"/>
      <c r="T482" s="156"/>
      <c r="U482" s="44"/>
    </row>
    <row r="483" spans="1:21" x14ac:dyDescent="0.25">
      <c r="A483" s="155" t="s">
        <v>712</v>
      </c>
      <c r="B483" s="155" t="s">
        <v>208</v>
      </c>
      <c r="C483" s="155" t="s">
        <v>209</v>
      </c>
      <c r="D483" s="155" t="s">
        <v>69</v>
      </c>
      <c r="E483" s="156">
        <v>367200</v>
      </c>
      <c r="F483" s="156">
        <v>367200</v>
      </c>
      <c r="G483" s="156">
        <v>367200</v>
      </c>
      <c r="H483" s="156">
        <v>0</v>
      </c>
      <c r="I483" s="156">
        <v>0</v>
      </c>
      <c r="J483" s="156">
        <v>0</v>
      </c>
      <c r="K483" s="156">
        <v>0</v>
      </c>
      <c r="L483" s="157">
        <f t="shared" si="0"/>
        <v>0</v>
      </c>
      <c r="M483" s="156">
        <v>0</v>
      </c>
      <c r="N483" s="158">
        <f t="shared" si="1"/>
        <v>0</v>
      </c>
      <c r="O483" s="156">
        <v>367200</v>
      </c>
      <c r="P483" s="158">
        <f t="shared" si="2"/>
        <v>1</v>
      </c>
      <c r="Q483" s="50">
        <v>367200</v>
      </c>
      <c r="R483" s="156">
        <v>36720</v>
      </c>
      <c r="S483" s="156"/>
      <c r="T483" s="156"/>
      <c r="U483" s="159"/>
    </row>
    <row r="484" spans="1:21" hidden="1" x14ac:dyDescent="0.25">
      <c r="A484" s="155" t="s">
        <v>712</v>
      </c>
      <c r="B484" s="155" t="s">
        <v>354</v>
      </c>
      <c r="C484" s="155" t="s">
        <v>355</v>
      </c>
      <c r="D484" s="155" t="s">
        <v>69</v>
      </c>
      <c r="E484" s="156">
        <v>6280000</v>
      </c>
      <c r="F484" s="156">
        <v>6277196</v>
      </c>
      <c r="G484" s="156">
        <v>6277196</v>
      </c>
      <c r="H484" s="156">
        <v>0</v>
      </c>
      <c r="I484" s="156">
        <v>0</v>
      </c>
      <c r="J484" s="156">
        <v>0</v>
      </c>
      <c r="K484" s="156">
        <v>6277195.2000000002</v>
      </c>
      <c r="L484" s="157">
        <f t="shared" si="0"/>
        <v>0.99999987255456102</v>
      </c>
      <c r="M484" s="156">
        <v>6277195.2000000002</v>
      </c>
      <c r="N484" s="158">
        <f t="shared" si="1"/>
        <v>0.99999987255456102</v>
      </c>
      <c r="O484" s="156">
        <v>0.8</v>
      </c>
      <c r="P484" s="158">
        <f t="shared" si="2"/>
        <v>1.2744543901448992E-7</v>
      </c>
      <c r="Q484" s="50">
        <v>0.8</v>
      </c>
      <c r="R484" s="156"/>
      <c r="S484" s="156"/>
      <c r="T484" s="156"/>
      <c r="U484" s="159"/>
    </row>
    <row r="485" spans="1:21" hidden="1" x14ac:dyDescent="0.25">
      <c r="A485" s="155" t="s">
        <v>712</v>
      </c>
      <c r="B485" s="155" t="s">
        <v>356</v>
      </c>
      <c r="C485" s="155" t="s">
        <v>357</v>
      </c>
      <c r="D485" s="155" t="s">
        <v>69</v>
      </c>
      <c r="E485" s="156">
        <v>6280000</v>
      </c>
      <c r="F485" s="156">
        <v>6277196</v>
      </c>
      <c r="G485" s="156">
        <v>6277196</v>
      </c>
      <c r="H485" s="156">
        <v>0</v>
      </c>
      <c r="I485" s="156">
        <v>0</v>
      </c>
      <c r="J485" s="156">
        <v>0</v>
      </c>
      <c r="K485" s="156">
        <v>6277195.2000000002</v>
      </c>
      <c r="L485" s="157">
        <f t="shared" si="0"/>
        <v>0.99999987255456102</v>
      </c>
      <c r="M485" s="156">
        <v>6277195.2000000002</v>
      </c>
      <c r="N485" s="158">
        <f t="shared" si="1"/>
        <v>0.99999987255456102</v>
      </c>
      <c r="O485" s="156">
        <v>0.8</v>
      </c>
      <c r="P485" s="158">
        <f t="shared" si="2"/>
        <v>1.2744543901448992E-7</v>
      </c>
      <c r="Q485" s="50">
        <v>0.8</v>
      </c>
      <c r="R485" s="156"/>
      <c r="S485" s="156"/>
      <c r="T485" s="156"/>
      <c r="U485" s="159"/>
    </row>
    <row r="486" spans="1:21" hidden="1" x14ac:dyDescent="0.25">
      <c r="A486" s="155" t="s">
        <v>712</v>
      </c>
      <c r="B486" s="155" t="s">
        <v>212</v>
      </c>
      <c r="C486" s="155" t="s">
        <v>213</v>
      </c>
      <c r="D486" s="155" t="s">
        <v>69</v>
      </c>
      <c r="E486" s="156">
        <v>6565770</v>
      </c>
      <c r="F486" s="156">
        <v>6479770</v>
      </c>
      <c r="G486" s="156">
        <v>6471426</v>
      </c>
      <c r="H486" s="156">
        <v>32910</v>
      </c>
      <c r="I486" s="156">
        <v>851977.15</v>
      </c>
      <c r="J486" s="156">
        <v>0</v>
      </c>
      <c r="K486" s="156">
        <v>3753028.32</v>
      </c>
      <c r="L486" s="157">
        <f t="shared" si="0"/>
        <v>0.57919159476339432</v>
      </c>
      <c r="M486" s="156">
        <v>3753028.32</v>
      </c>
      <c r="N486" s="158">
        <f t="shared" si="1"/>
        <v>0.57919159476339432</v>
      </c>
      <c r="O486" s="156">
        <v>1841854.53</v>
      </c>
      <c r="P486" s="158">
        <f t="shared" si="2"/>
        <v>0.28424689919549612</v>
      </c>
      <c r="Q486" s="50">
        <v>1833510.53</v>
      </c>
      <c r="R486" s="156"/>
      <c r="S486" s="156"/>
      <c r="T486" s="156"/>
      <c r="U486" s="159"/>
    </row>
    <row r="487" spans="1:21" hidden="1" x14ac:dyDescent="0.25">
      <c r="A487" s="155" t="s">
        <v>712</v>
      </c>
      <c r="B487" s="155" t="s">
        <v>216</v>
      </c>
      <c r="C487" s="155" t="s">
        <v>217</v>
      </c>
      <c r="D487" s="155" t="s">
        <v>69</v>
      </c>
      <c r="E487" s="156">
        <v>1076170</v>
      </c>
      <c r="F487" s="156">
        <v>1076170</v>
      </c>
      <c r="G487" s="156">
        <v>1076170</v>
      </c>
      <c r="H487" s="156">
        <v>32910</v>
      </c>
      <c r="I487" s="156">
        <v>604425</v>
      </c>
      <c r="J487" s="156">
        <v>0</v>
      </c>
      <c r="K487" s="156">
        <v>0</v>
      </c>
      <c r="L487" s="157">
        <f t="shared" si="0"/>
        <v>0</v>
      </c>
      <c r="M487" s="156">
        <v>0</v>
      </c>
      <c r="N487" s="158">
        <f t="shared" si="1"/>
        <v>0</v>
      </c>
      <c r="O487" s="156">
        <v>438835</v>
      </c>
      <c r="P487" s="158">
        <f t="shared" si="2"/>
        <v>0.40777479394519456</v>
      </c>
      <c r="Q487" s="50">
        <v>438835</v>
      </c>
      <c r="R487" s="156"/>
      <c r="S487" s="156"/>
      <c r="T487" s="156"/>
      <c r="U487" s="159"/>
    </row>
    <row r="488" spans="1:21" hidden="1" x14ac:dyDescent="0.25">
      <c r="A488" s="155" t="s">
        <v>712</v>
      </c>
      <c r="B488" s="155" t="s">
        <v>218</v>
      </c>
      <c r="C488" s="155" t="s">
        <v>219</v>
      </c>
      <c r="D488" s="155" t="s">
        <v>69</v>
      </c>
      <c r="E488" s="156">
        <v>333500</v>
      </c>
      <c r="F488" s="156">
        <v>333500</v>
      </c>
      <c r="G488" s="156">
        <v>328569</v>
      </c>
      <c r="H488" s="156">
        <v>0</v>
      </c>
      <c r="I488" s="156">
        <v>242970</v>
      </c>
      <c r="J488" s="156">
        <v>0</v>
      </c>
      <c r="K488" s="156">
        <v>0</v>
      </c>
      <c r="L488" s="157">
        <f t="shared" si="0"/>
        <v>0</v>
      </c>
      <c r="M488" s="156">
        <v>0</v>
      </c>
      <c r="N488" s="158">
        <f t="shared" si="1"/>
        <v>0</v>
      </c>
      <c r="O488" s="156">
        <v>90530</v>
      </c>
      <c r="P488" s="158">
        <f t="shared" si="2"/>
        <v>0.27145427286356821</v>
      </c>
      <c r="Q488" s="50">
        <v>85599</v>
      </c>
      <c r="R488" s="156"/>
      <c r="S488" s="156"/>
      <c r="T488" s="156"/>
      <c r="U488" s="159"/>
    </row>
    <row r="489" spans="1:21" hidden="1" x14ac:dyDescent="0.25">
      <c r="A489" s="155" t="s">
        <v>712</v>
      </c>
      <c r="B489" s="155" t="s">
        <v>220</v>
      </c>
      <c r="C489" s="155" t="s">
        <v>221</v>
      </c>
      <c r="D489" s="155" t="s">
        <v>69</v>
      </c>
      <c r="E489" s="156">
        <v>2531700</v>
      </c>
      <c r="F489" s="156">
        <v>2530600</v>
      </c>
      <c r="G489" s="156">
        <v>2530600</v>
      </c>
      <c r="H489" s="156">
        <v>0</v>
      </c>
      <c r="I489" s="156">
        <v>0</v>
      </c>
      <c r="J489" s="156">
        <v>0</v>
      </c>
      <c r="K489" s="156">
        <v>2280937.77</v>
      </c>
      <c r="L489" s="157">
        <f t="shared" si="0"/>
        <v>0.90134267367422749</v>
      </c>
      <c r="M489" s="156">
        <v>2280937.77</v>
      </c>
      <c r="N489" s="158">
        <f t="shared" si="1"/>
        <v>0.90134267367422749</v>
      </c>
      <c r="O489" s="156">
        <v>249662.23</v>
      </c>
      <c r="P489" s="158">
        <f t="shared" si="2"/>
        <v>9.8657326325772551E-2</v>
      </c>
      <c r="Q489" s="50">
        <v>249662.23</v>
      </c>
      <c r="R489" s="156"/>
      <c r="S489" s="156"/>
      <c r="T489" s="156"/>
      <c r="U489" s="159"/>
    </row>
    <row r="490" spans="1:21" x14ac:dyDescent="0.25">
      <c r="A490" s="155" t="s">
        <v>712</v>
      </c>
      <c r="B490" s="155" t="s">
        <v>224</v>
      </c>
      <c r="C490" s="155" t="s">
        <v>225</v>
      </c>
      <c r="D490" s="155" t="s">
        <v>69</v>
      </c>
      <c r="E490" s="156">
        <v>525000</v>
      </c>
      <c r="F490" s="156">
        <v>495000</v>
      </c>
      <c r="G490" s="156">
        <v>491587</v>
      </c>
      <c r="H490" s="156">
        <v>0</v>
      </c>
      <c r="I490" s="156">
        <v>4582.1499999999996</v>
      </c>
      <c r="J490" s="156">
        <v>0</v>
      </c>
      <c r="K490" s="156">
        <v>176280</v>
      </c>
      <c r="L490" s="157">
        <f t="shared" si="0"/>
        <v>0.35612121212121212</v>
      </c>
      <c r="M490" s="156">
        <v>176280</v>
      </c>
      <c r="N490" s="158">
        <f t="shared" si="1"/>
        <v>0.35612121212121212</v>
      </c>
      <c r="O490" s="156">
        <v>314137.84999999998</v>
      </c>
      <c r="P490" s="158">
        <f t="shared" si="2"/>
        <v>0.63462191919191913</v>
      </c>
      <c r="Q490" s="50">
        <v>310724.84999999998</v>
      </c>
      <c r="R490" s="156">
        <v>31872</v>
      </c>
      <c r="S490" s="156">
        <v>3413</v>
      </c>
      <c r="T490" s="156"/>
      <c r="U490" s="159"/>
    </row>
    <row r="491" spans="1:21" hidden="1" x14ac:dyDescent="0.25">
      <c r="A491" s="155" t="s">
        <v>712</v>
      </c>
      <c r="B491" s="155" t="s">
        <v>226</v>
      </c>
      <c r="C491" s="155" t="s">
        <v>227</v>
      </c>
      <c r="D491" s="155" t="s">
        <v>69</v>
      </c>
      <c r="E491" s="156">
        <v>2094900</v>
      </c>
      <c r="F491" s="156">
        <v>2040000</v>
      </c>
      <c r="G491" s="156">
        <v>2040000</v>
      </c>
      <c r="H491" s="156">
        <v>0</v>
      </c>
      <c r="I491" s="156">
        <v>0</v>
      </c>
      <c r="J491" s="156">
        <v>0</v>
      </c>
      <c r="K491" s="156">
        <v>1295810.55</v>
      </c>
      <c r="L491" s="157">
        <f t="shared" si="0"/>
        <v>0.63520125000000005</v>
      </c>
      <c r="M491" s="156">
        <v>1295810.55</v>
      </c>
      <c r="N491" s="158">
        <f t="shared" si="1"/>
        <v>0.63520125000000005</v>
      </c>
      <c r="O491" s="156">
        <v>744189.45</v>
      </c>
      <c r="P491" s="158">
        <f t="shared" si="2"/>
        <v>0.36479874999999995</v>
      </c>
      <c r="Q491" s="50">
        <v>744189.45</v>
      </c>
      <c r="R491" s="156"/>
      <c r="S491" s="156"/>
      <c r="T491" s="156"/>
      <c r="U491" s="159"/>
    </row>
    <row r="492" spans="1:21" x14ac:dyDescent="0.25">
      <c r="A492" s="155" t="s">
        <v>712</v>
      </c>
      <c r="B492" s="155" t="s">
        <v>228</v>
      </c>
      <c r="C492" s="155" t="s">
        <v>229</v>
      </c>
      <c r="D492" s="155" t="s">
        <v>69</v>
      </c>
      <c r="E492" s="156">
        <v>4500</v>
      </c>
      <c r="F492" s="156">
        <v>4500</v>
      </c>
      <c r="G492" s="156">
        <v>4500</v>
      </c>
      <c r="H492" s="156">
        <v>0</v>
      </c>
      <c r="I492" s="156">
        <v>0</v>
      </c>
      <c r="J492" s="156">
        <v>0</v>
      </c>
      <c r="K492" s="156">
        <v>0</v>
      </c>
      <c r="L492" s="157">
        <f t="shared" si="0"/>
        <v>0</v>
      </c>
      <c r="M492" s="156">
        <v>0</v>
      </c>
      <c r="N492" s="158">
        <f t="shared" si="1"/>
        <v>0</v>
      </c>
      <c r="O492" s="156">
        <v>4500</v>
      </c>
      <c r="P492" s="158">
        <f t="shared" si="2"/>
        <v>1</v>
      </c>
      <c r="Q492" s="50">
        <v>4500</v>
      </c>
      <c r="R492" s="156"/>
      <c r="S492" s="156"/>
      <c r="T492" s="156"/>
      <c r="U492" s="159"/>
    </row>
    <row r="493" spans="1:21" hidden="1" x14ac:dyDescent="0.25">
      <c r="A493" s="49" t="s">
        <v>712</v>
      </c>
      <c r="B493" s="49" t="s">
        <v>248</v>
      </c>
      <c r="C493" s="49" t="s">
        <v>249</v>
      </c>
      <c r="D493" s="49" t="s">
        <v>69</v>
      </c>
      <c r="E493" s="50">
        <v>21838204</v>
      </c>
      <c r="F493" s="50">
        <v>21451264</v>
      </c>
      <c r="G493" s="50">
        <v>21451264</v>
      </c>
      <c r="H493" s="50">
        <v>0</v>
      </c>
      <c r="I493" s="50">
        <v>4026966</v>
      </c>
      <c r="J493" s="50">
        <v>0</v>
      </c>
      <c r="K493" s="50">
        <v>15486227</v>
      </c>
      <c r="L493" s="151">
        <f t="shared" si="0"/>
        <v>0.72192608323686658</v>
      </c>
      <c r="M493" s="50">
        <v>15486227</v>
      </c>
      <c r="N493" s="152">
        <f t="shared" si="1"/>
        <v>0.72192608323686658</v>
      </c>
      <c r="O493" s="50">
        <v>1938071</v>
      </c>
      <c r="P493" s="152">
        <f t="shared" si="2"/>
        <v>9.0347636391030384E-2</v>
      </c>
      <c r="Q493" s="50">
        <v>1938071</v>
      </c>
      <c r="R493" s="50"/>
      <c r="S493" s="50"/>
      <c r="T493" s="50"/>
      <c r="U493" s="159"/>
    </row>
    <row r="494" spans="1:21" hidden="1" x14ac:dyDescent="0.25">
      <c r="A494" s="49" t="s">
        <v>712</v>
      </c>
      <c r="B494" s="49" t="s">
        <v>250</v>
      </c>
      <c r="C494" s="49" t="s">
        <v>251</v>
      </c>
      <c r="D494" s="49" t="s">
        <v>69</v>
      </c>
      <c r="E494" s="50">
        <v>16338204</v>
      </c>
      <c r="F494" s="50">
        <v>15951264</v>
      </c>
      <c r="G494" s="50">
        <v>15951264</v>
      </c>
      <c r="H494" s="50">
        <v>0</v>
      </c>
      <c r="I494" s="50">
        <v>4026966</v>
      </c>
      <c r="J494" s="50">
        <v>0</v>
      </c>
      <c r="K494" s="50">
        <v>11811007</v>
      </c>
      <c r="L494" s="151">
        <f t="shared" si="0"/>
        <v>0.74044332787671252</v>
      </c>
      <c r="M494" s="50">
        <v>11811007</v>
      </c>
      <c r="N494" s="152">
        <f t="shared" si="1"/>
        <v>0.74044332787671252</v>
      </c>
      <c r="O494" s="50">
        <v>113291</v>
      </c>
      <c r="P494" s="152">
        <f t="shared" si="2"/>
        <v>7.1023211702846874E-3</v>
      </c>
      <c r="Q494" s="50">
        <v>113291</v>
      </c>
      <c r="R494" s="50"/>
      <c r="S494" s="50"/>
      <c r="T494" s="50"/>
      <c r="U494" s="159"/>
    </row>
    <row r="495" spans="1:21" hidden="1" x14ac:dyDescent="0.25">
      <c r="A495" s="49" t="s">
        <v>712</v>
      </c>
      <c r="B495" s="49" t="s">
        <v>631</v>
      </c>
      <c r="C495" s="49" t="s">
        <v>702</v>
      </c>
      <c r="D495" s="49" t="s">
        <v>69</v>
      </c>
      <c r="E495" s="50">
        <v>13877686</v>
      </c>
      <c r="F495" s="50">
        <v>13549019</v>
      </c>
      <c r="G495" s="50">
        <v>13549019</v>
      </c>
      <c r="H495" s="50">
        <v>0</v>
      </c>
      <c r="I495" s="50">
        <v>3439599</v>
      </c>
      <c r="J495" s="50">
        <v>0</v>
      </c>
      <c r="K495" s="50">
        <v>10013191</v>
      </c>
      <c r="L495" s="151">
        <f t="shared" si="0"/>
        <v>0.73903439060791043</v>
      </c>
      <c r="M495" s="50">
        <v>10013191</v>
      </c>
      <c r="N495" s="152">
        <f t="shared" si="1"/>
        <v>0.73903439060791043</v>
      </c>
      <c r="O495" s="50">
        <v>96229</v>
      </c>
      <c r="P495" s="152">
        <f t="shared" si="2"/>
        <v>7.1022854126929777E-3</v>
      </c>
      <c r="Q495" s="50">
        <v>96229</v>
      </c>
      <c r="R495" s="50"/>
      <c r="S495" s="50"/>
      <c r="T495" s="50"/>
      <c r="U495" s="159"/>
    </row>
    <row r="496" spans="1:21" hidden="1" x14ac:dyDescent="0.25">
      <c r="A496" s="49" t="s">
        <v>712</v>
      </c>
      <c r="B496" s="49" t="s">
        <v>646</v>
      </c>
      <c r="C496" s="49" t="s">
        <v>703</v>
      </c>
      <c r="D496" s="49" t="s">
        <v>69</v>
      </c>
      <c r="E496" s="50">
        <v>2460518</v>
      </c>
      <c r="F496" s="50">
        <v>2402245</v>
      </c>
      <c r="G496" s="50">
        <v>2402245</v>
      </c>
      <c r="H496" s="50">
        <v>0</v>
      </c>
      <c r="I496" s="50">
        <v>587367</v>
      </c>
      <c r="J496" s="50">
        <v>0</v>
      </c>
      <c r="K496" s="50">
        <v>1797816</v>
      </c>
      <c r="L496" s="151">
        <f t="shared" si="0"/>
        <v>0.74838994357361555</v>
      </c>
      <c r="M496" s="50">
        <v>1797816</v>
      </c>
      <c r="N496" s="152">
        <f t="shared" si="1"/>
        <v>0.74838994357361555</v>
      </c>
      <c r="O496" s="50">
        <v>17062</v>
      </c>
      <c r="P496" s="152">
        <f t="shared" si="2"/>
        <v>7.1025228484188751E-3</v>
      </c>
      <c r="Q496" s="50">
        <v>17062</v>
      </c>
      <c r="R496" s="50"/>
      <c r="S496" s="50"/>
      <c r="T496" s="50"/>
      <c r="U496" s="159"/>
    </row>
    <row r="497" spans="1:21" hidden="1" x14ac:dyDescent="0.25">
      <c r="A497" s="49" t="s">
        <v>712</v>
      </c>
      <c r="B497" s="49" t="s">
        <v>260</v>
      </c>
      <c r="C497" s="49" t="s">
        <v>261</v>
      </c>
      <c r="D497" s="49" t="s">
        <v>69</v>
      </c>
      <c r="E497" s="50">
        <v>5500000</v>
      </c>
      <c r="F497" s="50">
        <v>5500000</v>
      </c>
      <c r="G497" s="50">
        <v>5500000</v>
      </c>
      <c r="H497" s="50">
        <v>0</v>
      </c>
      <c r="I497" s="50">
        <v>0</v>
      </c>
      <c r="J497" s="50">
        <v>0</v>
      </c>
      <c r="K497" s="50">
        <v>3675220</v>
      </c>
      <c r="L497" s="151">
        <f t="shared" si="0"/>
        <v>0.66822181818181814</v>
      </c>
      <c r="M497" s="50">
        <v>3675220</v>
      </c>
      <c r="N497" s="152">
        <f t="shared" si="1"/>
        <v>0.66822181818181814</v>
      </c>
      <c r="O497" s="50">
        <v>1824780</v>
      </c>
      <c r="P497" s="152">
        <f t="shared" si="2"/>
        <v>0.33177818181818181</v>
      </c>
      <c r="Q497" s="50">
        <v>1824780</v>
      </c>
      <c r="R497" s="50"/>
      <c r="S497" s="50"/>
      <c r="T497" s="50"/>
      <c r="U497" s="159"/>
    </row>
    <row r="498" spans="1:21" hidden="1" x14ac:dyDescent="0.25">
      <c r="A498" s="49" t="s">
        <v>712</v>
      </c>
      <c r="B498" s="49" t="s">
        <v>264</v>
      </c>
      <c r="C498" s="49" t="s">
        <v>265</v>
      </c>
      <c r="D498" s="49" t="s">
        <v>69</v>
      </c>
      <c r="E498" s="50">
        <v>5500000</v>
      </c>
      <c r="F498" s="50">
        <v>5500000</v>
      </c>
      <c r="G498" s="50">
        <v>5500000</v>
      </c>
      <c r="H498" s="50">
        <v>0</v>
      </c>
      <c r="I498" s="50">
        <v>0</v>
      </c>
      <c r="J498" s="50">
        <v>0</v>
      </c>
      <c r="K498" s="50">
        <v>3675220</v>
      </c>
      <c r="L498" s="151">
        <f t="shared" si="0"/>
        <v>0.66822181818181814</v>
      </c>
      <c r="M498" s="50">
        <v>3675220</v>
      </c>
      <c r="N498" s="152">
        <f t="shared" si="1"/>
        <v>0.66822181818181814</v>
      </c>
      <c r="O498" s="50">
        <v>1824780</v>
      </c>
      <c r="P498" s="152">
        <f t="shared" si="2"/>
        <v>0.33177818181818181</v>
      </c>
      <c r="Q498" s="50">
        <v>1824780</v>
      </c>
      <c r="R498" s="50"/>
      <c r="S498" s="50"/>
      <c r="T498" s="50"/>
      <c r="U498" s="159"/>
    </row>
    <row r="499" spans="1:21" hidden="1" x14ac:dyDescent="0.25">
      <c r="A499" s="49" t="s">
        <v>712</v>
      </c>
      <c r="B499" s="49" t="s">
        <v>230</v>
      </c>
      <c r="C499" s="49" t="s">
        <v>231</v>
      </c>
      <c r="D499" s="49" t="s">
        <v>85</v>
      </c>
      <c r="E499" s="50">
        <v>10612500</v>
      </c>
      <c r="F499" s="50">
        <v>10612500</v>
      </c>
      <c r="G499" s="50">
        <v>10612500</v>
      </c>
      <c r="H499" s="50">
        <v>3080000</v>
      </c>
      <c r="I499" s="50">
        <v>0</v>
      </c>
      <c r="J499" s="50">
        <v>0</v>
      </c>
      <c r="K499" s="50">
        <v>5818800</v>
      </c>
      <c r="L499" s="151">
        <f t="shared" si="0"/>
        <v>0.54829681978798583</v>
      </c>
      <c r="M499" s="50">
        <v>5818800</v>
      </c>
      <c r="N499" s="152">
        <f t="shared" si="1"/>
        <v>0.54829681978798583</v>
      </c>
      <c r="O499" s="50">
        <v>1713700</v>
      </c>
      <c r="P499" s="152">
        <f t="shared" si="2"/>
        <v>0.16147938751472321</v>
      </c>
      <c r="Q499" s="50">
        <v>1713700</v>
      </c>
      <c r="R499" s="50"/>
      <c r="S499" s="50"/>
      <c r="T499" s="50"/>
      <c r="U499" s="159"/>
    </row>
    <row r="500" spans="1:21" hidden="1" x14ac:dyDescent="0.25">
      <c r="A500" s="49" t="s">
        <v>712</v>
      </c>
      <c r="B500" s="49" t="s">
        <v>232</v>
      </c>
      <c r="C500" s="49" t="s">
        <v>233</v>
      </c>
      <c r="D500" s="49" t="s">
        <v>85</v>
      </c>
      <c r="E500" s="50">
        <v>10612500</v>
      </c>
      <c r="F500" s="50">
        <v>10612500</v>
      </c>
      <c r="G500" s="50">
        <v>10612500</v>
      </c>
      <c r="H500" s="50">
        <v>3080000</v>
      </c>
      <c r="I500" s="50">
        <v>0</v>
      </c>
      <c r="J500" s="50">
        <v>0</v>
      </c>
      <c r="K500" s="50">
        <v>5818800</v>
      </c>
      <c r="L500" s="151">
        <f t="shared" si="0"/>
        <v>0.54829681978798583</v>
      </c>
      <c r="M500" s="50">
        <v>5818800</v>
      </c>
      <c r="N500" s="152">
        <f t="shared" si="1"/>
        <v>0.54829681978798583</v>
      </c>
      <c r="O500" s="50">
        <v>1713700</v>
      </c>
      <c r="P500" s="152">
        <f t="shared" si="2"/>
        <v>0.16147938751472321</v>
      </c>
      <c r="Q500" s="50">
        <v>1713700</v>
      </c>
      <c r="R500" s="50"/>
      <c r="S500" s="50"/>
      <c r="T500" s="50"/>
      <c r="U500" s="159"/>
    </row>
    <row r="501" spans="1:21" hidden="1" x14ac:dyDescent="0.25">
      <c r="A501" s="49" t="s">
        <v>712</v>
      </c>
      <c r="B501" s="49" t="s">
        <v>234</v>
      </c>
      <c r="C501" s="49" t="s">
        <v>235</v>
      </c>
      <c r="D501" s="49" t="s">
        <v>85</v>
      </c>
      <c r="E501" s="50">
        <v>6650000</v>
      </c>
      <c r="F501" s="50">
        <v>6650000</v>
      </c>
      <c r="G501" s="50">
        <v>6650000</v>
      </c>
      <c r="H501" s="50">
        <v>0</v>
      </c>
      <c r="I501" s="50">
        <v>0</v>
      </c>
      <c r="J501" s="50">
        <v>0</v>
      </c>
      <c r="K501" s="50">
        <v>5152800</v>
      </c>
      <c r="L501" s="151">
        <f t="shared" si="0"/>
        <v>0.77485714285714291</v>
      </c>
      <c r="M501" s="50">
        <v>5152800</v>
      </c>
      <c r="N501" s="152">
        <f t="shared" si="1"/>
        <v>0.77485714285714291</v>
      </c>
      <c r="O501" s="50">
        <v>1497200</v>
      </c>
      <c r="P501" s="152">
        <f t="shared" si="2"/>
        <v>0.22514285714285714</v>
      </c>
      <c r="Q501" s="50">
        <v>1497200</v>
      </c>
      <c r="R501" s="50"/>
      <c r="S501" s="50"/>
      <c r="T501" s="50"/>
      <c r="U501" s="159"/>
    </row>
    <row r="502" spans="1:21" hidden="1" x14ac:dyDescent="0.25">
      <c r="A502" s="49" t="s">
        <v>712</v>
      </c>
      <c r="B502" s="49" t="s">
        <v>326</v>
      </c>
      <c r="C502" s="49" t="s">
        <v>327</v>
      </c>
      <c r="D502" s="49" t="s">
        <v>85</v>
      </c>
      <c r="E502" s="50">
        <v>760000</v>
      </c>
      <c r="F502" s="50">
        <v>760000</v>
      </c>
      <c r="G502" s="50">
        <v>760000</v>
      </c>
      <c r="H502" s="50">
        <v>0</v>
      </c>
      <c r="I502" s="50">
        <v>0</v>
      </c>
      <c r="J502" s="50">
        <v>0</v>
      </c>
      <c r="K502" s="50">
        <v>666000</v>
      </c>
      <c r="L502" s="151">
        <f t="shared" si="0"/>
        <v>0.87631578947368416</v>
      </c>
      <c r="M502" s="50">
        <v>666000</v>
      </c>
      <c r="N502" s="152">
        <f t="shared" si="1"/>
        <v>0.87631578947368416</v>
      </c>
      <c r="O502" s="50">
        <v>94000</v>
      </c>
      <c r="P502" s="152">
        <f t="shared" si="2"/>
        <v>0.12368421052631579</v>
      </c>
      <c r="Q502" s="50">
        <v>94000</v>
      </c>
      <c r="R502" s="50"/>
      <c r="S502" s="50"/>
      <c r="T502" s="50"/>
      <c r="U502" s="159"/>
    </row>
    <row r="503" spans="1:21" hidden="1" x14ac:dyDescent="0.25">
      <c r="A503" s="49" t="s">
        <v>712</v>
      </c>
      <c r="B503" s="49" t="s">
        <v>242</v>
      </c>
      <c r="C503" s="49" t="s">
        <v>243</v>
      </c>
      <c r="D503" s="49" t="s">
        <v>85</v>
      </c>
      <c r="E503" s="50">
        <v>3202500</v>
      </c>
      <c r="F503" s="50">
        <v>3202500</v>
      </c>
      <c r="G503" s="50">
        <v>3202500</v>
      </c>
      <c r="H503" s="50">
        <v>3080000</v>
      </c>
      <c r="I503" s="50">
        <v>0</v>
      </c>
      <c r="J503" s="50">
        <v>0</v>
      </c>
      <c r="K503" s="50">
        <v>0</v>
      </c>
      <c r="L503" s="151">
        <f t="shared" si="0"/>
        <v>0</v>
      </c>
      <c r="M503" s="50">
        <v>0</v>
      </c>
      <c r="N503" s="152">
        <f t="shared" si="1"/>
        <v>0</v>
      </c>
      <c r="O503" s="50">
        <v>122500</v>
      </c>
      <c r="P503" s="152">
        <f t="shared" si="2"/>
        <v>3.825136612021858E-2</v>
      </c>
      <c r="Q503" s="50">
        <v>122500</v>
      </c>
      <c r="R503" s="50"/>
      <c r="S503" s="50"/>
      <c r="T503" s="50"/>
      <c r="U503" s="159"/>
    </row>
    <row r="504" spans="1:21" hidden="1" x14ac:dyDescent="0.25">
      <c r="A504" s="49">
        <v>214789003</v>
      </c>
      <c r="B504" s="49"/>
      <c r="C504" s="49"/>
      <c r="D504" s="49" t="s">
        <v>69</v>
      </c>
      <c r="E504" s="50">
        <v>1434240030</v>
      </c>
      <c r="F504" s="50">
        <v>1423727288</v>
      </c>
      <c r="G504" s="50">
        <v>1418093499.5899999</v>
      </c>
      <c r="H504" s="50">
        <v>18223.88</v>
      </c>
      <c r="I504" s="50">
        <v>88899062.689999998</v>
      </c>
      <c r="J504" s="50">
        <v>12300455.289999999</v>
      </c>
      <c r="K504" s="50">
        <v>999425163.77999997</v>
      </c>
      <c r="L504" s="151">
        <f t="shared" si="0"/>
        <v>0.70197795055537349</v>
      </c>
      <c r="M504" s="50">
        <v>999174163.77999997</v>
      </c>
      <c r="N504" s="152">
        <f t="shared" si="1"/>
        <v>0.70180165274741857</v>
      </c>
      <c r="O504" s="50">
        <v>323084382.36000001</v>
      </c>
      <c r="P504" s="152">
        <f t="shared" si="2"/>
        <v>0.22692855934078299</v>
      </c>
      <c r="Q504" s="50">
        <v>317450593.94999999</v>
      </c>
      <c r="R504" s="50"/>
      <c r="S504" s="50"/>
      <c r="T504" s="50"/>
      <c r="U504" s="159"/>
    </row>
    <row r="505" spans="1:21" hidden="1" x14ac:dyDescent="0.25">
      <c r="A505" s="49" t="s">
        <v>713</v>
      </c>
      <c r="B505" s="49" t="s">
        <v>71</v>
      </c>
      <c r="C505" s="49" t="s">
        <v>72</v>
      </c>
      <c r="D505" s="49" t="s">
        <v>69</v>
      </c>
      <c r="E505" s="50">
        <v>1171265212</v>
      </c>
      <c r="F505" s="50">
        <v>1160887237</v>
      </c>
      <c r="G505" s="50">
        <v>1155687237</v>
      </c>
      <c r="H505" s="50">
        <v>0</v>
      </c>
      <c r="I505" s="50">
        <v>50266979</v>
      </c>
      <c r="J505" s="50">
        <v>0</v>
      </c>
      <c r="K505" s="50">
        <v>819964836.33000004</v>
      </c>
      <c r="L505" s="151">
        <f t="shared" si="0"/>
        <v>0.70632599807796836</v>
      </c>
      <c r="M505" s="50">
        <v>819964836.33000004</v>
      </c>
      <c r="N505" s="152">
        <f t="shared" si="1"/>
        <v>0.70632599807796836</v>
      </c>
      <c r="O505" s="50">
        <v>290655421.67000002</v>
      </c>
      <c r="P505" s="152">
        <f t="shared" si="2"/>
        <v>0.25037351812146763</v>
      </c>
      <c r="Q505" s="50">
        <v>285455421.67000002</v>
      </c>
      <c r="R505" s="50"/>
      <c r="S505" s="50"/>
      <c r="T505" s="50"/>
      <c r="U505" s="159"/>
    </row>
    <row r="506" spans="1:21" hidden="1" x14ac:dyDescent="0.25">
      <c r="A506" s="49" t="s">
        <v>713</v>
      </c>
      <c r="B506" s="49" t="s">
        <v>73</v>
      </c>
      <c r="C506" s="49" t="s">
        <v>74</v>
      </c>
      <c r="D506" s="49" t="s">
        <v>69</v>
      </c>
      <c r="E506" s="50">
        <v>419650432</v>
      </c>
      <c r="F506" s="50">
        <v>414102244</v>
      </c>
      <c r="G506" s="50">
        <v>414102244</v>
      </c>
      <c r="H506" s="50">
        <v>0</v>
      </c>
      <c r="I506" s="50">
        <v>0</v>
      </c>
      <c r="J506" s="50">
        <v>0</v>
      </c>
      <c r="K506" s="50">
        <v>330161655.10000002</v>
      </c>
      <c r="L506" s="151">
        <f t="shared" si="0"/>
        <v>0.79729501562420901</v>
      </c>
      <c r="M506" s="50">
        <v>330161655.10000002</v>
      </c>
      <c r="N506" s="152">
        <f t="shared" si="1"/>
        <v>0.79729501562420901</v>
      </c>
      <c r="O506" s="50">
        <v>83940588.900000006</v>
      </c>
      <c r="P506" s="152">
        <f t="shared" si="2"/>
        <v>0.20270498437579104</v>
      </c>
      <c r="Q506" s="50">
        <v>83940588.900000006</v>
      </c>
      <c r="R506" s="50"/>
      <c r="S506" s="50"/>
      <c r="T506" s="50"/>
      <c r="U506" s="159"/>
    </row>
    <row r="507" spans="1:21" hidden="1" x14ac:dyDescent="0.25">
      <c r="A507" s="49" t="s">
        <v>713</v>
      </c>
      <c r="B507" s="49" t="s">
        <v>75</v>
      </c>
      <c r="C507" s="49" t="s">
        <v>76</v>
      </c>
      <c r="D507" s="49" t="s">
        <v>69</v>
      </c>
      <c r="E507" s="50">
        <v>419650432</v>
      </c>
      <c r="F507" s="50">
        <v>414102244</v>
      </c>
      <c r="G507" s="50">
        <v>414102244</v>
      </c>
      <c r="H507" s="50">
        <v>0</v>
      </c>
      <c r="I507" s="50">
        <v>0</v>
      </c>
      <c r="J507" s="50">
        <v>0</v>
      </c>
      <c r="K507" s="50">
        <v>330161655.10000002</v>
      </c>
      <c r="L507" s="151">
        <f t="shared" si="0"/>
        <v>0.79729501562420901</v>
      </c>
      <c r="M507" s="50">
        <v>330161655.10000002</v>
      </c>
      <c r="N507" s="152">
        <f t="shared" si="1"/>
        <v>0.79729501562420901</v>
      </c>
      <c r="O507" s="50">
        <v>83940588.900000006</v>
      </c>
      <c r="P507" s="152">
        <f t="shared" si="2"/>
        <v>0.20270498437579104</v>
      </c>
      <c r="Q507" s="50">
        <v>83940588.900000006</v>
      </c>
      <c r="R507" s="50"/>
      <c r="S507" s="50"/>
      <c r="T507" s="50"/>
      <c r="U507" s="159"/>
    </row>
    <row r="508" spans="1:21" hidden="1" x14ac:dyDescent="0.25">
      <c r="A508" s="49" t="s">
        <v>713</v>
      </c>
      <c r="B508" s="49" t="s">
        <v>293</v>
      </c>
      <c r="C508" s="49" t="s">
        <v>294</v>
      </c>
      <c r="D508" s="49" t="s">
        <v>69</v>
      </c>
      <c r="E508" s="50">
        <v>5204100</v>
      </c>
      <c r="F508" s="50">
        <v>5204100</v>
      </c>
      <c r="G508" s="50">
        <v>5204100</v>
      </c>
      <c r="H508" s="50">
        <v>0</v>
      </c>
      <c r="I508" s="50">
        <v>0</v>
      </c>
      <c r="J508" s="50">
        <v>0</v>
      </c>
      <c r="K508" s="50">
        <v>0</v>
      </c>
      <c r="L508" s="151">
        <f t="shared" si="0"/>
        <v>0</v>
      </c>
      <c r="M508" s="50">
        <v>0</v>
      </c>
      <c r="N508" s="152">
        <f t="shared" si="1"/>
        <v>0</v>
      </c>
      <c r="O508" s="50">
        <v>5204100</v>
      </c>
      <c r="P508" s="152">
        <f t="shared" si="2"/>
        <v>1</v>
      </c>
      <c r="Q508" s="50">
        <v>5204100</v>
      </c>
      <c r="R508" s="50"/>
      <c r="S508" s="50"/>
      <c r="T508" s="50"/>
      <c r="U508" s="159"/>
    </row>
    <row r="509" spans="1:21" hidden="1" x14ac:dyDescent="0.25">
      <c r="A509" s="49" t="s">
        <v>713</v>
      </c>
      <c r="B509" s="49" t="s">
        <v>339</v>
      </c>
      <c r="C509" s="49" t="s">
        <v>340</v>
      </c>
      <c r="D509" s="49" t="s">
        <v>69</v>
      </c>
      <c r="E509" s="50">
        <v>5204100</v>
      </c>
      <c r="F509" s="50">
        <v>5204100</v>
      </c>
      <c r="G509" s="50">
        <v>5204100</v>
      </c>
      <c r="H509" s="50">
        <v>0</v>
      </c>
      <c r="I509" s="50">
        <v>0</v>
      </c>
      <c r="J509" s="50">
        <v>0</v>
      </c>
      <c r="K509" s="50">
        <v>0</v>
      </c>
      <c r="L509" s="151">
        <f t="shared" si="0"/>
        <v>0</v>
      </c>
      <c r="M509" s="50">
        <v>0</v>
      </c>
      <c r="N509" s="152">
        <f t="shared" si="1"/>
        <v>0</v>
      </c>
      <c r="O509" s="50">
        <v>5204100</v>
      </c>
      <c r="P509" s="152">
        <f t="shared" si="2"/>
        <v>1</v>
      </c>
      <c r="Q509" s="50">
        <v>5204100</v>
      </c>
      <c r="R509" s="50"/>
      <c r="S509" s="50"/>
      <c r="T509" s="50"/>
      <c r="U509" s="159"/>
    </row>
    <row r="510" spans="1:21" hidden="1" x14ac:dyDescent="0.25">
      <c r="A510" s="49" t="s">
        <v>713</v>
      </c>
      <c r="B510" s="49" t="s">
        <v>77</v>
      </c>
      <c r="C510" s="49" t="s">
        <v>78</v>
      </c>
      <c r="D510" s="49" t="s">
        <v>69</v>
      </c>
      <c r="E510" s="50">
        <v>567738543</v>
      </c>
      <c r="F510" s="50">
        <v>564491876</v>
      </c>
      <c r="G510" s="50">
        <v>561491876</v>
      </c>
      <c r="H510" s="50">
        <v>0</v>
      </c>
      <c r="I510" s="50">
        <v>0</v>
      </c>
      <c r="J510" s="50">
        <v>0</v>
      </c>
      <c r="K510" s="50">
        <v>366444454.23000002</v>
      </c>
      <c r="L510" s="151">
        <f t="shared" si="0"/>
        <v>0.64915806552723532</v>
      </c>
      <c r="M510" s="50">
        <v>366444454.23000002</v>
      </c>
      <c r="N510" s="152">
        <f t="shared" si="1"/>
        <v>0.64915806552723532</v>
      </c>
      <c r="O510" s="50">
        <v>198047421.77000001</v>
      </c>
      <c r="P510" s="152">
        <f t="shared" si="2"/>
        <v>0.35084193447276468</v>
      </c>
      <c r="Q510" s="50">
        <v>195047421.77000001</v>
      </c>
      <c r="R510" s="50"/>
      <c r="S510" s="50"/>
      <c r="T510" s="50"/>
      <c r="U510" s="159"/>
    </row>
    <row r="511" spans="1:21" hidden="1" x14ac:dyDescent="0.25">
      <c r="A511" s="49" t="s">
        <v>713</v>
      </c>
      <c r="B511" s="49" t="s">
        <v>79</v>
      </c>
      <c r="C511" s="49" t="s">
        <v>80</v>
      </c>
      <c r="D511" s="49" t="s">
        <v>69</v>
      </c>
      <c r="E511" s="50">
        <v>176537100</v>
      </c>
      <c r="F511" s="50">
        <v>176537100</v>
      </c>
      <c r="G511" s="50">
        <v>176537100</v>
      </c>
      <c r="H511" s="50">
        <v>0</v>
      </c>
      <c r="I511" s="50">
        <v>0</v>
      </c>
      <c r="J511" s="50">
        <v>0</v>
      </c>
      <c r="K511" s="50">
        <v>122766999.54000001</v>
      </c>
      <c r="L511" s="151">
        <f t="shared" si="0"/>
        <v>0.6954175611811908</v>
      </c>
      <c r="M511" s="50">
        <v>122766999.54000001</v>
      </c>
      <c r="N511" s="152">
        <f t="shared" si="1"/>
        <v>0.6954175611811908</v>
      </c>
      <c r="O511" s="50">
        <v>53770100.460000001</v>
      </c>
      <c r="P511" s="152">
        <f t="shared" si="2"/>
        <v>0.3045824388188092</v>
      </c>
      <c r="Q511" s="50">
        <v>53770100.460000001</v>
      </c>
      <c r="R511" s="50"/>
      <c r="S511" s="50"/>
      <c r="T511" s="50"/>
      <c r="U511" s="159"/>
    </row>
    <row r="512" spans="1:21" hidden="1" x14ac:dyDescent="0.25">
      <c r="A512" s="49" t="s">
        <v>713</v>
      </c>
      <c r="B512" s="49" t="s">
        <v>81</v>
      </c>
      <c r="C512" s="49" t="s">
        <v>82</v>
      </c>
      <c r="D512" s="49" t="s">
        <v>69</v>
      </c>
      <c r="E512" s="50">
        <v>145353690</v>
      </c>
      <c r="F512" s="50">
        <v>142783300</v>
      </c>
      <c r="G512" s="50">
        <v>142783300</v>
      </c>
      <c r="H512" s="50">
        <v>0</v>
      </c>
      <c r="I512" s="50">
        <v>0</v>
      </c>
      <c r="J512" s="50">
        <v>0</v>
      </c>
      <c r="K512" s="50">
        <v>105836094.15000001</v>
      </c>
      <c r="L512" s="151">
        <f t="shared" si="0"/>
        <v>0.74123580383700338</v>
      </c>
      <c r="M512" s="50">
        <v>105836094.15000001</v>
      </c>
      <c r="N512" s="152">
        <f t="shared" si="1"/>
        <v>0.74123580383700338</v>
      </c>
      <c r="O512" s="50">
        <v>36947205.850000001</v>
      </c>
      <c r="P512" s="152">
        <f t="shared" si="2"/>
        <v>0.25876419616299667</v>
      </c>
      <c r="Q512" s="50">
        <v>36947205.850000001</v>
      </c>
      <c r="R512" s="50"/>
      <c r="S512" s="50"/>
      <c r="T512" s="50"/>
      <c r="U512" s="159"/>
    </row>
    <row r="513" spans="1:21" hidden="1" x14ac:dyDescent="0.25">
      <c r="A513" s="49" t="s">
        <v>713</v>
      </c>
      <c r="B513" s="49" t="s">
        <v>86</v>
      </c>
      <c r="C513" s="49" t="s">
        <v>87</v>
      </c>
      <c r="D513" s="49" t="s">
        <v>69</v>
      </c>
      <c r="E513" s="50">
        <v>70126000</v>
      </c>
      <c r="F513" s="50">
        <v>70126000</v>
      </c>
      <c r="G513" s="50">
        <v>67126000</v>
      </c>
      <c r="H513" s="50">
        <v>0</v>
      </c>
      <c r="I513" s="50">
        <v>0</v>
      </c>
      <c r="J513" s="50">
        <v>0</v>
      </c>
      <c r="K513" s="50">
        <v>62351269.950000003</v>
      </c>
      <c r="L513" s="151">
        <f t="shared" si="0"/>
        <v>0.88913199027464851</v>
      </c>
      <c r="M513" s="50">
        <v>62351269.950000003</v>
      </c>
      <c r="N513" s="152">
        <f t="shared" si="1"/>
        <v>0.88913199027464851</v>
      </c>
      <c r="O513" s="50">
        <v>7774730.0499999998</v>
      </c>
      <c r="P513" s="152">
        <f t="shared" si="2"/>
        <v>0.1108680097253515</v>
      </c>
      <c r="Q513" s="50">
        <v>4774730.05</v>
      </c>
      <c r="R513" s="50"/>
      <c r="S513" s="50"/>
      <c r="T513" s="50"/>
      <c r="U513" s="159"/>
    </row>
    <row r="514" spans="1:21" hidden="1" x14ac:dyDescent="0.25">
      <c r="A514" s="49" t="s">
        <v>713</v>
      </c>
      <c r="B514" s="49" t="s">
        <v>88</v>
      </c>
      <c r="C514" s="49" t="s">
        <v>89</v>
      </c>
      <c r="D514" s="49" t="s">
        <v>69</v>
      </c>
      <c r="E514" s="50">
        <v>99397100</v>
      </c>
      <c r="F514" s="50">
        <v>99397100</v>
      </c>
      <c r="G514" s="50">
        <v>99397100</v>
      </c>
      <c r="H514" s="50">
        <v>0</v>
      </c>
      <c r="I514" s="50">
        <v>0</v>
      </c>
      <c r="J514" s="50">
        <v>0</v>
      </c>
      <c r="K514" s="50">
        <v>75490090.590000004</v>
      </c>
      <c r="L514" s="151">
        <f t="shared" si="0"/>
        <v>0.7594798096725156</v>
      </c>
      <c r="M514" s="50">
        <v>75490090.590000004</v>
      </c>
      <c r="N514" s="152">
        <f t="shared" si="1"/>
        <v>0.7594798096725156</v>
      </c>
      <c r="O514" s="50">
        <v>23907009.41</v>
      </c>
      <c r="P514" s="152">
        <f t="shared" si="2"/>
        <v>0.2405201903274844</v>
      </c>
      <c r="Q514" s="50">
        <v>23907009.41</v>
      </c>
      <c r="R514" s="50"/>
      <c r="S514" s="50"/>
      <c r="T514" s="50"/>
      <c r="U514" s="159"/>
    </row>
    <row r="515" spans="1:21" hidden="1" x14ac:dyDescent="0.25">
      <c r="A515" s="49" t="s">
        <v>713</v>
      </c>
      <c r="B515" s="49" t="s">
        <v>83</v>
      </c>
      <c r="C515" s="49" t="s">
        <v>84</v>
      </c>
      <c r="D515" s="49" t="s">
        <v>85</v>
      </c>
      <c r="E515" s="50">
        <v>76324653</v>
      </c>
      <c r="F515" s="50">
        <v>75648376</v>
      </c>
      <c r="G515" s="50">
        <v>75648376</v>
      </c>
      <c r="H515" s="50">
        <v>0</v>
      </c>
      <c r="I515" s="50">
        <v>0</v>
      </c>
      <c r="J515" s="50">
        <v>0</v>
      </c>
      <c r="K515" s="50">
        <v>0</v>
      </c>
      <c r="L515" s="151">
        <f t="shared" si="0"/>
        <v>0</v>
      </c>
      <c r="M515" s="50">
        <v>0</v>
      </c>
      <c r="N515" s="152">
        <f t="shared" si="1"/>
        <v>0</v>
      </c>
      <c r="O515" s="50">
        <v>75648376</v>
      </c>
      <c r="P515" s="152">
        <f t="shared" si="2"/>
        <v>1</v>
      </c>
      <c r="Q515" s="50">
        <v>75648376</v>
      </c>
      <c r="R515" s="50"/>
      <c r="S515" s="50"/>
      <c r="T515" s="50"/>
      <c r="U515" s="159"/>
    </row>
    <row r="516" spans="1:21" hidden="1" x14ac:dyDescent="0.25">
      <c r="A516" s="49" t="s">
        <v>713</v>
      </c>
      <c r="B516" s="49" t="s">
        <v>90</v>
      </c>
      <c r="C516" s="49" t="s">
        <v>91</v>
      </c>
      <c r="D516" s="49" t="s">
        <v>69</v>
      </c>
      <c r="E516" s="50">
        <v>89336069</v>
      </c>
      <c r="F516" s="50">
        <v>88544509</v>
      </c>
      <c r="G516" s="50">
        <v>88544509</v>
      </c>
      <c r="H516" s="50">
        <v>0</v>
      </c>
      <c r="I516" s="50">
        <v>26179649</v>
      </c>
      <c r="J516" s="50">
        <v>0</v>
      </c>
      <c r="K516" s="50">
        <v>61733204</v>
      </c>
      <c r="L516" s="151">
        <f t="shared" si="0"/>
        <v>0.69719968744758642</v>
      </c>
      <c r="M516" s="50">
        <v>61733204</v>
      </c>
      <c r="N516" s="152">
        <f t="shared" si="1"/>
        <v>0.69719968744758642</v>
      </c>
      <c r="O516" s="50">
        <v>631656</v>
      </c>
      <c r="P516" s="152">
        <f t="shared" si="2"/>
        <v>7.1337681707625712E-3</v>
      </c>
      <c r="Q516" s="50">
        <v>631656</v>
      </c>
      <c r="R516" s="50"/>
      <c r="S516" s="50"/>
      <c r="T516" s="50"/>
      <c r="U516" s="159"/>
    </row>
    <row r="517" spans="1:21" hidden="1" x14ac:dyDescent="0.25">
      <c r="A517" s="49" t="s">
        <v>713</v>
      </c>
      <c r="B517" s="49" t="s">
        <v>423</v>
      </c>
      <c r="C517" s="49" t="s">
        <v>697</v>
      </c>
      <c r="D517" s="49" t="s">
        <v>69</v>
      </c>
      <c r="E517" s="50">
        <v>84754804</v>
      </c>
      <c r="F517" s="50">
        <v>84003836</v>
      </c>
      <c r="G517" s="50">
        <v>84003836</v>
      </c>
      <c r="H517" s="50">
        <v>0</v>
      </c>
      <c r="I517" s="50">
        <v>24837174</v>
      </c>
      <c r="J517" s="50">
        <v>0</v>
      </c>
      <c r="K517" s="50">
        <v>58567399</v>
      </c>
      <c r="L517" s="151">
        <f t="shared" si="0"/>
        <v>0.69719910171721211</v>
      </c>
      <c r="M517" s="50">
        <v>58567399</v>
      </c>
      <c r="N517" s="152">
        <f t="shared" si="1"/>
        <v>0.69719910171721211</v>
      </c>
      <c r="O517" s="50">
        <v>599263</v>
      </c>
      <c r="P517" s="152">
        <f t="shared" si="2"/>
        <v>7.1337575584048329E-3</v>
      </c>
      <c r="Q517" s="50">
        <v>599263</v>
      </c>
      <c r="R517" s="50"/>
      <c r="S517" s="50"/>
      <c r="T517" s="50"/>
      <c r="U517" s="159"/>
    </row>
    <row r="518" spans="1:21" hidden="1" x14ac:dyDescent="0.25">
      <c r="A518" s="49" t="s">
        <v>713</v>
      </c>
      <c r="B518" s="49" t="s">
        <v>440</v>
      </c>
      <c r="C518" s="49" t="s">
        <v>95</v>
      </c>
      <c r="D518" s="49" t="s">
        <v>69</v>
      </c>
      <c r="E518" s="50">
        <v>4581265</v>
      </c>
      <c r="F518" s="50">
        <v>4540673</v>
      </c>
      <c r="G518" s="50">
        <v>4540673</v>
      </c>
      <c r="H518" s="50">
        <v>0</v>
      </c>
      <c r="I518" s="50">
        <v>1342475</v>
      </c>
      <c r="J518" s="50">
        <v>0</v>
      </c>
      <c r="K518" s="50">
        <v>3165805</v>
      </c>
      <c r="L518" s="151">
        <f t="shared" si="0"/>
        <v>0.69721052363823599</v>
      </c>
      <c r="M518" s="50">
        <v>3165805</v>
      </c>
      <c r="N518" s="152">
        <f t="shared" si="1"/>
        <v>0.69721052363823599</v>
      </c>
      <c r="O518" s="50">
        <v>32393</v>
      </c>
      <c r="P518" s="152">
        <f t="shared" si="2"/>
        <v>7.1339645026188853E-3</v>
      </c>
      <c r="Q518" s="50">
        <v>32393</v>
      </c>
      <c r="R518" s="50"/>
      <c r="S518" s="50"/>
      <c r="T518" s="50"/>
      <c r="U518" s="159"/>
    </row>
    <row r="519" spans="1:21" hidden="1" x14ac:dyDescent="0.25">
      <c r="A519" s="49" t="s">
        <v>713</v>
      </c>
      <c r="B519" s="49" t="s">
        <v>96</v>
      </c>
      <c r="C519" s="49" t="s">
        <v>97</v>
      </c>
      <c r="D519" s="49" t="s">
        <v>69</v>
      </c>
      <c r="E519" s="50">
        <v>89336068</v>
      </c>
      <c r="F519" s="50">
        <v>88544508</v>
      </c>
      <c r="G519" s="50">
        <v>86344508</v>
      </c>
      <c r="H519" s="50">
        <v>0</v>
      </c>
      <c r="I519" s="50">
        <v>24087330</v>
      </c>
      <c r="J519" s="50">
        <v>0</v>
      </c>
      <c r="K519" s="50">
        <v>61625523</v>
      </c>
      <c r="L519" s="151">
        <f t="shared" si="0"/>
        <v>0.69598357246504772</v>
      </c>
      <c r="M519" s="50">
        <v>61625523</v>
      </c>
      <c r="N519" s="152">
        <f t="shared" si="1"/>
        <v>0.69598357246504772</v>
      </c>
      <c r="O519" s="50">
        <v>2831655</v>
      </c>
      <c r="P519" s="152">
        <f t="shared" si="2"/>
        <v>3.198001845580304E-2</v>
      </c>
      <c r="Q519" s="50">
        <v>631655</v>
      </c>
      <c r="R519" s="50"/>
      <c r="S519" s="50"/>
      <c r="T519" s="50"/>
      <c r="U519" s="159"/>
    </row>
    <row r="520" spans="1:21" hidden="1" x14ac:dyDescent="0.25">
      <c r="A520" s="49" t="s">
        <v>713</v>
      </c>
      <c r="B520" s="49" t="s">
        <v>458</v>
      </c>
      <c r="C520" s="49" t="s">
        <v>698</v>
      </c>
      <c r="D520" s="49" t="s">
        <v>69</v>
      </c>
      <c r="E520" s="50">
        <v>48104083</v>
      </c>
      <c r="F520" s="50">
        <v>47677858</v>
      </c>
      <c r="G520" s="50">
        <v>47677858</v>
      </c>
      <c r="H520" s="50">
        <v>0</v>
      </c>
      <c r="I520" s="50">
        <v>14204463</v>
      </c>
      <c r="J520" s="50">
        <v>0</v>
      </c>
      <c r="K520" s="50">
        <v>33133273</v>
      </c>
      <c r="L520" s="151">
        <f t="shared" si="0"/>
        <v>0.69494046901184192</v>
      </c>
      <c r="M520" s="50">
        <v>33133273</v>
      </c>
      <c r="N520" s="152">
        <f t="shared" si="1"/>
        <v>0.69494046901184192</v>
      </c>
      <c r="O520" s="50">
        <v>340122</v>
      </c>
      <c r="P520" s="152">
        <f t="shared" si="2"/>
        <v>7.1337516882574717E-3</v>
      </c>
      <c r="Q520" s="50">
        <v>340122</v>
      </c>
      <c r="R520" s="50"/>
      <c r="S520" s="50"/>
      <c r="T520" s="50"/>
      <c r="U520" s="159"/>
    </row>
    <row r="521" spans="1:21" hidden="1" x14ac:dyDescent="0.25">
      <c r="A521" s="49" t="s">
        <v>713</v>
      </c>
      <c r="B521" s="49" t="s">
        <v>475</v>
      </c>
      <c r="C521" s="49" t="s">
        <v>699</v>
      </c>
      <c r="D521" s="49" t="s">
        <v>69</v>
      </c>
      <c r="E521" s="50">
        <v>13743995</v>
      </c>
      <c r="F521" s="50">
        <v>13622217</v>
      </c>
      <c r="G521" s="50">
        <v>13622217</v>
      </c>
      <c r="H521" s="50">
        <v>0</v>
      </c>
      <c r="I521" s="50">
        <v>4027622</v>
      </c>
      <c r="J521" s="50">
        <v>0</v>
      </c>
      <c r="K521" s="50">
        <v>9497417</v>
      </c>
      <c r="L521" s="151">
        <f t="shared" si="0"/>
        <v>0.69720053644718771</v>
      </c>
      <c r="M521" s="50">
        <v>9497417</v>
      </c>
      <c r="N521" s="152">
        <f t="shared" si="1"/>
        <v>0.69720053644718771</v>
      </c>
      <c r="O521" s="50">
        <v>97178</v>
      </c>
      <c r="P521" s="152">
        <f t="shared" si="2"/>
        <v>7.1337874003915809E-3</v>
      </c>
      <c r="Q521" s="50">
        <v>97178</v>
      </c>
      <c r="R521" s="50"/>
      <c r="S521" s="50"/>
      <c r="T521" s="50"/>
      <c r="U521" s="159"/>
    </row>
    <row r="522" spans="1:21" hidden="1" x14ac:dyDescent="0.25">
      <c r="A522" s="49" t="s">
        <v>713</v>
      </c>
      <c r="B522" s="49" t="s">
        <v>492</v>
      </c>
      <c r="C522" s="49" t="s">
        <v>700</v>
      </c>
      <c r="D522" s="49" t="s">
        <v>69</v>
      </c>
      <c r="E522" s="50">
        <v>27487990</v>
      </c>
      <c r="F522" s="50">
        <v>27244433</v>
      </c>
      <c r="G522" s="50">
        <v>25044433</v>
      </c>
      <c r="H522" s="50">
        <v>0</v>
      </c>
      <c r="I522" s="50">
        <v>5855245</v>
      </c>
      <c r="J522" s="50">
        <v>0</v>
      </c>
      <c r="K522" s="50">
        <v>18994833</v>
      </c>
      <c r="L522" s="151">
        <f t="shared" si="0"/>
        <v>0.69720052533301025</v>
      </c>
      <c r="M522" s="50">
        <v>18994833</v>
      </c>
      <c r="N522" s="152">
        <f t="shared" si="1"/>
        <v>0.69720052533301025</v>
      </c>
      <c r="O522" s="50">
        <v>2394355</v>
      </c>
      <c r="P522" s="152">
        <f t="shared" si="2"/>
        <v>8.7884192708286499E-2</v>
      </c>
      <c r="Q522" s="50">
        <v>194355</v>
      </c>
      <c r="R522" s="50"/>
      <c r="S522" s="50"/>
      <c r="T522" s="50"/>
      <c r="U522" s="159"/>
    </row>
    <row r="523" spans="1:21" hidden="1" x14ac:dyDescent="0.25">
      <c r="A523" s="49" t="s">
        <v>713</v>
      </c>
      <c r="B523" s="49" t="s">
        <v>104</v>
      </c>
      <c r="C523" s="49" t="s">
        <v>105</v>
      </c>
      <c r="D523" s="49" t="s">
        <v>69</v>
      </c>
      <c r="E523" s="50">
        <v>92630000</v>
      </c>
      <c r="F523" s="50">
        <v>92630000</v>
      </c>
      <c r="G523" s="50">
        <v>92229999.400000006</v>
      </c>
      <c r="H523" s="50">
        <v>0</v>
      </c>
      <c r="I523" s="50">
        <v>11970054.550000001</v>
      </c>
      <c r="J523" s="50">
        <v>0</v>
      </c>
      <c r="K523" s="50">
        <v>70084271.450000003</v>
      </c>
      <c r="L523" s="151">
        <f t="shared" si="0"/>
        <v>0.75660446345676347</v>
      </c>
      <c r="M523" s="50">
        <v>70084271.450000003</v>
      </c>
      <c r="N523" s="152">
        <f t="shared" si="1"/>
        <v>0.75660446345676347</v>
      </c>
      <c r="O523" s="50">
        <v>10575674</v>
      </c>
      <c r="P523" s="152">
        <f t="shared" si="2"/>
        <v>0.11417115405376228</v>
      </c>
      <c r="Q523" s="50">
        <v>10175673.4</v>
      </c>
      <c r="R523" s="50"/>
      <c r="S523" s="50"/>
      <c r="T523" s="50"/>
      <c r="U523" s="159"/>
    </row>
    <row r="524" spans="1:21" hidden="1" x14ac:dyDescent="0.25">
      <c r="A524" s="49" t="s">
        <v>713</v>
      </c>
      <c r="B524" s="49" t="s">
        <v>112</v>
      </c>
      <c r="C524" s="49" t="s">
        <v>113</v>
      </c>
      <c r="D524" s="49" t="s">
        <v>69</v>
      </c>
      <c r="E524" s="50">
        <v>92630000</v>
      </c>
      <c r="F524" s="50">
        <v>92630000</v>
      </c>
      <c r="G524" s="50">
        <v>92229999.400000006</v>
      </c>
      <c r="H524" s="50">
        <v>0</v>
      </c>
      <c r="I524" s="50">
        <v>11970054.550000001</v>
      </c>
      <c r="J524" s="50">
        <v>0</v>
      </c>
      <c r="K524" s="50">
        <v>70084271.450000003</v>
      </c>
      <c r="L524" s="151">
        <f t="shared" si="0"/>
        <v>0.75660446345676347</v>
      </c>
      <c r="M524" s="50">
        <v>70084271.450000003</v>
      </c>
      <c r="N524" s="152">
        <f t="shared" si="1"/>
        <v>0.75660446345676347</v>
      </c>
      <c r="O524" s="50">
        <v>10575674</v>
      </c>
      <c r="P524" s="152">
        <f t="shared" si="2"/>
        <v>0.11417115405376228</v>
      </c>
      <c r="Q524" s="50">
        <v>10175673.4</v>
      </c>
      <c r="R524" s="50"/>
      <c r="S524" s="50"/>
      <c r="T524" s="50"/>
      <c r="U524" s="159"/>
    </row>
    <row r="525" spans="1:21" hidden="1" x14ac:dyDescent="0.25">
      <c r="A525" s="49" t="s">
        <v>713</v>
      </c>
      <c r="B525" s="49" t="s">
        <v>114</v>
      </c>
      <c r="C525" s="49" t="s">
        <v>115</v>
      </c>
      <c r="D525" s="49" t="s">
        <v>69</v>
      </c>
      <c r="E525" s="50">
        <v>54520000</v>
      </c>
      <c r="F525" s="50">
        <v>54520000</v>
      </c>
      <c r="G525" s="50">
        <v>54519999.399999999</v>
      </c>
      <c r="H525" s="50">
        <v>0</v>
      </c>
      <c r="I525" s="50">
        <v>1803171</v>
      </c>
      <c r="J525" s="50">
        <v>0</v>
      </c>
      <c r="K525" s="50">
        <v>43809065</v>
      </c>
      <c r="L525" s="151">
        <f t="shared" si="0"/>
        <v>0.80354117754952314</v>
      </c>
      <c r="M525" s="50">
        <v>43809065</v>
      </c>
      <c r="N525" s="152">
        <f t="shared" si="1"/>
        <v>0.80354117754952314</v>
      </c>
      <c r="O525" s="50">
        <v>8907764</v>
      </c>
      <c r="P525" s="152">
        <f t="shared" si="2"/>
        <v>0.1633852531181218</v>
      </c>
      <c r="Q525" s="50">
        <v>8907763.4000000004</v>
      </c>
      <c r="R525" s="50"/>
      <c r="S525" s="50"/>
      <c r="T525" s="50"/>
      <c r="U525" s="159"/>
    </row>
    <row r="526" spans="1:21" hidden="1" x14ac:dyDescent="0.25">
      <c r="A526" s="49" t="s">
        <v>713</v>
      </c>
      <c r="B526" s="49" t="s">
        <v>116</v>
      </c>
      <c r="C526" s="49" t="s">
        <v>117</v>
      </c>
      <c r="D526" s="49" t="s">
        <v>69</v>
      </c>
      <c r="E526" s="50">
        <v>34800000</v>
      </c>
      <c r="F526" s="50">
        <v>34800000</v>
      </c>
      <c r="G526" s="50">
        <v>34800000</v>
      </c>
      <c r="H526" s="50">
        <v>0</v>
      </c>
      <c r="I526" s="50">
        <v>9943978.1999999993</v>
      </c>
      <c r="J526" s="50">
        <v>0</v>
      </c>
      <c r="K526" s="50">
        <v>24856021.800000001</v>
      </c>
      <c r="L526" s="151">
        <f t="shared" si="0"/>
        <v>0.71425349999999999</v>
      </c>
      <c r="M526" s="50">
        <v>24856021.800000001</v>
      </c>
      <c r="N526" s="152">
        <f t="shared" si="1"/>
        <v>0.71425349999999999</v>
      </c>
      <c r="O526" s="50">
        <v>0</v>
      </c>
      <c r="P526" s="152">
        <f t="shared" si="2"/>
        <v>0</v>
      </c>
      <c r="Q526" s="50">
        <v>0</v>
      </c>
      <c r="R526" s="50"/>
      <c r="S526" s="50"/>
      <c r="T526" s="50"/>
      <c r="U526" s="159"/>
    </row>
    <row r="527" spans="1:21" x14ac:dyDescent="0.25">
      <c r="A527" s="169" t="s">
        <v>713</v>
      </c>
      <c r="B527" s="169" t="s">
        <v>120</v>
      </c>
      <c r="C527" s="169" t="s">
        <v>121</v>
      </c>
      <c r="D527" s="169" t="s">
        <v>69</v>
      </c>
      <c r="E527" s="170">
        <v>2310000</v>
      </c>
      <c r="F527" s="170">
        <v>2310000</v>
      </c>
      <c r="G527" s="170">
        <v>2310000</v>
      </c>
      <c r="H527" s="170">
        <v>0</v>
      </c>
      <c r="I527" s="170">
        <v>222905.35</v>
      </c>
      <c r="J527" s="170">
        <v>0</v>
      </c>
      <c r="K527" s="170">
        <v>932094.65</v>
      </c>
      <c r="L527" s="171">
        <f t="shared" si="0"/>
        <v>0.4035041774891775</v>
      </c>
      <c r="M527" s="170">
        <v>932094.65</v>
      </c>
      <c r="N527" s="172">
        <f t="shared" si="1"/>
        <v>0.4035041774891775</v>
      </c>
      <c r="O527" s="170">
        <v>1155000</v>
      </c>
      <c r="P527" s="172">
        <f t="shared" si="2"/>
        <v>0.5</v>
      </c>
      <c r="Q527" s="50">
        <v>1155000</v>
      </c>
      <c r="R527" s="170"/>
      <c r="S527" s="170"/>
      <c r="T527" s="170"/>
      <c r="U527" s="159"/>
    </row>
    <row r="528" spans="1:21" x14ac:dyDescent="0.25">
      <c r="A528" s="169" t="s">
        <v>713</v>
      </c>
      <c r="B528" s="169" t="s">
        <v>122</v>
      </c>
      <c r="C528" s="169" t="s">
        <v>123</v>
      </c>
      <c r="D528" s="169" t="s">
        <v>69</v>
      </c>
      <c r="E528" s="170">
        <v>1000000</v>
      </c>
      <c r="F528" s="170">
        <v>1000000</v>
      </c>
      <c r="G528" s="170">
        <v>600000</v>
      </c>
      <c r="H528" s="170">
        <v>0</v>
      </c>
      <c r="I528" s="170">
        <v>0</v>
      </c>
      <c r="J528" s="170">
        <v>0</v>
      </c>
      <c r="K528" s="170">
        <v>487090</v>
      </c>
      <c r="L528" s="171">
        <f t="shared" si="0"/>
        <v>0.48709000000000002</v>
      </c>
      <c r="M528" s="170">
        <v>487090</v>
      </c>
      <c r="N528" s="172">
        <f t="shared" si="1"/>
        <v>0.48709000000000002</v>
      </c>
      <c r="O528" s="170">
        <v>512910</v>
      </c>
      <c r="P528" s="172">
        <f t="shared" si="2"/>
        <v>0.51290999999999998</v>
      </c>
      <c r="Q528" s="50">
        <v>112910</v>
      </c>
      <c r="R528" s="170">
        <v>51291</v>
      </c>
      <c r="S528" s="170">
        <v>348709</v>
      </c>
      <c r="T528" s="170"/>
      <c r="U528" s="159"/>
    </row>
    <row r="529" spans="1:21" hidden="1" x14ac:dyDescent="0.25">
      <c r="A529" s="169" t="s">
        <v>713</v>
      </c>
      <c r="B529" s="169" t="s">
        <v>140</v>
      </c>
      <c r="C529" s="169" t="s">
        <v>141</v>
      </c>
      <c r="D529" s="169" t="s">
        <v>69</v>
      </c>
      <c r="E529" s="170">
        <v>0</v>
      </c>
      <c r="F529" s="170">
        <v>0</v>
      </c>
      <c r="G529" s="170">
        <v>0</v>
      </c>
      <c r="H529" s="170">
        <v>0</v>
      </c>
      <c r="I529" s="170">
        <v>0</v>
      </c>
      <c r="J529" s="170">
        <v>0</v>
      </c>
      <c r="K529" s="170">
        <v>0</v>
      </c>
      <c r="L529" s="171" t="e">
        <f t="shared" si="0"/>
        <v>#DIV/0!</v>
      </c>
      <c r="M529" s="170">
        <v>0</v>
      </c>
      <c r="N529" s="172" t="e">
        <f t="shared" si="1"/>
        <v>#DIV/0!</v>
      </c>
      <c r="O529" s="170">
        <v>0</v>
      </c>
      <c r="P529" s="172" t="e">
        <f t="shared" si="2"/>
        <v>#DIV/0!</v>
      </c>
      <c r="Q529" s="50">
        <v>0</v>
      </c>
      <c r="R529" s="170"/>
      <c r="S529" s="170"/>
      <c r="T529" s="170"/>
      <c r="U529" s="159"/>
    </row>
    <row r="530" spans="1:21" hidden="1" x14ac:dyDescent="0.25">
      <c r="A530" s="169" t="s">
        <v>713</v>
      </c>
      <c r="B530" s="169" t="s">
        <v>144</v>
      </c>
      <c r="C530" s="169" t="s">
        <v>145</v>
      </c>
      <c r="D530" s="169" t="s">
        <v>69</v>
      </c>
      <c r="E530" s="170">
        <v>0</v>
      </c>
      <c r="F530" s="170">
        <v>0</v>
      </c>
      <c r="G530" s="170">
        <v>0</v>
      </c>
      <c r="H530" s="170">
        <v>0</v>
      </c>
      <c r="I530" s="170">
        <v>0</v>
      </c>
      <c r="J530" s="170">
        <v>0</v>
      </c>
      <c r="K530" s="170">
        <v>0</v>
      </c>
      <c r="L530" s="171" t="e">
        <f t="shared" si="0"/>
        <v>#DIV/0!</v>
      </c>
      <c r="M530" s="170">
        <v>0</v>
      </c>
      <c r="N530" s="172" t="e">
        <f t="shared" si="1"/>
        <v>#DIV/0!</v>
      </c>
      <c r="O530" s="170">
        <v>0</v>
      </c>
      <c r="P530" s="172" t="e">
        <f t="shared" si="2"/>
        <v>#DIV/0!</v>
      </c>
      <c r="Q530" s="50">
        <v>0</v>
      </c>
      <c r="R530" s="170"/>
      <c r="S530" s="170"/>
      <c r="T530" s="170"/>
      <c r="U530" s="159"/>
    </row>
    <row r="531" spans="1:21" hidden="1" x14ac:dyDescent="0.25">
      <c r="A531" s="169" t="s">
        <v>713</v>
      </c>
      <c r="B531" s="169" t="s">
        <v>184</v>
      </c>
      <c r="C531" s="169" t="s">
        <v>185</v>
      </c>
      <c r="D531" s="169" t="s">
        <v>69</v>
      </c>
      <c r="E531" s="170">
        <v>150099855</v>
      </c>
      <c r="F531" s="170">
        <v>150099855</v>
      </c>
      <c r="G531" s="170">
        <v>150087013.19</v>
      </c>
      <c r="H531" s="170">
        <v>18223.88</v>
      </c>
      <c r="I531" s="170">
        <v>21986459.16</v>
      </c>
      <c r="J531" s="170">
        <v>12300455.289999999</v>
      </c>
      <c r="K531" s="170">
        <v>94504583</v>
      </c>
      <c r="L531" s="171">
        <f t="shared" si="0"/>
        <v>0.62961142101036671</v>
      </c>
      <c r="M531" s="170">
        <v>94504583</v>
      </c>
      <c r="N531" s="172">
        <f t="shared" si="1"/>
        <v>0.62961142101036671</v>
      </c>
      <c r="O531" s="170">
        <v>21290133.670000002</v>
      </c>
      <c r="P531" s="172">
        <f t="shared" si="2"/>
        <v>0.14183980171066787</v>
      </c>
      <c r="Q531" s="50">
        <v>21277291.859999999</v>
      </c>
      <c r="R531" s="170"/>
      <c r="S531" s="170"/>
      <c r="T531" s="170"/>
      <c r="U531" s="159"/>
    </row>
    <row r="532" spans="1:21" hidden="1" x14ac:dyDescent="0.25">
      <c r="A532" s="169" t="s">
        <v>713</v>
      </c>
      <c r="B532" s="169" t="s">
        <v>186</v>
      </c>
      <c r="C532" s="169" t="s">
        <v>187</v>
      </c>
      <c r="D532" s="169" t="s">
        <v>69</v>
      </c>
      <c r="E532" s="170">
        <v>568000</v>
      </c>
      <c r="F532" s="170">
        <v>568000</v>
      </c>
      <c r="G532" s="170">
        <v>560093</v>
      </c>
      <c r="H532" s="170">
        <v>0</v>
      </c>
      <c r="I532" s="170">
        <v>271486.58</v>
      </c>
      <c r="J532" s="170">
        <v>0</v>
      </c>
      <c r="K532" s="170">
        <v>0</v>
      </c>
      <c r="L532" s="171">
        <f t="shared" si="0"/>
        <v>0</v>
      </c>
      <c r="M532" s="170">
        <v>0</v>
      </c>
      <c r="N532" s="172">
        <f t="shared" si="1"/>
        <v>0</v>
      </c>
      <c r="O532" s="170">
        <v>296513.42</v>
      </c>
      <c r="P532" s="172">
        <f t="shared" si="2"/>
        <v>0.52203066901408446</v>
      </c>
      <c r="Q532" s="50">
        <v>288606.42</v>
      </c>
      <c r="R532" s="170"/>
      <c r="S532" s="170"/>
      <c r="T532" s="170"/>
      <c r="U532" s="159"/>
    </row>
    <row r="533" spans="1:21" x14ac:dyDescent="0.25">
      <c r="A533" s="169" t="s">
        <v>713</v>
      </c>
      <c r="B533" s="169" t="s">
        <v>188</v>
      </c>
      <c r="C533" s="169" t="s">
        <v>189</v>
      </c>
      <c r="D533" s="169" t="s">
        <v>69</v>
      </c>
      <c r="E533" s="170">
        <v>5500</v>
      </c>
      <c r="F533" s="170">
        <v>5500</v>
      </c>
      <c r="G533" s="170">
        <v>550</v>
      </c>
      <c r="H533" s="170">
        <v>0</v>
      </c>
      <c r="I533" s="170">
        <v>0</v>
      </c>
      <c r="J533" s="170">
        <v>0</v>
      </c>
      <c r="K533" s="170">
        <v>0</v>
      </c>
      <c r="L533" s="171">
        <f t="shared" si="0"/>
        <v>0</v>
      </c>
      <c r="M533" s="170">
        <v>0</v>
      </c>
      <c r="N533" s="172">
        <f t="shared" si="1"/>
        <v>0</v>
      </c>
      <c r="O533" s="170">
        <v>5500</v>
      </c>
      <c r="P533" s="172">
        <f t="shared" si="2"/>
        <v>1</v>
      </c>
      <c r="Q533" s="50">
        <v>550</v>
      </c>
      <c r="R533" s="170">
        <v>550</v>
      </c>
      <c r="S533" s="170">
        <v>4950</v>
      </c>
      <c r="T533" s="170"/>
      <c r="U533" s="159"/>
    </row>
    <row r="534" spans="1:21" x14ac:dyDescent="0.25">
      <c r="A534" s="169" t="s">
        <v>713</v>
      </c>
      <c r="B534" s="169" t="s">
        <v>190</v>
      </c>
      <c r="C534" s="169" t="s">
        <v>191</v>
      </c>
      <c r="D534" s="169" t="s">
        <v>69</v>
      </c>
      <c r="E534" s="170">
        <v>147500</v>
      </c>
      <c r="F534" s="170">
        <v>562500</v>
      </c>
      <c r="G534" s="170">
        <v>559543</v>
      </c>
      <c r="H534" s="170">
        <v>0</v>
      </c>
      <c r="I534" s="170">
        <v>271486.58</v>
      </c>
      <c r="J534" s="170">
        <v>0</v>
      </c>
      <c r="K534" s="170">
        <v>0</v>
      </c>
      <c r="L534" s="171">
        <f t="shared" si="0"/>
        <v>0</v>
      </c>
      <c r="M534" s="170">
        <v>0</v>
      </c>
      <c r="N534" s="172">
        <f t="shared" si="1"/>
        <v>0</v>
      </c>
      <c r="O534" s="170">
        <v>291013.42</v>
      </c>
      <c r="P534" s="172">
        <f t="shared" si="2"/>
        <v>0.51735719111111111</v>
      </c>
      <c r="Q534" s="50">
        <v>288056.42</v>
      </c>
      <c r="R534" s="170">
        <v>56250</v>
      </c>
      <c r="S534" s="170">
        <v>2957</v>
      </c>
      <c r="T534" s="170"/>
      <c r="U534" s="159"/>
    </row>
    <row r="535" spans="1:21" hidden="1" x14ac:dyDescent="0.25">
      <c r="A535" s="169" t="s">
        <v>713</v>
      </c>
      <c r="B535" s="169" t="s">
        <v>194</v>
      </c>
      <c r="C535" s="169" t="s">
        <v>195</v>
      </c>
      <c r="D535" s="169" t="s">
        <v>69</v>
      </c>
      <c r="E535" s="170">
        <v>415000</v>
      </c>
      <c r="F535" s="170">
        <v>0</v>
      </c>
      <c r="G535" s="170">
        <v>0</v>
      </c>
      <c r="H535" s="170">
        <v>0</v>
      </c>
      <c r="I535" s="170">
        <v>0</v>
      </c>
      <c r="J535" s="170">
        <v>0</v>
      </c>
      <c r="K535" s="170">
        <v>0</v>
      </c>
      <c r="L535" s="171" t="e">
        <f t="shared" si="0"/>
        <v>#DIV/0!</v>
      </c>
      <c r="M535" s="170">
        <v>0</v>
      </c>
      <c r="N535" s="172" t="e">
        <f t="shared" si="1"/>
        <v>#DIV/0!</v>
      </c>
      <c r="O535" s="170">
        <v>0</v>
      </c>
      <c r="P535" s="172" t="e">
        <f t="shared" si="2"/>
        <v>#DIV/0!</v>
      </c>
      <c r="Q535" s="50">
        <v>0</v>
      </c>
      <c r="R535" s="170"/>
      <c r="S535" s="170"/>
      <c r="T535" s="170"/>
      <c r="U535" s="159"/>
    </row>
    <row r="536" spans="1:21" hidden="1" x14ac:dyDescent="0.25">
      <c r="A536" s="169" t="s">
        <v>713</v>
      </c>
      <c r="B536" s="169" t="s">
        <v>196</v>
      </c>
      <c r="C536" s="169" t="s">
        <v>197</v>
      </c>
      <c r="D536" s="169" t="s">
        <v>69</v>
      </c>
      <c r="E536" s="170">
        <v>148180115</v>
      </c>
      <c r="F536" s="170">
        <v>148180115</v>
      </c>
      <c r="G536" s="170">
        <v>148180115</v>
      </c>
      <c r="H536" s="170">
        <v>0</v>
      </c>
      <c r="I536" s="170">
        <v>21024145.43</v>
      </c>
      <c r="J536" s="170">
        <v>12300455.289999999</v>
      </c>
      <c r="K536" s="170">
        <v>94504583</v>
      </c>
      <c r="L536" s="171">
        <f t="shared" si="0"/>
        <v>0.637768319993543</v>
      </c>
      <c r="M536" s="170">
        <v>94504583</v>
      </c>
      <c r="N536" s="172">
        <f t="shared" si="1"/>
        <v>0.637768319993543</v>
      </c>
      <c r="O536" s="170">
        <v>20350931.280000001</v>
      </c>
      <c r="P536" s="172">
        <f t="shared" si="2"/>
        <v>0.13733915161288679</v>
      </c>
      <c r="Q536" s="50">
        <v>20350931.280000001</v>
      </c>
      <c r="R536" s="170"/>
      <c r="S536" s="170"/>
      <c r="T536" s="170"/>
      <c r="U536" s="159"/>
    </row>
    <row r="537" spans="1:21" hidden="1" x14ac:dyDescent="0.25">
      <c r="A537" s="169" t="s">
        <v>713</v>
      </c>
      <c r="B537" s="169" t="s">
        <v>198</v>
      </c>
      <c r="C537" s="169" t="s">
        <v>199</v>
      </c>
      <c r="D537" s="169" t="s">
        <v>69</v>
      </c>
      <c r="E537" s="170">
        <v>148180115</v>
      </c>
      <c r="F537" s="170">
        <v>148180115</v>
      </c>
      <c r="G537" s="170">
        <v>148180115</v>
      </c>
      <c r="H537" s="170">
        <v>0</v>
      </c>
      <c r="I537" s="170">
        <v>21024145.43</v>
      </c>
      <c r="J537" s="170">
        <v>12300455.289999999</v>
      </c>
      <c r="K537" s="170">
        <v>94504583</v>
      </c>
      <c r="L537" s="171">
        <f t="shared" si="0"/>
        <v>0.637768319993543</v>
      </c>
      <c r="M537" s="170">
        <v>94504583</v>
      </c>
      <c r="N537" s="172">
        <f t="shared" si="1"/>
        <v>0.637768319993543</v>
      </c>
      <c r="O537" s="170">
        <v>20350931.280000001</v>
      </c>
      <c r="P537" s="172">
        <f t="shared" si="2"/>
        <v>0.13733915161288679</v>
      </c>
      <c r="Q537" s="50">
        <v>20350931.280000001</v>
      </c>
      <c r="R537" s="170"/>
      <c r="S537" s="170"/>
      <c r="T537" s="170"/>
      <c r="U537" s="159"/>
    </row>
    <row r="538" spans="1:21" hidden="1" x14ac:dyDescent="0.25">
      <c r="A538" s="169" t="s">
        <v>713</v>
      </c>
      <c r="B538" s="169" t="s">
        <v>212</v>
      </c>
      <c r="C538" s="169" t="s">
        <v>213</v>
      </c>
      <c r="D538" s="169" t="s">
        <v>69</v>
      </c>
      <c r="E538" s="170">
        <v>1351740</v>
      </c>
      <c r="F538" s="170">
        <v>1351740</v>
      </c>
      <c r="G538" s="170">
        <v>1346805.19</v>
      </c>
      <c r="H538" s="170">
        <v>18223.88</v>
      </c>
      <c r="I538" s="170">
        <v>690827.15</v>
      </c>
      <c r="J538" s="170">
        <v>0</v>
      </c>
      <c r="K538" s="170">
        <v>0</v>
      </c>
      <c r="L538" s="171">
        <f t="shared" si="0"/>
        <v>0</v>
      </c>
      <c r="M538" s="170">
        <v>0</v>
      </c>
      <c r="N538" s="172">
        <f t="shared" si="1"/>
        <v>0</v>
      </c>
      <c r="O538" s="170">
        <v>642688.97</v>
      </c>
      <c r="P538" s="172">
        <f t="shared" si="2"/>
        <v>0.47545309748916209</v>
      </c>
      <c r="Q538" s="50">
        <v>637754.16</v>
      </c>
      <c r="R538" s="170"/>
      <c r="S538" s="170"/>
      <c r="T538" s="170"/>
      <c r="U538" s="159"/>
    </row>
    <row r="539" spans="1:21" x14ac:dyDescent="0.25">
      <c r="A539" s="169" t="s">
        <v>713</v>
      </c>
      <c r="B539" s="169" t="s">
        <v>216</v>
      </c>
      <c r="C539" s="169" t="s">
        <v>217</v>
      </c>
      <c r="D539" s="169" t="s">
        <v>69</v>
      </c>
      <c r="E539" s="170">
        <v>708740</v>
      </c>
      <c r="F539" s="170">
        <v>708740</v>
      </c>
      <c r="G539" s="170">
        <v>708740</v>
      </c>
      <c r="H539" s="170">
        <v>18223.88</v>
      </c>
      <c r="I539" s="170">
        <v>302775</v>
      </c>
      <c r="J539" s="170">
        <v>0</v>
      </c>
      <c r="K539" s="170">
        <v>0</v>
      </c>
      <c r="L539" s="171">
        <f t="shared" si="0"/>
        <v>0</v>
      </c>
      <c r="M539" s="170">
        <v>0</v>
      </c>
      <c r="N539" s="172">
        <f t="shared" si="1"/>
        <v>0</v>
      </c>
      <c r="O539" s="170">
        <v>387741.12</v>
      </c>
      <c r="P539" s="172">
        <f t="shared" si="2"/>
        <v>0.54708513700369665</v>
      </c>
      <c r="Q539" s="50">
        <v>387741.12</v>
      </c>
      <c r="R539" s="170"/>
      <c r="S539" s="170"/>
      <c r="T539" s="170"/>
      <c r="U539" s="159"/>
    </row>
    <row r="540" spans="1:21" hidden="1" x14ac:dyDescent="0.25">
      <c r="A540" s="169" t="s">
        <v>713</v>
      </c>
      <c r="B540" s="169" t="s">
        <v>218</v>
      </c>
      <c r="C540" s="169" t="s">
        <v>219</v>
      </c>
      <c r="D540" s="169" t="s">
        <v>69</v>
      </c>
      <c r="E540" s="170">
        <v>616000</v>
      </c>
      <c r="F540" s="170">
        <v>616000</v>
      </c>
      <c r="G540" s="170">
        <v>611779</v>
      </c>
      <c r="H540" s="170">
        <v>0</v>
      </c>
      <c r="I540" s="170">
        <v>383470</v>
      </c>
      <c r="J540" s="170">
        <v>0</v>
      </c>
      <c r="K540" s="170">
        <v>0</v>
      </c>
      <c r="L540" s="171">
        <f t="shared" si="0"/>
        <v>0</v>
      </c>
      <c r="M540" s="170">
        <v>0</v>
      </c>
      <c r="N540" s="172">
        <f t="shared" si="1"/>
        <v>0</v>
      </c>
      <c r="O540" s="170">
        <v>232530</v>
      </c>
      <c r="P540" s="172">
        <f t="shared" si="2"/>
        <v>0.37748376623376623</v>
      </c>
      <c r="Q540" s="50">
        <v>228309</v>
      </c>
      <c r="R540" s="170"/>
      <c r="S540" s="170"/>
      <c r="T540" s="170"/>
      <c r="U540" s="159"/>
    </row>
    <row r="541" spans="1:21" x14ac:dyDescent="0.25">
      <c r="A541" s="169" t="s">
        <v>713</v>
      </c>
      <c r="B541" s="169" t="s">
        <v>224</v>
      </c>
      <c r="C541" s="169" t="s">
        <v>225</v>
      </c>
      <c r="D541" s="169" t="s">
        <v>69</v>
      </c>
      <c r="E541" s="170">
        <v>27000</v>
      </c>
      <c r="F541" s="170">
        <v>27000</v>
      </c>
      <c r="G541" s="170">
        <v>26286.19</v>
      </c>
      <c r="H541" s="170">
        <v>0</v>
      </c>
      <c r="I541" s="170">
        <v>4582.1499999999996</v>
      </c>
      <c r="J541" s="170">
        <v>0</v>
      </c>
      <c r="K541" s="170">
        <v>0</v>
      </c>
      <c r="L541" s="171">
        <f t="shared" si="0"/>
        <v>0</v>
      </c>
      <c r="M541" s="170">
        <v>0</v>
      </c>
      <c r="N541" s="172">
        <f t="shared" si="1"/>
        <v>0</v>
      </c>
      <c r="O541" s="170">
        <v>22417.85</v>
      </c>
      <c r="P541" s="172">
        <f t="shared" si="2"/>
        <v>0.83029074074074072</v>
      </c>
      <c r="Q541" s="50">
        <v>21704.04</v>
      </c>
      <c r="R541" s="170"/>
      <c r="S541" s="170"/>
      <c r="T541" s="170"/>
      <c r="U541" s="159"/>
    </row>
    <row r="542" spans="1:21" hidden="1" x14ac:dyDescent="0.25">
      <c r="A542" s="49" t="s">
        <v>713</v>
      </c>
      <c r="B542" s="49" t="s">
        <v>248</v>
      </c>
      <c r="C542" s="49" t="s">
        <v>249</v>
      </c>
      <c r="D542" s="49" t="s">
        <v>69</v>
      </c>
      <c r="E542" s="50">
        <v>19709963</v>
      </c>
      <c r="F542" s="50">
        <v>19575196</v>
      </c>
      <c r="G542" s="50">
        <v>19556625</v>
      </c>
      <c r="H542" s="50">
        <v>0</v>
      </c>
      <c r="I542" s="50">
        <v>4564860</v>
      </c>
      <c r="J542" s="50">
        <v>0</v>
      </c>
      <c r="K542" s="50">
        <v>14545473</v>
      </c>
      <c r="L542" s="151">
        <f t="shared" si="0"/>
        <v>0.7430563147362611</v>
      </c>
      <c r="M542" s="50">
        <v>14545473</v>
      </c>
      <c r="N542" s="152">
        <f t="shared" si="1"/>
        <v>0.7430563147362611</v>
      </c>
      <c r="O542" s="50">
        <v>464863</v>
      </c>
      <c r="P542" s="152">
        <f t="shared" si="2"/>
        <v>2.3747552770352849E-2</v>
      </c>
      <c r="Q542" s="50">
        <v>446292</v>
      </c>
      <c r="R542" s="50"/>
      <c r="S542" s="50"/>
      <c r="T542" s="50"/>
      <c r="U542" s="44"/>
    </row>
    <row r="543" spans="1:21" hidden="1" x14ac:dyDescent="0.25">
      <c r="A543" s="49" t="s">
        <v>713</v>
      </c>
      <c r="B543" s="49" t="s">
        <v>250</v>
      </c>
      <c r="C543" s="49" t="s">
        <v>251</v>
      </c>
      <c r="D543" s="49" t="s">
        <v>69</v>
      </c>
      <c r="E543" s="50">
        <v>15209963</v>
      </c>
      <c r="F543" s="50">
        <v>15075196</v>
      </c>
      <c r="G543" s="50">
        <v>15056625</v>
      </c>
      <c r="H543" s="50">
        <v>0</v>
      </c>
      <c r="I543" s="50">
        <v>4564860</v>
      </c>
      <c r="J543" s="50">
        <v>0</v>
      </c>
      <c r="K543" s="50">
        <v>10402792</v>
      </c>
      <c r="L543" s="151">
        <f t="shared" si="0"/>
        <v>0.69006014913504277</v>
      </c>
      <c r="M543" s="50">
        <v>10402792</v>
      </c>
      <c r="N543" s="152">
        <f t="shared" si="1"/>
        <v>0.69006014913504277</v>
      </c>
      <c r="O543" s="50">
        <v>107544</v>
      </c>
      <c r="P543" s="152">
        <f t="shared" si="2"/>
        <v>7.1338375965393748E-3</v>
      </c>
      <c r="Q543" s="50">
        <v>88973</v>
      </c>
      <c r="R543" s="50"/>
      <c r="S543" s="50"/>
      <c r="T543" s="50"/>
      <c r="U543" s="44"/>
    </row>
    <row r="544" spans="1:21" hidden="1" x14ac:dyDescent="0.25">
      <c r="A544" s="49" t="s">
        <v>713</v>
      </c>
      <c r="B544" s="49" t="s">
        <v>632</v>
      </c>
      <c r="C544" s="49" t="s">
        <v>702</v>
      </c>
      <c r="D544" s="49" t="s">
        <v>69</v>
      </c>
      <c r="E544" s="50">
        <v>12919331</v>
      </c>
      <c r="F544" s="50">
        <v>12804860</v>
      </c>
      <c r="G544" s="50">
        <v>12802485</v>
      </c>
      <c r="H544" s="50">
        <v>0</v>
      </c>
      <c r="I544" s="50">
        <v>3893623</v>
      </c>
      <c r="J544" s="50">
        <v>0</v>
      </c>
      <c r="K544" s="50">
        <v>8819889</v>
      </c>
      <c r="L544" s="151">
        <f t="shared" si="0"/>
        <v>0.68879230229772137</v>
      </c>
      <c r="M544" s="50">
        <v>8819889</v>
      </c>
      <c r="N544" s="152">
        <f t="shared" si="1"/>
        <v>0.68879230229772137</v>
      </c>
      <c r="O544" s="50">
        <v>91348</v>
      </c>
      <c r="P544" s="152">
        <f t="shared" si="2"/>
        <v>7.1338538648606856E-3</v>
      </c>
      <c r="Q544" s="50">
        <v>88973</v>
      </c>
      <c r="R544" s="50"/>
      <c r="S544" s="50"/>
      <c r="T544" s="50"/>
      <c r="U544" s="44"/>
    </row>
    <row r="545" spans="1:21" hidden="1" x14ac:dyDescent="0.25">
      <c r="A545" s="49" t="s">
        <v>713</v>
      </c>
      <c r="B545" s="49" t="s">
        <v>647</v>
      </c>
      <c r="C545" s="49" t="s">
        <v>703</v>
      </c>
      <c r="D545" s="49" t="s">
        <v>69</v>
      </c>
      <c r="E545" s="50">
        <v>2290632</v>
      </c>
      <c r="F545" s="50">
        <v>2270336</v>
      </c>
      <c r="G545" s="50">
        <v>2254140</v>
      </c>
      <c r="H545" s="50">
        <v>0</v>
      </c>
      <c r="I545" s="50">
        <v>671237</v>
      </c>
      <c r="J545" s="50">
        <v>0</v>
      </c>
      <c r="K545" s="50">
        <v>1582903</v>
      </c>
      <c r="L545" s="151">
        <f t="shared" si="0"/>
        <v>0.69721089741782716</v>
      </c>
      <c r="M545" s="50">
        <v>1582903</v>
      </c>
      <c r="N545" s="152">
        <f t="shared" si="1"/>
        <v>0.69721089741782716</v>
      </c>
      <c r="O545" s="50">
        <v>16196</v>
      </c>
      <c r="P545" s="152">
        <f t="shared" si="2"/>
        <v>7.1337458420251453E-3</v>
      </c>
      <c r="Q545" s="50">
        <v>0</v>
      </c>
      <c r="R545" s="50"/>
      <c r="S545" s="50"/>
      <c r="T545" s="50"/>
      <c r="U545" s="44"/>
    </row>
    <row r="546" spans="1:21" hidden="1" x14ac:dyDescent="0.25">
      <c r="A546" s="49" t="s">
        <v>713</v>
      </c>
      <c r="B546" s="49" t="s">
        <v>260</v>
      </c>
      <c r="C546" s="49" t="s">
        <v>261</v>
      </c>
      <c r="D546" s="49" t="s">
        <v>69</v>
      </c>
      <c r="E546" s="50">
        <v>4500000</v>
      </c>
      <c r="F546" s="50">
        <v>4500000</v>
      </c>
      <c r="G546" s="50">
        <v>4500000</v>
      </c>
      <c r="H546" s="50">
        <v>0</v>
      </c>
      <c r="I546" s="50">
        <v>0</v>
      </c>
      <c r="J546" s="50">
        <v>0</v>
      </c>
      <c r="K546" s="50">
        <v>4142681</v>
      </c>
      <c r="L546" s="151">
        <f t="shared" si="0"/>
        <v>0.92059577777777779</v>
      </c>
      <c r="M546" s="50">
        <v>4142681</v>
      </c>
      <c r="N546" s="152">
        <f t="shared" si="1"/>
        <v>0.92059577777777779</v>
      </c>
      <c r="O546" s="50">
        <v>357319</v>
      </c>
      <c r="P546" s="152">
        <f t="shared" si="2"/>
        <v>7.9404222222222223E-2</v>
      </c>
      <c r="Q546" s="50">
        <v>357319</v>
      </c>
      <c r="R546" s="50"/>
      <c r="S546" s="50"/>
      <c r="T546" s="50"/>
      <c r="U546" s="44"/>
    </row>
    <row r="547" spans="1:21" hidden="1" x14ac:dyDescent="0.25">
      <c r="A547" s="49" t="s">
        <v>713</v>
      </c>
      <c r="B547" s="49" t="s">
        <v>264</v>
      </c>
      <c r="C547" s="49" t="s">
        <v>265</v>
      </c>
      <c r="D547" s="49" t="s">
        <v>69</v>
      </c>
      <c r="E547" s="50">
        <v>4500000</v>
      </c>
      <c r="F547" s="50">
        <v>4500000</v>
      </c>
      <c r="G547" s="50">
        <v>4500000</v>
      </c>
      <c r="H547" s="50">
        <v>0</v>
      </c>
      <c r="I547" s="50">
        <v>0</v>
      </c>
      <c r="J547" s="50">
        <v>0</v>
      </c>
      <c r="K547" s="50">
        <v>4142681</v>
      </c>
      <c r="L547" s="151">
        <f t="shared" si="0"/>
        <v>0.92059577777777779</v>
      </c>
      <c r="M547" s="50">
        <v>4142681</v>
      </c>
      <c r="N547" s="152">
        <f t="shared" si="1"/>
        <v>0.92059577777777779</v>
      </c>
      <c r="O547" s="50">
        <v>357319</v>
      </c>
      <c r="P547" s="152">
        <f t="shared" si="2"/>
        <v>7.9404222222222223E-2</v>
      </c>
      <c r="Q547" s="50">
        <v>357319</v>
      </c>
      <c r="R547" s="50"/>
      <c r="S547" s="50"/>
      <c r="T547" s="50"/>
      <c r="U547" s="44"/>
    </row>
    <row r="548" spans="1:21" hidden="1" x14ac:dyDescent="0.25">
      <c r="A548" s="49" t="s">
        <v>713</v>
      </c>
      <c r="B548" s="49" t="s">
        <v>230</v>
      </c>
      <c r="C548" s="49" t="s">
        <v>231</v>
      </c>
      <c r="D548" s="49" t="s">
        <v>85</v>
      </c>
      <c r="E548" s="50">
        <v>535000</v>
      </c>
      <c r="F548" s="50">
        <v>535000</v>
      </c>
      <c r="G548" s="50">
        <v>532625</v>
      </c>
      <c r="H548" s="50">
        <v>0</v>
      </c>
      <c r="I548" s="50">
        <v>110709.98</v>
      </c>
      <c r="J548" s="50">
        <v>0</v>
      </c>
      <c r="K548" s="50">
        <v>326000</v>
      </c>
      <c r="L548" s="151">
        <f t="shared" si="0"/>
        <v>0.60934579439252334</v>
      </c>
      <c r="M548" s="50">
        <v>75000</v>
      </c>
      <c r="N548" s="152">
        <f t="shared" si="1"/>
        <v>0.14018691588785046</v>
      </c>
      <c r="O548" s="50">
        <v>98290.02</v>
      </c>
      <c r="P548" s="152">
        <f t="shared" si="2"/>
        <v>0.18371966355140187</v>
      </c>
      <c r="Q548" s="50">
        <v>95915.02</v>
      </c>
      <c r="R548" s="50"/>
      <c r="S548" s="50"/>
      <c r="T548" s="50"/>
      <c r="U548" s="44"/>
    </row>
    <row r="549" spans="1:21" hidden="1" x14ac:dyDescent="0.25">
      <c r="A549" s="49" t="s">
        <v>713</v>
      </c>
      <c r="B549" s="49" t="s">
        <v>232</v>
      </c>
      <c r="C549" s="49" t="s">
        <v>233</v>
      </c>
      <c r="D549" s="49" t="s">
        <v>85</v>
      </c>
      <c r="E549" s="50">
        <v>535000</v>
      </c>
      <c r="F549" s="50">
        <v>535000</v>
      </c>
      <c r="G549" s="50">
        <v>532625</v>
      </c>
      <c r="H549" s="50">
        <v>0</v>
      </c>
      <c r="I549" s="50">
        <v>110709.98</v>
      </c>
      <c r="J549" s="50">
        <v>0</v>
      </c>
      <c r="K549" s="50">
        <v>326000</v>
      </c>
      <c r="L549" s="151">
        <f t="shared" si="0"/>
        <v>0.60934579439252334</v>
      </c>
      <c r="M549" s="50">
        <v>75000</v>
      </c>
      <c r="N549" s="152">
        <f t="shared" si="1"/>
        <v>0.14018691588785046</v>
      </c>
      <c r="O549" s="50">
        <v>98290.02</v>
      </c>
      <c r="P549" s="152">
        <f t="shared" si="2"/>
        <v>0.18371966355140187</v>
      </c>
      <c r="Q549" s="50">
        <v>95915.02</v>
      </c>
      <c r="R549" s="50"/>
      <c r="S549" s="50"/>
      <c r="T549" s="50"/>
      <c r="U549" s="44"/>
    </row>
    <row r="550" spans="1:21" hidden="1" x14ac:dyDescent="0.25">
      <c r="A550" s="49" t="s">
        <v>713</v>
      </c>
      <c r="B550" s="49" t="s">
        <v>326</v>
      </c>
      <c r="C550" s="49" t="s">
        <v>327</v>
      </c>
      <c r="D550" s="49" t="s">
        <v>85</v>
      </c>
      <c r="E550" s="50">
        <v>535000</v>
      </c>
      <c r="F550" s="50">
        <v>535000</v>
      </c>
      <c r="G550" s="50">
        <v>532625</v>
      </c>
      <c r="H550" s="50">
        <v>0</v>
      </c>
      <c r="I550" s="50">
        <v>110709.98</v>
      </c>
      <c r="J550" s="50">
        <v>0</v>
      </c>
      <c r="K550" s="50">
        <v>326000</v>
      </c>
      <c r="L550" s="151">
        <f t="shared" si="0"/>
        <v>0.60934579439252334</v>
      </c>
      <c r="M550" s="50">
        <v>75000</v>
      </c>
      <c r="N550" s="152">
        <f t="shared" si="1"/>
        <v>0.14018691588785046</v>
      </c>
      <c r="O550" s="50">
        <v>98290.02</v>
      </c>
      <c r="P550" s="152">
        <f t="shared" si="2"/>
        <v>0.18371966355140187</v>
      </c>
      <c r="Q550" s="50">
        <v>95915.02</v>
      </c>
      <c r="R550" s="50"/>
      <c r="S550" s="50"/>
      <c r="T550" s="50"/>
      <c r="U550" s="44"/>
    </row>
    <row r="551" spans="1:21" hidden="1" x14ac:dyDescent="0.25">
      <c r="A551" s="49">
        <v>214789004</v>
      </c>
      <c r="B551" s="49"/>
      <c r="C551" s="49"/>
      <c r="D551" s="49" t="s">
        <v>69</v>
      </c>
      <c r="E551" s="50">
        <v>2343912564</v>
      </c>
      <c r="F551" s="50">
        <v>2285498408</v>
      </c>
      <c r="G551" s="50">
        <v>2202114165.73</v>
      </c>
      <c r="H551" s="50">
        <v>0</v>
      </c>
      <c r="I551" s="50">
        <v>109218317.97</v>
      </c>
      <c r="J551" s="50">
        <v>357054.25</v>
      </c>
      <c r="K551" s="50">
        <v>1584394231.4100001</v>
      </c>
      <c r="L551" s="151">
        <f t="shared" si="0"/>
        <v>0.69323795013993295</v>
      </c>
      <c r="M551" s="50">
        <v>1584221346.4100001</v>
      </c>
      <c r="N551" s="152">
        <f t="shared" si="1"/>
        <v>0.69316230580809057</v>
      </c>
      <c r="O551" s="50">
        <v>591528804.37</v>
      </c>
      <c r="P551" s="152">
        <f t="shared" si="2"/>
        <v>0.25881829639410536</v>
      </c>
      <c r="Q551" s="50">
        <v>508144562.10000002</v>
      </c>
      <c r="R551" s="50"/>
      <c r="S551" s="50"/>
      <c r="T551" s="50"/>
      <c r="U551" s="44"/>
    </row>
    <row r="552" spans="1:21" hidden="1" x14ac:dyDescent="0.25">
      <c r="A552" s="49" t="s">
        <v>714</v>
      </c>
      <c r="B552" s="49" t="s">
        <v>71</v>
      </c>
      <c r="C552" s="49" t="s">
        <v>72</v>
      </c>
      <c r="D552" s="49" t="s">
        <v>69</v>
      </c>
      <c r="E552" s="50">
        <v>1911246104</v>
      </c>
      <c r="F552" s="50">
        <v>1874431575</v>
      </c>
      <c r="G552" s="50">
        <v>1863206575</v>
      </c>
      <c r="H552" s="50">
        <v>0</v>
      </c>
      <c r="I552" s="50">
        <v>71548356</v>
      </c>
      <c r="J552" s="50">
        <v>0</v>
      </c>
      <c r="K552" s="50">
        <v>1376623030.0599999</v>
      </c>
      <c r="L552" s="151">
        <f t="shared" si="0"/>
        <v>0.73442159661656359</v>
      </c>
      <c r="M552" s="50">
        <v>1376623030.0599999</v>
      </c>
      <c r="N552" s="152">
        <f t="shared" si="1"/>
        <v>0.73442159661656359</v>
      </c>
      <c r="O552" s="50">
        <v>426260188.94</v>
      </c>
      <c r="P552" s="152">
        <f t="shared" si="2"/>
        <v>0.22740770835553173</v>
      </c>
      <c r="Q552" s="50">
        <v>415035188.94</v>
      </c>
      <c r="R552" s="50"/>
      <c r="S552" s="50"/>
      <c r="T552" s="50"/>
      <c r="U552" s="44"/>
    </row>
    <row r="553" spans="1:21" hidden="1" x14ac:dyDescent="0.25">
      <c r="A553" s="49" t="s">
        <v>714</v>
      </c>
      <c r="B553" s="49" t="s">
        <v>73</v>
      </c>
      <c r="C553" s="49" t="s">
        <v>74</v>
      </c>
      <c r="D553" s="49" t="s">
        <v>69</v>
      </c>
      <c r="E553" s="50">
        <v>693088616</v>
      </c>
      <c r="F553" s="50">
        <v>672914792</v>
      </c>
      <c r="G553" s="50">
        <v>672914792</v>
      </c>
      <c r="H553" s="50">
        <v>0</v>
      </c>
      <c r="I553" s="50">
        <v>0</v>
      </c>
      <c r="J553" s="50">
        <v>0</v>
      </c>
      <c r="K553" s="50">
        <v>540064261.36000001</v>
      </c>
      <c r="L553" s="151">
        <f t="shared" si="0"/>
        <v>0.80257451282182546</v>
      </c>
      <c r="M553" s="50">
        <v>540064261.36000001</v>
      </c>
      <c r="N553" s="152">
        <f t="shared" si="1"/>
        <v>0.80257451282182546</v>
      </c>
      <c r="O553" s="50">
        <v>132850530.64</v>
      </c>
      <c r="P553" s="152">
        <f t="shared" si="2"/>
        <v>0.19742548717817457</v>
      </c>
      <c r="Q553" s="50">
        <v>132850530.64</v>
      </c>
      <c r="R553" s="50"/>
      <c r="S553" s="50"/>
      <c r="T553" s="50"/>
      <c r="U553" s="44"/>
    </row>
    <row r="554" spans="1:21" hidden="1" x14ac:dyDescent="0.25">
      <c r="A554" s="49" t="s">
        <v>714</v>
      </c>
      <c r="B554" s="49" t="s">
        <v>75</v>
      </c>
      <c r="C554" s="49" t="s">
        <v>76</v>
      </c>
      <c r="D554" s="49" t="s">
        <v>69</v>
      </c>
      <c r="E554" s="50">
        <v>693088616</v>
      </c>
      <c r="F554" s="50">
        <v>672914792</v>
      </c>
      <c r="G554" s="50">
        <v>672914792</v>
      </c>
      <c r="H554" s="50">
        <v>0</v>
      </c>
      <c r="I554" s="50">
        <v>0</v>
      </c>
      <c r="J554" s="50">
        <v>0</v>
      </c>
      <c r="K554" s="50">
        <v>540064261.36000001</v>
      </c>
      <c r="L554" s="151">
        <f t="shared" si="0"/>
        <v>0.80257451282182546</v>
      </c>
      <c r="M554" s="50">
        <v>540064261.36000001</v>
      </c>
      <c r="N554" s="152">
        <f t="shared" si="1"/>
        <v>0.80257451282182546</v>
      </c>
      <c r="O554" s="50">
        <v>132850530.64</v>
      </c>
      <c r="P554" s="152">
        <f t="shared" si="2"/>
        <v>0.19742548717817457</v>
      </c>
      <c r="Q554" s="50">
        <v>132850530.64</v>
      </c>
      <c r="R554" s="50"/>
      <c r="S554" s="50"/>
      <c r="T554" s="50"/>
      <c r="U554" s="44"/>
    </row>
    <row r="555" spans="1:21" hidden="1" x14ac:dyDescent="0.25">
      <c r="A555" s="49" t="s">
        <v>714</v>
      </c>
      <c r="B555" s="49" t="s">
        <v>293</v>
      </c>
      <c r="C555" s="49" t="s">
        <v>294</v>
      </c>
      <c r="D555" s="49" t="s">
        <v>69</v>
      </c>
      <c r="E555" s="50">
        <v>2572600</v>
      </c>
      <c r="F555" s="50">
        <v>2572600</v>
      </c>
      <c r="G555" s="50">
        <v>2572600</v>
      </c>
      <c r="H555" s="50">
        <v>0</v>
      </c>
      <c r="I555" s="50">
        <v>0</v>
      </c>
      <c r="J555" s="50">
        <v>0</v>
      </c>
      <c r="K555" s="50">
        <v>1538912.5</v>
      </c>
      <c r="L555" s="151">
        <f t="shared" si="0"/>
        <v>0.59819346186737155</v>
      </c>
      <c r="M555" s="50">
        <v>1538912.5</v>
      </c>
      <c r="N555" s="152">
        <f t="shared" si="1"/>
        <v>0.59819346186737155</v>
      </c>
      <c r="O555" s="50">
        <v>1033687.5</v>
      </c>
      <c r="P555" s="152">
        <f t="shared" si="2"/>
        <v>0.40180653813262845</v>
      </c>
      <c r="Q555" s="50">
        <v>1033687.5</v>
      </c>
      <c r="R555" s="50"/>
      <c r="S555" s="50"/>
      <c r="T555" s="50"/>
      <c r="U555" s="44"/>
    </row>
    <row r="556" spans="1:21" hidden="1" x14ac:dyDescent="0.25">
      <c r="A556" s="49" t="s">
        <v>714</v>
      </c>
      <c r="B556" s="49" t="s">
        <v>339</v>
      </c>
      <c r="C556" s="49" t="s">
        <v>340</v>
      </c>
      <c r="D556" s="49" t="s">
        <v>69</v>
      </c>
      <c r="E556" s="50">
        <v>2572600</v>
      </c>
      <c r="F556" s="50">
        <v>2572600</v>
      </c>
      <c r="G556" s="50">
        <v>2572600</v>
      </c>
      <c r="H556" s="50">
        <v>0</v>
      </c>
      <c r="I556" s="50">
        <v>0</v>
      </c>
      <c r="J556" s="50">
        <v>0</v>
      </c>
      <c r="K556" s="50">
        <v>1538912.5</v>
      </c>
      <c r="L556" s="151">
        <f t="shared" si="0"/>
        <v>0.59819346186737155</v>
      </c>
      <c r="M556" s="50">
        <v>1538912.5</v>
      </c>
      <c r="N556" s="152">
        <f t="shared" si="1"/>
        <v>0.59819346186737155</v>
      </c>
      <c r="O556" s="50">
        <v>1033687.5</v>
      </c>
      <c r="P556" s="152">
        <f t="shared" si="2"/>
        <v>0.40180653813262845</v>
      </c>
      <c r="Q556" s="50">
        <v>1033687.5</v>
      </c>
      <c r="R556" s="50"/>
      <c r="S556" s="50"/>
      <c r="T556" s="50"/>
      <c r="U556" s="44"/>
    </row>
    <row r="557" spans="1:21" hidden="1" x14ac:dyDescent="0.25">
      <c r="A557" s="49" t="s">
        <v>714</v>
      </c>
      <c r="B557" s="49" t="s">
        <v>77</v>
      </c>
      <c r="C557" s="49" t="s">
        <v>78</v>
      </c>
      <c r="D557" s="49" t="s">
        <v>69</v>
      </c>
      <c r="E557" s="50">
        <v>924031359</v>
      </c>
      <c r="F557" s="50">
        <v>913006573</v>
      </c>
      <c r="G557" s="50">
        <v>905581573</v>
      </c>
      <c r="H557" s="50">
        <v>0</v>
      </c>
      <c r="I557" s="50">
        <v>0</v>
      </c>
      <c r="J557" s="50">
        <v>0</v>
      </c>
      <c r="K557" s="50">
        <v>626590406.20000005</v>
      </c>
      <c r="L557" s="151">
        <f t="shared" si="0"/>
        <v>0.68629342299379048</v>
      </c>
      <c r="M557" s="50">
        <v>626590406.20000005</v>
      </c>
      <c r="N557" s="152">
        <f t="shared" si="1"/>
        <v>0.68629342299379048</v>
      </c>
      <c r="O557" s="50">
        <v>286416166.80000001</v>
      </c>
      <c r="P557" s="152">
        <f t="shared" si="2"/>
        <v>0.31370657700620957</v>
      </c>
      <c r="Q557" s="50">
        <v>278991166.80000001</v>
      </c>
      <c r="R557" s="50"/>
      <c r="S557" s="50"/>
      <c r="T557" s="50"/>
      <c r="U557" s="44"/>
    </row>
    <row r="558" spans="1:21" hidden="1" x14ac:dyDescent="0.25">
      <c r="A558" s="49" t="s">
        <v>714</v>
      </c>
      <c r="B558" s="49" t="s">
        <v>79</v>
      </c>
      <c r="C558" s="49" t="s">
        <v>80</v>
      </c>
      <c r="D558" s="49" t="s">
        <v>69</v>
      </c>
      <c r="E558" s="50">
        <v>322806400</v>
      </c>
      <c r="F558" s="50">
        <v>322806400</v>
      </c>
      <c r="G558" s="50">
        <v>322806400</v>
      </c>
      <c r="H558" s="50">
        <v>0</v>
      </c>
      <c r="I558" s="50">
        <v>0</v>
      </c>
      <c r="J558" s="50">
        <v>0</v>
      </c>
      <c r="K558" s="50">
        <v>230969726.81</v>
      </c>
      <c r="L558" s="151">
        <f t="shared" si="0"/>
        <v>0.71550541380220467</v>
      </c>
      <c r="M558" s="50">
        <v>230969726.81</v>
      </c>
      <c r="N558" s="152">
        <f t="shared" si="1"/>
        <v>0.71550541380220467</v>
      </c>
      <c r="O558" s="50">
        <v>91836673.189999998</v>
      </c>
      <c r="P558" s="152">
        <f t="shared" si="2"/>
        <v>0.28449458619779533</v>
      </c>
      <c r="Q558" s="50">
        <v>91836673.189999998</v>
      </c>
      <c r="R558" s="50"/>
      <c r="S558" s="50"/>
      <c r="T558" s="50"/>
      <c r="U558" s="44"/>
    </row>
    <row r="559" spans="1:21" hidden="1" x14ac:dyDescent="0.25">
      <c r="A559" s="49" t="s">
        <v>714</v>
      </c>
      <c r="B559" s="49" t="s">
        <v>81</v>
      </c>
      <c r="C559" s="49" t="s">
        <v>82</v>
      </c>
      <c r="D559" s="49" t="s">
        <v>69</v>
      </c>
      <c r="E559" s="50">
        <v>234712205</v>
      </c>
      <c r="F559" s="50">
        <v>227111190</v>
      </c>
      <c r="G559" s="50">
        <v>227111190</v>
      </c>
      <c r="H559" s="50">
        <v>0</v>
      </c>
      <c r="I559" s="50">
        <v>0</v>
      </c>
      <c r="J559" s="50">
        <v>0</v>
      </c>
      <c r="K559" s="50">
        <v>193268044.55000001</v>
      </c>
      <c r="L559" s="151">
        <f t="shared" si="0"/>
        <v>0.85098424498590319</v>
      </c>
      <c r="M559" s="50">
        <v>193268044.55000001</v>
      </c>
      <c r="N559" s="152">
        <f t="shared" si="1"/>
        <v>0.85098424498590319</v>
      </c>
      <c r="O559" s="50">
        <v>33843145.450000003</v>
      </c>
      <c r="P559" s="152">
        <f t="shared" si="2"/>
        <v>0.14901575501409686</v>
      </c>
      <c r="Q559" s="50">
        <v>33843145.450000003</v>
      </c>
      <c r="R559" s="50"/>
      <c r="S559" s="50"/>
      <c r="T559" s="50"/>
      <c r="U559" s="44"/>
    </row>
    <row r="560" spans="1:21" hidden="1" x14ac:dyDescent="0.25">
      <c r="A560" s="49" t="s">
        <v>714</v>
      </c>
      <c r="B560" s="49" t="s">
        <v>86</v>
      </c>
      <c r="C560" s="49" t="s">
        <v>87</v>
      </c>
      <c r="D560" s="49" t="s">
        <v>69</v>
      </c>
      <c r="E560" s="50">
        <v>114340800</v>
      </c>
      <c r="F560" s="50">
        <v>114340800</v>
      </c>
      <c r="G560" s="50">
        <v>106915800</v>
      </c>
      <c r="H560" s="50">
        <v>0</v>
      </c>
      <c r="I560" s="50">
        <v>0</v>
      </c>
      <c r="J560" s="50">
        <v>0</v>
      </c>
      <c r="K560" s="50">
        <v>100891549.97</v>
      </c>
      <c r="L560" s="151">
        <f t="shared" si="0"/>
        <v>0.88237575712256688</v>
      </c>
      <c r="M560" s="50">
        <v>100891549.97</v>
      </c>
      <c r="N560" s="152">
        <f t="shared" si="1"/>
        <v>0.88237575712256688</v>
      </c>
      <c r="O560" s="50">
        <v>13449250.029999999</v>
      </c>
      <c r="P560" s="152">
        <f t="shared" si="2"/>
        <v>0.11762424287743307</v>
      </c>
      <c r="Q560" s="50">
        <v>6024250.0300000003</v>
      </c>
      <c r="R560" s="50"/>
      <c r="S560" s="50"/>
      <c r="T560" s="50"/>
      <c r="U560" s="44"/>
    </row>
    <row r="561" spans="1:21" hidden="1" x14ac:dyDescent="0.25">
      <c r="A561" s="49" t="s">
        <v>714</v>
      </c>
      <c r="B561" s="49" t="s">
        <v>88</v>
      </c>
      <c r="C561" s="49" t="s">
        <v>89</v>
      </c>
      <c r="D561" s="49" t="s">
        <v>69</v>
      </c>
      <c r="E561" s="50">
        <v>127626300</v>
      </c>
      <c r="F561" s="50">
        <v>126601536</v>
      </c>
      <c r="G561" s="50">
        <v>126601536</v>
      </c>
      <c r="H561" s="50">
        <v>0</v>
      </c>
      <c r="I561" s="50">
        <v>0</v>
      </c>
      <c r="J561" s="50">
        <v>0</v>
      </c>
      <c r="K561" s="50">
        <v>101461084.87</v>
      </c>
      <c r="L561" s="151">
        <f t="shared" si="0"/>
        <v>0.80142064682374792</v>
      </c>
      <c r="M561" s="50">
        <v>101461084.87</v>
      </c>
      <c r="N561" s="152">
        <f t="shared" si="1"/>
        <v>0.80142064682374792</v>
      </c>
      <c r="O561" s="50">
        <v>25140451.129999999</v>
      </c>
      <c r="P561" s="152">
        <f t="shared" si="2"/>
        <v>0.19857935317625214</v>
      </c>
      <c r="Q561" s="50">
        <v>25140451.129999999</v>
      </c>
      <c r="R561" s="50"/>
      <c r="S561" s="50"/>
      <c r="T561" s="50"/>
      <c r="U561" s="44"/>
    </row>
    <row r="562" spans="1:21" hidden="1" x14ac:dyDescent="0.25">
      <c r="A562" s="49" t="s">
        <v>714</v>
      </c>
      <c r="B562" s="49" t="s">
        <v>83</v>
      </c>
      <c r="C562" s="49" t="s">
        <v>84</v>
      </c>
      <c r="D562" s="49" t="s">
        <v>85</v>
      </c>
      <c r="E562" s="50">
        <v>124545654</v>
      </c>
      <c r="F562" s="50">
        <v>122146647</v>
      </c>
      <c r="G562" s="50">
        <v>122146647</v>
      </c>
      <c r="H562" s="50">
        <v>0</v>
      </c>
      <c r="I562" s="50">
        <v>0</v>
      </c>
      <c r="J562" s="50">
        <v>0</v>
      </c>
      <c r="K562" s="50">
        <v>0</v>
      </c>
      <c r="L562" s="151">
        <f t="shared" si="0"/>
        <v>0</v>
      </c>
      <c r="M562" s="50">
        <v>0</v>
      </c>
      <c r="N562" s="152">
        <f t="shared" si="1"/>
        <v>0</v>
      </c>
      <c r="O562" s="50">
        <v>122146647</v>
      </c>
      <c r="P562" s="152">
        <f t="shared" si="2"/>
        <v>1</v>
      </c>
      <c r="Q562" s="50">
        <v>122146647</v>
      </c>
      <c r="R562" s="50"/>
      <c r="S562" s="50"/>
      <c r="T562" s="50"/>
      <c r="U562" s="44"/>
    </row>
    <row r="563" spans="1:21" hidden="1" x14ac:dyDescent="0.25">
      <c r="A563" s="49" t="s">
        <v>714</v>
      </c>
      <c r="B563" s="49" t="s">
        <v>90</v>
      </c>
      <c r="C563" s="49" t="s">
        <v>91</v>
      </c>
      <c r="D563" s="49" t="s">
        <v>69</v>
      </c>
      <c r="E563" s="50">
        <v>145776815</v>
      </c>
      <c r="F563" s="50">
        <v>142968855</v>
      </c>
      <c r="G563" s="50">
        <v>142968855</v>
      </c>
      <c r="H563" s="50">
        <v>0</v>
      </c>
      <c r="I563" s="50">
        <v>37580676</v>
      </c>
      <c r="J563" s="50">
        <v>0</v>
      </c>
      <c r="K563" s="50">
        <v>104308277</v>
      </c>
      <c r="L563" s="151">
        <f t="shared" si="0"/>
        <v>0.72958741258716797</v>
      </c>
      <c r="M563" s="50">
        <v>104308277</v>
      </c>
      <c r="N563" s="152">
        <f t="shared" si="1"/>
        <v>0.72958741258716797</v>
      </c>
      <c r="O563" s="50">
        <v>1079902</v>
      </c>
      <c r="P563" s="152">
        <f t="shared" si="2"/>
        <v>7.5534073487543846E-3</v>
      </c>
      <c r="Q563" s="50">
        <v>1079902</v>
      </c>
      <c r="R563" s="50"/>
      <c r="S563" s="50"/>
      <c r="T563" s="50"/>
      <c r="U563" s="44"/>
    </row>
    <row r="564" spans="1:21" hidden="1" x14ac:dyDescent="0.25">
      <c r="A564" s="49" t="s">
        <v>714</v>
      </c>
      <c r="B564" s="49" t="s">
        <v>424</v>
      </c>
      <c r="C564" s="49" t="s">
        <v>697</v>
      </c>
      <c r="D564" s="49" t="s">
        <v>69</v>
      </c>
      <c r="E564" s="50">
        <v>138301084</v>
      </c>
      <c r="F564" s="50">
        <v>135637121</v>
      </c>
      <c r="G564" s="50">
        <v>135637121</v>
      </c>
      <c r="H564" s="50">
        <v>0</v>
      </c>
      <c r="I564" s="50">
        <v>35653465</v>
      </c>
      <c r="J564" s="50">
        <v>0</v>
      </c>
      <c r="K564" s="50">
        <v>98959134</v>
      </c>
      <c r="L564" s="151">
        <f t="shared" si="0"/>
        <v>0.72958739665375238</v>
      </c>
      <c r="M564" s="50">
        <v>98959134</v>
      </c>
      <c r="N564" s="152">
        <f t="shared" si="1"/>
        <v>0.72958739665375238</v>
      </c>
      <c r="O564" s="50">
        <v>1024522</v>
      </c>
      <c r="P564" s="152">
        <f t="shared" si="2"/>
        <v>7.5534042041485085E-3</v>
      </c>
      <c r="Q564" s="50">
        <v>1024522</v>
      </c>
      <c r="R564" s="50"/>
      <c r="S564" s="50"/>
      <c r="T564" s="50"/>
      <c r="U564" s="44"/>
    </row>
    <row r="565" spans="1:21" hidden="1" x14ac:dyDescent="0.25">
      <c r="A565" s="49" t="s">
        <v>714</v>
      </c>
      <c r="B565" s="49" t="s">
        <v>441</v>
      </c>
      <c r="C565" s="49" t="s">
        <v>95</v>
      </c>
      <c r="D565" s="49" t="s">
        <v>69</v>
      </c>
      <c r="E565" s="50">
        <v>7475731</v>
      </c>
      <c r="F565" s="50">
        <v>7331734</v>
      </c>
      <c r="G565" s="50">
        <v>7331734</v>
      </c>
      <c r="H565" s="50">
        <v>0</v>
      </c>
      <c r="I565" s="50">
        <v>1927211</v>
      </c>
      <c r="J565" s="50">
        <v>0</v>
      </c>
      <c r="K565" s="50">
        <v>5349143</v>
      </c>
      <c r="L565" s="151">
        <f t="shared" si="0"/>
        <v>0.72958770735544964</v>
      </c>
      <c r="M565" s="50">
        <v>5349143</v>
      </c>
      <c r="N565" s="152">
        <f t="shared" si="1"/>
        <v>0.72958770735544964</v>
      </c>
      <c r="O565" s="50">
        <v>55380</v>
      </c>
      <c r="P565" s="152">
        <f t="shared" si="2"/>
        <v>7.5534655239810934E-3</v>
      </c>
      <c r="Q565" s="50">
        <v>55380</v>
      </c>
      <c r="R565" s="50"/>
      <c r="S565" s="50"/>
      <c r="T565" s="50"/>
      <c r="U565" s="44"/>
    </row>
    <row r="566" spans="1:21" hidden="1" x14ac:dyDescent="0.25">
      <c r="A566" s="49" t="s">
        <v>714</v>
      </c>
      <c r="B566" s="49" t="s">
        <v>96</v>
      </c>
      <c r="C566" s="49" t="s">
        <v>97</v>
      </c>
      <c r="D566" s="49" t="s">
        <v>69</v>
      </c>
      <c r="E566" s="50">
        <v>145776714</v>
      </c>
      <c r="F566" s="50">
        <v>142968755</v>
      </c>
      <c r="G566" s="50">
        <v>139168755</v>
      </c>
      <c r="H566" s="50">
        <v>0</v>
      </c>
      <c r="I566" s="50">
        <v>33967680</v>
      </c>
      <c r="J566" s="50">
        <v>0</v>
      </c>
      <c r="K566" s="50">
        <v>104121173</v>
      </c>
      <c r="L566" s="151">
        <f t="shared" si="0"/>
        <v>0.7282792173716558</v>
      </c>
      <c r="M566" s="50">
        <v>104121173</v>
      </c>
      <c r="N566" s="152">
        <f t="shared" si="1"/>
        <v>0.7282792173716558</v>
      </c>
      <c r="O566" s="50">
        <v>4879902</v>
      </c>
      <c r="P566" s="152">
        <f t="shared" si="2"/>
        <v>3.413264667514241E-2</v>
      </c>
      <c r="Q566" s="50">
        <v>1079902</v>
      </c>
      <c r="R566" s="50"/>
      <c r="S566" s="50"/>
      <c r="T566" s="50"/>
      <c r="U566" s="44"/>
    </row>
    <row r="567" spans="1:21" hidden="1" x14ac:dyDescent="0.25">
      <c r="A567" s="49" t="s">
        <v>714</v>
      </c>
      <c r="B567" s="49" t="s">
        <v>459</v>
      </c>
      <c r="C567" s="49" t="s">
        <v>698</v>
      </c>
      <c r="D567" s="49" t="s">
        <v>69</v>
      </c>
      <c r="E567" s="50">
        <v>78495131</v>
      </c>
      <c r="F567" s="50">
        <v>76983152</v>
      </c>
      <c r="G567" s="50">
        <v>76983152</v>
      </c>
      <c r="H567" s="50">
        <v>0</v>
      </c>
      <c r="I567" s="50">
        <v>20422775</v>
      </c>
      <c r="J567" s="50">
        <v>0</v>
      </c>
      <c r="K567" s="50">
        <v>55978892</v>
      </c>
      <c r="L567" s="151">
        <f t="shared" si="0"/>
        <v>0.72715770328551887</v>
      </c>
      <c r="M567" s="50">
        <v>55978892</v>
      </c>
      <c r="N567" s="152">
        <f t="shared" si="1"/>
        <v>0.72715770328551887</v>
      </c>
      <c r="O567" s="50">
        <v>581485</v>
      </c>
      <c r="P567" s="152">
        <f t="shared" si="2"/>
        <v>7.5534059712182222E-3</v>
      </c>
      <c r="Q567" s="50">
        <v>581485</v>
      </c>
      <c r="R567" s="50"/>
      <c r="S567" s="50"/>
      <c r="T567" s="50"/>
      <c r="U567" s="44"/>
    </row>
    <row r="568" spans="1:21" hidden="1" x14ac:dyDescent="0.25">
      <c r="A568" s="49" t="s">
        <v>714</v>
      </c>
      <c r="B568" s="49" t="s">
        <v>476</v>
      </c>
      <c r="C568" s="49" t="s">
        <v>699</v>
      </c>
      <c r="D568" s="49" t="s">
        <v>69</v>
      </c>
      <c r="E568" s="50">
        <v>22427194</v>
      </c>
      <c r="F568" s="50">
        <v>21995201</v>
      </c>
      <c r="G568" s="50">
        <v>21995201</v>
      </c>
      <c r="H568" s="50">
        <v>0</v>
      </c>
      <c r="I568" s="50">
        <v>5781635</v>
      </c>
      <c r="J568" s="50">
        <v>0</v>
      </c>
      <c r="K568" s="50">
        <v>16047427</v>
      </c>
      <c r="L568" s="151">
        <f t="shared" si="0"/>
        <v>0.72958764959683708</v>
      </c>
      <c r="M568" s="50">
        <v>16047427</v>
      </c>
      <c r="N568" s="152">
        <f t="shared" si="1"/>
        <v>0.72958764959683708</v>
      </c>
      <c r="O568" s="50">
        <v>166139</v>
      </c>
      <c r="P568" s="152">
        <f t="shared" si="2"/>
        <v>7.5534204029324399E-3</v>
      </c>
      <c r="Q568" s="50">
        <v>166139</v>
      </c>
      <c r="R568" s="50"/>
      <c r="S568" s="50"/>
      <c r="T568" s="50"/>
      <c r="U568" s="44"/>
    </row>
    <row r="569" spans="1:21" hidden="1" x14ac:dyDescent="0.25">
      <c r="A569" s="49" t="s">
        <v>714</v>
      </c>
      <c r="B569" s="49" t="s">
        <v>493</v>
      </c>
      <c r="C569" s="49" t="s">
        <v>700</v>
      </c>
      <c r="D569" s="49" t="s">
        <v>69</v>
      </c>
      <c r="E569" s="50">
        <v>44854389</v>
      </c>
      <c r="F569" s="50">
        <v>43990402</v>
      </c>
      <c r="G569" s="50">
        <v>40190402</v>
      </c>
      <c r="H569" s="50">
        <v>0</v>
      </c>
      <c r="I569" s="50">
        <v>7763270</v>
      </c>
      <c r="J569" s="50">
        <v>0</v>
      </c>
      <c r="K569" s="50">
        <v>32094854</v>
      </c>
      <c r="L569" s="151">
        <f t="shared" si="0"/>
        <v>0.72958764959683708</v>
      </c>
      <c r="M569" s="50">
        <v>32094854</v>
      </c>
      <c r="N569" s="152">
        <f t="shared" si="1"/>
        <v>0.72958764959683708</v>
      </c>
      <c r="O569" s="50">
        <v>4132278</v>
      </c>
      <c r="P569" s="152">
        <f t="shared" si="2"/>
        <v>9.3935899926533978E-2</v>
      </c>
      <c r="Q569" s="50">
        <v>332278</v>
      </c>
      <c r="R569" s="50"/>
      <c r="S569" s="50"/>
      <c r="T569" s="50"/>
      <c r="U569" s="44"/>
    </row>
    <row r="570" spans="1:21" hidden="1" x14ac:dyDescent="0.25">
      <c r="A570" s="49" t="s">
        <v>714</v>
      </c>
      <c r="B570" s="49" t="s">
        <v>104</v>
      </c>
      <c r="C570" s="49" t="s">
        <v>105</v>
      </c>
      <c r="D570" s="49" t="s">
        <v>69</v>
      </c>
      <c r="E570" s="50">
        <v>93714000</v>
      </c>
      <c r="F570" s="50">
        <v>91126500</v>
      </c>
      <c r="G570" s="50">
        <v>89907500</v>
      </c>
      <c r="H570" s="50">
        <v>0</v>
      </c>
      <c r="I570" s="50">
        <v>16643034.869999999</v>
      </c>
      <c r="J570" s="50">
        <v>0</v>
      </c>
      <c r="K570" s="50">
        <v>60900427.07</v>
      </c>
      <c r="L570" s="151">
        <f t="shared" si="0"/>
        <v>0.66830644291177654</v>
      </c>
      <c r="M570" s="50">
        <v>60900427.07</v>
      </c>
      <c r="N570" s="152">
        <f t="shared" si="1"/>
        <v>0.66830644291177654</v>
      </c>
      <c r="O570" s="50">
        <v>13583038.060000001</v>
      </c>
      <c r="P570" s="152">
        <f t="shared" si="2"/>
        <v>0.1490569489665465</v>
      </c>
      <c r="Q570" s="50">
        <v>12364038.060000001</v>
      </c>
      <c r="R570" s="50"/>
      <c r="S570" s="50"/>
      <c r="T570" s="50"/>
      <c r="U570" s="44"/>
    </row>
    <row r="571" spans="1:21" hidden="1" x14ac:dyDescent="0.25">
      <c r="A571" s="49" t="s">
        <v>714</v>
      </c>
      <c r="B571" s="49" t="s">
        <v>112</v>
      </c>
      <c r="C571" s="49" t="s">
        <v>113</v>
      </c>
      <c r="D571" s="49" t="s">
        <v>69</v>
      </c>
      <c r="E571" s="50">
        <v>92804000</v>
      </c>
      <c r="F571" s="50">
        <v>90216500</v>
      </c>
      <c r="G571" s="50">
        <v>89816500</v>
      </c>
      <c r="H571" s="50">
        <v>0</v>
      </c>
      <c r="I571" s="50">
        <v>16643034.869999999</v>
      </c>
      <c r="J571" s="50">
        <v>0</v>
      </c>
      <c r="K571" s="50">
        <v>60900427.07</v>
      </c>
      <c r="L571" s="151">
        <f t="shared" si="0"/>
        <v>0.67504754751071039</v>
      </c>
      <c r="M571" s="50">
        <v>60900427.07</v>
      </c>
      <c r="N571" s="152">
        <f t="shared" si="1"/>
        <v>0.67504754751071039</v>
      </c>
      <c r="O571" s="50">
        <v>12673038.060000001</v>
      </c>
      <c r="P571" s="152">
        <f t="shared" si="2"/>
        <v>0.14047361691043214</v>
      </c>
      <c r="Q571" s="50">
        <v>12273038.060000001</v>
      </c>
      <c r="R571" s="50"/>
      <c r="S571" s="50"/>
      <c r="T571" s="50"/>
      <c r="U571" s="44"/>
    </row>
    <row r="572" spans="1:21" hidden="1" x14ac:dyDescent="0.25">
      <c r="A572" s="49" t="s">
        <v>714</v>
      </c>
      <c r="B572" s="49" t="s">
        <v>114</v>
      </c>
      <c r="C572" s="49" t="s">
        <v>115</v>
      </c>
      <c r="D572" s="49" t="s">
        <v>69</v>
      </c>
      <c r="E572" s="50">
        <v>36754000</v>
      </c>
      <c r="F572" s="50">
        <v>36754000</v>
      </c>
      <c r="G572" s="50">
        <v>36754000</v>
      </c>
      <c r="H572" s="50">
        <v>0</v>
      </c>
      <c r="I572" s="50">
        <v>1653818.61</v>
      </c>
      <c r="J572" s="50">
        <v>0</v>
      </c>
      <c r="K572" s="50">
        <v>35100181.390000001</v>
      </c>
      <c r="L572" s="151">
        <f t="shared" si="0"/>
        <v>0.95500303069053705</v>
      </c>
      <c r="M572" s="50">
        <v>35100181.390000001</v>
      </c>
      <c r="N572" s="152">
        <f t="shared" si="1"/>
        <v>0.95500303069053705</v>
      </c>
      <c r="O572" s="50">
        <v>0</v>
      </c>
      <c r="P572" s="152">
        <f t="shared" si="2"/>
        <v>0</v>
      </c>
      <c r="Q572" s="50">
        <v>0</v>
      </c>
      <c r="R572" s="50"/>
      <c r="S572" s="50"/>
      <c r="T572" s="50"/>
      <c r="U572" s="44"/>
    </row>
    <row r="573" spans="1:21" hidden="1" x14ac:dyDescent="0.25">
      <c r="A573" s="49" t="s">
        <v>714</v>
      </c>
      <c r="B573" s="49" t="s">
        <v>116</v>
      </c>
      <c r="C573" s="49" t="s">
        <v>117</v>
      </c>
      <c r="D573" s="49" t="s">
        <v>69</v>
      </c>
      <c r="E573" s="50">
        <v>43500000</v>
      </c>
      <c r="F573" s="50">
        <v>40922500</v>
      </c>
      <c r="G573" s="50">
        <v>40922500</v>
      </c>
      <c r="H573" s="50">
        <v>0</v>
      </c>
      <c r="I573" s="50">
        <v>12461369.75</v>
      </c>
      <c r="J573" s="50">
        <v>0</v>
      </c>
      <c r="K573" s="50">
        <v>22067576.02</v>
      </c>
      <c r="L573" s="151">
        <f t="shared" si="0"/>
        <v>0.53925288093347179</v>
      </c>
      <c r="M573" s="50">
        <v>22067576.02</v>
      </c>
      <c r="N573" s="152">
        <f t="shared" si="1"/>
        <v>0.53925288093347179</v>
      </c>
      <c r="O573" s="50">
        <v>6393554.2300000004</v>
      </c>
      <c r="P573" s="152">
        <f t="shared" si="2"/>
        <v>0.15623567059685992</v>
      </c>
      <c r="Q573" s="50">
        <v>6393554.2300000004</v>
      </c>
      <c r="R573" s="50"/>
      <c r="S573" s="50"/>
      <c r="T573" s="50"/>
      <c r="U573" s="44"/>
    </row>
    <row r="574" spans="1:21" x14ac:dyDescent="0.25">
      <c r="A574" s="173" t="s">
        <v>714</v>
      </c>
      <c r="B574" s="173" t="s">
        <v>120</v>
      </c>
      <c r="C574" s="173" t="s">
        <v>121</v>
      </c>
      <c r="D574" s="173" t="s">
        <v>69</v>
      </c>
      <c r="E574" s="174">
        <v>11550000</v>
      </c>
      <c r="F574" s="174">
        <v>11550000</v>
      </c>
      <c r="G574" s="174">
        <v>11550000</v>
      </c>
      <c r="H574" s="174">
        <v>0</v>
      </c>
      <c r="I574" s="174">
        <v>2493527.61</v>
      </c>
      <c r="J574" s="174">
        <v>0</v>
      </c>
      <c r="K574" s="174">
        <v>3281472.39</v>
      </c>
      <c r="L574" s="175">
        <f t="shared" si="0"/>
        <v>0.28411016363636366</v>
      </c>
      <c r="M574" s="174">
        <v>3281472.39</v>
      </c>
      <c r="N574" s="176">
        <f t="shared" si="1"/>
        <v>0.28411016363636366</v>
      </c>
      <c r="O574" s="174">
        <v>5775000</v>
      </c>
      <c r="P574" s="176">
        <f t="shared" si="2"/>
        <v>0.5</v>
      </c>
      <c r="Q574" s="50">
        <v>5775000</v>
      </c>
      <c r="R574" s="174"/>
      <c r="S574" s="174"/>
      <c r="T574" s="174"/>
      <c r="U574" s="160"/>
    </row>
    <row r="575" spans="1:21" x14ac:dyDescent="0.25">
      <c r="A575" s="173" t="s">
        <v>714</v>
      </c>
      <c r="B575" s="173" t="s">
        <v>122</v>
      </c>
      <c r="C575" s="173" t="s">
        <v>123</v>
      </c>
      <c r="D575" s="173" t="s">
        <v>69</v>
      </c>
      <c r="E575" s="174">
        <v>1000000</v>
      </c>
      <c r="F575" s="174">
        <v>990000</v>
      </c>
      <c r="G575" s="174">
        <v>590000</v>
      </c>
      <c r="H575" s="174">
        <v>0</v>
      </c>
      <c r="I575" s="174">
        <v>34318.9</v>
      </c>
      <c r="J575" s="174">
        <v>0</v>
      </c>
      <c r="K575" s="174">
        <v>451197.27</v>
      </c>
      <c r="L575" s="175">
        <f t="shared" si="0"/>
        <v>0.45575481818181818</v>
      </c>
      <c r="M575" s="174">
        <v>451197.27</v>
      </c>
      <c r="N575" s="176">
        <f t="shared" si="1"/>
        <v>0.45575481818181818</v>
      </c>
      <c r="O575" s="174">
        <v>504483.83</v>
      </c>
      <c r="P575" s="176">
        <f t="shared" si="2"/>
        <v>0.50957962626262632</v>
      </c>
      <c r="Q575" s="50">
        <v>104483.83</v>
      </c>
      <c r="R575" s="174">
        <v>52018.38</v>
      </c>
      <c r="S575" s="174">
        <v>347981</v>
      </c>
      <c r="T575" s="174"/>
      <c r="U575" s="159"/>
    </row>
    <row r="576" spans="1:21" hidden="1" x14ac:dyDescent="0.25">
      <c r="A576" s="173" t="s">
        <v>714</v>
      </c>
      <c r="B576" s="173" t="s">
        <v>116</v>
      </c>
      <c r="C576" s="173" t="s">
        <v>117</v>
      </c>
      <c r="D576" s="173" t="s">
        <v>85</v>
      </c>
      <c r="E576" s="174">
        <v>0</v>
      </c>
      <c r="F576" s="174">
        <v>0</v>
      </c>
      <c r="G576" s="174">
        <v>0</v>
      </c>
      <c r="H576" s="174">
        <v>0</v>
      </c>
      <c r="I576" s="174">
        <v>0</v>
      </c>
      <c r="J576" s="174">
        <v>0</v>
      </c>
      <c r="K576" s="174">
        <v>0</v>
      </c>
      <c r="L576" s="175" t="e">
        <f t="shared" si="0"/>
        <v>#DIV/0!</v>
      </c>
      <c r="M576" s="174">
        <v>0</v>
      </c>
      <c r="N576" s="176" t="e">
        <f t="shared" si="1"/>
        <v>#DIV/0!</v>
      </c>
      <c r="O576" s="174">
        <v>0</v>
      </c>
      <c r="P576" s="176" t="e">
        <f t="shared" si="2"/>
        <v>#DIV/0!</v>
      </c>
      <c r="Q576" s="50">
        <v>0</v>
      </c>
      <c r="R576" s="174"/>
      <c r="S576" s="174"/>
      <c r="T576" s="174"/>
      <c r="U576" s="159"/>
    </row>
    <row r="577" spans="1:21" hidden="1" x14ac:dyDescent="0.25">
      <c r="A577" s="173" t="s">
        <v>714</v>
      </c>
      <c r="B577" s="173" t="s">
        <v>134</v>
      </c>
      <c r="C577" s="173" t="s">
        <v>135</v>
      </c>
      <c r="D577" s="173" t="s">
        <v>69</v>
      </c>
      <c r="E577" s="174">
        <v>410000</v>
      </c>
      <c r="F577" s="174">
        <v>410000</v>
      </c>
      <c r="G577" s="174">
        <v>41000</v>
      </c>
      <c r="H577" s="174">
        <v>0</v>
      </c>
      <c r="I577" s="174">
        <v>0</v>
      </c>
      <c r="J577" s="174">
        <v>0</v>
      </c>
      <c r="K577" s="174">
        <v>0</v>
      </c>
      <c r="L577" s="175">
        <f t="shared" si="0"/>
        <v>0</v>
      </c>
      <c r="M577" s="174">
        <v>0</v>
      </c>
      <c r="N577" s="176">
        <f t="shared" si="1"/>
        <v>0</v>
      </c>
      <c r="O577" s="174">
        <v>410000</v>
      </c>
      <c r="P577" s="176">
        <f t="shared" si="2"/>
        <v>1</v>
      </c>
      <c r="Q577" s="50">
        <v>41000</v>
      </c>
      <c r="R577" s="174"/>
      <c r="S577" s="174"/>
      <c r="T577" s="174"/>
      <c r="U577" s="159"/>
    </row>
    <row r="578" spans="1:21" x14ac:dyDescent="0.25">
      <c r="A578" s="173" t="s">
        <v>714</v>
      </c>
      <c r="B578" s="173" t="s">
        <v>346</v>
      </c>
      <c r="C578" s="173" t="s">
        <v>347</v>
      </c>
      <c r="D578" s="173" t="s">
        <v>69</v>
      </c>
      <c r="E578" s="174">
        <v>20000</v>
      </c>
      <c r="F578" s="174">
        <v>20000</v>
      </c>
      <c r="G578" s="174">
        <v>2000</v>
      </c>
      <c r="H578" s="174">
        <v>0</v>
      </c>
      <c r="I578" s="174">
        <v>0</v>
      </c>
      <c r="J578" s="174">
        <v>0</v>
      </c>
      <c r="K578" s="174">
        <v>0</v>
      </c>
      <c r="L578" s="175">
        <f t="shared" si="0"/>
        <v>0</v>
      </c>
      <c r="M578" s="174">
        <v>0</v>
      </c>
      <c r="N578" s="176">
        <f t="shared" si="1"/>
        <v>0</v>
      </c>
      <c r="O578" s="174">
        <v>20000</v>
      </c>
      <c r="P578" s="176">
        <f t="shared" si="2"/>
        <v>1</v>
      </c>
      <c r="Q578" s="50">
        <v>2000</v>
      </c>
      <c r="R578" s="174"/>
      <c r="S578" s="174"/>
      <c r="T578" s="174"/>
      <c r="U578" s="159"/>
    </row>
    <row r="579" spans="1:21" x14ac:dyDescent="0.25">
      <c r="A579" s="173" t="s">
        <v>714</v>
      </c>
      <c r="B579" s="173" t="s">
        <v>136</v>
      </c>
      <c r="C579" s="173" t="s">
        <v>137</v>
      </c>
      <c r="D579" s="173" t="s">
        <v>69</v>
      </c>
      <c r="E579" s="174">
        <v>350000</v>
      </c>
      <c r="F579" s="174">
        <v>350000</v>
      </c>
      <c r="G579" s="174">
        <v>35000</v>
      </c>
      <c r="H579" s="174">
        <v>0</v>
      </c>
      <c r="I579" s="174">
        <v>0</v>
      </c>
      <c r="J579" s="174">
        <v>0</v>
      </c>
      <c r="K579" s="174">
        <v>0</v>
      </c>
      <c r="L579" s="175">
        <f t="shared" si="0"/>
        <v>0</v>
      </c>
      <c r="M579" s="174">
        <v>0</v>
      </c>
      <c r="N579" s="176">
        <f t="shared" si="1"/>
        <v>0</v>
      </c>
      <c r="O579" s="174">
        <v>350000</v>
      </c>
      <c r="P579" s="176">
        <f t="shared" si="2"/>
        <v>1</v>
      </c>
      <c r="Q579" s="50">
        <v>35000</v>
      </c>
      <c r="R579" s="174">
        <v>35000</v>
      </c>
      <c r="S579" s="174"/>
      <c r="T579" s="174"/>
      <c r="U579" s="159"/>
    </row>
    <row r="580" spans="1:21" x14ac:dyDescent="0.25">
      <c r="A580" s="173" t="s">
        <v>714</v>
      </c>
      <c r="B580" s="173" t="s">
        <v>138</v>
      </c>
      <c r="C580" s="173" t="s">
        <v>139</v>
      </c>
      <c r="D580" s="173" t="s">
        <v>69</v>
      </c>
      <c r="E580" s="174">
        <v>40000</v>
      </c>
      <c r="F580" s="174">
        <v>40000</v>
      </c>
      <c r="G580" s="174">
        <v>4000</v>
      </c>
      <c r="H580" s="174">
        <v>0</v>
      </c>
      <c r="I580" s="174">
        <v>0</v>
      </c>
      <c r="J580" s="174">
        <v>0</v>
      </c>
      <c r="K580" s="174">
        <v>0</v>
      </c>
      <c r="L580" s="175">
        <f t="shared" si="0"/>
        <v>0</v>
      </c>
      <c r="M580" s="174">
        <v>0</v>
      </c>
      <c r="N580" s="176">
        <f t="shared" si="1"/>
        <v>0</v>
      </c>
      <c r="O580" s="174">
        <v>40000</v>
      </c>
      <c r="P580" s="176">
        <f t="shared" si="2"/>
        <v>1</v>
      </c>
      <c r="Q580" s="50">
        <v>4000</v>
      </c>
      <c r="R580" s="174"/>
      <c r="S580" s="174">
        <v>36000</v>
      </c>
      <c r="T580" s="174"/>
      <c r="U580" s="159"/>
    </row>
    <row r="581" spans="1:21" hidden="1" x14ac:dyDescent="0.25">
      <c r="A581" s="173" t="s">
        <v>714</v>
      </c>
      <c r="B581" s="173" t="s">
        <v>140</v>
      </c>
      <c r="C581" s="173" t="s">
        <v>141</v>
      </c>
      <c r="D581" s="173" t="s">
        <v>69</v>
      </c>
      <c r="E581" s="174">
        <v>0</v>
      </c>
      <c r="F581" s="174">
        <v>0</v>
      </c>
      <c r="G581" s="174">
        <v>0</v>
      </c>
      <c r="H581" s="174">
        <v>0</v>
      </c>
      <c r="I581" s="174">
        <v>0</v>
      </c>
      <c r="J581" s="174">
        <v>0</v>
      </c>
      <c r="K581" s="174">
        <v>0</v>
      </c>
      <c r="L581" s="175" t="e">
        <f t="shared" si="0"/>
        <v>#DIV/0!</v>
      </c>
      <c r="M581" s="174">
        <v>0</v>
      </c>
      <c r="N581" s="176" t="e">
        <f t="shared" si="1"/>
        <v>#DIV/0!</v>
      </c>
      <c r="O581" s="174">
        <v>0</v>
      </c>
      <c r="P581" s="176" t="e">
        <f t="shared" si="2"/>
        <v>#DIV/0!</v>
      </c>
      <c r="Q581" s="50">
        <v>0</v>
      </c>
      <c r="R581" s="174"/>
      <c r="S581" s="174"/>
      <c r="T581" s="174"/>
      <c r="U581" s="159"/>
    </row>
    <row r="582" spans="1:21" hidden="1" x14ac:dyDescent="0.25">
      <c r="A582" s="173" t="s">
        <v>714</v>
      </c>
      <c r="B582" s="173" t="s">
        <v>144</v>
      </c>
      <c r="C582" s="173" t="s">
        <v>145</v>
      </c>
      <c r="D582" s="173" t="s">
        <v>69</v>
      </c>
      <c r="E582" s="174">
        <v>0</v>
      </c>
      <c r="F582" s="174">
        <v>0</v>
      </c>
      <c r="G582" s="174">
        <v>0</v>
      </c>
      <c r="H582" s="174">
        <v>0</v>
      </c>
      <c r="I582" s="174">
        <v>0</v>
      </c>
      <c r="J582" s="174">
        <v>0</v>
      </c>
      <c r="K582" s="174">
        <v>0</v>
      </c>
      <c r="L582" s="175" t="e">
        <f t="shared" si="0"/>
        <v>#DIV/0!</v>
      </c>
      <c r="M582" s="174">
        <v>0</v>
      </c>
      <c r="N582" s="176" t="e">
        <f t="shared" si="1"/>
        <v>#DIV/0!</v>
      </c>
      <c r="O582" s="174">
        <v>0</v>
      </c>
      <c r="P582" s="176" t="e">
        <f t="shared" si="2"/>
        <v>#DIV/0!</v>
      </c>
      <c r="Q582" s="50">
        <v>0</v>
      </c>
      <c r="R582" s="174"/>
      <c r="S582" s="174"/>
      <c r="T582" s="174"/>
      <c r="U582" s="159"/>
    </row>
    <row r="583" spans="1:21" hidden="1" x14ac:dyDescent="0.25">
      <c r="A583" s="173" t="s">
        <v>714</v>
      </c>
      <c r="B583" s="173" t="s">
        <v>162</v>
      </c>
      <c r="C583" s="173" t="s">
        <v>163</v>
      </c>
      <c r="D583" s="173" t="s">
        <v>69</v>
      </c>
      <c r="E583" s="174">
        <v>500000</v>
      </c>
      <c r="F583" s="174">
        <v>500000</v>
      </c>
      <c r="G583" s="174">
        <v>50000</v>
      </c>
      <c r="H583" s="174">
        <v>0</v>
      </c>
      <c r="I583" s="174">
        <v>0</v>
      </c>
      <c r="J583" s="174">
        <v>0</v>
      </c>
      <c r="K583" s="174">
        <v>0</v>
      </c>
      <c r="L583" s="175">
        <f t="shared" si="0"/>
        <v>0</v>
      </c>
      <c r="M583" s="174">
        <v>0</v>
      </c>
      <c r="N583" s="176">
        <f t="shared" si="1"/>
        <v>0</v>
      </c>
      <c r="O583" s="174">
        <v>500000</v>
      </c>
      <c r="P583" s="176">
        <f t="shared" si="2"/>
        <v>1</v>
      </c>
      <c r="Q583" s="50">
        <v>50000</v>
      </c>
      <c r="R583" s="174"/>
      <c r="S583" s="174"/>
      <c r="T583" s="174"/>
      <c r="U583" s="159"/>
    </row>
    <row r="584" spans="1:21" x14ac:dyDescent="0.25">
      <c r="A584" s="173" t="s">
        <v>714</v>
      </c>
      <c r="B584" s="173" t="s">
        <v>164</v>
      </c>
      <c r="C584" s="173" t="s">
        <v>165</v>
      </c>
      <c r="D584" s="173" t="s">
        <v>69</v>
      </c>
      <c r="E584" s="174">
        <v>100000</v>
      </c>
      <c r="F584" s="174">
        <v>100000</v>
      </c>
      <c r="G584" s="174">
        <v>10000</v>
      </c>
      <c r="H584" s="174">
        <v>0</v>
      </c>
      <c r="I584" s="174">
        <v>0</v>
      </c>
      <c r="J584" s="174">
        <v>0</v>
      </c>
      <c r="K584" s="174">
        <v>0</v>
      </c>
      <c r="L584" s="175">
        <f t="shared" si="0"/>
        <v>0</v>
      </c>
      <c r="M584" s="174">
        <v>0</v>
      </c>
      <c r="N584" s="176">
        <f t="shared" si="1"/>
        <v>0</v>
      </c>
      <c r="O584" s="174">
        <v>100000</v>
      </c>
      <c r="P584" s="176">
        <f t="shared" si="2"/>
        <v>1</v>
      </c>
      <c r="Q584" s="50">
        <v>10000</v>
      </c>
      <c r="R584" s="174">
        <v>10000</v>
      </c>
      <c r="S584" s="174">
        <v>90000</v>
      </c>
      <c r="T584" s="174"/>
      <c r="U584" s="159"/>
    </row>
    <row r="585" spans="1:21" x14ac:dyDescent="0.25">
      <c r="A585" s="173" t="s">
        <v>714</v>
      </c>
      <c r="B585" s="173" t="s">
        <v>172</v>
      </c>
      <c r="C585" s="173" t="s">
        <v>173</v>
      </c>
      <c r="D585" s="173" t="s">
        <v>69</v>
      </c>
      <c r="E585" s="174">
        <v>400000</v>
      </c>
      <c r="F585" s="174">
        <v>400000</v>
      </c>
      <c r="G585" s="174">
        <v>40000</v>
      </c>
      <c r="H585" s="174">
        <v>0</v>
      </c>
      <c r="I585" s="174">
        <v>0</v>
      </c>
      <c r="J585" s="174">
        <v>0</v>
      </c>
      <c r="K585" s="174">
        <v>0</v>
      </c>
      <c r="L585" s="175">
        <f t="shared" si="0"/>
        <v>0</v>
      </c>
      <c r="M585" s="174">
        <v>0</v>
      </c>
      <c r="N585" s="176">
        <f t="shared" si="1"/>
        <v>0</v>
      </c>
      <c r="O585" s="174">
        <v>400000</v>
      </c>
      <c r="P585" s="176">
        <f t="shared" si="2"/>
        <v>1</v>
      </c>
      <c r="Q585" s="50">
        <v>40000</v>
      </c>
      <c r="R585" s="174"/>
      <c r="S585" s="174"/>
      <c r="T585" s="174"/>
      <c r="U585" s="159"/>
    </row>
    <row r="586" spans="1:21" hidden="1" x14ac:dyDescent="0.25">
      <c r="A586" s="173" t="s">
        <v>714</v>
      </c>
      <c r="B586" s="173" t="s">
        <v>184</v>
      </c>
      <c r="C586" s="173" t="s">
        <v>185</v>
      </c>
      <c r="D586" s="173" t="s">
        <v>69</v>
      </c>
      <c r="E586" s="174">
        <v>301595100</v>
      </c>
      <c r="F586" s="174">
        <v>287370045</v>
      </c>
      <c r="G586" s="174">
        <v>217267663.72999999</v>
      </c>
      <c r="H586" s="174">
        <v>0</v>
      </c>
      <c r="I586" s="174">
        <v>14441551.1</v>
      </c>
      <c r="J586" s="174">
        <v>357054.25</v>
      </c>
      <c r="K586" s="174">
        <v>124631543.28</v>
      </c>
      <c r="L586" s="175">
        <f t="shared" si="0"/>
        <v>0.43369705871744568</v>
      </c>
      <c r="M586" s="174">
        <v>124458658.28</v>
      </c>
      <c r="N586" s="176">
        <f t="shared" si="1"/>
        <v>0.43309544764834484</v>
      </c>
      <c r="O586" s="174">
        <v>147939896.37</v>
      </c>
      <c r="P586" s="176">
        <f t="shared" si="2"/>
        <v>0.51480625397125157</v>
      </c>
      <c r="Q586" s="50">
        <v>77837515.099999994</v>
      </c>
      <c r="R586" s="174"/>
      <c r="S586" s="174"/>
      <c r="T586" s="174"/>
      <c r="U586" s="159"/>
    </row>
    <row r="587" spans="1:21" hidden="1" x14ac:dyDescent="0.25">
      <c r="A587" s="173" t="s">
        <v>714</v>
      </c>
      <c r="B587" s="173" t="s">
        <v>186</v>
      </c>
      <c r="C587" s="173" t="s">
        <v>187</v>
      </c>
      <c r="D587" s="173" t="s">
        <v>69</v>
      </c>
      <c r="E587" s="174">
        <v>6620568</v>
      </c>
      <c r="F587" s="174">
        <v>4620568</v>
      </c>
      <c r="G587" s="174">
        <v>2826639</v>
      </c>
      <c r="H587" s="174">
        <v>0</v>
      </c>
      <c r="I587" s="174">
        <v>1071878.6599999999</v>
      </c>
      <c r="J587" s="174">
        <v>0</v>
      </c>
      <c r="K587" s="174">
        <v>0</v>
      </c>
      <c r="L587" s="175">
        <f t="shared" si="0"/>
        <v>0</v>
      </c>
      <c r="M587" s="174">
        <v>0</v>
      </c>
      <c r="N587" s="176">
        <f t="shared" si="1"/>
        <v>0</v>
      </c>
      <c r="O587" s="174">
        <v>3548689.34</v>
      </c>
      <c r="P587" s="176">
        <f t="shared" si="2"/>
        <v>0.76802015250073152</v>
      </c>
      <c r="Q587" s="50">
        <v>1754760.34</v>
      </c>
      <c r="R587" s="174"/>
      <c r="S587" s="174"/>
      <c r="T587" s="174"/>
      <c r="U587" s="159"/>
    </row>
    <row r="588" spans="1:21" x14ac:dyDescent="0.25">
      <c r="A588" s="173" t="s">
        <v>714</v>
      </c>
      <c r="B588" s="173" t="s">
        <v>188</v>
      </c>
      <c r="C588" s="173" t="s">
        <v>189</v>
      </c>
      <c r="D588" s="173" t="s">
        <v>69</v>
      </c>
      <c r="E588" s="174">
        <v>2413000</v>
      </c>
      <c r="F588" s="174">
        <v>2413000</v>
      </c>
      <c r="G588" s="174">
        <v>619071</v>
      </c>
      <c r="H588" s="174">
        <v>0</v>
      </c>
      <c r="I588" s="174">
        <v>0</v>
      </c>
      <c r="J588" s="174">
        <v>0</v>
      </c>
      <c r="K588" s="174">
        <v>0</v>
      </c>
      <c r="L588" s="175">
        <f t="shared" si="0"/>
        <v>0</v>
      </c>
      <c r="M588" s="174">
        <v>0</v>
      </c>
      <c r="N588" s="176">
        <f t="shared" si="1"/>
        <v>0</v>
      </c>
      <c r="O588" s="174">
        <v>2413000</v>
      </c>
      <c r="P588" s="176">
        <f t="shared" si="2"/>
        <v>1</v>
      </c>
      <c r="Q588" s="50">
        <v>619071</v>
      </c>
      <c r="R588" s="174">
        <v>241300</v>
      </c>
      <c r="S588" s="174">
        <v>1552629</v>
      </c>
      <c r="T588" s="174"/>
      <c r="U588" s="159"/>
    </row>
    <row r="589" spans="1:21" x14ac:dyDescent="0.25">
      <c r="A589" s="173" t="s">
        <v>714</v>
      </c>
      <c r="B589" s="173" t="s">
        <v>350</v>
      </c>
      <c r="C589" s="173" t="s">
        <v>351</v>
      </c>
      <c r="D589" s="173" t="s">
        <v>69</v>
      </c>
      <c r="E589" s="174">
        <v>63287</v>
      </c>
      <c r="F589" s="174">
        <v>63287</v>
      </c>
      <c r="G589" s="174">
        <v>63287</v>
      </c>
      <c r="H589" s="174">
        <v>0</v>
      </c>
      <c r="I589" s="174">
        <v>0</v>
      </c>
      <c r="J589" s="174">
        <v>0</v>
      </c>
      <c r="K589" s="174">
        <v>0</v>
      </c>
      <c r="L589" s="175">
        <f t="shared" si="0"/>
        <v>0</v>
      </c>
      <c r="M589" s="174">
        <v>0</v>
      </c>
      <c r="N589" s="176">
        <f t="shared" si="1"/>
        <v>0</v>
      </c>
      <c r="O589" s="174">
        <v>63287</v>
      </c>
      <c r="P589" s="176">
        <f t="shared" si="2"/>
        <v>1</v>
      </c>
      <c r="Q589" s="50">
        <v>63287</v>
      </c>
      <c r="R589" s="174">
        <v>6328.7</v>
      </c>
      <c r="S589" s="174"/>
      <c r="T589" s="174"/>
      <c r="U589" s="159"/>
    </row>
    <row r="590" spans="1:21" x14ac:dyDescent="0.25">
      <c r="A590" s="173" t="s">
        <v>714</v>
      </c>
      <c r="B590" s="173" t="s">
        <v>194</v>
      </c>
      <c r="C590" s="173" t="s">
        <v>195</v>
      </c>
      <c r="D590" s="173" t="s">
        <v>69</v>
      </c>
      <c r="E590" s="174">
        <v>4144281</v>
      </c>
      <c r="F590" s="174">
        <v>2144281</v>
      </c>
      <c r="G590" s="174">
        <v>2144281</v>
      </c>
      <c r="H590" s="174">
        <v>0</v>
      </c>
      <c r="I590" s="174">
        <v>1071878.6599999999</v>
      </c>
      <c r="J590" s="174">
        <v>0</v>
      </c>
      <c r="K590" s="174">
        <v>0</v>
      </c>
      <c r="L590" s="175">
        <f t="shared" si="0"/>
        <v>0</v>
      </c>
      <c r="M590" s="174">
        <v>0</v>
      </c>
      <c r="N590" s="176">
        <f t="shared" si="1"/>
        <v>0</v>
      </c>
      <c r="O590" s="174">
        <v>1072402.3400000001</v>
      </c>
      <c r="P590" s="176">
        <f t="shared" si="2"/>
        <v>0.50012211086140301</v>
      </c>
      <c r="Q590" s="50">
        <v>1072402.3400000001</v>
      </c>
      <c r="R590" s="174"/>
      <c r="S590" s="174"/>
      <c r="T590" s="174"/>
      <c r="U590" s="159"/>
    </row>
    <row r="591" spans="1:21" hidden="1" x14ac:dyDescent="0.25">
      <c r="A591" s="173" t="s">
        <v>714</v>
      </c>
      <c r="B591" s="173" t="s">
        <v>196</v>
      </c>
      <c r="C591" s="173" t="s">
        <v>197</v>
      </c>
      <c r="D591" s="173" t="s">
        <v>69</v>
      </c>
      <c r="E591" s="174">
        <v>280709986</v>
      </c>
      <c r="F591" s="174">
        <v>280086240</v>
      </c>
      <c r="G591" s="174">
        <v>211969919.72999999</v>
      </c>
      <c r="H591" s="174">
        <v>0</v>
      </c>
      <c r="I591" s="174">
        <v>13109433.43</v>
      </c>
      <c r="J591" s="174">
        <v>357054.25</v>
      </c>
      <c r="K591" s="174">
        <v>122855419.95</v>
      </c>
      <c r="L591" s="175">
        <f t="shared" si="0"/>
        <v>0.43863425761294095</v>
      </c>
      <c r="M591" s="174">
        <v>122682534.95</v>
      </c>
      <c r="N591" s="176">
        <f t="shared" si="1"/>
        <v>0.43801700129931409</v>
      </c>
      <c r="O591" s="174">
        <v>143764332.37</v>
      </c>
      <c r="P591" s="176">
        <f t="shared" si="2"/>
        <v>0.51328595210532302</v>
      </c>
      <c r="Q591" s="50">
        <v>75648012.099999994</v>
      </c>
      <c r="R591" s="174"/>
      <c r="S591" s="174"/>
      <c r="T591" s="174"/>
      <c r="U591" s="44"/>
    </row>
    <row r="592" spans="1:21" hidden="1" x14ac:dyDescent="0.25">
      <c r="A592" s="173" t="s">
        <v>714</v>
      </c>
      <c r="B592" s="173" t="s">
        <v>579</v>
      </c>
      <c r="C592" s="173" t="s">
        <v>580</v>
      </c>
      <c r="D592" s="173" t="s">
        <v>69</v>
      </c>
      <c r="E592" s="174">
        <v>1988520</v>
      </c>
      <c r="F592" s="174">
        <v>1444180</v>
      </c>
      <c r="G592" s="174">
        <v>1327860</v>
      </c>
      <c r="H592" s="174">
        <v>0</v>
      </c>
      <c r="I592" s="174">
        <v>0</v>
      </c>
      <c r="J592" s="174">
        <v>0</v>
      </c>
      <c r="K592" s="174">
        <v>899840</v>
      </c>
      <c r="L592" s="175">
        <f t="shared" si="0"/>
        <v>0.62308022545666053</v>
      </c>
      <c r="M592" s="174">
        <v>899840</v>
      </c>
      <c r="N592" s="176">
        <f t="shared" si="1"/>
        <v>0.62308022545666053</v>
      </c>
      <c r="O592" s="174">
        <v>544340</v>
      </c>
      <c r="P592" s="176">
        <f t="shared" si="2"/>
        <v>0.37691977454333947</v>
      </c>
      <c r="Q592" s="50">
        <v>428020</v>
      </c>
      <c r="R592" s="174"/>
      <c r="S592" s="174"/>
      <c r="T592" s="174"/>
      <c r="U592" s="44"/>
    </row>
    <row r="593" spans="1:21" x14ac:dyDescent="0.25">
      <c r="A593" s="173" t="s">
        <v>714</v>
      </c>
      <c r="B593" s="173" t="s">
        <v>198</v>
      </c>
      <c r="C593" s="173" t="s">
        <v>199</v>
      </c>
      <c r="D593" s="173" t="s">
        <v>69</v>
      </c>
      <c r="E593" s="174">
        <v>278273098</v>
      </c>
      <c r="F593" s="174">
        <v>278273098</v>
      </c>
      <c r="G593" s="174">
        <v>210273097.72999999</v>
      </c>
      <c r="H593" s="174">
        <v>0</v>
      </c>
      <c r="I593" s="174">
        <v>13109433.42</v>
      </c>
      <c r="J593" s="174">
        <v>357054.25</v>
      </c>
      <c r="K593" s="174">
        <v>121586618.28</v>
      </c>
      <c r="L593" s="175">
        <f t="shared" si="0"/>
        <v>0.43693270802627138</v>
      </c>
      <c r="M593" s="174">
        <v>121413733.28</v>
      </c>
      <c r="N593" s="176">
        <f t="shared" si="1"/>
        <v>0.43631142986017285</v>
      </c>
      <c r="O593" s="174">
        <v>143219992.05000001</v>
      </c>
      <c r="P593" s="176">
        <f t="shared" si="2"/>
        <v>0.51467422858820511</v>
      </c>
      <c r="Q593" s="50">
        <v>75219991.780000001</v>
      </c>
      <c r="R593" s="174">
        <v>17544706.73</v>
      </c>
      <c r="S593" s="174">
        <f>25919642+24535651</f>
        <v>50455293</v>
      </c>
      <c r="T593" s="174"/>
      <c r="U593" s="160"/>
    </row>
    <row r="594" spans="1:21" hidden="1" x14ac:dyDescent="0.25">
      <c r="A594" s="173" t="s">
        <v>714</v>
      </c>
      <c r="B594" s="173" t="s">
        <v>352</v>
      </c>
      <c r="C594" s="173" t="s">
        <v>353</v>
      </c>
      <c r="D594" s="173" t="s">
        <v>69</v>
      </c>
      <c r="E594" s="174">
        <v>448368</v>
      </c>
      <c r="F594" s="174">
        <v>368962</v>
      </c>
      <c r="G594" s="174">
        <v>368962</v>
      </c>
      <c r="H594" s="174">
        <v>0</v>
      </c>
      <c r="I594" s="174">
        <v>0.01</v>
      </c>
      <c r="J594" s="174">
        <v>0</v>
      </c>
      <c r="K594" s="174">
        <v>368961.67</v>
      </c>
      <c r="L594" s="175">
        <f t="shared" si="0"/>
        <v>0.99999910559895056</v>
      </c>
      <c r="M594" s="174">
        <v>368961.67</v>
      </c>
      <c r="N594" s="176">
        <f t="shared" si="1"/>
        <v>0.99999910559895056</v>
      </c>
      <c r="O594" s="174">
        <v>0.32</v>
      </c>
      <c r="P594" s="176">
        <f t="shared" si="2"/>
        <v>8.6729798732660822E-7</v>
      </c>
      <c r="Q594" s="50">
        <v>0.32</v>
      </c>
      <c r="R594" s="174"/>
      <c r="S594" s="174"/>
      <c r="T594" s="174"/>
      <c r="U594" s="44"/>
    </row>
    <row r="595" spans="1:21" hidden="1" x14ac:dyDescent="0.25">
      <c r="A595" s="173" t="s">
        <v>714</v>
      </c>
      <c r="B595" s="173" t="s">
        <v>200</v>
      </c>
      <c r="C595" s="173" t="s">
        <v>201</v>
      </c>
      <c r="D595" s="173" t="s">
        <v>69</v>
      </c>
      <c r="E595" s="174">
        <v>8117062</v>
      </c>
      <c r="F595" s="174">
        <v>1522387</v>
      </c>
      <c r="G595" s="174">
        <v>1417655</v>
      </c>
      <c r="H595" s="174">
        <v>0</v>
      </c>
      <c r="I595" s="174">
        <v>0</v>
      </c>
      <c r="J595" s="174">
        <v>0</v>
      </c>
      <c r="K595" s="174">
        <v>1110192.48</v>
      </c>
      <c r="L595" s="175">
        <f t="shared" si="0"/>
        <v>0.72924458761142863</v>
      </c>
      <c r="M595" s="174">
        <v>1110192.48</v>
      </c>
      <c r="N595" s="176">
        <f t="shared" si="1"/>
        <v>0.72924458761142863</v>
      </c>
      <c r="O595" s="174">
        <v>412194.52</v>
      </c>
      <c r="P595" s="176">
        <f t="shared" si="2"/>
        <v>0.27075541238857137</v>
      </c>
      <c r="Q595" s="50">
        <v>307462.52</v>
      </c>
      <c r="R595" s="174"/>
      <c r="S595" s="174"/>
      <c r="T595" s="174"/>
      <c r="U595" s="44"/>
    </row>
    <row r="596" spans="1:21" hidden="1" x14ac:dyDescent="0.25">
      <c r="A596" s="173" t="s">
        <v>714</v>
      </c>
      <c r="B596" s="173" t="s">
        <v>314</v>
      </c>
      <c r="C596" s="173" t="s">
        <v>315</v>
      </c>
      <c r="D596" s="173" t="s">
        <v>69</v>
      </c>
      <c r="E596" s="174">
        <v>2959825</v>
      </c>
      <c r="F596" s="174">
        <v>0</v>
      </c>
      <c r="G596" s="174">
        <v>0</v>
      </c>
      <c r="H596" s="174">
        <v>0</v>
      </c>
      <c r="I596" s="174">
        <v>0</v>
      </c>
      <c r="J596" s="174">
        <v>0</v>
      </c>
      <c r="K596" s="174">
        <v>0</v>
      </c>
      <c r="L596" s="175" t="e">
        <f t="shared" si="0"/>
        <v>#DIV/0!</v>
      </c>
      <c r="M596" s="174">
        <v>0</v>
      </c>
      <c r="N596" s="176" t="e">
        <f t="shared" si="1"/>
        <v>#DIV/0!</v>
      </c>
      <c r="O596" s="174">
        <v>0</v>
      </c>
      <c r="P596" s="176" t="e">
        <f t="shared" si="2"/>
        <v>#DIV/0!</v>
      </c>
      <c r="Q596" s="50">
        <v>0</v>
      </c>
      <c r="R596" s="174"/>
      <c r="S596" s="174"/>
      <c r="T596" s="174"/>
      <c r="U596" s="44"/>
    </row>
    <row r="597" spans="1:21" x14ac:dyDescent="0.25">
      <c r="A597" s="173" t="s">
        <v>714</v>
      </c>
      <c r="B597" s="173" t="s">
        <v>202</v>
      </c>
      <c r="C597" s="173" t="s">
        <v>203</v>
      </c>
      <c r="D597" s="173" t="s">
        <v>69</v>
      </c>
      <c r="E597" s="174">
        <v>1322500</v>
      </c>
      <c r="F597" s="174">
        <v>22500</v>
      </c>
      <c r="G597" s="174">
        <v>0</v>
      </c>
      <c r="H597" s="174">
        <v>0</v>
      </c>
      <c r="I597" s="174">
        <v>0</v>
      </c>
      <c r="J597" s="174">
        <v>0</v>
      </c>
      <c r="K597" s="174">
        <v>0</v>
      </c>
      <c r="L597" s="175">
        <f t="shared" si="0"/>
        <v>0</v>
      </c>
      <c r="M597" s="174">
        <v>0</v>
      </c>
      <c r="N597" s="176">
        <f t="shared" si="1"/>
        <v>0</v>
      </c>
      <c r="O597" s="174">
        <v>22500</v>
      </c>
      <c r="P597" s="176">
        <f t="shared" si="2"/>
        <v>1</v>
      </c>
      <c r="Q597" s="50">
        <v>0</v>
      </c>
      <c r="R597" s="174"/>
      <c r="S597" s="174">
        <v>22500</v>
      </c>
      <c r="T597" s="174"/>
      <c r="U597" s="159"/>
    </row>
    <row r="598" spans="1:21" hidden="1" x14ac:dyDescent="0.25">
      <c r="A598" s="173" t="s">
        <v>714</v>
      </c>
      <c r="B598" s="173" t="s">
        <v>320</v>
      </c>
      <c r="C598" s="173" t="s">
        <v>321</v>
      </c>
      <c r="D598" s="173" t="s">
        <v>69</v>
      </c>
      <c r="E598" s="174">
        <v>220000</v>
      </c>
      <c r="F598" s="174">
        <v>0</v>
      </c>
      <c r="G598" s="174">
        <v>0</v>
      </c>
      <c r="H598" s="174">
        <v>0</v>
      </c>
      <c r="I598" s="174">
        <v>0</v>
      </c>
      <c r="J598" s="174">
        <v>0</v>
      </c>
      <c r="K598" s="174">
        <v>0</v>
      </c>
      <c r="L598" s="175" t="e">
        <f t="shared" si="0"/>
        <v>#DIV/0!</v>
      </c>
      <c r="M598" s="174">
        <v>0</v>
      </c>
      <c r="N598" s="176" t="e">
        <f t="shared" si="1"/>
        <v>#DIV/0!</v>
      </c>
      <c r="O598" s="174">
        <v>0</v>
      </c>
      <c r="P598" s="176" t="e">
        <f t="shared" si="2"/>
        <v>#DIV/0!</v>
      </c>
      <c r="Q598" s="50">
        <v>0</v>
      </c>
      <c r="R598" s="174"/>
      <c r="S598" s="174"/>
      <c r="T598" s="174"/>
      <c r="U598" s="159"/>
    </row>
    <row r="599" spans="1:21" hidden="1" x14ac:dyDescent="0.25">
      <c r="A599" s="173" t="s">
        <v>714</v>
      </c>
      <c r="B599" s="173" t="s">
        <v>204</v>
      </c>
      <c r="C599" s="173" t="s">
        <v>205</v>
      </c>
      <c r="D599" s="173" t="s">
        <v>69</v>
      </c>
      <c r="E599" s="174">
        <v>1532505</v>
      </c>
      <c r="F599" s="174">
        <v>1417655</v>
      </c>
      <c r="G599" s="174">
        <v>1417655</v>
      </c>
      <c r="H599" s="174">
        <v>0</v>
      </c>
      <c r="I599" s="174">
        <v>0</v>
      </c>
      <c r="J599" s="174">
        <v>0</v>
      </c>
      <c r="K599" s="174">
        <v>1110192.48</v>
      </c>
      <c r="L599" s="175">
        <f t="shared" si="0"/>
        <v>0.7831189393752358</v>
      </c>
      <c r="M599" s="174">
        <v>1110192.48</v>
      </c>
      <c r="N599" s="176">
        <f t="shared" si="1"/>
        <v>0.7831189393752358</v>
      </c>
      <c r="O599" s="174">
        <v>307462.52</v>
      </c>
      <c r="P599" s="176">
        <f t="shared" si="2"/>
        <v>0.21688106062476414</v>
      </c>
      <c r="Q599" s="50">
        <v>307462.52</v>
      </c>
      <c r="R599" s="174"/>
      <c r="S599" s="174"/>
      <c r="T599" s="174"/>
      <c r="U599" s="159"/>
    </row>
    <row r="600" spans="1:21" x14ac:dyDescent="0.25">
      <c r="A600" s="173" t="s">
        <v>714</v>
      </c>
      <c r="B600" s="173" t="s">
        <v>322</v>
      </c>
      <c r="C600" s="173" t="s">
        <v>323</v>
      </c>
      <c r="D600" s="173" t="s">
        <v>69</v>
      </c>
      <c r="E600" s="174">
        <v>2082232</v>
      </c>
      <c r="F600" s="174">
        <v>82232</v>
      </c>
      <c r="G600" s="174">
        <v>0</v>
      </c>
      <c r="H600" s="174">
        <v>0</v>
      </c>
      <c r="I600" s="174">
        <v>0</v>
      </c>
      <c r="J600" s="174">
        <v>0</v>
      </c>
      <c r="K600" s="174">
        <v>0</v>
      </c>
      <c r="L600" s="175">
        <f t="shared" si="0"/>
        <v>0</v>
      </c>
      <c r="M600" s="174">
        <v>0</v>
      </c>
      <c r="N600" s="176">
        <f t="shared" si="1"/>
        <v>0</v>
      </c>
      <c r="O600" s="174">
        <v>82232</v>
      </c>
      <c r="P600" s="176">
        <f t="shared" si="2"/>
        <v>1</v>
      </c>
      <c r="Q600" s="50">
        <v>0</v>
      </c>
      <c r="R600" s="174"/>
      <c r="S600" s="174">
        <v>82232</v>
      </c>
      <c r="T600" s="174"/>
      <c r="U600" s="159"/>
    </row>
    <row r="601" spans="1:21" hidden="1" x14ac:dyDescent="0.25">
      <c r="A601" s="173" t="s">
        <v>714</v>
      </c>
      <c r="B601" s="173" t="s">
        <v>206</v>
      </c>
      <c r="C601" s="173" t="s">
        <v>207</v>
      </c>
      <c r="D601" s="173" t="s">
        <v>69</v>
      </c>
      <c r="E601" s="174">
        <v>1362914</v>
      </c>
      <c r="F601" s="174">
        <v>91500</v>
      </c>
      <c r="G601" s="174">
        <v>91500</v>
      </c>
      <c r="H601" s="174">
        <v>0</v>
      </c>
      <c r="I601" s="174">
        <v>0</v>
      </c>
      <c r="J601" s="174">
        <v>0</v>
      </c>
      <c r="K601" s="174">
        <v>0</v>
      </c>
      <c r="L601" s="175">
        <f t="shared" si="0"/>
        <v>0</v>
      </c>
      <c r="M601" s="174">
        <v>0</v>
      </c>
      <c r="N601" s="176">
        <f t="shared" si="1"/>
        <v>0</v>
      </c>
      <c r="O601" s="174">
        <v>91500</v>
      </c>
      <c r="P601" s="176">
        <f t="shared" si="2"/>
        <v>1</v>
      </c>
      <c r="Q601" s="50">
        <v>91500</v>
      </c>
      <c r="R601" s="174"/>
      <c r="S601" s="174"/>
      <c r="T601" s="174"/>
      <c r="U601" s="159"/>
    </row>
    <row r="602" spans="1:21" hidden="1" x14ac:dyDescent="0.25">
      <c r="A602" s="173" t="s">
        <v>714</v>
      </c>
      <c r="B602" s="173" t="s">
        <v>208</v>
      </c>
      <c r="C602" s="173" t="s">
        <v>209</v>
      </c>
      <c r="D602" s="173" t="s">
        <v>69</v>
      </c>
      <c r="E602" s="174">
        <v>571414</v>
      </c>
      <c r="F602" s="174">
        <v>0</v>
      </c>
      <c r="G602" s="174">
        <v>0</v>
      </c>
      <c r="H602" s="174">
        <v>0</v>
      </c>
      <c r="I602" s="174">
        <v>0</v>
      </c>
      <c r="J602" s="174">
        <v>0</v>
      </c>
      <c r="K602" s="174">
        <v>0</v>
      </c>
      <c r="L602" s="175" t="e">
        <f t="shared" si="0"/>
        <v>#DIV/0!</v>
      </c>
      <c r="M602" s="174">
        <v>0</v>
      </c>
      <c r="N602" s="176" t="e">
        <f t="shared" si="1"/>
        <v>#DIV/0!</v>
      </c>
      <c r="O602" s="174">
        <v>0</v>
      </c>
      <c r="P602" s="176" t="e">
        <f t="shared" si="2"/>
        <v>#DIV/0!</v>
      </c>
      <c r="Q602" s="50">
        <v>0</v>
      </c>
      <c r="R602" s="174"/>
      <c r="S602" s="174"/>
      <c r="T602" s="174"/>
      <c r="U602" s="159"/>
    </row>
    <row r="603" spans="1:21" x14ac:dyDescent="0.25">
      <c r="A603" s="173" t="s">
        <v>714</v>
      </c>
      <c r="B603" s="173" t="s">
        <v>210</v>
      </c>
      <c r="C603" s="173" t="s">
        <v>211</v>
      </c>
      <c r="D603" s="173" t="s">
        <v>69</v>
      </c>
      <c r="E603" s="174">
        <v>791500</v>
      </c>
      <c r="F603" s="174">
        <v>91500</v>
      </c>
      <c r="G603" s="174">
        <v>91500</v>
      </c>
      <c r="H603" s="174">
        <v>0</v>
      </c>
      <c r="I603" s="174">
        <v>0</v>
      </c>
      <c r="J603" s="174">
        <v>0</v>
      </c>
      <c r="K603" s="174">
        <v>0</v>
      </c>
      <c r="L603" s="175">
        <f t="shared" si="0"/>
        <v>0</v>
      </c>
      <c r="M603" s="174">
        <v>0</v>
      </c>
      <c r="N603" s="176">
        <f t="shared" si="1"/>
        <v>0</v>
      </c>
      <c r="O603" s="174">
        <v>91500</v>
      </c>
      <c r="P603" s="176">
        <f t="shared" si="2"/>
        <v>1</v>
      </c>
      <c r="Q603" s="50">
        <v>91500</v>
      </c>
      <c r="R603" s="174"/>
      <c r="S603" s="174"/>
      <c r="T603" s="174"/>
      <c r="U603" s="159"/>
    </row>
    <row r="604" spans="1:21" hidden="1" x14ac:dyDescent="0.25">
      <c r="A604" s="173" t="s">
        <v>714</v>
      </c>
      <c r="B604" s="173" t="s">
        <v>354</v>
      </c>
      <c r="C604" s="173" t="s">
        <v>355</v>
      </c>
      <c r="D604" s="173" t="s">
        <v>69</v>
      </c>
      <c r="E604" s="174">
        <v>585840</v>
      </c>
      <c r="F604" s="174">
        <v>0</v>
      </c>
      <c r="G604" s="174">
        <v>0</v>
      </c>
      <c r="H604" s="174">
        <v>0</v>
      </c>
      <c r="I604" s="174">
        <v>0</v>
      </c>
      <c r="J604" s="174">
        <v>0</v>
      </c>
      <c r="K604" s="174">
        <v>0</v>
      </c>
      <c r="L604" s="175" t="e">
        <f t="shared" si="0"/>
        <v>#DIV/0!</v>
      </c>
      <c r="M604" s="174">
        <v>0</v>
      </c>
      <c r="N604" s="176" t="e">
        <f t="shared" si="1"/>
        <v>#DIV/0!</v>
      </c>
      <c r="O604" s="174">
        <v>0</v>
      </c>
      <c r="P604" s="176" t="e">
        <f t="shared" si="2"/>
        <v>#DIV/0!</v>
      </c>
      <c r="Q604" s="50">
        <v>0</v>
      </c>
      <c r="R604" s="174"/>
      <c r="S604" s="174"/>
      <c r="T604" s="174"/>
      <c r="U604" s="159"/>
    </row>
    <row r="605" spans="1:21" hidden="1" x14ac:dyDescent="0.25">
      <c r="A605" s="173" t="s">
        <v>714</v>
      </c>
      <c r="B605" s="173" t="s">
        <v>356</v>
      </c>
      <c r="C605" s="173" t="s">
        <v>357</v>
      </c>
      <c r="D605" s="173" t="s">
        <v>69</v>
      </c>
      <c r="E605" s="174">
        <v>585840</v>
      </c>
      <c r="F605" s="174">
        <v>0</v>
      </c>
      <c r="G605" s="174">
        <v>0</v>
      </c>
      <c r="H605" s="174">
        <v>0</v>
      </c>
      <c r="I605" s="174">
        <v>0</v>
      </c>
      <c r="J605" s="174">
        <v>0</v>
      </c>
      <c r="K605" s="174">
        <v>0</v>
      </c>
      <c r="L605" s="175" t="e">
        <f t="shared" si="0"/>
        <v>#DIV/0!</v>
      </c>
      <c r="M605" s="174">
        <v>0</v>
      </c>
      <c r="N605" s="176" t="e">
        <f t="shared" si="1"/>
        <v>#DIV/0!</v>
      </c>
      <c r="O605" s="174">
        <v>0</v>
      </c>
      <c r="P605" s="176" t="e">
        <f t="shared" si="2"/>
        <v>#DIV/0!</v>
      </c>
      <c r="Q605" s="50">
        <v>0</v>
      </c>
      <c r="R605" s="174"/>
      <c r="S605" s="174"/>
      <c r="T605" s="174"/>
      <c r="U605" s="159"/>
    </row>
    <row r="606" spans="1:21" hidden="1" x14ac:dyDescent="0.25">
      <c r="A606" s="173" t="s">
        <v>714</v>
      </c>
      <c r="B606" s="173" t="s">
        <v>212</v>
      </c>
      <c r="C606" s="173" t="s">
        <v>213</v>
      </c>
      <c r="D606" s="173" t="s">
        <v>69</v>
      </c>
      <c r="E606" s="174">
        <v>4198730</v>
      </c>
      <c r="F606" s="174">
        <v>1049350</v>
      </c>
      <c r="G606" s="174">
        <v>961950</v>
      </c>
      <c r="H606" s="174">
        <v>0</v>
      </c>
      <c r="I606" s="174">
        <v>260239.01</v>
      </c>
      <c r="J606" s="174">
        <v>0</v>
      </c>
      <c r="K606" s="174">
        <v>665930.85</v>
      </c>
      <c r="L606" s="175">
        <f t="shared" si="0"/>
        <v>0.63461271263162911</v>
      </c>
      <c r="M606" s="174">
        <v>665930.85</v>
      </c>
      <c r="N606" s="176">
        <f t="shared" si="1"/>
        <v>0.63461271263162911</v>
      </c>
      <c r="O606" s="174">
        <v>123180.14</v>
      </c>
      <c r="P606" s="176">
        <f t="shared" si="2"/>
        <v>0.11738708724448468</v>
      </c>
      <c r="Q606" s="50">
        <v>35780.14</v>
      </c>
      <c r="R606" s="174"/>
      <c r="S606" s="174"/>
      <c r="T606" s="174"/>
      <c r="U606" s="159"/>
    </row>
    <row r="607" spans="1:21" hidden="1" x14ac:dyDescent="0.25">
      <c r="A607" s="173" t="s">
        <v>714</v>
      </c>
      <c r="B607" s="173" t="s">
        <v>220</v>
      </c>
      <c r="C607" s="173" t="s">
        <v>221</v>
      </c>
      <c r="D607" s="173" t="s">
        <v>69</v>
      </c>
      <c r="E607" s="174">
        <v>1076090</v>
      </c>
      <c r="F607" s="174">
        <v>926190</v>
      </c>
      <c r="G607" s="174">
        <v>926190</v>
      </c>
      <c r="H607" s="174">
        <v>0</v>
      </c>
      <c r="I607" s="174">
        <v>260239.01</v>
      </c>
      <c r="J607" s="174">
        <v>0</v>
      </c>
      <c r="K607" s="174">
        <v>665930.85</v>
      </c>
      <c r="L607" s="175">
        <f t="shared" si="0"/>
        <v>0.71900025912609722</v>
      </c>
      <c r="M607" s="174">
        <v>665930.85</v>
      </c>
      <c r="N607" s="176">
        <f t="shared" si="1"/>
        <v>0.71900025912609722</v>
      </c>
      <c r="O607" s="174">
        <v>20.14</v>
      </c>
      <c r="P607" s="176">
        <f t="shared" si="2"/>
        <v>2.174499832647729E-5</v>
      </c>
      <c r="Q607" s="50">
        <v>20.14</v>
      </c>
      <c r="R607" s="174"/>
      <c r="S607" s="174"/>
      <c r="T607" s="174"/>
      <c r="U607" s="159"/>
    </row>
    <row r="608" spans="1:21" x14ac:dyDescent="0.25">
      <c r="A608" s="173" t="s">
        <v>714</v>
      </c>
      <c r="B608" s="173" t="s">
        <v>222</v>
      </c>
      <c r="C608" s="173" t="s">
        <v>223</v>
      </c>
      <c r="D608" s="173" t="s">
        <v>69</v>
      </c>
      <c r="E608" s="174">
        <v>35760</v>
      </c>
      <c r="F608" s="174">
        <v>35760</v>
      </c>
      <c r="G608" s="174">
        <v>35760</v>
      </c>
      <c r="H608" s="174">
        <v>0</v>
      </c>
      <c r="I608" s="174">
        <v>0</v>
      </c>
      <c r="J608" s="174">
        <v>0</v>
      </c>
      <c r="K608" s="174">
        <v>0</v>
      </c>
      <c r="L608" s="175">
        <f t="shared" si="0"/>
        <v>0</v>
      </c>
      <c r="M608" s="174">
        <v>0</v>
      </c>
      <c r="N608" s="176">
        <f t="shared" si="1"/>
        <v>0</v>
      </c>
      <c r="O608" s="174">
        <v>35760</v>
      </c>
      <c r="P608" s="176">
        <f t="shared" si="2"/>
        <v>1</v>
      </c>
      <c r="Q608" s="50">
        <v>35760</v>
      </c>
      <c r="R608" s="174"/>
      <c r="S608" s="174"/>
      <c r="T608" s="174"/>
      <c r="U608" s="159"/>
    </row>
    <row r="609" spans="1:21" x14ac:dyDescent="0.25">
      <c r="A609" s="173" t="s">
        <v>714</v>
      </c>
      <c r="B609" s="173" t="s">
        <v>224</v>
      </c>
      <c r="C609" s="173" t="s">
        <v>225</v>
      </c>
      <c r="D609" s="173" t="s">
        <v>69</v>
      </c>
      <c r="E609" s="174">
        <v>2587400</v>
      </c>
      <c r="F609" s="174">
        <v>87400</v>
      </c>
      <c r="G609" s="174">
        <v>0</v>
      </c>
      <c r="H609" s="174">
        <v>0</v>
      </c>
      <c r="I609" s="174">
        <v>0</v>
      </c>
      <c r="J609" s="174">
        <v>0</v>
      </c>
      <c r="K609" s="174">
        <v>0</v>
      </c>
      <c r="L609" s="175">
        <f t="shared" si="0"/>
        <v>0</v>
      </c>
      <c r="M609" s="174">
        <v>0</v>
      </c>
      <c r="N609" s="176">
        <f t="shared" si="1"/>
        <v>0</v>
      </c>
      <c r="O609" s="174">
        <v>87400</v>
      </c>
      <c r="P609" s="176">
        <f t="shared" si="2"/>
        <v>1</v>
      </c>
      <c r="Q609" s="50">
        <v>0</v>
      </c>
      <c r="R609" s="174"/>
      <c r="S609" s="174">
        <v>87400</v>
      </c>
      <c r="T609" s="174"/>
      <c r="U609" s="159"/>
    </row>
    <row r="610" spans="1:21" hidden="1" x14ac:dyDescent="0.25">
      <c r="A610" s="173" t="s">
        <v>714</v>
      </c>
      <c r="B610" s="173" t="s">
        <v>228</v>
      </c>
      <c r="C610" s="173" t="s">
        <v>229</v>
      </c>
      <c r="D610" s="173" t="s">
        <v>69</v>
      </c>
      <c r="E610" s="174">
        <v>499480</v>
      </c>
      <c r="F610" s="174">
        <v>0</v>
      </c>
      <c r="G610" s="174">
        <v>0</v>
      </c>
      <c r="H610" s="174">
        <v>0</v>
      </c>
      <c r="I610" s="174">
        <v>0</v>
      </c>
      <c r="J610" s="174">
        <v>0</v>
      </c>
      <c r="K610" s="174">
        <v>0</v>
      </c>
      <c r="L610" s="175" t="e">
        <f t="shared" si="0"/>
        <v>#DIV/0!</v>
      </c>
      <c r="M610" s="174">
        <v>0</v>
      </c>
      <c r="N610" s="176" t="e">
        <f t="shared" si="1"/>
        <v>#DIV/0!</v>
      </c>
      <c r="O610" s="174">
        <v>0</v>
      </c>
      <c r="P610" s="176" t="e">
        <f t="shared" si="2"/>
        <v>#DIV/0!</v>
      </c>
      <c r="Q610" s="50">
        <v>0</v>
      </c>
      <c r="R610" s="174"/>
      <c r="S610" s="174"/>
      <c r="T610" s="174"/>
      <c r="U610" s="159"/>
    </row>
    <row r="611" spans="1:21" hidden="1" x14ac:dyDescent="0.25">
      <c r="A611" s="173" t="s">
        <v>714</v>
      </c>
      <c r="B611" s="173" t="s">
        <v>248</v>
      </c>
      <c r="C611" s="173" t="s">
        <v>249</v>
      </c>
      <c r="D611" s="173" t="s">
        <v>69</v>
      </c>
      <c r="E611" s="174">
        <v>32319360</v>
      </c>
      <c r="F611" s="174">
        <v>31841288</v>
      </c>
      <c r="G611" s="174">
        <v>31657427</v>
      </c>
      <c r="H611" s="174">
        <v>0</v>
      </c>
      <c r="I611" s="174">
        <v>6585376</v>
      </c>
      <c r="J611" s="174">
        <v>0</v>
      </c>
      <c r="K611" s="174">
        <v>22164231</v>
      </c>
      <c r="L611" s="175">
        <f t="shared" si="0"/>
        <v>0.69608462446619623</v>
      </c>
      <c r="M611" s="174">
        <v>22164231</v>
      </c>
      <c r="N611" s="176">
        <f t="shared" si="1"/>
        <v>0.69608462446619623</v>
      </c>
      <c r="O611" s="174">
        <v>3091681</v>
      </c>
      <c r="P611" s="176">
        <f t="shared" si="2"/>
        <v>9.7096606142314343E-2</v>
      </c>
      <c r="Q611" s="50">
        <v>2907820</v>
      </c>
      <c r="R611" s="174"/>
      <c r="S611" s="174"/>
      <c r="T611" s="174"/>
      <c r="U611" s="159"/>
    </row>
    <row r="612" spans="1:21" hidden="1" x14ac:dyDescent="0.25">
      <c r="A612" s="173" t="s">
        <v>714</v>
      </c>
      <c r="B612" s="173" t="s">
        <v>250</v>
      </c>
      <c r="C612" s="173" t="s">
        <v>251</v>
      </c>
      <c r="D612" s="173" t="s">
        <v>69</v>
      </c>
      <c r="E612" s="174">
        <v>24819360</v>
      </c>
      <c r="F612" s="174">
        <v>24341288</v>
      </c>
      <c r="G612" s="174">
        <v>24157427</v>
      </c>
      <c r="H612" s="174">
        <v>0</v>
      </c>
      <c r="I612" s="174">
        <v>6585376</v>
      </c>
      <c r="J612" s="174">
        <v>0</v>
      </c>
      <c r="K612" s="174">
        <v>17572051</v>
      </c>
      <c r="L612" s="175">
        <f t="shared" si="0"/>
        <v>0.72190308910522727</v>
      </c>
      <c r="M612" s="174">
        <v>17572051</v>
      </c>
      <c r="N612" s="176">
        <f t="shared" si="1"/>
        <v>0.72190308910522727</v>
      </c>
      <c r="O612" s="174">
        <v>183861</v>
      </c>
      <c r="P612" s="176">
        <f t="shared" si="2"/>
        <v>7.5534622489984915E-3</v>
      </c>
      <c r="Q612" s="50">
        <v>0</v>
      </c>
      <c r="R612" s="174"/>
      <c r="S612" s="174"/>
      <c r="T612" s="174"/>
      <c r="U612" s="159"/>
    </row>
    <row r="613" spans="1:21" hidden="1" x14ac:dyDescent="0.25">
      <c r="A613" s="173" t="s">
        <v>714</v>
      </c>
      <c r="B613" s="173" t="s">
        <v>633</v>
      </c>
      <c r="C613" s="173" t="s">
        <v>702</v>
      </c>
      <c r="D613" s="173" t="s">
        <v>69</v>
      </c>
      <c r="E613" s="174">
        <v>21081545</v>
      </c>
      <c r="F613" s="174">
        <v>20675471</v>
      </c>
      <c r="G613" s="174">
        <v>20519300</v>
      </c>
      <c r="H613" s="174">
        <v>0</v>
      </c>
      <c r="I613" s="174">
        <v>5621819</v>
      </c>
      <c r="J613" s="174">
        <v>0</v>
      </c>
      <c r="K613" s="174">
        <v>14897481</v>
      </c>
      <c r="L613" s="175">
        <f t="shared" si="0"/>
        <v>0.72053889364842039</v>
      </c>
      <c r="M613" s="174">
        <v>14897481</v>
      </c>
      <c r="N613" s="176">
        <f t="shared" si="1"/>
        <v>0.72053889364842039</v>
      </c>
      <c r="O613" s="174">
        <v>156171</v>
      </c>
      <c r="P613" s="176">
        <f t="shared" si="2"/>
        <v>7.553443401603765E-3</v>
      </c>
      <c r="Q613" s="50">
        <v>0</v>
      </c>
      <c r="R613" s="174"/>
      <c r="S613" s="174"/>
      <c r="T613" s="174"/>
      <c r="U613" s="159"/>
    </row>
    <row r="614" spans="1:21" hidden="1" x14ac:dyDescent="0.25">
      <c r="A614" s="173" t="s">
        <v>714</v>
      </c>
      <c r="B614" s="173" t="s">
        <v>648</v>
      </c>
      <c r="C614" s="173" t="s">
        <v>703</v>
      </c>
      <c r="D614" s="173" t="s">
        <v>69</v>
      </c>
      <c r="E614" s="174">
        <v>3737815</v>
      </c>
      <c r="F614" s="174">
        <v>3665817</v>
      </c>
      <c r="G614" s="174">
        <v>3638127</v>
      </c>
      <c r="H614" s="174">
        <v>0</v>
      </c>
      <c r="I614" s="174">
        <v>963557</v>
      </c>
      <c r="J614" s="174">
        <v>0</v>
      </c>
      <c r="K614" s="174">
        <v>2674570</v>
      </c>
      <c r="L614" s="175">
        <f t="shared" si="0"/>
        <v>0.72959724939897441</v>
      </c>
      <c r="M614" s="174">
        <v>2674570</v>
      </c>
      <c r="N614" s="176">
        <f t="shared" si="1"/>
        <v>0.72959724939897441</v>
      </c>
      <c r="O614" s="174">
        <v>27690</v>
      </c>
      <c r="P614" s="176">
        <f t="shared" si="2"/>
        <v>7.5535685496575522E-3</v>
      </c>
      <c r="Q614" s="50">
        <v>0</v>
      </c>
      <c r="R614" s="174"/>
      <c r="S614" s="174"/>
      <c r="T614" s="174"/>
      <c r="U614" s="159"/>
    </row>
    <row r="615" spans="1:21" hidden="1" x14ac:dyDescent="0.25">
      <c r="A615" s="173" t="s">
        <v>714</v>
      </c>
      <c r="B615" s="173" t="s">
        <v>260</v>
      </c>
      <c r="C615" s="173" t="s">
        <v>261</v>
      </c>
      <c r="D615" s="173" t="s">
        <v>69</v>
      </c>
      <c r="E615" s="174">
        <v>7500000</v>
      </c>
      <c r="F615" s="174">
        <v>7500000</v>
      </c>
      <c r="G615" s="174">
        <v>7500000</v>
      </c>
      <c r="H615" s="174">
        <v>0</v>
      </c>
      <c r="I615" s="174">
        <v>0</v>
      </c>
      <c r="J615" s="174">
        <v>0</v>
      </c>
      <c r="K615" s="174">
        <v>4592180</v>
      </c>
      <c r="L615" s="175">
        <f t="shared" si="0"/>
        <v>0.61229066666666665</v>
      </c>
      <c r="M615" s="174">
        <v>4592180</v>
      </c>
      <c r="N615" s="176">
        <f t="shared" si="1"/>
        <v>0.61229066666666665</v>
      </c>
      <c r="O615" s="174">
        <v>2907820</v>
      </c>
      <c r="P615" s="176">
        <f t="shared" si="2"/>
        <v>0.38770933333333335</v>
      </c>
      <c r="Q615" s="50">
        <v>2907820</v>
      </c>
      <c r="R615" s="174"/>
      <c r="S615" s="174"/>
      <c r="T615" s="174"/>
      <c r="U615" s="159"/>
    </row>
    <row r="616" spans="1:21" hidden="1" x14ac:dyDescent="0.25">
      <c r="A616" s="173" t="s">
        <v>714</v>
      </c>
      <c r="B616" s="173" t="s">
        <v>264</v>
      </c>
      <c r="C616" s="173" t="s">
        <v>265</v>
      </c>
      <c r="D616" s="173" t="s">
        <v>69</v>
      </c>
      <c r="E616" s="174">
        <v>7500000</v>
      </c>
      <c r="F616" s="174">
        <v>7500000</v>
      </c>
      <c r="G616" s="174">
        <v>7500000</v>
      </c>
      <c r="H616" s="174">
        <v>0</v>
      </c>
      <c r="I616" s="174">
        <v>0</v>
      </c>
      <c r="J616" s="174">
        <v>0</v>
      </c>
      <c r="K616" s="174">
        <v>4592180</v>
      </c>
      <c r="L616" s="175">
        <f t="shared" si="0"/>
        <v>0.61229066666666665</v>
      </c>
      <c r="M616" s="174">
        <v>4592180</v>
      </c>
      <c r="N616" s="176">
        <f t="shared" si="1"/>
        <v>0.61229066666666665</v>
      </c>
      <c r="O616" s="174">
        <v>2907820</v>
      </c>
      <c r="P616" s="176">
        <f t="shared" si="2"/>
        <v>0.38770933333333335</v>
      </c>
      <c r="Q616" s="50">
        <v>2907820</v>
      </c>
      <c r="R616" s="174"/>
      <c r="S616" s="174"/>
      <c r="T616" s="174"/>
      <c r="U616" s="159"/>
    </row>
    <row r="617" spans="1:21" hidden="1" x14ac:dyDescent="0.25">
      <c r="A617" s="173" t="s">
        <v>714</v>
      </c>
      <c r="B617" s="173" t="s">
        <v>230</v>
      </c>
      <c r="C617" s="173" t="s">
        <v>231</v>
      </c>
      <c r="D617" s="173" t="s">
        <v>85</v>
      </c>
      <c r="E617" s="174">
        <v>5038000</v>
      </c>
      <c r="F617" s="174">
        <v>729000</v>
      </c>
      <c r="G617" s="174">
        <v>75000</v>
      </c>
      <c r="H617" s="174">
        <v>0</v>
      </c>
      <c r="I617" s="174">
        <v>0</v>
      </c>
      <c r="J617" s="174">
        <v>0</v>
      </c>
      <c r="K617" s="174">
        <v>75000</v>
      </c>
      <c r="L617" s="175">
        <f t="shared" si="0"/>
        <v>0.102880658436214</v>
      </c>
      <c r="M617" s="174">
        <v>75000</v>
      </c>
      <c r="N617" s="176">
        <f t="shared" si="1"/>
        <v>0.102880658436214</v>
      </c>
      <c r="O617" s="174">
        <v>654000</v>
      </c>
      <c r="P617" s="176">
        <f t="shared" si="2"/>
        <v>0.89711934156378603</v>
      </c>
      <c r="Q617" s="50">
        <v>0</v>
      </c>
      <c r="R617" s="174"/>
      <c r="S617" s="174"/>
      <c r="T617" s="174"/>
      <c r="U617" s="159"/>
    </row>
    <row r="618" spans="1:21" hidden="1" x14ac:dyDescent="0.25">
      <c r="A618" s="173" t="s">
        <v>714</v>
      </c>
      <c r="B618" s="173" t="s">
        <v>232</v>
      </c>
      <c r="C618" s="173" t="s">
        <v>233</v>
      </c>
      <c r="D618" s="173" t="s">
        <v>85</v>
      </c>
      <c r="E618" s="174">
        <v>4954000</v>
      </c>
      <c r="F618" s="174">
        <v>654000</v>
      </c>
      <c r="G618" s="174">
        <v>0</v>
      </c>
      <c r="H618" s="174">
        <v>0</v>
      </c>
      <c r="I618" s="174">
        <v>0</v>
      </c>
      <c r="J618" s="174">
        <v>0</v>
      </c>
      <c r="K618" s="174">
        <v>0</v>
      </c>
      <c r="L618" s="175">
        <f t="shared" si="0"/>
        <v>0</v>
      </c>
      <c r="M618" s="174">
        <v>0</v>
      </c>
      <c r="N618" s="176">
        <f t="shared" si="1"/>
        <v>0</v>
      </c>
      <c r="O618" s="174">
        <v>654000</v>
      </c>
      <c r="P618" s="176">
        <f t="shared" si="2"/>
        <v>1</v>
      </c>
      <c r="Q618" s="50">
        <v>0</v>
      </c>
      <c r="R618" s="174"/>
      <c r="S618" s="174"/>
      <c r="T618" s="174"/>
      <c r="U618" s="159"/>
    </row>
    <row r="619" spans="1:21" x14ac:dyDescent="0.25">
      <c r="A619" s="173" t="s">
        <v>714</v>
      </c>
      <c r="B619" s="173" t="s">
        <v>234</v>
      </c>
      <c r="C619" s="173" t="s">
        <v>235</v>
      </c>
      <c r="D619" s="173" t="s">
        <v>85</v>
      </c>
      <c r="E619" s="174">
        <v>3565000</v>
      </c>
      <c r="F619" s="174">
        <v>565000</v>
      </c>
      <c r="G619" s="174">
        <v>0</v>
      </c>
      <c r="H619" s="174">
        <v>0</v>
      </c>
      <c r="I619" s="174">
        <v>0</v>
      </c>
      <c r="J619" s="174">
        <v>0</v>
      </c>
      <c r="K619" s="174">
        <v>0</v>
      </c>
      <c r="L619" s="175">
        <f t="shared" si="0"/>
        <v>0</v>
      </c>
      <c r="M619" s="174">
        <v>0</v>
      </c>
      <c r="N619" s="176">
        <f t="shared" si="1"/>
        <v>0</v>
      </c>
      <c r="O619" s="174">
        <v>565000</v>
      </c>
      <c r="P619" s="176">
        <f t="shared" si="2"/>
        <v>1</v>
      </c>
      <c r="Q619" s="50">
        <v>0</v>
      </c>
      <c r="R619" s="174"/>
      <c r="S619" s="174">
        <v>565000</v>
      </c>
      <c r="T619" s="174"/>
      <c r="U619" s="159"/>
    </row>
    <row r="620" spans="1:21" x14ac:dyDescent="0.25">
      <c r="A620" s="173" t="s">
        <v>714</v>
      </c>
      <c r="B620" s="173" t="s">
        <v>242</v>
      </c>
      <c r="C620" s="173" t="s">
        <v>243</v>
      </c>
      <c r="D620" s="173" t="s">
        <v>85</v>
      </c>
      <c r="E620" s="174">
        <v>1389000</v>
      </c>
      <c r="F620" s="174">
        <v>89000</v>
      </c>
      <c r="G620" s="174">
        <v>0</v>
      </c>
      <c r="H620" s="174">
        <v>0</v>
      </c>
      <c r="I620" s="174">
        <v>0</v>
      </c>
      <c r="J620" s="174">
        <v>0</v>
      </c>
      <c r="K620" s="174">
        <v>0</v>
      </c>
      <c r="L620" s="175">
        <f t="shared" si="0"/>
        <v>0</v>
      </c>
      <c r="M620" s="174">
        <v>0</v>
      </c>
      <c r="N620" s="176">
        <f t="shared" si="1"/>
        <v>0</v>
      </c>
      <c r="O620" s="174">
        <v>89000</v>
      </c>
      <c r="P620" s="176">
        <f t="shared" si="2"/>
        <v>1</v>
      </c>
      <c r="Q620" s="50">
        <v>0</v>
      </c>
      <c r="R620" s="174"/>
      <c r="S620" s="174">
        <v>89000</v>
      </c>
      <c r="T620" s="174"/>
      <c r="U620" s="159"/>
    </row>
    <row r="621" spans="1:21" hidden="1" x14ac:dyDescent="0.25">
      <c r="A621" s="49" t="s">
        <v>714</v>
      </c>
      <c r="B621" s="49" t="s">
        <v>244</v>
      </c>
      <c r="C621" s="49" t="s">
        <v>245</v>
      </c>
      <c r="D621" s="49" t="s">
        <v>85</v>
      </c>
      <c r="E621" s="50">
        <v>84000</v>
      </c>
      <c r="F621" s="50">
        <v>75000</v>
      </c>
      <c r="G621" s="50">
        <v>75000</v>
      </c>
      <c r="H621" s="50">
        <v>0</v>
      </c>
      <c r="I621" s="50">
        <v>0</v>
      </c>
      <c r="J621" s="50">
        <v>0</v>
      </c>
      <c r="K621" s="50">
        <v>75000</v>
      </c>
      <c r="L621" s="151">
        <f t="shared" si="0"/>
        <v>1</v>
      </c>
      <c r="M621" s="50">
        <v>75000</v>
      </c>
      <c r="N621" s="152">
        <f t="shared" si="1"/>
        <v>1</v>
      </c>
      <c r="O621" s="50">
        <v>0</v>
      </c>
      <c r="P621" s="152">
        <f t="shared" si="2"/>
        <v>0</v>
      </c>
      <c r="Q621" s="50">
        <v>0</v>
      </c>
      <c r="R621" s="50"/>
      <c r="S621" s="50"/>
      <c r="T621" s="50"/>
      <c r="U621" s="159"/>
    </row>
    <row r="622" spans="1:21" hidden="1" x14ac:dyDescent="0.25">
      <c r="A622" s="49" t="s">
        <v>714</v>
      </c>
      <c r="B622" s="49" t="s">
        <v>611</v>
      </c>
      <c r="C622" s="49" t="s">
        <v>612</v>
      </c>
      <c r="D622" s="49" t="s">
        <v>85</v>
      </c>
      <c r="E622" s="50">
        <v>84000</v>
      </c>
      <c r="F622" s="50">
        <v>75000</v>
      </c>
      <c r="G622" s="50">
        <v>75000</v>
      </c>
      <c r="H622" s="50">
        <v>0</v>
      </c>
      <c r="I622" s="50">
        <v>0</v>
      </c>
      <c r="J622" s="50">
        <v>0</v>
      </c>
      <c r="K622" s="50">
        <v>75000</v>
      </c>
      <c r="L622" s="151">
        <f t="shared" si="0"/>
        <v>1</v>
      </c>
      <c r="M622" s="50">
        <v>75000</v>
      </c>
      <c r="N622" s="152">
        <f t="shared" si="1"/>
        <v>1</v>
      </c>
      <c r="O622" s="50">
        <v>0</v>
      </c>
      <c r="P622" s="152">
        <f t="shared" si="2"/>
        <v>0</v>
      </c>
      <c r="Q622" s="50">
        <v>0</v>
      </c>
      <c r="R622" s="50"/>
      <c r="S622" s="50"/>
      <c r="T622" s="50"/>
      <c r="U622" s="159"/>
    </row>
    <row r="623" spans="1:21" hidden="1" x14ac:dyDescent="0.25">
      <c r="A623" s="49">
        <v>214789005</v>
      </c>
      <c r="B623" s="49"/>
      <c r="C623" s="49"/>
      <c r="D623" s="49" t="s">
        <v>69</v>
      </c>
      <c r="E623" s="50">
        <v>1188120522</v>
      </c>
      <c r="F623" s="50">
        <v>1159548072</v>
      </c>
      <c r="G623" s="50">
        <v>1150955337.8599999</v>
      </c>
      <c r="H623" s="50">
        <v>0</v>
      </c>
      <c r="I623" s="50">
        <v>57315983.740000002</v>
      </c>
      <c r="J623" s="50">
        <v>0</v>
      </c>
      <c r="K623" s="50">
        <v>811101553.25999999</v>
      </c>
      <c r="L623" s="151">
        <f t="shared" si="0"/>
        <v>0.69949799654360512</v>
      </c>
      <c r="M623" s="50">
        <v>811082043.25999999</v>
      </c>
      <c r="N623" s="152">
        <f t="shared" si="1"/>
        <v>0.69948117102298113</v>
      </c>
      <c r="O623" s="50">
        <v>291130535</v>
      </c>
      <c r="P623" s="152">
        <f t="shared" si="2"/>
        <v>0.25107241521936663</v>
      </c>
      <c r="Q623" s="50">
        <v>282537800.86000001</v>
      </c>
      <c r="R623" s="50"/>
      <c r="S623" s="50"/>
      <c r="T623" s="50"/>
      <c r="U623" s="159"/>
    </row>
    <row r="624" spans="1:21" hidden="1" x14ac:dyDescent="0.25">
      <c r="A624" s="49" t="s">
        <v>715</v>
      </c>
      <c r="B624" s="49" t="s">
        <v>71</v>
      </c>
      <c r="C624" s="49" t="s">
        <v>72</v>
      </c>
      <c r="D624" s="49" t="s">
        <v>69</v>
      </c>
      <c r="E624" s="50">
        <v>1139557000</v>
      </c>
      <c r="F624" s="50">
        <v>1115820185</v>
      </c>
      <c r="G624" s="50">
        <v>1110120185</v>
      </c>
      <c r="H624" s="50">
        <v>0</v>
      </c>
      <c r="I624" s="50">
        <v>48402694</v>
      </c>
      <c r="J624" s="50">
        <v>0</v>
      </c>
      <c r="K624" s="50">
        <v>787298385.60000002</v>
      </c>
      <c r="L624" s="151">
        <f t="shared" si="0"/>
        <v>0.70557818919542137</v>
      </c>
      <c r="M624" s="50">
        <v>787298385.60000002</v>
      </c>
      <c r="N624" s="152">
        <f t="shared" si="1"/>
        <v>0.70557818919542137</v>
      </c>
      <c r="O624" s="50">
        <v>280119105.39999998</v>
      </c>
      <c r="P624" s="152">
        <f t="shared" si="2"/>
        <v>0.25104323184474386</v>
      </c>
      <c r="Q624" s="50">
        <v>274419105.39999998</v>
      </c>
      <c r="R624" s="50"/>
      <c r="S624" s="50"/>
      <c r="T624" s="50"/>
      <c r="U624" s="159"/>
    </row>
    <row r="625" spans="1:21" hidden="1" x14ac:dyDescent="0.25">
      <c r="A625" s="49" t="s">
        <v>715</v>
      </c>
      <c r="B625" s="49" t="s">
        <v>73</v>
      </c>
      <c r="C625" s="49" t="s">
        <v>74</v>
      </c>
      <c r="D625" s="49" t="s">
        <v>69</v>
      </c>
      <c r="E625" s="50">
        <v>400867000</v>
      </c>
      <c r="F625" s="50">
        <v>388692700</v>
      </c>
      <c r="G625" s="50">
        <v>388692700</v>
      </c>
      <c r="H625" s="50">
        <v>0</v>
      </c>
      <c r="I625" s="50">
        <v>0</v>
      </c>
      <c r="J625" s="50">
        <v>0</v>
      </c>
      <c r="K625" s="50">
        <v>307339008.31</v>
      </c>
      <c r="L625" s="151">
        <f t="shared" si="0"/>
        <v>0.79069920353533785</v>
      </c>
      <c r="M625" s="50">
        <v>307339008.31</v>
      </c>
      <c r="N625" s="152">
        <f t="shared" si="1"/>
        <v>0.79069920353533785</v>
      </c>
      <c r="O625" s="50">
        <v>81353691.689999998</v>
      </c>
      <c r="P625" s="152">
        <f t="shared" si="2"/>
        <v>0.20930079646466218</v>
      </c>
      <c r="Q625" s="50">
        <v>81353691.689999998</v>
      </c>
      <c r="R625" s="50"/>
      <c r="S625" s="50"/>
      <c r="T625" s="50"/>
      <c r="U625" s="159"/>
    </row>
    <row r="626" spans="1:21" hidden="1" x14ac:dyDescent="0.25">
      <c r="A626" s="49" t="s">
        <v>715</v>
      </c>
      <c r="B626" s="49" t="s">
        <v>75</v>
      </c>
      <c r="C626" s="49" t="s">
        <v>76</v>
      </c>
      <c r="D626" s="49" t="s">
        <v>69</v>
      </c>
      <c r="E626" s="50">
        <v>400867000</v>
      </c>
      <c r="F626" s="50">
        <v>388692700</v>
      </c>
      <c r="G626" s="50">
        <v>388692700</v>
      </c>
      <c r="H626" s="50">
        <v>0</v>
      </c>
      <c r="I626" s="50">
        <v>0</v>
      </c>
      <c r="J626" s="50">
        <v>0</v>
      </c>
      <c r="K626" s="50">
        <v>307339008.31</v>
      </c>
      <c r="L626" s="151">
        <f t="shared" si="0"/>
        <v>0.79069920353533785</v>
      </c>
      <c r="M626" s="50">
        <v>307339008.31</v>
      </c>
      <c r="N626" s="152">
        <f t="shared" si="1"/>
        <v>0.79069920353533785</v>
      </c>
      <c r="O626" s="50">
        <v>81353691.689999998</v>
      </c>
      <c r="P626" s="152">
        <f t="shared" si="2"/>
        <v>0.20930079646466218</v>
      </c>
      <c r="Q626" s="50">
        <v>81353691.689999998</v>
      </c>
      <c r="R626" s="50"/>
      <c r="S626" s="50"/>
      <c r="T626" s="50"/>
      <c r="U626" s="159"/>
    </row>
    <row r="627" spans="1:21" hidden="1" x14ac:dyDescent="0.25">
      <c r="A627" s="49" t="s">
        <v>715</v>
      </c>
      <c r="B627" s="49" t="s">
        <v>77</v>
      </c>
      <c r="C627" s="49" t="s">
        <v>78</v>
      </c>
      <c r="D627" s="49" t="s">
        <v>69</v>
      </c>
      <c r="E627" s="50">
        <v>564855020</v>
      </c>
      <c r="F627" s="50">
        <v>556913468</v>
      </c>
      <c r="G627" s="50">
        <v>553413468</v>
      </c>
      <c r="H627" s="50">
        <v>0</v>
      </c>
      <c r="I627" s="50">
        <v>0</v>
      </c>
      <c r="J627" s="50">
        <v>0</v>
      </c>
      <c r="K627" s="50">
        <v>361561850.29000002</v>
      </c>
      <c r="L627" s="151">
        <f t="shared" si="0"/>
        <v>0.6492244685488554</v>
      </c>
      <c r="M627" s="50">
        <v>361561850.29000002</v>
      </c>
      <c r="N627" s="152">
        <f t="shared" si="1"/>
        <v>0.6492244685488554</v>
      </c>
      <c r="O627" s="50">
        <v>195351617.71000001</v>
      </c>
      <c r="P627" s="152">
        <f t="shared" si="2"/>
        <v>0.3507755314511446</v>
      </c>
      <c r="Q627" s="50">
        <v>191851617.71000001</v>
      </c>
      <c r="R627" s="50"/>
      <c r="S627" s="50"/>
      <c r="T627" s="50"/>
      <c r="U627" s="159"/>
    </row>
    <row r="628" spans="1:21" hidden="1" x14ac:dyDescent="0.25">
      <c r="A628" s="49" t="s">
        <v>715</v>
      </c>
      <c r="B628" s="49" t="s">
        <v>79</v>
      </c>
      <c r="C628" s="49" t="s">
        <v>80</v>
      </c>
      <c r="D628" s="49" t="s">
        <v>69</v>
      </c>
      <c r="E628" s="50">
        <v>153608900</v>
      </c>
      <c r="F628" s="50">
        <v>153608900</v>
      </c>
      <c r="G628" s="50">
        <v>153608900</v>
      </c>
      <c r="H628" s="50">
        <v>0</v>
      </c>
      <c r="I628" s="50">
        <v>0</v>
      </c>
      <c r="J628" s="50">
        <v>0</v>
      </c>
      <c r="K628" s="50">
        <v>100372198.23999999</v>
      </c>
      <c r="L628" s="151">
        <f t="shared" si="0"/>
        <v>0.65342697096327096</v>
      </c>
      <c r="M628" s="50">
        <v>100372198.23999999</v>
      </c>
      <c r="N628" s="152">
        <f t="shared" si="1"/>
        <v>0.65342697096327096</v>
      </c>
      <c r="O628" s="50">
        <v>53236701.759999998</v>
      </c>
      <c r="P628" s="152">
        <f t="shared" si="2"/>
        <v>0.34657302903672899</v>
      </c>
      <c r="Q628" s="50">
        <v>53236701.759999998</v>
      </c>
      <c r="R628" s="50"/>
      <c r="S628" s="50"/>
      <c r="T628" s="50"/>
      <c r="U628" s="159"/>
    </row>
    <row r="629" spans="1:21" hidden="1" x14ac:dyDescent="0.25">
      <c r="A629" s="49" t="s">
        <v>715</v>
      </c>
      <c r="B629" s="49" t="s">
        <v>81</v>
      </c>
      <c r="C629" s="49" t="s">
        <v>82</v>
      </c>
      <c r="D629" s="49" t="s">
        <v>69</v>
      </c>
      <c r="E629" s="50">
        <v>194052109</v>
      </c>
      <c r="F629" s="50">
        <v>188799681</v>
      </c>
      <c r="G629" s="50">
        <v>188799681</v>
      </c>
      <c r="H629" s="50">
        <v>0</v>
      </c>
      <c r="I629" s="50">
        <v>0</v>
      </c>
      <c r="J629" s="50">
        <v>0</v>
      </c>
      <c r="K629" s="50">
        <v>147198233.88999999</v>
      </c>
      <c r="L629" s="151">
        <f t="shared" si="0"/>
        <v>0.7796529798691767</v>
      </c>
      <c r="M629" s="50">
        <v>147198233.88999999</v>
      </c>
      <c r="N629" s="152">
        <f t="shared" si="1"/>
        <v>0.7796529798691767</v>
      </c>
      <c r="O629" s="50">
        <v>41601447.109999999</v>
      </c>
      <c r="P629" s="152">
        <f t="shared" si="2"/>
        <v>0.22034702013082322</v>
      </c>
      <c r="Q629" s="50">
        <v>41601447.109999999</v>
      </c>
      <c r="R629" s="50"/>
      <c r="S629" s="50"/>
      <c r="T629" s="50"/>
      <c r="U629" s="159"/>
    </row>
    <row r="630" spans="1:21" hidden="1" x14ac:dyDescent="0.25">
      <c r="A630" s="49" t="s">
        <v>715</v>
      </c>
      <c r="B630" s="49" t="s">
        <v>86</v>
      </c>
      <c r="C630" s="49" t="s">
        <v>87</v>
      </c>
      <c r="D630" s="49" t="s">
        <v>69</v>
      </c>
      <c r="E630" s="50">
        <v>68267000</v>
      </c>
      <c r="F630" s="50">
        <v>68267000</v>
      </c>
      <c r="G630" s="50">
        <v>64767000</v>
      </c>
      <c r="H630" s="50">
        <v>0</v>
      </c>
      <c r="I630" s="50">
        <v>0</v>
      </c>
      <c r="J630" s="50">
        <v>0</v>
      </c>
      <c r="K630" s="50">
        <v>61310698.509999998</v>
      </c>
      <c r="L630" s="151">
        <f t="shared" si="0"/>
        <v>0.89810154994360381</v>
      </c>
      <c r="M630" s="50">
        <v>61310698.509999998</v>
      </c>
      <c r="N630" s="152">
        <f t="shared" si="1"/>
        <v>0.89810154994360381</v>
      </c>
      <c r="O630" s="50">
        <v>6956301.4900000002</v>
      </c>
      <c r="P630" s="152">
        <f t="shared" si="2"/>
        <v>0.10189845005639621</v>
      </c>
      <c r="Q630" s="50">
        <v>3456301.49</v>
      </c>
      <c r="R630" s="50"/>
      <c r="S630" s="50"/>
      <c r="T630" s="50"/>
      <c r="U630" s="159"/>
    </row>
    <row r="631" spans="1:21" hidden="1" x14ac:dyDescent="0.25">
      <c r="A631" s="49" t="s">
        <v>715</v>
      </c>
      <c r="B631" s="49" t="s">
        <v>88</v>
      </c>
      <c r="C631" s="49" t="s">
        <v>89</v>
      </c>
      <c r="D631" s="49" t="s">
        <v>69</v>
      </c>
      <c r="E631" s="50">
        <v>74668200</v>
      </c>
      <c r="F631" s="50">
        <v>73525878</v>
      </c>
      <c r="G631" s="50">
        <v>73525878</v>
      </c>
      <c r="H631" s="50">
        <v>0</v>
      </c>
      <c r="I631" s="50">
        <v>0</v>
      </c>
      <c r="J631" s="50">
        <v>0</v>
      </c>
      <c r="K631" s="50">
        <v>52680719.649999999</v>
      </c>
      <c r="L631" s="151">
        <f t="shared" si="0"/>
        <v>0.71649222128296108</v>
      </c>
      <c r="M631" s="50">
        <v>52680719.649999999</v>
      </c>
      <c r="N631" s="152">
        <f t="shared" si="1"/>
        <v>0.71649222128296108</v>
      </c>
      <c r="O631" s="50">
        <v>20845158.350000001</v>
      </c>
      <c r="P631" s="152">
        <f t="shared" si="2"/>
        <v>0.28350777871703892</v>
      </c>
      <c r="Q631" s="50">
        <v>20845158.350000001</v>
      </c>
      <c r="R631" s="50"/>
      <c r="S631" s="50"/>
      <c r="T631" s="50"/>
      <c r="U631" s="159"/>
    </row>
    <row r="632" spans="1:21" hidden="1" x14ac:dyDescent="0.25">
      <c r="A632" s="49" t="s">
        <v>715</v>
      </c>
      <c r="B632" s="49" t="s">
        <v>83</v>
      </c>
      <c r="C632" s="49" t="s">
        <v>84</v>
      </c>
      <c r="D632" s="49" t="s">
        <v>85</v>
      </c>
      <c r="E632" s="50">
        <v>74258811</v>
      </c>
      <c r="F632" s="50">
        <v>72712009</v>
      </c>
      <c r="G632" s="50">
        <v>72712009</v>
      </c>
      <c r="H632" s="50">
        <v>0</v>
      </c>
      <c r="I632" s="50">
        <v>0</v>
      </c>
      <c r="J632" s="50">
        <v>0</v>
      </c>
      <c r="K632" s="50">
        <v>0</v>
      </c>
      <c r="L632" s="151">
        <f t="shared" si="0"/>
        <v>0</v>
      </c>
      <c r="M632" s="50">
        <v>0</v>
      </c>
      <c r="N632" s="152">
        <f t="shared" si="1"/>
        <v>0</v>
      </c>
      <c r="O632" s="50">
        <v>72712009</v>
      </c>
      <c r="P632" s="152">
        <f t="shared" si="2"/>
        <v>1</v>
      </c>
      <c r="Q632" s="50">
        <v>72712009</v>
      </c>
      <c r="R632" s="50"/>
      <c r="S632" s="50"/>
      <c r="T632" s="50"/>
      <c r="U632" s="159"/>
    </row>
    <row r="633" spans="1:21" hidden="1" x14ac:dyDescent="0.25">
      <c r="A633" s="49" t="s">
        <v>715</v>
      </c>
      <c r="B633" s="49" t="s">
        <v>90</v>
      </c>
      <c r="C633" s="49" t="s">
        <v>91</v>
      </c>
      <c r="D633" s="49" t="s">
        <v>69</v>
      </c>
      <c r="E633" s="50">
        <v>86917540</v>
      </c>
      <c r="F633" s="50">
        <v>85107058</v>
      </c>
      <c r="G633" s="50">
        <v>85107058</v>
      </c>
      <c r="H633" s="50">
        <v>0</v>
      </c>
      <c r="I633" s="50">
        <v>25246044</v>
      </c>
      <c r="J633" s="50">
        <v>0</v>
      </c>
      <c r="K633" s="50">
        <v>59254116</v>
      </c>
      <c r="L633" s="151">
        <f t="shared" si="0"/>
        <v>0.69623034084905155</v>
      </c>
      <c r="M633" s="50">
        <v>59254116</v>
      </c>
      <c r="N633" s="152">
        <f t="shared" si="1"/>
        <v>0.69623034084905155</v>
      </c>
      <c r="O633" s="50">
        <v>606898</v>
      </c>
      <c r="P633" s="152">
        <f t="shared" si="2"/>
        <v>7.1309949405136295E-3</v>
      </c>
      <c r="Q633" s="50">
        <v>606898</v>
      </c>
      <c r="R633" s="50"/>
      <c r="S633" s="50"/>
      <c r="T633" s="50"/>
      <c r="U633" s="159"/>
    </row>
    <row r="634" spans="1:21" hidden="1" x14ac:dyDescent="0.25">
      <c r="A634" s="49" t="s">
        <v>715</v>
      </c>
      <c r="B634" s="49" t="s">
        <v>425</v>
      </c>
      <c r="C634" s="49" t="s">
        <v>697</v>
      </c>
      <c r="D634" s="49" t="s">
        <v>69</v>
      </c>
      <c r="E634" s="50">
        <v>82460320</v>
      </c>
      <c r="F634" s="50">
        <v>80742683</v>
      </c>
      <c r="G634" s="50">
        <v>80742683</v>
      </c>
      <c r="H634" s="50">
        <v>0</v>
      </c>
      <c r="I634" s="50">
        <v>23951466</v>
      </c>
      <c r="J634" s="50">
        <v>0</v>
      </c>
      <c r="K634" s="50">
        <v>56215442</v>
      </c>
      <c r="L634" s="151">
        <f t="shared" si="0"/>
        <v>0.69622955184682178</v>
      </c>
      <c r="M634" s="50">
        <v>56215442</v>
      </c>
      <c r="N634" s="152">
        <f t="shared" si="1"/>
        <v>0.69622955184682178</v>
      </c>
      <c r="O634" s="50">
        <v>575775</v>
      </c>
      <c r="P634" s="152">
        <f t="shared" si="2"/>
        <v>7.1309867173970426E-3</v>
      </c>
      <c r="Q634" s="50">
        <v>575775</v>
      </c>
      <c r="R634" s="50"/>
      <c r="S634" s="50"/>
      <c r="T634" s="50"/>
      <c r="U634" s="159"/>
    </row>
    <row r="635" spans="1:21" hidden="1" x14ac:dyDescent="0.25">
      <c r="A635" s="49" t="s">
        <v>715</v>
      </c>
      <c r="B635" s="49" t="s">
        <v>442</v>
      </c>
      <c r="C635" s="49" t="s">
        <v>95</v>
      </c>
      <c r="D635" s="49" t="s">
        <v>69</v>
      </c>
      <c r="E635" s="50">
        <v>4457220</v>
      </c>
      <c r="F635" s="50">
        <v>4364375</v>
      </c>
      <c r="G635" s="50">
        <v>4364375</v>
      </c>
      <c r="H635" s="50">
        <v>0</v>
      </c>
      <c r="I635" s="50">
        <v>1294578</v>
      </c>
      <c r="J635" s="50">
        <v>0</v>
      </c>
      <c r="K635" s="50">
        <v>3038674</v>
      </c>
      <c r="L635" s="151">
        <f t="shared" si="0"/>
        <v>0.69624493770585705</v>
      </c>
      <c r="M635" s="50">
        <v>3038674</v>
      </c>
      <c r="N635" s="152">
        <f t="shared" si="1"/>
        <v>0.69624493770585705</v>
      </c>
      <c r="O635" s="50">
        <v>31123</v>
      </c>
      <c r="P635" s="152">
        <f t="shared" si="2"/>
        <v>7.1311470714592578E-3</v>
      </c>
      <c r="Q635" s="50">
        <v>31123</v>
      </c>
      <c r="R635" s="50"/>
      <c r="S635" s="50"/>
      <c r="T635" s="50"/>
      <c r="U635" s="159"/>
    </row>
    <row r="636" spans="1:21" hidden="1" x14ac:dyDescent="0.25">
      <c r="A636" s="49" t="s">
        <v>715</v>
      </c>
      <c r="B636" s="49" t="s">
        <v>96</v>
      </c>
      <c r="C636" s="49" t="s">
        <v>97</v>
      </c>
      <c r="D636" s="49" t="s">
        <v>69</v>
      </c>
      <c r="E636" s="50">
        <v>86917440</v>
      </c>
      <c r="F636" s="50">
        <v>85106959</v>
      </c>
      <c r="G636" s="50">
        <v>82906959</v>
      </c>
      <c r="H636" s="50">
        <v>0</v>
      </c>
      <c r="I636" s="50">
        <v>23156650</v>
      </c>
      <c r="J636" s="50">
        <v>0</v>
      </c>
      <c r="K636" s="50">
        <v>59143411</v>
      </c>
      <c r="L636" s="151">
        <f t="shared" si="0"/>
        <v>0.69493037578748407</v>
      </c>
      <c r="M636" s="50">
        <v>59143411</v>
      </c>
      <c r="N636" s="152">
        <f t="shared" si="1"/>
        <v>0.69493037578748407</v>
      </c>
      <c r="O636" s="50">
        <v>2806898</v>
      </c>
      <c r="P636" s="152">
        <f t="shared" si="2"/>
        <v>3.2980828277509013E-2</v>
      </c>
      <c r="Q636" s="50">
        <v>606898</v>
      </c>
      <c r="R636" s="50"/>
      <c r="S636" s="50"/>
      <c r="T636" s="50"/>
      <c r="U636" s="159"/>
    </row>
    <row r="637" spans="1:21" hidden="1" x14ac:dyDescent="0.25">
      <c r="A637" s="49" t="s">
        <v>715</v>
      </c>
      <c r="B637" s="49" t="s">
        <v>460</v>
      </c>
      <c r="C637" s="49" t="s">
        <v>698</v>
      </c>
      <c r="D637" s="49" t="s">
        <v>69</v>
      </c>
      <c r="E637" s="50">
        <v>46801760</v>
      </c>
      <c r="F637" s="50">
        <v>45826885</v>
      </c>
      <c r="G637" s="50">
        <v>45826885</v>
      </c>
      <c r="H637" s="50">
        <v>0</v>
      </c>
      <c r="I637" s="50">
        <v>13704736</v>
      </c>
      <c r="J637" s="50">
        <v>0</v>
      </c>
      <c r="K637" s="50">
        <v>31795358</v>
      </c>
      <c r="L637" s="151">
        <f t="shared" si="0"/>
        <v>0.69381451521306758</v>
      </c>
      <c r="M637" s="50">
        <v>31795358</v>
      </c>
      <c r="N637" s="152">
        <f t="shared" si="1"/>
        <v>0.69381451521306758</v>
      </c>
      <c r="O637" s="50">
        <v>326791</v>
      </c>
      <c r="P637" s="152">
        <f t="shared" si="2"/>
        <v>7.1309887198311647E-3</v>
      </c>
      <c r="Q637" s="50">
        <v>326791</v>
      </c>
      <c r="R637" s="50"/>
      <c r="S637" s="50"/>
      <c r="T637" s="50"/>
      <c r="U637" s="159"/>
    </row>
    <row r="638" spans="1:21" hidden="1" x14ac:dyDescent="0.25">
      <c r="A638" s="49" t="s">
        <v>715</v>
      </c>
      <c r="B638" s="49" t="s">
        <v>477</v>
      </c>
      <c r="C638" s="49" t="s">
        <v>699</v>
      </c>
      <c r="D638" s="49" t="s">
        <v>69</v>
      </c>
      <c r="E638" s="50">
        <v>13371860</v>
      </c>
      <c r="F638" s="50">
        <v>13093325</v>
      </c>
      <c r="G638" s="50">
        <v>13093325</v>
      </c>
      <c r="H638" s="50">
        <v>0</v>
      </c>
      <c r="I638" s="50">
        <v>3883937</v>
      </c>
      <c r="J638" s="50">
        <v>0</v>
      </c>
      <c r="K638" s="50">
        <v>9116019</v>
      </c>
      <c r="L638" s="151">
        <f t="shared" si="0"/>
        <v>0.69623407346873312</v>
      </c>
      <c r="M638" s="50">
        <v>9116019</v>
      </c>
      <c r="N638" s="152">
        <f t="shared" si="1"/>
        <v>0.69623407346873312</v>
      </c>
      <c r="O638" s="50">
        <v>93369</v>
      </c>
      <c r="P638" s="152">
        <f t="shared" si="2"/>
        <v>7.1310381434815072E-3</v>
      </c>
      <c r="Q638" s="50">
        <v>93369</v>
      </c>
      <c r="R638" s="50"/>
      <c r="S638" s="50"/>
      <c r="T638" s="50"/>
      <c r="U638" s="159"/>
    </row>
    <row r="639" spans="1:21" hidden="1" x14ac:dyDescent="0.25">
      <c r="A639" s="49" t="s">
        <v>715</v>
      </c>
      <c r="B639" s="49" t="s">
        <v>494</v>
      </c>
      <c r="C639" s="49" t="s">
        <v>700</v>
      </c>
      <c r="D639" s="49" t="s">
        <v>69</v>
      </c>
      <c r="E639" s="50">
        <v>26743820</v>
      </c>
      <c r="F639" s="50">
        <v>26186749</v>
      </c>
      <c r="G639" s="50">
        <v>23986749</v>
      </c>
      <c r="H639" s="50">
        <v>0</v>
      </c>
      <c r="I639" s="50">
        <v>5567977</v>
      </c>
      <c r="J639" s="50">
        <v>0</v>
      </c>
      <c r="K639" s="50">
        <v>18232034</v>
      </c>
      <c r="L639" s="151">
        <f t="shared" si="0"/>
        <v>0.69623128858034267</v>
      </c>
      <c r="M639" s="50">
        <v>18232034</v>
      </c>
      <c r="N639" s="152">
        <f t="shared" si="1"/>
        <v>0.69623128858034267</v>
      </c>
      <c r="O639" s="50">
        <v>2386738</v>
      </c>
      <c r="P639" s="152">
        <f t="shared" si="2"/>
        <v>9.1142967002127678E-2</v>
      </c>
      <c r="Q639" s="50">
        <v>186738</v>
      </c>
      <c r="R639" s="50"/>
      <c r="S639" s="50"/>
      <c r="T639" s="50"/>
      <c r="U639" s="159"/>
    </row>
    <row r="640" spans="1:21" hidden="1" x14ac:dyDescent="0.25">
      <c r="A640" s="49" t="s">
        <v>715</v>
      </c>
      <c r="B640" s="49" t="s">
        <v>104</v>
      </c>
      <c r="C640" s="49" t="s">
        <v>105</v>
      </c>
      <c r="D640" s="49" t="s">
        <v>69</v>
      </c>
      <c r="E640" s="50">
        <v>30265400</v>
      </c>
      <c r="F640" s="50">
        <v>25738010</v>
      </c>
      <c r="G640" s="50">
        <v>22845275.859999999</v>
      </c>
      <c r="H640" s="50">
        <v>0</v>
      </c>
      <c r="I640" s="50">
        <v>4504431.74</v>
      </c>
      <c r="J640" s="50">
        <v>0</v>
      </c>
      <c r="K640" s="50">
        <v>10378103.66</v>
      </c>
      <c r="L640" s="151">
        <f t="shared" si="0"/>
        <v>0.40322090402482552</v>
      </c>
      <c r="M640" s="50">
        <v>10358593.66</v>
      </c>
      <c r="N640" s="152">
        <f t="shared" si="1"/>
        <v>0.40246288116291817</v>
      </c>
      <c r="O640" s="50">
        <v>10855474.6</v>
      </c>
      <c r="P640" s="152">
        <f t="shared" si="2"/>
        <v>0.42176821751176563</v>
      </c>
      <c r="Q640" s="50">
        <v>7962740.46</v>
      </c>
      <c r="R640" s="50"/>
      <c r="S640" s="50"/>
      <c r="T640" s="50"/>
      <c r="U640" s="159"/>
    </row>
    <row r="641" spans="1:21" hidden="1" x14ac:dyDescent="0.25">
      <c r="A641" s="49" t="s">
        <v>715</v>
      </c>
      <c r="B641" s="49" t="s">
        <v>112</v>
      </c>
      <c r="C641" s="49" t="s">
        <v>113</v>
      </c>
      <c r="D641" s="49" t="s">
        <v>69</v>
      </c>
      <c r="E641" s="50">
        <v>30265400</v>
      </c>
      <c r="F641" s="50">
        <v>25738010</v>
      </c>
      <c r="G641" s="50">
        <v>22845275.859999999</v>
      </c>
      <c r="H641" s="50">
        <v>0</v>
      </c>
      <c r="I641" s="50">
        <v>4504431.74</v>
      </c>
      <c r="J641" s="50">
        <v>0</v>
      </c>
      <c r="K641" s="50">
        <v>10378103.66</v>
      </c>
      <c r="L641" s="151">
        <f t="shared" si="0"/>
        <v>0.40322090402482552</v>
      </c>
      <c r="M641" s="50">
        <v>10358593.66</v>
      </c>
      <c r="N641" s="152">
        <f t="shared" si="1"/>
        <v>0.40246288116291817</v>
      </c>
      <c r="O641" s="50">
        <v>10855474.6</v>
      </c>
      <c r="P641" s="152">
        <f t="shared" si="2"/>
        <v>0.42176821751176563</v>
      </c>
      <c r="Q641" s="50">
        <v>7962740.46</v>
      </c>
      <c r="R641" s="50"/>
      <c r="S641" s="50"/>
      <c r="T641" s="50"/>
      <c r="U641" s="159"/>
    </row>
    <row r="642" spans="1:21" hidden="1" x14ac:dyDescent="0.25">
      <c r="A642" s="49" t="s">
        <v>715</v>
      </c>
      <c r="B642" s="49" t="s">
        <v>114</v>
      </c>
      <c r="C642" s="49" t="s">
        <v>115</v>
      </c>
      <c r="D642" s="49" t="s">
        <v>69</v>
      </c>
      <c r="E642" s="50">
        <v>3196000</v>
      </c>
      <c r="F642" s="50">
        <v>3196000</v>
      </c>
      <c r="G642" s="50">
        <v>3196000</v>
      </c>
      <c r="H642" s="50">
        <v>0</v>
      </c>
      <c r="I642" s="50">
        <v>729064</v>
      </c>
      <c r="J642" s="50">
        <v>0</v>
      </c>
      <c r="K642" s="50">
        <v>2342936</v>
      </c>
      <c r="L642" s="151">
        <f t="shared" si="0"/>
        <v>0.73308385481852312</v>
      </c>
      <c r="M642" s="50">
        <v>2336834</v>
      </c>
      <c r="N642" s="152">
        <f t="shared" si="1"/>
        <v>0.73117459324155198</v>
      </c>
      <c r="O642" s="50">
        <v>124000</v>
      </c>
      <c r="P642" s="152">
        <f t="shared" si="2"/>
        <v>3.8798498122653319E-2</v>
      </c>
      <c r="Q642" s="50">
        <v>124000</v>
      </c>
      <c r="R642" s="50"/>
      <c r="S642" s="50"/>
      <c r="T642" s="50"/>
      <c r="U642" s="159"/>
    </row>
    <row r="643" spans="1:21" hidden="1" x14ac:dyDescent="0.25">
      <c r="A643" s="49" t="s">
        <v>715</v>
      </c>
      <c r="B643" s="49" t="s">
        <v>116</v>
      </c>
      <c r="C643" s="49" t="s">
        <v>117</v>
      </c>
      <c r="D643" s="49" t="s">
        <v>69</v>
      </c>
      <c r="E643" s="50">
        <v>21749400</v>
      </c>
      <c r="F643" s="50">
        <v>17222010</v>
      </c>
      <c r="G643" s="50">
        <v>14529275.859999999</v>
      </c>
      <c r="H643" s="50">
        <v>0</v>
      </c>
      <c r="I643" s="50">
        <v>2378012.38</v>
      </c>
      <c r="J643" s="50">
        <v>0</v>
      </c>
      <c r="K643" s="50">
        <v>6713913.0199999996</v>
      </c>
      <c r="L643" s="151">
        <f t="shared" si="0"/>
        <v>0.38984491473411059</v>
      </c>
      <c r="M643" s="50">
        <v>6713913.0199999996</v>
      </c>
      <c r="N643" s="152">
        <f t="shared" si="1"/>
        <v>0.38984491473411059</v>
      </c>
      <c r="O643" s="50">
        <v>8130084.5999999996</v>
      </c>
      <c r="P643" s="152">
        <f t="shared" si="2"/>
        <v>0.4720752455723809</v>
      </c>
      <c r="Q643" s="50">
        <v>5437350.46</v>
      </c>
      <c r="R643" s="50"/>
      <c r="S643" s="50"/>
      <c r="T643" s="50"/>
      <c r="U643" s="159"/>
    </row>
    <row r="644" spans="1:21" x14ac:dyDescent="0.25">
      <c r="A644" s="161" t="s">
        <v>715</v>
      </c>
      <c r="B644" s="161" t="s">
        <v>120</v>
      </c>
      <c r="C644" s="161" t="s">
        <v>121</v>
      </c>
      <c r="D644" s="161" t="s">
        <v>69</v>
      </c>
      <c r="E644" s="162">
        <v>4620000</v>
      </c>
      <c r="F644" s="162">
        <v>4620000</v>
      </c>
      <c r="G644" s="162">
        <v>4620000</v>
      </c>
      <c r="H644" s="162">
        <v>0</v>
      </c>
      <c r="I644" s="162">
        <v>1261553.28</v>
      </c>
      <c r="J644" s="162">
        <v>0</v>
      </c>
      <c r="K644" s="162">
        <v>1048446.72</v>
      </c>
      <c r="L644" s="163">
        <f t="shared" si="0"/>
        <v>0.22693651948051946</v>
      </c>
      <c r="M644" s="162">
        <v>1048446.72</v>
      </c>
      <c r="N644" s="164">
        <f t="shared" si="1"/>
        <v>0.22693651948051946</v>
      </c>
      <c r="O644" s="162">
        <v>2310000</v>
      </c>
      <c r="P644" s="164">
        <f t="shared" si="2"/>
        <v>0.5</v>
      </c>
      <c r="Q644" s="50">
        <v>2310000</v>
      </c>
      <c r="R644" s="162"/>
      <c r="S644" s="162"/>
      <c r="T644" s="162"/>
      <c r="U644" s="159"/>
    </row>
    <row r="645" spans="1:21" hidden="1" x14ac:dyDescent="0.25">
      <c r="A645" s="49" t="s">
        <v>715</v>
      </c>
      <c r="B645" s="49" t="s">
        <v>122</v>
      </c>
      <c r="C645" s="49" t="s">
        <v>123</v>
      </c>
      <c r="D645" s="49" t="s">
        <v>69</v>
      </c>
      <c r="E645" s="50">
        <v>700000</v>
      </c>
      <c r="F645" s="50">
        <v>700000</v>
      </c>
      <c r="G645" s="50">
        <v>500000</v>
      </c>
      <c r="H645" s="50">
        <v>0</v>
      </c>
      <c r="I645" s="50">
        <v>135802.07999999999</v>
      </c>
      <c r="J645" s="50">
        <v>0</v>
      </c>
      <c r="K645" s="50">
        <v>272807.92</v>
      </c>
      <c r="L645" s="151">
        <f t="shared" si="0"/>
        <v>0.38972559999999995</v>
      </c>
      <c r="M645" s="50">
        <v>259399.92</v>
      </c>
      <c r="N645" s="152">
        <f t="shared" si="1"/>
        <v>0.37057131428571433</v>
      </c>
      <c r="O645" s="50">
        <v>291390</v>
      </c>
      <c r="P645" s="152">
        <f t="shared" si="2"/>
        <v>0.41627142857142857</v>
      </c>
      <c r="Q645" s="50">
        <v>91390</v>
      </c>
      <c r="R645" s="50"/>
      <c r="S645" s="50"/>
      <c r="T645" s="50"/>
      <c r="U645" s="159"/>
    </row>
    <row r="646" spans="1:21" hidden="1" x14ac:dyDescent="0.25">
      <c r="A646" s="49" t="s">
        <v>715</v>
      </c>
      <c r="B646" s="49" t="s">
        <v>140</v>
      </c>
      <c r="C646" s="49" t="s">
        <v>141</v>
      </c>
      <c r="D646" s="49" t="s">
        <v>69</v>
      </c>
      <c r="E646" s="50">
        <v>0</v>
      </c>
      <c r="F646" s="50">
        <v>0</v>
      </c>
      <c r="G646" s="50">
        <v>0</v>
      </c>
      <c r="H646" s="50">
        <v>0</v>
      </c>
      <c r="I646" s="50">
        <v>0</v>
      </c>
      <c r="J646" s="50">
        <v>0</v>
      </c>
      <c r="K646" s="50">
        <v>0</v>
      </c>
      <c r="L646" s="151" t="e">
        <f t="shared" si="0"/>
        <v>#DIV/0!</v>
      </c>
      <c r="M646" s="50">
        <v>0</v>
      </c>
      <c r="N646" s="152" t="e">
        <f t="shared" si="1"/>
        <v>#DIV/0!</v>
      </c>
      <c r="O646" s="50">
        <v>0</v>
      </c>
      <c r="P646" s="152" t="e">
        <f t="shared" si="2"/>
        <v>#DIV/0!</v>
      </c>
      <c r="Q646" s="50">
        <v>0</v>
      </c>
      <c r="R646" s="50"/>
      <c r="S646" s="50"/>
      <c r="T646" s="50"/>
      <c r="U646" s="159"/>
    </row>
    <row r="647" spans="1:21" hidden="1" x14ac:dyDescent="0.25">
      <c r="A647" s="49" t="s">
        <v>715</v>
      </c>
      <c r="B647" s="49" t="s">
        <v>144</v>
      </c>
      <c r="C647" s="49" t="s">
        <v>145</v>
      </c>
      <c r="D647" s="49" t="s">
        <v>69</v>
      </c>
      <c r="E647" s="50">
        <v>0</v>
      </c>
      <c r="F647" s="50">
        <v>0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151" t="e">
        <f t="shared" si="0"/>
        <v>#DIV/0!</v>
      </c>
      <c r="M647" s="50">
        <v>0</v>
      </c>
      <c r="N647" s="152" t="e">
        <f t="shared" si="1"/>
        <v>#DIV/0!</v>
      </c>
      <c r="O647" s="50">
        <v>0</v>
      </c>
      <c r="P647" s="152" t="e">
        <f t="shared" si="2"/>
        <v>#DIV/0!</v>
      </c>
      <c r="Q647" s="50">
        <v>0</v>
      </c>
      <c r="R647" s="50"/>
      <c r="S647" s="50"/>
      <c r="T647" s="50"/>
      <c r="U647" s="159"/>
    </row>
    <row r="648" spans="1:21" hidden="1" x14ac:dyDescent="0.25">
      <c r="A648" s="49" t="s">
        <v>715</v>
      </c>
      <c r="B648" s="49" t="s">
        <v>248</v>
      </c>
      <c r="C648" s="49" t="s">
        <v>249</v>
      </c>
      <c r="D648" s="49" t="s">
        <v>69</v>
      </c>
      <c r="E648" s="50">
        <v>18298122</v>
      </c>
      <c r="F648" s="50">
        <v>17989877</v>
      </c>
      <c r="G648" s="50">
        <v>17989877</v>
      </c>
      <c r="H648" s="50">
        <v>0</v>
      </c>
      <c r="I648" s="50">
        <v>4408858</v>
      </c>
      <c r="J648" s="50">
        <v>0</v>
      </c>
      <c r="K648" s="50">
        <v>13425064</v>
      </c>
      <c r="L648" s="151">
        <f t="shared" si="0"/>
        <v>0.74625657529509515</v>
      </c>
      <c r="M648" s="50">
        <v>13425064</v>
      </c>
      <c r="N648" s="152">
        <f t="shared" si="1"/>
        <v>0.74625657529509515</v>
      </c>
      <c r="O648" s="50">
        <v>155955</v>
      </c>
      <c r="P648" s="152">
        <f t="shared" si="2"/>
        <v>8.6690420395870403E-3</v>
      </c>
      <c r="Q648" s="50">
        <v>155955</v>
      </c>
      <c r="R648" s="50"/>
      <c r="S648" s="50"/>
      <c r="T648" s="50"/>
      <c r="U648" s="159"/>
    </row>
    <row r="649" spans="1:21" hidden="1" x14ac:dyDescent="0.25">
      <c r="A649" s="49" t="s">
        <v>715</v>
      </c>
      <c r="B649" s="49" t="s">
        <v>250</v>
      </c>
      <c r="C649" s="49" t="s">
        <v>251</v>
      </c>
      <c r="D649" s="49" t="s">
        <v>69</v>
      </c>
      <c r="E649" s="50">
        <v>14798122</v>
      </c>
      <c r="F649" s="50">
        <v>14489877</v>
      </c>
      <c r="G649" s="50">
        <v>14489877</v>
      </c>
      <c r="H649" s="50">
        <v>0</v>
      </c>
      <c r="I649" s="50">
        <v>4408858</v>
      </c>
      <c r="J649" s="50">
        <v>0</v>
      </c>
      <c r="K649" s="50">
        <v>9977690</v>
      </c>
      <c r="L649" s="151">
        <f t="shared" si="0"/>
        <v>0.68859728760982586</v>
      </c>
      <c r="M649" s="50">
        <v>9977690</v>
      </c>
      <c r="N649" s="152">
        <f t="shared" si="1"/>
        <v>0.68859728760982586</v>
      </c>
      <c r="O649" s="50">
        <v>103329</v>
      </c>
      <c r="P649" s="152">
        <f t="shared" si="2"/>
        <v>7.1311164339076171E-3</v>
      </c>
      <c r="Q649" s="50">
        <v>103329</v>
      </c>
      <c r="R649" s="50"/>
      <c r="S649" s="50"/>
      <c r="T649" s="50"/>
      <c r="U649" s="159"/>
    </row>
    <row r="650" spans="1:21" hidden="1" x14ac:dyDescent="0.25">
      <c r="A650" s="49" t="s">
        <v>715</v>
      </c>
      <c r="B650" s="49" t="s">
        <v>634</v>
      </c>
      <c r="C650" s="49" t="s">
        <v>702</v>
      </c>
      <c r="D650" s="49" t="s">
        <v>69</v>
      </c>
      <c r="E650" s="50">
        <v>12569562</v>
      </c>
      <c r="F650" s="50">
        <v>12307739</v>
      </c>
      <c r="G650" s="50">
        <v>12307739</v>
      </c>
      <c r="H650" s="50">
        <v>0</v>
      </c>
      <c r="I650" s="50">
        <v>3761617</v>
      </c>
      <c r="J650" s="50">
        <v>0</v>
      </c>
      <c r="K650" s="50">
        <v>8458355</v>
      </c>
      <c r="L650" s="151">
        <f t="shared" si="0"/>
        <v>0.68723873653804324</v>
      </c>
      <c r="M650" s="50">
        <v>8458355</v>
      </c>
      <c r="N650" s="152">
        <f t="shared" si="1"/>
        <v>0.68723873653804324</v>
      </c>
      <c r="O650" s="50">
        <v>87767</v>
      </c>
      <c r="P650" s="152">
        <f t="shared" si="2"/>
        <v>7.1310416966105638E-3</v>
      </c>
      <c r="Q650" s="50">
        <v>87767</v>
      </c>
      <c r="R650" s="50"/>
      <c r="S650" s="50"/>
      <c r="T650" s="50"/>
      <c r="U650" s="159"/>
    </row>
    <row r="651" spans="1:21" hidden="1" x14ac:dyDescent="0.25">
      <c r="A651" s="49" t="s">
        <v>715</v>
      </c>
      <c r="B651" s="49" t="s">
        <v>649</v>
      </c>
      <c r="C651" s="49" t="s">
        <v>703</v>
      </c>
      <c r="D651" s="49" t="s">
        <v>69</v>
      </c>
      <c r="E651" s="50">
        <v>2228560</v>
      </c>
      <c r="F651" s="50">
        <v>2182138</v>
      </c>
      <c r="G651" s="50">
        <v>2182138</v>
      </c>
      <c r="H651" s="50">
        <v>0</v>
      </c>
      <c r="I651" s="50">
        <v>647241</v>
      </c>
      <c r="J651" s="50">
        <v>0</v>
      </c>
      <c r="K651" s="50">
        <v>1519335</v>
      </c>
      <c r="L651" s="151">
        <f t="shared" si="0"/>
        <v>0.69625981491546363</v>
      </c>
      <c r="M651" s="50">
        <v>1519335</v>
      </c>
      <c r="N651" s="152">
        <f t="shared" si="1"/>
        <v>0.69625981491546363</v>
      </c>
      <c r="O651" s="50">
        <v>15562</v>
      </c>
      <c r="P651" s="152">
        <f t="shared" si="2"/>
        <v>7.131537968726084E-3</v>
      </c>
      <c r="Q651" s="50">
        <v>15562</v>
      </c>
      <c r="R651" s="50"/>
      <c r="S651" s="50"/>
      <c r="T651" s="50"/>
      <c r="U651" s="159"/>
    </row>
    <row r="652" spans="1:21" hidden="1" x14ac:dyDescent="0.25">
      <c r="A652" s="49" t="s">
        <v>715</v>
      </c>
      <c r="B652" s="49" t="s">
        <v>260</v>
      </c>
      <c r="C652" s="49" t="s">
        <v>261</v>
      </c>
      <c r="D652" s="49" t="s">
        <v>69</v>
      </c>
      <c r="E652" s="50">
        <v>3500000</v>
      </c>
      <c r="F652" s="50">
        <v>3500000</v>
      </c>
      <c r="G652" s="50">
        <v>3500000</v>
      </c>
      <c r="H652" s="50">
        <v>0</v>
      </c>
      <c r="I652" s="50">
        <v>0</v>
      </c>
      <c r="J652" s="50">
        <v>0</v>
      </c>
      <c r="K652" s="50">
        <v>3447374</v>
      </c>
      <c r="L652" s="151">
        <f t="shared" si="0"/>
        <v>0.98496399999999995</v>
      </c>
      <c r="M652" s="50">
        <v>3447374</v>
      </c>
      <c r="N652" s="152">
        <f t="shared" si="1"/>
        <v>0.98496399999999995</v>
      </c>
      <c r="O652" s="50">
        <v>52626</v>
      </c>
      <c r="P652" s="152">
        <f t="shared" si="2"/>
        <v>1.5036000000000001E-2</v>
      </c>
      <c r="Q652" s="50">
        <v>52626</v>
      </c>
      <c r="R652" s="50"/>
      <c r="S652" s="50"/>
      <c r="T652" s="50"/>
      <c r="U652" s="159"/>
    </row>
    <row r="653" spans="1:21" hidden="1" x14ac:dyDescent="0.25">
      <c r="A653" s="49" t="s">
        <v>715</v>
      </c>
      <c r="B653" s="49" t="s">
        <v>264</v>
      </c>
      <c r="C653" s="49" t="s">
        <v>265</v>
      </c>
      <c r="D653" s="49" t="s">
        <v>69</v>
      </c>
      <c r="E653" s="50">
        <v>3500000</v>
      </c>
      <c r="F653" s="50">
        <v>3500000</v>
      </c>
      <c r="G653" s="50">
        <v>3500000</v>
      </c>
      <c r="H653" s="50">
        <v>0</v>
      </c>
      <c r="I653" s="50">
        <v>0</v>
      </c>
      <c r="J653" s="50">
        <v>0</v>
      </c>
      <c r="K653" s="50">
        <v>3447374</v>
      </c>
      <c r="L653" s="151">
        <f t="shared" si="0"/>
        <v>0.98496399999999995</v>
      </c>
      <c r="M653" s="50">
        <v>3447374</v>
      </c>
      <c r="N653" s="152">
        <f t="shared" si="1"/>
        <v>0.98496399999999995</v>
      </c>
      <c r="O653" s="50">
        <v>52626</v>
      </c>
      <c r="P653" s="152">
        <f t="shared" si="2"/>
        <v>1.5036000000000001E-2</v>
      </c>
      <c r="Q653" s="50">
        <v>52626</v>
      </c>
      <c r="R653" s="50"/>
      <c r="S653" s="50"/>
      <c r="T653" s="50"/>
      <c r="U653" s="159"/>
    </row>
    <row r="654" spans="1:21" hidden="1" x14ac:dyDescent="0.25">
      <c r="A654" s="49">
        <v>214789006</v>
      </c>
      <c r="B654" s="49"/>
      <c r="C654" s="49"/>
      <c r="D654" s="49" t="s">
        <v>69</v>
      </c>
      <c r="E654" s="50">
        <v>7207746597</v>
      </c>
      <c r="F654" s="50">
        <v>6961566789</v>
      </c>
      <c r="G654" s="50">
        <v>6960966789</v>
      </c>
      <c r="H654" s="50">
        <v>0</v>
      </c>
      <c r="I654" s="50">
        <v>11974639.24</v>
      </c>
      <c r="J654" s="50">
        <v>0</v>
      </c>
      <c r="K654" s="50">
        <v>4327272226.9499998</v>
      </c>
      <c r="L654" s="151">
        <f t="shared" si="0"/>
        <v>0.62159458611925411</v>
      </c>
      <c r="M654" s="50">
        <v>4327272226.9499998</v>
      </c>
      <c r="N654" s="152">
        <f t="shared" si="1"/>
        <v>0.62159458611925411</v>
      </c>
      <c r="O654" s="50">
        <v>2622319922.8099999</v>
      </c>
      <c r="P654" s="152">
        <f t="shared" si="2"/>
        <v>0.37668530695612062</v>
      </c>
      <c r="Q654" s="50">
        <v>2621719922.8099999</v>
      </c>
      <c r="R654" s="50"/>
      <c r="S654" s="50"/>
      <c r="T654" s="50"/>
      <c r="U654" s="159"/>
    </row>
    <row r="655" spans="1:21" hidden="1" x14ac:dyDescent="0.25">
      <c r="A655" s="49" t="s">
        <v>716</v>
      </c>
      <c r="B655" s="49" t="s">
        <v>71</v>
      </c>
      <c r="C655" s="49" t="s">
        <v>72</v>
      </c>
      <c r="D655" s="49" t="s">
        <v>69</v>
      </c>
      <c r="E655" s="50">
        <v>273249937</v>
      </c>
      <c r="F655" s="50">
        <v>271537368</v>
      </c>
      <c r="G655" s="50">
        <v>270937368</v>
      </c>
      <c r="H655" s="50">
        <v>0</v>
      </c>
      <c r="I655" s="50">
        <v>10703537</v>
      </c>
      <c r="J655" s="50">
        <v>0</v>
      </c>
      <c r="K655" s="50">
        <v>192268716.83000001</v>
      </c>
      <c r="L655" s="151">
        <f t="shared" si="0"/>
        <v>0.70807461325175702</v>
      </c>
      <c r="M655" s="50">
        <v>192268716.83000001</v>
      </c>
      <c r="N655" s="152">
        <f t="shared" si="1"/>
        <v>0.70807461325175702</v>
      </c>
      <c r="O655" s="50">
        <v>68565114.170000002</v>
      </c>
      <c r="P655" s="152">
        <f t="shared" si="2"/>
        <v>0.25250710307393126</v>
      </c>
      <c r="Q655" s="50">
        <v>67965114.170000002</v>
      </c>
      <c r="R655" s="50"/>
      <c r="S655" s="50"/>
      <c r="T655" s="50"/>
      <c r="U655" s="159"/>
    </row>
    <row r="656" spans="1:21" hidden="1" x14ac:dyDescent="0.25">
      <c r="A656" s="49" t="s">
        <v>716</v>
      </c>
      <c r="B656" s="49" t="s">
        <v>73</v>
      </c>
      <c r="C656" s="49" t="s">
        <v>74</v>
      </c>
      <c r="D656" s="49" t="s">
        <v>69</v>
      </c>
      <c r="E656" s="50">
        <v>97637632</v>
      </c>
      <c r="F656" s="50">
        <v>96661384</v>
      </c>
      <c r="G656" s="50">
        <v>96661384</v>
      </c>
      <c r="H656" s="50">
        <v>0</v>
      </c>
      <c r="I656" s="50">
        <v>0</v>
      </c>
      <c r="J656" s="50">
        <v>0</v>
      </c>
      <c r="K656" s="50">
        <v>77238050.890000001</v>
      </c>
      <c r="L656" s="151">
        <f t="shared" si="0"/>
        <v>0.79905798669301076</v>
      </c>
      <c r="M656" s="50">
        <v>77238050.890000001</v>
      </c>
      <c r="N656" s="152">
        <f t="shared" si="1"/>
        <v>0.79905798669301076</v>
      </c>
      <c r="O656" s="50">
        <v>19423333.109999999</v>
      </c>
      <c r="P656" s="152">
        <f t="shared" si="2"/>
        <v>0.20094201330698927</v>
      </c>
      <c r="Q656" s="50">
        <v>19423333.109999999</v>
      </c>
      <c r="R656" s="50"/>
      <c r="S656" s="50"/>
      <c r="T656" s="50"/>
      <c r="U656" s="159"/>
    </row>
    <row r="657" spans="1:21" hidden="1" x14ac:dyDescent="0.25">
      <c r="A657" s="49" t="s">
        <v>716</v>
      </c>
      <c r="B657" s="49" t="s">
        <v>75</v>
      </c>
      <c r="C657" s="49" t="s">
        <v>76</v>
      </c>
      <c r="D657" s="49" t="s">
        <v>69</v>
      </c>
      <c r="E657" s="50">
        <v>97637632</v>
      </c>
      <c r="F657" s="50">
        <v>96661384</v>
      </c>
      <c r="G657" s="50">
        <v>96661384</v>
      </c>
      <c r="H657" s="50">
        <v>0</v>
      </c>
      <c r="I657" s="50">
        <v>0</v>
      </c>
      <c r="J657" s="50">
        <v>0</v>
      </c>
      <c r="K657" s="50">
        <v>77238050.890000001</v>
      </c>
      <c r="L657" s="151">
        <f t="shared" si="0"/>
        <v>0.79905798669301076</v>
      </c>
      <c r="M657" s="50">
        <v>77238050.890000001</v>
      </c>
      <c r="N657" s="152">
        <f t="shared" si="1"/>
        <v>0.79905798669301076</v>
      </c>
      <c r="O657" s="50">
        <v>19423333.109999999</v>
      </c>
      <c r="P657" s="152">
        <f t="shared" si="2"/>
        <v>0.20094201330698927</v>
      </c>
      <c r="Q657" s="50">
        <v>19423333.109999999</v>
      </c>
      <c r="R657" s="50"/>
      <c r="S657" s="50"/>
      <c r="T657" s="50"/>
      <c r="U657" s="159"/>
    </row>
    <row r="658" spans="1:21" hidden="1" x14ac:dyDescent="0.25">
      <c r="A658" s="49" t="s">
        <v>716</v>
      </c>
      <c r="B658" s="49" t="s">
        <v>77</v>
      </c>
      <c r="C658" s="49" t="s">
        <v>78</v>
      </c>
      <c r="D658" s="49" t="s">
        <v>69</v>
      </c>
      <c r="E658" s="50">
        <v>133929275</v>
      </c>
      <c r="F658" s="50">
        <v>133454197</v>
      </c>
      <c r="G658" s="50">
        <v>133454197</v>
      </c>
      <c r="H658" s="50">
        <v>0</v>
      </c>
      <c r="I658" s="50">
        <v>0</v>
      </c>
      <c r="J658" s="50">
        <v>0</v>
      </c>
      <c r="K658" s="50">
        <v>85173940.939999998</v>
      </c>
      <c r="L658" s="151">
        <f t="shared" si="0"/>
        <v>0.63822601952338742</v>
      </c>
      <c r="M658" s="50">
        <v>85173940.939999998</v>
      </c>
      <c r="N658" s="152">
        <f t="shared" si="1"/>
        <v>0.63822601952338742</v>
      </c>
      <c r="O658" s="50">
        <v>48280256.060000002</v>
      </c>
      <c r="P658" s="152">
        <f t="shared" si="2"/>
        <v>0.36177398047661252</v>
      </c>
      <c r="Q658" s="50">
        <v>48280256.060000002</v>
      </c>
      <c r="R658" s="50"/>
      <c r="S658" s="50"/>
      <c r="T658" s="50"/>
      <c r="U658" s="159"/>
    </row>
    <row r="659" spans="1:21" hidden="1" x14ac:dyDescent="0.25">
      <c r="A659" s="49" t="s">
        <v>716</v>
      </c>
      <c r="B659" s="49" t="s">
        <v>79</v>
      </c>
      <c r="C659" s="49" t="s">
        <v>80</v>
      </c>
      <c r="D659" s="49" t="s">
        <v>69</v>
      </c>
      <c r="E659" s="50">
        <v>34862400</v>
      </c>
      <c r="F659" s="50">
        <v>34862400</v>
      </c>
      <c r="G659" s="50">
        <v>34862400</v>
      </c>
      <c r="H659" s="50">
        <v>0</v>
      </c>
      <c r="I659" s="50">
        <v>0</v>
      </c>
      <c r="J659" s="50">
        <v>0</v>
      </c>
      <c r="K659" s="50">
        <v>27133984.949999999</v>
      </c>
      <c r="L659" s="151">
        <f t="shared" si="0"/>
        <v>0.77831660901142774</v>
      </c>
      <c r="M659" s="50">
        <v>27133984.949999999</v>
      </c>
      <c r="N659" s="152">
        <f t="shared" si="1"/>
        <v>0.77831660901142774</v>
      </c>
      <c r="O659" s="50">
        <v>7728415.0499999998</v>
      </c>
      <c r="P659" s="152">
        <f t="shared" si="2"/>
        <v>0.2216833909885722</v>
      </c>
      <c r="Q659" s="50">
        <v>7728415.0499999998</v>
      </c>
      <c r="R659" s="50"/>
      <c r="S659" s="50"/>
      <c r="T659" s="50"/>
      <c r="U659" s="159"/>
    </row>
    <row r="660" spans="1:21" hidden="1" x14ac:dyDescent="0.25">
      <c r="A660" s="49" t="s">
        <v>716</v>
      </c>
      <c r="B660" s="49" t="s">
        <v>81</v>
      </c>
      <c r="C660" s="49" t="s">
        <v>82</v>
      </c>
      <c r="D660" s="49" t="s">
        <v>69</v>
      </c>
      <c r="E660" s="50">
        <v>32733979</v>
      </c>
      <c r="F660" s="50">
        <v>32370500</v>
      </c>
      <c r="G660" s="50">
        <v>32370500</v>
      </c>
      <c r="H660" s="50">
        <v>0</v>
      </c>
      <c r="I660" s="50">
        <v>0</v>
      </c>
      <c r="J660" s="50">
        <v>0</v>
      </c>
      <c r="K660" s="50">
        <v>23014384.949999999</v>
      </c>
      <c r="L660" s="151">
        <f t="shared" si="0"/>
        <v>0.71096785499142734</v>
      </c>
      <c r="M660" s="50">
        <v>23014384.949999999</v>
      </c>
      <c r="N660" s="152">
        <f t="shared" si="1"/>
        <v>0.71096785499142734</v>
      </c>
      <c r="O660" s="50">
        <v>9356115.0500000007</v>
      </c>
      <c r="P660" s="152">
        <f t="shared" si="2"/>
        <v>0.28903214500857266</v>
      </c>
      <c r="Q660" s="50">
        <v>9356115.0500000007</v>
      </c>
      <c r="R660" s="50"/>
      <c r="S660" s="50"/>
      <c r="T660" s="50"/>
      <c r="U660" s="159"/>
    </row>
    <row r="661" spans="1:21" hidden="1" x14ac:dyDescent="0.25">
      <c r="A661" s="49" t="s">
        <v>716</v>
      </c>
      <c r="B661" s="49" t="s">
        <v>86</v>
      </c>
      <c r="C661" s="49" t="s">
        <v>87</v>
      </c>
      <c r="D661" s="49" t="s">
        <v>69</v>
      </c>
      <c r="E661" s="50">
        <v>16387600</v>
      </c>
      <c r="F661" s="50">
        <v>16387600</v>
      </c>
      <c r="G661" s="50">
        <v>16387600</v>
      </c>
      <c r="H661" s="50">
        <v>0</v>
      </c>
      <c r="I661" s="50">
        <v>0</v>
      </c>
      <c r="J661" s="50">
        <v>0</v>
      </c>
      <c r="K661" s="50">
        <v>9494365.5</v>
      </c>
      <c r="L661" s="151">
        <f t="shared" si="0"/>
        <v>0.57936278039493272</v>
      </c>
      <c r="M661" s="50">
        <v>9494365.5</v>
      </c>
      <c r="N661" s="152">
        <f t="shared" si="1"/>
        <v>0.57936278039493272</v>
      </c>
      <c r="O661" s="50">
        <v>6893234.5</v>
      </c>
      <c r="P661" s="152">
        <f t="shared" si="2"/>
        <v>0.42063721960506723</v>
      </c>
      <c r="Q661" s="50">
        <v>6893234.5</v>
      </c>
      <c r="R661" s="50"/>
      <c r="S661" s="50"/>
      <c r="T661" s="50"/>
      <c r="U661" s="159"/>
    </row>
    <row r="662" spans="1:21" hidden="1" x14ac:dyDescent="0.25">
      <c r="A662" s="49" t="s">
        <v>716</v>
      </c>
      <c r="B662" s="49" t="s">
        <v>88</v>
      </c>
      <c r="C662" s="49" t="s">
        <v>89</v>
      </c>
      <c r="D662" s="49" t="s">
        <v>69</v>
      </c>
      <c r="E662" s="50">
        <v>32139100</v>
      </c>
      <c r="F662" s="50">
        <v>32139100</v>
      </c>
      <c r="G662" s="50">
        <v>32139100</v>
      </c>
      <c r="H662" s="50">
        <v>0</v>
      </c>
      <c r="I662" s="50">
        <v>0</v>
      </c>
      <c r="J662" s="50">
        <v>0</v>
      </c>
      <c r="K662" s="50">
        <v>25531205.539999999</v>
      </c>
      <c r="L662" s="151">
        <f t="shared" si="0"/>
        <v>0.79439702854155836</v>
      </c>
      <c r="M662" s="50">
        <v>25531205.539999999</v>
      </c>
      <c r="N662" s="152">
        <f t="shared" si="1"/>
        <v>0.79439702854155836</v>
      </c>
      <c r="O662" s="50">
        <v>6607894.46</v>
      </c>
      <c r="P662" s="152">
        <f t="shared" si="2"/>
        <v>0.20560297145844159</v>
      </c>
      <c r="Q662" s="50">
        <v>6607894.46</v>
      </c>
      <c r="R662" s="50"/>
      <c r="S662" s="50"/>
      <c r="T662" s="50"/>
      <c r="U662" s="159"/>
    </row>
    <row r="663" spans="1:21" hidden="1" x14ac:dyDescent="0.25">
      <c r="A663" s="49" t="s">
        <v>716</v>
      </c>
      <c r="B663" s="49" t="s">
        <v>83</v>
      </c>
      <c r="C663" s="49" t="s">
        <v>84</v>
      </c>
      <c r="D663" s="49" t="s">
        <v>85</v>
      </c>
      <c r="E663" s="50">
        <v>17806196</v>
      </c>
      <c r="F663" s="50">
        <v>17694597</v>
      </c>
      <c r="G663" s="50">
        <v>17694597</v>
      </c>
      <c r="H663" s="50">
        <v>0</v>
      </c>
      <c r="I663" s="50">
        <v>0</v>
      </c>
      <c r="J663" s="50">
        <v>0</v>
      </c>
      <c r="K663" s="50">
        <v>0</v>
      </c>
      <c r="L663" s="151">
        <f t="shared" si="0"/>
        <v>0</v>
      </c>
      <c r="M663" s="50">
        <v>0</v>
      </c>
      <c r="N663" s="152">
        <f t="shared" si="1"/>
        <v>0</v>
      </c>
      <c r="O663" s="50">
        <v>17694597</v>
      </c>
      <c r="P663" s="152">
        <f t="shared" si="2"/>
        <v>1</v>
      </c>
      <c r="Q663" s="50">
        <v>17694597</v>
      </c>
      <c r="R663" s="50"/>
      <c r="S663" s="50"/>
      <c r="T663" s="50"/>
      <c r="U663" s="159"/>
    </row>
    <row r="664" spans="1:21" hidden="1" x14ac:dyDescent="0.25">
      <c r="A664" s="49" t="s">
        <v>716</v>
      </c>
      <c r="B664" s="49" t="s">
        <v>90</v>
      </c>
      <c r="C664" s="49" t="s">
        <v>91</v>
      </c>
      <c r="D664" s="49" t="s">
        <v>69</v>
      </c>
      <c r="E664" s="50">
        <v>20841515</v>
      </c>
      <c r="F664" s="50">
        <v>20710893</v>
      </c>
      <c r="G664" s="50">
        <v>20710893</v>
      </c>
      <c r="H664" s="50">
        <v>0</v>
      </c>
      <c r="I664" s="50">
        <v>5638356</v>
      </c>
      <c r="J664" s="50">
        <v>0</v>
      </c>
      <c r="K664" s="50">
        <v>14941775</v>
      </c>
      <c r="L664" s="151">
        <f t="shared" si="0"/>
        <v>0.72144523174350816</v>
      </c>
      <c r="M664" s="50">
        <v>14941775</v>
      </c>
      <c r="N664" s="152">
        <f t="shared" si="1"/>
        <v>0.72144523174350816</v>
      </c>
      <c r="O664" s="50">
        <v>130762</v>
      </c>
      <c r="P664" s="152">
        <f t="shared" si="2"/>
        <v>6.3136823699489926E-3</v>
      </c>
      <c r="Q664" s="50">
        <v>130762</v>
      </c>
      <c r="R664" s="50"/>
      <c r="S664" s="50"/>
      <c r="T664" s="50"/>
      <c r="U664" s="159"/>
    </row>
    <row r="665" spans="1:21" hidden="1" x14ac:dyDescent="0.25">
      <c r="A665" s="49" t="s">
        <v>716</v>
      </c>
      <c r="B665" s="49" t="s">
        <v>426</v>
      </c>
      <c r="C665" s="49" t="s">
        <v>697</v>
      </c>
      <c r="D665" s="49" t="s">
        <v>69</v>
      </c>
      <c r="E665" s="50">
        <v>19772804</v>
      </c>
      <c r="F665" s="50">
        <v>19648880</v>
      </c>
      <c r="G665" s="50">
        <v>19648880</v>
      </c>
      <c r="H665" s="50">
        <v>0</v>
      </c>
      <c r="I665" s="50">
        <v>5349293</v>
      </c>
      <c r="J665" s="50">
        <v>0</v>
      </c>
      <c r="K665" s="50">
        <v>14175531</v>
      </c>
      <c r="L665" s="151">
        <f t="shared" si="0"/>
        <v>0.72144218907133639</v>
      </c>
      <c r="M665" s="50">
        <v>14175531</v>
      </c>
      <c r="N665" s="152">
        <f t="shared" si="1"/>
        <v>0.72144218907133639</v>
      </c>
      <c r="O665" s="50">
        <v>124056</v>
      </c>
      <c r="P665" s="152">
        <f t="shared" si="2"/>
        <v>6.3136423042941892E-3</v>
      </c>
      <c r="Q665" s="50">
        <v>124056</v>
      </c>
      <c r="R665" s="50"/>
      <c r="S665" s="50"/>
      <c r="T665" s="50"/>
      <c r="U665" s="159"/>
    </row>
    <row r="666" spans="1:21" hidden="1" x14ac:dyDescent="0.25">
      <c r="A666" s="49" t="s">
        <v>716</v>
      </c>
      <c r="B666" s="49" t="s">
        <v>443</v>
      </c>
      <c r="C666" s="49" t="s">
        <v>95</v>
      </c>
      <c r="D666" s="49" t="s">
        <v>69</v>
      </c>
      <c r="E666" s="50">
        <v>1068711</v>
      </c>
      <c r="F666" s="50">
        <v>1062013</v>
      </c>
      <c r="G666" s="50">
        <v>1062013</v>
      </c>
      <c r="H666" s="50">
        <v>0</v>
      </c>
      <c r="I666" s="50">
        <v>289063</v>
      </c>
      <c r="J666" s="50">
        <v>0</v>
      </c>
      <c r="K666" s="50">
        <v>766244</v>
      </c>
      <c r="L666" s="151">
        <f t="shared" si="0"/>
        <v>0.72150152587586025</v>
      </c>
      <c r="M666" s="50">
        <v>766244</v>
      </c>
      <c r="N666" s="152">
        <f t="shared" si="1"/>
        <v>0.72150152587586025</v>
      </c>
      <c r="O666" s="50">
        <v>6706</v>
      </c>
      <c r="P666" s="152">
        <f t="shared" si="2"/>
        <v>6.3144236464148743E-3</v>
      </c>
      <c r="Q666" s="50">
        <v>6706</v>
      </c>
      <c r="R666" s="50"/>
      <c r="S666" s="50"/>
      <c r="T666" s="50"/>
      <c r="U666" s="159"/>
    </row>
    <row r="667" spans="1:21" hidden="1" x14ac:dyDescent="0.25">
      <c r="A667" s="49" t="s">
        <v>716</v>
      </c>
      <c r="B667" s="49" t="s">
        <v>96</v>
      </c>
      <c r="C667" s="49" t="s">
        <v>97</v>
      </c>
      <c r="D667" s="49" t="s">
        <v>69</v>
      </c>
      <c r="E667" s="50">
        <v>20841515</v>
      </c>
      <c r="F667" s="50">
        <v>20710894</v>
      </c>
      <c r="G667" s="50">
        <v>20110894</v>
      </c>
      <c r="H667" s="50">
        <v>0</v>
      </c>
      <c r="I667" s="50">
        <v>5065181</v>
      </c>
      <c r="J667" s="50">
        <v>0</v>
      </c>
      <c r="K667" s="50">
        <v>14914950</v>
      </c>
      <c r="L667" s="151">
        <f t="shared" si="0"/>
        <v>0.72014998483406845</v>
      </c>
      <c r="M667" s="50">
        <v>14914950</v>
      </c>
      <c r="N667" s="152">
        <f t="shared" si="1"/>
        <v>0.72014998483406845</v>
      </c>
      <c r="O667" s="50">
        <v>730763</v>
      </c>
      <c r="P667" s="152">
        <f t="shared" si="2"/>
        <v>3.5283991120808211E-2</v>
      </c>
      <c r="Q667" s="50">
        <v>130763</v>
      </c>
      <c r="R667" s="50"/>
      <c r="S667" s="50"/>
      <c r="T667" s="50"/>
      <c r="U667" s="159"/>
    </row>
    <row r="668" spans="1:21" hidden="1" x14ac:dyDescent="0.25">
      <c r="A668" s="49" t="s">
        <v>716</v>
      </c>
      <c r="B668" s="49" t="s">
        <v>461</v>
      </c>
      <c r="C668" s="49" t="s">
        <v>698</v>
      </c>
      <c r="D668" s="49" t="s">
        <v>69</v>
      </c>
      <c r="E668" s="50">
        <v>11222416</v>
      </c>
      <c r="F668" s="50">
        <v>11152081</v>
      </c>
      <c r="G668" s="50">
        <v>11152081</v>
      </c>
      <c r="H668" s="50">
        <v>0</v>
      </c>
      <c r="I668" s="50">
        <v>3062925</v>
      </c>
      <c r="J668" s="50">
        <v>0</v>
      </c>
      <c r="K668" s="50">
        <v>8018746</v>
      </c>
      <c r="L668" s="151">
        <f t="shared" si="0"/>
        <v>0.719035846314244</v>
      </c>
      <c r="M668" s="50">
        <v>8018746</v>
      </c>
      <c r="N668" s="152">
        <f t="shared" si="1"/>
        <v>0.719035846314244</v>
      </c>
      <c r="O668" s="50">
        <v>70410</v>
      </c>
      <c r="P668" s="152">
        <f t="shared" si="2"/>
        <v>6.3136198526535089E-3</v>
      </c>
      <c r="Q668" s="50">
        <v>70410</v>
      </c>
      <c r="R668" s="50"/>
      <c r="S668" s="50"/>
      <c r="T668" s="50"/>
      <c r="U668" s="159"/>
    </row>
    <row r="669" spans="1:21" hidden="1" x14ac:dyDescent="0.25">
      <c r="A669" s="49" t="s">
        <v>716</v>
      </c>
      <c r="B669" s="49" t="s">
        <v>478</v>
      </c>
      <c r="C669" s="49" t="s">
        <v>699</v>
      </c>
      <c r="D669" s="49" t="s">
        <v>69</v>
      </c>
      <c r="E669" s="50">
        <v>3206333</v>
      </c>
      <c r="F669" s="50">
        <v>3186238</v>
      </c>
      <c r="G669" s="50">
        <v>3186238</v>
      </c>
      <c r="H669" s="50">
        <v>0</v>
      </c>
      <c r="I669" s="50">
        <v>867386</v>
      </c>
      <c r="J669" s="50">
        <v>0</v>
      </c>
      <c r="K669" s="50">
        <v>2298734</v>
      </c>
      <c r="L669" s="151">
        <f t="shared" si="0"/>
        <v>0.72145709140371816</v>
      </c>
      <c r="M669" s="50">
        <v>2298734</v>
      </c>
      <c r="N669" s="152">
        <f t="shared" si="1"/>
        <v>0.72145709140371816</v>
      </c>
      <c r="O669" s="50">
        <v>20118</v>
      </c>
      <c r="P669" s="152">
        <f t="shared" si="2"/>
        <v>6.3140292721384902E-3</v>
      </c>
      <c r="Q669" s="50">
        <v>20118</v>
      </c>
      <c r="R669" s="50"/>
      <c r="S669" s="50"/>
      <c r="T669" s="50"/>
      <c r="U669" s="159"/>
    </row>
    <row r="670" spans="1:21" hidden="1" x14ac:dyDescent="0.25">
      <c r="A670" s="49" t="s">
        <v>716</v>
      </c>
      <c r="B670" s="49" t="s">
        <v>495</v>
      </c>
      <c r="C670" s="49" t="s">
        <v>700</v>
      </c>
      <c r="D670" s="49" t="s">
        <v>69</v>
      </c>
      <c r="E670" s="50">
        <v>6412766</v>
      </c>
      <c r="F670" s="50">
        <v>6372575</v>
      </c>
      <c r="G670" s="50">
        <v>5772575</v>
      </c>
      <c r="H670" s="50">
        <v>0</v>
      </c>
      <c r="I670" s="50">
        <v>1134870</v>
      </c>
      <c r="J670" s="50">
        <v>0</v>
      </c>
      <c r="K670" s="50">
        <v>4597470</v>
      </c>
      <c r="L670" s="151">
        <f t="shared" si="0"/>
        <v>0.72144619718088843</v>
      </c>
      <c r="M670" s="50">
        <v>4597470</v>
      </c>
      <c r="N670" s="152">
        <f t="shared" si="1"/>
        <v>0.72144619718088843</v>
      </c>
      <c r="O670" s="50">
        <v>640235</v>
      </c>
      <c r="P670" s="152">
        <f t="shared" si="2"/>
        <v>0.10046723655665096</v>
      </c>
      <c r="Q670" s="50">
        <v>40235</v>
      </c>
      <c r="R670" s="50"/>
      <c r="S670" s="50"/>
      <c r="T670" s="50"/>
      <c r="U670" s="159"/>
    </row>
    <row r="671" spans="1:21" hidden="1" x14ac:dyDescent="0.25">
      <c r="A671" s="49" t="s">
        <v>716</v>
      </c>
      <c r="B671" s="49" t="s">
        <v>104</v>
      </c>
      <c r="C671" s="49" t="s">
        <v>105</v>
      </c>
      <c r="D671" s="49" t="s">
        <v>69</v>
      </c>
      <c r="E671" s="50">
        <v>6929448400</v>
      </c>
      <c r="F671" s="50">
        <v>6685003400</v>
      </c>
      <c r="G671" s="50">
        <v>6685003400</v>
      </c>
      <c r="H671" s="50">
        <v>0</v>
      </c>
      <c r="I671" s="50">
        <v>284451.24</v>
      </c>
      <c r="J671" s="50">
        <v>0</v>
      </c>
      <c r="K671" s="50">
        <v>4132300092.1199999</v>
      </c>
      <c r="L671" s="151">
        <f t="shared" si="0"/>
        <v>0.61814480036315311</v>
      </c>
      <c r="M671" s="50">
        <v>4132300092.1199999</v>
      </c>
      <c r="N671" s="152">
        <f t="shared" si="1"/>
        <v>0.61814480036315311</v>
      </c>
      <c r="O671" s="50">
        <v>2552418856.6399999</v>
      </c>
      <c r="P671" s="152">
        <f t="shared" si="2"/>
        <v>0.3818126489868352</v>
      </c>
      <c r="Q671" s="50">
        <v>2552418856.6399999</v>
      </c>
      <c r="R671" s="50"/>
      <c r="S671" s="50"/>
      <c r="T671" s="50"/>
      <c r="U671" s="159"/>
    </row>
    <row r="672" spans="1:21" hidden="1" x14ac:dyDescent="0.25">
      <c r="A672" s="49" t="s">
        <v>716</v>
      </c>
      <c r="B672" s="49" t="s">
        <v>106</v>
      </c>
      <c r="C672" s="49" t="s">
        <v>107</v>
      </c>
      <c r="D672" s="49" t="s">
        <v>69</v>
      </c>
      <c r="E672" s="50">
        <v>6927908871</v>
      </c>
      <c r="F672" s="50">
        <v>6677908871</v>
      </c>
      <c r="G672" s="50">
        <v>6677908871</v>
      </c>
      <c r="H672" s="50">
        <v>0</v>
      </c>
      <c r="I672" s="50">
        <v>0</v>
      </c>
      <c r="J672" s="50">
        <v>0</v>
      </c>
      <c r="K672" s="50">
        <v>4131814779.3600001</v>
      </c>
      <c r="L672" s="151">
        <f t="shared" si="0"/>
        <v>0.61872883550464974</v>
      </c>
      <c r="M672" s="50">
        <v>4131814779.3600001</v>
      </c>
      <c r="N672" s="152">
        <f t="shared" si="1"/>
        <v>0.61872883550464974</v>
      </c>
      <c r="O672" s="50">
        <v>2546094091.6399999</v>
      </c>
      <c r="P672" s="152">
        <f t="shared" si="2"/>
        <v>0.38127116449535026</v>
      </c>
      <c r="Q672" s="50">
        <v>2546094091.6399999</v>
      </c>
      <c r="R672" s="50"/>
      <c r="S672" s="50"/>
      <c r="T672" s="50"/>
      <c r="U672" s="159"/>
    </row>
    <row r="673" spans="1:21" hidden="1" x14ac:dyDescent="0.25">
      <c r="A673" s="49" t="s">
        <v>716</v>
      </c>
      <c r="B673" s="49" t="s">
        <v>110</v>
      </c>
      <c r="C673" s="49" t="s">
        <v>111</v>
      </c>
      <c r="D673" s="49" t="s">
        <v>69</v>
      </c>
      <c r="E673" s="50">
        <v>6927908871</v>
      </c>
      <c r="F673" s="50">
        <v>6677908871</v>
      </c>
      <c r="G673" s="50">
        <v>6677908871</v>
      </c>
      <c r="H673" s="50">
        <v>0</v>
      </c>
      <c r="I673" s="50">
        <v>0</v>
      </c>
      <c r="J673" s="50">
        <v>0</v>
      </c>
      <c r="K673" s="50">
        <v>4131814779.3600001</v>
      </c>
      <c r="L673" s="151">
        <f t="shared" si="0"/>
        <v>0.61872883550464974</v>
      </c>
      <c r="M673" s="50">
        <v>4131814779.3600001</v>
      </c>
      <c r="N673" s="152">
        <f t="shared" si="1"/>
        <v>0.61872883550464974</v>
      </c>
      <c r="O673" s="50">
        <v>2546094091.6399999</v>
      </c>
      <c r="P673" s="152">
        <f t="shared" si="2"/>
        <v>0.38127116449535026</v>
      </c>
      <c r="Q673" s="50">
        <v>2546094091.6399999</v>
      </c>
      <c r="R673" s="50"/>
      <c r="S673" s="50"/>
      <c r="T673" s="50"/>
      <c r="U673" s="159"/>
    </row>
    <row r="674" spans="1:21" hidden="1" x14ac:dyDescent="0.25">
      <c r="A674" s="49" t="s">
        <v>716</v>
      </c>
      <c r="B674" s="49" t="s">
        <v>112</v>
      </c>
      <c r="C674" s="49" t="s">
        <v>113</v>
      </c>
      <c r="D674" s="49" t="s">
        <v>69</v>
      </c>
      <c r="E674" s="50">
        <v>1539529</v>
      </c>
      <c r="F674" s="50">
        <v>1539529</v>
      </c>
      <c r="G674" s="50">
        <v>1539529</v>
      </c>
      <c r="H674" s="50">
        <v>0</v>
      </c>
      <c r="I674" s="50">
        <v>284451.24</v>
      </c>
      <c r="J674" s="50">
        <v>0</v>
      </c>
      <c r="K674" s="50">
        <v>485312.76</v>
      </c>
      <c r="L674" s="151">
        <f t="shared" si="0"/>
        <v>0.31523456849464998</v>
      </c>
      <c r="M674" s="50">
        <v>485312.76</v>
      </c>
      <c r="N674" s="152">
        <f t="shared" si="1"/>
        <v>0.31523456849464998</v>
      </c>
      <c r="O674" s="50">
        <v>769765</v>
      </c>
      <c r="P674" s="152">
        <f t="shared" si="2"/>
        <v>0.50000032477465506</v>
      </c>
      <c r="Q674" s="50">
        <v>769765</v>
      </c>
      <c r="R674" s="50"/>
      <c r="S674" s="50"/>
      <c r="T674" s="50"/>
      <c r="U674" s="159"/>
    </row>
    <row r="675" spans="1:21" x14ac:dyDescent="0.25">
      <c r="A675" s="165" t="s">
        <v>716</v>
      </c>
      <c r="B675" s="165" t="s">
        <v>120</v>
      </c>
      <c r="C675" s="165" t="s">
        <v>121</v>
      </c>
      <c r="D675" s="165" t="s">
        <v>69</v>
      </c>
      <c r="E675" s="166">
        <v>1539529</v>
      </c>
      <c r="F675" s="166">
        <v>1539529</v>
      </c>
      <c r="G675" s="166">
        <v>1539529</v>
      </c>
      <c r="H675" s="166">
        <v>0</v>
      </c>
      <c r="I675" s="166">
        <v>284451.24</v>
      </c>
      <c r="J675" s="166">
        <v>0</v>
      </c>
      <c r="K675" s="166">
        <v>485312.76</v>
      </c>
      <c r="L675" s="167">
        <f t="shared" si="0"/>
        <v>0.31523456849464998</v>
      </c>
      <c r="M675" s="166">
        <v>485312.76</v>
      </c>
      <c r="N675" s="168">
        <f t="shared" si="1"/>
        <v>0.31523456849464998</v>
      </c>
      <c r="O675" s="166">
        <v>769765</v>
      </c>
      <c r="P675" s="168">
        <f t="shared" si="2"/>
        <v>0.50000032477465506</v>
      </c>
      <c r="Q675" s="50">
        <v>769765</v>
      </c>
      <c r="R675" s="166"/>
      <c r="S675" s="166"/>
      <c r="T675" s="166"/>
      <c r="U675" s="159"/>
    </row>
    <row r="676" spans="1:21" hidden="1" x14ac:dyDescent="0.25">
      <c r="A676" s="165" t="s">
        <v>716</v>
      </c>
      <c r="B676" s="165" t="s">
        <v>140</v>
      </c>
      <c r="C676" s="165" t="s">
        <v>141</v>
      </c>
      <c r="D676" s="165" t="s">
        <v>69</v>
      </c>
      <c r="E676" s="166">
        <v>0</v>
      </c>
      <c r="F676" s="166">
        <v>0</v>
      </c>
      <c r="G676" s="166">
        <v>0</v>
      </c>
      <c r="H676" s="166">
        <v>0</v>
      </c>
      <c r="I676" s="166">
        <v>0</v>
      </c>
      <c r="J676" s="166">
        <v>0</v>
      </c>
      <c r="K676" s="166">
        <v>0</v>
      </c>
      <c r="L676" s="167" t="e">
        <f t="shared" si="0"/>
        <v>#DIV/0!</v>
      </c>
      <c r="M676" s="166">
        <v>0</v>
      </c>
      <c r="N676" s="168" t="e">
        <f t="shared" si="1"/>
        <v>#DIV/0!</v>
      </c>
      <c r="O676" s="166">
        <v>0</v>
      </c>
      <c r="P676" s="168" t="e">
        <f t="shared" si="2"/>
        <v>#DIV/0!</v>
      </c>
      <c r="Q676" s="50">
        <v>0</v>
      </c>
      <c r="R676" s="166"/>
      <c r="S676" s="166"/>
      <c r="T676" s="166"/>
      <c r="U676" s="44"/>
    </row>
    <row r="677" spans="1:21" hidden="1" x14ac:dyDescent="0.25">
      <c r="A677" s="165" t="s">
        <v>716</v>
      </c>
      <c r="B677" s="165" t="s">
        <v>144</v>
      </c>
      <c r="C677" s="165" t="s">
        <v>145</v>
      </c>
      <c r="D677" s="165" t="s">
        <v>69</v>
      </c>
      <c r="E677" s="166">
        <v>0</v>
      </c>
      <c r="F677" s="166">
        <v>0</v>
      </c>
      <c r="G677" s="166">
        <v>0</v>
      </c>
      <c r="H677" s="166">
        <v>0</v>
      </c>
      <c r="I677" s="166">
        <v>0</v>
      </c>
      <c r="J677" s="166">
        <v>0</v>
      </c>
      <c r="K677" s="166">
        <v>0</v>
      </c>
      <c r="L677" s="167" t="e">
        <f t="shared" si="0"/>
        <v>#DIV/0!</v>
      </c>
      <c r="M677" s="166">
        <v>0</v>
      </c>
      <c r="N677" s="168" t="e">
        <f t="shared" si="1"/>
        <v>#DIV/0!</v>
      </c>
      <c r="O677" s="166">
        <v>0</v>
      </c>
      <c r="P677" s="168" t="e">
        <f t="shared" si="2"/>
        <v>#DIV/0!</v>
      </c>
      <c r="Q677" s="50">
        <v>0</v>
      </c>
      <c r="R677" s="166"/>
      <c r="S677" s="166"/>
      <c r="T677" s="166"/>
      <c r="U677" s="44"/>
    </row>
    <row r="678" spans="1:21" hidden="1" x14ac:dyDescent="0.25">
      <c r="A678" s="165" t="s">
        <v>716</v>
      </c>
      <c r="B678" s="165" t="s">
        <v>178</v>
      </c>
      <c r="C678" s="165" t="s">
        <v>179</v>
      </c>
      <c r="D678" s="165" t="s">
        <v>69</v>
      </c>
      <c r="E678" s="166">
        <v>0</v>
      </c>
      <c r="F678" s="166">
        <v>5555000</v>
      </c>
      <c r="G678" s="166">
        <v>5555000</v>
      </c>
      <c r="H678" s="166">
        <v>0</v>
      </c>
      <c r="I678" s="166">
        <v>0</v>
      </c>
      <c r="J678" s="166">
        <v>0</v>
      </c>
      <c r="K678" s="166">
        <v>0</v>
      </c>
      <c r="L678" s="167">
        <f t="shared" si="0"/>
        <v>0</v>
      </c>
      <c r="M678" s="166">
        <v>0</v>
      </c>
      <c r="N678" s="168">
        <f t="shared" si="1"/>
        <v>0</v>
      </c>
      <c r="O678" s="166">
        <v>5555000</v>
      </c>
      <c r="P678" s="168">
        <f t="shared" si="2"/>
        <v>1</v>
      </c>
      <c r="Q678" s="50">
        <v>5555000</v>
      </c>
      <c r="R678" s="166"/>
      <c r="S678" s="166"/>
      <c r="T678" s="166"/>
      <c r="U678" s="44"/>
    </row>
    <row r="679" spans="1:21" x14ac:dyDescent="0.25">
      <c r="A679" s="165" t="s">
        <v>716</v>
      </c>
      <c r="B679" s="165" t="s">
        <v>180</v>
      </c>
      <c r="C679" s="165" t="s">
        <v>181</v>
      </c>
      <c r="D679" s="165" t="s">
        <v>69</v>
      </c>
      <c r="E679" s="166">
        <v>0</v>
      </c>
      <c r="F679" s="166">
        <v>5555000</v>
      </c>
      <c r="G679" s="166">
        <v>5555000</v>
      </c>
      <c r="H679" s="166">
        <v>0</v>
      </c>
      <c r="I679" s="166">
        <v>0</v>
      </c>
      <c r="J679" s="166">
        <v>0</v>
      </c>
      <c r="K679" s="166">
        <v>0</v>
      </c>
      <c r="L679" s="167">
        <f t="shared" si="0"/>
        <v>0</v>
      </c>
      <c r="M679" s="166">
        <v>0</v>
      </c>
      <c r="N679" s="168">
        <f t="shared" si="1"/>
        <v>0</v>
      </c>
      <c r="O679" s="166">
        <v>5555000</v>
      </c>
      <c r="P679" s="168">
        <f t="shared" si="2"/>
        <v>1</v>
      </c>
      <c r="Q679" s="50">
        <v>5555000</v>
      </c>
      <c r="R679" s="166">
        <v>555500</v>
      </c>
      <c r="S679" s="166"/>
      <c r="T679" s="166"/>
      <c r="U679" s="160"/>
    </row>
    <row r="680" spans="1:21" hidden="1" x14ac:dyDescent="0.25">
      <c r="A680" s="165" t="s">
        <v>716</v>
      </c>
      <c r="B680" s="165" t="s">
        <v>248</v>
      </c>
      <c r="C680" s="165" t="s">
        <v>249</v>
      </c>
      <c r="D680" s="165" t="s">
        <v>69</v>
      </c>
      <c r="E680" s="166">
        <v>5048260</v>
      </c>
      <c r="F680" s="166">
        <v>5026021</v>
      </c>
      <c r="G680" s="166">
        <v>5026021</v>
      </c>
      <c r="H680" s="166">
        <v>0</v>
      </c>
      <c r="I680" s="166">
        <v>986651</v>
      </c>
      <c r="J680" s="166">
        <v>0</v>
      </c>
      <c r="K680" s="166">
        <v>2703418</v>
      </c>
      <c r="L680" s="167">
        <f t="shared" si="0"/>
        <v>0.53788434230577231</v>
      </c>
      <c r="M680" s="166">
        <v>2703418</v>
      </c>
      <c r="N680" s="168">
        <f t="shared" si="1"/>
        <v>0.53788434230577231</v>
      </c>
      <c r="O680" s="166">
        <v>1335952</v>
      </c>
      <c r="P680" s="168">
        <f t="shared" si="2"/>
        <v>0.26580708675908837</v>
      </c>
      <c r="Q680" s="50">
        <v>1335952</v>
      </c>
      <c r="R680" s="166"/>
      <c r="S680" s="166"/>
      <c r="T680" s="166"/>
      <c r="U680" s="44"/>
    </row>
    <row r="681" spans="1:21" hidden="1" x14ac:dyDescent="0.25">
      <c r="A681" s="165" t="s">
        <v>716</v>
      </c>
      <c r="B681" s="165" t="s">
        <v>250</v>
      </c>
      <c r="C681" s="165" t="s">
        <v>251</v>
      </c>
      <c r="D681" s="165" t="s">
        <v>69</v>
      </c>
      <c r="E681" s="166">
        <v>3548260</v>
      </c>
      <c r="F681" s="166">
        <v>3526021</v>
      </c>
      <c r="G681" s="166">
        <v>3526021</v>
      </c>
      <c r="H681" s="166">
        <v>0</v>
      </c>
      <c r="I681" s="166">
        <v>986651</v>
      </c>
      <c r="J681" s="166">
        <v>0</v>
      </c>
      <c r="K681" s="166">
        <v>2517107</v>
      </c>
      <c r="L681" s="167">
        <f t="shared" si="0"/>
        <v>0.71386613976490776</v>
      </c>
      <c r="M681" s="166">
        <v>2517107</v>
      </c>
      <c r="N681" s="168">
        <f t="shared" si="1"/>
        <v>0.71386613976490776</v>
      </c>
      <c r="O681" s="166">
        <v>22263</v>
      </c>
      <c r="P681" s="168">
        <f t="shared" si="2"/>
        <v>6.313915884221903E-3</v>
      </c>
      <c r="Q681" s="50">
        <v>22263</v>
      </c>
      <c r="R681" s="166"/>
      <c r="S681" s="166"/>
      <c r="T681" s="166"/>
      <c r="U681" s="44"/>
    </row>
    <row r="682" spans="1:21" hidden="1" x14ac:dyDescent="0.25">
      <c r="A682" s="165" t="s">
        <v>716</v>
      </c>
      <c r="B682" s="165" t="s">
        <v>635</v>
      </c>
      <c r="C682" s="165" t="s">
        <v>702</v>
      </c>
      <c r="D682" s="165" t="s">
        <v>69</v>
      </c>
      <c r="E682" s="166">
        <v>3013955</v>
      </c>
      <c r="F682" s="166">
        <v>2995065</v>
      </c>
      <c r="G682" s="166">
        <v>2995065</v>
      </c>
      <c r="H682" s="166">
        <v>0</v>
      </c>
      <c r="I682" s="166">
        <v>842170</v>
      </c>
      <c r="J682" s="166">
        <v>0</v>
      </c>
      <c r="K682" s="166">
        <v>2133985</v>
      </c>
      <c r="L682" s="167">
        <f t="shared" si="0"/>
        <v>0.71250039648555208</v>
      </c>
      <c r="M682" s="166">
        <v>2133985</v>
      </c>
      <c r="N682" s="168">
        <f t="shared" si="1"/>
        <v>0.71250039648555208</v>
      </c>
      <c r="O682" s="166">
        <v>18910</v>
      </c>
      <c r="P682" s="168">
        <f t="shared" si="2"/>
        <v>6.3137194017492109E-3</v>
      </c>
      <c r="Q682" s="50">
        <v>18910</v>
      </c>
      <c r="R682" s="166"/>
      <c r="S682" s="166"/>
      <c r="T682" s="166"/>
      <c r="U682" s="44"/>
    </row>
    <row r="683" spans="1:21" hidden="1" x14ac:dyDescent="0.25">
      <c r="A683" s="165" t="s">
        <v>716</v>
      </c>
      <c r="B683" s="165" t="s">
        <v>650</v>
      </c>
      <c r="C683" s="165" t="s">
        <v>703</v>
      </c>
      <c r="D683" s="165" t="s">
        <v>69</v>
      </c>
      <c r="E683" s="166">
        <v>534305</v>
      </c>
      <c r="F683" s="166">
        <v>530956</v>
      </c>
      <c r="G683" s="166">
        <v>530956</v>
      </c>
      <c r="H683" s="166">
        <v>0</v>
      </c>
      <c r="I683" s="166">
        <v>144481</v>
      </c>
      <c r="J683" s="166">
        <v>0</v>
      </c>
      <c r="K683" s="166">
        <v>383122</v>
      </c>
      <c r="L683" s="167">
        <f t="shared" si="0"/>
        <v>0.72157014893889515</v>
      </c>
      <c r="M683" s="166">
        <v>383122</v>
      </c>
      <c r="N683" s="168">
        <f t="shared" si="1"/>
        <v>0.72157014893889515</v>
      </c>
      <c r="O683" s="166">
        <v>3353</v>
      </c>
      <c r="P683" s="168">
        <f t="shared" si="2"/>
        <v>6.3150242204627121E-3</v>
      </c>
      <c r="Q683" s="50">
        <v>3353</v>
      </c>
      <c r="R683" s="166"/>
      <c r="S683" s="166"/>
      <c r="T683" s="166"/>
      <c r="U683" s="44"/>
    </row>
    <row r="684" spans="1:21" hidden="1" x14ac:dyDescent="0.25">
      <c r="A684" s="165" t="s">
        <v>716</v>
      </c>
      <c r="B684" s="165" t="s">
        <v>260</v>
      </c>
      <c r="C684" s="165" t="s">
        <v>261</v>
      </c>
      <c r="D684" s="165" t="s">
        <v>69</v>
      </c>
      <c r="E684" s="166">
        <v>1500000</v>
      </c>
      <c r="F684" s="166">
        <v>1500000</v>
      </c>
      <c r="G684" s="166">
        <v>1500000</v>
      </c>
      <c r="H684" s="166">
        <v>0</v>
      </c>
      <c r="I684" s="166">
        <v>0</v>
      </c>
      <c r="J684" s="166">
        <v>0</v>
      </c>
      <c r="K684" s="166">
        <v>186311</v>
      </c>
      <c r="L684" s="167">
        <f t="shared" si="0"/>
        <v>0.12420733333333334</v>
      </c>
      <c r="M684" s="166">
        <v>186311</v>
      </c>
      <c r="N684" s="168">
        <f t="shared" si="1"/>
        <v>0.12420733333333334</v>
      </c>
      <c r="O684" s="166">
        <v>1313689</v>
      </c>
      <c r="P684" s="168">
        <f t="shared" si="2"/>
        <v>0.87579266666666666</v>
      </c>
      <c r="Q684" s="50">
        <v>1313689</v>
      </c>
      <c r="R684" s="166"/>
      <c r="S684" s="166"/>
      <c r="T684" s="166"/>
      <c r="U684" s="44"/>
    </row>
    <row r="685" spans="1:21" x14ac:dyDescent="0.25">
      <c r="A685" s="165" t="s">
        <v>716</v>
      </c>
      <c r="B685" s="165" t="s">
        <v>264</v>
      </c>
      <c r="C685" s="165" t="s">
        <v>265</v>
      </c>
      <c r="D685" s="165" t="s">
        <v>69</v>
      </c>
      <c r="E685" s="166">
        <v>1500000</v>
      </c>
      <c r="F685" s="166">
        <v>1500000</v>
      </c>
      <c r="G685" s="166">
        <v>1500000</v>
      </c>
      <c r="H685" s="166">
        <v>0</v>
      </c>
      <c r="I685" s="166">
        <v>0</v>
      </c>
      <c r="J685" s="166">
        <v>0</v>
      </c>
      <c r="K685" s="166">
        <v>186311</v>
      </c>
      <c r="L685" s="167">
        <f t="shared" si="0"/>
        <v>0.12420733333333334</v>
      </c>
      <c r="M685" s="166">
        <v>186311</v>
      </c>
      <c r="N685" s="168">
        <f t="shared" si="1"/>
        <v>0.12420733333333334</v>
      </c>
      <c r="O685" s="166">
        <v>1313689</v>
      </c>
      <c r="P685" s="168">
        <f t="shared" si="2"/>
        <v>0.87579266666666666</v>
      </c>
      <c r="Q685" s="50">
        <v>1313689</v>
      </c>
      <c r="R685" s="166"/>
      <c r="S685" s="166"/>
      <c r="T685" s="166"/>
      <c r="U685" s="159"/>
    </row>
    <row r="686" spans="1:21" hidden="1" x14ac:dyDescent="0.25">
      <c r="A686" s="49">
        <v>214790</v>
      </c>
      <c r="B686" s="49"/>
      <c r="C686" s="49"/>
      <c r="D686" s="49" t="s">
        <v>69</v>
      </c>
      <c r="E686" s="50">
        <v>1417740073</v>
      </c>
      <c r="F686" s="50">
        <v>1271491809</v>
      </c>
      <c r="G686" s="50">
        <v>1252450256.0799999</v>
      </c>
      <c r="H686" s="50">
        <v>2472306.2599999998</v>
      </c>
      <c r="I686" s="50">
        <v>83185998.980000004</v>
      </c>
      <c r="J686" s="50">
        <v>87710.11</v>
      </c>
      <c r="K686" s="50">
        <v>846428577.73000002</v>
      </c>
      <c r="L686" s="151">
        <f t="shared" si="0"/>
        <v>0.6656972319748542</v>
      </c>
      <c r="M686" s="50">
        <v>840741397.77999997</v>
      </c>
      <c r="N686" s="152">
        <f t="shared" si="1"/>
        <v>0.66122439156035484</v>
      </c>
      <c r="O686" s="50">
        <v>339317215.92000002</v>
      </c>
      <c r="P686" s="152">
        <f t="shared" si="2"/>
        <v>0.26686543595342976</v>
      </c>
      <c r="Q686" s="50">
        <v>320275663</v>
      </c>
      <c r="R686" s="50"/>
      <c r="S686" s="50"/>
      <c r="T686" s="50"/>
      <c r="U686" s="159"/>
    </row>
    <row r="687" spans="1:21" hidden="1" x14ac:dyDescent="0.25">
      <c r="A687" s="49" t="s">
        <v>717</v>
      </c>
      <c r="B687" s="49" t="s">
        <v>71</v>
      </c>
      <c r="C687" s="49" t="s">
        <v>72</v>
      </c>
      <c r="D687" s="49" t="s">
        <v>69</v>
      </c>
      <c r="E687" s="50">
        <v>1125132721</v>
      </c>
      <c r="F687" s="50">
        <v>1096513206</v>
      </c>
      <c r="G687" s="50">
        <v>1077550819</v>
      </c>
      <c r="H687" s="50">
        <v>0</v>
      </c>
      <c r="I687" s="50">
        <v>36287488</v>
      </c>
      <c r="J687" s="50">
        <v>0</v>
      </c>
      <c r="K687" s="50">
        <v>779065680.96000004</v>
      </c>
      <c r="L687" s="151">
        <f t="shared" si="0"/>
        <v>0.71049365999154235</v>
      </c>
      <c r="M687" s="50">
        <v>779065680.96000004</v>
      </c>
      <c r="N687" s="152">
        <f t="shared" si="1"/>
        <v>0.71049365999154235</v>
      </c>
      <c r="O687" s="50">
        <v>281160037.04000002</v>
      </c>
      <c r="P687" s="152">
        <f t="shared" si="2"/>
        <v>0.25641281427485152</v>
      </c>
      <c r="Q687" s="50">
        <v>262197650.03999999</v>
      </c>
      <c r="R687" s="50"/>
      <c r="S687" s="50"/>
      <c r="T687" s="50"/>
      <c r="U687" s="159"/>
    </row>
    <row r="688" spans="1:21" hidden="1" x14ac:dyDescent="0.25">
      <c r="A688" s="49" t="s">
        <v>717</v>
      </c>
      <c r="B688" s="49" t="s">
        <v>73</v>
      </c>
      <c r="C688" s="49" t="s">
        <v>74</v>
      </c>
      <c r="D688" s="49" t="s">
        <v>69</v>
      </c>
      <c r="E688" s="50">
        <v>456307400</v>
      </c>
      <c r="F688" s="50">
        <v>441766100</v>
      </c>
      <c r="G688" s="50">
        <v>438060200</v>
      </c>
      <c r="H688" s="50">
        <v>0</v>
      </c>
      <c r="I688" s="50">
        <v>0</v>
      </c>
      <c r="J688" s="50">
        <v>0</v>
      </c>
      <c r="K688" s="50">
        <v>341578725.36000001</v>
      </c>
      <c r="L688" s="151">
        <f t="shared" si="0"/>
        <v>0.77321171850895765</v>
      </c>
      <c r="M688" s="50">
        <v>341578725.36000001</v>
      </c>
      <c r="N688" s="152">
        <f t="shared" si="1"/>
        <v>0.77321171850895765</v>
      </c>
      <c r="O688" s="50">
        <v>100187374.64</v>
      </c>
      <c r="P688" s="152">
        <f t="shared" si="2"/>
        <v>0.22678828149104244</v>
      </c>
      <c r="Q688" s="50">
        <v>96481474.640000001</v>
      </c>
      <c r="R688" s="50"/>
      <c r="S688" s="50"/>
      <c r="T688" s="50"/>
      <c r="U688" s="159"/>
    </row>
    <row r="689" spans="1:21" hidden="1" x14ac:dyDescent="0.25">
      <c r="A689" s="49" t="s">
        <v>717</v>
      </c>
      <c r="B689" s="49" t="s">
        <v>75</v>
      </c>
      <c r="C689" s="49" t="s">
        <v>76</v>
      </c>
      <c r="D689" s="49" t="s">
        <v>69</v>
      </c>
      <c r="E689" s="50">
        <v>456307400</v>
      </c>
      <c r="F689" s="50">
        <v>441766100</v>
      </c>
      <c r="G689" s="50">
        <v>438060200</v>
      </c>
      <c r="H689" s="50">
        <v>0</v>
      </c>
      <c r="I689" s="50">
        <v>0</v>
      </c>
      <c r="J689" s="50">
        <v>0</v>
      </c>
      <c r="K689" s="50">
        <v>341578725.36000001</v>
      </c>
      <c r="L689" s="151">
        <f t="shared" si="0"/>
        <v>0.77321171850895765</v>
      </c>
      <c r="M689" s="50">
        <v>341578725.36000001</v>
      </c>
      <c r="N689" s="152">
        <f t="shared" si="1"/>
        <v>0.77321171850895765</v>
      </c>
      <c r="O689" s="50">
        <v>100187374.64</v>
      </c>
      <c r="P689" s="152">
        <f t="shared" si="2"/>
        <v>0.22678828149104244</v>
      </c>
      <c r="Q689" s="50">
        <v>96481474.640000001</v>
      </c>
      <c r="R689" s="50"/>
      <c r="S689" s="50"/>
      <c r="T689" s="50"/>
      <c r="U689" s="159"/>
    </row>
    <row r="690" spans="1:21" hidden="1" x14ac:dyDescent="0.25">
      <c r="A690" s="49" t="s">
        <v>717</v>
      </c>
      <c r="B690" s="49" t="s">
        <v>77</v>
      </c>
      <c r="C690" s="49" t="s">
        <v>78</v>
      </c>
      <c r="D690" s="49" t="s">
        <v>69</v>
      </c>
      <c r="E690" s="50">
        <v>497190642</v>
      </c>
      <c r="F690" s="50">
        <v>488516531</v>
      </c>
      <c r="G690" s="50">
        <v>476489960</v>
      </c>
      <c r="H690" s="50">
        <v>0</v>
      </c>
      <c r="I690" s="50">
        <v>0</v>
      </c>
      <c r="J690" s="50">
        <v>0</v>
      </c>
      <c r="K690" s="50">
        <v>310773784.60000002</v>
      </c>
      <c r="L690" s="151">
        <f t="shared" si="0"/>
        <v>0.6361581745531556</v>
      </c>
      <c r="M690" s="50">
        <v>310773784.60000002</v>
      </c>
      <c r="N690" s="152">
        <f t="shared" si="1"/>
        <v>0.6361581745531556</v>
      </c>
      <c r="O690" s="50">
        <v>177742746.40000001</v>
      </c>
      <c r="P690" s="152">
        <f t="shared" si="2"/>
        <v>0.36384182544684451</v>
      </c>
      <c r="Q690" s="50">
        <v>165716175.40000001</v>
      </c>
      <c r="R690" s="50"/>
      <c r="S690" s="50"/>
      <c r="T690" s="50"/>
      <c r="U690" s="159"/>
    </row>
    <row r="691" spans="1:21" hidden="1" x14ac:dyDescent="0.25">
      <c r="A691" s="49" t="s">
        <v>717</v>
      </c>
      <c r="B691" s="49" t="s">
        <v>79</v>
      </c>
      <c r="C691" s="49" t="s">
        <v>80</v>
      </c>
      <c r="D691" s="49" t="s">
        <v>69</v>
      </c>
      <c r="E691" s="50">
        <v>91313600</v>
      </c>
      <c r="F691" s="50">
        <v>91313600</v>
      </c>
      <c r="G691" s="50">
        <v>84507129</v>
      </c>
      <c r="H691" s="50">
        <v>0</v>
      </c>
      <c r="I691" s="50">
        <v>0</v>
      </c>
      <c r="J691" s="50">
        <v>0</v>
      </c>
      <c r="K691" s="50">
        <v>70917177.519999996</v>
      </c>
      <c r="L691" s="151">
        <f t="shared" si="0"/>
        <v>0.77663324543112955</v>
      </c>
      <c r="M691" s="50">
        <v>70917177.519999996</v>
      </c>
      <c r="N691" s="152">
        <f t="shared" si="1"/>
        <v>0.77663324543112955</v>
      </c>
      <c r="O691" s="50">
        <v>20396422.48</v>
      </c>
      <c r="P691" s="152">
        <f t="shared" si="2"/>
        <v>0.22336675456887037</v>
      </c>
      <c r="Q691" s="50">
        <v>13589951.48</v>
      </c>
      <c r="R691" s="50"/>
      <c r="S691" s="50"/>
      <c r="T691" s="50"/>
      <c r="U691" s="159"/>
    </row>
    <row r="692" spans="1:21" hidden="1" x14ac:dyDescent="0.25">
      <c r="A692" s="49" t="s">
        <v>717</v>
      </c>
      <c r="B692" s="49" t="s">
        <v>81</v>
      </c>
      <c r="C692" s="49" t="s">
        <v>82</v>
      </c>
      <c r="D692" s="49" t="s">
        <v>69</v>
      </c>
      <c r="E692" s="50">
        <v>214869984</v>
      </c>
      <c r="F692" s="50">
        <v>209049915</v>
      </c>
      <c r="G692" s="50">
        <v>208123437</v>
      </c>
      <c r="H692" s="50">
        <v>0</v>
      </c>
      <c r="I692" s="50">
        <v>0</v>
      </c>
      <c r="J692" s="50">
        <v>0</v>
      </c>
      <c r="K692" s="50">
        <v>155772389.27000001</v>
      </c>
      <c r="L692" s="151">
        <f t="shared" si="0"/>
        <v>0.74514447551916019</v>
      </c>
      <c r="M692" s="50">
        <v>155772389.27000001</v>
      </c>
      <c r="N692" s="152">
        <f t="shared" si="1"/>
        <v>0.74514447551916019</v>
      </c>
      <c r="O692" s="50">
        <v>53277525.729999997</v>
      </c>
      <c r="P692" s="152">
        <f t="shared" si="2"/>
        <v>0.25485552448083987</v>
      </c>
      <c r="Q692" s="50">
        <v>52351047.729999997</v>
      </c>
      <c r="R692" s="50"/>
      <c r="S692" s="50"/>
      <c r="T692" s="50"/>
      <c r="U692" s="159"/>
    </row>
    <row r="693" spans="1:21" hidden="1" x14ac:dyDescent="0.25">
      <c r="A693" s="49" t="s">
        <v>717</v>
      </c>
      <c r="B693" s="49" t="s">
        <v>86</v>
      </c>
      <c r="C693" s="49" t="s">
        <v>87</v>
      </c>
      <c r="D693" s="49" t="s">
        <v>69</v>
      </c>
      <c r="E693" s="50">
        <v>67452900</v>
      </c>
      <c r="F693" s="50">
        <v>67452900</v>
      </c>
      <c r="G693" s="50">
        <v>67452900</v>
      </c>
      <c r="H693" s="50">
        <v>0</v>
      </c>
      <c r="I693" s="50">
        <v>0</v>
      </c>
      <c r="J693" s="50">
        <v>0</v>
      </c>
      <c r="K693" s="50">
        <v>49771766.130000003</v>
      </c>
      <c r="L693" s="151">
        <f t="shared" si="0"/>
        <v>0.7378743705607913</v>
      </c>
      <c r="M693" s="50">
        <v>49771766.130000003</v>
      </c>
      <c r="N693" s="152">
        <f t="shared" si="1"/>
        <v>0.7378743705607913</v>
      </c>
      <c r="O693" s="50">
        <v>17681133.870000001</v>
      </c>
      <c r="P693" s="152">
        <f t="shared" si="2"/>
        <v>0.2621256294392087</v>
      </c>
      <c r="Q693" s="50">
        <v>17681133.870000001</v>
      </c>
      <c r="R693" s="50"/>
      <c r="S693" s="50"/>
      <c r="T693" s="50"/>
      <c r="U693" s="159"/>
    </row>
    <row r="694" spans="1:21" hidden="1" x14ac:dyDescent="0.25">
      <c r="A694" s="49" t="s">
        <v>717</v>
      </c>
      <c r="B694" s="49" t="s">
        <v>88</v>
      </c>
      <c r="C694" s="49" t="s">
        <v>89</v>
      </c>
      <c r="D694" s="49" t="s">
        <v>69</v>
      </c>
      <c r="E694" s="50">
        <v>50235300</v>
      </c>
      <c r="F694" s="50">
        <v>49689780</v>
      </c>
      <c r="G694" s="50">
        <v>49553400</v>
      </c>
      <c r="H694" s="50">
        <v>0</v>
      </c>
      <c r="I694" s="50">
        <v>0</v>
      </c>
      <c r="J694" s="50">
        <v>0</v>
      </c>
      <c r="K694" s="50">
        <v>34278004.579999998</v>
      </c>
      <c r="L694" s="151">
        <f t="shared" si="0"/>
        <v>0.68984013573817393</v>
      </c>
      <c r="M694" s="50">
        <v>34278004.579999998</v>
      </c>
      <c r="N694" s="152">
        <f t="shared" si="1"/>
        <v>0.68984013573817393</v>
      </c>
      <c r="O694" s="50">
        <v>15411775.42</v>
      </c>
      <c r="P694" s="152">
        <f t="shared" si="2"/>
        <v>0.31015986426182607</v>
      </c>
      <c r="Q694" s="50">
        <v>15275395.42</v>
      </c>
      <c r="R694" s="50"/>
      <c r="S694" s="50"/>
      <c r="T694" s="50"/>
      <c r="U694" s="159"/>
    </row>
    <row r="695" spans="1:21" hidden="1" x14ac:dyDescent="0.25">
      <c r="A695" s="49" t="s">
        <v>717</v>
      </c>
      <c r="B695" s="49" t="s">
        <v>83</v>
      </c>
      <c r="C695" s="49" t="s">
        <v>84</v>
      </c>
      <c r="D695" s="49" t="s">
        <v>85</v>
      </c>
      <c r="E695" s="50">
        <v>73318858</v>
      </c>
      <c r="F695" s="50">
        <v>71010336</v>
      </c>
      <c r="G695" s="50">
        <v>66853094</v>
      </c>
      <c r="H695" s="50">
        <v>0</v>
      </c>
      <c r="I695" s="50">
        <v>0</v>
      </c>
      <c r="J695" s="50">
        <v>0</v>
      </c>
      <c r="K695" s="50">
        <v>34447.1</v>
      </c>
      <c r="L695" s="151">
        <f t="shared" si="0"/>
        <v>4.8509980293573034E-4</v>
      </c>
      <c r="M695" s="50">
        <v>34447.1</v>
      </c>
      <c r="N695" s="152">
        <f t="shared" si="1"/>
        <v>4.8509980293573034E-4</v>
      </c>
      <c r="O695" s="50">
        <v>70975888.900000006</v>
      </c>
      <c r="P695" s="152">
        <f t="shared" si="2"/>
        <v>0.99951490019706435</v>
      </c>
      <c r="Q695" s="50">
        <v>66818646.899999999</v>
      </c>
      <c r="R695" s="50"/>
      <c r="S695" s="50"/>
      <c r="T695" s="50"/>
      <c r="U695" s="159"/>
    </row>
    <row r="696" spans="1:21" hidden="1" x14ac:dyDescent="0.25">
      <c r="A696" s="49" t="s">
        <v>717</v>
      </c>
      <c r="B696" s="49" t="s">
        <v>90</v>
      </c>
      <c r="C696" s="49" t="s">
        <v>91</v>
      </c>
      <c r="D696" s="49" t="s">
        <v>69</v>
      </c>
      <c r="E696" s="50">
        <v>85817390</v>
      </c>
      <c r="F696" s="50">
        <v>83115337</v>
      </c>
      <c r="G696" s="50">
        <v>82650379</v>
      </c>
      <c r="H696" s="50">
        <v>0</v>
      </c>
      <c r="I696" s="50">
        <v>19201327</v>
      </c>
      <c r="J696" s="50">
        <v>0</v>
      </c>
      <c r="K696" s="50">
        <v>63449052</v>
      </c>
      <c r="L696" s="151">
        <f t="shared" si="0"/>
        <v>0.76338560715936221</v>
      </c>
      <c r="M696" s="50">
        <v>63449052</v>
      </c>
      <c r="N696" s="152">
        <f t="shared" si="1"/>
        <v>0.76338560715936221</v>
      </c>
      <c r="O696" s="50">
        <v>464958</v>
      </c>
      <c r="P696" s="152">
        <f t="shared" si="2"/>
        <v>5.5941299979328724E-3</v>
      </c>
      <c r="Q696" s="50">
        <v>0</v>
      </c>
      <c r="R696" s="50"/>
      <c r="S696" s="50"/>
      <c r="T696" s="50"/>
      <c r="U696" s="159"/>
    </row>
    <row r="697" spans="1:21" hidden="1" x14ac:dyDescent="0.25">
      <c r="A697" s="49" t="s">
        <v>717</v>
      </c>
      <c r="B697" s="49" t="s">
        <v>427</v>
      </c>
      <c r="C697" s="49" t="s">
        <v>697</v>
      </c>
      <c r="D697" s="49" t="s">
        <v>69</v>
      </c>
      <c r="E697" s="50">
        <v>81416555</v>
      </c>
      <c r="F697" s="50">
        <v>78853069</v>
      </c>
      <c r="G697" s="50">
        <v>78411955</v>
      </c>
      <c r="H697" s="50">
        <v>0</v>
      </c>
      <c r="I697" s="50">
        <v>18216731</v>
      </c>
      <c r="J697" s="50">
        <v>0</v>
      </c>
      <c r="K697" s="50">
        <v>60195224</v>
      </c>
      <c r="L697" s="151">
        <f t="shared" si="0"/>
        <v>0.76338466927647419</v>
      </c>
      <c r="M697" s="50">
        <v>60195224</v>
      </c>
      <c r="N697" s="152">
        <f t="shared" si="1"/>
        <v>0.76338466927647419</v>
      </c>
      <c r="O697" s="50">
        <v>441114</v>
      </c>
      <c r="P697" s="152">
        <f t="shared" si="2"/>
        <v>5.594125955959939E-3</v>
      </c>
      <c r="Q697" s="50">
        <v>0</v>
      </c>
      <c r="R697" s="50"/>
      <c r="S697" s="50"/>
      <c r="T697" s="50"/>
      <c r="U697" s="159"/>
    </row>
    <row r="698" spans="1:21" hidden="1" x14ac:dyDescent="0.25">
      <c r="A698" s="49" t="s">
        <v>717</v>
      </c>
      <c r="B698" s="49" t="s">
        <v>444</v>
      </c>
      <c r="C698" s="49" t="s">
        <v>95</v>
      </c>
      <c r="D698" s="49" t="s">
        <v>69</v>
      </c>
      <c r="E698" s="50">
        <v>4400835</v>
      </c>
      <c r="F698" s="50">
        <v>4262268</v>
      </c>
      <c r="G698" s="50">
        <v>4238424</v>
      </c>
      <c r="H698" s="50">
        <v>0</v>
      </c>
      <c r="I698" s="50">
        <v>984596</v>
      </c>
      <c r="J698" s="50">
        <v>0</v>
      </c>
      <c r="K698" s="50">
        <v>3253828</v>
      </c>
      <c r="L698" s="151">
        <f t="shared" si="0"/>
        <v>0.76340295823725768</v>
      </c>
      <c r="M698" s="50">
        <v>3253828</v>
      </c>
      <c r="N698" s="152">
        <f t="shared" si="1"/>
        <v>0.76340295823725768</v>
      </c>
      <c r="O698" s="50">
        <v>23844</v>
      </c>
      <c r="P698" s="152">
        <f t="shared" si="2"/>
        <v>5.594204775485727E-3</v>
      </c>
      <c r="Q698" s="50">
        <v>0</v>
      </c>
      <c r="R698" s="50"/>
      <c r="S698" s="50"/>
      <c r="T698" s="50"/>
      <c r="U698" s="159"/>
    </row>
    <row r="699" spans="1:21" hidden="1" x14ac:dyDescent="0.25">
      <c r="A699" s="49" t="s">
        <v>717</v>
      </c>
      <c r="B699" s="49" t="s">
        <v>96</v>
      </c>
      <c r="C699" s="49" t="s">
        <v>97</v>
      </c>
      <c r="D699" s="49" t="s">
        <v>69</v>
      </c>
      <c r="E699" s="50">
        <v>85817289</v>
      </c>
      <c r="F699" s="50">
        <v>83115238</v>
      </c>
      <c r="G699" s="50">
        <v>80350280</v>
      </c>
      <c r="H699" s="50">
        <v>0</v>
      </c>
      <c r="I699" s="50">
        <v>17086161</v>
      </c>
      <c r="J699" s="50">
        <v>0</v>
      </c>
      <c r="K699" s="50">
        <v>63264119</v>
      </c>
      <c r="L699" s="151">
        <f t="shared" si="0"/>
        <v>0.76116149724554716</v>
      </c>
      <c r="M699" s="50">
        <v>63264119</v>
      </c>
      <c r="N699" s="152">
        <f t="shared" si="1"/>
        <v>0.76116149724554716</v>
      </c>
      <c r="O699" s="50">
        <v>2764958</v>
      </c>
      <c r="P699" s="152">
        <f t="shared" si="2"/>
        <v>3.3266559376272258E-2</v>
      </c>
      <c r="Q699" s="50">
        <v>0</v>
      </c>
      <c r="R699" s="50"/>
      <c r="S699" s="50"/>
      <c r="T699" s="50"/>
      <c r="U699" s="159"/>
    </row>
    <row r="700" spans="1:21" hidden="1" x14ac:dyDescent="0.25">
      <c r="A700" s="49" t="s">
        <v>717</v>
      </c>
      <c r="B700" s="49" t="s">
        <v>462</v>
      </c>
      <c r="C700" s="49" t="s">
        <v>698</v>
      </c>
      <c r="D700" s="49" t="s">
        <v>69</v>
      </c>
      <c r="E700" s="50">
        <v>46209371</v>
      </c>
      <c r="F700" s="50">
        <v>44754420</v>
      </c>
      <c r="G700" s="50">
        <v>44504058</v>
      </c>
      <c r="H700" s="50">
        <v>0</v>
      </c>
      <c r="I700" s="50">
        <v>10524077</v>
      </c>
      <c r="J700" s="50">
        <v>0</v>
      </c>
      <c r="K700" s="50">
        <v>33979981</v>
      </c>
      <c r="L700" s="151">
        <f t="shared" si="0"/>
        <v>0.75925419209990874</v>
      </c>
      <c r="M700" s="50">
        <v>33979981</v>
      </c>
      <c r="N700" s="152">
        <f t="shared" si="1"/>
        <v>0.75925419209990874</v>
      </c>
      <c r="O700" s="50">
        <v>250362</v>
      </c>
      <c r="P700" s="152">
        <f t="shared" si="2"/>
        <v>5.5941290268089723E-3</v>
      </c>
      <c r="Q700" s="50">
        <v>0</v>
      </c>
      <c r="R700" s="50"/>
      <c r="S700" s="50"/>
      <c r="T700" s="50"/>
      <c r="U700" s="159"/>
    </row>
    <row r="701" spans="1:21" hidden="1" x14ac:dyDescent="0.25">
      <c r="A701" s="49" t="s">
        <v>717</v>
      </c>
      <c r="B701" s="49" t="s">
        <v>479</v>
      </c>
      <c r="C701" s="49" t="s">
        <v>699</v>
      </c>
      <c r="D701" s="49" t="s">
        <v>69</v>
      </c>
      <c r="E701" s="50">
        <v>13202606</v>
      </c>
      <c r="F701" s="50">
        <v>12786906</v>
      </c>
      <c r="G701" s="50">
        <v>12715374</v>
      </c>
      <c r="H701" s="50">
        <v>0</v>
      </c>
      <c r="I701" s="50">
        <v>2954014</v>
      </c>
      <c r="J701" s="50">
        <v>0</v>
      </c>
      <c r="K701" s="50">
        <v>9761360</v>
      </c>
      <c r="L701" s="151">
        <f t="shared" si="0"/>
        <v>0.7633871712203093</v>
      </c>
      <c r="M701" s="50">
        <v>9761360</v>
      </c>
      <c r="N701" s="152">
        <f t="shared" si="1"/>
        <v>0.7633871712203093</v>
      </c>
      <c r="O701" s="50">
        <v>71532</v>
      </c>
      <c r="P701" s="152">
        <f t="shared" si="2"/>
        <v>5.5941601510169853E-3</v>
      </c>
      <c r="Q701" s="50">
        <v>0</v>
      </c>
      <c r="R701" s="50"/>
      <c r="S701" s="50"/>
      <c r="T701" s="50"/>
      <c r="U701" s="159"/>
    </row>
    <row r="702" spans="1:21" hidden="1" x14ac:dyDescent="0.25">
      <c r="A702" s="49" t="s">
        <v>717</v>
      </c>
      <c r="B702" s="49" t="s">
        <v>496</v>
      </c>
      <c r="C702" s="49" t="s">
        <v>700</v>
      </c>
      <c r="D702" s="49" t="s">
        <v>69</v>
      </c>
      <c r="E702" s="50">
        <v>26405312</v>
      </c>
      <c r="F702" s="50">
        <v>25573912</v>
      </c>
      <c r="G702" s="50">
        <v>23130848</v>
      </c>
      <c r="H702" s="50">
        <v>0</v>
      </c>
      <c r="I702" s="50">
        <v>3608070</v>
      </c>
      <c r="J702" s="50">
        <v>0</v>
      </c>
      <c r="K702" s="50">
        <v>19522778</v>
      </c>
      <c r="L702" s="151">
        <f t="shared" si="0"/>
        <v>0.76338645413341533</v>
      </c>
      <c r="M702" s="50">
        <v>19522778</v>
      </c>
      <c r="N702" s="152">
        <f t="shared" si="1"/>
        <v>0.76338645413341533</v>
      </c>
      <c r="O702" s="50">
        <v>2443064</v>
      </c>
      <c r="P702" s="152">
        <f t="shared" si="2"/>
        <v>9.5529538069889341E-2</v>
      </c>
      <c r="Q702" s="50">
        <v>0</v>
      </c>
      <c r="R702" s="50"/>
      <c r="S702" s="50"/>
      <c r="T702" s="50"/>
      <c r="U702" s="159"/>
    </row>
    <row r="703" spans="1:21" hidden="1" x14ac:dyDescent="0.25">
      <c r="A703" s="49" t="s">
        <v>717</v>
      </c>
      <c r="B703" s="49" t="s">
        <v>104</v>
      </c>
      <c r="C703" s="49" t="s">
        <v>105</v>
      </c>
      <c r="D703" s="49" t="s">
        <v>69</v>
      </c>
      <c r="E703" s="50">
        <v>143937951</v>
      </c>
      <c r="F703" s="50">
        <v>91784695</v>
      </c>
      <c r="G703" s="50">
        <v>91784695</v>
      </c>
      <c r="H703" s="50">
        <v>2342367.2599999998</v>
      </c>
      <c r="I703" s="50">
        <v>26783983.670000002</v>
      </c>
      <c r="J703" s="50">
        <v>43640.11</v>
      </c>
      <c r="K703" s="50">
        <v>37279383.130000003</v>
      </c>
      <c r="L703" s="151">
        <f t="shared" si="0"/>
        <v>0.40616121380585296</v>
      </c>
      <c r="M703" s="50">
        <v>32443074.899999999</v>
      </c>
      <c r="N703" s="152">
        <f t="shared" si="1"/>
        <v>0.35346933276838799</v>
      </c>
      <c r="O703" s="50">
        <v>25335320.829999998</v>
      </c>
      <c r="P703" s="152">
        <f t="shared" si="2"/>
        <v>0.27602990705585501</v>
      </c>
      <c r="Q703" s="50">
        <v>25335320.829999998</v>
      </c>
      <c r="R703" s="50"/>
      <c r="S703" s="50"/>
      <c r="T703" s="50"/>
      <c r="U703" s="159"/>
    </row>
    <row r="704" spans="1:21" hidden="1" x14ac:dyDescent="0.25">
      <c r="A704" s="49" t="s">
        <v>717</v>
      </c>
      <c r="B704" s="49" t="s">
        <v>106</v>
      </c>
      <c r="C704" s="49" t="s">
        <v>107</v>
      </c>
      <c r="D704" s="49" t="s">
        <v>69</v>
      </c>
      <c r="E704" s="50">
        <v>60469231</v>
      </c>
      <c r="F704" s="50">
        <v>50315823</v>
      </c>
      <c r="G704" s="50">
        <v>50315823</v>
      </c>
      <c r="H704" s="50">
        <v>2220367.2599999998</v>
      </c>
      <c r="I704" s="50">
        <v>12486617.75</v>
      </c>
      <c r="J704" s="50">
        <v>43640.11</v>
      </c>
      <c r="K704" s="50">
        <v>21879397.489999998</v>
      </c>
      <c r="L704" s="151">
        <f t="shared" si="0"/>
        <v>0.43484129217164941</v>
      </c>
      <c r="M704" s="50">
        <v>17701508.620000001</v>
      </c>
      <c r="N704" s="152">
        <f t="shared" si="1"/>
        <v>0.35180799129530288</v>
      </c>
      <c r="O704" s="50">
        <v>13685800.390000001</v>
      </c>
      <c r="P704" s="152">
        <f t="shared" si="2"/>
        <v>0.2719979436687342</v>
      </c>
      <c r="Q704" s="50">
        <v>13685800.390000001</v>
      </c>
      <c r="R704" s="50"/>
      <c r="S704" s="50"/>
      <c r="T704" s="50"/>
      <c r="U704" s="159"/>
    </row>
    <row r="705" spans="1:21" hidden="1" x14ac:dyDescent="0.25">
      <c r="A705" s="49" t="s">
        <v>717</v>
      </c>
      <c r="B705" s="49" t="s">
        <v>108</v>
      </c>
      <c r="C705" s="49" t="s">
        <v>109</v>
      </c>
      <c r="D705" s="49" t="s">
        <v>69</v>
      </c>
      <c r="E705" s="50">
        <v>60469231</v>
      </c>
      <c r="F705" s="50">
        <v>50315823</v>
      </c>
      <c r="G705" s="50">
        <v>50315823</v>
      </c>
      <c r="H705" s="50">
        <v>2220367.2599999998</v>
      </c>
      <c r="I705" s="50">
        <v>12486617.75</v>
      </c>
      <c r="J705" s="50">
        <v>43640.11</v>
      </c>
      <c r="K705" s="50">
        <v>21879397.489999998</v>
      </c>
      <c r="L705" s="151">
        <f t="shared" si="0"/>
        <v>0.43484129217164941</v>
      </c>
      <c r="M705" s="50">
        <v>17701508.620000001</v>
      </c>
      <c r="N705" s="152">
        <f t="shared" si="1"/>
        <v>0.35180799129530288</v>
      </c>
      <c r="O705" s="50">
        <v>13685800.390000001</v>
      </c>
      <c r="P705" s="152">
        <f t="shared" si="2"/>
        <v>0.2719979436687342</v>
      </c>
      <c r="Q705" s="50">
        <v>13685800.390000001</v>
      </c>
      <c r="R705" s="50"/>
      <c r="S705" s="50"/>
      <c r="T705" s="50"/>
      <c r="U705" s="159"/>
    </row>
    <row r="706" spans="1:21" hidden="1" x14ac:dyDescent="0.25">
      <c r="A706" s="49" t="s">
        <v>717</v>
      </c>
      <c r="B706" s="49" t="s">
        <v>112</v>
      </c>
      <c r="C706" s="49" t="s">
        <v>113</v>
      </c>
      <c r="D706" s="49" t="s">
        <v>69</v>
      </c>
      <c r="E706" s="50">
        <v>12862800</v>
      </c>
      <c r="F706" s="50">
        <v>13016208</v>
      </c>
      <c r="G706" s="50">
        <v>13016208</v>
      </c>
      <c r="H706" s="50">
        <v>0</v>
      </c>
      <c r="I706" s="50">
        <v>5935092.0300000003</v>
      </c>
      <c r="J706" s="50">
        <v>0</v>
      </c>
      <c r="K706" s="50">
        <v>3255411.38</v>
      </c>
      <c r="L706" s="151">
        <f t="shared" si="0"/>
        <v>0.25010443748286748</v>
      </c>
      <c r="M706" s="50">
        <v>3255411.38</v>
      </c>
      <c r="N706" s="152">
        <f t="shared" si="1"/>
        <v>0.25010443748286748</v>
      </c>
      <c r="O706" s="50">
        <v>3825704.59</v>
      </c>
      <c r="P706" s="152">
        <f t="shared" si="2"/>
        <v>0.29391851989458068</v>
      </c>
      <c r="Q706" s="50">
        <v>3825704.59</v>
      </c>
      <c r="R706" s="50"/>
      <c r="S706" s="50"/>
      <c r="T706" s="50"/>
      <c r="U706" s="159"/>
    </row>
    <row r="707" spans="1:21" hidden="1" x14ac:dyDescent="0.25">
      <c r="A707" s="49" t="s">
        <v>717</v>
      </c>
      <c r="B707" s="49" t="s">
        <v>114</v>
      </c>
      <c r="C707" s="49" t="s">
        <v>115</v>
      </c>
      <c r="D707" s="49" t="s">
        <v>69</v>
      </c>
      <c r="E707" s="50">
        <v>0</v>
      </c>
      <c r="F707" s="50">
        <v>153408</v>
      </c>
      <c r="G707" s="50">
        <v>153408</v>
      </c>
      <c r="H707" s="50">
        <v>0</v>
      </c>
      <c r="I707" s="50">
        <v>0</v>
      </c>
      <c r="J707" s="50">
        <v>0</v>
      </c>
      <c r="K707" s="50">
        <v>89146</v>
      </c>
      <c r="L707" s="151">
        <f t="shared" si="0"/>
        <v>0.58110398414685027</v>
      </c>
      <c r="M707" s="50">
        <v>89146</v>
      </c>
      <c r="N707" s="152">
        <f t="shared" si="1"/>
        <v>0.58110398414685027</v>
      </c>
      <c r="O707" s="50">
        <v>64262</v>
      </c>
      <c r="P707" s="152">
        <f t="shared" si="2"/>
        <v>0.41889601585314978</v>
      </c>
      <c r="Q707" s="50">
        <v>64262</v>
      </c>
      <c r="R707" s="50"/>
      <c r="S707" s="50"/>
      <c r="T707" s="50"/>
      <c r="U707" s="159"/>
    </row>
    <row r="708" spans="1:21" hidden="1" x14ac:dyDescent="0.25">
      <c r="A708" s="49" t="s">
        <v>717</v>
      </c>
      <c r="B708" s="49" t="s">
        <v>116</v>
      </c>
      <c r="C708" s="49" t="s">
        <v>117</v>
      </c>
      <c r="D708" s="49" t="s">
        <v>69</v>
      </c>
      <c r="E708" s="50">
        <v>500000</v>
      </c>
      <c r="F708" s="50">
        <v>500000</v>
      </c>
      <c r="G708" s="50">
        <v>500000</v>
      </c>
      <c r="H708" s="50">
        <v>0</v>
      </c>
      <c r="I708" s="50">
        <v>56314</v>
      </c>
      <c r="J708" s="50">
        <v>0</v>
      </c>
      <c r="K708" s="50">
        <v>443094.75</v>
      </c>
      <c r="L708" s="151">
        <f t="shared" si="0"/>
        <v>0.88618949999999996</v>
      </c>
      <c r="M708" s="50">
        <v>443094.75</v>
      </c>
      <c r="N708" s="152">
        <f t="shared" si="1"/>
        <v>0.88618949999999996</v>
      </c>
      <c r="O708" s="50">
        <v>591.25</v>
      </c>
      <c r="P708" s="152">
        <f t="shared" si="2"/>
        <v>1.1825E-3</v>
      </c>
      <c r="Q708" s="50">
        <v>591.25</v>
      </c>
      <c r="R708" s="50"/>
      <c r="S708" s="50"/>
      <c r="T708" s="50"/>
      <c r="U708" s="159"/>
    </row>
    <row r="709" spans="1:21" hidden="1" x14ac:dyDescent="0.25">
      <c r="A709" s="49" t="s">
        <v>717</v>
      </c>
      <c r="B709" s="49" t="s">
        <v>120</v>
      </c>
      <c r="C709" s="49" t="s">
        <v>121</v>
      </c>
      <c r="D709" s="49" t="s">
        <v>69</v>
      </c>
      <c r="E709" s="50">
        <v>12362800</v>
      </c>
      <c r="F709" s="50">
        <v>12362800</v>
      </c>
      <c r="G709" s="50">
        <v>12362800</v>
      </c>
      <c r="H709" s="50">
        <v>0</v>
      </c>
      <c r="I709" s="50">
        <v>5878778.0300000003</v>
      </c>
      <c r="J709" s="50">
        <v>0</v>
      </c>
      <c r="K709" s="50">
        <v>2723170.63</v>
      </c>
      <c r="L709" s="151">
        <f t="shared" si="0"/>
        <v>0.22027134872359011</v>
      </c>
      <c r="M709" s="50">
        <v>2723170.63</v>
      </c>
      <c r="N709" s="152">
        <f t="shared" si="1"/>
        <v>0.22027134872359011</v>
      </c>
      <c r="O709" s="50">
        <v>3760851.34</v>
      </c>
      <c r="P709" s="152">
        <f t="shared" si="2"/>
        <v>0.30420708415569286</v>
      </c>
      <c r="Q709" s="50">
        <v>3760851.34</v>
      </c>
      <c r="R709" s="50"/>
      <c r="S709" s="50"/>
      <c r="T709" s="50"/>
      <c r="U709" s="159"/>
    </row>
    <row r="710" spans="1:21" hidden="1" x14ac:dyDescent="0.25">
      <c r="A710" s="49" t="s">
        <v>717</v>
      </c>
      <c r="B710" s="49" t="s">
        <v>124</v>
      </c>
      <c r="C710" s="49" t="s">
        <v>125</v>
      </c>
      <c r="D710" s="49" t="s">
        <v>69</v>
      </c>
      <c r="E710" s="50">
        <v>4286000</v>
      </c>
      <c r="F710" s="50">
        <v>1559050</v>
      </c>
      <c r="G710" s="50">
        <v>1559050</v>
      </c>
      <c r="H710" s="50">
        <v>0</v>
      </c>
      <c r="I710" s="50">
        <v>197120</v>
      </c>
      <c r="J710" s="50">
        <v>0</v>
      </c>
      <c r="K710" s="50">
        <v>1188511.8</v>
      </c>
      <c r="L710" s="151">
        <f t="shared" si="0"/>
        <v>0.76233077835861585</v>
      </c>
      <c r="M710" s="50">
        <v>1157181.8</v>
      </c>
      <c r="N710" s="152">
        <f t="shared" si="1"/>
        <v>0.74223520733780191</v>
      </c>
      <c r="O710" s="50">
        <v>173418.2</v>
      </c>
      <c r="P710" s="152">
        <f t="shared" si="2"/>
        <v>0.1112332510182483</v>
      </c>
      <c r="Q710" s="50">
        <v>173418.2</v>
      </c>
      <c r="R710" s="50"/>
      <c r="S710" s="50"/>
      <c r="T710" s="50"/>
      <c r="U710" s="159"/>
    </row>
    <row r="711" spans="1:21" hidden="1" x14ac:dyDescent="0.25">
      <c r="A711" s="49" t="s">
        <v>717</v>
      </c>
      <c r="B711" s="49" t="s">
        <v>126</v>
      </c>
      <c r="C711" s="49" t="s">
        <v>127</v>
      </c>
      <c r="D711" s="49" t="s">
        <v>69</v>
      </c>
      <c r="E711" s="50">
        <v>450000</v>
      </c>
      <c r="F711" s="50">
        <v>350000</v>
      </c>
      <c r="G711" s="50">
        <v>350000</v>
      </c>
      <c r="H711" s="50">
        <v>0</v>
      </c>
      <c r="I711" s="50">
        <v>128900</v>
      </c>
      <c r="J711" s="50">
        <v>0</v>
      </c>
      <c r="K711" s="50">
        <v>49630</v>
      </c>
      <c r="L711" s="151">
        <f t="shared" si="0"/>
        <v>0.14180000000000001</v>
      </c>
      <c r="M711" s="50">
        <v>25080</v>
      </c>
      <c r="N711" s="152">
        <f t="shared" si="1"/>
        <v>7.1657142857142864E-2</v>
      </c>
      <c r="O711" s="50">
        <v>171470</v>
      </c>
      <c r="P711" s="152">
        <f t="shared" si="2"/>
        <v>0.48991428571428569</v>
      </c>
      <c r="Q711" s="50">
        <v>171470</v>
      </c>
      <c r="R711" s="50"/>
      <c r="S711" s="50"/>
      <c r="T711" s="50"/>
      <c r="U711" s="159"/>
    </row>
    <row r="712" spans="1:21" hidden="1" x14ac:dyDescent="0.25">
      <c r="A712" s="49" t="s">
        <v>717</v>
      </c>
      <c r="B712" s="49" t="s">
        <v>532</v>
      </c>
      <c r="C712" s="49" t="s">
        <v>718</v>
      </c>
      <c r="D712" s="49" t="s">
        <v>69</v>
      </c>
      <c r="E712" s="50">
        <v>1336000</v>
      </c>
      <c r="F712" s="50">
        <v>209050</v>
      </c>
      <c r="G712" s="50">
        <v>209050</v>
      </c>
      <c r="H712" s="50">
        <v>0</v>
      </c>
      <c r="I712" s="50">
        <v>0</v>
      </c>
      <c r="J712" s="50">
        <v>0</v>
      </c>
      <c r="K712" s="50">
        <v>209050</v>
      </c>
      <c r="L712" s="151">
        <f t="shared" si="0"/>
        <v>1</v>
      </c>
      <c r="M712" s="50">
        <v>209050</v>
      </c>
      <c r="N712" s="152">
        <f t="shared" si="1"/>
        <v>1</v>
      </c>
      <c r="O712" s="50">
        <v>0</v>
      </c>
      <c r="P712" s="152">
        <f t="shared" si="2"/>
        <v>0</v>
      </c>
      <c r="Q712" s="50">
        <v>0</v>
      </c>
      <c r="R712" s="50"/>
      <c r="S712" s="50"/>
      <c r="T712" s="50"/>
      <c r="U712" s="159"/>
    </row>
    <row r="713" spans="1:21" hidden="1" x14ac:dyDescent="0.25">
      <c r="A713" s="49" t="s">
        <v>717</v>
      </c>
      <c r="B713" s="49" t="s">
        <v>128</v>
      </c>
      <c r="C713" s="49" t="s">
        <v>129</v>
      </c>
      <c r="D713" s="49" t="s">
        <v>69</v>
      </c>
      <c r="E713" s="50">
        <v>2500000</v>
      </c>
      <c r="F713" s="50">
        <v>1000000</v>
      </c>
      <c r="G713" s="50">
        <v>1000000</v>
      </c>
      <c r="H713" s="50">
        <v>0</v>
      </c>
      <c r="I713" s="50">
        <v>68220</v>
      </c>
      <c r="J713" s="50">
        <v>0</v>
      </c>
      <c r="K713" s="50">
        <v>929831.8</v>
      </c>
      <c r="L713" s="151">
        <f t="shared" si="0"/>
        <v>0.9298318000000001</v>
      </c>
      <c r="M713" s="50">
        <v>923051.8</v>
      </c>
      <c r="N713" s="152">
        <f t="shared" si="1"/>
        <v>0.92305180000000009</v>
      </c>
      <c r="O713" s="50">
        <v>1948.2</v>
      </c>
      <c r="P713" s="152">
        <f t="shared" si="2"/>
        <v>1.9482E-3</v>
      </c>
      <c r="Q713" s="50">
        <v>1948.2</v>
      </c>
      <c r="R713" s="50"/>
      <c r="S713" s="50"/>
      <c r="T713" s="50"/>
      <c r="U713" s="159"/>
    </row>
    <row r="714" spans="1:21" hidden="1" x14ac:dyDescent="0.25">
      <c r="A714" s="49" t="s">
        <v>717</v>
      </c>
      <c r="B714" s="49" t="s">
        <v>134</v>
      </c>
      <c r="C714" s="49" t="s">
        <v>135</v>
      </c>
      <c r="D714" s="49" t="s">
        <v>69</v>
      </c>
      <c r="E714" s="50">
        <v>3625200</v>
      </c>
      <c r="F714" s="50">
        <v>75000</v>
      </c>
      <c r="G714" s="50">
        <v>75000</v>
      </c>
      <c r="H714" s="50">
        <v>0</v>
      </c>
      <c r="I714" s="50">
        <v>22653.25</v>
      </c>
      <c r="J714" s="50">
        <v>0</v>
      </c>
      <c r="K714" s="50">
        <v>42346.75</v>
      </c>
      <c r="L714" s="151">
        <f t="shared" si="0"/>
        <v>0.56462333333333337</v>
      </c>
      <c r="M714" s="50">
        <v>42346.75</v>
      </c>
      <c r="N714" s="152">
        <f t="shared" si="1"/>
        <v>0.56462333333333337</v>
      </c>
      <c r="O714" s="50">
        <v>10000</v>
      </c>
      <c r="P714" s="152">
        <f t="shared" si="2"/>
        <v>0.13333333333333333</v>
      </c>
      <c r="Q714" s="50">
        <v>10000</v>
      </c>
      <c r="R714" s="50"/>
      <c r="S714" s="50"/>
      <c r="T714" s="50"/>
      <c r="U714" s="159"/>
    </row>
    <row r="715" spans="1:21" hidden="1" x14ac:dyDescent="0.25">
      <c r="A715" s="49" t="s">
        <v>717</v>
      </c>
      <c r="B715" s="49" t="s">
        <v>138</v>
      </c>
      <c r="C715" s="49" t="s">
        <v>139</v>
      </c>
      <c r="D715" s="49" t="s">
        <v>69</v>
      </c>
      <c r="E715" s="50">
        <v>3625200</v>
      </c>
      <c r="F715" s="50">
        <v>75000</v>
      </c>
      <c r="G715" s="50">
        <v>75000</v>
      </c>
      <c r="H715" s="50">
        <v>0</v>
      </c>
      <c r="I715" s="50">
        <v>22653.25</v>
      </c>
      <c r="J715" s="50">
        <v>0</v>
      </c>
      <c r="K715" s="50">
        <v>42346.75</v>
      </c>
      <c r="L715" s="151">
        <f t="shared" si="0"/>
        <v>0.56462333333333337</v>
      </c>
      <c r="M715" s="50">
        <v>42346.75</v>
      </c>
      <c r="N715" s="152">
        <f t="shared" si="1"/>
        <v>0.56462333333333337</v>
      </c>
      <c r="O715" s="50">
        <v>10000</v>
      </c>
      <c r="P715" s="152">
        <f t="shared" si="2"/>
        <v>0.13333333333333333</v>
      </c>
      <c r="Q715" s="50">
        <v>10000</v>
      </c>
      <c r="R715" s="50"/>
      <c r="S715" s="50"/>
      <c r="T715" s="50"/>
      <c r="U715" s="159"/>
    </row>
    <row r="716" spans="1:21" hidden="1" x14ac:dyDescent="0.25">
      <c r="A716" s="49" t="s">
        <v>717</v>
      </c>
      <c r="B716" s="49" t="s">
        <v>140</v>
      </c>
      <c r="C716" s="49" t="s">
        <v>141</v>
      </c>
      <c r="D716" s="49" t="s">
        <v>69</v>
      </c>
      <c r="E716" s="50">
        <v>18004720</v>
      </c>
      <c r="F716" s="50">
        <v>9119755</v>
      </c>
      <c r="G716" s="50">
        <v>9119755</v>
      </c>
      <c r="H716" s="50">
        <v>122000</v>
      </c>
      <c r="I716" s="50">
        <v>2729860</v>
      </c>
      <c r="J716" s="50">
        <v>0</v>
      </c>
      <c r="K716" s="50">
        <v>3138960</v>
      </c>
      <c r="L716" s="151">
        <f t="shared" si="0"/>
        <v>0.34419345695142028</v>
      </c>
      <c r="M716" s="50">
        <v>3072860</v>
      </c>
      <c r="N716" s="152">
        <f t="shared" si="1"/>
        <v>0.33694545522330371</v>
      </c>
      <c r="O716" s="50">
        <v>3128935</v>
      </c>
      <c r="P716" s="152">
        <f t="shared" si="2"/>
        <v>0.34309419496466736</v>
      </c>
      <c r="Q716" s="50">
        <v>3128935</v>
      </c>
      <c r="R716" s="50"/>
      <c r="S716" s="50"/>
      <c r="T716" s="50"/>
      <c r="U716" s="159"/>
    </row>
    <row r="717" spans="1:21" hidden="1" x14ac:dyDescent="0.25">
      <c r="A717" s="49" t="s">
        <v>717</v>
      </c>
      <c r="B717" s="49" t="s">
        <v>142</v>
      </c>
      <c r="C717" s="49" t="s">
        <v>143</v>
      </c>
      <c r="D717" s="49" t="s">
        <v>69</v>
      </c>
      <c r="E717" s="50">
        <v>1560220</v>
      </c>
      <c r="F717" s="50">
        <v>394680</v>
      </c>
      <c r="G717" s="50">
        <v>394680</v>
      </c>
      <c r="H717" s="50">
        <v>0</v>
      </c>
      <c r="I717" s="50">
        <v>234360</v>
      </c>
      <c r="J717" s="50">
        <v>0</v>
      </c>
      <c r="K717" s="50">
        <v>160160</v>
      </c>
      <c r="L717" s="151">
        <f t="shared" si="0"/>
        <v>0.40579710144927539</v>
      </c>
      <c r="M717" s="50">
        <v>160160</v>
      </c>
      <c r="N717" s="152">
        <f t="shared" si="1"/>
        <v>0.40579710144927539</v>
      </c>
      <c r="O717" s="50">
        <v>160</v>
      </c>
      <c r="P717" s="152">
        <f t="shared" si="2"/>
        <v>4.0539170973953581E-4</v>
      </c>
      <c r="Q717" s="50">
        <v>160</v>
      </c>
      <c r="R717" s="50"/>
      <c r="S717" s="50"/>
      <c r="T717" s="50"/>
      <c r="U717" s="159"/>
    </row>
    <row r="718" spans="1:21" hidden="1" x14ac:dyDescent="0.25">
      <c r="A718" s="49" t="s">
        <v>717</v>
      </c>
      <c r="B718" s="49" t="s">
        <v>144</v>
      </c>
      <c r="C718" s="49" t="s">
        <v>145</v>
      </c>
      <c r="D718" s="49" t="s">
        <v>69</v>
      </c>
      <c r="E718" s="50">
        <v>16444500</v>
      </c>
      <c r="F718" s="50">
        <v>8725075</v>
      </c>
      <c r="G718" s="50">
        <v>8725075</v>
      </c>
      <c r="H718" s="50">
        <v>122000</v>
      </c>
      <c r="I718" s="50">
        <v>2495500</v>
      </c>
      <c r="J718" s="50">
        <v>0</v>
      </c>
      <c r="K718" s="50">
        <v>2978800</v>
      </c>
      <c r="L718" s="151">
        <f t="shared" si="0"/>
        <v>0.34140680739134049</v>
      </c>
      <c r="M718" s="50">
        <v>2912700</v>
      </c>
      <c r="N718" s="152">
        <f t="shared" si="1"/>
        <v>0.33383094128130703</v>
      </c>
      <c r="O718" s="50">
        <v>3128775</v>
      </c>
      <c r="P718" s="152">
        <f t="shared" si="2"/>
        <v>0.35859577138305404</v>
      </c>
      <c r="Q718" s="50">
        <v>3128775</v>
      </c>
      <c r="R718" s="50"/>
      <c r="S718" s="50"/>
      <c r="T718" s="50"/>
      <c r="U718" s="159"/>
    </row>
    <row r="719" spans="1:21" hidden="1" x14ac:dyDescent="0.25">
      <c r="A719" s="49" t="s">
        <v>717</v>
      </c>
      <c r="B719" s="49" t="s">
        <v>150</v>
      </c>
      <c r="C719" s="49" t="s">
        <v>151</v>
      </c>
      <c r="D719" s="49" t="s">
        <v>69</v>
      </c>
      <c r="E719" s="50">
        <v>6000000</v>
      </c>
      <c r="F719" s="50">
        <v>5900000</v>
      </c>
      <c r="G719" s="50">
        <v>5900000</v>
      </c>
      <c r="H719" s="50">
        <v>0</v>
      </c>
      <c r="I719" s="50">
        <v>692786</v>
      </c>
      <c r="J719" s="50">
        <v>0</v>
      </c>
      <c r="K719" s="50">
        <v>4707214</v>
      </c>
      <c r="L719" s="151">
        <f t="shared" si="0"/>
        <v>0.79783288135593222</v>
      </c>
      <c r="M719" s="50">
        <v>4707214</v>
      </c>
      <c r="N719" s="152">
        <f t="shared" si="1"/>
        <v>0.79783288135593222</v>
      </c>
      <c r="O719" s="50">
        <v>500000</v>
      </c>
      <c r="P719" s="152">
        <f t="shared" si="2"/>
        <v>8.4745762711864403E-2</v>
      </c>
      <c r="Q719" s="50">
        <v>500000</v>
      </c>
      <c r="R719" s="50"/>
      <c r="S719" s="50"/>
      <c r="T719" s="50"/>
      <c r="U719" s="159"/>
    </row>
    <row r="720" spans="1:21" hidden="1" x14ac:dyDescent="0.25">
      <c r="A720" s="49" t="s">
        <v>717</v>
      </c>
      <c r="B720" s="49" t="s">
        <v>152</v>
      </c>
      <c r="C720" s="49" t="s">
        <v>153</v>
      </c>
      <c r="D720" s="49" t="s">
        <v>69</v>
      </c>
      <c r="E720" s="50">
        <v>6000000</v>
      </c>
      <c r="F720" s="50">
        <v>5900000</v>
      </c>
      <c r="G720" s="50">
        <v>5900000</v>
      </c>
      <c r="H720" s="50">
        <v>0</v>
      </c>
      <c r="I720" s="50">
        <v>692786</v>
      </c>
      <c r="J720" s="50">
        <v>0</v>
      </c>
      <c r="K720" s="50">
        <v>4707214</v>
      </c>
      <c r="L720" s="151">
        <f t="shared" si="0"/>
        <v>0.79783288135593222</v>
      </c>
      <c r="M720" s="50">
        <v>4707214</v>
      </c>
      <c r="N720" s="152">
        <f t="shared" si="1"/>
        <v>0.79783288135593222</v>
      </c>
      <c r="O720" s="50">
        <v>500000</v>
      </c>
      <c r="P720" s="152">
        <f t="shared" si="2"/>
        <v>8.4745762711864403E-2</v>
      </c>
      <c r="Q720" s="50">
        <v>500000</v>
      </c>
      <c r="R720" s="50"/>
      <c r="S720" s="50"/>
      <c r="T720" s="50"/>
      <c r="U720" s="159"/>
    </row>
    <row r="721" spans="1:21" hidden="1" x14ac:dyDescent="0.25">
      <c r="A721" s="49" t="s">
        <v>717</v>
      </c>
      <c r="B721" s="49" t="s">
        <v>154</v>
      </c>
      <c r="C721" s="49" t="s">
        <v>155</v>
      </c>
      <c r="D721" s="49" t="s">
        <v>69</v>
      </c>
      <c r="E721" s="50">
        <v>27190000</v>
      </c>
      <c r="F721" s="50">
        <v>3418859</v>
      </c>
      <c r="G721" s="50">
        <v>3418859</v>
      </c>
      <c r="H721" s="50">
        <v>0</v>
      </c>
      <c r="I721" s="50">
        <v>0</v>
      </c>
      <c r="J721" s="50">
        <v>0</v>
      </c>
      <c r="K721" s="50">
        <v>350300</v>
      </c>
      <c r="L721" s="151">
        <f t="shared" si="0"/>
        <v>0.10246108423892299</v>
      </c>
      <c r="M721" s="50">
        <v>350300</v>
      </c>
      <c r="N721" s="152">
        <f t="shared" si="1"/>
        <v>0.10246108423892299</v>
      </c>
      <c r="O721" s="50">
        <v>3068559</v>
      </c>
      <c r="P721" s="152">
        <f t="shared" si="2"/>
        <v>0.89753891576107703</v>
      </c>
      <c r="Q721" s="50">
        <v>3068559</v>
      </c>
      <c r="R721" s="50"/>
      <c r="S721" s="50"/>
      <c r="T721" s="50"/>
      <c r="U721" s="159"/>
    </row>
    <row r="722" spans="1:21" x14ac:dyDescent="0.25">
      <c r="A722" s="53" t="s">
        <v>717</v>
      </c>
      <c r="B722" s="53" t="s">
        <v>156</v>
      </c>
      <c r="C722" s="53" t="s">
        <v>157</v>
      </c>
      <c r="D722" s="53" t="s">
        <v>69</v>
      </c>
      <c r="E722" s="54">
        <v>27190000</v>
      </c>
      <c r="F722" s="54">
        <v>3418859</v>
      </c>
      <c r="G722" s="54">
        <v>3418859</v>
      </c>
      <c r="H722" s="54">
        <v>0</v>
      </c>
      <c r="I722" s="54">
        <v>0</v>
      </c>
      <c r="J722" s="54">
        <v>0</v>
      </c>
      <c r="K722" s="54">
        <v>350300</v>
      </c>
      <c r="L722" s="177">
        <f t="shared" si="0"/>
        <v>0.10246108423892299</v>
      </c>
      <c r="M722" s="54">
        <v>350300</v>
      </c>
      <c r="N722" s="178">
        <f t="shared" si="1"/>
        <v>0.10246108423892299</v>
      </c>
      <c r="O722" s="54">
        <v>3068559</v>
      </c>
      <c r="P722" s="178">
        <f t="shared" si="2"/>
        <v>0.89753891576107703</v>
      </c>
      <c r="Q722" s="50">
        <v>3068559</v>
      </c>
      <c r="R722" s="54"/>
      <c r="S722" s="54"/>
      <c r="T722" s="54"/>
      <c r="U722" s="159"/>
    </row>
    <row r="723" spans="1:21" hidden="1" x14ac:dyDescent="0.25">
      <c r="A723" s="53" t="s">
        <v>717</v>
      </c>
      <c r="B723" s="53" t="s">
        <v>162</v>
      </c>
      <c r="C723" s="53" t="s">
        <v>163</v>
      </c>
      <c r="D723" s="53" t="s">
        <v>69</v>
      </c>
      <c r="E723" s="54">
        <v>9500000</v>
      </c>
      <c r="F723" s="54">
        <v>7000000</v>
      </c>
      <c r="G723" s="54">
        <v>7000000</v>
      </c>
      <c r="H723" s="54">
        <v>0</v>
      </c>
      <c r="I723" s="54">
        <v>4135939.64</v>
      </c>
      <c r="J723" s="54">
        <v>0</v>
      </c>
      <c r="K723" s="54">
        <v>2471156.71</v>
      </c>
      <c r="L723" s="177">
        <f t="shared" si="0"/>
        <v>0.35302238714285716</v>
      </c>
      <c r="M723" s="54">
        <v>1910167.35</v>
      </c>
      <c r="N723" s="178">
        <f t="shared" si="1"/>
        <v>0.27288105000000001</v>
      </c>
      <c r="O723" s="54">
        <v>392903.65</v>
      </c>
      <c r="P723" s="178">
        <f t="shared" si="2"/>
        <v>5.6129092857142862E-2</v>
      </c>
      <c r="Q723" s="50">
        <v>392903.65</v>
      </c>
      <c r="R723" s="54"/>
      <c r="S723" s="54"/>
      <c r="T723" s="54"/>
      <c r="U723" s="159"/>
    </row>
    <row r="724" spans="1:21" hidden="1" x14ac:dyDescent="0.25">
      <c r="A724" s="53" t="s">
        <v>717</v>
      </c>
      <c r="B724" s="53" t="s">
        <v>166</v>
      </c>
      <c r="C724" s="53" t="s">
        <v>167</v>
      </c>
      <c r="D724" s="53" t="s">
        <v>69</v>
      </c>
      <c r="E724" s="54">
        <v>4500000</v>
      </c>
      <c r="F724" s="54">
        <v>2000000</v>
      </c>
      <c r="G724" s="54">
        <v>2000000</v>
      </c>
      <c r="H724" s="54">
        <v>0</v>
      </c>
      <c r="I724" s="54">
        <v>835565</v>
      </c>
      <c r="J724" s="54">
        <v>0</v>
      </c>
      <c r="K724" s="54">
        <v>1161104.6000000001</v>
      </c>
      <c r="L724" s="177">
        <f t="shared" si="0"/>
        <v>0.58055230000000002</v>
      </c>
      <c r="M724" s="54">
        <v>1161104.6000000001</v>
      </c>
      <c r="N724" s="178">
        <f t="shared" si="1"/>
        <v>0.58055230000000002</v>
      </c>
      <c r="O724" s="54">
        <v>3330.4</v>
      </c>
      <c r="P724" s="178">
        <f t="shared" si="2"/>
        <v>1.6652000000000001E-3</v>
      </c>
      <c r="Q724" s="50">
        <v>3330.4</v>
      </c>
      <c r="R724" s="54"/>
      <c r="S724" s="54"/>
      <c r="T724" s="54"/>
      <c r="U724" s="159"/>
    </row>
    <row r="725" spans="1:21" hidden="1" x14ac:dyDescent="0.25">
      <c r="A725" s="53" t="s">
        <v>717</v>
      </c>
      <c r="B725" s="53" t="s">
        <v>170</v>
      </c>
      <c r="C725" s="53" t="s">
        <v>171</v>
      </c>
      <c r="D725" s="53" t="s">
        <v>69</v>
      </c>
      <c r="E725" s="54">
        <v>5000000</v>
      </c>
      <c r="F725" s="54">
        <v>5000000</v>
      </c>
      <c r="G725" s="54">
        <v>5000000</v>
      </c>
      <c r="H725" s="54">
        <v>0</v>
      </c>
      <c r="I725" s="54">
        <v>3300374.64</v>
      </c>
      <c r="J725" s="54">
        <v>0</v>
      </c>
      <c r="K725" s="54">
        <v>1310052.1100000001</v>
      </c>
      <c r="L725" s="177">
        <f t="shared" si="0"/>
        <v>0.26201042200000002</v>
      </c>
      <c r="M725" s="54">
        <v>749062.75</v>
      </c>
      <c r="N725" s="178">
        <f t="shared" si="1"/>
        <v>0.14981254999999999</v>
      </c>
      <c r="O725" s="54">
        <v>389573.25</v>
      </c>
      <c r="P725" s="178">
        <f t="shared" si="2"/>
        <v>7.7914650000000002E-2</v>
      </c>
      <c r="Q725" s="50">
        <v>389573.25</v>
      </c>
      <c r="R725" s="54"/>
      <c r="S725" s="54"/>
      <c r="T725" s="54"/>
      <c r="U725" s="159"/>
    </row>
    <row r="726" spans="1:21" hidden="1" x14ac:dyDescent="0.25">
      <c r="A726" s="53" t="s">
        <v>717</v>
      </c>
      <c r="B726" s="53" t="s">
        <v>174</v>
      </c>
      <c r="C726" s="53" t="s">
        <v>175</v>
      </c>
      <c r="D726" s="53" t="s">
        <v>69</v>
      </c>
      <c r="E726" s="54">
        <v>500000</v>
      </c>
      <c r="F726" s="54">
        <v>380000</v>
      </c>
      <c r="G726" s="54">
        <v>380000</v>
      </c>
      <c r="H726" s="54">
        <v>0</v>
      </c>
      <c r="I726" s="54">
        <v>283915</v>
      </c>
      <c r="J726" s="54">
        <v>0</v>
      </c>
      <c r="K726" s="54">
        <v>46085</v>
      </c>
      <c r="L726" s="177">
        <f t="shared" si="0"/>
        <v>0.12127631578947369</v>
      </c>
      <c r="M726" s="54">
        <v>46085</v>
      </c>
      <c r="N726" s="178">
        <f t="shared" si="1"/>
        <v>0.12127631578947369</v>
      </c>
      <c r="O726" s="54">
        <v>50000</v>
      </c>
      <c r="P726" s="178">
        <f t="shared" si="2"/>
        <v>0.13157894736842105</v>
      </c>
      <c r="Q726" s="50">
        <v>50000</v>
      </c>
      <c r="R726" s="54"/>
      <c r="S726" s="54"/>
      <c r="T726" s="54"/>
      <c r="U726" s="159"/>
    </row>
    <row r="727" spans="1:21" hidden="1" x14ac:dyDescent="0.25">
      <c r="A727" s="53" t="s">
        <v>717</v>
      </c>
      <c r="B727" s="53" t="s">
        <v>176</v>
      </c>
      <c r="C727" s="53" t="s">
        <v>177</v>
      </c>
      <c r="D727" s="53" t="s">
        <v>69</v>
      </c>
      <c r="E727" s="54">
        <v>500000</v>
      </c>
      <c r="F727" s="54">
        <v>380000</v>
      </c>
      <c r="G727" s="54">
        <v>380000</v>
      </c>
      <c r="H727" s="54">
        <v>0</v>
      </c>
      <c r="I727" s="54">
        <v>283915</v>
      </c>
      <c r="J727" s="54">
        <v>0</v>
      </c>
      <c r="K727" s="54">
        <v>46085</v>
      </c>
      <c r="L727" s="177">
        <f t="shared" si="0"/>
        <v>0.12127631578947369</v>
      </c>
      <c r="M727" s="54">
        <v>46085</v>
      </c>
      <c r="N727" s="178">
        <f t="shared" si="1"/>
        <v>0.12127631578947369</v>
      </c>
      <c r="O727" s="54">
        <v>50000</v>
      </c>
      <c r="P727" s="178">
        <f t="shared" si="2"/>
        <v>0.13157894736842105</v>
      </c>
      <c r="Q727" s="50">
        <v>50000</v>
      </c>
      <c r="R727" s="54"/>
      <c r="S727" s="54"/>
      <c r="T727" s="54"/>
      <c r="U727" s="159"/>
    </row>
    <row r="728" spans="1:21" hidden="1" x14ac:dyDescent="0.25">
      <c r="A728" s="53" t="s">
        <v>717</v>
      </c>
      <c r="B728" s="53" t="s">
        <v>178</v>
      </c>
      <c r="C728" s="53" t="s">
        <v>179</v>
      </c>
      <c r="D728" s="53" t="s">
        <v>69</v>
      </c>
      <c r="E728" s="54">
        <v>1500000</v>
      </c>
      <c r="F728" s="54">
        <v>1000000</v>
      </c>
      <c r="G728" s="54">
        <v>1000000</v>
      </c>
      <c r="H728" s="54">
        <v>0</v>
      </c>
      <c r="I728" s="54">
        <v>300000</v>
      </c>
      <c r="J728" s="54">
        <v>0</v>
      </c>
      <c r="K728" s="54">
        <v>200000</v>
      </c>
      <c r="L728" s="177">
        <f t="shared" si="0"/>
        <v>0.2</v>
      </c>
      <c r="M728" s="54">
        <v>200000</v>
      </c>
      <c r="N728" s="178">
        <f t="shared" si="1"/>
        <v>0.2</v>
      </c>
      <c r="O728" s="54">
        <v>500000</v>
      </c>
      <c r="P728" s="178">
        <f t="shared" si="2"/>
        <v>0.5</v>
      </c>
      <c r="Q728" s="50">
        <v>500000</v>
      </c>
      <c r="R728" s="54"/>
      <c r="S728" s="54"/>
      <c r="T728" s="54"/>
      <c r="U728" s="159"/>
    </row>
    <row r="729" spans="1:21" x14ac:dyDescent="0.25">
      <c r="A729" s="53" t="s">
        <v>717</v>
      </c>
      <c r="B729" s="53" t="s">
        <v>182</v>
      </c>
      <c r="C729" s="53" t="s">
        <v>183</v>
      </c>
      <c r="D729" s="53" t="s">
        <v>69</v>
      </c>
      <c r="E729" s="54">
        <v>1500000</v>
      </c>
      <c r="F729" s="54">
        <v>1000000</v>
      </c>
      <c r="G729" s="54">
        <v>1000000</v>
      </c>
      <c r="H729" s="54">
        <v>0</v>
      </c>
      <c r="I729" s="54">
        <v>300000</v>
      </c>
      <c r="J729" s="54">
        <v>0</v>
      </c>
      <c r="K729" s="54">
        <v>200000</v>
      </c>
      <c r="L729" s="177">
        <f t="shared" si="0"/>
        <v>0.2</v>
      </c>
      <c r="M729" s="54">
        <v>200000</v>
      </c>
      <c r="N729" s="178">
        <f t="shared" si="1"/>
        <v>0.2</v>
      </c>
      <c r="O729" s="54">
        <v>500000</v>
      </c>
      <c r="P729" s="178">
        <f t="shared" si="2"/>
        <v>0.5</v>
      </c>
      <c r="Q729" s="50">
        <v>500000</v>
      </c>
      <c r="R729" s="54"/>
      <c r="S729" s="54"/>
      <c r="T729" s="54"/>
      <c r="U729" s="159"/>
    </row>
    <row r="730" spans="1:21" hidden="1" x14ac:dyDescent="0.25">
      <c r="A730" s="53" t="s">
        <v>717</v>
      </c>
      <c r="B730" s="53" t="s">
        <v>184</v>
      </c>
      <c r="C730" s="53" t="s">
        <v>185</v>
      </c>
      <c r="D730" s="53" t="s">
        <v>69</v>
      </c>
      <c r="E730" s="54">
        <v>52884335</v>
      </c>
      <c r="F730" s="54">
        <v>30715753</v>
      </c>
      <c r="G730" s="54">
        <v>30715751.079999998</v>
      </c>
      <c r="H730" s="54">
        <v>129939</v>
      </c>
      <c r="I730" s="54">
        <v>8821086.9399999995</v>
      </c>
      <c r="J730" s="54">
        <v>44070</v>
      </c>
      <c r="K730" s="54">
        <v>13040337.390000001</v>
      </c>
      <c r="L730" s="177">
        <f t="shared" si="0"/>
        <v>0.42454884273877319</v>
      </c>
      <c r="M730" s="54">
        <v>12189465.67</v>
      </c>
      <c r="N730" s="178">
        <f t="shared" si="1"/>
        <v>0.3968473659102546</v>
      </c>
      <c r="O730" s="54">
        <v>8680319.6699999999</v>
      </c>
      <c r="P730" s="178">
        <f t="shared" si="2"/>
        <v>0.28260155855531199</v>
      </c>
      <c r="Q730" s="50">
        <v>8680317.75</v>
      </c>
      <c r="R730" s="54"/>
      <c r="S730" s="54"/>
      <c r="T730" s="54"/>
      <c r="U730" s="159"/>
    </row>
    <row r="731" spans="1:21" hidden="1" x14ac:dyDescent="0.25">
      <c r="A731" s="53" t="s">
        <v>717</v>
      </c>
      <c r="B731" s="53" t="s">
        <v>186</v>
      </c>
      <c r="C731" s="53" t="s">
        <v>187</v>
      </c>
      <c r="D731" s="53" t="s">
        <v>69</v>
      </c>
      <c r="E731" s="54">
        <v>21308004</v>
      </c>
      <c r="F731" s="54">
        <v>10787684</v>
      </c>
      <c r="G731" s="54">
        <v>10787684</v>
      </c>
      <c r="H731" s="54">
        <v>0</v>
      </c>
      <c r="I731" s="54">
        <v>3621600.88</v>
      </c>
      <c r="J731" s="54">
        <v>44070</v>
      </c>
      <c r="K731" s="54">
        <v>3988966.3</v>
      </c>
      <c r="L731" s="177">
        <f t="shared" si="0"/>
        <v>0.36977040669711864</v>
      </c>
      <c r="M731" s="54">
        <v>3988966.3</v>
      </c>
      <c r="N731" s="178">
        <f t="shared" si="1"/>
        <v>0.36977040669711864</v>
      </c>
      <c r="O731" s="54">
        <v>3133046.82</v>
      </c>
      <c r="P731" s="178">
        <f t="shared" si="2"/>
        <v>0.29042812340443047</v>
      </c>
      <c r="Q731" s="50">
        <v>3133046.82</v>
      </c>
      <c r="R731" s="54"/>
      <c r="S731" s="54"/>
      <c r="T731" s="54"/>
      <c r="U731" s="159"/>
    </row>
    <row r="732" spans="1:21" x14ac:dyDescent="0.25">
      <c r="A732" s="53" t="s">
        <v>717</v>
      </c>
      <c r="B732" s="53" t="s">
        <v>188</v>
      </c>
      <c r="C732" s="53" t="s">
        <v>189</v>
      </c>
      <c r="D732" s="53" t="s">
        <v>69</v>
      </c>
      <c r="E732" s="54">
        <v>9500000</v>
      </c>
      <c r="F732" s="54">
        <v>5710000</v>
      </c>
      <c r="G732" s="54">
        <v>5710000</v>
      </c>
      <c r="H732" s="54">
        <v>0</v>
      </c>
      <c r="I732" s="54">
        <v>1006757.98</v>
      </c>
      <c r="J732" s="54">
        <v>0</v>
      </c>
      <c r="K732" s="54">
        <v>1694873.02</v>
      </c>
      <c r="L732" s="177">
        <f t="shared" si="0"/>
        <v>0.29682539754816112</v>
      </c>
      <c r="M732" s="54">
        <v>1694873.02</v>
      </c>
      <c r="N732" s="178">
        <f t="shared" si="1"/>
        <v>0.29682539754816112</v>
      </c>
      <c r="O732" s="54">
        <v>3008369</v>
      </c>
      <c r="P732" s="178">
        <f t="shared" si="2"/>
        <v>0.52685971978984236</v>
      </c>
      <c r="Q732" s="50">
        <v>3008369</v>
      </c>
      <c r="R732" s="54"/>
      <c r="S732" s="54"/>
      <c r="T732" s="54"/>
      <c r="U732" s="159"/>
    </row>
    <row r="733" spans="1:21" hidden="1" x14ac:dyDescent="0.25">
      <c r="A733" s="53" t="s">
        <v>717</v>
      </c>
      <c r="B733" s="53" t="s">
        <v>192</v>
      </c>
      <c r="C733" s="53" t="s">
        <v>193</v>
      </c>
      <c r="D733" s="53" t="s">
        <v>69</v>
      </c>
      <c r="E733" s="54">
        <v>11808004</v>
      </c>
      <c r="F733" s="54">
        <v>5077684</v>
      </c>
      <c r="G733" s="54">
        <v>5077684</v>
      </c>
      <c r="H733" s="54">
        <v>0</v>
      </c>
      <c r="I733" s="54">
        <v>2614842.9</v>
      </c>
      <c r="J733" s="54">
        <v>44070</v>
      </c>
      <c r="K733" s="54">
        <v>2294093.2799999998</v>
      </c>
      <c r="L733" s="177">
        <f t="shared" si="0"/>
        <v>0.45179914307388958</v>
      </c>
      <c r="M733" s="54">
        <v>2294093.2799999998</v>
      </c>
      <c r="N733" s="178">
        <f t="shared" si="1"/>
        <v>0.45179914307388958</v>
      </c>
      <c r="O733" s="54">
        <v>124677.82</v>
      </c>
      <c r="P733" s="178">
        <f t="shared" si="2"/>
        <v>2.4554072289650165E-2</v>
      </c>
      <c r="Q733" s="50">
        <v>124677.82</v>
      </c>
      <c r="R733" s="54"/>
      <c r="S733" s="54"/>
      <c r="T733" s="54"/>
      <c r="U733" s="159"/>
    </row>
    <row r="734" spans="1:21" hidden="1" x14ac:dyDescent="0.25">
      <c r="A734" s="53" t="s">
        <v>717</v>
      </c>
      <c r="B734" s="53" t="s">
        <v>196</v>
      </c>
      <c r="C734" s="53" t="s">
        <v>197</v>
      </c>
      <c r="D734" s="53" t="s">
        <v>69</v>
      </c>
      <c r="E734" s="54">
        <v>7008325</v>
      </c>
      <c r="F734" s="54">
        <v>6008325</v>
      </c>
      <c r="G734" s="54">
        <v>6008325</v>
      </c>
      <c r="H734" s="54">
        <v>0</v>
      </c>
      <c r="I734" s="54">
        <v>713330.7</v>
      </c>
      <c r="J734" s="54">
        <v>0</v>
      </c>
      <c r="K734" s="54">
        <v>2255383</v>
      </c>
      <c r="L734" s="177">
        <f t="shared" si="0"/>
        <v>0.37537633200600834</v>
      </c>
      <c r="M734" s="54">
        <v>2255383</v>
      </c>
      <c r="N734" s="178">
        <f t="shared" si="1"/>
        <v>0.37537633200600834</v>
      </c>
      <c r="O734" s="54">
        <v>3039611.3</v>
      </c>
      <c r="P734" s="178">
        <f t="shared" si="2"/>
        <v>0.50589994715665343</v>
      </c>
      <c r="Q734" s="50">
        <v>3039611.3</v>
      </c>
      <c r="R734" s="54"/>
      <c r="S734" s="54"/>
      <c r="T734" s="54"/>
      <c r="U734" s="159"/>
    </row>
    <row r="735" spans="1:21" x14ac:dyDescent="0.25">
      <c r="A735" s="53" t="s">
        <v>717</v>
      </c>
      <c r="B735" s="53" t="s">
        <v>198</v>
      </c>
      <c r="C735" s="53" t="s">
        <v>199</v>
      </c>
      <c r="D735" s="53" t="s">
        <v>69</v>
      </c>
      <c r="E735" s="54">
        <v>7008325</v>
      </c>
      <c r="F735" s="54">
        <v>6008325</v>
      </c>
      <c r="G735" s="54">
        <v>6008325</v>
      </c>
      <c r="H735" s="54">
        <v>0</v>
      </c>
      <c r="I735" s="54">
        <v>713330.7</v>
      </c>
      <c r="J735" s="54">
        <v>0</v>
      </c>
      <c r="K735" s="54">
        <v>2255383</v>
      </c>
      <c r="L735" s="177">
        <f t="shared" si="0"/>
        <v>0.37537633200600834</v>
      </c>
      <c r="M735" s="54">
        <v>2255383</v>
      </c>
      <c r="N735" s="178">
        <f t="shared" si="1"/>
        <v>0.37537633200600834</v>
      </c>
      <c r="O735" s="54">
        <v>3039611.3</v>
      </c>
      <c r="P735" s="178">
        <f t="shared" si="2"/>
        <v>0.50589994715665343</v>
      </c>
      <c r="Q735" s="50">
        <v>3039611.3</v>
      </c>
      <c r="R735" s="54"/>
      <c r="S735" s="54"/>
      <c r="T735" s="54"/>
      <c r="U735" s="159"/>
    </row>
    <row r="736" spans="1:21" hidden="1" x14ac:dyDescent="0.25">
      <c r="A736" s="53" t="s">
        <v>717</v>
      </c>
      <c r="B736" s="53" t="s">
        <v>200</v>
      </c>
      <c r="C736" s="53" t="s">
        <v>201</v>
      </c>
      <c r="D736" s="53" t="s">
        <v>69</v>
      </c>
      <c r="E736" s="54">
        <v>900000</v>
      </c>
      <c r="F736" s="54">
        <v>152954</v>
      </c>
      <c r="G736" s="54">
        <v>152953.01</v>
      </c>
      <c r="H736" s="54">
        <v>129939</v>
      </c>
      <c r="I736" s="54">
        <v>0</v>
      </c>
      <c r="J736" s="54">
        <v>0</v>
      </c>
      <c r="K736" s="54">
        <v>0</v>
      </c>
      <c r="L736" s="177">
        <f t="shared" si="0"/>
        <v>0</v>
      </c>
      <c r="M736" s="54">
        <v>0</v>
      </c>
      <c r="N736" s="178">
        <f t="shared" si="1"/>
        <v>0</v>
      </c>
      <c r="O736" s="54">
        <v>23015</v>
      </c>
      <c r="P736" s="178">
        <f t="shared" si="2"/>
        <v>0.15047007597055323</v>
      </c>
      <c r="Q736" s="50">
        <v>23014.01</v>
      </c>
      <c r="R736" s="54"/>
      <c r="S736" s="54"/>
      <c r="T736" s="54"/>
      <c r="U736" s="159"/>
    </row>
    <row r="737" spans="1:21" x14ac:dyDescent="0.25">
      <c r="A737" s="53" t="s">
        <v>717</v>
      </c>
      <c r="B737" s="53" t="s">
        <v>316</v>
      </c>
      <c r="C737" s="53" t="s">
        <v>317</v>
      </c>
      <c r="D737" s="53" t="s">
        <v>69</v>
      </c>
      <c r="E737" s="54">
        <v>420000</v>
      </c>
      <c r="F737" s="54">
        <v>20000</v>
      </c>
      <c r="G737" s="54">
        <v>19999.009999999998</v>
      </c>
      <c r="H737" s="54">
        <v>0</v>
      </c>
      <c r="I737" s="54">
        <v>0</v>
      </c>
      <c r="J737" s="54">
        <v>0</v>
      </c>
      <c r="K737" s="54">
        <v>0</v>
      </c>
      <c r="L737" s="177">
        <f t="shared" si="0"/>
        <v>0</v>
      </c>
      <c r="M737" s="54">
        <v>0</v>
      </c>
      <c r="N737" s="178">
        <f t="shared" si="1"/>
        <v>0</v>
      </c>
      <c r="O737" s="54">
        <v>20000</v>
      </c>
      <c r="P737" s="178">
        <f t="shared" si="2"/>
        <v>1</v>
      </c>
      <c r="Q737" s="50">
        <v>19999.009999999998</v>
      </c>
      <c r="R737" s="54"/>
      <c r="S737" s="54"/>
      <c r="T737" s="54"/>
      <c r="U737" s="159"/>
    </row>
    <row r="738" spans="1:21" hidden="1" x14ac:dyDescent="0.25">
      <c r="A738" s="53" t="s">
        <v>717</v>
      </c>
      <c r="B738" s="53" t="s">
        <v>202</v>
      </c>
      <c r="C738" s="53" t="s">
        <v>203</v>
      </c>
      <c r="D738" s="53" t="s">
        <v>69</v>
      </c>
      <c r="E738" s="54">
        <v>480000</v>
      </c>
      <c r="F738" s="54">
        <v>132954</v>
      </c>
      <c r="G738" s="54">
        <v>132954</v>
      </c>
      <c r="H738" s="54">
        <v>129939</v>
      </c>
      <c r="I738" s="54">
        <v>0</v>
      </c>
      <c r="J738" s="54">
        <v>0</v>
      </c>
      <c r="K738" s="54">
        <v>0</v>
      </c>
      <c r="L738" s="177">
        <f t="shared" si="0"/>
        <v>0</v>
      </c>
      <c r="M738" s="54">
        <v>0</v>
      </c>
      <c r="N738" s="178">
        <f t="shared" si="1"/>
        <v>0</v>
      </c>
      <c r="O738" s="54">
        <v>3015</v>
      </c>
      <c r="P738" s="178">
        <f t="shared" si="2"/>
        <v>2.2677016110835325E-2</v>
      </c>
      <c r="Q738" s="50">
        <v>3015</v>
      </c>
      <c r="R738" s="54"/>
      <c r="S738" s="54"/>
      <c r="T738" s="54"/>
      <c r="U738" s="159"/>
    </row>
    <row r="739" spans="1:21" hidden="1" x14ac:dyDescent="0.25">
      <c r="A739" s="53" t="s">
        <v>717</v>
      </c>
      <c r="B739" s="53" t="s">
        <v>206</v>
      </c>
      <c r="C739" s="53" t="s">
        <v>207</v>
      </c>
      <c r="D739" s="53" t="s">
        <v>69</v>
      </c>
      <c r="E739" s="54">
        <v>3052196</v>
      </c>
      <c r="F739" s="54">
        <v>0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177" t="e">
        <f t="shared" si="0"/>
        <v>#DIV/0!</v>
      </c>
      <c r="M739" s="54">
        <v>0</v>
      </c>
      <c r="N739" s="178" t="e">
        <f t="shared" si="1"/>
        <v>#DIV/0!</v>
      </c>
      <c r="O739" s="54">
        <v>0</v>
      </c>
      <c r="P739" s="178" t="e">
        <f t="shared" si="2"/>
        <v>#DIV/0!</v>
      </c>
      <c r="Q739" s="50">
        <v>0</v>
      </c>
      <c r="R739" s="54"/>
      <c r="S739" s="54"/>
      <c r="T739" s="54"/>
      <c r="U739" s="159"/>
    </row>
    <row r="740" spans="1:21" hidden="1" x14ac:dyDescent="0.25">
      <c r="A740" s="53" t="s">
        <v>717</v>
      </c>
      <c r="B740" s="53" t="s">
        <v>208</v>
      </c>
      <c r="C740" s="53" t="s">
        <v>209</v>
      </c>
      <c r="D740" s="53" t="s">
        <v>69</v>
      </c>
      <c r="E740" s="54">
        <v>885321</v>
      </c>
      <c r="F740" s="54">
        <v>0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177" t="e">
        <f t="shared" si="0"/>
        <v>#DIV/0!</v>
      </c>
      <c r="M740" s="54">
        <v>0</v>
      </c>
      <c r="N740" s="178" t="e">
        <f t="shared" si="1"/>
        <v>#DIV/0!</v>
      </c>
      <c r="O740" s="54">
        <v>0</v>
      </c>
      <c r="P740" s="178" t="e">
        <f t="shared" si="2"/>
        <v>#DIV/0!</v>
      </c>
      <c r="Q740" s="50">
        <v>0</v>
      </c>
      <c r="R740" s="54"/>
      <c r="S740" s="54"/>
      <c r="T740" s="54"/>
      <c r="U740" s="159"/>
    </row>
    <row r="741" spans="1:21" hidden="1" x14ac:dyDescent="0.25">
      <c r="A741" s="53" t="s">
        <v>717</v>
      </c>
      <c r="B741" s="53" t="s">
        <v>210</v>
      </c>
      <c r="C741" s="53" t="s">
        <v>211</v>
      </c>
      <c r="D741" s="53" t="s">
        <v>69</v>
      </c>
      <c r="E741" s="54">
        <v>2166875</v>
      </c>
      <c r="F741" s="54">
        <v>0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177" t="e">
        <f t="shared" si="0"/>
        <v>#DIV/0!</v>
      </c>
      <c r="M741" s="54">
        <v>0</v>
      </c>
      <c r="N741" s="178" t="e">
        <f t="shared" si="1"/>
        <v>#DIV/0!</v>
      </c>
      <c r="O741" s="54">
        <v>0</v>
      </c>
      <c r="P741" s="178" t="e">
        <f t="shared" si="2"/>
        <v>#DIV/0!</v>
      </c>
      <c r="Q741" s="50">
        <v>0</v>
      </c>
      <c r="R741" s="54"/>
      <c r="S741" s="54"/>
      <c r="T741" s="54"/>
      <c r="U741" s="159"/>
    </row>
    <row r="742" spans="1:21" hidden="1" x14ac:dyDescent="0.25">
      <c r="A742" s="53" t="s">
        <v>717</v>
      </c>
      <c r="B742" s="53" t="s">
        <v>212</v>
      </c>
      <c r="C742" s="53" t="s">
        <v>213</v>
      </c>
      <c r="D742" s="53" t="s">
        <v>69</v>
      </c>
      <c r="E742" s="54">
        <v>20615810</v>
      </c>
      <c r="F742" s="54">
        <v>13766790</v>
      </c>
      <c r="G742" s="54">
        <v>13766789.07</v>
      </c>
      <c r="H742" s="54">
        <v>0</v>
      </c>
      <c r="I742" s="54">
        <v>4486155.3600000003</v>
      </c>
      <c r="J742" s="54">
        <v>0</v>
      </c>
      <c r="K742" s="54">
        <v>6795988.0899999999</v>
      </c>
      <c r="L742" s="177">
        <f t="shared" si="0"/>
        <v>0.49365088666275869</v>
      </c>
      <c r="M742" s="54">
        <v>5945116.3700000001</v>
      </c>
      <c r="N742" s="178">
        <f t="shared" si="1"/>
        <v>0.43184477790392678</v>
      </c>
      <c r="O742" s="54">
        <v>2484646.5499999998</v>
      </c>
      <c r="P742" s="178">
        <f t="shared" si="2"/>
        <v>0.18048118334048821</v>
      </c>
      <c r="Q742" s="50">
        <v>2484645.62</v>
      </c>
      <c r="R742" s="54"/>
      <c r="S742" s="54"/>
      <c r="T742" s="54"/>
      <c r="U742" s="159"/>
    </row>
    <row r="743" spans="1:21" hidden="1" x14ac:dyDescent="0.25">
      <c r="A743" s="53" t="s">
        <v>717</v>
      </c>
      <c r="B743" s="53" t="s">
        <v>214</v>
      </c>
      <c r="C743" s="53" t="s">
        <v>215</v>
      </c>
      <c r="D743" s="53" t="s">
        <v>69</v>
      </c>
      <c r="E743" s="54">
        <v>8014742</v>
      </c>
      <c r="F743" s="54">
        <v>5474742</v>
      </c>
      <c r="G743" s="54">
        <v>5474742</v>
      </c>
      <c r="H743" s="54">
        <v>0</v>
      </c>
      <c r="I743" s="54">
        <v>2567890.17</v>
      </c>
      <c r="J743" s="54">
        <v>0</v>
      </c>
      <c r="K743" s="54">
        <v>2871009.33</v>
      </c>
      <c r="L743" s="177">
        <f t="shared" si="0"/>
        <v>0.52440997767566033</v>
      </c>
      <c r="M743" s="54">
        <v>2113927.61</v>
      </c>
      <c r="N743" s="178">
        <f t="shared" si="1"/>
        <v>0.38612369496133331</v>
      </c>
      <c r="O743" s="54">
        <v>35842.5</v>
      </c>
      <c r="P743" s="178">
        <f t="shared" si="2"/>
        <v>6.5468838531569156E-3</v>
      </c>
      <c r="Q743" s="50">
        <v>35842.5</v>
      </c>
      <c r="R743" s="54"/>
      <c r="S743" s="54"/>
      <c r="T743" s="54"/>
      <c r="U743" s="159"/>
    </row>
    <row r="744" spans="1:21" hidden="1" x14ac:dyDescent="0.25">
      <c r="A744" s="53" t="s">
        <v>717</v>
      </c>
      <c r="B744" s="53" t="s">
        <v>218</v>
      </c>
      <c r="C744" s="53" t="s">
        <v>219</v>
      </c>
      <c r="D744" s="53" t="s">
        <v>69</v>
      </c>
      <c r="E744" s="54">
        <v>5268045</v>
      </c>
      <c r="F744" s="54">
        <v>3698045</v>
      </c>
      <c r="G744" s="54">
        <v>3698044.47</v>
      </c>
      <c r="H744" s="54">
        <v>0</v>
      </c>
      <c r="I744" s="54">
        <v>642040.21</v>
      </c>
      <c r="J744" s="54">
        <v>0</v>
      </c>
      <c r="K744" s="54">
        <v>1636547.61</v>
      </c>
      <c r="L744" s="177">
        <f t="shared" si="0"/>
        <v>0.44254399554359131</v>
      </c>
      <c r="M744" s="54">
        <v>1542757.61</v>
      </c>
      <c r="N744" s="178">
        <f t="shared" si="1"/>
        <v>0.41718194613640452</v>
      </c>
      <c r="O744" s="54">
        <v>1419457.18</v>
      </c>
      <c r="P744" s="178">
        <f t="shared" si="2"/>
        <v>0.38383988837345134</v>
      </c>
      <c r="Q744" s="50">
        <v>1419456.65</v>
      </c>
      <c r="R744" s="54"/>
      <c r="S744" s="54"/>
      <c r="T744" s="54"/>
      <c r="U744" s="159"/>
    </row>
    <row r="745" spans="1:21" x14ac:dyDescent="0.25">
      <c r="A745" s="53" t="s">
        <v>717</v>
      </c>
      <c r="B745" s="53" t="s">
        <v>220</v>
      </c>
      <c r="C745" s="53" t="s">
        <v>221</v>
      </c>
      <c r="D745" s="53" t="s">
        <v>69</v>
      </c>
      <c r="E745" s="54">
        <v>3038980</v>
      </c>
      <c r="F745" s="54">
        <v>3980</v>
      </c>
      <c r="G745" s="54">
        <v>3979.6</v>
      </c>
      <c r="H745" s="54">
        <v>0</v>
      </c>
      <c r="I745" s="54">
        <v>0</v>
      </c>
      <c r="J745" s="54">
        <v>0</v>
      </c>
      <c r="K745" s="54">
        <v>0</v>
      </c>
      <c r="L745" s="177">
        <f t="shared" si="0"/>
        <v>0</v>
      </c>
      <c r="M745" s="54">
        <v>0</v>
      </c>
      <c r="N745" s="178">
        <f t="shared" si="1"/>
        <v>0</v>
      </c>
      <c r="O745" s="54">
        <v>3980</v>
      </c>
      <c r="P745" s="178">
        <f t="shared" si="2"/>
        <v>1</v>
      </c>
      <c r="Q745" s="50">
        <v>3979.6</v>
      </c>
      <c r="R745" s="54"/>
      <c r="S745" s="54"/>
      <c r="T745" s="54"/>
      <c r="U745" s="159"/>
    </row>
    <row r="746" spans="1:21" hidden="1" x14ac:dyDescent="0.25">
      <c r="A746" s="53" t="s">
        <v>717</v>
      </c>
      <c r="B746" s="53" t="s">
        <v>222</v>
      </c>
      <c r="C746" s="53" t="s">
        <v>223</v>
      </c>
      <c r="D746" s="53" t="s">
        <v>69</v>
      </c>
      <c r="E746" s="54">
        <v>2590023</v>
      </c>
      <c r="F746" s="54">
        <v>4590023</v>
      </c>
      <c r="G746" s="54">
        <v>4590023</v>
      </c>
      <c r="H746" s="54">
        <v>0</v>
      </c>
      <c r="I746" s="54">
        <v>1276224.98</v>
      </c>
      <c r="J746" s="54">
        <v>0</v>
      </c>
      <c r="K746" s="54">
        <v>2288431.15</v>
      </c>
      <c r="L746" s="177">
        <f t="shared" si="0"/>
        <v>0.49856637973273771</v>
      </c>
      <c r="M746" s="54">
        <v>2288431.15</v>
      </c>
      <c r="N746" s="178">
        <f t="shared" si="1"/>
        <v>0.49856637973273771</v>
      </c>
      <c r="O746" s="54">
        <v>1025366.87</v>
      </c>
      <c r="P746" s="178">
        <f t="shared" si="2"/>
        <v>0.22339035556030984</v>
      </c>
      <c r="Q746" s="50">
        <v>1025366.87</v>
      </c>
      <c r="R746" s="54"/>
      <c r="S746" s="54"/>
      <c r="T746" s="54"/>
      <c r="U746" s="44"/>
    </row>
    <row r="747" spans="1:21" hidden="1" x14ac:dyDescent="0.25">
      <c r="A747" s="53" t="s">
        <v>717</v>
      </c>
      <c r="B747" s="53" t="s">
        <v>226</v>
      </c>
      <c r="C747" s="53" t="s">
        <v>227</v>
      </c>
      <c r="D747" s="53" t="s">
        <v>69</v>
      </c>
      <c r="E747" s="54">
        <v>774300</v>
      </c>
      <c r="F747" s="54">
        <v>0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177" t="e">
        <f t="shared" si="0"/>
        <v>#DIV/0!</v>
      </c>
      <c r="M747" s="54">
        <v>0</v>
      </c>
      <c r="N747" s="178" t="e">
        <f t="shared" si="1"/>
        <v>#DIV/0!</v>
      </c>
      <c r="O747" s="54">
        <v>0</v>
      </c>
      <c r="P747" s="178" t="e">
        <f t="shared" si="2"/>
        <v>#DIV/0!</v>
      </c>
      <c r="Q747" s="50">
        <v>0</v>
      </c>
      <c r="R747" s="54"/>
      <c r="S747" s="54"/>
      <c r="T747" s="54"/>
      <c r="U747" s="44"/>
    </row>
    <row r="748" spans="1:21" hidden="1" x14ac:dyDescent="0.25">
      <c r="A748" s="53" t="s">
        <v>717</v>
      </c>
      <c r="B748" s="53" t="s">
        <v>228</v>
      </c>
      <c r="C748" s="53" t="s">
        <v>229</v>
      </c>
      <c r="D748" s="53" t="s">
        <v>69</v>
      </c>
      <c r="E748" s="54">
        <v>929720</v>
      </c>
      <c r="F748" s="54">
        <v>0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177" t="e">
        <f t="shared" si="0"/>
        <v>#DIV/0!</v>
      </c>
      <c r="M748" s="54">
        <v>0</v>
      </c>
      <c r="N748" s="178" t="e">
        <f t="shared" si="1"/>
        <v>#DIV/0!</v>
      </c>
      <c r="O748" s="54">
        <v>0</v>
      </c>
      <c r="P748" s="178" t="e">
        <f t="shared" si="2"/>
        <v>#DIV/0!</v>
      </c>
      <c r="Q748" s="50">
        <v>0</v>
      </c>
      <c r="R748" s="54"/>
      <c r="S748" s="54"/>
      <c r="T748" s="54"/>
      <c r="U748" s="44"/>
    </row>
    <row r="749" spans="1:21" hidden="1" x14ac:dyDescent="0.25">
      <c r="A749" s="53" t="s">
        <v>717</v>
      </c>
      <c r="B749" s="53" t="s">
        <v>248</v>
      </c>
      <c r="C749" s="53" t="s">
        <v>249</v>
      </c>
      <c r="D749" s="53" t="s">
        <v>69</v>
      </c>
      <c r="E749" s="54">
        <v>50610852</v>
      </c>
      <c r="F749" s="54">
        <v>43150811</v>
      </c>
      <c r="G749" s="54">
        <v>43071647</v>
      </c>
      <c r="H749" s="54">
        <v>0</v>
      </c>
      <c r="I749" s="54">
        <v>3453997</v>
      </c>
      <c r="J749" s="54">
        <v>0</v>
      </c>
      <c r="K749" s="54">
        <v>15827809.5</v>
      </c>
      <c r="L749" s="177">
        <f t="shared" si="0"/>
        <v>0.36680213264126138</v>
      </c>
      <c r="M749" s="54">
        <v>15827809.5</v>
      </c>
      <c r="N749" s="178">
        <f t="shared" si="1"/>
        <v>0.36680213264126138</v>
      </c>
      <c r="O749" s="54">
        <v>23869004.5</v>
      </c>
      <c r="P749" s="178">
        <f t="shared" si="2"/>
        <v>0.55315309137526991</v>
      </c>
      <c r="Q749" s="50">
        <v>23789840.5</v>
      </c>
      <c r="R749" s="54"/>
      <c r="S749" s="54"/>
      <c r="T749" s="54"/>
      <c r="U749" s="44"/>
    </row>
    <row r="750" spans="1:21" hidden="1" x14ac:dyDescent="0.25">
      <c r="A750" s="53" t="s">
        <v>717</v>
      </c>
      <c r="B750" s="53" t="s">
        <v>250</v>
      </c>
      <c r="C750" s="53" t="s">
        <v>251</v>
      </c>
      <c r="D750" s="53" t="s">
        <v>69</v>
      </c>
      <c r="E750" s="54">
        <v>14610852</v>
      </c>
      <c r="F750" s="54">
        <v>14150811</v>
      </c>
      <c r="G750" s="54">
        <v>14071647</v>
      </c>
      <c r="H750" s="54">
        <v>0</v>
      </c>
      <c r="I750" s="54">
        <v>3453997</v>
      </c>
      <c r="J750" s="54">
        <v>0</v>
      </c>
      <c r="K750" s="54">
        <v>10617650</v>
      </c>
      <c r="L750" s="177">
        <f t="shared" si="0"/>
        <v>0.75032095333617277</v>
      </c>
      <c r="M750" s="54">
        <v>10617650</v>
      </c>
      <c r="N750" s="178">
        <f t="shared" si="1"/>
        <v>0.75032095333617277</v>
      </c>
      <c r="O750" s="54">
        <v>79164</v>
      </c>
      <c r="P750" s="178">
        <f t="shared" si="2"/>
        <v>5.5943083403488325E-3</v>
      </c>
      <c r="Q750" s="50">
        <v>0</v>
      </c>
      <c r="R750" s="54"/>
      <c r="S750" s="54"/>
      <c r="T750" s="54"/>
      <c r="U750" s="44"/>
    </row>
    <row r="751" spans="1:21" hidden="1" x14ac:dyDescent="0.25">
      <c r="A751" s="53" t="s">
        <v>717</v>
      </c>
      <c r="B751" s="53" t="s">
        <v>636</v>
      </c>
      <c r="C751" s="53" t="s">
        <v>702</v>
      </c>
      <c r="D751" s="53" t="s">
        <v>69</v>
      </c>
      <c r="E751" s="54">
        <v>12410435</v>
      </c>
      <c r="F751" s="54">
        <v>12019677</v>
      </c>
      <c r="G751" s="54">
        <v>11952435</v>
      </c>
      <c r="H751" s="54">
        <v>0</v>
      </c>
      <c r="I751" s="54">
        <v>2961685</v>
      </c>
      <c r="J751" s="54">
        <v>0</v>
      </c>
      <c r="K751" s="54">
        <v>8990750</v>
      </c>
      <c r="L751" s="177">
        <f t="shared" si="0"/>
        <v>0.74800262935518147</v>
      </c>
      <c r="M751" s="54">
        <v>8990750</v>
      </c>
      <c r="N751" s="178">
        <f t="shared" si="1"/>
        <v>0.74800262935518147</v>
      </c>
      <c r="O751" s="54">
        <v>67242</v>
      </c>
      <c r="P751" s="178">
        <f t="shared" si="2"/>
        <v>5.5943267027891014E-3</v>
      </c>
      <c r="Q751" s="50">
        <v>0</v>
      </c>
      <c r="R751" s="54"/>
      <c r="S751" s="54"/>
      <c r="T751" s="54"/>
      <c r="U751" s="44"/>
    </row>
    <row r="752" spans="1:21" hidden="1" x14ac:dyDescent="0.25">
      <c r="A752" s="53" t="s">
        <v>717</v>
      </c>
      <c r="B752" s="53" t="s">
        <v>651</v>
      </c>
      <c r="C752" s="53" t="s">
        <v>703</v>
      </c>
      <c r="D752" s="53" t="s">
        <v>69</v>
      </c>
      <c r="E752" s="54">
        <v>2200417</v>
      </c>
      <c r="F752" s="54">
        <v>2131134</v>
      </c>
      <c r="G752" s="54">
        <v>2119212</v>
      </c>
      <c r="H752" s="54">
        <v>0</v>
      </c>
      <c r="I752" s="54">
        <v>492312</v>
      </c>
      <c r="J752" s="54">
        <v>0</v>
      </c>
      <c r="K752" s="54">
        <v>1626900</v>
      </c>
      <c r="L752" s="177">
        <f t="shared" si="0"/>
        <v>0.76339638896474837</v>
      </c>
      <c r="M752" s="54">
        <v>1626900</v>
      </c>
      <c r="N752" s="178">
        <f t="shared" si="1"/>
        <v>0.76339638896474837</v>
      </c>
      <c r="O752" s="54">
        <v>11922</v>
      </c>
      <c r="P752" s="178">
        <f t="shared" si="2"/>
        <v>5.594204775485727E-3</v>
      </c>
      <c r="Q752" s="50">
        <v>0</v>
      </c>
      <c r="R752" s="54"/>
      <c r="S752" s="54"/>
      <c r="T752" s="54"/>
      <c r="U752" s="44"/>
    </row>
    <row r="753" spans="1:21" hidden="1" x14ac:dyDescent="0.25">
      <c r="A753" s="53" t="s">
        <v>717</v>
      </c>
      <c r="B753" s="53" t="s">
        <v>260</v>
      </c>
      <c r="C753" s="53" t="s">
        <v>261</v>
      </c>
      <c r="D753" s="53" t="s">
        <v>69</v>
      </c>
      <c r="E753" s="54">
        <v>26000000</v>
      </c>
      <c r="F753" s="54">
        <v>21500000</v>
      </c>
      <c r="G753" s="54">
        <v>21500000</v>
      </c>
      <c r="H753" s="54">
        <v>0</v>
      </c>
      <c r="I753" s="54">
        <v>0</v>
      </c>
      <c r="J753" s="54">
        <v>0</v>
      </c>
      <c r="K753" s="54">
        <v>5210159.5</v>
      </c>
      <c r="L753" s="177">
        <f t="shared" si="0"/>
        <v>0.24233299999999999</v>
      </c>
      <c r="M753" s="54">
        <v>5210159.5</v>
      </c>
      <c r="N753" s="178">
        <f t="shared" si="1"/>
        <v>0.24233299999999999</v>
      </c>
      <c r="O753" s="54">
        <v>16289840.5</v>
      </c>
      <c r="P753" s="178">
        <f t="shared" si="2"/>
        <v>0.75766699999999998</v>
      </c>
      <c r="Q753" s="50">
        <v>16289840.5</v>
      </c>
      <c r="R753" s="54"/>
      <c r="S753" s="54"/>
      <c r="T753" s="54"/>
      <c r="U753" s="44"/>
    </row>
    <row r="754" spans="1:21" x14ac:dyDescent="0.25">
      <c r="A754" s="53" t="s">
        <v>717</v>
      </c>
      <c r="B754" s="53" t="s">
        <v>262</v>
      </c>
      <c r="C754" s="53" t="s">
        <v>263</v>
      </c>
      <c r="D754" s="53" t="s">
        <v>69</v>
      </c>
      <c r="E754" s="54">
        <v>18000000</v>
      </c>
      <c r="F754" s="54">
        <v>13500000</v>
      </c>
      <c r="G754" s="54">
        <v>13500000</v>
      </c>
      <c r="H754" s="54">
        <v>0</v>
      </c>
      <c r="I754" s="54">
        <v>0</v>
      </c>
      <c r="J754" s="54">
        <v>0</v>
      </c>
      <c r="K754" s="54">
        <v>0</v>
      </c>
      <c r="L754" s="177">
        <f t="shared" si="0"/>
        <v>0</v>
      </c>
      <c r="M754" s="54">
        <v>0</v>
      </c>
      <c r="N754" s="178">
        <f t="shared" si="1"/>
        <v>0</v>
      </c>
      <c r="O754" s="54">
        <v>13500000</v>
      </c>
      <c r="P754" s="178">
        <f t="shared" si="2"/>
        <v>1</v>
      </c>
      <c r="Q754" s="50">
        <v>13500000</v>
      </c>
      <c r="R754" s="54"/>
      <c r="S754" s="54"/>
      <c r="T754" s="54"/>
      <c r="U754" s="160"/>
    </row>
    <row r="755" spans="1:21" hidden="1" x14ac:dyDescent="0.25">
      <c r="A755" s="53" t="s">
        <v>717</v>
      </c>
      <c r="B755" s="53" t="s">
        <v>264</v>
      </c>
      <c r="C755" s="53" t="s">
        <v>265</v>
      </c>
      <c r="D755" s="53" t="s">
        <v>69</v>
      </c>
      <c r="E755" s="54">
        <v>8000000</v>
      </c>
      <c r="F755" s="54">
        <v>8000000</v>
      </c>
      <c r="G755" s="54">
        <v>8000000</v>
      </c>
      <c r="H755" s="54">
        <v>0</v>
      </c>
      <c r="I755" s="54">
        <v>0</v>
      </c>
      <c r="J755" s="54">
        <v>0</v>
      </c>
      <c r="K755" s="54">
        <v>5210159.5</v>
      </c>
      <c r="L755" s="177">
        <f t="shared" si="0"/>
        <v>0.65126993749999995</v>
      </c>
      <c r="M755" s="54">
        <v>5210159.5</v>
      </c>
      <c r="N755" s="178">
        <f t="shared" si="1"/>
        <v>0.65126993749999995</v>
      </c>
      <c r="O755" s="54">
        <v>2789840.5</v>
      </c>
      <c r="P755" s="178">
        <f t="shared" si="2"/>
        <v>0.34873006249999999</v>
      </c>
      <c r="Q755" s="50">
        <v>2789840.5</v>
      </c>
      <c r="R755" s="54"/>
      <c r="S755" s="54"/>
      <c r="T755" s="54"/>
      <c r="U755" s="44"/>
    </row>
    <row r="756" spans="1:21" hidden="1" x14ac:dyDescent="0.25">
      <c r="A756" s="53" t="s">
        <v>717</v>
      </c>
      <c r="B756" s="53" t="s">
        <v>286</v>
      </c>
      <c r="C756" s="53" t="s">
        <v>287</v>
      </c>
      <c r="D756" s="53" t="s">
        <v>69</v>
      </c>
      <c r="E756" s="54">
        <v>10000000</v>
      </c>
      <c r="F756" s="54">
        <v>7500000</v>
      </c>
      <c r="G756" s="54">
        <v>7500000</v>
      </c>
      <c r="H756" s="54">
        <v>0</v>
      </c>
      <c r="I756" s="54">
        <v>0</v>
      </c>
      <c r="J756" s="54">
        <v>0</v>
      </c>
      <c r="K756" s="54">
        <v>0</v>
      </c>
      <c r="L756" s="177">
        <f t="shared" si="0"/>
        <v>0</v>
      </c>
      <c r="M756" s="54">
        <v>0</v>
      </c>
      <c r="N756" s="178">
        <f t="shared" si="1"/>
        <v>0</v>
      </c>
      <c r="O756" s="54">
        <v>7500000</v>
      </c>
      <c r="P756" s="178">
        <f t="shared" si="2"/>
        <v>1</v>
      </c>
      <c r="Q756" s="50">
        <v>7500000</v>
      </c>
      <c r="R756" s="54"/>
      <c r="S756" s="54"/>
      <c r="T756" s="54"/>
      <c r="U756" s="44"/>
    </row>
    <row r="757" spans="1:21" x14ac:dyDescent="0.25">
      <c r="A757" s="53" t="s">
        <v>717</v>
      </c>
      <c r="B757" s="53" t="s">
        <v>288</v>
      </c>
      <c r="C757" s="53" t="s">
        <v>289</v>
      </c>
      <c r="D757" s="53" t="s">
        <v>69</v>
      </c>
      <c r="E757" s="54">
        <v>10000000</v>
      </c>
      <c r="F757" s="54">
        <v>7500000</v>
      </c>
      <c r="G757" s="54">
        <v>7500000</v>
      </c>
      <c r="H757" s="54">
        <v>0</v>
      </c>
      <c r="I757" s="54">
        <v>0</v>
      </c>
      <c r="J757" s="54">
        <v>0</v>
      </c>
      <c r="K757" s="54">
        <v>0</v>
      </c>
      <c r="L757" s="177">
        <f t="shared" si="0"/>
        <v>0</v>
      </c>
      <c r="M757" s="54">
        <v>0</v>
      </c>
      <c r="N757" s="178">
        <f t="shared" si="1"/>
        <v>0</v>
      </c>
      <c r="O757" s="54">
        <v>7500000</v>
      </c>
      <c r="P757" s="178">
        <f t="shared" si="2"/>
        <v>1</v>
      </c>
      <c r="Q757" s="50">
        <v>7500000</v>
      </c>
      <c r="R757" s="54"/>
      <c r="S757" s="54"/>
      <c r="T757" s="54"/>
      <c r="U757" s="160"/>
    </row>
    <row r="758" spans="1:21" hidden="1" x14ac:dyDescent="0.25">
      <c r="A758" s="53" t="s">
        <v>717</v>
      </c>
      <c r="B758" s="53" t="s">
        <v>230</v>
      </c>
      <c r="C758" s="53" t="s">
        <v>231</v>
      </c>
      <c r="D758" s="53" t="s">
        <v>85</v>
      </c>
      <c r="E758" s="54">
        <v>45174214</v>
      </c>
      <c r="F758" s="54">
        <v>9327344</v>
      </c>
      <c r="G758" s="54">
        <v>9327344</v>
      </c>
      <c r="H758" s="54">
        <v>0</v>
      </c>
      <c r="I758" s="54">
        <v>7839443.3700000001</v>
      </c>
      <c r="J758" s="54">
        <v>0</v>
      </c>
      <c r="K758" s="54">
        <v>1215366.75</v>
      </c>
      <c r="L758" s="177">
        <f t="shared" si="0"/>
        <v>0.13030148239413064</v>
      </c>
      <c r="M758" s="54">
        <v>1215366.75</v>
      </c>
      <c r="N758" s="178">
        <f t="shared" si="1"/>
        <v>0.13030148239413064</v>
      </c>
      <c r="O758" s="54">
        <v>272533.88</v>
      </c>
      <c r="P758" s="178">
        <f t="shared" si="2"/>
        <v>2.9218808698381876E-2</v>
      </c>
      <c r="Q758" s="50">
        <v>272533.88</v>
      </c>
      <c r="R758" s="54"/>
      <c r="S758" s="54"/>
      <c r="T758" s="54"/>
      <c r="U758" s="44"/>
    </row>
    <row r="759" spans="1:21" hidden="1" x14ac:dyDescent="0.25">
      <c r="A759" s="53" t="s">
        <v>717</v>
      </c>
      <c r="B759" s="53" t="s">
        <v>232</v>
      </c>
      <c r="C759" s="53" t="s">
        <v>233</v>
      </c>
      <c r="D759" s="53" t="s">
        <v>85</v>
      </c>
      <c r="E759" s="54">
        <v>45174214</v>
      </c>
      <c r="F759" s="54">
        <v>9327344</v>
      </c>
      <c r="G759" s="54">
        <v>9327344</v>
      </c>
      <c r="H759" s="54">
        <v>0</v>
      </c>
      <c r="I759" s="54">
        <v>7839443.3700000001</v>
      </c>
      <c r="J759" s="54">
        <v>0</v>
      </c>
      <c r="K759" s="54">
        <v>1215366.75</v>
      </c>
      <c r="L759" s="177">
        <f t="shared" si="0"/>
        <v>0.13030148239413064</v>
      </c>
      <c r="M759" s="54">
        <v>1215366.75</v>
      </c>
      <c r="N759" s="178">
        <f t="shared" si="1"/>
        <v>0.13030148239413064</v>
      </c>
      <c r="O759" s="54">
        <v>272533.88</v>
      </c>
      <c r="P759" s="178">
        <f t="shared" si="2"/>
        <v>2.9218808698381876E-2</v>
      </c>
      <c r="Q759" s="50">
        <v>272533.88</v>
      </c>
      <c r="R759" s="54"/>
      <c r="S759" s="54"/>
      <c r="T759" s="54"/>
      <c r="U759" s="44"/>
    </row>
    <row r="760" spans="1:21" hidden="1" x14ac:dyDescent="0.25">
      <c r="A760" s="53" t="s">
        <v>717</v>
      </c>
      <c r="B760" s="53" t="s">
        <v>324</v>
      </c>
      <c r="C760" s="53" t="s">
        <v>325</v>
      </c>
      <c r="D760" s="53" t="s">
        <v>85</v>
      </c>
      <c r="E760" s="54">
        <v>400000</v>
      </c>
      <c r="F760" s="54">
        <v>0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177" t="e">
        <f t="shared" si="0"/>
        <v>#DIV/0!</v>
      </c>
      <c r="M760" s="54">
        <v>0</v>
      </c>
      <c r="N760" s="178" t="e">
        <f t="shared" si="1"/>
        <v>#DIV/0!</v>
      </c>
      <c r="O760" s="54">
        <v>0</v>
      </c>
      <c r="P760" s="178" t="e">
        <f t="shared" si="2"/>
        <v>#DIV/0!</v>
      </c>
      <c r="Q760" s="50">
        <v>0</v>
      </c>
      <c r="R760" s="54"/>
      <c r="S760" s="54"/>
      <c r="T760" s="54"/>
      <c r="U760" s="44"/>
    </row>
    <row r="761" spans="1:21" hidden="1" x14ac:dyDescent="0.25">
      <c r="A761" s="53" t="s">
        <v>717</v>
      </c>
      <c r="B761" s="53" t="s">
        <v>236</v>
      </c>
      <c r="C761" s="53" t="s">
        <v>237</v>
      </c>
      <c r="D761" s="53" t="s">
        <v>85</v>
      </c>
      <c r="E761" s="54">
        <v>10235014</v>
      </c>
      <c r="F761" s="54">
        <v>1010184</v>
      </c>
      <c r="G761" s="54">
        <v>1010184</v>
      </c>
      <c r="H761" s="54">
        <v>0</v>
      </c>
      <c r="I761" s="54">
        <v>0</v>
      </c>
      <c r="J761" s="54">
        <v>0</v>
      </c>
      <c r="K761" s="54">
        <v>1010183.4</v>
      </c>
      <c r="L761" s="177">
        <f t="shared" si="0"/>
        <v>0.999999406048799</v>
      </c>
      <c r="M761" s="54">
        <v>1010183.4</v>
      </c>
      <c r="N761" s="178">
        <f t="shared" si="1"/>
        <v>0.999999406048799</v>
      </c>
      <c r="O761" s="54">
        <v>0.60000000000000009</v>
      </c>
      <c r="P761" s="178">
        <f t="shared" si="2"/>
        <v>5.9395120096932847E-7</v>
      </c>
      <c r="Q761" s="50">
        <v>0.60000000000000009</v>
      </c>
      <c r="R761" s="54"/>
      <c r="S761" s="54"/>
      <c r="T761" s="54"/>
      <c r="U761" s="44"/>
    </row>
    <row r="762" spans="1:21" hidden="1" x14ac:dyDescent="0.25">
      <c r="A762" s="53" t="s">
        <v>717</v>
      </c>
      <c r="B762" s="53" t="s">
        <v>238</v>
      </c>
      <c r="C762" s="53" t="s">
        <v>239</v>
      </c>
      <c r="D762" s="53" t="s">
        <v>85</v>
      </c>
      <c r="E762" s="54">
        <v>3243620</v>
      </c>
      <c r="F762" s="54">
        <v>243620</v>
      </c>
      <c r="G762" s="54">
        <v>243620</v>
      </c>
      <c r="H762" s="54">
        <v>0</v>
      </c>
      <c r="I762" s="54">
        <v>22870.37</v>
      </c>
      <c r="J762" s="54">
        <v>0</v>
      </c>
      <c r="K762" s="54">
        <v>205183.35</v>
      </c>
      <c r="L762" s="177">
        <f t="shared" si="0"/>
        <v>0.84222703390526232</v>
      </c>
      <c r="M762" s="54">
        <v>205183.35</v>
      </c>
      <c r="N762" s="178">
        <f t="shared" si="1"/>
        <v>0.84222703390526232</v>
      </c>
      <c r="O762" s="54">
        <v>15566.28</v>
      </c>
      <c r="P762" s="178">
        <f t="shared" si="2"/>
        <v>6.3895739266070117E-2</v>
      </c>
      <c r="Q762" s="50">
        <v>15566.28</v>
      </c>
      <c r="R762" s="54"/>
      <c r="S762" s="54"/>
      <c r="T762" s="54"/>
      <c r="U762" s="44"/>
    </row>
    <row r="763" spans="1:21" x14ac:dyDescent="0.25">
      <c r="A763" s="53" t="s">
        <v>717</v>
      </c>
      <c r="B763" s="53" t="s">
        <v>282</v>
      </c>
      <c r="C763" s="53" t="s">
        <v>283</v>
      </c>
      <c r="D763" s="53" t="s">
        <v>85</v>
      </c>
      <c r="E763" s="54">
        <v>414480</v>
      </c>
      <c r="F763" s="54">
        <v>480</v>
      </c>
      <c r="G763" s="54">
        <v>480</v>
      </c>
      <c r="H763" s="54">
        <v>0</v>
      </c>
      <c r="I763" s="54">
        <v>0</v>
      </c>
      <c r="J763" s="54">
        <v>0</v>
      </c>
      <c r="K763" s="54">
        <v>0</v>
      </c>
      <c r="L763" s="177">
        <f t="shared" si="0"/>
        <v>0</v>
      </c>
      <c r="M763" s="54">
        <v>0</v>
      </c>
      <c r="N763" s="178">
        <f t="shared" si="1"/>
        <v>0</v>
      </c>
      <c r="O763" s="179">
        <v>480</v>
      </c>
      <c r="P763" s="178">
        <f t="shared" si="2"/>
        <v>1</v>
      </c>
      <c r="Q763" s="50">
        <v>480</v>
      </c>
      <c r="R763" s="179"/>
      <c r="S763" s="179"/>
      <c r="T763" s="179"/>
      <c r="U763" s="159"/>
    </row>
    <row r="764" spans="1:21" hidden="1" x14ac:dyDescent="0.25">
      <c r="A764" s="53" t="s">
        <v>717</v>
      </c>
      <c r="B764" s="53" t="s">
        <v>240</v>
      </c>
      <c r="C764" s="53" t="s">
        <v>241</v>
      </c>
      <c r="D764" s="53" t="s">
        <v>85</v>
      </c>
      <c r="E764" s="54">
        <v>27531100</v>
      </c>
      <c r="F764" s="54">
        <v>8010660</v>
      </c>
      <c r="G764" s="54">
        <v>8010660</v>
      </c>
      <c r="H764" s="54">
        <v>0</v>
      </c>
      <c r="I764" s="54">
        <v>7754173</v>
      </c>
      <c r="J764" s="54">
        <v>0</v>
      </c>
      <c r="K764" s="54">
        <v>0</v>
      </c>
      <c r="L764" s="177">
        <f t="shared" si="0"/>
        <v>0</v>
      </c>
      <c r="M764" s="54">
        <v>0</v>
      </c>
      <c r="N764" s="178">
        <f t="shared" si="1"/>
        <v>0</v>
      </c>
      <c r="O764" s="54">
        <v>256487</v>
      </c>
      <c r="P764" s="178">
        <f t="shared" si="2"/>
        <v>3.2018210734196681E-2</v>
      </c>
      <c r="Q764" s="50">
        <v>256487</v>
      </c>
      <c r="R764" s="54"/>
      <c r="S764" s="54"/>
      <c r="T764" s="54"/>
      <c r="U764" s="159"/>
    </row>
    <row r="765" spans="1:21" hidden="1" x14ac:dyDescent="0.25">
      <c r="A765" s="53" t="s">
        <v>717</v>
      </c>
      <c r="B765" s="53" t="s">
        <v>242</v>
      </c>
      <c r="C765" s="53" t="s">
        <v>243</v>
      </c>
      <c r="D765" s="53" t="s">
        <v>85</v>
      </c>
      <c r="E765" s="54">
        <v>3350000</v>
      </c>
      <c r="F765" s="54">
        <v>62400</v>
      </c>
      <c r="G765" s="54">
        <v>62400</v>
      </c>
      <c r="H765" s="54">
        <v>0</v>
      </c>
      <c r="I765" s="54">
        <v>62400</v>
      </c>
      <c r="J765" s="54">
        <v>0</v>
      </c>
      <c r="K765" s="54">
        <v>0</v>
      </c>
      <c r="L765" s="177">
        <f t="shared" si="0"/>
        <v>0</v>
      </c>
      <c r="M765" s="54">
        <v>0</v>
      </c>
      <c r="N765" s="178">
        <f t="shared" si="1"/>
        <v>0</v>
      </c>
      <c r="O765" s="54">
        <v>0</v>
      </c>
      <c r="P765" s="178">
        <f t="shared" si="2"/>
        <v>0</v>
      </c>
      <c r="Q765" s="50">
        <v>0</v>
      </c>
      <c r="R765" s="54"/>
      <c r="S765" s="54"/>
      <c r="T765" s="54"/>
      <c r="U765" s="159"/>
    </row>
    <row r="766" spans="1:21" hidden="1" x14ac:dyDescent="0.25">
      <c r="A766" s="53">
        <v>214791</v>
      </c>
      <c r="B766" s="53"/>
      <c r="C766" s="53"/>
      <c r="D766" s="53" t="s">
        <v>69</v>
      </c>
      <c r="E766" s="54">
        <v>7826709762</v>
      </c>
      <c r="F766" s="54">
        <v>7640097492</v>
      </c>
      <c r="G766" s="54">
        <v>7514632632</v>
      </c>
      <c r="H766" s="54">
        <v>0</v>
      </c>
      <c r="I766" s="54">
        <v>232236333.03</v>
      </c>
      <c r="J766" s="54">
        <v>0</v>
      </c>
      <c r="K766" s="54">
        <v>5693036434.3999996</v>
      </c>
      <c r="L766" s="177">
        <f t="shared" si="0"/>
        <v>0.74515232827345701</v>
      </c>
      <c r="M766" s="54">
        <v>5693036434.3999996</v>
      </c>
      <c r="N766" s="178">
        <f t="shared" si="1"/>
        <v>0.74515232827345701</v>
      </c>
      <c r="O766" s="54">
        <v>1714824724.5699999</v>
      </c>
      <c r="P766" s="178">
        <f t="shared" si="2"/>
        <v>0.22445063382576008</v>
      </c>
      <c r="Q766" s="50">
        <v>1589359864.5699999</v>
      </c>
      <c r="R766" s="54"/>
      <c r="S766" s="54"/>
      <c r="T766" s="54"/>
      <c r="U766" s="159"/>
    </row>
    <row r="767" spans="1:21" hidden="1" x14ac:dyDescent="0.25">
      <c r="A767" s="53" t="s">
        <v>719</v>
      </c>
      <c r="B767" s="53" t="s">
        <v>71</v>
      </c>
      <c r="C767" s="53" t="s">
        <v>72</v>
      </c>
      <c r="D767" s="53" t="s">
        <v>69</v>
      </c>
      <c r="E767" s="54">
        <v>7726375169</v>
      </c>
      <c r="F767" s="54">
        <v>7475052781</v>
      </c>
      <c r="G767" s="54">
        <v>7350230001</v>
      </c>
      <c r="H767" s="54">
        <v>0</v>
      </c>
      <c r="I767" s="54">
        <v>211739138.11000001</v>
      </c>
      <c r="J767" s="54">
        <v>0</v>
      </c>
      <c r="K767" s="54">
        <v>5575090809</v>
      </c>
      <c r="L767" s="177">
        <f t="shared" si="0"/>
        <v>0.74582628007265706</v>
      </c>
      <c r="M767" s="54">
        <v>5575090809</v>
      </c>
      <c r="N767" s="178">
        <f t="shared" si="1"/>
        <v>0.74582628007265706</v>
      </c>
      <c r="O767" s="54">
        <v>1688222833.8900001</v>
      </c>
      <c r="P767" s="178">
        <f t="shared" si="2"/>
        <v>0.22584761383640056</v>
      </c>
      <c r="Q767" s="50">
        <v>1563400053.8900001</v>
      </c>
      <c r="R767" s="54"/>
      <c r="S767" s="54"/>
      <c r="T767" s="54"/>
      <c r="U767" s="159"/>
    </row>
    <row r="768" spans="1:21" hidden="1" x14ac:dyDescent="0.25">
      <c r="A768" s="53" t="s">
        <v>719</v>
      </c>
      <c r="B768" s="53" t="s">
        <v>73</v>
      </c>
      <c r="C768" s="53" t="s">
        <v>74</v>
      </c>
      <c r="D768" s="53" t="s">
        <v>69</v>
      </c>
      <c r="E768" s="54">
        <v>2598911346</v>
      </c>
      <c r="F768" s="54">
        <v>2502453188</v>
      </c>
      <c r="G768" s="54">
        <v>2482450977</v>
      </c>
      <c r="H768" s="54">
        <v>0</v>
      </c>
      <c r="I768" s="54">
        <v>0</v>
      </c>
      <c r="J768" s="54">
        <v>0</v>
      </c>
      <c r="K768" s="54">
        <v>2015777600.4000001</v>
      </c>
      <c r="L768" s="177">
        <f t="shared" si="0"/>
        <v>0.8055206027694134</v>
      </c>
      <c r="M768" s="54">
        <v>2015777600.4000001</v>
      </c>
      <c r="N768" s="178">
        <f t="shared" si="1"/>
        <v>0.8055206027694134</v>
      </c>
      <c r="O768" s="54">
        <v>486675587.60000002</v>
      </c>
      <c r="P768" s="178">
        <f t="shared" si="2"/>
        <v>0.19447939723058669</v>
      </c>
      <c r="Q768" s="50">
        <v>466673376.60000002</v>
      </c>
      <c r="R768" s="54"/>
      <c r="S768" s="54"/>
      <c r="T768" s="54"/>
      <c r="U768" s="159"/>
    </row>
    <row r="769" spans="1:21" hidden="1" x14ac:dyDescent="0.25">
      <c r="A769" s="53" t="s">
        <v>719</v>
      </c>
      <c r="B769" s="53" t="s">
        <v>75</v>
      </c>
      <c r="C769" s="53" t="s">
        <v>76</v>
      </c>
      <c r="D769" s="53" t="s">
        <v>69</v>
      </c>
      <c r="E769" s="54">
        <v>2598911346</v>
      </c>
      <c r="F769" s="54">
        <v>2498453188</v>
      </c>
      <c r="G769" s="54">
        <v>2478450977</v>
      </c>
      <c r="H769" s="54">
        <v>0</v>
      </c>
      <c r="I769" s="54">
        <v>0</v>
      </c>
      <c r="J769" s="54">
        <v>0</v>
      </c>
      <c r="K769" s="54">
        <v>2015777600.4000001</v>
      </c>
      <c r="L769" s="177">
        <f t="shared" si="0"/>
        <v>0.80681023366045956</v>
      </c>
      <c r="M769" s="54">
        <v>2015777600.4000001</v>
      </c>
      <c r="N769" s="178">
        <f t="shared" si="1"/>
        <v>0.80681023366045956</v>
      </c>
      <c r="O769" s="54">
        <v>482675587.60000002</v>
      </c>
      <c r="P769" s="178">
        <f t="shared" si="2"/>
        <v>0.19318976633954049</v>
      </c>
      <c r="Q769" s="50">
        <v>462673376.60000002</v>
      </c>
      <c r="R769" s="54"/>
      <c r="S769" s="54"/>
      <c r="T769" s="54"/>
      <c r="U769" s="159"/>
    </row>
    <row r="770" spans="1:21" hidden="1" x14ac:dyDescent="0.25">
      <c r="A770" s="53" t="s">
        <v>719</v>
      </c>
      <c r="B770" s="53" t="s">
        <v>291</v>
      </c>
      <c r="C770" s="53" t="s">
        <v>292</v>
      </c>
      <c r="D770" s="53" t="s">
        <v>69</v>
      </c>
      <c r="E770" s="54">
        <v>0</v>
      </c>
      <c r="F770" s="54">
        <v>4000000</v>
      </c>
      <c r="G770" s="54">
        <v>4000000</v>
      </c>
      <c r="H770" s="54">
        <v>0</v>
      </c>
      <c r="I770" s="54">
        <v>0</v>
      </c>
      <c r="J770" s="54">
        <v>0</v>
      </c>
      <c r="K770" s="54">
        <v>0</v>
      </c>
      <c r="L770" s="177">
        <f t="shared" si="0"/>
        <v>0</v>
      </c>
      <c r="M770" s="54">
        <v>0</v>
      </c>
      <c r="N770" s="178">
        <f t="shared" si="1"/>
        <v>0</v>
      </c>
      <c r="O770" s="54">
        <v>4000000</v>
      </c>
      <c r="P770" s="178">
        <f t="shared" si="2"/>
        <v>1</v>
      </c>
      <c r="Q770" s="50">
        <v>4000000</v>
      </c>
      <c r="R770" s="54"/>
      <c r="S770" s="54"/>
      <c r="T770" s="54"/>
      <c r="U770" s="159"/>
    </row>
    <row r="771" spans="1:21" hidden="1" x14ac:dyDescent="0.25">
      <c r="A771" s="53" t="s">
        <v>719</v>
      </c>
      <c r="B771" s="53" t="s">
        <v>77</v>
      </c>
      <c r="C771" s="53" t="s">
        <v>78</v>
      </c>
      <c r="D771" s="53" t="s">
        <v>69</v>
      </c>
      <c r="E771" s="54">
        <v>3948833757</v>
      </c>
      <c r="F771" s="54">
        <v>3832615733</v>
      </c>
      <c r="G771" s="54">
        <v>3752585672</v>
      </c>
      <c r="H771" s="54">
        <v>0</v>
      </c>
      <c r="I771" s="54">
        <v>0</v>
      </c>
      <c r="J771" s="54">
        <v>0</v>
      </c>
      <c r="K771" s="54">
        <v>2655858994.71</v>
      </c>
      <c r="L771" s="177">
        <f t="shared" si="0"/>
        <v>0.69296250386967773</v>
      </c>
      <c r="M771" s="54">
        <v>2655858994.71</v>
      </c>
      <c r="N771" s="178">
        <f t="shared" si="1"/>
        <v>0.69296250386967773</v>
      </c>
      <c r="O771" s="54">
        <v>1176756738.29</v>
      </c>
      <c r="P771" s="178">
        <f t="shared" si="2"/>
        <v>0.30703749613032233</v>
      </c>
      <c r="Q771" s="50">
        <v>1096726677.29</v>
      </c>
      <c r="R771" s="54"/>
      <c r="S771" s="54"/>
      <c r="T771" s="54"/>
      <c r="U771" s="159"/>
    </row>
    <row r="772" spans="1:21" hidden="1" x14ac:dyDescent="0.25">
      <c r="A772" s="53" t="s">
        <v>719</v>
      </c>
      <c r="B772" s="53" t="s">
        <v>79</v>
      </c>
      <c r="C772" s="53" t="s">
        <v>80</v>
      </c>
      <c r="D772" s="53" t="s">
        <v>69</v>
      </c>
      <c r="E772" s="54">
        <v>655368000</v>
      </c>
      <c r="F772" s="54">
        <v>650465123</v>
      </c>
      <c r="G772" s="54">
        <v>610346014</v>
      </c>
      <c r="H772" s="54">
        <v>0</v>
      </c>
      <c r="I772" s="54">
        <v>0</v>
      </c>
      <c r="J772" s="54">
        <v>0</v>
      </c>
      <c r="K772" s="54">
        <v>489905511.56999999</v>
      </c>
      <c r="L772" s="177">
        <f t="shared" si="0"/>
        <v>0.75316184411320086</v>
      </c>
      <c r="M772" s="54">
        <v>489905511.56999999</v>
      </c>
      <c r="N772" s="178">
        <f t="shared" si="1"/>
        <v>0.75316184411320086</v>
      </c>
      <c r="O772" s="54">
        <v>160559611.43000001</v>
      </c>
      <c r="P772" s="178">
        <f t="shared" si="2"/>
        <v>0.24683815588679919</v>
      </c>
      <c r="Q772" s="50">
        <v>120440502.43000001</v>
      </c>
      <c r="R772" s="54"/>
      <c r="S772" s="54"/>
      <c r="T772" s="54"/>
      <c r="U772" s="159"/>
    </row>
    <row r="773" spans="1:21" hidden="1" x14ac:dyDescent="0.25">
      <c r="A773" s="53" t="s">
        <v>719</v>
      </c>
      <c r="B773" s="53" t="s">
        <v>81</v>
      </c>
      <c r="C773" s="53" t="s">
        <v>82</v>
      </c>
      <c r="D773" s="53" t="s">
        <v>69</v>
      </c>
      <c r="E773" s="54">
        <v>1818533000</v>
      </c>
      <c r="F773" s="54">
        <v>1762721460</v>
      </c>
      <c r="G773" s="54">
        <v>1746049014</v>
      </c>
      <c r="H773" s="54">
        <v>0</v>
      </c>
      <c r="I773" s="54">
        <v>0</v>
      </c>
      <c r="J773" s="54">
        <v>0</v>
      </c>
      <c r="K773" s="54">
        <v>1372189920.53</v>
      </c>
      <c r="L773" s="177">
        <f t="shared" si="0"/>
        <v>0.7784496596132664</v>
      </c>
      <c r="M773" s="54">
        <v>1372189920.53</v>
      </c>
      <c r="N773" s="178">
        <f t="shared" si="1"/>
        <v>0.7784496596132664</v>
      </c>
      <c r="O773" s="54">
        <v>390531539.47000003</v>
      </c>
      <c r="P773" s="178">
        <f t="shared" si="2"/>
        <v>0.2215503403867336</v>
      </c>
      <c r="Q773" s="50">
        <v>373859093.47000003</v>
      </c>
      <c r="R773" s="54"/>
      <c r="S773" s="54"/>
      <c r="T773" s="54"/>
      <c r="U773" s="159"/>
    </row>
    <row r="774" spans="1:21" hidden="1" x14ac:dyDescent="0.25">
      <c r="A774" s="53" t="s">
        <v>719</v>
      </c>
      <c r="B774" s="53" t="s">
        <v>86</v>
      </c>
      <c r="C774" s="53" t="s">
        <v>87</v>
      </c>
      <c r="D774" s="53" t="s">
        <v>69</v>
      </c>
      <c r="E774" s="54">
        <v>463338500</v>
      </c>
      <c r="F774" s="54">
        <v>434338500</v>
      </c>
      <c r="G774" s="54">
        <v>434338500</v>
      </c>
      <c r="H774" s="54">
        <v>0</v>
      </c>
      <c r="I774" s="54">
        <v>0</v>
      </c>
      <c r="J774" s="54">
        <v>0</v>
      </c>
      <c r="K774" s="54">
        <v>408928931.39999998</v>
      </c>
      <c r="L774" s="177">
        <f t="shared" si="0"/>
        <v>0.94149823559274615</v>
      </c>
      <c r="M774" s="54">
        <v>408928931.39999998</v>
      </c>
      <c r="N774" s="178">
        <f t="shared" si="1"/>
        <v>0.94149823559274615</v>
      </c>
      <c r="O774" s="54">
        <v>25409568.600000001</v>
      </c>
      <c r="P774" s="178">
        <f t="shared" si="2"/>
        <v>5.8501764407253791E-2</v>
      </c>
      <c r="Q774" s="50">
        <v>25409568.600000001</v>
      </c>
      <c r="R774" s="54"/>
      <c r="S774" s="54"/>
      <c r="T774" s="54"/>
      <c r="U774" s="159"/>
    </row>
    <row r="775" spans="1:21" hidden="1" x14ac:dyDescent="0.25">
      <c r="A775" s="53" t="s">
        <v>719</v>
      </c>
      <c r="B775" s="53" t="s">
        <v>88</v>
      </c>
      <c r="C775" s="53" t="s">
        <v>89</v>
      </c>
      <c r="D775" s="53" t="s">
        <v>69</v>
      </c>
      <c r="E775" s="54">
        <v>508107900</v>
      </c>
      <c r="F775" s="54">
        <v>498113161</v>
      </c>
      <c r="G775" s="54">
        <v>495809043</v>
      </c>
      <c r="H775" s="54">
        <v>0</v>
      </c>
      <c r="I775" s="54">
        <v>0</v>
      </c>
      <c r="J775" s="54">
        <v>0</v>
      </c>
      <c r="K775" s="54">
        <v>384742948.73000002</v>
      </c>
      <c r="L775" s="177">
        <f t="shared" si="0"/>
        <v>0.77240068894706437</v>
      </c>
      <c r="M775" s="54">
        <v>384742948.73000002</v>
      </c>
      <c r="N775" s="178">
        <f t="shared" si="1"/>
        <v>0.77240068894706437</v>
      </c>
      <c r="O775" s="54">
        <v>113370212.27</v>
      </c>
      <c r="P775" s="178">
        <f t="shared" si="2"/>
        <v>0.2275993110529356</v>
      </c>
      <c r="Q775" s="50">
        <v>111066094.27</v>
      </c>
      <c r="R775" s="54"/>
      <c r="S775" s="54"/>
      <c r="T775" s="54"/>
      <c r="U775" s="159"/>
    </row>
    <row r="776" spans="1:21" hidden="1" x14ac:dyDescent="0.25">
      <c r="A776" s="53" t="s">
        <v>719</v>
      </c>
      <c r="B776" s="53" t="s">
        <v>83</v>
      </c>
      <c r="C776" s="53" t="s">
        <v>84</v>
      </c>
      <c r="D776" s="53" t="s">
        <v>85</v>
      </c>
      <c r="E776" s="54">
        <v>503486357</v>
      </c>
      <c r="F776" s="54">
        <v>486977489</v>
      </c>
      <c r="G776" s="54">
        <v>466043101</v>
      </c>
      <c r="H776" s="54">
        <v>0</v>
      </c>
      <c r="I776" s="54">
        <v>0</v>
      </c>
      <c r="J776" s="54">
        <v>0</v>
      </c>
      <c r="K776" s="54">
        <v>91682.48</v>
      </c>
      <c r="L776" s="177">
        <f t="shared" si="0"/>
        <v>1.8826841501086306E-4</v>
      </c>
      <c r="M776" s="54">
        <v>91682.48</v>
      </c>
      <c r="N776" s="178">
        <f t="shared" si="1"/>
        <v>1.8826841501086306E-4</v>
      </c>
      <c r="O776" s="54">
        <v>486885806.51999998</v>
      </c>
      <c r="P776" s="178">
        <f t="shared" si="2"/>
        <v>0.99981173158498915</v>
      </c>
      <c r="Q776" s="50">
        <v>465951418.51999998</v>
      </c>
      <c r="R776" s="54"/>
      <c r="S776" s="54"/>
      <c r="T776" s="54"/>
      <c r="U776" s="159"/>
    </row>
    <row r="777" spans="1:21" hidden="1" x14ac:dyDescent="0.25">
      <c r="A777" s="53" t="s">
        <v>719</v>
      </c>
      <c r="B777" s="53" t="s">
        <v>90</v>
      </c>
      <c r="C777" s="53" t="s">
        <v>91</v>
      </c>
      <c r="D777" s="53" t="s">
        <v>69</v>
      </c>
      <c r="E777" s="54">
        <v>589315133</v>
      </c>
      <c r="F777" s="54">
        <v>569992030</v>
      </c>
      <c r="G777" s="54">
        <v>566220775</v>
      </c>
      <c r="H777" s="54">
        <v>0</v>
      </c>
      <c r="I777" s="54">
        <v>112101209.45999999</v>
      </c>
      <c r="J777" s="54">
        <v>0</v>
      </c>
      <c r="K777" s="54">
        <v>454119565.54000002</v>
      </c>
      <c r="L777" s="177">
        <f t="shared" si="0"/>
        <v>0.79671213216788317</v>
      </c>
      <c r="M777" s="54">
        <v>454119565.54000002</v>
      </c>
      <c r="N777" s="178">
        <f t="shared" si="1"/>
        <v>0.79671213216788317</v>
      </c>
      <c r="O777" s="54">
        <v>3771255</v>
      </c>
      <c r="P777" s="178">
        <f t="shared" si="2"/>
        <v>6.6163293546402744E-3</v>
      </c>
      <c r="Q777" s="50">
        <v>0</v>
      </c>
      <c r="R777" s="54"/>
      <c r="S777" s="54"/>
      <c r="T777" s="54"/>
      <c r="U777" s="159"/>
    </row>
    <row r="778" spans="1:21" hidden="1" x14ac:dyDescent="0.25">
      <c r="A778" s="53" t="s">
        <v>719</v>
      </c>
      <c r="B778" s="53" t="s">
        <v>428</v>
      </c>
      <c r="C778" s="53" t="s">
        <v>697</v>
      </c>
      <c r="D778" s="53" t="s">
        <v>69</v>
      </c>
      <c r="E778" s="54">
        <v>559093873</v>
      </c>
      <c r="F778" s="54">
        <v>540761697</v>
      </c>
      <c r="G778" s="54">
        <v>537183840</v>
      </c>
      <c r="H778" s="54">
        <v>0</v>
      </c>
      <c r="I778" s="54">
        <v>106351836.90000001</v>
      </c>
      <c r="J778" s="54">
        <v>0</v>
      </c>
      <c r="K778" s="54">
        <v>430832003.10000002</v>
      </c>
      <c r="L778" s="177">
        <f t="shared" si="0"/>
        <v>0.79671323891862111</v>
      </c>
      <c r="M778" s="54">
        <v>430832003.10000002</v>
      </c>
      <c r="N778" s="178">
        <f t="shared" si="1"/>
        <v>0.79671323891862111</v>
      </c>
      <c r="O778" s="54">
        <v>3577857</v>
      </c>
      <c r="P778" s="178">
        <f t="shared" si="2"/>
        <v>6.6163284490173497E-3</v>
      </c>
      <c r="Q778" s="50">
        <v>0</v>
      </c>
      <c r="R778" s="54"/>
      <c r="S778" s="54"/>
      <c r="T778" s="54"/>
      <c r="U778" s="159"/>
    </row>
    <row r="779" spans="1:21" hidden="1" x14ac:dyDescent="0.25">
      <c r="A779" s="53" t="s">
        <v>719</v>
      </c>
      <c r="B779" s="53" t="s">
        <v>445</v>
      </c>
      <c r="C779" s="53" t="s">
        <v>95</v>
      </c>
      <c r="D779" s="53" t="s">
        <v>69</v>
      </c>
      <c r="E779" s="54">
        <v>30221260</v>
      </c>
      <c r="F779" s="54">
        <v>29230333</v>
      </c>
      <c r="G779" s="54">
        <v>29036935</v>
      </c>
      <c r="H779" s="54">
        <v>0</v>
      </c>
      <c r="I779" s="54">
        <v>5749372.5599999996</v>
      </c>
      <c r="J779" s="54">
        <v>0</v>
      </c>
      <c r="K779" s="54">
        <v>23287562.440000001</v>
      </c>
      <c r="L779" s="177">
        <f t="shared" si="0"/>
        <v>0.79669165725891666</v>
      </c>
      <c r="M779" s="54">
        <v>23287562.440000001</v>
      </c>
      <c r="N779" s="178">
        <f t="shared" si="1"/>
        <v>0.79669165725891666</v>
      </c>
      <c r="O779" s="54">
        <v>193398</v>
      </c>
      <c r="P779" s="178">
        <f t="shared" si="2"/>
        <v>6.6163461086810064E-3</v>
      </c>
      <c r="Q779" s="50">
        <v>0</v>
      </c>
      <c r="R779" s="54"/>
      <c r="S779" s="54"/>
      <c r="T779" s="54"/>
      <c r="U779" s="159"/>
    </row>
    <row r="780" spans="1:21" hidden="1" x14ac:dyDescent="0.25">
      <c r="A780" s="53" t="s">
        <v>719</v>
      </c>
      <c r="B780" s="53" t="s">
        <v>96</v>
      </c>
      <c r="C780" s="53" t="s">
        <v>97</v>
      </c>
      <c r="D780" s="53" t="s">
        <v>69</v>
      </c>
      <c r="E780" s="54">
        <v>589314933</v>
      </c>
      <c r="F780" s="54">
        <v>569991830</v>
      </c>
      <c r="G780" s="54">
        <v>548972577</v>
      </c>
      <c r="H780" s="54">
        <v>0</v>
      </c>
      <c r="I780" s="54">
        <v>99637928.650000006</v>
      </c>
      <c r="J780" s="54">
        <v>0</v>
      </c>
      <c r="K780" s="54">
        <v>449334648.35000002</v>
      </c>
      <c r="L780" s="177">
        <f t="shared" si="0"/>
        <v>0.78831769983439948</v>
      </c>
      <c r="M780" s="54">
        <v>449334648.35000002</v>
      </c>
      <c r="N780" s="178">
        <f t="shared" si="1"/>
        <v>0.78831769983439948</v>
      </c>
      <c r="O780" s="54">
        <v>21019253</v>
      </c>
      <c r="P780" s="178">
        <f t="shared" si="2"/>
        <v>3.6876411018031609E-2</v>
      </c>
      <c r="Q780" s="50">
        <v>0</v>
      </c>
      <c r="R780" s="54"/>
      <c r="S780" s="54"/>
      <c r="T780" s="54"/>
      <c r="U780" s="159"/>
    </row>
    <row r="781" spans="1:21" hidden="1" x14ac:dyDescent="0.25">
      <c r="A781" s="53" t="s">
        <v>719</v>
      </c>
      <c r="B781" s="53" t="s">
        <v>463</v>
      </c>
      <c r="C781" s="53" t="s">
        <v>698</v>
      </c>
      <c r="D781" s="53" t="s">
        <v>69</v>
      </c>
      <c r="E781" s="54">
        <v>317323487</v>
      </c>
      <c r="F781" s="54">
        <v>306918739</v>
      </c>
      <c r="G781" s="54">
        <v>304888065</v>
      </c>
      <c r="H781" s="54">
        <v>0</v>
      </c>
      <c r="I781" s="54">
        <v>65141900.909999996</v>
      </c>
      <c r="J781" s="54">
        <v>0</v>
      </c>
      <c r="K781" s="54">
        <v>239746164.09</v>
      </c>
      <c r="L781" s="177">
        <f t="shared" si="0"/>
        <v>0.78113889321694363</v>
      </c>
      <c r="M781" s="54">
        <v>239746164.09</v>
      </c>
      <c r="N781" s="178">
        <f t="shared" si="1"/>
        <v>0.78113889321694363</v>
      </c>
      <c r="O781" s="54">
        <v>2030674</v>
      </c>
      <c r="P781" s="178">
        <f t="shared" si="2"/>
        <v>6.6163245900733355E-3</v>
      </c>
      <c r="Q781" s="50">
        <v>0</v>
      </c>
      <c r="R781" s="54"/>
      <c r="S781" s="54"/>
      <c r="T781" s="54"/>
      <c r="U781" s="159"/>
    </row>
    <row r="782" spans="1:21" hidden="1" x14ac:dyDescent="0.25">
      <c r="A782" s="53" t="s">
        <v>719</v>
      </c>
      <c r="B782" s="53" t="s">
        <v>480</v>
      </c>
      <c r="C782" s="53" t="s">
        <v>699</v>
      </c>
      <c r="D782" s="53" t="s">
        <v>69</v>
      </c>
      <c r="E782" s="54">
        <v>90663782</v>
      </c>
      <c r="F782" s="54">
        <v>87690997</v>
      </c>
      <c r="G782" s="54">
        <v>87110804</v>
      </c>
      <c r="H782" s="54">
        <v>0</v>
      </c>
      <c r="I782" s="54">
        <v>17247926.670000002</v>
      </c>
      <c r="J782" s="54">
        <v>0</v>
      </c>
      <c r="K782" s="54">
        <v>69862877.329999998</v>
      </c>
      <c r="L782" s="177">
        <f t="shared" si="0"/>
        <v>0.79669384224243678</v>
      </c>
      <c r="M782" s="54">
        <v>69862877.329999998</v>
      </c>
      <c r="N782" s="178">
        <f t="shared" si="1"/>
        <v>0.79669384224243678</v>
      </c>
      <c r="O782" s="54">
        <v>580193</v>
      </c>
      <c r="P782" s="178">
        <f t="shared" si="2"/>
        <v>6.6163348559031667E-3</v>
      </c>
      <c r="Q782" s="50">
        <v>0</v>
      </c>
      <c r="R782" s="54"/>
      <c r="S782" s="54"/>
      <c r="T782" s="54"/>
      <c r="U782" s="159"/>
    </row>
    <row r="783" spans="1:21" hidden="1" x14ac:dyDescent="0.25">
      <c r="A783" s="53" t="s">
        <v>719</v>
      </c>
      <c r="B783" s="53" t="s">
        <v>497</v>
      </c>
      <c r="C783" s="53" t="s">
        <v>700</v>
      </c>
      <c r="D783" s="53" t="s">
        <v>69</v>
      </c>
      <c r="E783" s="54">
        <v>181327664</v>
      </c>
      <c r="F783" s="54">
        <v>175382094</v>
      </c>
      <c r="G783" s="54">
        <v>156973708</v>
      </c>
      <c r="H783" s="54">
        <v>0</v>
      </c>
      <c r="I783" s="54">
        <v>17248101.07</v>
      </c>
      <c r="J783" s="54">
        <v>0</v>
      </c>
      <c r="K783" s="54">
        <v>139725606.93000001</v>
      </c>
      <c r="L783" s="177">
        <f t="shared" si="0"/>
        <v>0.79669254564836023</v>
      </c>
      <c r="M783" s="54">
        <v>139725606.93000001</v>
      </c>
      <c r="N783" s="178">
        <f t="shared" si="1"/>
        <v>0.79669254564836023</v>
      </c>
      <c r="O783" s="54">
        <v>18408386</v>
      </c>
      <c r="P783" s="178">
        <f t="shared" si="2"/>
        <v>0.10496160457520823</v>
      </c>
      <c r="Q783" s="50">
        <v>0</v>
      </c>
      <c r="R783" s="54"/>
      <c r="S783" s="54"/>
      <c r="T783" s="54"/>
      <c r="U783" s="159"/>
    </row>
    <row r="784" spans="1:21" hidden="1" x14ac:dyDescent="0.25">
      <c r="A784" s="53" t="s">
        <v>719</v>
      </c>
      <c r="B784" s="53" t="s">
        <v>248</v>
      </c>
      <c r="C784" s="53" t="s">
        <v>249</v>
      </c>
      <c r="D784" s="53" t="s">
        <v>69</v>
      </c>
      <c r="E784" s="54">
        <v>100334593</v>
      </c>
      <c r="F784" s="54">
        <v>165044711</v>
      </c>
      <c r="G784" s="54">
        <v>164402631</v>
      </c>
      <c r="H784" s="54">
        <v>0</v>
      </c>
      <c r="I784" s="54">
        <v>20497194.920000002</v>
      </c>
      <c r="J784" s="54">
        <v>0</v>
      </c>
      <c r="K784" s="54">
        <v>117945625.40000001</v>
      </c>
      <c r="L784" s="177">
        <f t="shared" si="0"/>
        <v>0.71462832516941432</v>
      </c>
      <c r="M784" s="54">
        <v>117945625.40000001</v>
      </c>
      <c r="N784" s="178">
        <f t="shared" si="1"/>
        <v>0.71462832516941432</v>
      </c>
      <c r="O784" s="54">
        <v>26601890.68</v>
      </c>
      <c r="P784" s="178">
        <f t="shared" si="2"/>
        <v>0.16117990403218677</v>
      </c>
      <c r="Q784" s="50">
        <v>25959810.68</v>
      </c>
      <c r="R784" s="54"/>
      <c r="S784" s="54"/>
      <c r="T784" s="54"/>
      <c r="U784" s="159"/>
    </row>
    <row r="785" spans="1:21" hidden="1" x14ac:dyDescent="0.25">
      <c r="A785" s="53" t="s">
        <v>719</v>
      </c>
      <c r="B785" s="53" t="s">
        <v>250</v>
      </c>
      <c r="C785" s="53" t="s">
        <v>251</v>
      </c>
      <c r="D785" s="53" t="s">
        <v>69</v>
      </c>
      <c r="E785" s="54">
        <v>100334593</v>
      </c>
      <c r="F785" s="54">
        <v>97044711</v>
      </c>
      <c r="G785" s="54">
        <v>96402631</v>
      </c>
      <c r="H785" s="54">
        <v>0</v>
      </c>
      <c r="I785" s="54">
        <v>20497194.920000002</v>
      </c>
      <c r="J785" s="54">
        <v>0</v>
      </c>
      <c r="K785" s="54">
        <v>75905436.079999998</v>
      </c>
      <c r="L785" s="177">
        <f t="shared" si="0"/>
        <v>0.78216973699885606</v>
      </c>
      <c r="M785" s="54">
        <v>75905436.079999998</v>
      </c>
      <c r="N785" s="178">
        <f t="shared" si="1"/>
        <v>0.78216973699885606</v>
      </c>
      <c r="O785" s="54">
        <v>642080</v>
      </c>
      <c r="P785" s="178">
        <f t="shared" si="2"/>
        <v>6.6163317236320072E-3</v>
      </c>
      <c r="Q785" s="50">
        <v>0</v>
      </c>
      <c r="R785" s="54"/>
      <c r="S785" s="54"/>
      <c r="T785" s="54"/>
      <c r="U785" s="159"/>
    </row>
    <row r="786" spans="1:21" hidden="1" x14ac:dyDescent="0.25">
      <c r="A786" s="53" t="s">
        <v>719</v>
      </c>
      <c r="B786" s="53" t="s">
        <v>637</v>
      </c>
      <c r="C786" s="53" t="s">
        <v>702</v>
      </c>
      <c r="D786" s="53" t="s">
        <v>69</v>
      </c>
      <c r="E786" s="54">
        <v>85224013</v>
      </c>
      <c r="F786" s="54">
        <v>82429595</v>
      </c>
      <c r="G786" s="54">
        <v>81884214</v>
      </c>
      <c r="H786" s="54">
        <v>0</v>
      </c>
      <c r="I786" s="54">
        <v>17622619.280000001</v>
      </c>
      <c r="J786" s="54">
        <v>0</v>
      </c>
      <c r="K786" s="54">
        <v>64261594.719999999</v>
      </c>
      <c r="L786" s="177">
        <f t="shared" si="0"/>
        <v>0.77959372140552186</v>
      </c>
      <c r="M786" s="54">
        <v>64261594.719999999</v>
      </c>
      <c r="N786" s="178">
        <f t="shared" si="1"/>
        <v>0.77959372140552186</v>
      </c>
      <c r="O786" s="54">
        <v>545381</v>
      </c>
      <c r="P786" s="178">
        <f t="shared" si="2"/>
        <v>6.6163251196369463E-3</v>
      </c>
      <c r="Q786" s="50">
        <v>0</v>
      </c>
      <c r="R786" s="54"/>
      <c r="S786" s="54"/>
      <c r="T786" s="54"/>
      <c r="U786" s="159"/>
    </row>
    <row r="787" spans="1:21" hidden="1" x14ac:dyDescent="0.25">
      <c r="A787" s="53" t="s">
        <v>719</v>
      </c>
      <c r="B787" s="53" t="s">
        <v>652</v>
      </c>
      <c r="C787" s="53" t="s">
        <v>703</v>
      </c>
      <c r="D787" s="53" t="s">
        <v>69</v>
      </c>
      <c r="E787" s="54">
        <v>15110580</v>
      </c>
      <c r="F787" s="54">
        <v>14615116</v>
      </c>
      <c r="G787" s="54">
        <v>14518417</v>
      </c>
      <c r="H787" s="54">
        <v>0</v>
      </c>
      <c r="I787" s="54">
        <v>2874575.64</v>
      </c>
      <c r="J787" s="54">
        <v>0</v>
      </c>
      <c r="K787" s="54">
        <v>11643841.359999999</v>
      </c>
      <c r="L787" s="177">
        <f t="shared" si="0"/>
        <v>0.79669852500657534</v>
      </c>
      <c r="M787" s="54">
        <v>11643841.359999999</v>
      </c>
      <c r="N787" s="178">
        <f t="shared" si="1"/>
        <v>0.79669852500657534</v>
      </c>
      <c r="O787" s="54">
        <v>96699</v>
      </c>
      <c r="P787" s="178">
        <f t="shared" si="2"/>
        <v>6.616368970318128E-3</v>
      </c>
      <c r="Q787" s="50">
        <v>0</v>
      </c>
      <c r="R787" s="54"/>
      <c r="S787" s="54"/>
      <c r="T787" s="54"/>
      <c r="U787" s="159"/>
    </row>
    <row r="788" spans="1:21" hidden="1" x14ac:dyDescent="0.25">
      <c r="A788" s="53" t="s">
        <v>719</v>
      </c>
      <c r="B788" s="53" t="s">
        <v>260</v>
      </c>
      <c r="C788" s="53" t="s">
        <v>261</v>
      </c>
      <c r="D788" s="53" t="s">
        <v>69</v>
      </c>
      <c r="E788" s="54">
        <v>0</v>
      </c>
      <c r="F788" s="54">
        <v>68000000</v>
      </c>
      <c r="G788" s="54">
        <v>68000000</v>
      </c>
      <c r="H788" s="54">
        <v>0</v>
      </c>
      <c r="I788" s="54">
        <v>0</v>
      </c>
      <c r="J788" s="54">
        <v>0</v>
      </c>
      <c r="K788" s="54">
        <v>42040189.32</v>
      </c>
      <c r="L788" s="177">
        <f t="shared" si="0"/>
        <v>0.61823807823529409</v>
      </c>
      <c r="M788" s="54">
        <v>42040189.32</v>
      </c>
      <c r="N788" s="178">
        <f t="shared" si="1"/>
        <v>0.61823807823529409</v>
      </c>
      <c r="O788" s="54">
        <v>25959810.68</v>
      </c>
      <c r="P788" s="178">
        <f t="shared" si="2"/>
        <v>0.38176192176470586</v>
      </c>
      <c r="Q788" s="50">
        <v>25959810.68</v>
      </c>
      <c r="R788" s="54"/>
      <c r="S788" s="54"/>
      <c r="T788" s="54"/>
      <c r="U788" s="159"/>
    </row>
    <row r="789" spans="1:21" hidden="1" x14ac:dyDescent="0.25">
      <c r="A789" s="53" t="s">
        <v>719</v>
      </c>
      <c r="B789" s="53" t="s">
        <v>262</v>
      </c>
      <c r="C789" s="53" t="s">
        <v>263</v>
      </c>
      <c r="D789" s="53" t="s">
        <v>69</v>
      </c>
      <c r="E789" s="54">
        <v>0</v>
      </c>
      <c r="F789" s="54">
        <v>43000000</v>
      </c>
      <c r="G789" s="54">
        <v>43000000</v>
      </c>
      <c r="H789" s="54">
        <v>0</v>
      </c>
      <c r="I789" s="54">
        <v>0</v>
      </c>
      <c r="J789" s="54">
        <v>0</v>
      </c>
      <c r="K789" s="54">
        <v>26489294.82</v>
      </c>
      <c r="L789" s="177">
        <f t="shared" si="0"/>
        <v>0.61603011209302327</v>
      </c>
      <c r="M789" s="54">
        <v>26489294.82</v>
      </c>
      <c r="N789" s="178">
        <f t="shared" si="1"/>
        <v>0.61603011209302327</v>
      </c>
      <c r="O789" s="54">
        <v>16510705.18</v>
      </c>
      <c r="P789" s="178">
        <f t="shared" si="2"/>
        <v>0.38396988790697673</v>
      </c>
      <c r="Q789" s="50">
        <v>16510705.18</v>
      </c>
      <c r="R789" s="54"/>
      <c r="S789" s="54"/>
      <c r="T789" s="54"/>
      <c r="U789" s="159"/>
    </row>
    <row r="790" spans="1:21" hidden="1" x14ac:dyDescent="0.25">
      <c r="A790" s="53" t="s">
        <v>719</v>
      </c>
      <c r="B790" s="53" t="s">
        <v>264</v>
      </c>
      <c r="C790" s="53" t="s">
        <v>265</v>
      </c>
      <c r="D790" s="53" t="s">
        <v>69</v>
      </c>
      <c r="E790" s="54">
        <v>0</v>
      </c>
      <c r="F790" s="54">
        <v>25000000</v>
      </c>
      <c r="G790" s="54">
        <v>25000000</v>
      </c>
      <c r="H790" s="54">
        <v>0</v>
      </c>
      <c r="I790" s="54">
        <v>0</v>
      </c>
      <c r="J790" s="54">
        <v>0</v>
      </c>
      <c r="K790" s="54">
        <v>15550894.5</v>
      </c>
      <c r="L790" s="177">
        <f t="shared" si="0"/>
        <v>0.62203578000000004</v>
      </c>
      <c r="M790" s="54">
        <v>15550894.5</v>
      </c>
      <c r="N790" s="178">
        <f t="shared" si="1"/>
        <v>0.62203578000000004</v>
      </c>
      <c r="O790" s="54">
        <v>9449105.5</v>
      </c>
      <c r="P790" s="178">
        <f t="shared" si="2"/>
        <v>0.37796422000000002</v>
      </c>
      <c r="Q790" s="50">
        <v>9449105.5</v>
      </c>
      <c r="R790" s="54"/>
      <c r="S790" s="54"/>
      <c r="T790" s="54"/>
      <c r="U790" s="159"/>
    </row>
    <row r="791" spans="1:21" hidden="1" x14ac:dyDescent="0.25">
      <c r="A791" s="53">
        <v>214793</v>
      </c>
      <c r="B791" s="53"/>
      <c r="C791" s="53"/>
      <c r="D791" s="53" t="s">
        <v>69</v>
      </c>
      <c r="E791" s="54">
        <v>918243709</v>
      </c>
      <c r="F791" s="54">
        <v>895550765</v>
      </c>
      <c r="G791" s="54">
        <v>888471208</v>
      </c>
      <c r="H791" s="54">
        <v>0</v>
      </c>
      <c r="I791" s="54">
        <v>21527643.32</v>
      </c>
      <c r="J791" s="54">
        <v>0</v>
      </c>
      <c r="K791" s="54">
        <v>696638758.39999998</v>
      </c>
      <c r="L791" s="177">
        <f t="shared" si="0"/>
        <v>0.77788863080252069</v>
      </c>
      <c r="M791" s="54">
        <v>696638758.39999998</v>
      </c>
      <c r="N791" s="178">
        <f t="shared" si="1"/>
        <v>0.77788863080252069</v>
      </c>
      <c r="O791" s="54">
        <v>177384363.28</v>
      </c>
      <c r="P791" s="178">
        <f t="shared" si="2"/>
        <v>0.19807292921021624</v>
      </c>
      <c r="Q791" s="50">
        <v>170304806.28</v>
      </c>
      <c r="R791" s="54"/>
      <c r="S791" s="54"/>
      <c r="T791" s="54"/>
      <c r="U791" s="159"/>
    </row>
    <row r="792" spans="1:21" hidden="1" x14ac:dyDescent="0.25">
      <c r="A792" s="53" t="s">
        <v>720</v>
      </c>
      <c r="B792" s="53" t="s">
        <v>71</v>
      </c>
      <c r="C792" s="53" t="s">
        <v>72</v>
      </c>
      <c r="D792" s="53" t="s">
        <v>69</v>
      </c>
      <c r="E792" s="54">
        <v>899027714</v>
      </c>
      <c r="F792" s="54">
        <v>878789381</v>
      </c>
      <c r="G792" s="54">
        <v>871709824</v>
      </c>
      <c r="H792" s="54">
        <v>0</v>
      </c>
      <c r="I792" s="54">
        <v>19534563.960000001</v>
      </c>
      <c r="J792" s="54">
        <v>0</v>
      </c>
      <c r="K792" s="54">
        <v>685119812.03999996</v>
      </c>
      <c r="L792" s="177">
        <f t="shared" si="0"/>
        <v>0.77961776376995151</v>
      </c>
      <c r="M792" s="54">
        <v>685119812.03999996</v>
      </c>
      <c r="N792" s="178">
        <f t="shared" si="1"/>
        <v>0.77961776376995151</v>
      </c>
      <c r="O792" s="54">
        <v>174135005</v>
      </c>
      <c r="P792" s="178">
        <f t="shared" si="2"/>
        <v>0.19815328765334728</v>
      </c>
      <c r="Q792" s="50">
        <v>167055448</v>
      </c>
      <c r="R792" s="54"/>
      <c r="S792" s="54"/>
      <c r="T792" s="54"/>
      <c r="U792" s="159"/>
    </row>
    <row r="793" spans="1:21" hidden="1" x14ac:dyDescent="0.25">
      <c r="A793" s="53" t="s">
        <v>720</v>
      </c>
      <c r="B793" s="53" t="s">
        <v>73</v>
      </c>
      <c r="C793" s="53" t="s">
        <v>74</v>
      </c>
      <c r="D793" s="53" t="s">
        <v>69</v>
      </c>
      <c r="E793" s="54">
        <v>305726500</v>
      </c>
      <c r="F793" s="54">
        <v>299696000</v>
      </c>
      <c r="G793" s="54">
        <v>299696000</v>
      </c>
      <c r="H793" s="54">
        <v>0</v>
      </c>
      <c r="I793" s="54">
        <v>0</v>
      </c>
      <c r="J793" s="54">
        <v>0</v>
      </c>
      <c r="K793" s="54">
        <v>246978845.63</v>
      </c>
      <c r="L793" s="177">
        <f t="shared" si="0"/>
        <v>0.82409790464337196</v>
      </c>
      <c r="M793" s="54">
        <v>246978845.63</v>
      </c>
      <c r="N793" s="178">
        <f t="shared" si="1"/>
        <v>0.82409790464337196</v>
      </c>
      <c r="O793" s="54">
        <v>52717154.369999997</v>
      </c>
      <c r="P793" s="178">
        <f t="shared" si="2"/>
        <v>0.17590209535662804</v>
      </c>
      <c r="Q793" s="50">
        <v>52717154.369999997</v>
      </c>
      <c r="R793" s="54"/>
      <c r="S793" s="54"/>
      <c r="T793" s="54"/>
      <c r="U793" s="159"/>
    </row>
    <row r="794" spans="1:21" hidden="1" x14ac:dyDescent="0.25">
      <c r="A794" s="53" t="s">
        <v>720</v>
      </c>
      <c r="B794" s="53" t="s">
        <v>75</v>
      </c>
      <c r="C794" s="53" t="s">
        <v>76</v>
      </c>
      <c r="D794" s="53" t="s">
        <v>69</v>
      </c>
      <c r="E794" s="54">
        <v>305726500</v>
      </c>
      <c r="F794" s="54">
        <v>298196000</v>
      </c>
      <c r="G794" s="54">
        <v>298196000</v>
      </c>
      <c r="H794" s="54">
        <v>0</v>
      </c>
      <c r="I794" s="54">
        <v>0</v>
      </c>
      <c r="J794" s="54">
        <v>0</v>
      </c>
      <c r="K794" s="54">
        <v>246978845.63</v>
      </c>
      <c r="L794" s="177">
        <f t="shared" si="0"/>
        <v>0.82824332194261496</v>
      </c>
      <c r="M794" s="54">
        <v>246978845.63</v>
      </c>
      <c r="N794" s="178">
        <f t="shared" si="1"/>
        <v>0.82824332194261496</v>
      </c>
      <c r="O794" s="54">
        <v>51217154.369999997</v>
      </c>
      <c r="P794" s="178">
        <f t="shared" si="2"/>
        <v>0.17175667805738506</v>
      </c>
      <c r="Q794" s="50">
        <v>51217154.369999997</v>
      </c>
      <c r="R794" s="54"/>
      <c r="S794" s="54"/>
      <c r="T794" s="54"/>
      <c r="U794" s="159"/>
    </row>
    <row r="795" spans="1:21" hidden="1" x14ac:dyDescent="0.25">
      <c r="A795" s="53" t="s">
        <v>720</v>
      </c>
      <c r="B795" s="53" t="s">
        <v>291</v>
      </c>
      <c r="C795" s="53" t="s">
        <v>292</v>
      </c>
      <c r="D795" s="53" t="s">
        <v>69</v>
      </c>
      <c r="E795" s="54">
        <v>0</v>
      </c>
      <c r="F795" s="54">
        <v>1500000</v>
      </c>
      <c r="G795" s="54">
        <v>1500000</v>
      </c>
      <c r="H795" s="54">
        <v>0</v>
      </c>
      <c r="I795" s="54">
        <v>0</v>
      </c>
      <c r="J795" s="54">
        <v>0</v>
      </c>
      <c r="K795" s="54">
        <v>0</v>
      </c>
      <c r="L795" s="177">
        <f t="shared" si="0"/>
        <v>0</v>
      </c>
      <c r="M795" s="54">
        <v>0</v>
      </c>
      <c r="N795" s="178">
        <f t="shared" si="1"/>
        <v>0</v>
      </c>
      <c r="O795" s="54">
        <v>1500000</v>
      </c>
      <c r="P795" s="178">
        <f t="shared" si="2"/>
        <v>1</v>
      </c>
      <c r="Q795" s="50">
        <v>1500000</v>
      </c>
      <c r="R795" s="54"/>
      <c r="S795" s="54"/>
      <c r="T795" s="54"/>
      <c r="U795" s="159"/>
    </row>
    <row r="796" spans="1:21" hidden="1" x14ac:dyDescent="0.25">
      <c r="A796" s="53" t="s">
        <v>720</v>
      </c>
      <c r="B796" s="53" t="s">
        <v>77</v>
      </c>
      <c r="C796" s="53" t="s">
        <v>78</v>
      </c>
      <c r="D796" s="53" t="s">
        <v>69</v>
      </c>
      <c r="E796" s="54">
        <v>456157950</v>
      </c>
      <c r="F796" s="54">
        <v>444960170</v>
      </c>
      <c r="G796" s="54">
        <v>439466413</v>
      </c>
      <c r="H796" s="54">
        <v>0</v>
      </c>
      <c r="I796" s="54">
        <v>0</v>
      </c>
      <c r="J796" s="54">
        <v>0</v>
      </c>
      <c r="K796" s="54">
        <v>325128119.37</v>
      </c>
      <c r="L796" s="177">
        <f t="shared" si="0"/>
        <v>0.73069038824306454</v>
      </c>
      <c r="M796" s="54">
        <v>325128119.37</v>
      </c>
      <c r="N796" s="178">
        <f t="shared" si="1"/>
        <v>0.73069038824306454</v>
      </c>
      <c r="O796" s="54">
        <v>119832050.63</v>
      </c>
      <c r="P796" s="178">
        <f t="shared" si="2"/>
        <v>0.26930961175693546</v>
      </c>
      <c r="Q796" s="50">
        <v>114338293.63</v>
      </c>
      <c r="R796" s="54"/>
      <c r="S796" s="54"/>
      <c r="T796" s="54"/>
      <c r="U796" s="159"/>
    </row>
    <row r="797" spans="1:21" hidden="1" x14ac:dyDescent="0.25">
      <c r="A797" s="53" t="s">
        <v>720</v>
      </c>
      <c r="B797" s="53" t="s">
        <v>79</v>
      </c>
      <c r="C797" s="53" t="s">
        <v>80</v>
      </c>
      <c r="D797" s="53" t="s">
        <v>69</v>
      </c>
      <c r="E797" s="54">
        <v>79360300</v>
      </c>
      <c r="F797" s="54">
        <v>79213355</v>
      </c>
      <c r="G797" s="54">
        <v>73719598</v>
      </c>
      <c r="H797" s="54">
        <v>0</v>
      </c>
      <c r="I797" s="54">
        <v>0</v>
      </c>
      <c r="J797" s="54">
        <v>0</v>
      </c>
      <c r="K797" s="54">
        <v>62262122.25</v>
      </c>
      <c r="L797" s="177">
        <f t="shared" si="0"/>
        <v>0.78600536803421595</v>
      </c>
      <c r="M797" s="54">
        <v>62262122.25</v>
      </c>
      <c r="N797" s="178">
        <f t="shared" si="1"/>
        <v>0.78600536803421595</v>
      </c>
      <c r="O797" s="54">
        <v>16951232.75</v>
      </c>
      <c r="P797" s="178">
        <f t="shared" si="2"/>
        <v>0.21399463196578405</v>
      </c>
      <c r="Q797" s="50">
        <v>11457475.75</v>
      </c>
      <c r="R797" s="54"/>
      <c r="S797" s="54"/>
      <c r="T797" s="54"/>
      <c r="U797" s="159"/>
    </row>
    <row r="798" spans="1:21" hidden="1" x14ac:dyDescent="0.25">
      <c r="A798" s="53" t="s">
        <v>720</v>
      </c>
      <c r="B798" s="53" t="s">
        <v>81</v>
      </c>
      <c r="C798" s="53" t="s">
        <v>82</v>
      </c>
      <c r="D798" s="53" t="s">
        <v>69</v>
      </c>
      <c r="E798" s="54">
        <v>203715000</v>
      </c>
      <c r="F798" s="54">
        <v>199884143</v>
      </c>
      <c r="G798" s="54">
        <v>199884143</v>
      </c>
      <c r="H798" s="54">
        <v>0</v>
      </c>
      <c r="I798" s="54">
        <v>0</v>
      </c>
      <c r="J798" s="54">
        <v>0</v>
      </c>
      <c r="K798" s="54">
        <v>166777408.93000001</v>
      </c>
      <c r="L798" s="177">
        <f t="shared" si="0"/>
        <v>0.83437038289725662</v>
      </c>
      <c r="M798" s="54">
        <v>166777408.93000001</v>
      </c>
      <c r="N798" s="178">
        <f t="shared" si="1"/>
        <v>0.83437038289725662</v>
      </c>
      <c r="O798" s="54">
        <v>33106734.07</v>
      </c>
      <c r="P798" s="178">
        <f t="shared" si="2"/>
        <v>0.16562961710274338</v>
      </c>
      <c r="Q798" s="50">
        <v>33106734.07</v>
      </c>
      <c r="R798" s="54"/>
      <c r="S798" s="54"/>
      <c r="T798" s="54"/>
      <c r="U798" s="159"/>
    </row>
    <row r="799" spans="1:21" hidden="1" x14ac:dyDescent="0.25">
      <c r="A799" s="53" t="s">
        <v>720</v>
      </c>
      <c r="B799" s="53" t="s">
        <v>86</v>
      </c>
      <c r="C799" s="53" t="s">
        <v>87</v>
      </c>
      <c r="D799" s="53" t="s">
        <v>69</v>
      </c>
      <c r="E799" s="54">
        <v>53908100</v>
      </c>
      <c r="F799" s="54">
        <v>48408100</v>
      </c>
      <c r="G799" s="54">
        <v>48408100</v>
      </c>
      <c r="H799" s="54">
        <v>0</v>
      </c>
      <c r="I799" s="54">
        <v>0</v>
      </c>
      <c r="J799" s="54">
        <v>0</v>
      </c>
      <c r="K799" s="54">
        <v>47507997.909999996</v>
      </c>
      <c r="L799" s="177">
        <f t="shared" si="0"/>
        <v>0.98140596119244494</v>
      </c>
      <c r="M799" s="54">
        <v>47507997.909999996</v>
      </c>
      <c r="N799" s="178">
        <f t="shared" si="1"/>
        <v>0.98140596119244494</v>
      </c>
      <c r="O799" s="54">
        <v>900102.09</v>
      </c>
      <c r="P799" s="178">
        <f t="shared" si="2"/>
        <v>1.8594038807554933E-2</v>
      </c>
      <c r="Q799" s="50">
        <v>900102.09</v>
      </c>
      <c r="R799" s="54"/>
      <c r="S799" s="54"/>
      <c r="T799" s="54"/>
      <c r="U799" s="159"/>
    </row>
    <row r="800" spans="1:21" hidden="1" x14ac:dyDescent="0.25">
      <c r="A800" s="53" t="s">
        <v>720</v>
      </c>
      <c r="B800" s="53" t="s">
        <v>88</v>
      </c>
      <c r="C800" s="53" t="s">
        <v>89</v>
      </c>
      <c r="D800" s="53" t="s">
        <v>69</v>
      </c>
      <c r="E800" s="54">
        <v>60590000</v>
      </c>
      <c r="F800" s="54">
        <v>60155857</v>
      </c>
      <c r="G800" s="54">
        <v>60155857</v>
      </c>
      <c r="H800" s="54">
        <v>0</v>
      </c>
      <c r="I800" s="54">
        <v>0</v>
      </c>
      <c r="J800" s="54">
        <v>0</v>
      </c>
      <c r="K800" s="54">
        <v>48580590.280000001</v>
      </c>
      <c r="L800" s="177">
        <f t="shared" si="0"/>
        <v>0.80757872471171011</v>
      </c>
      <c r="M800" s="54">
        <v>48580590.280000001</v>
      </c>
      <c r="N800" s="178">
        <f t="shared" si="1"/>
        <v>0.80757872471171011</v>
      </c>
      <c r="O800" s="54">
        <v>11575266.720000001</v>
      </c>
      <c r="P800" s="178">
        <f t="shared" si="2"/>
        <v>0.19242127528828989</v>
      </c>
      <c r="Q800" s="50">
        <v>11575266.720000001</v>
      </c>
      <c r="R800" s="54"/>
      <c r="S800" s="54"/>
      <c r="T800" s="54"/>
      <c r="U800" s="159"/>
    </row>
    <row r="801" spans="1:21" hidden="1" x14ac:dyDescent="0.25">
      <c r="A801" s="53" t="s">
        <v>720</v>
      </c>
      <c r="B801" s="53" t="s">
        <v>83</v>
      </c>
      <c r="C801" s="53" t="s">
        <v>84</v>
      </c>
      <c r="D801" s="53" t="s">
        <v>85</v>
      </c>
      <c r="E801" s="54">
        <v>58584550</v>
      </c>
      <c r="F801" s="54">
        <v>57298715</v>
      </c>
      <c r="G801" s="54">
        <v>57298715</v>
      </c>
      <c r="H801" s="54">
        <v>0</v>
      </c>
      <c r="I801" s="54">
        <v>0</v>
      </c>
      <c r="J801" s="54">
        <v>0</v>
      </c>
      <c r="K801" s="54">
        <v>0</v>
      </c>
      <c r="L801" s="177">
        <f t="shared" si="0"/>
        <v>0</v>
      </c>
      <c r="M801" s="54">
        <v>0</v>
      </c>
      <c r="N801" s="178">
        <f t="shared" si="1"/>
        <v>0</v>
      </c>
      <c r="O801" s="54">
        <v>57298715</v>
      </c>
      <c r="P801" s="178">
        <f t="shared" si="2"/>
        <v>1</v>
      </c>
      <c r="Q801" s="50">
        <v>57298715</v>
      </c>
      <c r="R801" s="54"/>
      <c r="S801" s="54"/>
      <c r="T801" s="54"/>
      <c r="U801" s="159"/>
    </row>
    <row r="802" spans="1:21" hidden="1" x14ac:dyDescent="0.25">
      <c r="A802" s="53" t="s">
        <v>720</v>
      </c>
      <c r="B802" s="53" t="s">
        <v>90</v>
      </c>
      <c r="C802" s="53" t="s">
        <v>91</v>
      </c>
      <c r="D802" s="53" t="s">
        <v>69</v>
      </c>
      <c r="E802" s="54">
        <v>68571682</v>
      </c>
      <c r="F802" s="54">
        <v>67066655</v>
      </c>
      <c r="G802" s="54">
        <v>67066655</v>
      </c>
      <c r="H802" s="54">
        <v>0</v>
      </c>
      <c r="I802" s="54">
        <v>10305630.529999999</v>
      </c>
      <c r="J802" s="54">
        <v>0</v>
      </c>
      <c r="K802" s="54">
        <v>56761024.469999999</v>
      </c>
      <c r="L802" s="177">
        <f t="shared" si="0"/>
        <v>0.84633749021775428</v>
      </c>
      <c r="M802" s="54">
        <v>56761024.469999999</v>
      </c>
      <c r="N802" s="178">
        <f t="shared" si="1"/>
        <v>0.84633749021775428</v>
      </c>
      <c r="O802" s="54">
        <v>0</v>
      </c>
      <c r="P802" s="178">
        <f t="shared" si="2"/>
        <v>0</v>
      </c>
      <c r="Q802" s="50">
        <v>0</v>
      </c>
      <c r="R802" s="54"/>
      <c r="S802" s="54"/>
      <c r="T802" s="54"/>
      <c r="U802" s="159"/>
    </row>
    <row r="803" spans="1:21" hidden="1" x14ac:dyDescent="0.25">
      <c r="A803" s="53" t="s">
        <v>720</v>
      </c>
      <c r="B803" s="53" t="s">
        <v>429</v>
      </c>
      <c r="C803" s="53" t="s">
        <v>697</v>
      </c>
      <c r="D803" s="53" t="s">
        <v>69</v>
      </c>
      <c r="E803" s="54">
        <v>65055209</v>
      </c>
      <c r="F803" s="54">
        <v>63627362</v>
      </c>
      <c r="G803" s="54">
        <v>63627362</v>
      </c>
      <c r="H803" s="54">
        <v>0</v>
      </c>
      <c r="I803" s="54">
        <v>9778030.0600000005</v>
      </c>
      <c r="J803" s="54">
        <v>0</v>
      </c>
      <c r="K803" s="54">
        <v>53849331.939999998</v>
      </c>
      <c r="L803" s="177">
        <f t="shared" si="0"/>
        <v>0.84632350371527265</v>
      </c>
      <c r="M803" s="54">
        <v>53849331.939999998</v>
      </c>
      <c r="N803" s="178">
        <f t="shared" si="1"/>
        <v>0.84632350371527265</v>
      </c>
      <c r="O803" s="54">
        <v>0</v>
      </c>
      <c r="P803" s="178">
        <f t="shared" si="2"/>
        <v>0</v>
      </c>
      <c r="Q803" s="50">
        <v>0</v>
      </c>
      <c r="R803" s="54"/>
      <c r="S803" s="54"/>
      <c r="T803" s="54"/>
      <c r="U803" s="159"/>
    </row>
    <row r="804" spans="1:21" hidden="1" x14ac:dyDescent="0.25">
      <c r="A804" s="53" t="s">
        <v>720</v>
      </c>
      <c r="B804" s="53" t="s">
        <v>446</v>
      </c>
      <c r="C804" s="53" t="s">
        <v>95</v>
      </c>
      <c r="D804" s="53" t="s">
        <v>69</v>
      </c>
      <c r="E804" s="54">
        <v>3516473</v>
      </c>
      <c r="F804" s="54">
        <v>3439293</v>
      </c>
      <c r="G804" s="54">
        <v>3439293</v>
      </c>
      <c r="H804" s="54">
        <v>0</v>
      </c>
      <c r="I804" s="54">
        <v>527600.47</v>
      </c>
      <c r="J804" s="54">
        <v>0</v>
      </c>
      <c r="K804" s="54">
        <v>2911692.53</v>
      </c>
      <c r="L804" s="177">
        <f t="shared" si="0"/>
        <v>0.84659624230910246</v>
      </c>
      <c r="M804" s="54">
        <v>2911692.53</v>
      </c>
      <c r="N804" s="178">
        <f t="shared" si="1"/>
        <v>0.84659624230910246</v>
      </c>
      <c r="O804" s="54">
        <v>0</v>
      </c>
      <c r="P804" s="178">
        <f t="shared" si="2"/>
        <v>0</v>
      </c>
      <c r="Q804" s="50">
        <v>0</v>
      </c>
      <c r="R804" s="54"/>
      <c r="S804" s="54"/>
      <c r="T804" s="54"/>
      <c r="U804" s="159"/>
    </row>
    <row r="805" spans="1:21" hidden="1" x14ac:dyDescent="0.25">
      <c r="A805" s="53" t="s">
        <v>720</v>
      </c>
      <c r="B805" s="53" t="s">
        <v>96</v>
      </c>
      <c r="C805" s="53" t="s">
        <v>97</v>
      </c>
      <c r="D805" s="53" t="s">
        <v>69</v>
      </c>
      <c r="E805" s="54">
        <v>68571582</v>
      </c>
      <c r="F805" s="54">
        <v>67066556</v>
      </c>
      <c r="G805" s="54">
        <v>65480756</v>
      </c>
      <c r="H805" s="54">
        <v>0</v>
      </c>
      <c r="I805" s="54">
        <v>9228933.4299999997</v>
      </c>
      <c r="J805" s="54">
        <v>0</v>
      </c>
      <c r="K805" s="54">
        <v>56251822.57</v>
      </c>
      <c r="L805" s="177">
        <f t="shared" si="0"/>
        <v>0.83874625334868846</v>
      </c>
      <c r="M805" s="54">
        <v>56251822.57</v>
      </c>
      <c r="N805" s="178">
        <f t="shared" si="1"/>
        <v>0.83874625334868846</v>
      </c>
      <c r="O805" s="54">
        <v>1585800</v>
      </c>
      <c r="P805" s="178">
        <f t="shared" si="2"/>
        <v>2.3645168241530099E-2</v>
      </c>
      <c r="Q805" s="50">
        <v>0</v>
      </c>
      <c r="R805" s="54"/>
      <c r="S805" s="54"/>
      <c r="T805" s="54"/>
      <c r="U805" s="159"/>
    </row>
    <row r="806" spans="1:21" hidden="1" x14ac:dyDescent="0.25">
      <c r="A806" s="53" t="s">
        <v>720</v>
      </c>
      <c r="B806" s="53" t="s">
        <v>464</v>
      </c>
      <c r="C806" s="53" t="s">
        <v>698</v>
      </c>
      <c r="D806" s="53" t="s">
        <v>69</v>
      </c>
      <c r="E806" s="54">
        <v>36923221</v>
      </c>
      <c r="F806" s="54">
        <v>36112821</v>
      </c>
      <c r="G806" s="54">
        <v>36112821</v>
      </c>
      <c r="H806" s="54">
        <v>0</v>
      </c>
      <c r="I806" s="54">
        <v>6057325.21</v>
      </c>
      <c r="J806" s="54">
        <v>0</v>
      </c>
      <c r="K806" s="54">
        <v>30055495.789999999</v>
      </c>
      <c r="L806" s="177">
        <f t="shared" si="0"/>
        <v>0.83226662879645985</v>
      </c>
      <c r="M806" s="54">
        <v>30055495.789999999</v>
      </c>
      <c r="N806" s="178">
        <f t="shared" si="1"/>
        <v>0.83226662879645985</v>
      </c>
      <c r="O806" s="54">
        <v>0</v>
      </c>
      <c r="P806" s="178">
        <f t="shared" si="2"/>
        <v>0</v>
      </c>
      <c r="Q806" s="50">
        <v>0</v>
      </c>
      <c r="R806" s="54"/>
      <c r="S806" s="54"/>
      <c r="T806" s="54"/>
      <c r="U806" s="159"/>
    </row>
    <row r="807" spans="1:21" hidden="1" x14ac:dyDescent="0.25">
      <c r="A807" s="53" t="s">
        <v>720</v>
      </c>
      <c r="B807" s="53" t="s">
        <v>481</v>
      </c>
      <c r="C807" s="53" t="s">
        <v>699</v>
      </c>
      <c r="D807" s="53" t="s">
        <v>69</v>
      </c>
      <c r="E807" s="54">
        <v>10549420</v>
      </c>
      <c r="F807" s="54">
        <v>10317878</v>
      </c>
      <c r="G807" s="54">
        <v>10317878</v>
      </c>
      <c r="H807" s="54">
        <v>0</v>
      </c>
      <c r="I807" s="54">
        <v>1585764.25</v>
      </c>
      <c r="J807" s="54">
        <v>0</v>
      </c>
      <c r="K807" s="54">
        <v>8732113.75</v>
      </c>
      <c r="L807" s="177">
        <f t="shared" si="0"/>
        <v>0.84630907149706558</v>
      </c>
      <c r="M807" s="54">
        <v>8732113.75</v>
      </c>
      <c r="N807" s="178">
        <f t="shared" si="1"/>
        <v>0.84630907149706558</v>
      </c>
      <c r="O807" s="54">
        <v>0</v>
      </c>
      <c r="P807" s="178">
        <f t="shared" si="2"/>
        <v>0</v>
      </c>
      <c r="Q807" s="50">
        <v>0</v>
      </c>
      <c r="R807" s="54"/>
      <c r="S807" s="54"/>
      <c r="T807" s="54"/>
      <c r="U807" s="159"/>
    </row>
    <row r="808" spans="1:21" hidden="1" x14ac:dyDescent="0.25">
      <c r="A808" s="53" t="s">
        <v>720</v>
      </c>
      <c r="B808" s="53" t="s">
        <v>498</v>
      </c>
      <c r="C808" s="53" t="s">
        <v>700</v>
      </c>
      <c r="D808" s="53" t="s">
        <v>69</v>
      </c>
      <c r="E808" s="54">
        <v>21098941</v>
      </c>
      <c r="F808" s="54">
        <v>20635857</v>
      </c>
      <c r="G808" s="54">
        <v>19050057</v>
      </c>
      <c r="H808" s="54">
        <v>0</v>
      </c>
      <c r="I808" s="54">
        <v>1585843.97</v>
      </c>
      <c r="J808" s="54">
        <v>0</v>
      </c>
      <c r="K808" s="54">
        <v>17464213.030000001</v>
      </c>
      <c r="L808" s="177">
        <f t="shared" si="0"/>
        <v>0.84630422812098383</v>
      </c>
      <c r="M808" s="54">
        <v>17464213.030000001</v>
      </c>
      <c r="N808" s="178">
        <f t="shared" si="1"/>
        <v>0.84630422812098383</v>
      </c>
      <c r="O808" s="54">
        <v>1585800</v>
      </c>
      <c r="P808" s="178">
        <f t="shared" si="2"/>
        <v>7.6846820560929452E-2</v>
      </c>
      <c r="Q808" s="50">
        <v>0</v>
      </c>
      <c r="R808" s="54"/>
      <c r="S808" s="54"/>
      <c r="T808" s="54"/>
      <c r="U808" s="159"/>
    </row>
    <row r="809" spans="1:21" hidden="1" x14ac:dyDescent="0.25">
      <c r="A809" s="53" t="s">
        <v>720</v>
      </c>
      <c r="B809" s="53" t="s">
        <v>104</v>
      </c>
      <c r="C809" s="53" t="s">
        <v>105</v>
      </c>
      <c r="D809" s="53" t="s">
        <v>69</v>
      </c>
      <c r="E809" s="54">
        <v>7541300</v>
      </c>
      <c r="F809" s="54">
        <v>1342928</v>
      </c>
      <c r="G809" s="54">
        <v>1342928</v>
      </c>
      <c r="H809" s="54">
        <v>0</v>
      </c>
      <c r="I809" s="54">
        <v>0</v>
      </c>
      <c r="J809" s="54">
        <v>0</v>
      </c>
      <c r="K809" s="54">
        <v>1342926.72</v>
      </c>
      <c r="L809" s="177">
        <f t="shared" si="0"/>
        <v>0.99999904685880403</v>
      </c>
      <c r="M809" s="54">
        <v>1342926.72</v>
      </c>
      <c r="N809" s="178">
        <f t="shared" si="1"/>
        <v>0.99999904685880403</v>
      </c>
      <c r="O809" s="54">
        <v>1.28</v>
      </c>
      <c r="P809" s="178">
        <f t="shared" si="2"/>
        <v>9.5314119595391566E-7</v>
      </c>
      <c r="Q809" s="50">
        <v>1.28</v>
      </c>
      <c r="R809" s="54"/>
      <c r="S809" s="54"/>
      <c r="T809" s="54"/>
      <c r="U809" s="159"/>
    </row>
    <row r="810" spans="1:21" hidden="1" x14ac:dyDescent="0.25">
      <c r="A810" s="53" t="s">
        <v>720</v>
      </c>
      <c r="B810" s="53" t="s">
        <v>140</v>
      </c>
      <c r="C810" s="53" t="s">
        <v>141</v>
      </c>
      <c r="D810" s="53" t="s">
        <v>69</v>
      </c>
      <c r="E810" s="54">
        <v>7541300</v>
      </c>
      <c r="F810" s="54">
        <v>1342928</v>
      </c>
      <c r="G810" s="54">
        <v>1342928</v>
      </c>
      <c r="H810" s="54">
        <v>0</v>
      </c>
      <c r="I810" s="54">
        <v>0</v>
      </c>
      <c r="J810" s="54">
        <v>0</v>
      </c>
      <c r="K810" s="54">
        <v>1342926.72</v>
      </c>
      <c r="L810" s="177">
        <f t="shared" si="0"/>
        <v>0.99999904685880403</v>
      </c>
      <c r="M810" s="54">
        <v>1342926.72</v>
      </c>
      <c r="N810" s="178">
        <f t="shared" si="1"/>
        <v>0.99999904685880403</v>
      </c>
      <c r="O810" s="54">
        <v>1.28</v>
      </c>
      <c r="P810" s="178">
        <f t="shared" si="2"/>
        <v>9.5314119595391566E-7</v>
      </c>
      <c r="Q810" s="50">
        <v>1.28</v>
      </c>
      <c r="R810" s="54"/>
      <c r="S810" s="54"/>
      <c r="T810" s="54"/>
      <c r="U810" s="159"/>
    </row>
    <row r="811" spans="1:21" hidden="1" x14ac:dyDescent="0.25">
      <c r="A811" s="53" t="s">
        <v>720</v>
      </c>
      <c r="B811" s="53" t="s">
        <v>146</v>
      </c>
      <c r="C811" s="53" t="s">
        <v>147</v>
      </c>
      <c r="D811" s="53" t="s">
        <v>69</v>
      </c>
      <c r="E811" s="54">
        <v>2513800</v>
      </c>
      <c r="F811" s="54">
        <v>434386</v>
      </c>
      <c r="G811" s="54">
        <v>434386</v>
      </c>
      <c r="H811" s="54">
        <v>0</v>
      </c>
      <c r="I811" s="54">
        <v>0</v>
      </c>
      <c r="J811" s="54">
        <v>0</v>
      </c>
      <c r="K811" s="54">
        <v>434385.63</v>
      </c>
      <c r="L811" s="177">
        <f t="shared" si="0"/>
        <v>0.99999914822300906</v>
      </c>
      <c r="M811" s="54">
        <v>434385.63</v>
      </c>
      <c r="N811" s="178">
        <f t="shared" si="1"/>
        <v>0.99999914822300906</v>
      </c>
      <c r="O811" s="54">
        <v>0.37</v>
      </c>
      <c r="P811" s="178">
        <f t="shared" si="2"/>
        <v>8.5177699097116383E-7</v>
      </c>
      <c r="Q811" s="50">
        <v>0.37</v>
      </c>
      <c r="R811" s="54"/>
      <c r="S811" s="54"/>
      <c r="T811" s="54"/>
      <c r="U811" s="159"/>
    </row>
    <row r="812" spans="1:21" hidden="1" x14ac:dyDescent="0.25">
      <c r="A812" s="53" t="s">
        <v>720</v>
      </c>
      <c r="B812" s="53" t="s">
        <v>148</v>
      </c>
      <c r="C812" s="53" t="s">
        <v>149</v>
      </c>
      <c r="D812" s="53" t="s">
        <v>69</v>
      </c>
      <c r="E812" s="54">
        <v>5027500</v>
      </c>
      <c r="F812" s="54">
        <v>908542</v>
      </c>
      <c r="G812" s="54">
        <v>908542</v>
      </c>
      <c r="H812" s="54">
        <v>0</v>
      </c>
      <c r="I812" s="54">
        <v>0</v>
      </c>
      <c r="J812" s="54">
        <v>0</v>
      </c>
      <c r="K812" s="54">
        <v>908541.09</v>
      </c>
      <c r="L812" s="177">
        <f t="shared" si="0"/>
        <v>0.99999899839523099</v>
      </c>
      <c r="M812" s="54">
        <v>908541.09</v>
      </c>
      <c r="N812" s="178">
        <f t="shared" si="1"/>
        <v>0.99999899839523099</v>
      </c>
      <c r="O812" s="54">
        <v>0.91</v>
      </c>
      <c r="P812" s="178">
        <f t="shared" si="2"/>
        <v>1.0016047689594978E-6</v>
      </c>
      <c r="Q812" s="50">
        <v>0.91</v>
      </c>
      <c r="R812" s="54"/>
      <c r="S812" s="54"/>
      <c r="T812" s="54"/>
      <c r="U812" s="159"/>
    </row>
    <row r="813" spans="1:21" hidden="1" x14ac:dyDescent="0.25">
      <c r="A813" s="53" t="s">
        <v>720</v>
      </c>
      <c r="B813" s="53" t="s">
        <v>248</v>
      </c>
      <c r="C813" s="53" t="s">
        <v>249</v>
      </c>
      <c r="D813" s="53" t="s">
        <v>69</v>
      </c>
      <c r="E813" s="54">
        <v>11674695</v>
      </c>
      <c r="F813" s="54">
        <v>15418456</v>
      </c>
      <c r="G813" s="54">
        <v>15418456</v>
      </c>
      <c r="H813" s="54">
        <v>0</v>
      </c>
      <c r="I813" s="54">
        <v>1993079.36</v>
      </c>
      <c r="J813" s="54">
        <v>0</v>
      </c>
      <c r="K813" s="54">
        <v>10176019.640000001</v>
      </c>
      <c r="L813" s="177">
        <f t="shared" si="0"/>
        <v>0.65998953721436182</v>
      </c>
      <c r="M813" s="54">
        <v>10176019.640000001</v>
      </c>
      <c r="N813" s="178">
        <f t="shared" si="1"/>
        <v>0.65998953721436182</v>
      </c>
      <c r="O813" s="54">
        <v>3249357</v>
      </c>
      <c r="P813" s="178">
        <f t="shared" si="2"/>
        <v>0.21074464265423204</v>
      </c>
      <c r="Q813" s="50">
        <v>3249357</v>
      </c>
      <c r="R813" s="54"/>
      <c r="S813" s="54"/>
      <c r="T813" s="54"/>
      <c r="U813" s="159"/>
    </row>
    <row r="814" spans="1:21" hidden="1" x14ac:dyDescent="0.25">
      <c r="A814" s="53" t="s">
        <v>720</v>
      </c>
      <c r="B814" s="53" t="s">
        <v>250</v>
      </c>
      <c r="C814" s="53" t="s">
        <v>251</v>
      </c>
      <c r="D814" s="53" t="s">
        <v>69</v>
      </c>
      <c r="E814" s="54">
        <v>11674695</v>
      </c>
      <c r="F814" s="54">
        <v>11418456</v>
      </c>
      <c r="G814" s="54">
        <v>11418456</v>
      </c>
      <c r="H814" s="54">
        <v>0</v>
      </c>
      <c r="I814" s="54">
        <v>1993079.36</v>
      </c>
      <c r="J814" s="54">
        <v>0</v>
      </c>
      <c r="K814" s="54">
        <v>9425376.6400000006</v>
      </c>
      <c r="L814" s="177">
        <f t="shared" si="0"/>
        <v>0.82545106273562741</v>
      </c>
      <c r="M814" s="54">
        <v>9425376.6400000006</v>
      </c>
      <c r="N814" s="178">
        <f t="shared" si="1"/>
        <v>0.82545106273562741</v>
      </c>
      <c r="O814" s="54">
        <v>0</v>
      </c>
      <c r="P814" s="178">
        <f t="shared" si="2"/>
        <v>0</v>
      </c>
      <c r="Q814" s="50">
        <v>0</v>
      </c>
      <c r="R814" s="54"/>
      <c r="S814" s="54"/>
      <c r="T814" s="54"/>
      <c r="U814" s="159"/>
    </row>
    <row r="815" spans="1:21" hidden="1" x14ac:dyDescent="0.25">
      <c r="A815" s="53" t="s">
        <v>720</v>
      </c>
      <c r="B815" s="53" t="s">
        <v>638</v>
      </c>
      <c r="C815" s="53" t="s">
        <v>702</v>
      </c>
      <c r="D815" s="53" t="s">
        <v>69</v>
      </c>
      <c r="E815" s="54">
        <v>9916509</v>
      </c>
      <c r="F815" s="54">
        <v>9698859</v>
      </c>
      <c r="G815" s="54">
        <v>9698859</v>
      </c>
      <c r="H815" s="54">
        <v>0</v>
      </c>
      <c r="I815" s="54">
        <v>1719887.18</v>
      </c>
      <c r="J815" s="54">
        <v>0</v>
      </c>
      <c r="K815" s="54">
        <v>7978971.8200000003</v>
      </c>
      <c r="L815" s="177">
        <f t="shared" si="0"/>
        <v>0.82267118431147424</v>
      </c>
      <c r="M815" s="54">
        <v>7978971.8200000003</v>
      </c>
      <c r="N815" s="178">
        <f t="shared" si="1"/>
        <v>0.82267118431147424</v>
      </c>
      <c r="O815" s="54">
        <v>0</v>
      </c>
      <c r="P815" s="178">
        <f t="shared" si="2"/>
        <v>0</v>
      </c>
      <c r="Q815" s="50">
        <v>0</v>
      </c>
      <c r="R815" s="54"/>
      <c r="S815" s="54"/>
      <c r="T815" s="54"/>
      <c r="U815" s="159"/>
    </row>
    <row r="816" spans="1:21" hidden="1" x14ac:dyDescent="0.25">
      <c r="A816" s="53" t="s">
        <v>720</v>
      </c>
      <c r="B816" s="53" t="s">
        <v>653</v>
      </c>
      <c r="C816" s="53" t="s">
        <v>703</v>
      </c>
      <c r="D816" s="53" t="s">
        <v>69</v>
      </c>
      <c r="E816" s="54">
        <v>1758186</v>
      </c>
      <c r="F816" s="54">
        <v>1719597</v>
      </c>
      <c r="G816" s="54">
        <v>1719597</v>
      </c>
      <c r="H816" s="54">
        <v>0</v>
      </c>
      <c r="I816" s="54">
        <v>273192.18</v>
      </c>
      <c r="J816" s="54">
        <v>0</v>
      </c>
      <c r="K816" s="54">
        <v>1446404.82</v>
      </c>
      <c r="L816" s="177">
        <f t="shared" si="0"/>
        <v>0.84113011362545997</v>
      </c>
      <c r="M816" s="54">
        <v>1446404.82</v>
      </c>
      <c r="N816" s="178">
        <f t="shared" si="1"/>
        <v>0.84113011362545997</v>
      </c>
      <c r="O816" s="54">
        <v>0</v>
      </c>
      <c r="P816" s="178">
        <f t="shared" si="2"/>
        <v>0</v>
      </c>
      <c r="Q816" s="50">
        <v>0</v>
      </c>
      <c r="R816" s="54"/>
      <c r="S816" s="54"/>
      <c r="T816" s="54"/>
      <c r="U816" s="159"/>
    </row>
    <row r="817" spans="1:21" hidden="1" x14ac:dyDescent="0.25">
      <c r="A817" s="53" t="s">
        <v>720</v>
      </c>
      <c r="B817" s="53" t="s">
        <v>260</v>
      </c>
      <c r="C817" s="53" t="s">
        <v>261</v>
      </c>
      <c r="D817" s="53" t="s">
        <v>69</v>
      </c>
      <c r="E817" s="54">
        <v>0</v>
      </c>
      <c r="F817" s="54">
        <v>4000000</v>
      </c>
      <c r="G817" s="54">
        <v>4000000</v>
      </c>
      <c r="H817" s="54">
        <v>0</v>
      </c>
      <c r="I817" s="54">
        <v>0</v>
      </c>
      <c r="J817" s="54">
        <v>0</v>
      </c>
      <c r="K817" s="54">
        <v>750643</v>
      </c>
      <c r="L817" s="177">
        <f t="shared" si="0"/>
        <v>0.18766074999999999</v>
      </c>
      <c r="M817" s="54">
        <v>750643</v>
      </c>
      <c r="N817" s="178">
        <f t="shared" si="1"/>
        <v>0.18766074999999999</v>
      </c>
      <c r="O817" s="54">
        <v>3249357</v>
      </c>
      <c r="P817" s="178">
        <f t="shared" si="2"/>
        <v>0.81233924999999996</v>
      </c>
      <c r="Q817" s="50">
        <v>3249357</v>
      </c>
      <c r="R817" s="54"/>
      <c r="S817" s="54"/>
      <c r="T817" s="54"/>
      <c r="U817" s="159"/>
    </row>
    <row r="818" spans="1:21" x14ac:dyDescent="0.25">
      <c r="A818" s="53" t="s">
        <v>720</v>
      </c>
      <c r="B818" s="53" t="s">
        <v>264</v>
      </c>
      <c r="C818" s="53" t="s">
        <v>265</v>
      </c>
      <c r="D818" s="53" t="s">
        <v>69</v>
      </c>
      <c r="E818" s="54">
        <v>0</v>
      </c>
      <c r="F818" s="54">
        <v>4000000</v>
      </c>
      <c r="G818" s="54">
        <v>4000000</v>
      </c>
      <c r="H818" s="54">
        <v>0</v>
      </c>
      <c r="I818" s="54">
        <v>0</v>
      </c>
      <c r="J818" s="54">
        <v>0</v>
      </c>
      <c r="K818" s="54">
        <v>750643</v>
      </c>
      <c r="L818" s="177">
        <f t="shared" si="0"/>
        <v>0.18766074999999999</v>
      </c>
      <c r="M818" s="54">
        <v>750643</v>
      </c>
      <c r="N818" s="178">
        <f t="shared" si="1"/>
        <v>0.18766074999999999</v>
      </c>
      <c r="O818" s="54">
        <v>3249357</v>
      </c>
      <c r="P818" s="178">
        <f t="shared" si="2"/>
        <v>0.81233924999999996</v>
      </c>
      <c r="Q818" s="50">
        <v>3249357</v>
      </c>
      <c r="R818" s="54"/>
      <c r="S818" s="54"/>
      <c r="T818" s="54"/>
      <c r="U818" s="159"/>
    </row>
    <row r="819" spans="1:21" hidden="1" x14ac:dyDescent="0.25">
      <c r="A819" s="49">
        <v>214794</v>
      </c>
      <c r="B819" s="49"/>
      <c r="C819" s="49"/>
      <c r="D819" s="49" t="s">
        <v>69</v>
      </c>
      <c r="E819" s="50">
        <v>13895221022</v>
      </c>
      <c r="F819" s="50">
        <v>12934636749</v>
      </c>
      <c r="G819" s="50">
        <v>12641812223</v>
      </c>
      <c r="H819" s="50">
        <v>0</v>
      </c>
      <c r="I819" s="50">
        <v>406303233.66000003</v>
      </c>
      <c r="J819" s="50">
        <v>0</v>
      </c>
      <c r="K819" s="50">
        <v>9542149050.0400009</v>
      </c>
      <c r="L819" s="151">
        <f t="shared" si="0"/>
        <v>0.73772068247511635</v>
      </c>
      <c r="M819" s="50">
        <v>9542149050.0400009</v>
      </c>
      <c r="N819" s="152">
        <f t="shared" si="1"/>
        <v>0.73772068247511635</v>
      </c>
      <c r="O819" s="50">
        <v>2986184465.3000002</v>
      </c>
      <c r="P819" s="152">
        <f t="shared" si="2"/>
        <v>0.23086728473691906</v>
      </c>
      <c r="Q819" s="50">
        <v>2693359939.3000002</v>
      </c>
      <c r="R819" s="50"/>
      <c r="S819" s="154"/>
      <c r="T819" s="154"/>
    </row>
    <row r="820" spans="1:21" hidden="1" x14ac:dyDescent="0.25">
      <c r="A820" s="49" t="s">
        <v>721</v>
      </c>
      <c r="B820" s="49" t="s">
        <v>71</v>
      </c>
      <c r="C820" s="49" t="s">
        <v>72</v>
      </c>
      <c r="D820" s="49" t="s">
        <v>69</v>
      </c>
      <c r="E820" s="50">
        <v>13427888280</v>
      </c>
      <c r="F820" s="50">
        <v>12413006668</v>
      </c>
      <c r="G820" s="50">
        <v>12122112181</v>
      </c>
      <c r="H820" s="50">
        <v>0</v>
      </c>
      <c r="I820" s="50">
        <v>355557005.42000002</v>
      </c>
      <c r="J820" s="50">
        <v>0</v>
      </c>
      <c r="K820" s="50">
        <v>9108621938.7800007</v>
      </c>
      <c r="L820" s="151">
        <f t="shared" si="0"/>
        <v>0.73379658791785651</v>
      </c>
      <c r="M820" s="50">
        <v>9108621938.7800007</v>
      </c>
      <c r="N820" s="152">
        <f t="shared" si="1"/>
        <v>0.73379658791785651</v>
      </c>
      <c r="O820" s="50">
        <v>2948827723.8000002</v>
      </c>
      <c r="P820" s="152">
        <f t="shared" si="2"/>
        <v>0.23755950533740583</v>
      </c>
      <c r="Q820" s="50">
        <v>2657933236.8000002</v>
      </c>
      <c r="R820" s="50"/>
      <c r="S820" s="154"/>
      <c r="T820" s="154"/>
    </row>
    <row r="821" spans="1:21" hidden="1" x14ac:dyDescent="0.25">
      <c r="A821" s="49" t="s">
        <v>721</v>
      </c>
      <c r="B821" s="49" t="s">
        <v>73</v>
      </c>
      <c r="C821" s="49" t="s">
        <v>74</v>
      </c>
      <c r="D821" s="49" t="s">
        <v>69</v>
      </c>
      <c r="E821" s="50">
        <v>4501527400</v>
      </c>
      <c r="F821" s="50">
        <v>4029440306</v>
      </c>
      <c r="G821" s="50">
        <v>3967779098</v>
      </c>
      <c r="H821" s="50">
        <v>0</v>
      </c>
      <c r="I821" s="50">
        <v>0</v>
      </c>
      <c r="J821" s="50">
        <v>0</v>
      </c>
      <c r="K821" s="50">
        <v>3146311612.0799999</v>
      </c>
      <c r="L821" s="151">
        <f t="shared" si="0"/>
        <v>0.78083092765886475</v>
      </c>
      <c r="M821" s="50">
        <v>3146311612.0799999</v>
      </c>
      <c r="N821" s="152">
        <f t="shared" si="1"/>
        <v>0.78083092765886475</v>
      </c>
      <c r="O821" s="50">
        <v>883128693.91999996</v>
      </c>
      <c r="P821" s="152">
        <f t="shared" si="2"/>
        <v>0.2191690723411352</v>
      </c>
      <c r="Q821" s="50">
        <v>821467485.91999996</v>
      </c>
      <c r="R821" s="50"/>
      <c r="S821" s="154"/>
      <c r="T821" s="154"/>
    </row>
    <row r="822" spans="1:21" hidden="1" x14ac:dyDescent="0.25">
      <c r="A822" s="49" t="s">
        <v>721</v>
      </c>
      <c r="B822" s="49" t="s">
        <v>75</v>
      </c>
      <c r="C822" s="49" t="s">
        <v>76</v>
      </c>
      <c r="D822" s="49" t="s">
        <v>69</v>
      </c>
      <c r="E822" s="50">
        <v>4501527400</v>
      </c>
      <c r="F822" s="50">
        <v>4029440306</v>
      </c>
      <c r="G822" s="50">
        <v>3967779098</v>
      </c>
      <c r="H822" s="50">
        <v>0</v>
      </c>
      <c r="I822" s="50">
        <v>0</v>
      </c>
      <c r="J822" s="50">
        <v>0</v>
      </c>
      <c r="K822" s="50">
        <v>3146311612.0799999</v>
      </c>
      <c r="L822" s="151">
        <f t="shared" si="0"/>
        <v>0.78083092765886475</v>
      </c>
      <c r="M822" s="50">
        <v>3146311612.0799999</v>
      </c>
      <c r="N822" s="152">
        <f t="shared" si="1"/>
        <v>0.78083092765886475</v>
      </c>
      <c r="O822" s="50">
        <v>883128693.91999996</v>
      </c>
      <c r="P822" s="152">
        <f t="shared" si="2"/>
        <v>0.2191690723411352</v>
      </c>
      <c r="Q822" s="50">
        <v>821467485.91999996</v>
      </c>
      <c r="R822" s="50"/>
      <c r="S822" s="154"/>
      <c r="T822" s="154"/>
    </row>
    <row r="823" spans="1:21" hidden="1" x14ac:dyDescent="0.25">
      <c r="A823" s="49" t="s">
        <v>721</v>
      </c>
      <c r="B823" s="49" t="s">
        <v>77</v>
      </c>
      <c r="C823" s="49" t="s">
        <v>78</v>
      </c>
      <c r="D823" s="49" t="s">
        <v>69</v>
      </c>
      <c r="E823" s="50">
        <v>6803353044</v>
      </c>
      <c r="F823" s="50">
        <v>6417455879</v>
      </c>
      <c r="G823" s="50">
        <v>6260815407</v>
      </c>
      <c r="H823" s="50">
        <v>0</v>
      </c>
      <c r="I823" s="50">
        <v>1406971.99</v>
      </c>
      <c r="J823" s="50">
        <v>0</v>
      </c>
      <c r="K823" s="50">
        <v>4448745332.1300001</v>
      </c>
      <c r="L823" s="151">
        <f t="shared" si="0"/>
        <v>0.69322569815987978</v>
      </c>
      <c r="M823" s="50">
        <v>4448745332.1300001</v>
      </c>
      <c r="N823" s="152">
        <f t="shared" si="1"/>
        <v>0.69322569815987978</v>
      </c>
      <c r="O823" s="50">
        <v>1967303574.8800001</v>
      </c>
      <c r="P823" s="152">
        <f t="shared" si="2"/>
        <v>0.3065550604434471</v>
      </c>
      <c r="Q823" s="50">
        <v>1810663102.8800001</v>
      </c>
      <c r="R823" s="50"/>
      <c r="S823" s="154"/>
      <c r="T823" s="154"/>
    </row>
    <row r="824" spans="1:21" hidden="1" x14ac:dyDescent="0.25">
      <c r="A824" s="49" t="s">
        <v>721</v>
      </c>
      <c r="B824" s="49" t="s">
        <v>79</v>
      </c>
      <c r="C824" s="49" t="s">
        <v>80</v>
      </c>
      <c r="D824" s="49" t="s">
        <v>69</v>
      </c>
      <c r="E824" s="50">
        <v>1381150100</v>
      </c>
      <c r="F824" s="50">
        <v>1294704804</v>
      </c>
      <c r="G824" s="50">
        <v>1277656872</v>
      </c>
      <c r="H824" s="50">
        <v>0</v>
      </c>
      <c r="I824" s="50">
        <v>0</v>
      </c>
      <c r="J824" s="50">
        <v>0</v>
      </c>
      <c r="K824" s="50">
        <v>1023623949.96</v>
      </c>
      <c r="L824" s="151">
        <f t="shared" si="0"/>
        <v>0.79062342767054417</v>
      </c>
      <c r="M824" s="50">
        <v>1023623949.96</v>
      </c>
      <c r="N824" s="152">
        <f t="shared" si="1"/>
        <v>0.79062342767054417</v>
      </c>
      <c r="O824" s="50">
        <v>271080854.04000002</v>
      </c>
      <c r="P824" s="152">
        <f t="shared" si="2"/>
        <v>0.20937657232945589</v>
      </c>
      <c r="Q824" s="50">
        <v>254032922.03999999</v>
      </c>
      <c r="R824" s="50"/>
      <c r="S824" s="154"/>
      <c r="T824" s="154"/>
    </row>
    <row r="825" spans="1:21" hidden="1" x14ac:dyDescent="0.25">
      <c r="A825" s="49" t="s">
        <v>721</v>
      </c>
      <c r="B825" s="49" t="s">
        <v>81</v>
      </c>
      <c r="C825" s="49" t="s">
        <v>82</v>
      </c>
      <c r="D825" s="49" t="s">
        <v>69</v>
      </c>
      <c r="E825" s="50">
        <v>2537511300</v>
      </c>
      <c r="F825" s="50">
        <v>2358775473</v>
      </c>
      <c r="G825" s="50">
        <v>2302201510</v>
      </c>
      <c r="H825" s="50">
        <v>0</v>
      </c>
      <c r="I825" s="50">
        <v>0</v>
      </c>
      <c r="J825" s="50">
        <v>0</v>
      </c>
      <c r="K825" s="50">
        <v>1830775812.45</v>
      </c>
      <c r="L825" s="151">
        <f t="shared" si="0"/>
        <v>0.77615518450407428</v>
      </c>
      <c r="M825" s="50">
        <v>1830775812.45</v>
      </c>
      <c r="N825" s="152">
        <f t="shared" si="1"/>
        <v>0.77615518450407428</v>
      </c>
      <c r="O825" s="50">
        <v>527999660.55000001</v>
      </c>
      <c r="P825" s="152">
        <f t="shared" si="2"/>
        <v>0.22384481549592575</v>
      </c>
      <c r="Q825" s="50">
        <v>471425697.55000001</v>
      </c>
      <c r="R825" s="50"/>
      <c r="S825" s="154"/>
      <c r="T825" s="154"/>
    </row>
    <row r="826" spans="1:21" hidden="1" x14ac:dyDescent="0.25">
      <c r="A826" s="49" t="s">
        <v>721</v>
      </c>
      <c r="B826" s="49" t="s">
        <v>86</v>
      </c>
      <c r="C826" s="49" t="s">
        <v>87</v>
      </c>
      <c r="D826" s="49" t="s">
        <v>69</v>
      </c>
      <c r="E826" s="50">
        <v>799025700</v>
      </c>
      <c r="F826" s="50">
        <v>799025700</v>
      </c>
      <c r="G826" s="50">
        <v>799025700</v>
      </c>
      <c r="H826" s="50">
        <v>0</v>
      </c>
      <c r="I826" s="50">
        <v>1406971.99</v>
      </c>
      <c r="J826" s="50">
        <v>0</v>
      </c>
      <c r="K826" s="50">
        <v>721184844.02999997</v>
      </c>
      <c r="L826" s="151">
        <f t="shared" si="0"/>
        <v>0.90258028500209686</v>
      </c>
      <c r="M826" s="50">
        <v>721184844.02999997</v>
      </c>
      <c r="N826" s="152">
        <f t="shared" si="1"/>
        <v>0.90258028500209686</v>
      </c>
      <c r="O826" s="50">
        <v>76433883.980000004</v>
      </c>
      <c r="P826" s="152">
        <f t="shared" si="2"/>
        <v>9.5658855503646514E-2</v>
      </c>
      <c r="Q826" s="50">
        <v>76433883.980000004</v>
      </c>
      <c r="R826" s="50"/>
      <c r="S826" s="154"/>
      <c r="T826" s="154"/>
    </row>
    <row r="827" spans="1:21" hidden="1" x14ac:dyDescent="0.25">
      <c r="A827" s="49" t="s">
        <v>721</v>
      </c>
      <c r="B827" s="49" t="s">
        <v>88</v>
      </c>
      <c r="C827" s="49" t="s">
        <v>89</v>
      </c>
      <c r="D827" s="49" t="s">
        <v>69</v>
      </c>
      <c r="E827" s="50">
        <v>1216380900</v>
      </c>
      <c r="F827" s="50">
        <v>1138116206</v>
      </c>
      <c r="G827" s="50">
        <v>1063011069</v>
      </c>
      <c r="H827" s="50">
        <v>0</v>
      </c>
      <c r="I827" s="50">
        <v>0</v>
      </c>
      <c r="J827" s="50">
        <v>0</v>
      </c>
      <c r="K827" s="50">
        <v>872818805.09000003</v>
      </c>
      <c r="L827" s="151">
        <f t="shared" si="0"/>
        <v>0.76689779170932926</v>
      </c>
      <c r="M827" s="50">
        <v>872818805.09000003</v>
      </c>
      <c r="N827" s="152">
        <f t="shared" si="1"/>
        <v>0.76689779170932926</v>
      </c>
      <c r="O827" s="50">
        <v>265297400.91</v>
      </c>
      <c r="P827" s="152">
        <f t="shared" si="2"/>
        <v>0.2331022082906708</v>
      </c>
      <c r="Q827" s="50">
        <v>190192263.91</v>
      </c>
      <c r="R827" s="50"/>
      <c r="S827" s="154"/>
      <c r="T827" s="154"/>
    </row>
    <row r="828" spans="1:21" hidden="1" x14ac:dyDescent="0.25">
      <c r="A828" s="49" t="s">
        <v>721</v>
      </c>
      <c r="B828" s="49" t="s">
        <v>83</v>
      </c>
      <c r="C828" s="49" t="s">
        <v>84</v>
      </c>
      <c r="D828" s="49" t="s">
        <v>85</v>
      </c>
      <c r="E828" s="50">
        <v>869285044</v>
      </c>
      <c r="F828" s="50">
        <v>826833696</v>
      </c>
      <c r="G828" s="50">
        <v>818920256</v>
      </c>
      <c r="H828" s="50">
        <v>0</v>
      </c>
      <c r="I828" s="50">
        <v>0</v>
      </c>
      <c r="J828" s="50">
        <v>0</v>
      </c>
      <c r="K828" s="50">
        <v>341920.6</v>
      </c>
      <c r="L828" s="151">
        <f t="shared" si="0"/>
        <v>4.1353007461369836E-4</v>
      </c>
      <c r="M828" s="50">
        <v>341920.6</v>
      </c>
      <c r="N828" s="152">
        <f t="shared" si="1"/>
        <v>4.1353007461369836E-4</v>
      </c>
      <c r="O828" s="50">
        <v>826491775.39999998</v>
      </c>
      <c r="P828" s="152">
        <f t="shared" si="2"/>
        <v>0.99958646992538625</v>
      </c>
      <c r="Q828" s="50">
        <v>818578335.39999998</v>
      </c>
      <c r="R828" s="50"/>
      <c r="S828" s="154"/>
      <c r="T828" s="154"/>
    </row>
    <row r="829" spans="1:21" hidden="1" x14ac:dyDescent="0.25">
      <c r="A829" s="49" t="s">
        <v>721</v>
      </c>
      <c r="B829" s="49" t="s">
        <v>90</v>
      </c>
      <c r="C829" s="49" t="s">
        <v>91</v>
      </c>
      <c r="D829" s="49" t="s">
        <v>69</v>
      </c>
      <c r="E829" s="50">
        <v>1017470468</v>
      </c>
      <c r="F829" s="50">
        <v>939021791</v>
      </c>
      <c r="G829" s="50">
        <v>929763051</v>
      </c>
      <c r="H829" s="50">
        <v>0</v>
      </c>
      <c r="I829" s="50">
        <v>188418078</v>
      </c>
      <c r="J829" s="50">
        <v>0</v>
      </c>
      <c r="K829" s="50">
        <v>741344973</v>
      </c>
      <c r="L829" s="151">
        <f t="shared" si="0"/>
        <v>0.7894864422800173</v>
      </c>
      <c r="M829" s="50">
        <v>741344973</v>
      </c>
      <c r="N829" s="152">
        <f t="shared" si="1"/>
        <v>0.7894864422800173</v>
      </c>
      <c r="O829" s="50">
        <v>9258740</v>
      </c>
      <c r="P829" s="152">
        <f t="shared" si="2"/>
        <v>9.8599841758091854E-3</v>
      </c>
      <c r="Q829" s="50">
        <v>0</v>
      </c>
      <c r="R829" s="50"/>
      <c r="S829" s="154"/>
      <c r="T829" s="154"/>
    </row>
    <row r="830" spans="1:21" hidden="1" x14ac:dyDescent="0.25">
      <c r="A830" s="49" t="s">
        <v>721</v>
      </c>
      <c r="B830" s="49" t="s">
        <v>430</v>
      </c>
      <c r="C830" s="49" t="s">
        <v>697</v>
      </c>
      <c r="D830" s="49" t="s">
        <v>69</v>
      </c>
      <c r="E830" s="50">
        <v>965292547</v>
      </c>
      <c r="F830" s="50">
        <v>890867212</v>
      </c>
      <c r="G830" s="50">
        <v>882083282</v>
      </c>
      <c r="H830" s="50">
        <v>0</v>
      </c>
      <c r="I830" s="50">
        <v>178754826</v>
      </c>
      <c r="J830" s="50">
        <v>0</v>
      </c>
      <c r="K830" s="50">
        <v>703328456</v>
      </c>
      <c r="L830" s="151">
        <f t="shared" si="0"/>
        <v>0.7894874191418777</v>
      </c>
      <c r="M830" s="50">
        <v>703328456</v>
      </c>
      <c r="N830" s="152">
        <f t="shared" si="1"/>
        <v>0.7894874191418777</v>
      </c>
      <c r="O830" s="50">
        <v>8783930</v>
      </c>
      <c r="P830" s="152">
        <f t="shared" si="2"/>
        <v>9.8599767526296612E-3</v>
      </c>
      <c r="Q830" s="50">
        <v>0</v>
      </c>
      <c r="R830" s="50"/>
      <c r="S830" s="154"/>
      <c r="T830" s="154"/>
    </row>
    <row r="831" spans="1:21" hidden="1" x14ac:dyDescent="0.25">
      <c r="A831" s="49" t="s">
        <v>721</v>
      </c>
      <c r="B831" s="49" t="s">
        <v>447</v>
      </c>
      <c r="C831" s="49" t="s">
        <v>95</v>
      </c>
      <c r="D831" s="49" t="s">
        <v>69</v>
      </c>
      <c r="E831" s="50">
        <v>52177921</v>
      </c>
      <c r="F831" s="50">
        <v>48154579</v>
      </c>
      <c r="G831" s="50">
        <v>47679769</v>
      </c>
      <c r="H831" s="50">
        <v>0</v>
      </c>
      <c r="I831" s="50">
        <v>9663252</v>
      </c>
      <c r="J831" s="50">
        <v>0</v>
      </c>
      <c r="K831" s="50">
        <v>38016517</v>
      </c>
      <c r="L831" s="151">
        <f t="shared" si="0"/>
        <v>0.78946837018344607</v>
      </c>
      <c r="M831" s="50">
        <v>38016517</v>
      </c>
      <c r="N831" s="152">
        <f t="shared" si="1"/>
        <v>0.78946837018344607</v>
      </c>
      <c r="O831" s="50">
        <v>474810</v>
      </c>
      <c r="P831" s="152">
        <f t="shared" si="2"/>
        <v>9.8601215057866048E-3</v>
      </c>
      <c r="Q831" s="50">
        <v>0</v>
      </c>
      <c r="R831" s="50"/>
      <c r="S831" s="154"/>
      <c r="T831" s="154"/>
    </row>
    <row r="832" spans="1:21" hidden="1" x14ac:dyDescent="0.25">
      <c r="A832" s="49" t="s">
        <v>721</v>
      </c>
      <c r="B832" s="49" t="s">
        <v>96</v>
      </c>
      <c r="C832" s="49" t="s">
        <v>97</v>
      </c>
      <c r="D832" s="49" t="s">
        <v>69</v>
      </c>
      <c r="E832" s="50">
        <v>1105537368</v>
      </c>
      <c r="F832" s="50">
        <v>1027088692</v>
      </c>
      <c r="G832" s="50">
        <v>963754625</v>
      </c>
      <c r="H832" s="50">
        <v>0</v>
      </c>
      <c r="I832" s="50">
        <v>165731955.43000001</v>
      </c>
      <c r="J832" s="50">
        <v>0</v>
      </c>
      <c r="K832" s="50">
        <v>772220021.57000005</v>
      </c>
      <c r="L832" s="151">
        <f t="shared" si="0"/>
        <v>0.75185329912092935</v>
      </c>
      <c r="M832" s="50">
        <v>772220021.57000005</v>
      </c>
      <c r="N832" s="152">
        <f t="shared" si="1"/>
        <v>0.75185329912092935</v>
      </c>
      <c r="O832" s="50">
        <v>89136715</v>
      </c>
      <c r="P832" s="152">
        <f t="shared" si="2"/>
        <v>8.6785801162340123E-2</v>
      </c>
      <c r="Q832" s="50">
        <v>25802648</v>
      </c>
      <c r="R832" s="50"/>
      <c r="S832" s="154"/>
      <c r="T832" s="154"/>
    </row>
    <row r="833" spans="1:20" hidden="1" x14ac:dyDescent="0.25">
      <c r="A833" s="49" t="s">
        <v>721</v>
      </c>
      <c r="B833" s="49" t="s">
        <v>465</v>
      </c>
      <c r="C833" s="49" t="s">
        <v>698</v>
      </c>
      <c r="D833" s="49" t="s">
        <v>69</v>
      </c>
      <c r="E833" s="50">
        <v>547868675</v>
      </c>
      <c r="F833" s="50">
        <v>505627080</v>
      </c>
      <c r="G833" s="50">
        <v>475557312</v>
      </c>
      <c r="H833" s="50">
        <v>0</v>
      </c>
      <c r="I833" s="50">
        <v>87751283</v>
      </c>
      <c r="J833" s="50">
        <v>0</v>
      </c>
      <c r="K833" s="50">
        <v>362721731</v>
      </c>
      <c r="L833" s="151">
        <f t="shared" si="0"/>
        <v>0.71737006451474084</v>
      </c>
      <c r="M833" s="50">
        <v>362721731</v>
      </c>
      <c r="N833" s="152">
        <f t="shared" si="1"/>
        <v>0.71737006451474084</v>
      </c>
      <c r="O833" s="50">
        <v>55154066</v>
      </c>
      <c r="P833" s="152">
        <f t="shared" si="2"/>
        <v>0.10908052234860523</v>
      </c>
      <c r="Q833" s="50">
        <v>25084298</v>
      </c>
      <c r="R833" s="50"/>
      <c r="S833" s="154"/>
      <c r="T833" s="154"/>
    </row>
    <row r="834" spans="1:20" hidden="1" x14ac:dyDescent="0.25">
      <c r="A834" s="49" t="s">
        <v>721</v>
      </c>
      <c r="B834" s="49" t="s">
        <v>482</v>
      </c>
      <c r="C834" s="49" t="s">
        <v>699</v>
      </c>
      <c r="D834" s="49" t="s">
        <v>69</v>
      </c>
      <c r="E834" s="50">
        <v>156533864</v>
      </c>
      <c r="F834" s="50">
        <v>144464837</v>
      </c>
      <c r="G834" s="50">
        <v>143040417</v>
      </c>
      <c r="H834" s="50">
        <v>0</v>
      </c>
      <c r="I834" s="50">
        <v>28991039</v>
      </c>
      <c r="J834" s="50">
        <v>0</v>
      </c>
      <c r="K834" s="50">
        <v>114049378</v>
      </c>
      <c r="L834" s="151">
        <f t="shared" si="0"/>
        <v>0.7894611614035878</v>
      </c>
      <c r="M834" s="50">
        <v>114049378</v>
      </c>
      <c r="N834" s="152">
        <f t="shared" si="1"/>
        <v>0.7894611614035878</v>
      </c>
      <c r="O834" s="50">
        <v>1424420</v>
      </c>
      <c r="P834" s="152">
        <f t="shared" si="2"/>
        <v>9.8599772067717757E-3</v>
      </c>
      <c r="Q834" s="50">
        <v>0</v>
      </c>
      <c r="R834" s="50"/>
      <c r="S834" s="154"/>
      <c r="T834" s="154"/>
    </row>
    <row r="835" spans="1:20" hidden="1" x14ac:dyDescent="0.25">
      <c r="A835" s="49" t="s">
        <v>721</v>
      </c>
      <c r="B835" s="49" t="s">
        <v>499</v>
      </c>
      <c r="C835" s="49" t="s">
        <v>700</v>
      </c>
      <c r="D835" s="49" t="s">
        <v>69</v>
      </c>
      <c r="E835" s="50">
        <v>313067829</v>
      </c>
      <c r="F835" s="50">
        <v>288929775</v>
      </c>
      <c r="G835" s="50">
        <v>257089896</v>
      </c>
      <c r="H835" s="50">
        <v>0</v>
      </c>
      <c r="I835" s="50">
        <v>28990973</v>
      </c>
      <c r="J835" s="50">
        <v>0</v>
      </c>
      <c r="K835" s="50">
        <v>228098923</v>
      </c>
      <c r="L835" s="151">
        <f t="shared" si="0"/>
        <v>0.78946146342999779</v>
      </c>
      <c r="M835" s="50">
        <v>228098923</v>
      </c>
      <c r="N835" s="152">
        <f t="shared" si="1"/>
        <v>0.78946146342999779</v>
      </c>
      <c r="O835" s="50">
        <v>31839879</v>
      </c>
      <c r="P835" s="152">
        <f t="shared" si="2"/>
        <v>0.11019936937963559</v>
      </c>
      <c r="Q835" s="50">
        <v>0</v>
      </c>
      <c r="R835" s="50"/>
      <c r="S835" s="154"/>
      <c r="T835" s="154"/>
    </row>
    <row r="836" spans="1:20" hidden="1" x14ac:dyDescent="0.25">
      <c r="A836" s="49" t="s">
        <v>721</v>
      </c>
      <c r="B836" s="49" t="s">
        <v>516</v>
      </c>
      <c r="C836" s="49" t="s">
        <v>722</v>
      </c>
      <c r="D836" s="49" t="s">
        <v>69</v>
      </c>
      <c r="E836" s="50">
        <v>88067000</v>
      </c>
      <c r="F836" s="50">
        <v>88067000</v>
      </c>
      <c r="G836" s="50">
        <v>88067000</v>
      </c>
      <c r="H836" s="50">
        <v>0</v>
      </c>
      <c r="I836" s="50">
        <v>19998660.43</v>
      </c>
      <c r="J836" s="50">
        <v>0</v>
      </c>
      <c r="K836" s="50">
        <v>67349989.569999993</v>
      </c>
      <c r="L836" s="151">
        <f t="shared" si="0"/>
        <v>0.76475853123190285</v>
      </c>
      <c r="M836" s="50">
        <v>67349989.569999993</v>
      </c>
      <c r="N836" s="152">
        <f t="shared" si="1"/>
        <v>0.76475853123190285</v>
      </c>
      <c r="O836" s="50">
        <v>718350</v>
      </c>
      <c r="P836" s="152">
        <f t="shared" si="2"/>
        <v>8.1568578468665907E-3</v>
      </c>
      <c r="Q836" s="50">
        <v>718350</v>
      </c>
      <c r="R836" s="50"/>
      <c r="S836" s="154"/>
      <c r="T836" s="154"/>
    </row>
    <row r="837" spans="1:20" hidden="1" x14ac:dyDescent="0.25">
      <c r="A837" s="49" t="s">
        <v>721</v>
      </c>
      <c r="B837" s="49" t="s">
        <v>104</v>
      </c>
      <c r="C837" s="49" t="s">
        <v>105</v>
      </c>
      <c r="D837" s="49" t="s">
        <v>69</v>
      </c>
      <c r="E837" s="50">
        <v>45500000</v>
      </c>
      <c r="F837" s="50">
        <v>44866179</v>
      </c>
      <c r="G837" s="50">
        <v>44866179</v>
      </c>
      <c r="H837" s="50">
        <v>0</v>
      </c>
      <c r="I837" s="50">
        <v>886800</v>
      </c>
      <c r="J837" s="50">
        <v>0</v>
      </c>
      <c r="K837" s="50">
        <v>43979379</v>
      </c>
      <c r="L837" s="151">
        <f t="shared" si="0"/>
        <v>0.98023455485255384</v>
      </c>
      <c r="M837" s="50">
        <v>43979379</v>
      </c>
      <c r="N837" s="152">
        <f t="shared" si="1"/>
        <v>0.98023455485255384</v>
      </c>
      <c r="O837" s="50">
        <v>0</v>
      </c>
      <c r="P837" s="152">
        <f t="shared" si="2"/>
        <v>0</v>
      </c>
      <c r="Q837" s="50">
        <v>0</v>
      </c>
      <c r="R837" s="50"/>
      <c r="S837" s="154"/>
      <c r="T837" s="154"/>
    </row>
    <row r="838" spans="1:20" hidden="1" x14ac:dyDescent="0.25">
      <c r="A838" s="49" t="s">
        <v>721</v>
      </c>
      <c r="B838" s="49" t="s">
        <v>150</v>
      </c>
      <c r="C838" s="49" t="s">
        <v>151</v>
      </c>
      <c r="D838" s="49" t="s">
        <v>69</v>
      </c>
      <c r="E838" s="50">
        <v>45500000</v>
      </c>
      <c r="F838" s="50">
        <v>44866179</v>
      </c>
      <c r="G838" s="50">
        <v>44866179</v>
      </c>
      <c r="H838" s="50">
        <v>0</v>
      </c>
      <c r="I838" s="50">
        <v>886800</v>
      </c>
      <c r="J838" s="50">
        <v>0</v>
      </c>
      <c r="K838" s="50">
        <v>43979379</v>
      </c>
      <c r="L838" s="151">
        <f t="shared" si="0"/>
        <v>0.98023455485255384</v>
      </c>
      <c r="M838" s="50">
        <v>43979379</v>
      </c>
      <c r="N838" s="152">
        <f t="shared" si="1"/>
        <v>0.98023455485255384</v>
      </c>
      <c r="O838" s="50">
        <v>0</v>
      </c>
      <c r="P838" s="152">
        <f t="shared" si="2"/>
        <v>0</v>
      </c>
      <c r="Q838" s="50">
        <v>0</v>
      </c>
      <c r="R838" s="50"/>
      <c r="S838" s="154"/>
      <c r="T838" s="154"/>
    </row>
    <row r="839" spans="1:20" hidden="1" x14ac:dyDescent="0.25">
      <c r="A839" s="49" t="s">
        <v>721</v>
      </c>
      <c r="B839" s="49" t="s">
        <v>152</v>
      </c>
      <c r="C839" s="49" t="s">
        <v>153</v>
      </c>
      <c r="D839" s="49" t="s">
        <v>69</v>
      </c>
      <c r="E839" s="50">
        <v>45500000</v>
      </c>
      <c r="F839" s="50">
        <v>44866179</v>
      </c>
      <c r="G839" s="50">
        <v>44866179</v>
      </c>
      <c r="H839" s="50">
        <v>0</v>
      </c>
      <c r="I839" s="50">
        <v>886800</v>
      </c>
      <c r="J839" s="50">
        <v>0</v>
      </c>
      <c r="K839" s="50">
        <v>43979379</v>
      </c>
      <c r="L839" s="151">
        <f t="shared" si="0"/>
        <v>0.98023455485255384</v>
      </c>
      <c r="M839" s="50">
        <v>43979379</v>
      </c>
      <c r="N839" s="152">
        <f t="shared" si="1"/>
        <v>0.98023455485255384</v>
      </c>
      <c r="O839" s="50">
        <v>0</v>
      </c>
      <c r="P839" s="152">
        <f t="shared" si="2"/>
        <v>0</v>
      </c>
      <c r="Q839" s="50">
        <v>0</v>
      </c>
      <c r="R839" s="50"/>
      <c r="S839" s="154"/>
      <c r="T839" s="154"/>
    </row>
    <row r="840" spans="1:20" hidden="1" x14ac:dyDescent="0.25">
      <c r="A840" s="49" t="s">
        <v>721</v>
      </c>
      <c r="B840" s="49" t="s">
        <v>248</v>
      </c>
      <c r="C840" s="49" t="s">
        <v>249</v>
      </c>
      <c r="D840" s="49" t="s">
        <v>69</v>
      </c>
      <c r="E840" s="50">
        <v>421832742</v>
      </c>
      <c r="F840" s="50">
        <v>476763902</v>
      </c>
      <c r="G840" s="50">
        <v>474833863</v>
      </c>
      <c r="H840" s="50">
        <v>0</v>
      </c>
      <c r="I840" s="50">
        <v>49859428.240000002</v>
      </c>
      <c r="J840" s="50">
        <v>0</v>
      </c>
      <c r="K840" s="50">
        <v>389547732.25999999</v>
      </c>
      <c r="L840" s="151">
        <f t="shared" si="0"/>
        <v>0.8170663312089429</v>
      </c>
      <c r="M840" s="50">
        <v>389547732.25999999</v>
      </c>
      <c r="N840" s="152">
        <f t="shared" si="1"/>
        <v>0.8170663312089429</v>
      </c>
      <c r="O840" s="50">
        <v>37356741.5</v>
      </c>
      <c r="P840" s="152">
        <f t="shared" si="2"/>
        <v>7.8354802750985122E-2</v>
      </c>
      <c r="Q840" s="50">
        <v>35426702.5</v>
      </c>
      <c r="R840" s="50"/>
      <c r="S840" s="154"/>
      <c r="T840" s="154"/>
    </row>
    <row r="841" spans="1:20" hidden="1" x14ac:dyDescent="0.25">
      <c r="A841" s="49" t="s">
        <v>721</v>
      </c>
      <c r="B841" s="49" t="s">
        <v>250</v>
      </c>
      <c r="C841" s="49" t="s">
        <v>251</v>
      </c>
      <c r="D841" s="49" t="s">
        <v>69</v>
      </c>
      <c r="E841" s="50">
        <v>173230842</v>
      </c>
      <c r="F841" s="50">
        <v>159875033</v>
      </c>
      <c r="G841" s="50">
        <v>157944994</v>
      </c>
      <c r="H841" s="50">
        <v>0</v>
      </c>
      <c r="I841" s="50">
        <v>33799021.890000001</v>
      </c>
      <c r="J841" s="50">
        <v>0</v>
      </c>
      <c r="K841" s="50">
        <v>123792283.11</v>
      </c>
      <c r="L841" s="151">
        <f t="shared" si="0"/>
        <v>0.77430653671858818</v>
      </c>
      <c r="M841" s="50">
        <v>123792283.11</v>
      </c>
      <c r="N841" s="152">
        <f t="shared" si="1"/>
        <v>0.77430653671858818</v>
      </c>
      <c r="O841" s="50">
        <v>2283728</v>
      </c>
      <c r="P841" s="152">
        <f t="shared" si="2"/>
        <v>1.4284456785694613E-2</v>
      </c>
      <c r="Q841" s="50">
        <v>353689</v>
      </c>
      <c r="R841" s="50"/>
      <c r="S841" s="154"/>
      <c r="T841" s="154"/>
    </row>
    <row r="842" spans="1:20" hidden="1" x14ac:dyDescent="0.25">
      <c r="A842" s="49" t="s">
        <v>721</v>
      </c>
      <c r="B842" s="49" t="s">
        <v>639</v>
      </c>
      <c r="C842" s="49" t="s">
        <v>702</v>
      </c>
      <c r="D842" s="49" t="s">
        <v>69</v>
      </c>
      <c r="E842" s="50">
        <v>147141882</v>
      </c>
      <c r="F842" s="50">
        <v>135797244</v>
      </c>
      <c r="G842" s="50">
        <v>134104605</v>
      </c>
      <c r="H842" s="50">
        <v>0</v>
      </c>
      <c r="I842" s="50">
        <v>28966871.289999999</v>
      </c>
      <c r="J842" s="50">
        <v>0</v>
      </c>
      <c r="K842" s="50">
        <v>104784044.70999999</v>
      </c>
      <c r="L842" s="151">
        <f t="shared" si="0"/>
        <v>0.77162129085624154</v>
      </c>
      <c r="M842" s="50">
        <v>104784044.70999999</v>
      </c>
      <c r="N842" s="152">
        <f t="shared" si="1"/>
        <v>0.77162129085624154</v>
      </c>
      <c r="O842" s="50">
        <v>2046328</v>
      </c>
      <c r="P842" s="152">
        <f t="shared" si="2"/>
        <v>1.5068995067381486E-2</v>
      </c>
      <c r="Q842" s="50">
        <v>353689</v>
      </c>
      <c r="R842" s="50"/>
      <c r="S842" s="154"/>
      <c r="T842" s="154"/>
    </row>
    <row r="843" spans="1:20" hidden="1" x14ac:dyDescent="0.25">
      <c r="A843" s="49" t="s">
        <v>721</v>
      </c>
      <c r="B843" s="49" t="s">
        <v>654</v>
      </c>
      <c r="C843" s="49" t="s">
        <v>703</v>
      </c>
      <c r="D843" s="49" t="s">
        <v>69</v>
      </c>
      <c r="E843" s="50">
        <v>26088960</v>
      </c>
      <c r="F843" s="50">
        <v>24077789</v>
      </c>
      <c r="G843" s="50">
        <v>23840389</v>
      </c>
      <c r="H843" s="50">
        <v>0</v>
      </c>
      <c r="I843" s="50">
        <v>4832150.5999999996</v>
      </c>
      <c r="J843" s="50">
        <v>0</v>
      </c>
      <c r="K843" s="50">
        <v>19008238.399999999</v>
      </c>
      <c r="L843" s="151">
        <f t="shared" si="0"/>
        <v>0.7894511576623584</v>
      </c>
      <c r="M843" s="50">
        <v>19008238.399999999</v>
      </c>
      <c r="N843" s="152">
        <f t="shared" si="1"/>
        <v>0.7894511576623584</v>
      </c>
      <c r="O843" s="50">
        <v>237400</v>
      </c>
      <c r="P843" s="152">
        <f t="shared" si="2"/>
        <v>9.8597092947363234E-3</v>
      </c>
      <c r="Q843" s="50">
        <v>0</v>
      </c>
      <c r="R843" s="50"/>
      <c r="S843" s="154"/>
      <c r="T843" s="154"/>
    </row>
    <row r="844" spans="1:20" hidden="1" x14ac:dyDescent="0.25">
      <c r="A844" s="49" t="s">
        <v>721</v>
      </c>
      <c r="B844" s="49" t="s">
        <v>260</v>
      </c>
      <c r="C844" s="49" t="s">
        <v>261</v>
      </c>
      <c r="D844" s="49" t="s">
        <v>69</v>
      </c>
      <c r="E844" s="50">
        <v>223601900</v>
      </c>
      <c r="F844" s="50">
        <v>291888869</v>
      </c>
      <c r="G844" s="50">
        <v>291888869</v>
      </c>
      <c r="H844" s="50">
        <v>0</v>
      </c>
      <c r="I844" s="50">
        <v>6821478.3200000003</v>
      </c>
      <c r="J844" s="50">
        <v>0</v>
      </c>
      <c r="K844" s="50">
        <v>251044377.18000001</v>
      </c>
      <c r="L844" s="151">
        <f t="shared" si="0"/>
        <v>0.86006834738189353</v>
      </c>
      <c r="M844" s="50">
        <v>251044377.18000001</v>
      </c>
      <c r="N844" s="152">
        <f t="shared" si="1"/>
        <v>0.86006834738189353</v>
      </c>
      <c r="O844" s="50">
        <v>34023013.5</v>
      </c>
      <c r="P844" s="152">
        <f t="shared" si="2"/>
        <v>0.11656153116273851</v>
      </c>
      <c r="Q844" s="50">
        <v>34023013.5</v>
      </c>
      <c r="R844" s="50"/>
      <c r="S844" s="154"/>
      <c r="T844" s="154"/>
    </row>
    <row r="845" spans="1:20" hidden="1" x14ac:dyDescent="0.25">
      <c r="A845" s="49" t="s">
        <v>721</v>
      </c>
      <c r="B845" s="49" t="s">
        <v>262</v>
      </c>
      <c r="C845" s="49" t="s">
        <v>263</v>
      </c>
      <c r="D845" s="49" t="s">
        <v>69</v>
      </c>
      <c r="E845" s="50">
        <v>150213900</v>
      </c>
      <c r="F845" s="50">
        <v>218500869</v>
      </c>
      <c r="G845" s="50">
        <v>218500869</v>
      </c>
      <c r="H845" s="50">
        <v>0</v>
      </c>
      <c r="I845" s="50">
        <v>6821478.3200000003</v>
      </c>
      <c r="J845" s="50">
        <v>0</v>
      </c>
      <c r="K845" s="50">
        <v>200382850.68000001</v>
      </c>
      <c r="L845" s="151">
        <f t="shared" si="0"/>
        <v>0.9170803374699622</v>
      </c>
      <c r="M845" s="50">
        <v>200382850.68000001</v>
      </c>
      <c r="N845" s="152">
        <f t="shared" si="1"/>
        <v>0.9170803374699622</v>
      </c>
      <c r="O845" s="50">
        <v>11296540</v>
      </c>
      <c r="P845" s="152">
        <f t="shared" si="2"/>
        <v>5.1700206281559455E-2</v>
      </c>
      <c r="Q845" s="50">
        <v>11296540</v>
      </c>
      <c r="R845" s="50"/>
      <c r="S845" s="154"/>
      <c r="T845" s="154"/>
    </row>
    <row r="846" spans="1:20" hidden="1" x14ac:dyDescent="0.25">
      <c r="A846" s="49" t="s">
        <v>721</v>
      </c>
      <c r="B846" s="49" t="s">
        <v>264</v>
      </c>
      <c r="C846" s="49" t="s">
        <v>265</v>
      </c>
      <c r="D846" s="49" t="s">
        <v>69</v>
      </c>
      <c r="E846" s="50">
        <v>73388000</v>
      </c>
      <c r="F846" s="50">
        <v>73388000</v>
      </c>
      <c r="G846" s="50">
        <v>73388000</v>
      </c>
      <c r="H846" s="50">
        <v>0</v>
      </c>
      <c r="I846" s="50">
        <v>0</v>
      </c>
      <c r="J846" s="50">
        <v>0</v>
      </c>
      <c r="K846" s="50">
        <v>50661526.5</v>
      </c>
      <c r="L846" s="151">
        <f t="shared" si="0"/>
        <v>0.690324392271216</v>
      </c>
      <c r="M846" s="50">
        <v>50661526.5</v>
      </c>
      <c r="N846" s="152">
        <f t="shared" si="1"/>
        <v>0.690324392271216</v>
      </c>
      <c r="O846" s="50">
        <v>22726473.5</v>
      </c>
      <c r="P846" s="152">
        <f t="shared" si="2"/>
        <v>0.309675607728784</v>
      </c>
      <c r="Q846" s="50">
        <v>22726473.5</v>
      </c>
      <c r="R846" s="50"/>
      <c r="S846" s="154"/>
      <c r="T846" s="154"/>
    </row>
    <row r="847" spans="1:20" hidden="1" x14ac:dyDescent="0.25">
      <c r="A847" s="49" t="s">
        <v>721</v>
      </c>
      <c r="B847" s="49" t="s">
        <v>286</v>
      </c>
      <c r="C847" s="49" t="s">
        <v>287</v>
      </c>
      <c r="D847" s="49" t="s">
        <v>69</v>
      </c>
      <c r="E847" s="50">
        <v>25000000</v>
      </c>
      <c r="F847" s="50">
        <v>25000000</v>
      </c>
      <c r="G847" s="50">
        <v>25000000</v>
      </c>
      <c r="H847" s="50">
        <v>0</v>
      </c>
      <c r="I847" s="50">
        <v>9238928.0299999993</v>
      </c>
      <c r="J847" s="50">
        <v>0</v>
      </c>
      <c r="K847" s="50">
        <v>14711071.970000001</v>
      </c>
      <c r="L847" s="151">
        <f t="shared" si="0"/>
        <v>0.58844287880000001</v>
      </c>
      <c r="M847" s="50">
        <v>14711071.970000001</v>
      </c>
      <c r="N847" s="152">
        <f t="shared" si="1"/>
        <v>0.58844287880000001</v>
      </c>
      <c r="O847" s="50">
        <v>1050000</v>
      </c>
      <c r="P847" s="152">
        <f t="shared" si="2"/>
        <v>4.2000000000000003E-2</v>
      </c>
      <c r="Q847" s="50">
        <v>1050000</v>
      </c>
      <c r="R847" s="50"/>
      <c r="S847" s="154"/>
      <c r="T847" s="154"/>
    </row>
    <row r="848" spans="1:20" hidden="1" x14ac:dyDescent="0.25">
      <c r="A848" s="49" t="s">
        <v>721</v>
      </c>
      <c r="B848" s="49" t="s">
        <v>288</v>
      </c>
      <c r="C848" s="49" t="s">
        <v>289</v>
      </c>
      <c r="D848" s="49" t="s">
        <v>69</v>
      </c>
      <c r="E848" s="50">
        <v>10000000</v>
      </c>
      <c r="F848" s="50">
        <v>10000000</v>
      </c>
      <c r="G848" s="50">
        <v>10000000</v>
      </c>
      <c r="H848" s="50">
        <v>0</v>
      </c>
      <c r="I848" s="50">
        <v>5343181.66</v>
      </c>
      <c r="J848" s="50">
        <v>0</v>
      </c>
      <c r="K848" s="50">
        <v>4356818.34</v>
      </c>
      <c r="L848" s="151">
        <f t="shared" si="0"/>
        <v>0.43568183399999999</v>
      </c>
      <c r="M848" s="50">
        <v>4356818.34</v>
      </c>
      <c r="N848" s="152">
        <f t="shared" si="1"/>
        <v>0.43568183399999999</v>
      </c>
      <c r="O848" s="50">
        <v>300000</v>
      </c>
      <c r="P848" s="152">
        <f t="shared" si="2"/>
        <v>0.03</v>
      </c>
      <c r="Q848" s="50">
        <v>300000</v>
      </c>
      <c r="R848" s="50"/>
      <c r="S848" s="154"/>
      <c r="T848" s="154"/>
    </row>
    <row r="849" spans="1:20" hidden="1" x14ac:dyDescent="0.25">
      <c r="A849" s="49" t="s">
        <v>721</v>
      </c>
      <c r="B849" s="49" t="s">
        <v>370</v>
      </c>
      <c r="C849" s="49" t="s">
        <v>371</v>
      </c>
      <c r="D849" s="49" t="s">
        <v>69</v>
      </c>
      <c r="E849" s="50">
        <v>15000000</v>
      </c>
      <c r="F849" s="50">
        <v>15000000</v>
      </c>
      <c r="G849" s="50">
        <v>15000000</v>
      </c>
      <c r="H849" s="50">
        <v>0</v>
      </c>
      <c r="I849" s="50">
        <v>3895746.37</v>
      </c>
      <c r="J849" s="50">
        <v>0</v>
      </c>
      <c r="K849" s="50">
        <v>10354253.630000001</v>
      </c>
      <c r="L849" s="151">
        <f t="shared" si="0"/>
        <v>0.6902835753333334</v>
      </c>
      <c r="M849" s="50">
        <v>10354253.630000001</v>
      </c>
      <c r="N849" s="152">
        <f t="shared" si="1"/>
        <v>0.6902835753333334</v>
      </c>
      <c r="O849" s="50">
        <v>750000</v>
      </c>
      <c r="P849" s="152">
        <f t="shared" si="2"/>
        <v>0.05</v>
      </c>
      <c r="Q849" s="50">
        <v>750000</v>
      </c>
      <c r="R849" s="50"/>
      <c r="S849" s="154"/>
      <c r="T849" s="154"/>
    </row>
    <row r="850" spans="1:20" hidden="1" x14ac:dyDescent="0.25">
      <c r="A850" s="53"/>
      <c r="B850" s="53"/>
      <c r="C850" s="53"/>
      <c r="D850" s="53"/>
      <c r="E850" s="54">
        <v>765104920000</v>
      </c>
      <c r="F850" s="54">
        <v>743069209900</v>
      </c>
      <c r="G850" s="54">
        <v>734888007587.59998</v>
      </c>
      <c r="H850" s="54">
        <v>5866196448.6499996</v>
      </c>
      <c r="I850" s="54">
        <v>44782011665.449997</v>
      </c>
      <c r="J850" s="54">
        <v>1683552955</v>
      </c>
      <c r="K850" s="54">
        <v>527107952791.40002</v>
      </c>
      <c r="L850" s="54"/>
      <c r="M850" s="54">
        <v>520173297521.65002</v>
      </c>
      <c r="N850" s="54"/>
      <c r="O850" s="54">
        <v>163629496039.5</v>
      </c>
      <c r="P850" s="54"/>
      <c r="Q850" s="54">
        <v>155448293727.10001</v>
      </c>
      <c r="R850" s="54"/>
      <c r="S850" s="180"/>
      <c r="T850" s="180"/>
    </row>
  </sheetData>
  <sheetProtection selectLockedCells="1" selectUnlockedCells="1"/>
  <conditionalFormatting sqref="K2:K451">
    <cfRule type="cellIs" dxfId="37" priority="1" stopIfTrue="1" operator="lessThan">
      <formula>0</formula>
    </cfRule>
  </conditionalFormatting>
  <conditionalFormatting sqref="L2:L849">
    <cfRule type="cellIs" dxfId="36" priority="2" stopIfTrue="1" operator="lessThan">
      <formula>0</formula>
    </cfRule>
  </conditionalFormatting>
  <conditionalFormatting sqref="N2:N849">
    <cfRule type="cellIs" dxfId="35" priority="3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/>
  <headerFooter alignWithMargins="0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833"/>
  <sheetViews>
    <sheetView zoomScaleNormal="100" workbookViewId="0"/>
  </sheetViews>
  <sheetFormatPr baseColWidth="10" defaultColWidth="9.140625" defaultRowHeight="15" x14ac:dyDescent="0.25"/>
  <cols>
    <col min="1" max="1" width="15" style="143" customWidth="1"/>
    <col min="2" max="2" width="16" style="143" customWidth="1"/>
    <col min="3" max="3" width="59.42578125" style="143" customWidth="1"/>
    <col min="4" max="4" width="7" style="143" customWidth="1"/>
    <col min="5" max="6" width="20" style="143" customWidth="1"/>
    <col min="7" max="7" width="18" style="143" customWidth="1"/>
    <col min="8" max="8" width="14.85546875" style="143" customWidth="1"/>
    <col min="9" max="9" width="16.7109375" style="143" hidden="1" customWidth="1"/>
    <col min="10" max="10" width="21.85546875" style="143" hidden="1" customWidth="1"/>
    <col min="11" max="13" width="17" style="143" customWidth="1"/>
    <col min="14" max="14" width="11.7109375" style="143" customWidth="1"/>
    <col min="15" max="16" width="24" style="143" customWidth="1"/>
    <col min="17" max="17" width="21.140625" style="143" hidden="1" customWidth="1"/>
    <col min="18" max="16384" width="9.140625" style="143"/>
  </cols>
  <sheetData>
    <row r="1" spans="1:17" x14ac:dyDescent="0.25">
      <c r="A1" s="144" t="s">
        <v>52</v>
      </c>
      <c r="B1" s="144" t="s">
        <v>691</v>
      </c>
      <c r="C1" s="144" t="s">
        <v>54</v>
      </c>
      <c r="D1" s="144" t="s">
        <v>55</v>
      </c>
      <c r="E1" s="144" t="s">
        <v>56</v>
      </c>
      <c r="F1" s="144" t="s">
        <v>57</v>
      </c>
      <c r="G1" s="144" t="s">
        <v>58</v>
      </c>
      <c r="H1" s="144" t="s">
        <v>59</v>
      </c>
      <c r="I1" s="144" t="s">
        <v>60</v>
      </c>
      <c r="J1" s="144" t="s">
        <v>61</v>
      </c>
      <c r="K1" s="144" t="s">
        <v>12</v>
      </c>
      <c r="L1" s="45" t="s">
        <v>62</v>
      </c>
      <c r="M1" s="144" t="s">
        <v>63</v>
      </c>
      <c r="N1" s="49" t="s">
        <v>692</v>
      </c>
      <c r="O1" s="144" t="s">
        <v>65</v>
      </c>
      <c r="P1" s="47" t="s">
        <v>66</v>
      </c>
      <c r="Q1" s="144" t="s">
        <v>67</v>
      </c>
    </row>
    <row r="2" spans="1:17" hidden="1" x14ac:dyDescent="0.25">
      <c r="A2" s="44" t="s">
        <v>68</v>
      </c>
      <c r="B2" s="44"/>
      <c r="C2" s="44"/>
      <c r="D2" s="44" t="s">
        <v>69</v>
      </c>
      <c r="E2" s="50">
        <v>153020984000</v>
      </c>
      <c r="F2" s="50">
        <v>148613841980</v>
      </c>
      <c r="G2" s="50">
        <v>136979893366.09</v>
      </c>
      <c r="H2" s="50">
        <v>687877598.13</v>
      </c>
      <c r="I2" s="50">
        <v>16785270081.860001</v>
      </c>
      <c r="J2" s="50">
        <v>1314000377.5999999</v>
      </c>
      <c r="K2" s="50">
        <v>83092058860.470001</v>
      </c>
      <c r="L2" s="151">
        <f t="shared" ref="L2:L832" si="0">+K2/F2</f>
        <v>0.55911386014535769</v>
      </c>
      <c r="M2" s="50">
        <v>80897972492.809998</v>
      </c>
      <c r="N2" s="152">
        <f t="shared" ref="N2:N832" si="1">+M2/F2</f>
        <v>0.54435018579021055</v>
      </c>
      <c r="O2" s="50">
        <v>46734635061.940002</v>
      </c>
      <c r="P2" s="152">
        <f t="shared" ref="P2:P832" si="2">+O2/F2</f>
        <v>0.31447027032804525</v>
      </c>
      <c r="Q2" s="50">
        <v>35100686448.029999</v>
      </c>
    </row>
    <row r="3" spans="1:17" hidden="1" x14ac:dyDescent="0.25">
      <c r="A3" s="44">
        <v>214786</v>
      </c>
      <c r="B3" s="44"/>
      <c r="C3" s="44"/>
      <c r="D3" s="44" t="s">
        <v>69</v>
      </c>
      <c r="E3" s="50">
        <v>2252563898</v>
      </c>
      <c r="F3" s="50">
        <v>2107733459</v>
      </c>
      <c r="G3" s="50">
        <v>2005051884.5999999</v>
      </c>
      <c r="H3" s="50">
        <v>1953265.79</v>
      </c>
      <c r="I3" s="50">
        <v>186340253.47999999</v>
      </c>
      <c r="J3" s="50">
        <v>6628907.2000000002</v>
      </c>
      <c r="K3" s="50">
        <v>1120906137.1600001</v>
      </c>
      <c r="L3" s="151">
        <f t="shared" si="0"/>
        <v>0.53180639723383549</v>
      </c>
      <c r="M3" s="50">
        <v>1120405011.55</v>
      </c>
      <c r="N3" s="152">
        <f t="shared" si="1"/>
        <v>0.53156864154994654</v>
      </c>
      <c r="O3" s="50">
        <v>791904895.37</v>
      </c>
      <c r="P3" s="152">
        <f t="shared" si="2"/>
        <v>0.37571396515464245</v>
      </c>
      <c r="Q3" s="50">
        <v>689223320.97000003</v>
      </c>
    </row>
    <row r="4" spans="1:17" hidden="1" x14ac:dyDescent="0.25">
      <c r="A4" s="44" t="s">
        <v>696</v>
      </c>
      <c r="B4" s="44" t="s">
        <v>71</v>
      </c>
      <c r="C4" s="44" t="s">
        <v>72</v>
      </c>
      <c r="D4" s="44" t="s">
        <v>69</v>
      </c>
      <c r="E4" s="50">
        <v>1845529688</v>
      </c>
      <c r="F4" s="50">
        <v>1714066664</v>
      </c>
      <c r="G4" s="50">
        <v>1687713432</v>
      </c>
      <c r="H4" s="50">
        <v>0</v>
      </c>
      <c r="I4" s="50">
        <v>124699889</v>
      </c>
      <c r="J4" s="50">
        <v>0</v>
      </c>
      <c r="K4" s="50">
        <v>900455258.53999996</v>
      </c>
      <c r="L4" s="151">
        <f t="shared" si="0"/>
        <v>0.52533269414310246</v>
      </c>
      <c r="M4" s="50">
        <v>900455258.53999996</v>
      </c>
      <c r="N4" s="152">
        <f t="shared" si="1"/>
        <v>0.52533269414310246</v>
      </c>
      <c r="O4" s="50">
        <v>688911516.46000004</v>
      </c>
      <c r="P4" s="152">
        <f t="shared" si="2"/>
        <v>0.40191640787898786</v>
      </c>
      <c r="Q4" s="50">
        <v>662558284.46000004</v>
      </c>
    </row>
    <row r="5" spans="1:17" hidden="1" x14ac:dyDescent="0.25">
      <c r="A5" s="44" t="s">
        <v>696</v>
      </c>
      <c r="B5" s="44" t="s">
        <v>73</v>
      </c>
      <c r="C5" s="44" t="s">
        <v>74</v>
      </c>
      <c r="D5" s="44" t="s">
        <v>69</v>
      </c>
      <c r="E5" s="50">
        <v>712211400</v>
      </c>
      <c r="F5" s="50">
        <v>686759100</v>
      </c>
      <c r="G5" s="50">
        <v>676833600</v>
      </c>
      <c r="H5" s="50">
        <v>0</v>
      </c>
      <c r="I5" s="50">
        <v>0</v>
      </c>
      <c r="J5" s="50">
        <v>0</v>
      </c>
      <c r="K5" s="50">
        <v>400744640.42000002</v>
      </c>
      <c r="L5" s="151">
        <f t="shared" si="0"/>
        <v>0.58353014968421968</v>
      </c>
      <c r="M5" s="50">
        <v>400744640.42000002</v>
      </c>
      <c r="N5" s="152">
        <f t="shared" si="1"/>
        <v>0.58353014968421968</v>
      </c>
      <c r="O5" s="50">
        <v>286014459.57999998</v>
      </c>
      <c r="P5" s="152">
        <f t="shared" si="2"/>
        <v>0.41646985031578027</v>
      </c>
      <c r="Q5" s="50">
        <v>276088959.57999998</v>
      </c>
    </row>
    <row r="6" spans="1:17" hidden="1" x14ac:dyDescent="0.25">
      <c r="A6" s="44" t="s">
        <v>696</v>
      </c>
      <c r="B6" s="44" t="s">
        <v>75</v>
      </c>
      <c r="C6" s="44" t="s">
        <v>76</v>
      </c>
      <c r="D6" s="44" t="s">
        <v>69</v>
      </c>
      <c r="E6" s="50">
        <v>712211400</v>
      </c>
      <c r="F6" s="50">
        <v>686759100</v>
      </c>
      <c r="G6" s="50">
        <v>676833600</v>
      </c>
      <c r="H6" s="50">
        <v>0</v>
      </c>
      <c r="I6" s="50">
        <v>0</v>
      </c>
      <c r="J6" s="50">
        <v>0</v>
      </c>
      <c r="K6" s="50">
        <v>400744640.42000002</v>
      </c>
      <c r="L6" s="151">
        <f t="shared" si="0"/>
        <v>0.58353014968421968</v>
      </c>
      <c r="M6" s="50">
        <v>400744640.42000002</v>
      </c>
      <c r="N6" s="152">
        <f t="shared" si="1"/>
        <v>0.58353014968421968</v>
      </c>
      <c r="O6" s="50">
        <v>286014459.57999998</v>
      </c>
      <c r="P6" s="152">
        <f t="shared" si="2"/>
        <v>0.41646985031578027</v>
      </c>
      <c r="Q6" s="50">
        <v>276088959.57999998</v>
      </c>
    </row>
    <row r="7" spans="1:17" hidden="1" x14ac:dyDescent="0.25">
      <c r="A7" s="44" t="s">
        <v>696</v>
      </c>
      <c r="B7" s="44" t="s">
        <v>77</v>
      </c>
      <c r="C7" s="44" t="s">
        <v>78</v>
      </c>
      <c r="D7" s="44" t="s">
        <v>69</v>
      </c>
      <c r="E7" s="50">
        <v>851789535</v>
      </c>
      <c r="F7" s="50">
        <v>755470364</v>
      </c>
      <c r="G7" s="50">
        <v>743062753</v>
      </c>
      <c r="H7" s="50">
        <v>0</v>
      </c>
      <c r="I7" s="50">
        <v>0</v>
      </c>
      <c r="J7" s="50">
        <v>0</v>
      </c>
      <c r="K7" s="50">
        <v>356663428.12</v>
      </c>
      <c r="L7" s="151">
        <f t="shared" si="0"/>
        <v>0.47210776903486845</v>
      </c>
      <c r="M7" s="50">
        <v>356663428.12</v>
      </c>
      <c r="N7" s="152">
        <f t="shared" si="1"/>
        <v>0.47210776903486845</v>
      </c>
      <c r="O7" s="50">
        <v>398806935.88</v>
      </c>
      <c r="P7" s="152">
        <f t="shared" si="2"/>
        <v>0.52789223096513149</v>
      </c>
      <c r="Q7" s="50">
        <v>386399324.88</v>
      </c>
    </row>
    <row r="8" spans="1:17" hidden="1" x14ac:dyDescent="0.25">
      <c r="A8" s="44" t="s">
        <v>696</v>
      </c>
      <c r="B8" s="44" t="s">
        <v>79</v>
      </c>
      <c r="C8" s="44" t="s">
        <v>80</v>
      </c>
      <c r="D8" s="44" t="s">
        <v>69</v>
      </c>
      <c r="E8" s="50">
        <v>171630900</v>
      </c>
      <c r="F8" s="50">
        <v>171630900</v>
      </c>
      <c r="G8" s="50">
        <v>166370155</v>
      </c>
      <c r="H8" s="50">
        <v>0</v>
      </c>
      <c r="I8" s="50">
        <v>0</v>
      </c>
      <c r="J8" s="50">
        <v>0</v>
      </c>
      <c r="K8" s="50">
        <v>96304961.640000001</v>
      </c>
      <c r="L8" s="151">
        <f t="shared" si="0"/>
        <v>0.56111668493260825</v>
      </c>
      <c r="M8" s="50">
        <v>96304961.640000001</v>
      </c>
      <c r="N8" s="152">
        <f t="shared" si="1"/>
        <v>0.56111668493260825</v>
      </c>
      <c r="O8" s="50">
        <v>75325938.359999999</v>
      </c>
      <c r="P8" s="152">
        <f t="shared" si="2"/>
        <v>0.4388833150673917</v>
      </c>
      <c r="Q8" s="50">
        <v>70065193.359999999</v>
      </c>
    </row>
    <row r="9" spans="1:17" hidden="1" x14ac:dyDescent="0.25">
      <c r="A9" s="44" t="s">
        <v>696</v>
      </c>
      <c r="B9" s="44" t="s">
        <v>81</v>
      </c>
      <c r="C9" s="44" t="s">
        <v>82</v>
      </c>
      <c r="D9" s="44" t="s">
        <v>69</v>
      </c>
      <c r="E9" s="50">
        <v>362005040</v>
      </c>
      <c r="F9" s="50">
        <v>342729445</v>
      </c>
      <c r="G9" s="50">
        <v>338637370</v>
      </c>
      <c r="H9" s="50">
        <v>0</v>
      </c>
      <c r="I9" s="50">
        <v>0</v>
      </c>
      <c r="J9" s="50">
        <v>0</v>
      </c>
      <c r="K9" s="50">
        <v>187777902.40000001</v>
      </c>
      <c r="L9" s="151">
        <f t="shared" si="0"/>
        <v>0.54788961129382974</v>
      </c>
      <c r="M9" s="50">
        <v>187777902.40000001</v>
      </c>
      <c r="N9" s="152">
        <f t="shared" si="1"/>
        <v>0.54788961129382974</v>
      </c>
      <c r="O9" s="50">
        <v>154951542.59999999</v>
      </c>
      <c r="P9" s="152">
        <f t="shared" si="2"/>
        <v>0.45211038870617026</v>
      </c>
      <c r="Q9" s="50">
        <v>150859467.59999999</v>
      </c>
    </row>
    <row r="10" spans="1:17" x14ac:dyDescent="0.25">
      <c r="A10" s="155" t="s">
        <v>696</v>
      </c>
      <c r="B10" s="155" t="s">
        <v>83</v>
      </c>
      <c r="C10" s="155" t="s">
        <v>84</v>
      </c>
      <c r="D10" s="155" t="s">
        <v>85</v>
      </c>
      <c r="E10" s="156">
        <v>120263295</v>
      </c>
      <c r="F10" s="156">
        <v>116123261</v>
      </c>
      <c r="G10" s="156">
        <v>114405951</v>
      </c>
      <c r="H10" s="156">
        <v>0</v>
      </c>
      <c r="I10" s="156">
        <v>0</v>
      </c>
      <c r="J10" s="156">
        <v>0</v>
      </c>
      <c r="K10" s="156">
        <v>0</v>
      </c>
      <c r="L10" s="157">
        <f t="shared" si="0"/>
        <v>0</v>
      </c>
      <c r="M10" s="156">
        <v>0</v>
      </c>
      <c r="N10" s="158">
        <f t="shared" si="1"/>
        <v>0</v>
      </c>
      <c r="O10" s="156">
        <v>116123261</v>
      </c>
      <c r="P10" s="158">
        <f t="shared" si="2"/>
        <v>1</v>
      </c>
      <c r="Q10" s="156">
        <v>114405951</v>
      </c>
    </row>
    <row r="11" spans="1:17" x14ac:dyDescent="0.25">
      <c r="A11" s="155" t="s">
        <v>696</v>
      </c>
      <c r="B11" s="155" t="s">
        <v>86</v>
      </c>
      <c r="C11" s="155" t="s">
        <v>87</v>
      </c>
      <c r="D11" s="155" t="s">
        <v>69</v>
      </c>
      <c r="E11" s="156">
        <v>110671900</v>
      </c>
      <c r="F11" s="156">
        <v>38177498</v>
      </c>
      <c r="G11" s="156">
        <v>38177498</v>
      </c>
      <c r="H11" s="156">
        <v>0</v>
      </c>
      <c r="I11" s="156">
        <v>0</v>
      </c>
      <c r="J11" s="156">
        <v>0</v>
      </c>
      <c r="K11" s="156">
        <v>26177497.469999999</v>
      </c>
      <c r="L11" s="157">
        <f t="shared" si="0"/>
        <v>0.68567870712742884</v>
      </c>
      <c r="M11" s="156">
        <v>26177497.469999999</v>
      </c>
      <c r="N11" s="158">
        <f t="shared" si="1"/>
        <v>0.68567870712742884</v>
      </c>
      <c r="O11" s="156">
        <v>12000000.529999999</v>
      </c>
      <c r="P11" s="158">
        <f t="shared" si="2"/>
        <v>0.31432129287257116</v>
      </c>
      <c r="Q11" s="156">
        <v>12000000.529999999</v>
      </c>
    </row>
    <row r="12" spans="1:17" hidden="1" x14ac:dyDescent="0.25">
      <c r="A12" s="155" t="s">
        <v>696</v>
      </c>
      <c r="B12" s="155" t="s">
        <v>88</v>
      </c>
      <c r="C12" s="155" t="s">
        <v>89</v>
      </c>
      <c r="D12" s="155" t="s">
        <v>69</v>
      </c>
      <c r="E12" s="156">
        <v>87218400</v>
      </c>
      <c r="F12" s="156">
        <v>86809260</v>
      </c>
      <c r="G12" s="156">
        <v>85471779</v>
      </c>
      <c r="H12" s="156">
        <v>0</v>
      </c>
      <c r="I12" s="156">
        <v>0</v>
      </c>
      <c r="J12" s="156">
        <v>0</v>
      </c>
      <c r="K12" s="156">
        <v>46403066.609999999</v>
      </c>
      <c r="L12" s="157">
        <f t="shared" si="0"/>
        <v>0.53454051572378336</v>
      </c>
      <c r="M12" s="156">
        <v>46403066.609999999</v>
      </c>
      <c r="N12" s="158">
        <f t="shared" si="1"/>
        <v>0.53454051572378336</v>
      </c>
      <c r="O12" s="156">
        <v>40406193.390000001</v>
      </c>
      <c r="P12" s="158">
        <f t="shared" si="2"/>
        <v>0.46545948427621664</v>
      </c>
      <c r="Q12" s="156">
        <v>39068712.390000001</v>
      </c>
    </row>
    <row r="13" spans="1:17" hidden="1" x14ac:dyDescent="0.25">
      <c r="A13" s="155" t="s">
        <v>696</v>
      </c>
      <c r="B13" s="155" t="s">
        <v>90</v>
      </c>
      <c r="C13" s="155" t="s">
        <v>91</v>
      </c>
      <c r="D13" s="155" t="s">
        <v>69</v>
      </c>
      <c r="E13" s="156">
        <v>140764376</v>
      </c>
      <c r="F13" s="156">
        <v>135918599</v>
      </c>
      <c r="G13" s="156">
        <v>133908533</v>
      </c>
      <c r="H13" s="156">
        <v>0</v>
      </c>
      <c r="I13" s="156">
        <v>62234277</v>
      </c>
      <c r="J13" s="156">
        <v>0</v>
      </c>
      <c r="K13" s="156">
        <v>71604256</v>
      </c>
      <c r="L13" s="157">
        <f t="shared" si="0"/>
        <v>0.52681720181650782</v>
      </c>
      <c r="M13" s="156">
        <v>71604256</v>
      </c>
      <c r="N13" s="158">
        <f t="shared" si="1"/>
        <v>0.52681720181650782</v>
      </c>
      <c r="O13" s="156">
        <v>2080066</v>
      </c>
      <c r="P13" s="158">
        <f t="shared" si="2"/>
        <v>1.5303762805854113E-2</v>
      </c>
      <c r="Q13" s="156">
        <v>70000</v>
      </c>
    </row>
    <row r="14" spans="1:17" hidden="1" x14ac:dyDescent="0.25">
      <c r="A14" s="155" t="s">
        <v>696</v>
      </c>
      <c r="B14" s="155" t="s">
        <v>416</v>
      </c>
      <c r="C14" s="155" t="s">
        <v>697</v>
      </c>
      <c r="D14" s="155" t="s">
        <v>69</v>
      </c>
      <c r="E14" s="156">
        <v>133545724</v>
      </c>
      <c r="F14" s="156">
        <v>128948448</v>
      </c>
      <c r="G14" s="156">
        <v>127041476</v>
      </c>
      <c r="H14" s="156">
        <v>0</v>
      </c>
      <c r="I14" s="156">
        <v>59039203</v>
      </c>
      <c r="J14" s="156">
        <v>0</v>
      </c>
      <c r="K14" s="156">
        <v>67932273</v>
      </c>
      <c r="L14" s="157">
        <f t="shared" si="0"/>
        <v>0.52681729833615365</v>
      </c>
      <c r="M14" s="156">
        <v>67932273</v>
      </c>
      <c r="N14" s="158">
        <f t="shared" si="1"/>
        <v>0.52681729833615365</v>
      </c>
      <c r="O14" s="156">
        <v>1976972</v>
      </c>
      <c r="P14" s="158">
        <f t="shared" si="2"/>
        <v>1.5331491232837483E-2</v>
      </c>
      <c r="Q14" s="156">
        <v>70000</v>
      </c>
    </row>
    <row r="15" spans="1:17" hidden="1" x14ac:dyDescent="0.25">
      <c r="A15" s="155" t="s">
        <v>696</v>
      </c>
      <c r="B15" s="155" t="s">
        <v>433</v>
      </c>
      <c r="C15" s="155" t="s">
        <v>95</v>
      </c>
      <c r="D15" s="155" t="s">
        <v>69</v>
      </c>
      <c r="E15" s="156">
        <v>7218652</v>
      </c>
      <c r="F15" s="156">
        <v>6970151</v>
      </c>
      <c r="G15" s="156">
        <v>6867057</v>
      </c>
      <c r="H15" s="156">
        <v>0</v>
      </c>
      <c r="I15" s="156">
        <v>3195074</v>
      </c>
      <c r="J15" s="156">
        <v>0</v>
      </c>
      <c r="K15" s="156">
        <v>3671983</v>
      </c>
      <c r="L15" s="157">
        <f t="shared" si="0"/>
        <v>0.52681541619399641</v>
      </c>
      <c r="M15" s="156">
        <v>3671983</v>
      </c>
      <c r="N15" s="158">
        <f t="shared" si="1"/>
        <v>0.52681541619399641</v>
      </c>
      <c r="O15" s="156">
        <v>103094</v>
      </c>
      <c r="P15" s="158">
        <f t="shared" si="2"/>
        <v>1.4790784302951256E-2</v>
      </c>
      <c r="Q15" s="156">
        <v>0</v>
      </c>
    </row>
    <row r="16" spans="1:17" hidden="1" x14ac:dyDescent="0.25">
      <c r="A16" s="155" t="s">
        <v>696</v>
      </c>
      <c r="B16" s="155" t="s">
        <v>96</v>
      </c>
      <c r="C16" s="155" t="s">
        <v>97</v>
      </c>
      <c r="D16" s="155" t="s">
        <v>69</v>
      </c>
      <c r="E16" s="156">
        <v>140764377</v>
      </c>
      <c r="F16" s="156">
        <v>135918601</v>
      </c>
      <c r="G16" s="156">
        <v>133908546</v>
      </c>
      <c r="H16" s="156">
        <v>0</v>
      </c>
      <c r="I16" s="156">
        <v>62465612</v>
      </c>
      <c r="J16" s="156">
        <v>0</v>
      </c>
      <c r="K16" s="156">
        <v>71442934</v>
      </c>
      <c r="L16" s="157">
        <f t="shared" si="0"/>
        <v>0.52563029250131854</v>
      </c>
      <c r="M16" s="156">
        <v>71442934</v>
      </c>
      <c r="N16" s="158">
        <f t="shared" si="1"/>
        <v>0.52563029250131854</v>
      </c>
      <c r="O16" s="156">
        <v>2010055</v>
      </c>
      <c r="P16" s="158">
        <f t="shared" si="2"/>
        <v>1.4788667520202036E-2</v>
      </c>
      <c r="Q16" s="156">
        <v>0</v>
      </c>
    </row>
    <row r="17" spans="1:17" hidden="1" x14ac:dyDescent="0.25">
      <c r="A17" s="155" t="s">
        <v>696</v>
      </c>
      <c r="B17" s="155" t="s">
        <v>451</v>
      </c>
      <c r="C17" s="155" t="s">
        <v>698</v>
      </c>
      <c r="D17" s="155" t="s">
        <v>69</v>
      </c>
      <c r="E17" s="156">
        <v>75796203</v>
      </c>
      <c r="F17" s="156">
        <v>73186939</v>
      </c>
      <c r="G17" s="156">
        <v>72104601</v>
      </c>
      <c r="H17" s="156">
        <v>0</v>
      </c>
      <c r="I17" s="156">
        <v>33709806</v>
      </c>
      <c r="J17" s="156">
        <v>0</v>
      </c>
      <c r="K17" s="156">
        <v>38394795</v>
      </c>
      <c r="L17" s="157">
        <f t="shared" si="0"/>
        <v>0.52461266346991231</v>
      </c>
      <c r="M17" s="156">
        <v>38394795</v>
      </c>
      <c r="N17" s="158">
        <f t="shared" si="1"/>
        <v>0.52461266346991231</v>
      </c>
      <c r="O17" s="156">
        <v>1082338</v>
      </c>
      <c r="P17" s="158">
        <f t="shared" si="2"/>
        <v>1.4788676979645234E-2</v>
      </c>
      <c r="Q17" s="156">
        <v>0</v>
      </c>
    </row>
    <row r="18" spans="1:17" hidden="1" x14ac:dyDescent="0.25">
      <c r="A18" s="155" t="s">
        <v>696</v>
      </c>
      <c r="B18" s="155" t="s">
        <v>468</v>
      </c>
      <c r="C18" s="155" t="s">
        <v>699</v>
      </c>
      <c r="D18" s="155" t="s">
        <v>69</v>
      </c>
      <c r="E18" s="156">
        <v>21656058</v>
      </c>
      <c r="F18" s="156">
        <v>20910554</v>
      </c>
      <c r="G18" s="156">
        <v>20601312</v>
      </c>
      <c r="H18" s="156">
        <v>0</v>
      </c>
      <c r="I18" s="156">
        <v>9585260</v>
      </c>
      <c r="J18" s="156">
        <v>0</v>
      </c>
      <c r="K18" s="156">
        <v>11016052</v>
      </c>
      <c r="L18" s="157">
        <f t="shared" si="0"/>
        <v>0.52681779736682255</v>
      </c>
      <c r="M18" s="156">
        <v>11016052</v>
      </c>
      <c r="N18" s="158">
        <f t="shared" si="1"/>
        <v>0.52681779736682255</v>
      </c>
      <c r="O18" s="156">
        <v>309242</v>
      </c>
      <c r="P18" s="158">
        <f t="shared" si="2"/>
        <v>1.4788799952406808E-2</v>
      </c>
      <c r="Q18" s="156">
        <v>0</v>
      </c>
    </row>
    <row r="19" spans="1:17" hidden="1" x14ac:dyDescent="0.25">
      <c r="A19" s="155" t="s">
        <v>696</v>
      </c>
      <c r="B19" s="155" t="s">
        <v>485</v>
      </c>
      <c r="C19" s="155" t="s">
        <v>700</v>
      </c>
      <c r="D19" s="155" t="s">
        <v>69</v>
      </c>
      <c r="E19" s="156">
        <v>43312116</v>
      </c>
      <c r="F19" s="156">
        <v>41821108</v>
      </c>
      <c r="G19" s="156">
        <v>41202633</v>
      </c>
      <c r="H19" s="156">
        <v>0</v>
      </c>
      <c r="I19" s="156">
        <v>19170546</v>
      </c>
      <c r="J19" s="156">
        <v>0</v>
      </c>
      <c r="K19" s="156">
        <v>22032087</v>
      </c>
      <c r="L19" s="157">
        <f t="shared" si="0"/>
        <v>0.5268173908735273</v>
      </c>
      <c r="M19" s="156">
        <v>22032087</v>
      </c>
      <c r="N19" s="158">
        <f t="shared" si="1"/>
        <v>0.5268173908735273</v>
      </c>
      <c r="O19" s="156">
        <v>618475</v>
      </c>
      <c r="P19" s="158">
        <f t="shared" si="2"/>
        <v>1.4788584750074054E-2</v>
      </c>
      <c r="Q19" s="156">
        <v>0</v>
      </c>
    </row>
    <row r="20" spans="1:17" hidden="1" x14ac:dyDescent="0.25">
      <c r="A20" s="155" t="s">
        <v>696</v>
      </c>
      <c r="B20" s="155" t="s">
        <v>104</v>
      </c>
      <c r="C20" s="155" t="s">
        <v>105</v>
      </c>
      <c r="D20" s="155" t="s">
        <v>69</v>
      </c>
      <c r="E20" s="156">
        <v>83371900</v>
      </c>
      <c r="F20" s="156">
        <v>66099608</v>
      </c>
      <c r="G20" s="156">
        <v>66099607.600000001</v>
      </c>
      <c r="H20" s="156">
        <v>738300</v>
      </c>
      <c r="I20" s="156">
        <v>31471900.260000002</v>
      </c>
      <c r="J20" s="156">
        <v>6230912.0499999998</v>
      </c>
      <c r="K20" s="156">
        <v>22659840.309999999</v>
      </c>
      <c r="L20" s="157">
        <f t="shared" si="0"/>
        <v>0.34281353544486981</v>
      </c>
      <c r="M20" s="156">
        <v>22659840.309999999</v>
      </c>
      <c r="N20" s="158">
        <f t="shared" si="1"/>
        <v>0.34281353544486981</v>
      </c>
      <c r="O20" s="156">
        <v>4998655.38</v>
      </c>
      <c r="P20" s="158">
        <f t="shared" si="2"/>
        <v>7.5623071471165149E-2</v>
      </c>
      <c r="Q20" s="156">
        <v>4998654.9800000004</v>
      </c>
    </row>
    <row r="21" spans="1:17" hidden="1" x14ac:dyDescent="0.25">
      <c r="A21" s="155" t="s">
        <v>696</v>
      </c>
      <c r="B21" s="155" t="s">
        <v>106</v>
      </c>
      <c r="C21" s="155" t="s">
        <v>107</v>
      </c>
      <c r="D21" s="155" t="s">
        <v>69</v>
      </c>
      <c r="E21" s="156">
        <v>55749325</v>
      </c>
      <c r="F21" s="156">
        <v>54664325</v>
      </c>
      <c r="G21" s="156">
        <v>54664324.600000001</v>
      </c>
      <c r="H21" s="156">
        <v>738300</v>
      </c>
      <c r="I21" s="156">
        <v>27142799.460000001</v>
      </c>
      <c r="J21" s="156">
        <v>6230516.0499999998</v>
      </c>
      <c r="K21" s="156">
        <v>16334459.390000001</v>
      </c>
      <c r="L21" s="157">
        <f t="shared" si="0"/>
        <v>0.29881388620457677</v>
      </c>
      <c r="M21" s="156">
        <v>16334459.390000001</v>
      </c>
      <c r="N21" s="158">
        <f t="shared" si="1"/>
        <v>0.29881388620457677</v>
      </c>
      <c r="O21" s="156">
        <v>4218250.0999999996</v>
      </c>
      <c r="P21" s="158">
        <f t="shared" si="2"/>
        <v>7.716641703707125E-2</v>
      </c>
      <c r="Q21" s="156">
        <v>4218249.7</v>
      </c>
    </row>
    <row r="22" spans="1:17" hidden="1" x14ac:dyDescent="0.25">
      <c r="A22" s="155" t="s">
        <v>696</v>
      </c>
      <c r="B22" s="155" t="s">
        <v>108</v>
      </c>
      <c r="C22" s="155" t="s">
        <v>109</v>
      </c>
      <c r="D22" s="155" t="s">
        <v>69</v>
      </c>
      <c r="E22" s="156">
        <v>55664325</v>
      </c>
      <c r="F22" s="156">
        <v>54664325</v>
      </c>
      <c r="G22" s="156">
        <v>54664324.600000001</v>
      </c>
      <c r="H22" s="156">
        <v>738300</v>
      </c>
      <c r="I22" s="156">
        <v>27142799.460000001</v>
      </c>
      <c r="J22" s="156">
        <v>6230516.0499999998</v>
      </c>
      <c r="K22" s="156">
        <v>16334459.390000001</v>
      </c>
      <c r="L22" s="157">
        <f t="shared" si="0"/>
        <v>0.29881388620457677</v>
      </c>
      <c r="M22" s="156">
        <v>16334459.390000001</v>
      </c>
      <c r="N22" s="158">
        <f t="shared" si="1"/>
        <v>0.29881388620457677</v>
      </c>
      <c r="O22" s="156">
        <v>4218250.0999999996</v>
      </c>
      <c r="P22" s="158">
        <f t="shared" si="2"/>
        <v>7.716641703707125E-2</v>
      </c>
      <c r="Q22" s="156">
        <v>4218249.7</v>
      </c>
    </row>
    <row r="23" spans="1:17" hidden="1" x14ac:dyDescent="0.25">
      <c r="A23" s="155" t="s">
        <v>696</v>
      </c>
      <c r="B23" s="155" t="s">
        <v>110</v>
      </c>
      <c r="C23" s="155" t="s">
        <v>111</v>
      </c>
      <c r="D23" s="155" t="s">
        <v>69</v>
      </c>
      <c r="E23" s="156">
        <v>85000</v>
      </c>
      <c r="F23" s="156">
        <v>0</v>
      </c>
      <c r="G23" s="156">
        <v>0</v>
      </c>
      <c r="H23" s="156">
        <v>0</v>
      </c>
      <c r="I23" s="156">
        <v>0</v>
      </c>
      <c r="J23" s="156">
        <v>0</v>
      </c>
      <c r="K23" s="156">
        <v>0</v>
      </c>
      <c r="L23" s="157" t="e">
        <f t="shared" si="0"/>
        <v>#DIV/0!</v>
      </c>
      <c r="M23" s="156">
        <v>0</v>
      </c>
      <c r="N23" s="158" t="e">
        <f t="shared" si="1"/>
        <v>#DIV/0!</v>
      </c>
      <c r="O23" s="156">
        <v>0</v>
      </c>
      <c r="P23" s="158" t="e">
        <f t="shared" si="2"/>
        <v>#DIV/0!</v>
      </c>
      <c r="Q23" s="156">
        <v>0</v>
      </c>
    </row>
    <row r="24" spans="1:17" hidden="1" x14ac:dyDescent="0.25">
      <c r="A24" s="155" t="s">
        <v>696</v>
      </c>
      <c r="B24" s="155" t="s">
        <v>124</v>
      </c>
      <c r="C24" s="155" t="s">
        <v>125</v>
      </c>
      <c r="D24" s="155" t="s">
        <v>69</v>
      </c>
      <c r="E24" s="156">
        <v>1900000</v>
      </c>
      <c r="F24" s="156">
        <v>680000</v>
      </c>
      <c r="G24" s="156">
        <v>680000</v>
      </c>
      <c r="H24" s="156">
        <v>0</v>
      </c>
      <c r="I24" s="156">
        <v>482104</v>
      </c>
      <c r="J24" s="156">
        <v>396</v>
      </c>
      <c r="K24" s="156">
        <v>15820</v>
      </c>
      <c r="L24" s="157">
        <f t="shared" si="0"/>
        <v>2.3264705882352941E-2</v>
      </c>
      <c r="M24" s="156">
        <v>15820</v>
      </c>
      <c r="N24" s="158">
        <f t="shared" si="1"/>
        <v>2.3264705882352941E-2</v>
      </c>
      <c r="O24" s="156">
        <v>181680</v>
      </c>
      <c r="P24" s="158">
        <f t="shared" si="2"/>
        <v>0.26717647058823529</v>
      </c>
      <c r="Q24" s="156">
        <v>181680</v>
      </c>
    </row>
    <row r="25" spans="1:17" hidden="1" x14ac:dyDescent="0.25">
      <c r="A25" s="155" t="s">
        <v>696</v>
      </c>
      <c r="B25" s="155" t="s">
        <v>128</v>
      </c>
      <c r="C25" s="155" t="s">
        <v>129</v>
      </c>
      <c r="D25" s="155" t="s">
        <v>69</v>
      </c>
      <c r="E25" s="156">
        <v>1250000</v>
      </c>
      <c r="F25" s="156">
        <v>380000</v>
      </c>
      <c r="G25" s="156">
        <v>380000</v>
      </c>
      <c r="H25" s="156">
        <v>0</v>
      </c>
      <c r="I25" s="156">
        <v>184180</v>
      </c>
      <c r="J25" s="156">
        <v>0</v>
      </c>
      <c r="K25" s="156">
        <v>15820</v>
      </c>
      <c r="L25" s="157">
        <f t="shared" si="0"/>
        <v>4.1631578947368422E-2</v>
      </c>
      <c r="M25" s="156">
        <v>15820</v>
      </c>
      <c r="N25" s="158">
        <f t="shared" si="1"/>
        <v>4.1631578947368422E-2</v>
      </c>
      <c r="O25" s="156">
        <v>180000</v>
      </c>
      <c r="P25" s="158">
        <f t="shared" si="2"/>
        <v>0.47368421052631576</v>
      </c>
      <c r="Q25" s="156">
        <v>180000</v>
      </c>
    </row>
    <row r="26" spans="1:17" hidden="1" x14ac:dyDescent="0.25">
      <c r="A26" s="155" t="s">
        <v>696</v>
      </c>
      <c r="B26" s="155" t="s">
        <v>130</v>
      </c>
      <c r="C26" s="155" t="s">
        <v>131</v>
      </c>
      <c r="D26" s="155" t="s">
        <v>69</v>
      </c>
      <c r="E26" s="156">
        <v>50000</v>
      </c>
      <c r="F26" s="156">
        <v>0</v>
      </c>
      <c r="G26" s="156">
        <v>0</v>
      </c>
      <c r="H26" s="156">
        <v>0</v>
      </c>
      <c r="I26" s="156">
        <v>0</v>
      </c>
      <c r="J26" s="156">
        <v>0</v>
      </c>
      <c r="K26" s="156">
        <v>0</v>
      </c>
      <c r="L26" s="157" t="e">
        <f t="shared" si="0"/>
        <v>#DIV/0!</v>
      </c>
      <c r="M26" s="156">
        <v>0</v>
      </c>
      <c r="N26" s="158" t="e">
        <f t="shared" si="1"/>
        <v>#DIV/0!</v>
      </c>
      <c r="O26" s="156">
        <v>0</v>
      </c>
      <c r="P26" s="158" t="e">
        <f t="shared" si="2"/>
        <v>#DIV/0!</v>
      </c>
      <c r="Q26" s="156">
        <v>0</v>
      </c>
    </row>
    <row r="27" spans="1:17" hidden="1" x14ac:dyDescent="0.25">
      <c r="A27" s="155" t="s">
        <v>696</v>
      </c>
      <c r="B27" s="155" t="s">
        <v>132</v>
      </c>
      <c r="C27" s="155" t="s">
        <v>133</v>
      </c>
      <c r="D27" s="155" t="s">
        <v>69</v>
      </c>
      <c r="E27" s="156">
        <v>600000</v>
      </c>
      <c r="F27" s="156">
        <v>300000</v>
      </c>
      <c r="G27" s="156">
        <v>300000</v>
      </c>
      <c r="H27" s="156">
        <v>0</v>
      </c>
      <c r="I27" s="156">
        <v>297924</v>
      </c>
      <c r="J27" s="156">
        <v>396</v>
      </c>
      <c r="K27" s="156">
        <v>0</v>
      </c>
      <c r="L27" s="157">
        <f t="shared" si="0"/>
        <v>0</v>
      </c>
      <c r="M27" s="156">
        <v>0</v>
      </c>
      <c r="N27" s="158">
        <f t="shared" si="1"/>
        <v>0</v>
      </c>
      <c r="O27" s="156">
        <v>1680</v>
      </c>
      <c r="P27" s="158">
        <f t="shared" si="2"/>
        <v>5.5999999999999999E-3</v>
      </c>
      <c r="Q27" s="156">
        <v>1680</v>
      </c>
    </row>
    <row r="28" spans="1:17" hidden="1" x14ac:dyDescent="0.25">
      <c r="A28" s="155" t="s">
        <v>696</v>
      </c>
      <c r="B28" s="155" t="s">
        <v>140</v>
      </c>
      <c r="C28" s="155" t="s">
        <v>141</v>
      </c>
      <c r="D28" s="155" t="s">
        <v>69</v>
      </c>
      <c r="E28" s="156">
        <v>25000000</v>
      </c>
      <c r="F28" s="156">
        <v>10387708</v>
      </c>
      <c r="G28" s="156">
        <v>10387708</v>
      </c>
      <c r="H28" s="156">
        <v>0</v>
      </c>
      <c r="I28" s="156">
        <v>3846996.8</v>
      </c>
      <c r="J28" s="156">
        <v>0</v>
      </c>
      <c r="K28" s="156">
        <v>6309560.9199999999</v>
      </c>
      <c r="L28" s="157">
        <f t="shared" si="0"/>
        <v>0.60740645770943891</v>
      </c>
      <c r="M28" s="156">
        <v>6309560.9199999999</v>
      </c>
      <c r="N28" s="158">
        <f t="shared" si="1"/>
        <v>0.60740645770943891</v>
      </c>
      <c r="O28" s="156">
        <v>231150.28</v>
      </c>
      <c r="P28" s="158">
        <f t="shared" si="2"/>
        <v>2.2252288955369171E-2</v>
      </c>
      <c r="Q28" s="156">
        <v>231150.28</v>
      </c>
    </row>
    <row r="29" spans="1:17" hidden="1" x14ac:dyDescent="0.25">
      <c r="A29" s="155" t="s">
        <v>696</v>
      </c>
      <c r="B29" s="155" t="s">
        <v>142</v>
      </c>
      <c r="C29" s="155" t="s">
        <v>143</v>
      </c>
      <c r="D29" s="155" t="s">
        <v>69</v>
      </c>
      <c r="E29" s="156">
        <v>100000</v>
      </c>
      <c r="F29" s="156">
        <v>65000</v>
      </c>
      <c r="G29" s="156">
        <v>65000</v>
      </c>
      <c r="H29" s="156">
        <v>0</v>
      </c>
      <c r="I29" s="156">
        <v>29340</v>
      </c>
      <c r="J29" s="156">
        <v>0</v>
      </c>
      <c r="K29" s="156">
        <v>35660</v>
      </c>
      <c r="L29" s="157">
        <f t="shared" si="0"/>
        <v>0.54861538461538462</v>
      </c>
      <c r="M29" s="156">
        <v>35660</v>
      </c>
      <c r="N29" s="158">
        <f t="shared" si="1"/>
        <v>0.54861538461538462</v>
      </c>
      <c r="O29" s="156">
        <v>0</v>
      </c>
      <c r="P29" s="158">
        <f t="shared" si="2"/>
        <v>0</v>
      </c>
      <c r="Q29" s="156">
        <v>0</v>
      </c>
    </row>
    <row r="30" spans="1:17" hidden="1" x14ac:dyDescent="0.25">
      <c r="A30" s="155" t="s">
        <v>696</v>
      </c>
      <c r="B30" s="155" t="s">
        <v>144</v>
      </c>
      <c r="C30" s="155" t="s">
        <v>145</v>
      </c>
      <c r="D30" s="155" t="s">
        <v>69</v>
      </c>
      <c r="E30" s="156">
        <v>8085000</v>
      </c>
      <c r="F30" s="156">
        <v>4853850</v>
      </c>
      <c r="G30" s="156">
        <v>4853850</v>
      </c>
      <c r="H30" s="156">
        <v>0</v>
      </c>
      <c r="I30" s="156">
        <v>3811000</v>
      </c>
      <c r="J30" s="156">
        <v>0</v>
      </c>
      <c r="K30" s="156">
        <v>811700</v>
      </c>
      <c r="L30" s="157">
        <f t="shared" si="0"/>
        <v>0.16722807668139725</v>
      </c>
      <c r="M30" s="156">
        <v>811700</v>
      </c>
      <c r="N30" s="158">
        <f t="shared" si="1"/>
        <v>0.16722807668139725</v>
      </c>
      <c r="O30" s="156">
        <v>231150</v>
      </c>
      <c r="P30" s="158">
        <f t="shared" si="2"/>
        <v>4.7621990790815541E-2</v>
      </c>
      <c r="Q30" s="156">
        <v>231150</v>
      </c>
    </row>
    <row r="31" spans="1:17" hidden="1" x14ac:dyDescent="0.25">
      <c r="A31" s="155" t="s">
        <v>696</v>
      </c>
      <c r="B31" s="155" t="s">
        <v>146</v>
      </c>
      <c r="C31" s="155" t="s">
        <v>147</v>
      </c>
      <c r="D31" s="155" t="s">
        <v>69</v>
      </c>
      <c r="E31" s="156">
        <v>8295000</v>
      </c>
      <c r="F31" s="156">
        <v>1585000</v>
      </c>
      <c r="G31" s="156">
        <v>1585000</v>
      </c>
      <c r="H31" s="156">
        <v>0</v>
      </c>
      <c r="I31" s="156">
        <v>6656.8</v>
      </c>
      <c r="J31" s="156">
        <v>0</v>
      </c>
      <c r="K31" s="156">
        <v>1578343.2</v>
      </c>
      <c r="L31" s="157">
        <f t="shared" si="0"/>
        <v>0.99580012618296532</v>
      </c>
      <c r="M31" s="156">
        <v>1578343.2</v>
      </c>
      <c r="N31" s="158">
        <f t="shared" si="1"/>
        <v>0.99580012618296532</v>
      </c>
      <c r="O31" s="156">
        <v>0</v>
      </c>
      <c r="P31" s="158">
        <f t="shared" si="2"/>
        <v>0</v>
      </c>
      <c r="Q31" s="156">
        <v>0</v>
      </c>
    </row>
    <row r="32" spans="1:17" hidden="1" x14ac:dyDescent="0.25">
      <c r="A32" s="155" t="s">
        <v>696</v>
      </c>
      <c r="B32" s="155" t="s">
        <v>148</v>
      </c>
      <c r="C32" s="155" t="s">
        <v>149</v>
      </c>
      <c r="D32" s="155" t="s">
        <v>69</v>
      </c>
      <c r="E32" s="156">
        <v>8520000</v>
      </c>
      <c r="F32" s="156">
        <v>3883858</v>
      </c>
      <c r="G32" s="156">
        <v>3883858</v>
      </c>
      <c r="H32" s="156">
        <v>0</v>
      </c>
      <c r="I32" s="156">
        <v>0</v>
      </c>
      <c r="J32" s="156">
        <v>0</v>
      </c>
      <c r="K32" s="156">
        <v>3883857.72</v>
      </c>
      <c r="L32" s="157">
        <f t="shared" si="0"/>
        <v>0.99999992790673609</v>
      </c>
      <c r="M32" s="156">
        <v>3883857.72</v>
      </c>
      <c r="N32" s="158">
        <f t="shared" si="1"/>
        <v>0.99999992790673609</v>
      </c>
      <c r="O32" s="156">
        <v>0.28000000000000003</v>
      </c>
      <c r="P32" s="158">
        <f t="shared" si="2"/>
        <v>7.2093263965881355E-8</v>
      </c>
      <c r="Q32" s="156">
        <v>0.28000000000000003</v>
      </c>
    </row>
    <row r="33" spans="1:17" hidden="1" x14ac:dyDescent="0.25">
      <c r="A33" s="155" t="s">
        <v>696</v>
      </c>
      <c r="B33" s="155" t="s">
        <v>154</v>
      </c>
      <c r="C33" s="155" t="s">
        <v>155</v>
      </c>
      <c r="D33" s="155" t="s">
        <v>69</v>
      </c>
      <c r="E33" s="156">
        <v>400000</v>
      </c>
      <c r="F33" s="156">
        <v>0</v>
      </c>
      <c r="G33" s="156">
        <v>0</v>
      </c>
      <c r="H33" s="156">
        <v>0</v>
      </c>
      <c r="I33" s="156">
        <v>0</v>
      </c>
      <c r="J33" s="156">
        <v>0</v>
      </c>
      <c r="K33" s="156">
        <v>0</v>
      </c>
      <c r="L33" s="157" t="e">
        <f t="shared" si="0"/>
        <v>#DIV/0!</v>
      </c>
      <c r="M33" s="156">
        <v>0</v>
      </c>
      <c r="N33" s="158" t="e">
        <f t="shared" si="1"/>
        <v>#DIV/0!</v>
      </c>
      <c r="O33" s="156">
        <v>0</v>
      </c>
      <c r="P33" s="158" t="e">
        <f t="shared" si="2"/>
        <v>#DIV/0!</v>
      </c>
      <c r="Q33" s="156">
        <v>0</v>
      </c>
    </row>
    <row r="34" spans="1:17" hidden="1" x14ac:dyDescent="0.25">
      <c r="A34" s="155" t="s">
        <v>696</v>
      </c>
      <c r="B34" s="155" t="s">
        <v>160</v>
      </c>
      <c r="C34" s="155" t="s">
        <v>161</v>
      </c>
      <c r="D34" s="155" t="s">
        <v>69</v>
      </c>
      <c r="E34" s="156">
        <v>400000</v>
      </c>
      <c r="F34" s="156">
        <v>0</v>
      </c>
      <c r="G34" s="156">
        <v>0</v>
      </c>
      <c r="H34" s="156">
        <v>0</v>
      </c>
      <c r="I34" s="156">
        <v>0</v>
      </c>
      <c r="J34" s="156">
        <v>0</v>
      </c>
      <c r="K34" s="156">
        <v>0</v>
      </c>
      <c r="L34" s="157" t="e">
        <f t="shared" si="0"/>
        <v>#DIV/0!</v>
      </c>
      <c r="M34" s="156">
        <v>0</v>
      </c>
      <c r="N34" s="158" t="e">
        <f t="shared" si="1"/>
        <v>#DIV/0!</v>
      </c>
      <c r="O34" s="156">
        <v>0</v>
      </c>
      <c r="P34" s="158" t="e">
        <f t="shared" si="2"/>
        <v>#DIV/0!</v>
      </c>
      <c r="Q34" s="156">
        <v>0</v>
      </c>
    </row>
    <row r="35" spans="1:17" hidden="1" x14ac:dyDescent="0.25">
      <c r="A35" s="155" t="s">
        <v>696</v>
      </c>
      <c r="B35" s="155" t="s">
        <v>162</v>
      </c>
      <c r="C35" s="155" t="s">
        <v>163</v>
      </c>
      <c r="D35" s="155" t="s">
        <v>69</v>
      </c>
      <c r="E35" s="156">
        <v>322575</v>
      </c>
      <c r="F35" s="156">
        <v>367575</v>
      </c>
      <c r="G35" s="156">
        <v>367575</v>
      </c>
      <c r="H35" s="156">
        <v>0</v>
      </c>
      <c r="I35" s="156">
        <v>0</v>
      </c>
      <c r="J35" s="156">
        <v>0</v>
      </c>
      <c r="K35" s="156">
        <v>0</v>
      </c>
      <c r="L35" s="157">
        <f t="shared" si="0"/>
        <v>0</v>
      </c>
      <c r="M35" s="156">
        <v>0</v>
      </c>
      <c r="N35" s="158">
        <f t="shared" si="1"/>
        <v>0</v>
      </c>
      <c r="O35" s="156">
        <v>367575</v>
      </c>
      <c r="P35" s="158">
        <f t="shared" si="2"/>
        <v>1</v>
      </c>
      <c r="Q35" s="156">
        <v>367575</v>
      </c>
    </row>
    <row r="36" spans="1:17" x14ac:dyDescent="0.25">
      <c r="A36" s="155" t="s">
        <v>696</v>
      </c>
      <c r="B36" s="155" t="s">
        <v>170</v>
      </c>
      <c r="C36" s="155" t="s">
        <v>171</v>
      </c>
      <c r="D36" s="155" t="s">
        <v>69</v>
      </c>
      <c r="E36" s="156">
        <v>322575</v>
      </c>
      <c r="F36" s="156">
        <v>367575</v>
      </c>
      <c r="G36" s="156">
        <v>367575</v>
      </c>
      <c r="H36" s="156">
        <v>0</v>
      </c>
      <c r="I36" s="156">
        <v>0</v>
      </c>
      <c r="J36" s="156">
        <v>0</v>
      </c>
      <c r="K36" s="156">
        <v>0</v>
      </c>
      <c r="L36" s="157">
        <f t="shared" si="0"/>
        <v>0</v>
      </c>
      <c r="M36" s="156">
        <v>0</v>
      </c>
      <c r="N36" s="158">
        <f t="shared" si="1"/>
        <v>0</v>
      </c>
      <c r="O36" s="156">
        <v>367575</v>
      </c>
      <c r="P36" s="158">
        <f t="shared" si="2"/>
        <v>1</v>
      </c>
      <c r="Q36" s="156">
        <v>367575</v>
      </c>
    </row>
    <row r="37" spans="1:17" hidden="1" x14ac:dyDescent="0.25">
      <c r="A37" s="155" t="s">
        <v>696</v>
      </c>
      <c r="B37" s="155" t="s">
        <v>184</v>
      </c>
      <c r="C37" s="155" t="s">
        <v>185</v>
      </c>
      <c r="D37" s="155" t="s">
        <v>69</v>
      </c>
      <c r="E37" s="156">
        <v>4976400</v>
      </c>
      <c r="F37" s="156">
        <v>3876300</v>
      </c>
      <c r="G37" s="156">
        <v>3876300</v>
      </c>
      <c r="H37" s="156">
        <v>1214965.79</v>
      </c>
      <c r="I37" s="156">
        <v>1032003.81</v>
      </c>
      <c r="J37" s="156">
        <v>397995.15</v>
      </c>
      <c r="K37" s="156">
        <v>1097972.3700000001</v>
      </c>
      <c r="L37" s="157">
        <f t="shared" si="0"/>
        <v>0.2832526816809845</v>
      </c>
      <c r="M37" s="156">
        <v>596846.76</v>
      </c>
      <c r="N37" s="158">
        <f t="shared" si="1"/>
        <v>0.15397331475891959</v>
      </c>
      <c r="O37" s="156">
        <v>133362.88</v>
      </c>
      <c r="P37" s="158">
        <f t="shared" si="2"/>
        <v>3.440468487991126E-2</v>
      </c>
      <c r="Q37" s="156">
        <v>133362.88</v>
      </c>
    </row>
    <row r="38" spans="1:17" hidden="1" x14ac:dyDescent="0.25">
      <c r="A38" s="155" t="s">
        <v>696</v>
      </c>
      <c r="B38" s="155" t="s">
        <v>186</v>
      </c>
      <c r="C38" s="155" t="s">
        <v>187</v>
      </c>
      <c r="D38" s="155" t="s">
        <v>69</v>
      </c>
      <c r="E38" s="156">
        <v>43000</v>
      </c>
      <c r="F38" s="156">
        <v>0</v>
      </c>
      <c r="G38" s="156">
        <v>0</v>
      </c>
      <c r="H38" s="156">
        <v>0</v>
      </c>
      <c r="I38" s="156">
        <v>0</v>
      </c>
      <c r="J38" s="156">
        <v>0</v>
      </c>
      <c r="K38" s="156">
        <v>0</v>
      </c>
      <c r="L38" s="157" t="e">
        <f t="shared" si="0"/>
        <v>#DIV/0!</v>
      </c>
      <c r="M38" s="156">
        <v>0</v>
      </c>
      <c r="N38" s="158" t="e">
        <f t="shared" si="1"/>
        <v>#DIV/0!</v>
      </c>
      <c r="O38" s="156">
        <v>0</v>
      </c>
      <c r="P38" s="158" t="e">
        <f t="shared" si="2"/>
        <v>#DIV/0!</v>
      </c>
      <c r="Q38" s="156">
        <v>0</v>
      </c>
    </row>
    <row r="39" spans="1:17" hidden="1" x14ac:dyDescent="0.25">
      <c r="A39" s="155" t="s">
        <v>696</v>
      </c>
      <c r="B39" s="155" t="s">
        <v>192</v>
      </c>
      <c r="C39" s="155" t="s">
        <v>193</v>
      </c>
      <c r="D39" s="155" t="s">
        <v>69</v>
      </c>
      <c r="E39" s="156">
        <v>43000</v>
      </c>
      <c r="F39" s="156">
        <v>0</v>
      </c>
      <c r="G39" s="156">
        <v>0</v>
      </c>
      <c r="H39" s="156">
        <v>0</v>
      </c>
      <c r="I39" s="156">
        <v>0</v>
      </c>
      <c r="J39" s="156">
        <v>0</v>
      </c>
      <c r="K39" s="156">
        <v>0</v>
      </c>
      <c r="L39" s="157" t="e">
        <f t="shared" si="0"/>
        <v>#DIV/0!</v>
      </c>
      <c r="M39" s="156">
        <v>0</v>
      </c>
      <c r="N39" s="158" t="e">
        <f t="shared" si="1"/>
        <v>#DIV/0!</v>
      </c>
      <c r="O39" s="156">
        <v>0</v>
      </c>
      <c r="P39" s="158" t="e">
        <f t="shared" si="2"/>
        <v>#DIV/0!</v>
      </c>
      <c r="Q39" s="156">
        <v>0</v>
      </c>
    </row>
    <row r="40" spans="1:17" hidden="1" x14ac:dyDescent="0.25">
      <c r="A40" s="155" t="s">
        <v>696</v>
      </c>
      <c r="B40" s="155" t="s">
        <v>206</v>
      </c>
      <c r="C40" s="155" t="s">
        <v>207</v>
      </c>
      <c r="D40" s="155" t="s">
        <v>69</v>
      </c>
      <c r="E40" s="156">
        <v>49000</v>
      </c>
      <c r="F40" s="156">
        <v>0</v>
      </c>
      <c r="G40" s="156">
        <v>0</v>
      </c>
      <c r="H40" s="156">
        <v>0</v>
      </c>
      <c r="I40" s="156">
        <v>0</v>
      </c>
      <c r="J40" s="156">
        <v>0</v>
      </c>
      <c r="K40" s="156">
        <v>0</v>
      </c>
      <c r="L40" s="157" t="e">
        <f t="shared" si="0"/>
        <v>#DIV/0!</v>
      </c>
      <c r="M40" s="156">
        <v>0</v>
      </c>
      <c r="N40" s="158" t="e">
        <f t="shared" si="1"/>
        <v>#DIV/0!</v>
      </c>
      <c r="O40" s="156">
        <v>0</v>
      </c>
      <c r="P40" s="158" t="e">
        <f t="shared" si="2"/>
        <v>#DIV/0!</v>
      </c>
      <c r="Q40" s="156">
        <v>0</v>
      </c>
    </row>
    <row r="41" spans="1:17" hidden="1" x14ac:dyDescent="0.25">
      <c r="A41" s="155" t="s">
        <v>696</v>
      </c>
      <c r="B41" s="155" t="s">
        <v>208</v>
      </c>
      <c r="C41" s="155" t="s">
        <v>209</v>
      </c>
      <c r="D41" s="155" t="s">
        <v>69</v>
      </c>
      <c r="E41" s="156">
        <v>49000</v>
      </c>
      <c r="F41" s="156">
        <v>0</v>
      </c>
      <c r="G41" s="156">
        <v>0</v>
      </c>
      <c r="H41" s="156">
        <v>0</v>
      </c>
      <c r="I41" s="156">
        <v>0</v>
      </c>
      <c r="J41" s="156">
        <v>0</v>
      </c>
      <c r="K41" s="156">
        <v>0</v>
      </c>
      <c r="L41" s="157" t="e">
        <f t="shared" si="0"/>
        <v>#DIV/0!</v>
      </c>
      <c r="M41" s="156">
        <v>0</v>
      </c>
      <c r="N41" s="158" t="e">
        <f t="shared" si="1"/>
        <v>#DIV/0!</v>
      </c>
      <c r="O41" s="156">
        <v>0</v>
      </c>
      <c r="P41" s="158" t="e">
        <f t="shared" si="2"/>
        <v>#DIV/0!</v>
      </c>
      <c r="Q41" s="156">
        <v>0</v>
      </c>
    </row>
    <row r="42" spans="1:17" hidden="1" x14ac:dyDescent="0.25">
      <c r="A42" s="155" t="s">
        <v>696</v>
      </c>
      <c r="B42" s="155" t="s">
        <v>212</v>
      </c>
      <c r="C42" s="155" t="s">
        <v>213</v>
      </c>
      <c r="D42" s="155" t="s">
        <v>69</v>
      </c>
      <c r="E42" s="156">
        <v>4884400</v>
      </c>
      <c r="F42" s="156">
        <v>3876300</v>
      </c>
      <c r="G42" s="156">
        <v>3876300</v>
      </c>
      <c r="H42" s="156">
        <v>1214965.79</v>
      </c>
      <c r="I42" s="156">
        <v>1032003.81</v>
      </c>
      <c r="J42" s="156">
        <v>397995.15</v>
      </c>
      <c r="K42" s="156">
        <v>1097972.3700000001</v>
      </c>
      <c r="L42" s="157">
        <f t="shared" si="0"/>
        <v>0.2832526816809845</v>
      </c>
      <c r="M42" s="156">
        <v>596846.76</v>
      </c>
      <c r="N42" s="158">
        <f t="shared" si="1"/>
        <v>0.15397331475891959</v>
      </c>
      <c r="O42" s="156">
        <v>133362.88</v>
      </c>
      <c r="P42" s="158">
        <f t="shared" si="2"/>
        <v>3.440468487991126E-2</v>
      </c>
      <c r="Q42" s="156">
        <v>133362.88</v>
      </c>
    </row>
    <row r="43" spans="1:17" hidden="1" x14ac:dyDescent="0.25">
      <c r="A43" s="155" t="s">
        <v>696</v>
      </c>
      <c r="B43" s="155" t="s">
        <v>214</v>
      </c>
      <c r="C43" s="155" t="s">
        <v>215</v>
      </c>
      <c r="D43" s="155" t="s">
        <v>69</v>
      </c>
      <c r="E43" s="156">
        <v>2500000</v>
      </c>
      <c r="F43" s="156">
        <v>1950000</v>
      </c>
      <c r="G43" s="156">
        <v>1950000</v>
      </c>
      <c r="H43" s="156">
        <v>766585.79</v>
      </c>
      <c r="I43" s="156">
        <v>1028052.19</v>
      </c>
      <c r="J43" s="156">
        <v>35181.97</v>
      </c>
      <c r="K43" s="156">
        <v>34500</v>
      </c>
      <c r="L43" s="157">
        <f t="shared" si="0"/>
        <v>1.7692307692307691E-2</v>
      </c>
      <c r="M43" s="156">
        <v>34500</v>
      </c>
      <c r="N43" s="158">
        <f t="shared" si="1"/>
        <v>1.7692307692307691E-2</v>
      </c>
      <c r="O43" s="156">
        <v>85680.05</v>
      </c>
      <c r="P43" s="158">
        <f t="shared" si="2"/>
        <v>4.393848717948718E-2</v>
      </c>
      <c r="Q43" s="156">
        <v>85680.05</v>
      </c>
    </row>
    <row r="44" spans="1:17" hidden="1" x14ac:dyDescent="0.25">
      <c r="A44" s="155" t="s">
        <v>696</v>
      </c>
      <c r="B44" s="155" t="s">
        <v>218</v>
      </c>
      <c r="C44" s="155" t="s">
        <v>219</v>
      </c>
      <c r="D44" s="155" t="s">
        <v>69</v>
      </c>
      <c r="E44" s="156">
        <v>1800000</v>
      </c>
      <c r="F44" s="156">
        <v>1476300</v>
      </c>
      <c r="G44" s="156">
        <v>1476300</v>
      </c>
      <c r="H44" s="156">
        <v>0</v>
      </c>
      <c r="I44" s="156">
        <v>3951.62</v>
      </c>
      <c r="J44" s="156">
        <v>362813.18</v>
      </c>
      <c r="K44" s="156">
        <v>1063472.3700000001</v>
      </c>
      <c r="L44" s="157">
        <f t="shared" si="0"/>
        <v>0.72036332046332052</v>
      </c>
      <c r="M44" s="156">
        <v>562346.76</v>
      </c>
      <c r="N44" s="158">
        <f t="shared" si="1"/>
        <v>0.38091631782158097</v>
      </c>
      <c r="O44" s="156">
        <v>46062.83</v>
      </c>
      <c r="P44" s="158">
        <f t="shared" si="2"/>
        <v>3.120153762785342E-2</v>
      </c>
      <c r="Q44" s="156">
        <v>46062.83</v>
      </c>
    </row>
    <row r="45" spans="1:17" hidden="1" x14ac:dyDescent="0.25">
      <c r="A45" s="155" t="s">
        <v>696</v>
      </c>
      <c r="B45" s="155" t="s">
        <v>222</v>
      </c>
      <c r="C45" s="155" t="s">
        <v>223</v>
      </c>
      <c r="D45" s="155" t="s">
        <v>69</v>
      </c>
      <c r="E45" s="156">
        <v>500000</v>
      </c>
      <c r="F45" s="156">
        <v>450000</v>
      </c>
      <c r="G45" s="156">
        <v>450000</v>
      </c>
      <c r="H45" s="156">
        <v>448380</v>
      </c>
      <c r="I45" s="156">
        <v>0</v>
      </c>
      <c r="J45" s="156">
        <v>0</v>
      </c>
      <c r="K45" s="156">
        <v>0</v>
      </c>
      <c r="L45" s="157">
        <f t="shared" si="0"/>
        <v>0</v>
      </c>
      <c r="M45" s="156">
        <v>0</v>
      </c>
      <c r="N45" s="158">
        <f t="shared" si="1"/>
        <v>0</v>
      </c>
      <c r="O45" s="156">
        <v>1620</v>
      </c>
      <c r="P45" s="158">
        <f t="shared" si="2"/>
        <v>3.5999999999999999E-3</v>
      </c>
      <c r="Q45" s="156">
        <v>1620</v>
      </c>
    </row>
    <row r="46" spans="1:17" hidden="1" x14ac:dyDescent="0.25">
      <c r="A46" s="155" t="s">
        <v>696</v>
      </c>
      <c r="B46" s="155" t="s">
        <v>226</v>
      </c>
      <c r="C46" s="155" t="s">
        <v>227</v>
      </c>
      <c r="D46" s="155" t="s">
        <v>69</v>
      </c>
      <c r="E46" s="156">
        <v>37400</v>
      </c>
      <c r="F46" s="156">
        <v>0</v>
      </c>
      <c r="G46" s="156">
        <v>0</v>
      </c>
      <c r="H46" s="156">
        <v>0</v>
      </c>
      <c r="I46" s="156">
        <v>0</v>
      </c>
      <c r="J46" s="156">
        <v>0</v>
      </c>
      <c r="K46" s="156">
        <v>0</v>
      </c>
      <c r="L46" s="157" t="e">
        <f t="shared" si="0"/>
        <v>#DIV/0!</v>
      </c>
      <c r="M46" s="156">
        <v>0</v>
      </c>
      <c r="N46" s="158" t="e">
        <f t="shared" si="1"/>
        <v>#DIV/0!</v>
      </c>
      <c r="O46" s="156">
        <v>0</v>
      </c>
      <c r="P46" s="158" t="e">
        <f t="shared" si="2"/>
        <v>#DIV/0!</v>
      </c>
      <c r="Q46" s="156">
        <v>0</v>
      </c>
    </row>
    <row r="47" spans="1:17" hidden="1" x14ac:dyDescent="0.25">
      <c r="A47" s="155" t="s">
        <v>696</v>
      </c>
      <c r="B47" s="155" t="s">
        <v>228</v>
      </c>
      <c r="C47" s="155" t="s">
        <v>229</v>
      </c>
      <c r="D47" s="155" t="s">
        <v>69</v>
      </c>
      <c r="E47" s="156">
        <v>47000</v>
      </c>
      <c r="F47" s="156">
        <v>0</v>
      </c>
      <c r="G47" s="156">
        <v>0</v>
      </c>
      <c r="H47" s="156">
        <v>0</v>
      </c>
      <c r="I47" s="156">
        <v>0</v>
      </c>
      <c r="J47" s="156">
        <v>0</v>
      </c>
      <c r="K47" s="156">
        <v>0</v>
      </c>
      <c r="L47" s="157" t="e">
        <f t="shared" si="0"/>
        <v>#DIV/0!</v>
      </c>
      <c r="M47" s="156">
        <v>0</v>
      </c>
      <c r="N47" s="158" t="e">
        <f t="shared" si="1"/>
        <v>#DIV/0!</v>
      </c>
      <c r="O47" s="156">
        <v>0</v>
      </c>
      <c r="P47" s="158" t="e">
        <f t="shared" si="2"/>
        <v>#DIV/0!</v>
      </c>
      <c r="Q47" s="156">
        <v>0</v>
      </c>
    </row>
    <row r="48" spans="1:17" hidden="1" x14ac:dyDescent="0.25">
      <c r="A48" s="155" t="s">
        <v>696</v>
      </c>
      <c r="B48" s="155" t="s">
        <v>230</v>
      </c>
      <c r="C48" s="155" t="s">
        <v>231</v>
      </c>
      <c r="D48" s="155" t="s">
        <v>85</v>
      </c>
      <c r="E48" s="156">
        <v>4220000</v>
      </c>
      <c r="F48" s="156">
        <v>3050000</v>
      </c>
      <c r="G48" s="156">
        <v>3050000</v>
      </c>
      <c r="H48" s="156">
        <v>0</v>
      </c>
      <c r="I48" s="156">
        <v>0.02</v>
      </c>
      <c r="J48" s="156">
        <v>0</v>
      </c>
      <c r="K48" s="156">
        <v>2343992.0299999998</v>
      </c>
      <c r="L48" s="157">
        <f t="shared" si="0"/>
        <v>0.76852197704918024</v>
      </c>
      <c r="M48" s="156">
        <v>2343992.0299999998</v>
      </c>
      <c r="N48" s="158">
        <f t="shared" si="1"/>
        <v>0.76852197704918024</v>
      </c>
      <c r="O48" s="156">
        <v>706007.95</v>
      </c>
      <c r="P48" s="158">
        <f t="shared" si="2"/>
        <v>0.23147801639344262</v>
      </c>
      <c r="Q48" s="156">
        <v>706007.95</v>
      </c>
    </row>
    <row r="49" spans="1:17" hidden="1" x14ac:dyDescent="0.25">
      <c r="A49" s="155" t="s">
        <v>696</v>
      </c>
      <c r="B49" s="155" t="s">
        <v>232</v>
      </c>
      <c r="C49" s="155" t="s">
        <v>233</v>
      </c>
      <c r="D49" s="155" t="s">
        <v>85</v>
      </c>
      <c r="E49" s="156">
        <v>3320000</v>
      </c>
      <c r="F49" s="156">
        <v>3050000</v>
      </c>
      <c r="G49" s="156">
        <v>3050000</v>
      </c>
      <c r="H49" s="156">
        <v>0</v>
      </c>
      <c r="I49" s="156">
        <v>0.02</v>
      </c>
      <c r="J49" s="156">
        <v>0</v>
      </c>
      <c r="K49" s="156">
        <v>2343992.0299999998</v>
      </c>
      <c r="L49" s="157">
        <f t="shared" si="0"/>
        <v>0.76852197704918024</v>
      </c>
      <c r="M49" s="156">
        <v>2343992.0299999998</v>
      </c>
      <c r="N49" s="158">
        <f t="shared" si="1"/>
        <v>0.76852197704918024</v>
      </c>
      <c r="O49" s="156">
        <v>706007.95</v>
      </c>
      <c r="P49" s="158">
        <f t="shared" si="2"/>
        <v>0.23147801639344262</v>
      </c>
      <c r="Q49" s="156">
        <v>706007.95</v>
      </c>
    </row>
    <row r="50" spans="1:17" hidden="1" x14ac:dyDescent="0.25">
      <c r="A50" s="155" t="s">
        <v>696</v>
      </c>
      <c r="B50" s="155" t="s">
        <v>236</v>
      </c>
      <c r="C50" s="155" t="s">
        <v>237</v>
      </c>
      <c r="D50" s="155" t="s">
        <v>85</v>
      </c>
      <c r="E50" s="156">
        <v>120000</v>
      </c>
      <c r="F50" s="156">
        <v>0</v>
      </c>
      <c r="G50" s="156">
        <v>0</v>
      </c>
      <c r="H50" s="156">
        <v>0</v>
      </c>
      <c r="I50" s="156">
        <v>0</v>
      </c>
      <c r="J50" s="156">
        <v>0</v>
      </c>
      <c r="K50" s="156">
        <v>0</v>
      </c>
      <c r="L50" s="157" t="e">
        <f t="shared" si="0"/>
        <v>#DIV/0!</v>
      </c>
      <c r="M50" s="156">
        <v>0</v>
      </c>
      <c r="N50" s="158" t="e">
        <f t="shared" si="1"/>
        <v>#DIV/0!</v>
      </c>
      <c r="O50" s="156">
        <v>0</v>
      </c>
      <c r="P50" s="158" t="e">
        <f t="shared" si="2"/>
        <v>#DIV/0!</v>
      </c>
      <c r="Q50" s="156">
        <v>0</v>
      </c>
    </row>
    <row r="51" spans="1:17" hidden="1" x14ac:dyDescent="0.25">
      <c r="A51" s="155" t="s">
        <v>696</v>
      </c>
      <c r="B51" s="155" t="s">
        <v>238</v>
      </c>
      <c r="C51" s="155" t="s">
        <v>239</v>
      </c>
      <c r="D51" s="155" t="s">
        <v>85</v>
      </c>
      <c r="E51" s="156">
        <v>3200000</v>
      </c>
      <c r="F51" s="156">
        <v>3050000</v>
      </c>
      <c r="G51" s="156">
        <v>3050000</v>
      </c>
      <c r="H51" s="156">
        <v>0</v>
      </c>
      <c r="I51" s="156">
        <v>0.02</v>
      </c>
      <c r="J51" s="156">
        <v>0</v>
      </c>
      <c r="K51" s="156">
        <v>2343992.0299999998</v>
      </c>
      <c r="L51" s="157">
        <f t="shared" si="0"/>
        <v>0.76852197704918024</v>
      </c>
      <c r="M51" s="156">
        <v>2343992.0299999998</v>
      </c>
      <c r="N51" s="158">
        <f t="shared" si="1"/>
        <v>0.76852197704918024</v>
      </c>
      <c r="O51" s="156">
        <v>706007.95</v>
      </c>
      <c r="P51" s="158">
        <f t="shared" si="2"/>
        <v>0.23147801639344262</v>
      </c>
      <c r="Q51" s="156">
        <v>706007.95</v>
      </c>
    </row>
    <row r="52" spans="1:17" hidden="1" x14ac:dyDescent="0.25">
      <c r="A52" s="155" t="s">
        <v>696</v>
      </c>
      <c r="B52" s="155" t="s">
        <v>244</v>
      </c>
      <c r="C52" s="155" t="s">
        <v>245</v>
      </c>
      <c r="D52" s="155" t="s">
        <v>85</v>
      </c>
      <c r="E52" s="156">
        <v>900000</v>
      </c>
      <c r="F52" s="156">
        <v>0</v>
      </c>
      <c r="G52" s="156">
        <v>0</v>
      </c>
      <c r="H52" s="156">
        <v>0</v>
      </c>
      <c r="I52" s="156">
        <v>0</v>
      </c>
      <c r="J52" s="156">
        <v>0</v>
      </c>
      <c r="K52" s="156">
        <v>0</v>
      </c>
      <c r="L52" s="157" t="e">
        <f t="shared" si="0"/>
        <v>#DIV/0!</v>
      </c>
      <c r="M52" s="156">
        <v>0</v>
      </c>
      <c r="N52" s="158" t="e">
        <f t="shared" si="1"/>
        <v>#DIV/0!</v>
      </c>
      <c r="O52" s="156">
        <v>0</v>
      </c>
      <c r="P52" s="158" t="e">
        <f t="shared" si="2"/>
        <v>#DIV/0!</v>
      </c>
      <c r="Q52" s="156">
        <v>0</v>
      </c>
    </row>
    <row r="53" spans="1:17" hidden="1" x14ac:dyDescent="0.25">
      <c r="A53" s="155" t="s">
        <v>696</v>
      </c>
      <c r="B53" s="155" t="s">
        <v>246</v>
      </c>
      <c r="C53" s="155" t="s">
        <v>247</v>
      </c>
      <c r="D53" s="155" t="s">
        <v>85</v>
      </c>
      <c r="E53" s="156">
        <v>900000</v>
      </c>
      <c r="F53" s="156">
        <v>0</v>
      </c>
      <c r="G53" s="156">
        <v>0</v>
      </c>
      <c r="H53" s="156">
        <v>0</v>
      </c>
      <c r="I53" s="156">
        <v>0</v>
      </c>
      <c r="J53" s="156">
        <v>0</v>
      </c>
      <c r="K53" s="156">
        <v>0</v>
      </c>
      <c r="L53" s="157" t="e">
        <f t="shared" si="0"/>
        <v>#DIV/0!</v>
      </c>
      <c r="M53" s="156">
        <v>0</v>
      </c>
      <c r="N53" s="158" t="e">
        <f t="shared" si="1"/>
        <v>#DIV/0!</v>
      </c>
      <c r="O53" s="156">
        <v>0</v>
      </c>
      <c r="P53" s="158" t="e">
        <f t="shared" si="2"/>
        <v>#DIV/0!</v>
      </c>
      <c r="Q53" s="156">
        <v>0</v>
      </c>
    </row>
    <row r="54" spans="1:17" hidden="1" x14ac:dyDescent="0.25">
      <c r="A54" s="155" t="s">
        <v>696</v>
      </c>
      <c r="B54" s="155" t="s">
        <v>248</v>
      </c>
      <c r="C54" s="155" t="s">
        <v>249</v>
      </c>
      <c r="D54" s="155" t="s">
        <v>69</v>
      </c>
      <c r="E54" s="156">
        <v>314465910</v>
      </c>
      <c r="F54" s="156">
        <v>320640887</v>
      </c>
      <c r="G54" s="156">
        <v>244312545</v>
      </c>
      <c r="H54" s="156">
        <v>0</v>
      </c>
      <c r="I54" s="156">
        <v>29136460.390000001</v>
      </c>
      <c r="J54" s="156">
        <v>0</v>
      </c>
      <c r="K54" s="156">
        <v>194349073.91</v>
      </c>
      <c r="L54" s="157">
        <f t="shared" si="0"/>
        <v>0.60612692201665475</v>
      </c>
      <c r="M54" s="156">
        <v>194349073.91</v>
      </c>
      <c r="N54" s="158">
        <f t="shared" si="1"/>
        <v>0.60612692201665475</v>
      </c>
      <c r="O54" s="156">
        <v>97155352.700000003</v>
      </c>
      <c r="P54" s="158">
        <f t="shared" si="2"/>
        <v>0.30300363003923453</v>
      </c>
      <c r="Q54" s="156">
        <v>20827010.699999999</v>
      </c>
    </row>
    <row r="55" spans="1:17" hidden="1" x14ac:dyDescent="0.25">
      <c r="A55" s="155" t="s">
        <v>696</v>
      </c>
      <c r="B55" s="155" t="s">
        <v>250</v>
      </c>
      <c r="C55" s="155" t="s">
        <v>251</v>
      </c>
      <c r="D55" s="155" t="s">
        <v>69</v>
      </c>
      <c r="E55" s="156">
        <v>281465910</v>
      </c>
      <c r="F55" s="156">
        <v>280640887</v>
      </c>
      <c r="G55" s="156">
        <v>214084355</v>
      </c>
      <c r="H55" s="156">
        <v>0</v>
      </c>
      <c r="I55" s="156">
        <v>29136460</v>
      </c>
      <c r="J55" s="156">
        <v>0</v>
      </c>
      <c r="K55" s="156">
        <v>177565442</v>
      </c>
      <c r="L55" s="157">
        <f t="shared" si="0"/>
        <v>0.63271408488671144</v>
      </c>
      <c r="M55" s="156">
        <v>177565442</v>
      </c>
      <c r="N55" s="158">
        <f t="shared" si="1"/>
        <v>0.63271408488671144</v>
      </c>
      <c r="O55" s="156">
        <v>73938985</v>
      </c>
      <c r="P55" s="158">
        <f t="shared" si="2"/>
        <v>0.26346476377834427</v>
      </c>
      <c r="Q55" s="156">
        <v>7382453</v>
      </c>
    </row>
    <row r="56" spans="1:17" hidden="1" x14ac:dyDescent="0.25">
      <c r="A56" s="155" t="s">
        <v>696</v>
      </c>
      <c r="B56" s="155" t="s">
        <v>619</v>
      </c>
      <c r="C56" s="155" t="s">
        <v>701</v>
      </c>
      <c r="D56" s="155" t="s">
        <v>69</v>
      </c>
      <c r="E56" s="156">
        <v>257500000</v>
      </c>
      <c r="F56" s="156">
        <v>257500000</v>
      </c>
      <c r="G56" s="156">
        <v>191285713</v>
      </c>
      <c r="H56" s="156">
        <v>0</v>
      </c>
      <c r="I56" s="156">
        <v>18392857</v>
      </c>
      <c r="J56" s="156">
        <v>0</v>
      </c>
      <c r="K56" s="156">
        <v>165535713</v>
      </c>
      <c r="L56" s="157">
        <f t="shared" si="0"/>
        <v>0.64285713786407772</v>
      </c>
      <c r="M56" s="156">
        <v>165535713</v>
      </c>
      <c r="N56" s="158">
        <f t="shared" si="1"/>
        <v>0.64285713786407772</v>
      </c>
      <c r="O56" s="156">
        <v>73571430</v>
      </c>
      <c r="P56" s="158">
        <f t="shared" si="2"/>
        <v>0.28571429126213593</v>
      </c>
      <c r="Q56" s="156">
        <v>7357143</v>
      </c>
    </row>
    <row r="57" spans="1:17" hidden="1" x14ac:dyDescent="0.25">
      <c r="A57" s="155" t="s">
        <v>696</v>
      </c>
      <c r="B57" s="155" t="s">
        <v>625</v>
      </c>
      <c r="C57" s="155" t="s">
        <v>702</v>
      </c>
      <c r="D57" s="155" t="s">
        <v>69</v>
      </c>
      <c r="E57" s="156">
        <v>20356634</v>
      </c>
      <c r="F57" s="156">
        <v>19655861</v>
      </c>
      <c r="G57" s="156">
        <v>19365163</v>
      </c>
      <c r="H57" s="156">
        <v>0</v>
      </c>
      <c r="I57" s="156">
        <v>9171440</v>
      </c>
      <c r="J57" s="156">
        <v>0</v>
      </c>
      <c r="K57" s="156">
        <v>10193721</v>
      </c>
      <c r="L57" s="157">
        <f t="shared" si="0"/>
        <v>0.51860974189835796</v>
      </c>
      <c r="M57" s="156">
        <v>10193721</v>
      </c>
      <c r="N57" s="158">
        <f t="shared" si="1"/>
        <v>0.51860974189835796</v>
      </c>
      <c r="O57" s="156">
        <v>290700</v>
      </c>
      <c r="P57" s="158">
        <f t="shared" si="2"/>
        <v>1.4789481875151641E-2</v>
      </c>
      <c r="Q57" s="156">
        <v>2</v>
      </c>
    </row>
    <row r="58" spans="1:17" hidden="1" x14ac:dyDescent="0.25">
      <c r="A58" s="155" t="s">
        <v>696</v>
      </c>
      <c r="B58" s="155" t="s">
        <v>640</v>
      </c>
      <c r="C58" s="155" t="s">
        <v>703</v>
      </c>
      <c r="D58" s="155" t="s">
        <v>69</v>
      </c>
      <c r="E58" s="156">
        <v>3609276</v>
      </c>
      <c r="F58" s="156">
        <v>3485026</v>
      </c>
      <c r="G58" s="156">
        <v>3433479</v>
      </c>
      <c r="H58" s="156">
        <v>0</v>
      </c>
      <c r="I58" s="156">
        <v>1572163</v>
      </c>
      <c r="J58" s="156">
        <v>0</v>
      </c>
      <c r="K58" s="156">
        <v>1836008</v>
      </c>
      <c r="L58" s="157">
        <f t="shared" si="0"/>
        <v>0.52682763342368177</v>
      </c>
      <c r="M58" s="156">
        <v>1836008</v>
      </c>
      <c r="N58" s="158">
        <f t="shared" si="1"/>
        <v>0.52682763342368177</v>
      </c>
      <c r="O58" s="156">
        <v>76855</v>
      </c>
      <c r="P58" s="158">
        <f t="shared" si="2"/>
        <v>2.2052920121686324E-2</v>
      </c>
      <c r="Q58" s="156">
        <v>25308</v>
      </c>
    </row>
    <row r="59" spans="1:17" hidden="1" x14ac:dyDescent="0.25">
      <c r="A59" s="155" t="s">
        <v>696</v>
      </c>
      <c r="B59" s="155" t="s">
        <v>260</v>
      </c>
      <c r="C59" s="155" t="s">
        <v>261</v>
      </c>
      <c r="D59" s="155" t="s">
        <v>69</v>
      </c>
      <c r="E59" s="156">
        <v>33000000</v>
      </c>
      <c r="F59" s="156">
        <v>40000000</v>
      </c>
      <c r="G59" s="156">
        <v>30228190</v>
      </c>
      <c r="H59" s="156">
        <v>0</v>
      </c>
      <c r="I59" s="156">
        <v>0.39</v>
      </c>
      <c r="J59" s="156">
        <v>0</v>
      </c>
      <c r="K59" s="156">
        <v>16783631.91</v>
      </c>
      <c r="L59" s="157">
        <f t="shared" si="0"/>
        <v>0.41959079775000002</v>
      </c>
      <c r="M59" s="156">
        <v>16783631.91</v>
      </c>
      <c r="N59" s="158">
        <f t="shared" si="1"/>
        <v>0.41959079775000002</v>
      </c>
      <c r="O59" s="156">
        <v>23216367.699999999</v>
      </c>
      <c r="P59" s="158">
        <f t="shared" si="2"/>
        <v>0.5804091925</v>
      </c>
      <c r="Q59" s="156">
        <v>13444557.699999999</v>
      </c>
    </row>
    <row r="60" spans="1:17" x14ac:dyDescent="0.25">
      <c r="A60" s="155" t="s">
        <v>696</v>
      </c>
      <c r="B60" s="155" t="s">
        <v>262</v>
      </c>
      <c r="C60" s="155" t="s">
        <v>263</v>
      </c>
      <c r="D60" s="155" t="s">
        <v>69</v>
      </c>
      <c r="E60" s="156">
        <v>23000000</v>
      </c>
      <c r="F60" s="156">
        <v>23000000</v>
      </c>
      <c r="G60" s="156">
        <v>13228190</v>
      </c>
      <c r="H60" s="156">
        <v>0</v>
      </c>
      <c r="I60" s="156">
        <v>0.39</v>
      </c>
      <c r="J60" s="156">
        <v>0</v>
      </c>
      <c r="K60" s="156">
        <v>5194620.41</v>
      </c>
      <c r="L60" s="157">
        <f t="shared" si="0"/>
        <v>0.22585306130434785</v>
      </c>
      <c r="M60" s="156">
        <v>5194620.41</v>
      </c>
      <c r="N60" s="158">
        <f t="shared" si="1"/>
        <v>0.22585306130434785</v>
      </c>
      <c r="O60" s="156">
        <v>17805379.199999999</v>
      </c>
      <c r="P60" s="158">
        <f t="shared" si="2"/>
        <v>0.77414692173913036</v>
      </c>
      <c r="Q60" s="156">
        <v>8033569.2000000002</v>
      </c>
    </row>
    <row r="61" spans="1:17" hidden="1" x14ac:dyDescent="0.25">
      <c r="A61" s="44" t="s">
        <v>696</v>
      </c>
      <c r="B61" s="44" t="s">
        <v>264</v>
      </c>
      <c r="C61" s="44" t="s">
        <v>265</v>
      </c>
      <c r="D61" s="44" t="s">
        <v>69</v>
      </c>
      <c r="E61" s="50">
        <v>10000000</v>
      </c>
      <c r="F61" s="50">
        <v>17000000</v>
      </c>
      <c r="G61" s="50">
        <v>17000000</v>
      </c>
      <c r="H61" s="50">
        <v>0</v>
      </c>
      <c r="I61" s="50">
        <v>0</v>
      </c>
      <c r="J61" s="50">
        <v>0</v>
      </c>
      <c r="K61" s="50">
        <v>11589011.5</v>
      </c>
      <c r="L61" s="151">
        <f t="shared" si="0"/>
        <v>0.68170655882352937</v>
      </c>
      <c r="M61" s="50">
        <v>11589011.5</v>
      </c>
      <c r="N61" s="152">
        <f t="shared" si="1"/>
        <v>0.68170655882352937</v>
      </c>
      <c r="O61" s="50">
        <v>5410988.5</v>
      </c>
      <c r="P61" s="152">
        <f t="shared" si="2"/>
        <v>0.31829344117647057</v>
      </c>
      <c r="Q61" s="50">
        <v>5410988.5</v>
      </c>
    </row>
    <row r="62" spans="1:17" hidden="1" x14ac:dyDescent="0.25">
      <c r="A62" s="44">
        <v>214787</v>
      </c>
      <c r="B62" s="44"/>
      <c r="C62" s="44"/>
      <c r="D62" s="44" t="s">
        <v>69</v>
      </c>
      <c r="E62" s="50">
        <v>3672713874</v>
      </c>
      <c r="F62" s="50">
        <v>3477014422</v>
      </c>
      <c r="G62" s="50">
        <v>3366897567.9000001</v>
      </c>
      <c r="H62" s="50">
        <v>1729600</v>
      </c>
      <c r="I62" s="50">
        <v>400595899.51999998</v>
      </c>
      <c r="J62" s="50">
        <v>11390875.880000001</v>
      </c>
      <c r="K62" s="50">
        <v>1962961225.45</v>
      </c>
      <c r="L62" s="151">
        <f t="shared" si="0"/>
        <v>0.56455366219645786</v>
      </c>
      <c r="M62" s="50">
        <v>1959662057.25</v>
      </c>
      <c r="N62" s="152">
        <f t="shared" si="1"/>
        <v>0.56360481131475737</v>
      </c>
      <c r="O62" s="50">
        <v>1100336821.1500001</v>
      </c>
      <c r="P62" s="152">
        <f t="shared" si="2"/>
        <v>0.31646024077089668</v>
      </c>
      <c r="Q62" s="50">
        <v>990219967.04999995</v>
      </c>
    </row>
    <row r="63" spans="1:17" hidden="1" x14ac:dyDescent="0.25">
      <c r="A63" s="44" t="s">
        <v>704</v>
      </c>
      <c r="B63" s="44" t="s">
        <v>71</v>
      </c>
      <c r="C63" s="44" t="s">
        <v>72</v>
      </c>
      <c r="D63" s="44" t="s">
        <v>69</v>
      </c>
      <c r="E63" s="50">
        <v>2848782596</v>
      </c>
      <c r="F63" s="50">
        <v>2674350536</v>
      </c>
      <c r="G63" s="50">
        <v>2655768931</v>
      </c>
      <c r="H63" s="50">
        <v>0</v>
      </c>
      <c r="I63" s="50">
        <v>163921304</v>
      </c>
      <c r="J63" s="50">
        <v>0</v>
      </c>
      <c r="K63" s="50">
        <v>1557931515.4300001</v>
      </c>
      <c r="L63" s="151">
        <f t="shared" si="0"/>
        <v>0.58254574127750025</v>
      </c>
      <c r="M63" s="50">
        <v>1557931515.4300001</v>
      </c>
      <c r="N63" s="152">
        <f t="shared" si="1"/>
        <v>0.58254574127750025</v>
      </c>
      <c r="O63" s="50">
        <v>952497716.57000005</v>
      </c>
      <c r="P63" s="152">
        <f t="shared" si="2"/>
        <v>0.35616038501618474</v>
      </c>
      <c r="Q63" s="50">
        <v>933916111.57000005</v>
      </c>
    </row>
    <row r="64" spans="1:17" hidden="1" x14ac:dyDescent="0.25">
      <c r="A64" s="44" t="s">
        <v>704</v>
      </c>
      <c r="B64" s="44" t="s">
        <v>73</v>
      </c>
      <c r="C64" s="44" t="s">
        <v>74</v>
      </c>
      <c r="D64" s="44" t="s">
        <v>69</v>
      </c>
      <c r="E64" s="50">
        <v>1118901696</v>
      </c>
      <c r="F64" s="50">
        <v>1090175970</v>
      </c>
      <c r="G64" s="50">
        <v>1090175970</v>
      </c>
      <c r="H64" s="50">
        <v>0</v>
      </c>
      <c r="I64" s="50">
        <v>0</v>
      </c>
      <c r="J64" s="50">
        <v>0</v>
      </c>
      <c r="K64" s="50">
        <v>683078072.34000003</v>
      </c>
      <c r="L64" s="151">
        <f t="shared" si="0"/>
        <v>0.62657597593166547</v>
      </c>
      <c r="M64" s="50">
        <v>683078072.34000003</v>
      </c>
      <c r="N64" s="152">
        <f t="shared" si="1"/>
        <v>0.62657597593166547</v>
      </c>
      <c r="O64" s="50">
        <v>407097897.66000003</v>
      </c>
      <c r="P64" s="152">
        <f t="shared" si="2"/>
        <v>0.37342402406833458</v>
      </c>
      <c r="Q64" s="50">
        <v>407097897.66000003</v>
      </c>
    </row>
    <row r="65" spans="1:17" hidden="1" x14ac:dyDescent="0.25">
      <c r="A65" s="44" t="s">
        <v>704</v>
      </c>
      <c r="B65" s="44" t="s">
        <v>75</v>
      </c>
      <c r="C65" s="44" t="s">
        <v>76</v>
      </c>
      <c r="D65" s="44" t="s">
        <v>69</v>
      </c>
      <c r="E65" s="50">
        <v>1118901696</v>
      </c>
      <c r="F65" s="50">
        <v>1090175970</v>
      </c>
      <c r="G65" s="50">
        <v>1090175970</v>
      </c>
      <c r="H65" s="50">
        <v>0</v>
      </c>
      <c r="I65" s="50">
        <v>0</v>
      </c>
      <c r="J65" s="50">
        <v>0</v>
      </c>
      <c r="K65" s="50">
        <v>683078072.34000003</v>
      </c>
      <c r="L65" s="151">
        <f t="shared" si="0"/>
        <v>0.62657597593166547</v>
      </c>
      <c r="M65" s="50">
        <v>683078072.34000003</v>
      </c>
      <c r="N65" s="152">
        <f t="shared" si="1"/>
        <v>0.62657597593166547</v>
      </c>
      <c r="O65" s="50">
        <v>407097897.66000003</v>
      </c>
      <c r="P65" s="152">
        <f t="shared" si="2"/>
        <v>0.37342402406833458</v>
      </c>
      <c r="Q65" s="50">
        <v>407097897.66000003</v>
      </c>
    </row>
    <row r="66" spans="1:17" hidden="1" x14ac:dyDescent="0.25">
      <c r="A66" s="44" t="s">
        <v>704</v>
      </c>
      <c r="B66" s="44" t="s">
        <v>77</v>
      </c>
      <c r="C66" s="44" t="s">
        <v>78</v>
      </c>
      <c r="D66" s="44" t="s">
        <v>69</v>
      </c>
      <c r="E66" s="50">
        <v>1295309720</v>
      </c>
      <c r="F66" s="50">
        <v>1160748440</v>
      </c>
      <c r="G66" s="50">
        <v>1142166835</v>
      </c>
      <c r="H66" s="50">
        <v>0</v>
      </c>
      <c r="I66" s="50">
        <v>0</v>
      </c>
      <c r="J66" s="50">
        <v>0</v>
      </c>
      <c r="K66" s="50">
        <v>616779987.09000003</v>
      </c>
      <c r="L66" s="151">
        <f t="shared" si="0"/>
        <v>0.53136404567556428</v>
      </c>
      <c r="M66" s="50">
        <v>616779987.09000003</v>
      </c>
      <c r="N66" s="152">
        <f t="shared" si="1"/>
        <v>0.53136404567556428</v>
      </c>
      <c r="O66" s="50">
        <v>543968452.90999997</v>
      </c>
      <c r="P66" s="152">
        <f t="shared" si="2"/>
        <v>0.46863595432443567</v>
      </c>
      <c r="Q66" s="50">
        <v>525386847.91000003</v>
      </c>
    </row>
    <row r="67" spans="1:17" hidden="1" x14ac:dyDescent="0.25">
      <c r="A67" s="44" t="s">
        <v>704</v>
      </c>
      <c r="B67" s="44" t="s">
        <v>79</v>
      </c>
      <c r="C67" s="44" t="s">
        <v>80</v>
      </c>
      <c r="D67" s="44" t="s">
        <v>69</v>
      </c>
      <c r="E67" s="50">
        <v>329734600</v>
      </c>
      <c r="F67" s="50">
        <v>328933600</v>
      </c>
      <c r="G67" s="50">
        <v>311807542</v>
      </c>
      <c r="H67" s="50">
        <v>0</v>
      </c>
      <c r="I67" s="50">
        <v>0</v>
      </c>
      <c r="J67" s="50">
        <v>0</v>
      </c>
      <c r="K67" s="50">
        <v>206327692.91</v>
      </c>
      <c r="L67" s="151">
        <f t="shared" si="0"/>
        <v>0.62726244114313645</v>
      </c>
      <c r="M67" s="50">
        <v>206327692.91</v>
      </c>
      <c r="N67" s="152">
        <f t="shared" si="1"/>
        <v>0.62726244114313645</v>
      </c>
      <c r="O67" s="50">
        <v>122605907.09</v>
      </c>
      <c r="P67" s="152">
        <f t="shared" si="2"/>
        <v>0.37273755885686355</v>
      </c>
      <c r="Q67" s="50">
        <v>105479849.09</v>
      </c>
    </row>
    <row r="68" spans="1:17" hidden="1" x14ac:dyDescent="0.25">
      <c r="A68" s="44" t="s">
        <v>704</v>
      </c>
      <c r="B68" s="44" t="s">
        <v>81</v>
      </c>
      <c r="C68" s="44" t="s">
        <v>82</v>
      </c>
      <c r="D68" s="44" t="s">
        <v>69</v>
      </c>
      <c r="E68" s="50">
        <v>442514922</v>
      </c>
      <c r="F68" s="50">
        <v>431161620</v>
      </c>
      <c r="G68" s="50">
        <v>431161620</v>
      </c>
      <c r="H68" s="50">
        <v>0</v>
      </c>
      <c r="I68" s="50">
        <v>0</v>
      </c>
      <c r="J68" s="50">
        <v>0</v>
      </c>
      <c r="K68" s="50">
        <v>266358892.37</v>
      </c>
      <c r="L68" s="151">
        <f t="shared" si="0"/>
        <v>0.61777041372560015</v>
      </c>
      <c r="M68" s="50">
        <v>266358892.37</v>
      </c>
      <c r="N68" s="152">
        <f t="shared" si="1"/>
        <v>0.61777041372560015</v>
      </c>
      <c r="O68" s="50">
        <v>164802727.63</v>
      </c>
      <c r="P68" s="152">
        <f t="shared" si="2"/>
        <v>0.38222958627439985</v>
      </c>
      <c r="Q68" s="50">
        <v>164802727.63</v>
      </c>
    </row>
    <row r="69" spans="1:17" x14ac:dyDescent="0.25">
      <c r="A69" s="155" t="s">
        <v>704</v>
      </c>
      <c r="B69" s="155" t="s">
        <v>83</v>
      </c>
      <c r="C69" s="155" t="s">
        <v>84</v>
      </c>
      <c r="D69" s="155" t="s">
        <v>85</v>
      </c>
      <c r="E69" s="156">
        <v>185639998</v>
      </c>
      <c r="F69" s="156">
        <v>180879060</v>
      </c>
      <c r="G69" s="156">
        <v>179423513</v>
      </c>
      <c r="H69" s="156">
        <v>0</v>
      </c>
      <c r="I69" s="156">
        <v>0</v>
      </c>
      <c r="J69" s="156">
        <v>0</v>
      </c>
      <c r="K69" s="156">
        <v>0</v>
      </c>
      <c r="L69" s="157">
        <f t="shared" si="0"/>
        <v>0</v>
      </c>
      <c r="M69" s="156">
        <v>0</v>
      </c>
      <c r="N69" s="158">
        <f t="shared" si="1"/>
        <v>0</v>
      </c>
      <c r="O69" s="156">
        <v>180879060</v>
      </c>
      <c r="P69" s="158">
        <f t="shared" si="2"/>
        <v>1</v>
      </c>
      <c r="Q69" s="156">
        <v>179423513</v>
      </c>
    </row>
    <row r="70" spans="1:17" x14ac:dyDescent="0.25">
      <c r="A70" s="155" t="s">
        <v>704</v>
      </c>
      <c r="B70" s="155" t="s">
        <v>86</v>
      </c>
      <c r="C70" s="155" t="s">
        <v>87</v>
      </c>
      <c r="D70" s="155" t="s">
        <v>69</v>
      </c>
      <c r="E70" s="156">
        <v>170646400</v>
      </c>
      <c r="F70" s="156">
        <v>55646400</v>
      </c>
      <c r="G70" s="156">
        <v>55646400</v>
      </c>
      <c r="H70" s="156">
        <v>0</v>
      </c>
      <c r="I70" s="156">
        <v>0</v>
      </c>
      <c r="J70" s="156">
        <v>0</v>
      </c>
      <c r="K70" s="156">
        <v>40448779.990000002</v>
      </c>
      <c r="L70" s="157">
        <f t="shared" si="0"/>
        <v>0.72688943022369823</v>
      </c>
      <c r="M70" s="156">
        <v>40448779.990000002</v>
      </c>
      <c r="N70" s="158">
        <f t="shared" si="1"/>
        <v>0.72688943022369823</v>
      </c>
      <c r="O70" s="156">
        <v>15197620.01</v>
      </c>
      <c r="P70" s="158">
        <f t="shared" si="2"/>
        <v>0.27311056977630177</v>
      </c>
      <c r="Q70" s="156">
        <v>15197620.01</v>
      </c>
    </row>
    <row r="71" spans="1:17" hidden="1" x14ac:dyDescent="0.25">
      <c r="A71" s="155" t="s">
        <v>704</v>
      </c>
      <c r="B71" s="155" t="s">
        <v>88</v>
      </c>
      <c r="C71" s="155" t="s">
        <v>89</v>
      </c>
      <c r="D71" s="155" t="s">
        <v>69</v>
      </c>
      <c r="E71" s="156">
        <v>166773800</v>
      </c>
      <c r="F71" s="156">
        <v>164127760</v>
      </c>
      <c r="G71" s="156">
        <v>164127760</v>
      </c>
      <c r="H71" s="156">
        <v>0</v>
      </c>
      <c r="I71" s="156">
        <v>0</v>
      </c>
      <c r="J71" s="156">
        <v>0</v>
      </c>
      <c r="K71" s="156">
        <v>103644621.81999999</v>
      </c>
      <c r="L71" s="157">
        <f t="shared" si="0"/>
        <v>0.63148745721016353</v>
      </c>
      <c r="M71" s="156">
        <v>103644621.81999999</v>
      </c>
      <c r="N71" s="158">
        <f t="shared" si="1"/>
        <v>0.63148745721016353</v>
      </c>
      <c r="O71" s="156">
        <v>60483138.18</v>
      </c>
      <c r="P71" s="158">
        <f t="shared" si="2"/>
        <v>0.36851254278983642</v>
      </c>
      <c r="Q71" s="156">
        <v>60483138.18</v>
      </c>
    </row>
    <row r="72" spans="1:17" hidden="1" x14ac:dyDescent="0.25">
      <c r="A72" s="155" t="s">
        <v>704</v>
      </c>
      <c r="B72" s="155" t="s">
        <v>90</v>
      </c>
      <c r="C72" s="155" t="s">
        <v>91</v>
      </c>
      <c r="D72" s="155" t="s">
        <v>69</v>
      </c>
      <c r="E72" s="156">
        <v>217285640</v>
      </c>
      <c r="F72" s="156">
        <v>211713113</v>
      </c>
      <c r="G72" s="156">
        <v>211713113</v>
      </c>
      <c r="H72" s="156">
        <v>0</v>
      </c>
      <c r="I72" s="156">
        <v>81772932</v>
      </c>
      <c r="J72" s="156">
        <v>0</v>
      </c>
      <c r="K72" s="156">
        <v>129224501</v>
      </c>
      <c r="L72" s="157">
        <f t="shared" si="0"/>
        <v>0.61037551793024747</v>
      </c>
      <c r="M72" s="156">
        <v>129224501</v>
      </c>
      <c r="N72" s="158">
        <f t="shared" si="1"/>
        <v>0.61037551793024747</v>
      </c>
      <c r="O72" s="156">
        <v>715680</v>
      </c>
      <c r="P72" s="158">
        <f t="shared" si="2"/>
        <v>3.3804235829265803E-3</v>
      </c>
      <c r="Q72" s="156">
        <v>715680</v>
      </c>
    </row>
    <row r="73" spans="1:17" hidden="1" x14ac:dyDescent="0.25">
      <c r="A73" s="155" t="s">
        <v>704</v>
      </c>
      <c r="B73" s="155" t="s">
        <v>418</v>
      </c>
      <c r="C73" s="155" t="s">
        <v>697</v>
      </c>
      <c r="D73" s="155" t="s">
        <v>69</v>
      </c>
      <c r="E73" s="156">
        <v>206142800</v>
      </c>
      <c r="F73" s="156">
        <v>200856044</v>
      </c>
      <c r="G73" s="156">
        <v>200856044</v>
      </c>
      <c r="H73" s="156">
        <v>0</v>
      </c>
      <c r="I73" s="156">
        <v>77579444</v>
      </c>
      <c r="J73" s="156">
        <v>0</v>
      </c>
      <c r="K73" s="156">
        <v>122597622</v>
      </c>
      <c r="L73" s="157">
        <f t="shared" si="0"/>
        <v>0.61037556828511463</v>
      </c>
      <c r="M73" s="156">
        <v>122597622</v>
      </c>
      <c r="N73" s="158">
        <f t="shared" si="1"/>
        <v>0.61037556828511463</v>
      </c>
      <c r="O73" s="156">
        <v>678978</v>
      </c>
      <c r="P73" s="158">
        <f t="shared" si="2"/>
        <v>3.3804210541954118E-3</v>
      </c>
      <c r="Q73" s="156">
        <v>678978</v>
      </c>
    </row>
    <row r="74" spans="1:17" hidden="1" x14ac:dyDescent="0.25">
      <c r="A74" s="155" t="s">
        <v>704</v>
      </c>
      <c r="B74" s="155" t="s">
        <v>435</v>
      </c>
      <c r="C74" s="155" t="s">
        <v>95</v>
      </c>
      <c r="D74" s="155" t="s">
        <v>69</v>
      </c>
      <c r="E74" s="156">
        <v>11142840</v>
      </c>
      <c r="F74" s="156">
        <v>10857069</v>
      </c>
      <c r="G74" s="156">
        <v>10857069</v>
      </c>
      <c r="H74" s="156">
        <v>0</v>
      </c>
      <c r="I74" s="156">
        <v>4193488</v>
      </c>
      <c r="J74" s="156">
        <v>0</v>
      </c>
      <c r="K74" s="156">
        <v>6626879</v>
      </c>
      <c r="L74" s="157">
        <f t="shared" si="0"/>
        <v>0.61037458636396247</v>
      </c>
      <c r="M74" s="156">
        <v>6626879</v>
      </c>
      <c r="N74" s="158">
        <f t="shared" si="1"/>
        <v>0.61037458636396247</v>
      </c>
      <c r="O74" s="156">
        <v>36702</v>
      </c>
      <c r="P74" s="158">
        <f t="shared" si="2"/>
        <v>3.3804703645155059E-3</v>
      </c>
      <c r="Q74" s="156">
        <v>36702</v>
      </c>
    </row>
    <row r="75" spans="1:17" hidden="1" x14ac:dyDescent="0.25">
      <c r="A75" s="155" t="s">
        <v>704</v>
      </c>
      <c r="B75" s="155" t="s">
        <v>96</v>
      </c>
      <c r="C75" s="155" t="s">
        <v>97</v>
      </c>
      <c r="D75" s="155" t="s">
        <v>69</v>
      </c>
      <c r="E75" s="156">
        <v>217285540</v>
      </c>
      <c r="F75" s="156">
        <v>211713013</v>
      </c>
      <c r="G75" s="156">
        <v>211713013</v>
      </c>
      <c r="H75" s="156">
        <v>0</v>
      </c>
      <c r="I75" s="156">
        <v>82148372</v>
      </c>
      <c r="J75" s="156">
        <v>0</v>
      </c>
      <c r="K75" s="156">
        <v>128848955</v>
      </c>
      <c r="L75" s="157">
        <f t="shared" si="0"/>
        <v>0.60860196156199431</v>
      </c>
      <c r="M75" s="156">
        <v>128848955</v>
      </c>
      <c r="N75" s="158">
        <f t="shared" si="1"/>
        <v>0.60860196156199431</v>
      </c>
      <c r="O75" s="156">
        <v>715686</v>
      </c>
      <c r="P75" s="158">
        <f t="shared" si="2"/>
        <v>3.3804535198788182E-3</v>
      </c>
      <c r="Q75" s="156">
        <v>715686</v>
      </c>
    </row>
    <row r="76" spans="1:17" hidden="1" x14ac:dyDescent="0.25">
      <c r="A76" s="155" t="s">
        <v>704</v>
      </c>
      <c r="B76" s="155" t="s">
        <v>453</v>
      </c>
      <c r="C76" s="155" t="s">
        <v>698</v>
      </c>
      <c r="D76" s="155" t="s">
        <v>69</v>
      </c>
      <c r="E76" s="156">
        <v>116999976</v>
      </c>
      <c r="F76" s="156">
        <v>113999385</v>
      </c>
      <c r="G76" s="156">
        <v>113999385</v>
      </c>
      <c r="H76" s="156">
        <v>0</v>
      </c>
      <c r="I76" s="156">
        <v>44407160</v>
      </c>
      <c r="J76" s="156">
        <v>0</v>
      </c>
      <c r="K76" s="156">
        <v>69206857</v>
      </c>
      <c r="L76" s="157">
        <f t="shared" si="0"/>
        <v>0.6070809680245205</v>
      </c>
      <c r="M76" s="156">
        <v>69206857</v>
      </c>
      <c r="N76" s="158">
        <f t="shared" si="1"/>
        <v>0.6070809680245205</v>
      </c>
      <c r="O76" s="156">
        <v>385368</v>
      </c>
      <c r="P76" s="158">
        <f t="shared" si="2"/>
        <v>3.380439289211955E-3</v>
      </c>
      <c r="Q76" s="156">
        <v>385368</v>
      </c>
    </row>
    <row r="77" spans="1:17" hidden="1" x14ac:dyDescent="0.25">
      <c r="A77" s="155" t="s">
        <v>704</v>
      </c>
      <c r="B77" s="155" t="s">
        <v>470</v>
      </c>
      <c r="C77" s="155" t="s">
        <v>699</v>
      </c>
      <c r="D77" s="155" t="s">
        <v>69</v>
      </c>
      <c r="E77" s="156">
        <v>33428521</v>
      </c>
      <c r="F77" s="156">
        <v>32571209</v>
      </c>
      <c r="G77" s="156">
        <v>32571209</v>
      </c>
      <c r="H77" s="156">
        <v>0</v>
      </c>
      <c r="I77" s="156">
        <v>12580399</v>
      </c>
      <c r="J77" s="156">
        <v>0</v>
      </c>
      <c r="K77" s="156">
        <v>19880704</v>
      </c>
      <c r="L77" s="157">
        <f t="shared" si="0"/>
        <v>0.61037660591597931</v>
      </c>
      <c r="M77" s="156">
        <v>19880704</v>
      </c>
      <c r="N77" s="158">
        <f t="shared" si="1"/>
        <v>0.61037660591597931</v>
      </c>
      <c r="O77" s="156">
        <v>110106</v>
      </c>
      <c r="P77" s="158">
        <f t="shared" si="2"/>
        <v>3.3804701569413649E-3</v>
      </c>
      <c r="Q77" s="156">
        <v>110106</v>
      </c>
    </row>
    <row r="78" spans="1:17" hidden="1" x14ac:dyDescent="0.25">
      <c r="A78" s="155" t="s">
        <v>704</v>
      </c>
      <c r="B78" s="155" t="s">
        <v>487</v>
      </c>
      <c r="C78" s="155" t="s">
        <v>700</v>
      </c>
      <c r="D78" s="155" t="s">
        <v>69</v>
      </c>
      <c r="E78" s="156">
        <v>66857043</v>
      </c>
      <c r="F78" s="156">
        <v>65142419</v>
      </c>
      <c r="G78" s="156">
        <v>65142419</v>
      </c>
      <c r="H78" s="156">
        <v>0</v>
      </c>
      <c r="I78" s="156">
        <v>25160813</v>
      </c>
      <c r="J78" s="156">
        <v>0</v>
      </c>
      <c r="K78" s="156">
        <v>39761394</v>
      </c>
      <c r="L78" s="157">
        <f t="shared" si="0"/>
        <v>0.61037638163237384</v>
      </c>
      <c r="M78" s="156">
        <v>39761394</v>
      </c>
      <c r="N78" s="158">
        <f t="shared" si="1"/>
        <v>0.61037638163237384</v>
      </c>
      <c r="O78" s="156">
        <v>220212</v>
      </c>
      <c r="P78" s="158">
        <f t="shared" si="2"/>
        <v>3.3804701050478337E-3</v>
      </c>
      <c r="Q78" s="156">
        <v>220212</v>
      </c>
    </row>
    <row r="79" spans="1:17" hidden="1" x14ac:dyDescent="0.25">
      <c r="A79" s="155" t="s">
        <v>704</v>
      </c>
      <c r="B79" s="155" t="s">
        <v>104</v>
      </c>
      <c r="C79" s="155" t="s">
        <v>105</v>
      </c>
      <c r="D79" s="155" t="s">
        <v>69</v>
      </c>
      <c r="E79" s="156">
        <v>261541565</v>
      </c>
      <c r="F79" s="156">
        <v>249886315</v>
      </c>
      <c r="G79" s="156">
        <v>249768565</v>
      </c>
      <c r="H79" s="156">
        <v>0</v>
      </c>
      <c r="I79" s="156">
        <v>135588591.63</v>
      </c>
      <c r="J79" s="156">
        <v>10534688.810000001</v>
      </c>
      <c r="K79" s="156">
        <v>94881408.819999993</v>
      </c>
      <c r="L79" s="157">
        <f t="shared" si="0"/>
        <v>0.37969829928461668</v>
      </c>
      <c r="M79" s="156">
        <v>92302055.819999993</v>
      </c>
      <c r="N79" s="158">
        <f t="shared" si="1"/>
        <v>0.36937619341019134</v>
      </c>
      <c r="O79" s="156">
        <v>8881625.7400000002</v>
      </c>
      <c r="P79" s="158">
        <f t="shared" si="2"/>
        <v>3.5542665631769395E-2</v>
      </c>
      <c r="Q79" s="156">
        <v>8763875.7400000002</v>
      </c>
    </row>
    <row r="80" spans="1:17" hidden="1" x14ac:dyDescent="0.25">
      <c r="A80" s="155" t="s">
        <v>704</v>
      </c>
      <c r="B80" s="155" t="s">
        <v>106</v>
      </c>
      <c r="C80" s="155" t="s">
        <v>107</v>
      </c>
      <c r="D80" s="155" t="s">
        <v>69</v>
      </c>
      <c r="E80" s="156">
        <v>90013380</v>
      </c>
      <c r="F80" s="156">
        <v>90013380</v>
      </c>
      <c r="G80" s="156">
        <v>90013380</v>
      </c>
      <c r="H80" s="156">
        <v>0</v>
      </c>
      <c r="I80" s="156">
        <v>48904285.93</v>
      </c>
      <c r="J80" s="156">
        <v>10100733.98</v>
      </c>
      <c r="K80" s="156">
        <v>25233498.539999999</v>
      </c>
      <c r="L80" s="157">
        <f t="shared" si="0"/>
        <v>0.2803305301945111</v>
      </c>
      <c r="M80" s="156">
        <v>25233498.539999999</v>
      </c>
      <c r="N80" s="158">
        <f t="shared" si="1"/>
        <v>0.2803305301945111</v>
      </c>
      <c r="O80" s="156">
        <v>5774861.5499999998</v>
      </c>
      <c r="P80" s="158">
        <f t="shared" si="2"/>
        <v>6.4155590535540374E-2</v>
      </c>
      <c r="Q80" s="156">
        <v>5774861.5499999998</v>
      </c>
    </row>
    <row r="81" spans="1:17" hidden="1" x14ac:dyDescent="0.25">
      <c r="A81" s="155" t="s">
        <v>704</v>
      </c>
      <c r="B81" s="155" t="s">
        <v>108</v>
      </c>
      <c r="C81" s="155" t="s">
        <v>109</v>
      </c>
      <c r="D81" s="155" t="s">
        <v>69</v>
      </c>
      <c r="E81" s="156">
        <v>0</v>
      </c>
      <c r="F81" s="156">
        <v>90013379.840000004</v>
      </c>
      <c r="G81" s="156">
        <v>90013379.840000004</v>
      </c>
      <c r="H81" s="156">
        <v>0</v>
      </c>
      <c r="I81" s="156">
        <v>48904285.93</v>
      </c>
      <c r="J81" s="156">
        <v>10100733.98</v>
      </c>
      <c r="K81" s="156">
        <v>25233498.539999999</v>
      </c>
      <c r="L81" s="157">
        <f t="shared" si="0"/>
        <v>0.28033053069280239</v>
      </c>
      <c r="M81" s="156">
        <v>25233498.539999999</v>
      </c>
      <c r="N81" s="158">
        <f t="shared" si="1"/>
        <v>0.28033053069280239</v>
      </c>
      <c r="O81" s="156">
        <v>5774861.3899999997</v>
      </c>
      <c r="P81" s="158">
        <f t="shared" si="2"/>
        <v>6.4155588872064281E-2</v>
      </c>
      <c r="Q81" s="156">
        <v>5774861.3899999997</v>
      </c>
    </row>
    <row r="82" spans="1:17" x14ac:dyDescent="0.25">
      <c r="A82" s="155" t="s">
        <v>704</v>
      </c>
      <c r="B82" s="155" t="s">
        <v>304</v>
      </c>
      <c r="C82" s="155" t="s">
        <v>305</v>
      </c>
      <c r="D82" s="155" t="s">
        <v>69</v>
      </c>
      <c r="E82" s="156">
        <v>90013380</v>
      </c>
      <c r="F82" s="156">
        <v>0.16</v>
      </c>
      <c r="G82" s="156">
        <v>0.16</v>
      </c>
      <c r="H82" s="156">
        <v>0</v>
      </c>
      <c r="I82" s="156">
        <v>0</v>
      </c>
      <c r="J82" s="156">
        <v>0</v>
      </c>
      <c r="K82" s="156">
        <v>0</v>
      </c>
      <c r="L82" s="157">
        <f t="shared" si="0"/>
        <v>0</v>
      </c>
      <c r="M82" s="156">
        <v>0</v>
      </c>
      <c r="N82" s="158">
        <f t="shared" si="1"/>
        <v>0</v>
      </c>
      <c r="O82" s="156">
        <v>0.16</v>
      </c>
      <c r="P82" s="158">
        <f t="shared" si="2"/>
        <v>1</v>
      </c>
      <c r="Q82" s="156">
        <v>0.16</v>
      </c>
    </row>
    <row r="83" spans="1:17" hidden="1" x14ac:dyDescent="0.25">
      <c r="A83" s="155" t="s">
        <v>704</v>
      </c>
      <c r="B83" s="155" t="s">
        <v>112</v>
      </c>
      <c r="C83" s="155" t="s">
        <v>113</v>
      </c>
      <c r="D83" s="155" t="s">
        <v>69</v>
      </c>
      <c r="E83" s="156">
        <v>105953785</v>
      </c>
      <c r="F83" s="156">
        <v>102953785</v>
      </c>
      <c r="G83" s="156">
        <v>102953785</v>
      </c>
      <c r="H83" s="156">
        <v>0</v>
      </c>
      <c r="I83" s="156">
        <v>66693456.189999998</v>
      </c>
      <c r="J83" s="156">
        <v>0</v>
      </c>
      <c r="K83" s="156">
        <v>34805922.369999997</v>
      </c>
      <c r="L83" s="157">
        <f t="shared" si="0"/>
        <v>0.33807326627185197</v>
      </c>
      <c r="M83" s="156">
        <v>34410079.369999997</v>
      </c>
      <c r="N83" s="158">
        <f t="shared" si="1"/>
        <v>0.33422840520142116</v>
      </c>
      <c r="O83" s="156">
        <v>1454406.44</v>
      </c>
      <c r="P83" s="158">
        <f t="shared" si="2"/>
        <v>1.4126789413327543E-2</v>
      </c>
      <c r="Q83" s="156">
        <v>1454406.44</v>
      </c>
    </row>
    <row r="84" spans="1:17" hidden="1" x14ac:dyDescent="0.25">
      <c r="A84" s="155" t="s">
        <v>704</v>
      </c>
      <c r="B84" s="155" t="s">
        <v>114</v>
      </c>
      <c r="C84" s="155" t="s">
        <v>115</v>
      </c>
      <c r="D84" s="155" t="s">
        <v>69</v>
      </c>
      <c r="E84" s="156">
        <v>8169861</v>
      </c>
      <c r="F84" s="156">
        <v>6169861</v>
      </c>
      <c r="G84" s="156">
        <v>6169861</v>
      </c>
      <c r="H84" s="156">
        <v>0</v>
      </c>
      <c r="I84" s="156">
        <v>2201774</v>
      </c>
      <c r="J84" s="156">
        <v>0</v>
      </c>
      <c r="K84" s="156">
        <v>2813681</v>
      </c>
      <c r="L84" s="157">
        <f t="shared" si="0"/>
        <v>0.45603636775609696</v>
      </c>
      <c r="M84" s="156">
        <v>2417838</v>
      </c>
      <c r="N84" s="158">
        <f t="shared" si="1"/>
        <v>0.39187884459633693</v>
      </c>
      <c r="O84" s="156">
        <v>1154406</v>
      </c>
      <c r="P84" s="158">
        <f t="shared" si="2"/>
        <v>0.18710405307348091</v>
      </c>
      <c r="Q84" s="156">
        <v>1154406</v>
      </c>
    </row>
    <row r="85" spans="1:17" hidden="1" x14ac:dyDescent="0.25">
      <c r="A85" s="155" t="s">
        <v>704</v>
      </c>
      <c r="B85" s="155" t="s">
        <v>116</v>
      </c>
      <c r="C85" s="155" t="s">
        <v>117</v>
      </c>
      <c r="D85" s="155" t="s">
        <v>69</v>
      </c>
      <c r="E85" s="156">
        <v>49884000</v>
      </c>
      <c r="F85" s="156">
        <v>49884000</v>
      </c>
      <c r="G85" s="156">
        <v>49884000</v>
      </c>
      <c r="H85" s="156">
        <v>0</v>
      </c>
      <c r="I85" s="156">
        <v>23437797.699999999</v>
      </c>
      <c r="J85" s="156">
        <v>0</v>
      </c>
      <c r="K85" s="156">
        <v>26446202.300000001</v>
      </c>
      <c r="L85" s="157">
        <f t="shared" si="0"/>
        <v>0.5301540032876273</v>
      </c>
      <c r="M85" s="156">
        <v>26446202.300000001</v>
      </c>
      <c r="N85" s="158">
        <f t="shared" si="1"/>
        <v>0.5301540032876273</v>
      </c>
      <c r="O85" s="156">
        <v>0</v>
      </c>
      <c r="P85" s="158">
        <f t="shared" si="2"/>
        <v>0</v>
      </c>
      <c r="Q85" s="156">
        <v>0</v>
      </c>
    </row>
    <row r="86" spans="1:17" hidden="1" x14ac:dyDescent="0.25">
      <c r="A86" s="155" t="s">
        <v>704</v>
      </c>
      <c r="B86" s="155" t="s">
        <v>118</v>
      </c>
      <c r="C86" s="155" t="s">
        <v>119</v>
      </c>
      <c r="D86" s="155" t="s">
        <v>69</v>
      </c>
      <c r="E86" s="156">
        <v>19924</v>
      </c>
      <c r="F86" s="156">
        <v>19924</v>
      </c>
      <c r="G86" s="156">
        <v>19924</v>
      </c>
      <c r="H86" s="156">
        <v>0</v>
      </c>
      <c r="I86" s="156">
        <v>999</v>
      </c>
      <c r="J86" s="156">
        <v>0</v>
      </c>
      <c r="K86" s="156">
        <v>18925</v>
      </c>
      <c r="L86" s="157">
        <f t="shared" si="0"/>
        <v>0.9498594659706886</v>
      </c>
      <c r="M86" s="156">
        <v>18925</v>
      </c>
      <c r="N86" s="158">
        <f t="shared" si="1"/>
        <v>0.9498594659706886</v>
      </c>
      <c r="O86" s="156">
        <v>0</v>
      </c>
      <c r="P86" s="158">
        <f t="shared" si="2"/>
        <v>0</v>
      </c>
      <c r="Q86" s="156">
        <v>0</v>
      </c>
    </row>
    <row r="87" spans="1:17" hidden="1" x14ac:dyDescent="0.25">
      <c r="A87" s="155" t="s">
        <v>704</v>
      </c>
      <c r="B87" s="155" t="s">
        <v>120</v>
      </c>
      <c r="C87" s="155" t="s">
        <v>121</v>
      </c>
      <c r="D87" s="155" t="s">
        <v>69</v>
      </c>
      <c r="E87" s="156">
        <v>47460000</v>
      </c>
      <c r="F87" s="156">
        <v>46460000</v>
      </c>
      <c r="G87" s="156">
        <v>46460000</v>
      </c>
      <c r="H87" s="156">
        <v>0</v>
      </c>
      <c r="I87" s="156">
        <v>41038769.32</v>
      </c>
      <c r="J87" s="156">
        <v>0</v>
      </c>
      <c r="K87" s="156">
        <v>5421230.2400000002</v>
      </c>
      <c r="L87" s="157">
        <f t="shared" si="0"/>
        <v>0.11668597158846319</v>
      </c>
      <c r="M87" s="156">
        <v>5421230.2400000002</v>
      </c>
      <c r="N87" s="158">
        <f t="shared" si="1"/>
        <v>0.11668597158846319</v>
      </c>
      <c r="O87" s="156">
        <v>0.44</v>
      </c>
      <c r="P87" s="158">
        <f t="shared" si="2"/>
        <v>9.4705122686181664E-9</v>
      </c>
      <c r="Q87" s="156">
        <v>0.44</v>
      </c>
    </row>
    <row r="88" spans="1:17" x14ac:dyDescent="0.25">
      <c r="A88" s="155" t="s">
        <v>704</v>
      </c>
      <c r="B88" s="155" t="s">
        <v>122</v>
      </c>
      <c r="C88" s="155" t="s">
        <v>123</v>
      </c>
      <c r="D88" s="155" t="s">
        <v>69</v>
      </c>
      <c r="E88" s="156">
        <v>420000</v>
      </c>
      <c r="F88" s="156">
        <v>420000</v>
      </c>
      <c r="G88" s="156">
        <v>420000</v>
      </c>
      <c r="H88" s="156">
        <v>0</v>
      </c>
      <c r="I88" s="156">
        <v>14116.17</v>
      </c>
      <c r="J88" s="156">
        <v>0</v>
      </c>
      <c r="K88" s="156">
        <v>105883.83</v>
      </c>
      <c r="L88" s="157">
        <f t="shared" si="0"/>
        <v>0.25210435714285717</v>
      </c>
      <c r="M88" s="156">
        <v>105883.83</v>
      </c>
      <c r="N88" s="158">
        <f t="shared" si="1"/>
        <v>0.25210435714285717</v>
      </c>
      <c r="O88" s="156">
        <v>300000</v>
      </c>
      <c r="P88" s="158">
        <f t="shared" si="2"/>
        <v>0.7142857142857143</v>
      </c>
      <c r="Q88" s="156">
        <v>300000</v>
      </c>
    </row>
    <row r="89" spans="1:17" hidden="1" x14ac:dyDescent="0.25">
      <c r="A89" s="155" t="s">
        <v>704</v>
      </c>
      <c r="B89" s="155" t="s">
        <v>124</v>
      </c>
      <c r="C89" s="155" t="s">
        <v>125</v>
      </c>
      <c r="D89" s="155" t="s">
        <v>69</v>
      </c>
      <c r="E89" s="156">
        <v>8000000</v>
      </c>
      <c r="F89" s="156">
        <v>10750000</v>
      </c>
      <c r="G89" s="156">
        <v>10750000</v>
      </c>
      <c r="H89" s="156">
        <v>0</v>
      </c>
      <c r="I89" s="156">
        <v>3756013.2</v>
      </c>
      <c r="J89" s="156">
        <v>433954.83</v>
      </c>
      <c r="K89" s="156">
        <v>6444840</v>
      </c>
      <c r="L89" s="157">
        <f t="shared" si="0"/>
        <v>0.59952000000000005</v>
      </c>
      <c r="M89" s="156">
        <v>6388350</v>
      </c>
      <c r="N89" s="158">
        <f t="shared" si="1"/>
        <v>0.59426511627906975</v>
      </c>
      <c r="O89" s="156">
        <v>115191.97</v>
      </c>
      <c r="P89" s="158">
        <f t="shared" si="2"/>
        <v>1.0715532093023256E-2</v>
      </c>
      <c r="Q89" s="156">
        <v>115191.97</v>
      </c>
    </row>
    <row r="90" spans="1:17" hidden="1" x14ac:dyDescent="0.25">
      <c r="A90" s="155" t="s">
        <v>704</v>
      </c>
      <c r="B90" s="155" t="s">
        <v>126</v>
      </c>
      <c r="C90" s="155" t="s">
        <v>127</v>
      </c>
      <c r="D90" s="155" t="s">
        <v>69</v>
      </c>
      <c r="E90" s="156">
        <v>7000000</v>
      </c>
      <c r="F90" s="156">
        <v>10450000</v>
      </c>
      <c r="G90" s="156">
        <v>10450000</v>
      </c>
      <c r="H90" s="156">
        <v>0</v>
      </c>
      <c r="I90" s="156">
        <v>3556013.2</v>
      </c>
      <c r="J90" s="156">
        <v>433954.83</v>
      </c>
      <c r="K90" s="156">
        <v>6444840</v>
      </c>
      <c r="L90" s="157">
        <f t="shared" si="0"/>
        <v>0.61673110047846891</v>
      </c>
      <c r="M90" s="156">
        <v>6388350</v>
      </c>
      <c r="N90" s="158">
        <f t="shared" si="1"/>
        <v>0.61132535885167461</v>
      </c>
      <c r="O90" s="156">
        <v>15191.97</v>
      </c>
      <c r="P90" s="158">
        <f t="shared" si="2"/>
        <v>1.4537770334928229E-3</v>
      </c>
      <c r="Q90" s="156">
        <v>15191.97</v>
      </c>
    </row>
    <row r="91" spans="1:17" hidden="1" x14ac:dyDescent="0.25">
      <c r="A91" s="155" t="s">
        <v>704</v>
      </c>
      <c r="B91" s="155" t="s">
        <v>132</v>
      </c>
      <c r="C91" s="155" t="s">
        <v>133</v>
      </c>
      <c r="D91" s="155" t="s">
        <v>69</v>
      </c>
      <c r="E91" s="156">
        <v>1000000</v>
      </c>
      <c r="F91" s="156">
        <v>300000</v>
      </c>
      <c r="G91" s="156">
        <v>300000</v>
      </c>
      <c r="H91" s="156">
        <v>0</v>
      </c>
      <c r="I91" s="156">
        <v>200000</v>
      </c>
      <c r="J91" s="156">
        <v>0</v>
      </c>
      <c r="K91" s="156">
        <v>0</v>
      </c>
      <c r="L91" s="157">
        <f t="shared" si="0"/>
        <v>0</v>
      </c>
      <c r="M91" s="156">
        <v>0</v>
      </c>
      <c r="N91" s="158">
        <f t="shared" si="1"/>
        <v>0</v>
      </c>
      <c r="O91" s="156">
        <v>100000</v>
      </c>
      <c r="P91" s="158">
        <f t="shared" si="2"/>
        <v>0.33333333333333331</v>
      </c>
      <c r="Q91" s="156">
        <v>100000</v>
      </c>
    </row>
    <row r="92" spans="1:17" hidden="1" x14ac:dyDescent="0.25">
      <c r="A92" s="155" t="s">
        <v>704</v>
      </c>
      <c r="B92" s="155" t="s">
        <v>134</v>
      </c>
      <c r="C92" s="155" t="s">
        <v>135</v>
      </c>
      <c r="D92" s="155" t="s">
        <v>69</v>
      </c>
      <c r="E92" s="156">
        <v>3480000</v>
      </c>
      <c r="F92" s="156">
        <v>1480000</v>
      </c>
      <c r="G92" s="156">
        <v>1480000</v>
      </c>
      <c r="H92" s="156">
        <v>0</v>
      </c>
      <c r="I92" s="156">
        <v>794558.29</v>
      </c>
      <c r="J92" s="156">
        <v>0</v>
      </c>
      <c r="K92" s="156">
        <v>685122.39</v>
      </c>
      <c r="L92" s="157">
        <f t="shared" si="0"/>
        <v>0.46292053378378378</v>
      </c>
      <c r="M92" s="156">
        <v>685122.39</v>
      </c>
      <c r="N92" s="158">
        <f t="shared" si="1"/>
        <v>0.46292053378378378</v>
      </c>
      <c r="O92" s="156">
        <v>319.32</v>
      </c>
      <c r="P92" s="158">
        <f t="shared" si="2"/>
        <v>2.1575675675675676E-4</v>
      </c>
      <c r="Q92" s="156">
        <v>319.32</v>
      </c>
    </row>
    <row r="93" spans="1:17" hidden="1" x14ac:dyDescent="0.25">
      <c r="A93" s="155" t="s">
        <v>704</v>
      </c>
      <c r="B93" s="155" t="s">
        <v>136</v>
      </c>
      <c r="C93" s="155" t="s">
        <v>137</v>
      </c>
      <c r="D93" s="155" t="s">
        <v>69</v>
      </c>
      <c r="E93" s="156">
        <v>2000000</v>
      </c>
      <c r="F93" s="156">
        <v>0</v>
      </c>
      <c r="G93" s="156">
        <v>0</v>
      </c>
      <c r="H93" s="156">
        <v>0</v>
      </c>
      <c r="I93" s="156">
        <v>0</v>
      </c>
      <c r="J93" s="156">
        <v>0</v>
      </c>
      <c r="K93" s="156">
        <v>0</v>
      </c>
      <c r="L93" s="157" t="e">
        <f t="shared" si="0"/>
        <v>#DIV/0!</v>
      </c>
      <c r="M93" s="156">
        <v>0</v>
      </c>
      <c r="N93" s="158" t="e">
        <f t="shared" si="1"/>
        <v>#DIV/0!</v>
      </c>
      <c r="O93" s="156">
        <v>0</v>
      </c>
      <c r="P93" s="158" t="e">
        <f t="shared" si="2"/>
        <v>#DIV/0!</v>
      </c>
      <c r="Q93" s="156">
        <v>0</v>
      </c>
    </row>
    <row r="94" spans="1:17" hidden="1" x14ac:dyDescent="0.25">
      <c r="A94" s="155" t="s">
        <v>704</v>
      </c>
      <c r="B94" s="155" t="s">
        <v>138</v>
      </c>
      <c r="C94" s="155" t="s">
        <v>139</v>
      </c>
      <c r="D94" s="155" t="s">
        <v>69</v>
      </c>
      <c r="E94" s="156">
        <v>1480000</v>
      </c>
      <c r="F94" s="156">
        <v>1480000</v>
      </c>
      <c r="G94" s="156">
        <v>1480000</v>
      </c>
      <c r="H94" s="156">
        <v>0</v>
      </c>
      <c r="I94" s="156">
        <v>794558.29</v>
      </c>
      <c r="J94" s="156">
        <v>0</v>
      </c>
      <c r="K94" s="156">
        <v>685122.39</v>
      </c>
      <c r="L94" s="157">
        <f t="shared" si="0"/>
        <v>0.46292053378378378</v>
      </c>
      <c r="M94" s="156">
        <v>685122.39</v>
      </c>
      <c r="N94" s="158">
        <f t="shared" si="1"/>
        <v>0.46292053378378378</v>
      </c>
      <c r="O94" s="156">
        <v>319.32</v>
      </c>
      <c r="P94" s="158">
        <f t="shared" si="2"/>
        <v>2.1575675675675676E-4</v>
      </c>
      <c r="Q94" s="156">
        <v>319.32</v>
      </c>
    </row>
    <row r="95" spans="1:17" hidden="1" x14ac:dyDescent="0.25">
      <c r="A95" s="155" t="s">
        <v>704</v>
      </c>
      <c r="B95" s="155" t="s">
        <v>140</v>
      </c>
      <c r="C95" s="155" t="s">
        <v>141</v>
      </c>
      <c r="D95" s="155" t="s">
        <v>69</v>
      </c>
      <c r="E95" s="156">
        <v>1500000</v>
      </c>
      <c r="F95" s="156">
        <v>791650</v>
      </c>
      <c r="G95" s="156">
        <v>673900</v>
      </c>
      <c r="H95" s="156">
        <v>0</v>
      </c>
      <c r="I95" s="156">
        <v>382000</v>
      </c>
      <c r="J95" s="156">
        <v>0</v>
      </c>
      <c r="K95" s="156">
        <v>201300</v>
      </c>
      <c r="L95" s="157">
        <f t="shared" si="0"/>
        <v>0.25427903745342006</v>
      </c>
      <c r="M95" s="156">
        <v>201300</v>
      </c>
      <c r="N95" s="158">
        <f t="shared" si="1"/>
        <v>0.25427903745342006</v>
      </c>
      <c r="O95" s="156">
        <v>208350</v>
      </c>
      <c r="P95" s="158">
        <f t="shared" si="2"/>
        <v>0.26318448809448619</v>
      </c>
      <c r="Q95" s="156">
        <v>90600</v>
      </c>
    </row>
    <row r="96" spans="1:17" hidden="1" x14ac:dyDescent="0.25">
      <c r="A96" s="155" t="s">
        <v>704</v>
      </c>
      <c r="B96" s="155" t="s">
        <v>144</v>
      </c>
      <c r="C96" s="155" t="s">
        <v>145</v>
      </c>
      <c r="D96" s="155" t="s">
        <v>69</v>
      </c>
      <c r="E96" s="156">
        <v>1500000</v>
      </c>
      <c r="F96" s="156">
        <v>791650</v>
      </c>
      <c r="G96" s="156">
        <v>673900</v>
      </c>
      <c r="H96" s="156">
        <v>0</v>
      </c>
      <c r="I96" s="156">
        <v>382000</v>
      </c>
      <c r="J96" s="156">
        <v>0</v>
      </c>
      <c r="K96" s="156">
        <v>201300</v>
      </c>
      <c r="L96" s="157">
        <f t="shared" si="0"/>
        <v>0.25427903745342006</v>
      </c>
      <c r="M96" s="156">
        <v>201300</v>
      </c>
      <c r="N96" s="158">
        <f t="shared" si="1"/>
        <v>0.25427903745342006</v>
      </c>
      <c r="O96" s="156">
        <v>208350</v>
      </c>
      <c r="P96" s="158">
        <f t="shared" si="2"/>
        <v>0.26318448809448619</v>
      </c>
      <c r="Q96" s="156">
        <v>90600</v>
      </c>
    </row>
    <row r="97" spans="1:17" hidden="1" x14ac:dyDescent="0.25">
      <c r="A97" s="155" t="s">
        <v>704</v>
      </c>
      <c r="B97" s="155" t="s">
        <v>150</v>
      </c>
      <c r="C97" s="155" t="s">
        <v>151</v>
      </c>
      <c r="D97" s="155" t="s">
        <v>69</v>
      </c>
      <c r="E97" s="156">
        <v>29000000</v>
      </c>
      <c r="F97" s="156">
        <v>24000000</v>
      </c>
      <c r="G97" s="156">
        <v>24000000</v>
      </c>
      <c r="H97" s="156">
        <v>0</v>
      </c>
      <c r="I97" s="156">
        <v>1832581</v>
      </c>
      <c r="J97" s="156">
        <v>0</v>
      </c>
      <c r="K97" s="156">
        <v>21779591</v>
      </c>
      <c r="L97" s="157">
        <f t="shared" si="0"/>
        <v>0.90748295833333337</v>
      </c>
      <c r="M97" s="156">
        <v>19652571</v>
      </c>
      <c r="N97" s="158">
        <f t="shared" si="1"/>
        <v>0.81885712499999996</v>
      </c>
      <c r="O97" s="156">
        <v>387828</v>
      </c>
      <c r="P97" s="158">
        <f t="shared" si="2"/>
        <v>1.61595E-2</v>
      </c>
      <c r="Q97" s="156">
        <v>387828</v>
      </c>
    </row>
    <row r="98" spans="1:17" hidden="1" x14ac:dyDescent="0.25">
      <c r="A98" s="155" t="s">
        <v>704</v>
      </c>
      <c r="B98" s="155" t="s">
        <v>152</v>
      </c>
      <c r="C98" s="155" t="s">
        <v>153</v>
      </c>
      <c r="D98" s="155" t="s">
        <v>69</v>
      </c>
      <c r="E98" s="156">
        <v>29000000</v>
      </c>
      <c r="F98" s="156">
        <v>24000000</v>
      </c>
      <c r="G98" s="156">
        <v>24000000</v>
      </c>
      <c r="H98" s="156">
        <v>0</v>
      </c>
      <c r="I98" s="156">
        <v>1832581</v>
      </c>
      <c r="J98" s="156">
        <v>0</v>
      </c>
      <c r="K98" s="156">
        <v>21779591</v>
      </c>
      <c r="L98" s="157">
        <f t="shared" si="0"/>
        <v>0.90748295833333337</v>
      </c>
      <c r="M98" s="156">
        <v>19652571</v>
      </c>
      <c r="N98" s="158">
        <f t="shared" si="1"/>
        <v>0.81885712499999996</v>
      </c>
      <c r="O98" s="156">
        <v>387828</v>
      </c>
      <c r="P98" s="158">
        <f t="shared" si="2"/>
        <v>1.61595E-2</v>
      </c>
      <c r="Q98" s="156">
        <v>387828</v>
      </c>
    </row>
    <row r="99" spans="1:17" hidden="1" x14ac:dyDescent="0.25">
      <c r="A99" s="155" t="s">
        <v>704</v>
      </c>
      <c r="B99" s="155" t="s">
        <v>154</v>
      </c>
      <c r="C99" s="155" t="s">
        <v>155</v>
      </c>
      <c r="D99" s="155" t="s">
        <v>69</v>
      </c>
      <c r="E99" s="156">
        <v>200000</v>
      </c>
      <c r="F99" s="156">
        <v>0</v>
      </c>
      <c r="G99" s="156">
        <v>0</v>
      </c>
      <c r="H99" s="156">
        <v>0</v>
      </c>
      <c r="I99" s="156">
        <v>0</v>
      </c>
      <c r="J99" s="156">
        <v>0</v>
      </c>
      <c r="K99" s="156">
        <v>0</v>
      </c>
      <c r="L99" s="157" t="e">
        <f t="shared" si="0"/>
        <v>#DIV/0!</v>
      </c>
      <c r="M99" s="156">
        <v>0</v>
      </c>
      <c r="N99" s="158" t="e">
        <f t="shared" si="1"/>
        <v>#DIV/0!</v>
      </c>
      <c r="O99" s="156">
        <v>0</v>
      </c>
      <c r="P99" s="158" t="e">
        <f t="shared" si="2"/>
        <v>#DIV/0!</v>
      </c>
      <c r="Q99" s="156">
        <v>0</v>
      </c>
    </row>
    <row r="100" spans="1:17" hidden="1" x14ac:dyDescent="0.25">
      <c r="A100" s="155" t="s">
        <v>704</v>
      </c>
      <c r="B100" s="155" t="s">
        <v>160</v>
      </c>
      <c r="C100" s="155" t="s">
        <v>161</v>
      </c>
      <c r="D100" s="155" t="s">
        <v>69</v>
      </c>
      <c r="E100" s="156">
        <v>200000</v>
      </c>
      <c r="F100" s="156">
        <v>0</v>
      </c>
      <c r="G100" s="156">
        <v>0</v>
      </c>
      <c r="H100" s="156">
        <v>0</v>
      </c>
      <c r="I100" s="156">
        <v>0</v>
      </c>
      <c r="J100" s="156">
        <v>0</v>
      </c>
      <c r="K100" s="156">
        <v>0</v>
      </c>
      <c r="L100" s="157" t="e">
        <f t="shared" si="0"/>
        <v>#DIV/0!</v>
      </c>
      <c r="M100" s="156">
        <v>0</v>
      </c>
      <c r="N100" s="158" t="e">
        <f t="shared" si="1"/>
        <v>#DIV/0!</v>
      </c>
      <c r="O100" s="156">
        <v>0</v>
      </c>
      <c r="P100" s="158" t="e">
        <f t="shared" si="2"/>
        <v>#DIV/0!</v>
      </c>
      <c r="Q100" s="156">
        <v>0</v>
      </c>
    </row>
    <row r="101" spans="1:17" hidden="1" x14ac:dyDescent="0.25">
      <c r="A101" s="155" t="s">
        <v>704</v>
      </c>
      <c r="B101" s="155" t="s">
        <v>162</v>
      </c>
      <c r="C101" s="155" t="s">
        <v>163</v>
      </c>
      <c r="D101" s="155" t="s">
        <v>69</v>
      </c>
      <c r="E101" s="156">
        <v>21394400</v>
      </c>
      <c r="F101" s="156">
        <v>17897500</v>
      </c>
      <c r="G101" s="156">
        <v>17897500</v>
      </c>
      <c r="H101" s="156">
        <v>0</v>
      </c>
      <c r="I101" s="156">
        <v>11353828.02</v>
      </c>
      <c r="J101" s="156">
        <v>0</v>
      </c>
      <c r="K101" s="156">
        <v>5603003.5199999996</v>
      </c>
      <c r="L101" s="157">
        <f t="shared" si="0"/>
        <v>0.31306067998323783</v>
      </c>
      <c r="M101" s="156">
        <v>5603003.5199999996</v>
      </c>
      <c r="N101" s="158">
        <f t="shared" si="1"/>
        <v>0.31306067998323783</v>
      </c>
      <c r="O101" s="156">
        <v>940668.46</v>
      </c>
      <c r="P101" s="158">
        <f t="shared" si="2"/>
        <v>5.2558651208269309E-2</v>
      </c>
      <c r="Q101" s="156">
        <v>940668.46</v>
      </c>
    </row>
    <row r="102" spans="1:17" hidden="1" x14ac:dyDescent="0.25">
      <c r="A102" s="155" t="s">
        <v>704</v>
      </c>
      <c r="B102" s="155" t="s">
        <v>166</v>
      </c>
      <c r="C102" s="155" t="s">
        <v>167</v>
      </c>
      <c r="D102" s="155" t="s">
        <v>69</v>
      </c>
      <c r="E102" s="156">
        <v>13000000</v>
      </c>
      <c r="F102" s="156">
        <v>12988100</v>
      </c>
      <c r="G102" s="156">
        <v>12988100</v>
      </c>
      <c r="H102" s="156">
        <v>0</v>
      </c>
      <c r="I102" s="156">
        <v>9030982.3599999994</v>
      </c>
      <c r="J102" s="156">
        <v>0</v>
      </c>
      <c r="K102" s="156">
        <v>3936369.69</v>
      </c>
      <c r="L102" s="157">
        <f t="shared" si="0"/>
        <v>0.30307509874423511</v>
      </c>
      <c r="M102" s="156">
        <v>3936369.69</v>
      </c>
      <c r="N102" s="158">
        <f t="shared" si="1"/>
        <v>0.30307509874423511</v>
      </c>
      <c r="O102" s="156">
        <v>20747.95</v>
      </c>
      <c r="P102" s="158">
        <f t="shared" si="2"/>
        <v>1.5974584427283437E-3</v>
      </c>
      <c r="Q102" s="156">
        <v>20747.95</v>
      </c>
    </row>
    <row r="103" spans="1:17" hidden="1" x14ac:dyDescent="0.25">
      <c r="A103" s="155" t="s">
        <v>704</v>
      </c>
      <c r="B103" s="155" t="s">
        <v>168</v>
      </c>
      <c r="C103" s="155" t="s">
        <v>169</v>
      </c>
      <c r="D103" s="155" t="s">
        <v>69</v>
      </c>
      <c r="E103" s="156">
        <v>6194400</v>
      </c>
      <c r="F103" s="156">
        <v>3194400</v>
      </c>
      <c r="G103" s="156">
        <v>3194400</v>
      </c>
      <c r="H103" s="156">
        <v>0</v>
      </c>
      <c r="I103" s="156">
        <v>1213323</v>
      </c>
      <c r="J103" s="156">
        <v>0</v>
      </c>
      <c r="K103" s="156">
        <v>1074517</v>
      </c>
      <c r="L103" s="157">
        <f t="shared" si="0"/>
        <v>0.33637521913348362</v>
      </c>
      <c r="M103" s="156">
        <v>1074517</v>
      </c>
      <c r="N103" s="158">
        <f t="shared" si="1"/>
        <v>0.33637521913348362</v>
      </c>
      <c r="O103" s="156">
        <v>906560</v>
      </c>
      <c r="P103" s="158">
        <f t="shared" si="2"/>
        <v>0.28379664412722266</v>
      </c>
      <c r="Q103" s="156">
        <v>906560</v>
      </c>
    </row>
    <row r="104" spans="1:17" hidden="1" x14ac:dyDescent="0.25">
      <c r="A104" s="155" t="s">
        <v>704</v>
      </c>
      <c r="B104" s="155" t="s">
        <v>172</v>
      </c>
      <c r="C104" s="155" t="s">
        <v>173</v>
      </c>
      <c r="D104" s="155" t="s">
        <v>69</v>
      </c>
      <c r="E104" s="156">
        <v>2200000</v>
      </c>
      <c r="F104" s="156">
        <v>1715000</v>
      </c>
      <c r="G104" s="156">
        <v>1715000</v>
      </c>
      <c r="H104" s="156">
        <v>0</v>
      </c>
      <c r="I104" s="156">
        <v>1109522.6599999999</v>
      </c>
      <c r="J104" s="156">
        <v>0</v>
      </c>
      <c r="K104" s="156">
        <v>592116.82999999996</v>
      </c>
      <c r="L104" s="157">
        <f t="shared" si="0"/>
        <v>0.34525762682215744</v>
      </c>
      <c r="M104" s="156">
        <v>592116.82999999996</v>
      </c>
      <c r="N104" s="158">
        <f t="shared" si="1"/>
        <v>0.34525762682215744</v>
      </c>
      <c r="O104" s="156">
        <v>13360.51</v>
      </c>
      <c r="P104" s="158">
        <f t="shared" si="2"/>
        <v>7.7903848396501463E-3</v>
      </c>
      <c r="Q104" s="156">
        <v>13360.51</v>
      </c>
    </row>
    <row r="105" spans="1:17" hidden="1" x14ac:dyDescent="0.25">
      <c r="A105" s="155" t="s">
        <v>704</v>
      </c>
      <c r="B105" s="155" t="s">
        <v>174</v>
      </c>
      <c r="C105" s="155" t="s">
        <v>175</v>
      </c>
      <c r="D105" s="155" t="s">
        <v>69</v>
      </c>
      <c r="E105" s="156">
        <v>1000000</v>
      </c>
      <c r="F105" s="156">
        <v>1000000</v>
      </c>
      <c r="G105" s="156">
        <v>1000000</v>
      </c>
      <c r="H105" s="156">
        <v>0</v>
      </c>
      <c r="I105" s="156">
        <v>871869</v>
      </c>
      <c r="J105" s="156">
        <v>0</v>
      </c>
      <c r="K105" s="156">
        <v>128131</v>
      </c>
      <c r="L105" s="157">
        <f t="shared" si="0"/>
        <v>0.12813099999999999</v>
      </c>
      <c r="M105" s="156">
        <v>128131</v>
      </c>
      <c r="N105" s="158">
        <f t="shared" si="1"/>
        <v>0.12813099999999999</v>
      </c>
      <c r="O105" s="156">
        <v>0</v>
      </c>
      <c r="P105" s="158">
        <f t="shared" si="2"/>
        <v>0</v>
      </c>
      <c r="Q105" s="156">
        <v>0</v>
      </c>
    </row>
    <row r="106" spans="1:17" hidden="1" x14ac:dyDescent="0.25">
      <c r="A106" s="155" t="s">
        <v>704</v>
      </c>
      <c r="B106" s="155" t="s">
        <v>176</v>
      </c>
      <c r="C106" s="155" t="s">
        <v>177</v>
      </c>
      <c r="D106" s="155" t="s">
        <v>69</v>
      </c>
      <c r="E106" s="156">
        <v>1000000</v>
      </c>
      <c r="F106" s="156">
        <v>1000000</v>
      </c>
      <c r="G106" s="156">
        <v>1000000</v>
      </c>
      <c r="H106" s="156">
        <v>0</v>
      </c>
      <c r="I106" s="156">
        <v>871869</v>
      </c>
      <c r="J106" s="156">
        <v>0</v>
      </c>
      <c r="K106" s="156">
        <v>128131</v>
      </c>
      <c r="L106" s="157">
        <f t="shared" si="0"/>
        <v>0.12813099999999999</v>
      </c>
      <c r="M106" s="156">
        <v>128131</v>
      </c>
      <c r="N106" s="158">
        <f t="shared" si="1"/>
        <v>0.12813099999999999</v>
      </c>
      <c r="O106" s="156">
        <v>0</v>
      </c>
      <c r="P106" s="158">
        <f t="shared" si="2"/>
        <v>0</v>
      </c>
      <c r="Q106" s="156">
        <v>0</v>
      </c>
    </row>
    <row r="107" spans="1:17" hidden="1" x14ac:dyDescent="0.25">
      <c r="A107" s="155" t="s">
        <v>704</v>
      </c>
      <c r="B107" s="155" t="s">
        <v>178</v>
      </c>
      <c r="C107" s="155" t="s">
        <v>179</v>
      </c>
      <c r="D107" s="155" t="s">
        <v>69</v>
      </c>
      <c r="E107" s="156">
        <v>1000000</v>
      </c>
      <c r="F107" s="156">
        <v>1000000</v>
      </c>
      <c r="G107" s="156">
        <v>1000000</v>
      </c>
      <c r="H107" s="156">
        <v>0</v>
      </c>
      <c r="I107" s="156">
        <v>1000000</v>
      </c>
      <c r="J107" s="156">
        <v>0</v>
      </c>
      <c r="K107" s="156">
        <v>0</v>
      </c>
      <c r="L107" s="157">
        <f t="shared" si="0"/>
        <v>0</v>
      </c>
      <c r="M107" s="156">
        <v>0</v>
      </c>
      <c r="N107" s="158">
        <f t="shared" si="1"/>
        <v>0</v>
      </c>
      <c r="O107" s="156">
        <v>0</v>
      </c>
      <c r="P107" s="158">
        <f t="shared" si="2"/>
        <v>0</v>
      </c>
      <c r="Q107" s="156">
        <v>0</v>
      </c>
    </row>
    <row r="108" spans="1:17" hidden="1" x14ac:dyDescent="0.25">
      <c r="A108" s="155" t="s">
        <v>704</v>
      </c>
      <c r="B108" s="155" t="s">
        <v>182</v>
      </c>
      <c r="C108" s="155" t="s">
        <v>183</v>
      </c>
      <c r="D108" s="155" t="s">
        <v>69</v>
      </c>
      <c r="E108" s="156">
        <v>1000000</v>
      </c>
      <c r="F108" s="156">
        <v>1000000</v>
      </c>
      <c r="G108" s="156">
        <v>1000000</v>
      </c>
      <c r="H108" s="156">
        <v>0</v>
      </c>
      <c r="I108" s="156">
        <v>1000000</v>
      </c>
      <c r="J108" s="156">
        <v>0</v>
      </c>
      <c r="K108" s="156">
        <v>0</v>
      </c>
      <c r="L108" s="157">
        <f t="shared" si="0"/>
        <v>0</v>
      </c>
      <c r="M108" s="156">
        <v>0</v>
      </c>
      <c r="N108" s="158">
        <f t="shared" si="1"/>
        <v>0</v>
      </c>
      <c r="O108" s="156">
        <v>0</v>
      </c>
      <c r="P108" s="158">
        <f t="shared" si="2"/>
        <v>0</v>
      </c>
      <c r="Q108" s="156">
        <v>0</v>
      </c>
    </row>
    <row r="109" spans="1:17" hidden="1" x14ac:dyDescent="0.25">
      <c r="A109" s="155" t="s">
        <v>704</v>
      </c>
      <c r="B109" s="155" t="s">
        <v>184</v>
      </c>
      <c r="C109" s="155" t="s">
        <v>185</v>
      </c>
      <c r="D109" s="155" t="s">
        <v>69</v>
      </c>
      <c r="E109" s="156">
        <v>40981500</v>
      </c>
      <c r="F109" s="156">
        <v>33070115</v>
      </c>
      <c r="G109" s="156">
        <v>33070115</v>
      </c>
      <c r="H109" s="156">
        <v>1729600</v>
      </c>
      <c r="I109" s="156">
        <v>18347911.989999998</v>
      </c>
      <c r="J109" s="156">
        <v>856187.07</v>
      </c>
      <c r="K109" s="156">
        <v>10266764.1</v>
      </c>
      <c r="L109" s="157">
        <f t="shared" si="0"/>
        <v>0.31045444202416589</v>
      </c>
      <c r="M109" s="156">
        <v>9546948.9000000004</v>
      </c>
      <c r="N109" s="158">
        <f t="shared" si="1"/>
        <v>0.28868810707189863</v>
      </c>
      <c r="O109" s="156">
        <v>1869651.84</v>
      </c>
      <c r="P109" s="158">
        <f t="shared" si="2"/>
        <v>5.6535994507427627E-2</v>
      </c>
      <c r="Q109" s="156">
        <v>1869651.84</v>
      </c>
    </row>
    <row r="110" spans="1:17" hidden="1" x14ac:dyDescent="0.25">
      <c r="A110" s="155" t="s">
        <v>704</v>
      </c>
      <c r="B110" s="155" t="s">
        <v>186</v>
      </c>
      <c r="C110" s="155" t="s">
        <v>187</v>
      </c>
      <c r="D110" s="155" t="s">
        <v>69</v>
      </c>
      <c r="E110" s="156">
        <v>14621000</v>
      </c>
      <c r="F110" s="156">
        <v>9600000</v>
      </c>
      <c r="G110" s="156">
        <v>9600000</v>
      </c>
      <c r="H110" s="156">
        <v>0</v>
      </c>
      <c r="I110" s="156">
        <v>5088511.5999999996</v>
      </c>
      <c r="J110" s="156">
        <v>0</v>
      </c>
      <c r="K110" s="156">
        <v>4511488.4000000004</v>
      </c>
      <c r="L110" s="157">
        <f t="shared" si="0"/>
        <v>0.46994670833333335</v>
      </c>
      <c r="M110" s="156">
        <v>4511488.4000000004</v>
      </c>
      <c r="N110" s="158">
        <f t="shared" si="1"/>
        <v>0.46994670833333335</v>
      </c>
      <c r="O110" s="156">
        <v>0</v>
      </c>
      <c r="P110" s="158">
        <f t="shared" si="2"/>
        <v>0</v>
      </c>
      <c r="Q110" s="156">
        <v>0</v>
      </c>
    </row>
    <row r="111" spans="1:17" hidden="1" x14ac:dyDescent="0.25">
      <c r="A111" s="155" t="s">
        <v>704</v>
      </c>
      <c r="B111" s="155" t="s">
        <v>188</v>
      </c>
      <c r="C111" s="155" t="s">
        <v>189</v>
      </c>
      <c r="D111" s="155" t="s">
        <v>69</v>
      </c>
      <c r="E111" s="156">
        <v>9600000</v>
      </c>
      <c r="F111" s="156">
        <v>9600000</v>
      </c>
      <c r="G111" s="156">
        <v>9600000</v>
      </c>
      <c r="H111" s="156">
        <v>0</v>
      </c>
      <c r="I111" s="156">
        <v>5088511.5999999996</v>
      </c>
      <c r="J111" s="156">
        <v>0</v>
      </c>
      <c r="K111" s="156">
        <v>4511488.4000000004</v>
      </c>
      <c r="L111" s="157">
        <f t="shared" si="0"/>
        <v>0.46994670833333335</v>
      </c>
      <c r="M111" s="156">
        <v>4511488.4000000004</v>
      </c>
      <c r="N111" s="158">
        <f t="shared" si="1"/>
        <v>0.46994670833333335</v>
      </c>
      <c r="O111" s="156">
        <v>0</v>
      </c>
      <c r="P111" s="158">
        <f t="shared" si="2"/>
        <v>0</v>
      </c>
      <c r="Q111" s="156">
        <v>0</v>
      </c>
    </row>
    <row r="112" spans="1:17" hidden="1" x14ac:dyDescent="0.25">
      <c r="A112" s="155" t="s">
        <v>704</v>
      </c>
      <c r="B112" s="155" t="s">
        <v>190</v>
      </c>
      <c r="C112" s="155" t="s">
        <v>191</v>
      </c>
      <c r="D112" s="155" t="s">
        <v>69</v>
      </c>
      <c r="E112" s="156">
        <v>5000000</v>
      </c>
      <c r="F112" s="156">
        <v>0</v>
      </c>
      <c r="G112" s="156">
        <v>0</v>
      </c>
      <c r="H112" s="156">
        <v>0</v>
      </c>
      <c r="I112" s="156">
        <v>0</v>
      </c>
      <c r="J112" s="156">
        <v>0</v>
      </c>
      <c r="K112" s="156">
        <v>0</v>
      </c>
      <c r="L112" s="157" t="e">
        <f t="shared" si="0"/>
        <v>#DIV/0!</v>
      </c>
      <c r="M112" s="156">
        <v>0</v>
      </c>
      <c r="N112" s="158" t="e">
        <f t="shared" si="1"/>
        <v>#DIV/0!</v>
      </c>
      <c r="O112" s="156">
        <v>0</v>
      </c>
      <c r="P112" s="158" t="e">
        <f t="shared" si="2"/>
        <v>#DIV/0!</v>
      </c>
      <c r="Q112" s="156">
        <v>0</v>
      </c>
    </row>
    <row r="113" spans="1:17" hidden="1" x14ac:dyDescent="0.25">
      <c r="A113" s="155" t="s">
        <v>704</v>
      </c>
      <c r="B113" s="155" t="s">
        <v>192</v>
      </c>
      <c r="C113" s="155" t="s">
        <v>193</v>
      </c>
      <c r="D113" s="155" t="s">
        <v>69</v>
      </c>
      <c r="E113" s="156">
        <v>21000</v>
      </c>
      <c r="F113" s="156">
        <v>0</v>
      </c>
      <c r="G113" s="156">
        <v>0</v>
      </c>
      <c r="H113" s="156">
        <v>0</v>
      </c>
      <c r="I113" s="156">
        <v>0</v>
      </c>
      <c r="J113" s="156">
        <v>0</v>
      </c>
      <c r="K113" s="156">
        <v>0</v>
      </c>
      <c r="L113" s="157" t="e">
        <f t="shared" si="0"/>
        <v>#DIV/0!</v>
      </c>
      <c r="M113" s="156">
        <v>0</v>
      </c>
      <c r="N113" s="158" t="e">
        <f t="shared" si="1"/>
        <v>#DIV/0!</v>
      </c>
      <c r="O113" s="156">
        <v>0</v>
      </c>
      <c r="P113" s="158" t="e">
        <f t="shared" si="2"/>
        <v>#DIV/0!</v>
      </c>
      <c r="Q113" s="156">
        <v>0</v>
      </c>
    </row>
    <row r="114" spans="1:17" hidden="1" x14ac:dyDescent="0.25">
      <c r="A114" s="155" t="s">
        <v>704</v>
      </c>
      <c r="B114" s="155" t="s">
        <v>196</v>
      </c>
      <c r="C114" s="155" t="s">
        <v>197</v>
      </c>
      <c r="D114" s="155" t="s">
        <v>69</v>
      </c>
      <c r="E114" s="156">
        <v>3000000</v>
      </c>
      <c r="F114" s="156">
        <v>2755000</v>
      </c>
      <c r="G114" s="156">
        <v>2755000</v>
      </c>
      <c r="H114" s="156">
        <v>0</v>
      </c>
      <c r="I114" s="156">
        <v>803026</v>
      </c>
      <c r="J114" s="156">
        <v>0</v>
      </c>
      <c r="K114" s="156">
        <v>1445734</v>
      </c>
      <c r="L114" s="157">
        <f t="shared" si="0"/>
        <v>0.52476733212341198</v>
      </c>
      <c r="M114" s="156">
        <v>1445734</v>
      </c>
      <c r="N114" s="158">
        <f t="shared" si="1"/>
        <v>0.52476733212341198</v>
      </c>
      <c r="O114" s="156">
        <v>506240</v>
      </c>
      <c r="P114" s="158">
        <f t="shared" si="2"/>
        <v>0.18375317604355718</v>
      </c>
      <c r="Q114" s="156">
        <v>506240</v>
      </c>
    </row>
    <row r="115" spans="1:17" hidden="1" x14ac:dyDescent="0.25">
      <c r="A115" s="155" t="s">
        <v>704</v>
      </c>
      <c r="B115" s="155" t="s">
        <v>198</v>
      </c>
      <c r="C115" s="155" t="s">
        <v>199</v>
      </c>
      <c r="D115" s="155" t="s">
        <v>69</v>
      </c>
      <c r="E115" s="156">
        <v>3000000</v>
      </c>
      <c r="F115" s="156">
        <v>2755000</v>
      </c>
      <c r="G115" s="156">
        <v>2755000</v>
      </c>
      <c r="H115" s="156">
        <v>0</v>
      </c>
      <c r="I115" s="156">
        <v>803026</v>
      </c>
      <c r="J115" s="156">
        <v>0</v>
      </c>
      <c r="K115" s="156">
        <v>1445734</v>
      </c>
      <c r="L115" s="157">
        <f t="shared" si="0"/>
        <v>0.52476733212341198</v>
      </c>
      <c r="M115" s="156">
        <v>1445734</v>
      </c>
      <c r="N115" s="158">
        <f t="shared" si="1"/>
        <v>0.52476733212341198</v>
      </c>
      <c r="O115" s="156">
        <v>506240</v>
      </c>
      <c r="P115" s="158">
        <f t="shared" si="2"/>
        <v>0.18375317604355718</v>
      </c>
      <c r="Q115" s="156">
        <v>506240</v>
      </c>
    </row>
    <row r="116" spans="1:17" hidden="1" x14ac:dyDescent="0.25">
      <c r="A116" s="155" t="s">
        <v>704</v>
      </c>
      <c r="B116" s="155" t="s">
        <v>206</v>
      </c>
      <c r="C116" s="155" t="s">
        <v>207</v>
      </c>
      <c r="D116" s="155" t="s">
        <v>69</v>
      </c>
      <c r="E116" s="156">
        <v>355000</v>
      </c>
      <c r="F116" s="156">
        <v>12615</v>
      </c>
      <c r="G116" s="156">
        <v>12615</v>
      </c>
      <c r="H116" s="156">
        <v>0</v>
      </c>
      <c r="I116" s="156">
        <v>0</v>
      </c>
      <c r="J116" s="156">
        <v>0</v>
      </c>
      <c r="K116" s="156">
        <v>12615</v>
      </c>
      <c r="L116" s="157">
        <f t="shared" si="0"/>
        <v>1</v>
      </c>
      <c r="M116" s="156">
        <v>12615</v>
      </c>
      <c r="N116" s="158">
        <f t="shared" si="1"/>
        <v>1</v>
      </c>
      <c r="O116" s="156">
        <v>0</v>
      </c>
      <c r="P116" s="158">
        <f t="shared" si="2"/>
        <v>0</v>
      </c>
      <c r="Q116" s="156">
        <v>0</v>
      </c>
    </row>
    <row r="117" spans="1:17" hidden="1" x14ac:dyDescent="0.25">
      <c r="A117" s="155" t="s">
        <v>704</v>
      </c>
      <c r="B117" s="155" t="s">
        <v>208</v>
      </c>
      <c r="C117" s="155" t="s">
        <v>209</v>
      </c>
      <c r="D117" s="155" t="s">
        <v>69</v>
      </c>
      <c r="E117" s="156">
        <v>130000</v>
      </c>
      <c r="F117" s="156">
        <v>12615</v>
      </c>
      <c r="G117" s="156">
        <v>12615</v>
      </c>
      <c r="H117" s="156">
        <v>0</v>
      </c>
      <c r="I117" s="156">
        <v>0</v>
      </c>
      <c r="J117" s="156">
        <v>0</v>
      </c>
      <c r="K117" s="156">
        <v>12615</v>
      </c>
      <c r="L117" s="157">
        <f t="shared" si="0"/>
        <v>1</v>
      </c>
      <c r="M117" s="156">
        <v>12615</v>
      </c>
      <c r="N117" s="158">
        <f t="shared" si="1"/>
        <v>1</v>
      </c>
      <c r="O117" s="156">
        <v>0</v>
      </c>
      <c r="P117" s="158">
        <f t="shared" si="2"/>
        <v>0</v>
      </c>
      <c r="Q117" s="156">
        <v>0</v>
      </c>
    </row>
    <row r="118" spans="1:17" hidden="1" x14ac:dyDescent="0.25">
      <c r="A118" s="155" t="s">
        <v>704</v>
      </c>
      <c r="B118" s="155" t="s">
        <v>210</v>
      </c>
      <c r="C118" s="155" t="s">
        <v>211</v>
      </c>
      <c r="D118" s="155" t="s">
        <v>69</v>
      </c>
      <c r="E118" s="156">
        <v>225000</v>
      </c>
      <c r="F118" s="156">
        <v>0</v>
      </c>
      <c r="G118" s="156">
        <v>0</v>
      </c>
      <c r="H118" s="156">
        <v>0</v>
      </c>
      <c r="I118" s="156">
        <v>0</v>
      </c>
      <c r="J118" s="156">
        <v>0</v>
      </c>
      <c r="K118" s="156">
        <v>0</v>
      </c>
      <c r="L118" s="157" t="e">
        <f t="shared" si="0"/>
        <v>#DIV/0!</v>
      </c>
      <c r="M118" s="156">
        <v>0</v>
      </c>
      <c r="N118" s="158" t="e">
        <f t="shared" si="1"/>
        <v>#DIV/0!</v>
      </c>
      <c r="O118" s="156">
        <v>0</v>
      </c>
      <c r="P118" s="158" t="e">
        <f t="shared" si="2"/>
        <v>#DIV/0!</v>
      </c>
      <c r="Q118" s="156">
        <v>0</v>
      </c>
    </row>
    <row r="119" spans="1:17" hidden="1" x14ac:dyDescent="0.25">
      <c r="A119" s="155" t="s">
        <v>704</v>
      </c>
      <c r="B119" s="155" t="s">
        <v>212</v>
      </c>
      <c r="C119" s="155" t="s">
        <v>213</v>
      </c>
      <c r="D119" s="155" t="s">
        <v>69</v>
      </c>
      <c r="E119" s="156">
        <v>23005500</v>
      </c>
      <c r="F119" s="156">
        <v>20702500</v>
      </c>
      <c r="G119" s="156">
        <v>20702500</v>
      </c>
      <c r="H119" s="156">
        <v>1729600</v>
      </c>
      <c r="I119" s="156">
        <v>12456374.390000001</v>
      </c>
      <c r="J119" s="156">
        <v>856187.07</v>
      </c>
      <c r="K119" s="156">
        <v>4296926.7</v>
      </c>
      <c r="L119" s="157">
        <f t="shared" si="0"/>
        <v>0.20755593285835044</v>
      </c>
      <c r="M119" s="156">
        <v>3577111.5</v>
      </c>
      <c r="N119" s="158">
        <f t="shared" si="1"/>
        <v>0.17278645091172565</v>
      </c>
      <c r="O119" s="156">
        <v>1363411.84</v>
      </c>
      <c r="P119" s="158">
        <f t="shared" si="2"/>
        <v>6.585735249366019E-2</v>
      </c>
      <c r="Q119" s="156">
        <v>1363411.84</v>
      </c>
    </row>
    <row r="120" spans="1:17" hidden="1" x14ac:dyDescent="0.25">
      <c r="A120" s="155" t="s">
        <v>704</v>
      </c>
      <c r="B120" s="155" t="s">
        <v>214</v>
      </c>
      <c r="C120" s="155" t="s">
        <v>215</v>
      </c>
      <c r="D120" s="155" t="s">
        <v>69</v>
      </c>
      <c r="E120" s="156">
        <v>2600000</v>
      </c>
      <c r="F120" s="156">
        <v>2050000</v>
      </c>
      <c r="G120" s="156">
        <v>2050000</v>
      </c>
      <c r="H120" s="156">
        <v>309600</v>
      </c>
      <c r="I120" s="156">
        <v>728197.53</v>
      </c>
      <c r="J120" s="156">
        <v>546849.67000000004</v>
      </c>
      <c r="K120" s="156">
        <v>205603</v>
      </c>
      <c r="L120" s="157">
        <f t="shared" si="0"/>
        <v>0.10029414634146341</v>
      </c>
      <c r="M120" s="156">
        <v>205603</v>
      </c>
      <c r="N120" s="158">
        <f t="shared" si="1"/>
        <v>0.10029414634146341</v>
      </c>
      <c r="O120" s="156">
        <v>259749.8</v>
      </c>
      <c r="P120" s="158">
        <f t="shared" si="2"/>
        <v>0.12670721951219513</v>
      </c>
      <c r="Q120" s="156">
        <v>259749.8</v>
      </c>
    </row>
    <row r="121" spans="1:17" hidden="1" x14ac:dyDescent="0.25">
      <c r="A121" s="155" t="s">
        <v>704</v>
      </c>
      <c r="B121" s="155" t="s">
        <v>216</v>
      </c>
      <c r="C121" s="155" t="s">
        <v>217</v>
      </c>
      <c r="D121" s="155" t="s">
        <v>69</v>
      </c>
      <c r="E121" s="156">
        <v>562500</v>
      </c>
      <c r="F121" s="156">
        <v>502500</v>
      </c>
      <c r="G121" s="156">
        <v>502500</v>
      </c>
      <c r="H121" s="156">
        <v>0</v>
      </c>
      <c r="I121" s="156">
        <v>0</v>
      </c>
      <c r="J121" s="156">
        <v>0</v>
      </c>
      <c r="K121" s="156">
        <v>495000</v>
      </c>
      <c r="L121" s="157">
        <f t="shared" si="0"/>
        <v>0.9850746268656716</v>
      </c>
      <c r="M121" s="156">
        <v>495000</v>
      </c>
      <c r="N121" s="158">
        <f t="shared" si="1"/>
        <v>0.9850746268656716</v>
      </c>
      <c r="O121" s="156">
        <v>7500</v>
      </c>
      <c r="P121" s="158">
        <f t="shared" si="2"/>
        <v>1.4925373134328358E-2</v>
      </c>
      <c r="Q121" s="156">
        <v>7500</v>
      </c>
    </row>
    <row r="122" spans="1:17" hidden="1" x14ac:dyDescent="0.25">
      <c r="A122" s="155" t="s">
        <v>704</v>
      </c>
      <c r="B122" s="155" t="s">
        <v>218</v>
      </c>
      <c r="C122" s="155" t="s">
        <v>219</v>
      </c>
      <c r="D122" s="155" t="s">
        <v>69</v>
      </c>
      <c r="E122" s="156">
        <v>8000000</v>
      </c>
      <c r="F122" s="156">
        <v>6450000</v>
      </c>
      <c r="G122" s="156">
        <v>6450000</v>
      </c>
      <c r="H122" s="156">
        <v>1420000</v>
      </c>
      <c r="I122" s="156">
        <v>59322.26</v>
      </c>
      <c r="J122" s="156">
        <v>309337.40000000002</v>
      </c>
      <c r="K122" s="156">
        <v>3596323.7</v>
      </c>
      <c r="L122" s="157">
        <f t="shared" si="0"/>
        <v>0.55756956589147288</v>
      </c>
      <c r="M122" s="156">
        <v>2876508.5</v>
      </c>
      <c r="N122" s="158">
        <f t="shared" si="1"/>
        <v>0.44597031007751936</v>
      </c>
      <c r="O122" s="156">
        <v>1065016.6399999999</v>
      </c>
      <c r="P122" s="158">
        <f t="shared" si="2"/>
        <v>0.16511885891472866</v>
      </c>
      <c r="Q122" s="156">
        <v>1065016.6399999999</v>
      </c>
    </row>
    <row r="123" spans="1:17" x14ac:dyDescent="0.25">
      <c r="A123" s="155" t="s">
        <v>704</v>
      </c>
      <c r="B123" s="155" t="s">
        <v>222</v>
      </c>
      <c r="C123" s="155" t="s">
        <v>223</v>
      </c>
      <c r="D123" s="155" t="s">
        <v>69</v>
      </c>
      <c r="E123" s="156">
        <v>11000000</v>
      </c>
      <c r="F123" s="156">
        <v>11000000</v>
      </c>
      <c r="G123" s="156">
        <v>11000000</v>
      </c>
      <c r="H123" s="156">
        <v>0</v>
      </c>
      <c r="I123" s="156">
        <v>10987125.6</v>
      </c>
      <c r="J123" s="156">
        <v>0</v>
      </c>
      <c r="K123" s="156">
        <v>0</v>
      </c>
      <c r="L123" s="157">
        <f t="shared" si="0"/>
        <v>0</v>
      </c>
      <c r="M123" s="156">
        <v>0</v>
      </c>
      <c r="N123" s="158">
        <f t="shared" si="1"/>
        <v>0</v>
      </c>
      <c r="O123" s="156">
        <v>12874.4</v>
      </c>
      <c r="P123" s="158">
        <f t="shared" si="2"/>
        <v>1.1704E-3</v>
      </c>
      <c r="Q123" s="156">
        <v>12874.4</v>
      </c>
    </row>
    <row r="124" spans="1:17" hidden="1" x14ac:dyDescent="0.25">
      <c r="A124" s="155" t="s">
        <v>704</v>
      </c>
      <c r="B124" s="155" t="s">
        <v>224</v>
      </c>
      <c r="C124" s="155" t="s">
        <v>225</v>
      </c>
      <c r="D124" s="155" t="s">
        <v>69</v>
      </c>
      <c r="E124" s="156">
        <v>800000</v>
      </c>
      <c r="F124" s="156">
        <v>700000</v>
      </c>
      <c r="G124" s="156">
        <v>700000</v>
      </c>
      <c r="H124" s="156">
        <v>0</v>
      </c>
      <c r="I124" s="156">
        <v>681729</v>
      </c>
      <c r="J124" s="156">
        <v>0</v>
      </c>
      <c r="K124" s="156">
        <v>0</v>
      </c>
      <c r="L124" s="157">
        <f t="shared" si="0"/>
        <v>0</v>
      </c>
      <c r="M124" s="156">
        <v>0</v>
      </c>
      <c r="N124" s="158">
        <f t="shared" si="1"/>
        <v>0</v>
      </c>
      <c r="O124" s="156">
        <v>18271</v>
      </c>
      <c r="P124" s="158">
        <f t="shared" si="2"/>
        <v>2.6101428571428571E-2</v>
      </c>
      <c r="Q124" s="156">
        <v>18271</v>
      </c>
    </row>
    <row r="125" spans="1:17" hidden="1" x14ac:dyDescent="0.25">
      <c r="A125" s="155" t="s">
        <v>704</v>
      </c>
      <c r="B125" s="155" t="s">
        <v>226</v>
      </c>
      <c r="C125" s="155" t="s">
        <v>227</v>
      </c>
      <c r="D125" s="155" t="s">
        <v>69</v>
      </c>
      <c r="E125" s="156">
        <v>10000</v>
      </c>
      <c r="F125" s="156">
        <v>0</v>
      </c>
      <c r="G125" s="156">
        <v>0</v>
      </c>
      <c r="H125" s="156">
        <v>0</v>
      </c>
      <c r="I125" s="156">
        <v>0</v>
      </c>
      <c r="J125" s="156">
        <v>0</v>
      </c>
      <c r="K125" s="156">
        <v>0</v>
      </c>
      <c r="L125" s="157" t="e">
        <f t="shared" si="0"/>
        <v>#DIV/0!</v>
      </c>
      <c r="M125" s="156">
        <v>0</v>
      </c>
      <c r="N125" s="158" t="e">
        <f t="shared" si="1"/>
        <v>#DIV/0!</v>
      </c>
      <c r="O125" s="156">
        <v>0</v>
      </c>
      <c r="P125" s="158" t="e">
        <f t="shared" si="2"/>
        <v>#DIV/0!</v>
      </c>
      <c r="Q125" s="156">
        <v>0</v>
      </c>
    </row>
    <row r="126" spans="1:17" hidden="1" x14ac:dyDescent="0.25">
      <c r="A126" s="155" t="s">
        <v>704</v>
      </c>
      <c r="B126" s="155" t="s">
        <v>228</v>
      </c>
      <c r="C126" s="155" t="s">
        <v>229</v>
      </c>
      <c r="D126" s="155" t="s">
        <v>69</v>
      </c>
      <c r="E126" s="156">
        <v>33000</v>
      </c>
      <c r="F126" s="156">
        <v>0</v>
      </c>
      <c r="G126" s="156">
        <v>0</v>
      </c>
      <c r="H126" s="156">
        <v>0</v>
      </c>
      <c r="I126" s="156">
        <v>0</v>
      </c>
      <c r="J126" s="156">
        <v>0</v>
      </c>
      <c r="K126" s="156">
        <v>0</v>
      </c>
      <c r="L126" s="157" t="e">
        <f t="shared" si="0"/>
        <v>#DIV/0!</v>
      </c>
      <c r="M126" s="156">
        <v>0</v>
      </c>
      <c r="N126" s="158" t="e">
        <f t="shared" si="1"/>
        <v>#DIV/0!</v>
      </c>
      <c r="O126" s="156">
        <v>0</v>
      </c>
      <c r="P126" s="158" t="e">
        <f t="shared" si="2"/>
        <v>#DIV/0!</v>
      </c>
      <c r="Q126" s="156">
        <v>0</v>
      </c>
    </row>
    <row r="127" spans="1:17" hidden="1" x14ac:dyDescent="0.25">
      <c r="A127" s="155" t="s">
        <v>704</v>
      </c>
      <c r="B127" s="155" t="s">
        <v>230</v>
      </c>
      <c r="C127" s="155" t="s">
        <v>231</v>
      </c>
      <c r="D127" s="155" t="s">
        <v>85</v>
      </c>
      <c r="E127" s="156">
        <v>12109140</v>
      </c>
      <c r="F127" s="156">
        <v>8469140</v>
      </c>
      <c r="G127" s="156">
        <v>8469140</v>
      </c>
      <c r="H127" s="156">
        <v>0</v>
      </c>
      <c r="I127" s="156">
        <v>0</v>
      </c>
      <c r="J127" s="156">
        <v>0</v>
      </c>
      <c r="K127" s="156">
        <v>0</v>
      </c>
      <c r="L127" s="157">
        <f t="shared" si="0"/>
        <v>0</v>
      </c>
      <c r="M127" s="156">
        <v>0</v>
      </c>
      <c r="N127" s="158">
        <f t="shared" si="1"/>
        <v>0</v>
      </c>
      <c r="O127" s="156">
        <v>8469140</v>
      </c>
      <c r="P127" s="158">
        <f t="shared" si="2"/>
        <v>1</v>
      </c>
      <c r="Q127" s="156">
        <v>8469140</v>
      </c>
    </row>
    <row r="128" spans="1:17" hidden="1" x14ac:dyDescent="0.25">
      <c r="A128" s="155" t="s">
        <v>704</v>
      </c>
      <c r="B128" s="155" t="s">
        <v>232</v>
      </c>
      <c r="C128" s="155" t="s">
        <v>233</v>
      </c>
      <c r="D128" s="155" t="s">
        <v>85</v>
      </c>
      <c r="E128" s="156">
        <v>12109140</v>
      </c>
      <c r="F128" s="156">
        <v>8469140</v>
      </c>
      <c r="G128" s="156">
        <v>8469140</v>
      </c>
      <c r="H128" s="156">
        <v>0</v>
      </c>
      <c r="I128" s="156">
        <v>0</v>
      </c>
      <c r="J128" s="156">
        <v>0</v>
      </c>
      <c r="K128" s="156">
        <v>0</v>
      </c>
      <c r="L128" s="157">
        <f t="shared" si="0"/>
        <v>0</v>
      </c>
      <c r="M128" s="156">
        <v>0</v>
      </c>
      <c r="N128" s="158">
        <f t="shared" si="1"/>
        <v>0</v>
      </c>
      <c r="O128" s="156">
        <v>8469140</v>
      </c>
      <c r="P128" s="158">
        <f t="shared" si="2"/>
        <v>1</v>
      </c>
      <c r="Q128" s="156">
        <v>8469140</v>
      </c>
    </row>
    <row r="129" spans="1:17" hidden="1" x14ac:dyDescent="0.25">
      <c r="A129" s="155" t="s">
        <v>704</v>
      </c>
      <c r="B129" s="155" t="s">
        <v>234</v>
      </c>
      <c r="C129" s="155" t="s">
        <v>235</v>
      </c>
      <c r="D129" s="155" t="s">
        <v>85</v>
      </c>
      <c r="E129" s="156">
        <v>120000</v>
      </c>
      <c r="F129" s="156">
        <v>0</v>
      </c>
      <c r="G129" s="156">
        <v>0</v>
      </c>
      <c r="H129" s="156">
        <v>0</v>
      </c>
      <c r="I129" s="156">
        <v>0</v>
      </c>
      <c r="J129" s="156">
        <v>0</v>
      </c>
      <c r="K129" s="156">
        <v>0</v>
      </c>
      <c r="L129" s="157" t="e">
        <f t="shared" si="0"/>
        <v>#DIV/0!</v>
      </c>
      <c r="M129" s="156">
        <v>0</v>
      </c>
      <c r="N129" s="158" t="e">
        <f t="shared" si="1"/>
        <v>#DIV/0!</v>
      </c>
      <c r="O129" s="156">
        <v>0</v>
      </c>
      <c r="P129" s="158" t="e">
        <f t="shared" si="2"/>
        <v>#DIV/0!</v>
      </c>
      <c r="Q129" s="156">
        <v>0</v>
      </c>
    </row>
    <row r="130" spans="1:17" hidden="1" x14ac:dyDescent="0.25">
      <c r="A130" s="155" t="s">
        <v>704</v>
      </c>
      <c r="B130" s="155" t="s">
        <v>236</v>
      </c>
      <c r="C130" s="155" t="s">
        <v>237</v>
      </c>
      <c r="D130" s="155" t="s">
        <v>85</v>
      </c>
      <c r="E130" s="156">
        <v>620000</v>
      </c>
      <c r="F130" s="156">
        <v>0</v>
      </c>
      <c r="G130" s="156">
        <v>0</v>
      </c>
      <c r="H130" s="156">
        <v>0</v>
      </c>
      <c r="I130" s="156">
        <v>0</v>
      </c>
      <c r="J130" s="156">
        <v>0</v>
      </c>
      <c r="K130" s="156">
        <v>0</v>
      </c>
      <c r="L130" s="157" t="e">
        <f t="shared" si="0"/>
        <v>#DIV/0!</v>
      </c>
      <c r="M130" s="156">
        <v>0</v>
      </c>
      <c r="N130" s="158" t="e">
        <f t="shared" si="1"/>
        <v>#DIV/0!</v>
      </c>
      <c r="O130" s="156">
        <v>0</v>
      </c>
      <c r="P130" s="158" t="e">
        <f t="shared" si="2"/>
        <v>#DIV/0!</v>
      </c>
      <c r="Q130" s="156">
        <v>0</v>
      </c>
    </row>
    <row r="131" spans="1:17" x14ac:dyDescent="0.25">
      <c r="A131" s="155" t="s">
        <v>704</v>
      </c>
      <c r="B131" s="155" t="s">
        <v>238</v>
      </c>
      <c r="C131" s="155" t="s">
        <v>239</v>
      </c>
      <c r="D131" s="155" t="s">
        <v>85</v>
      </c>
      <c r="E131" s="156">
        <v>11369140</v>
      </c>
      <c r="F131" s="156">
        <v>8469140</v>
      </c>
      <c r="G131" s="156">
        <v>8469140</v>
      </c>
      <c r="H131" s="156">
        <v>0</v>
      </c>
      <c r="I131" s="156">
        <v>0</v>
      </c>
      <c r="J131" s="156">
        <v>0</v>
      </c>
      <c r="K131" s="156">
        <v>0</v>
      </c>
      <c r="L131" s="157">
        <f t="shared" si="0"/>
        <v>0</v>
      </c>
      <c r="M131" s="156">
        <v>0</v>
      </c>
      <c r="N131" s="158">
        <f t="shared" si="1"/>
        <v>0</v>
      </c>
      <c r="O131" s="156">
        <v>8469140</v>
      </c>
      <c r="P131" s="158">
        <f t="shared" si="2"/>
        <v>1</v>
      </c>
      <c r="Q131" s="156">
        <v>8469140</v>
      </c>
    </row>
    <row r="132" spans="1:17" hidden="1" x14ac:dyDescent="0.25">
      <c r="A132" s="44" t="s">
        <v>704</v>
      </c>
      <c r="B132" s="44" t="s">
        <v>248</v>
      </c>
      <c r="C132" s="44" t="s">
        <v>249</v>
      </c>
      <c r="D132" s="44" t="s">
        <v>69</v>
      </c>
      <c r="E132" s="50">
        <v>509299073</v>
      </c>
      <c r="F132" s="50">
        <v>511238316</v>
      </c>
      <c r="G132" s="50">
        <v>419820816.89999998</v>
      </c>
      <c r="H132" s="50">
        <v>0</v>
      </c>
      <c r="I132" s="50">
        <v>82738091.900000006</v>
      </c>
      <c r="J132" s="50">
        <v>0</v>
      </c>
      <c r="K132" s="50">
        <v>299881537.10000002</v>
      </c>
      <c r="L132" s="151">
        <f t="shared" si="0"/>
        <v>0.58657875928845682</v>
      </c>
      <c r="M132" s="50">
        <v>299881537.10000002</v>
      </c>
      <c r="N132" s="152">
        <f t="shared" si="1"/>
        <v>0.58657875928845682</v>
      </c>
      <c r="O132" s="50">
        <v>128618687</v>
      </c>
      <c r="P132" s="152">
        <f t="shared" si="2"/>
        <v>0.25158264350436521</v>
      </c>
      <c r="Q132" s="50">
        <v>37201187.899999999</v>
      </c>
    </row>
    <row r="133" spans="1:17" hidden="1" x14ac:dyDescent="0.25">
      <c r="A133" s="44" t="s">
        <v>704</v>
      </c>
      <c r="B133" s="44" t="s">
        <v>250</v>
      </c>
      <c r="C133" s="44" t="s">
        <v>251</v>
      </c>
      <c r="D133" s="44" t="s">
        <v>69</v>
      </c>
      <c r="E133" s="50">
        <v>38994178</v>
      </c>
      <c r="F133" s="50">
        <v>38045421</v>
      </c>
      <c r="G133" s="50">
        <v>38045421</v>
      </c>
      <c r="H133" s="50">
        <v>0</v>
      </c>
      <c r="I133" s="50">
        <v>13865139</v>
      </c>
      <c r="J133" s="50">
        <v>0</v>
      </c>
      <c r="K133" s="50">
        <v>23625727</v>
      </c>
      <c r="L133" s="151">
        <f t="shared" si="0"/>
        <v>0.62098739819438453</v>
      </c>
      <c r="M133" s="50">
        <v>23625727</v>
      </c>
      <c r="N133" s="152">
        <f t="shared" si="1"/>
        <v>0.62098739819438453</v>
      </c>
      <c r="O133" s="50">
        <v>554555</v>
      </c>
      <c r="P133" s="152">
        <f t="shared" si="2"/>
        <v>1.457612993689832E-2</v>
      </c>
      <c r="Q133" s="50">
        <v>554555</v>
      </c>
    </row>
    <row r="134" spans="1:17" hidden="1" x14ac:dyDescent="0.25">
      <c r="A134" s="44" t="s">
        <v>704</v>
      </c>
      <c r="B134" s="44" t="s">
        <v>617</v>
      </c>
      <c r="C134" s="44" t="s">
        <v>253</v>
      </c>
      <c r="D134" s="44" t="s">
        <v>69</v>
      </c>
      <c r="E134" s="50">
        <v>2000000</v>
      </c>
      <c r="F134" s="50">
        <v>2000000</v>
      </c>
      <c r="G134" s="50">
        <v>2000000</v>
      </c>
      <c r="H134" s="50">
        <v>0</v>
      </c>
      <c r="I134" s="50">
        <v>0</v>
      </c>
      <c r="J134" s="50">
        <v>0</v>
      </c>
      <c r="K134" s="50">
        <v>2000000</v>
      </c>
      <c r="L134" s="151">
        <f t="shared" si="0"/>
        <v>1</v>
      </c>
      <c r="M134" s="50">
        <v>2000000</v>
      </c>
      <c r="N134" s="152">
        <f t="shared" si="1"/>
        <v>1</v>
      </c>
      <c r="O134" s="50">
        <v>0</v>
      </c>
      <c r="P134" s="152">
        <f t="shared" si="2"/>
        <v>0</v>
      </c>
      <c r="Q134" s="50">
        <v>0</v>
      </c>
    </row>
    <row r="135" spans="1:17" hidden="1" x14ac:dyDescent="0.25">
      <c r="A135" s="44" t="s">
        <v>704</v>
      </c>
      <c r="B135" s="44" t="s">
        <v>627</v>
      </c>
      <c r="C135" s="44" t="s">
        <v>702</v>
      </c>
      <c r="D135" s="44" t="s">
        <v>69</v>
      </c>
      <c r="E135" s="50">
        <v>31422808</v>
      </c>
      <c r="F135" s="50">
        <v>30616936</v>
      </c>
      <c r="G135" s="50">
        <v>30616936</v>
      </c>
      <c r="H135" s="50">
        <v>0</v>
      </c>
      <c r="I135" s="50">
        <v>12201159</v>
      </c>
      <c r="J135" s="50">
        <v>0</v>
      </c>
      <c r="K135" s="50">
        <v>18312277</v>
      </c>
      <c r="L135" s="151">
        <f t="shared" si="0"/>
        <v>0.5981093927883574</v>
      </c>
      <c r="M135" s="50">
        <v>18312277</v>
      </c>
      <c r="N135" s="152">
        <f t="shared" si="1"/>
        <v>0.5981093927883574</v>
      </c>
      <c r="O135" s="50">
        <v>103500</v>
      </c>
      <c r="P135" s="152">
        <f t="shared" si="2"/>
        <v>3.3804819659289226E-3</v>
      </c>
      <c r="Q135" s="50">
        <v>103500</v>
      </c>
    </row>
    <row r="136" spans="1:17" hidden="1" x14ac:dyDescent="0.25">
      <c r="A136" s="44" t="s">
        <v>704</v>
      </c>
      <c r="B136" s="44" t="s">
        <v>642</v>
      </c>
      <c r="C136" s="44" t="s">
        <v>703</v>
      </c>
      <c r="D136" s="44" t="s">
        <v>69</v>
      </c>
      <c r="E136" s="50">
        <v>5571370</v>
      </c>
      <c r="F136" s="50">
        <v>5428485</v>
      </c>
      <c r="G136" s="50">
        <v>5428485</v>
      </c>
      <c r="H136" s="50">
        <v>0</v>
      </c>
      <c r="I136" s="50">
        <v>1663980</v>
      </c>
      <c r="J136" s="50">
        <v>0</v>
      </c>
      <c r="K136" s="50">
        <v>3313450</v>
      </c>
      <c r="L136" s="151">
        <f t="shared" si="0"/>
        <v>0.6103820863463747</v>
      </c>
      <c r="M136" s="50">
        <v>3313450</v>
      </c>
      <c r="N136" s="152">
        <f t="shared" si="1"/>
        <v>0.6103820863463747</v>
      </c>
      <c r="O136" s="50">
        <v>451055</v>
      </c>
      <c r="P136" s="152">
        <f t="shared" si="2"/>
        <v>8.3090401834029201E-2</v>
      </c>
      <c r="Q136" s="50">
        <v>451055</v>
      </c>
    </row>
    <row r="137" spans="1:17" hidden="1" x14ac:dyDescent="0.25">
      <c r="A137" s="44" t="s">
        <v>704</v>
      </c>
      <c r="B137" s="44" t="s">
        <v>260</v>
      </c>
      <c r="C137" s="44" t="s">
        <v>261</v>
      </c>
      <c r="D137" s="44" t="s">
        <v>69</v>
      </c>
      <c r="E137" s="50">
        <v>47000000</v>
      </c>
      <c r="F137" s="50">
        <v>50498000</v>
      </c>
      <c r="G137" s="50">
        <v>50498000</v>
      </c>
      <c r="H137" s="50">
        <v>0</v>
      </c>
      <c r="I137" s="50">
        <v>22000000</v>
      </c>
      <c r="J137" s="50">
        <v>0</v>
      </c>
      <c r="K137" s="50">
        <v>2008867</v>
      </c>
      <c r="L137" s="151">
        <f t="shared" si="0"/>
        <v>3.9781120044358194E-2</v>
      </c>
      <c r="M137" s="50">
        <v>2008867</v>
      </c>
      <c r="N137" s="152">
        <f t="shared" si="1"/>
        <v>3.9781120044358194E-2</v>
      </c>
      <c r="O137" s="50">
        <v>26489133</v>
      </c>
      <c r="P137" s="152">
        <f t="shared" si="2"/>
        <v>0.52455806170541408</v>
      </c>
      <c r="Q137" s="50">
        <v>26489133</v>
      </c>
    </row>
    <row r="138" spans="1:17" hidden="1" x14ac:dyDescent="0.25">
      <c r="A138" s="44" t="s">
        <v>704</v>
      </c>
      <c r="B138" s="44" t="s">
        <v>262</v>
      </c>
      <c r="C138" s="44" t="s">
        <v>263</v>
      </c>
      <c r="D138" s="44" t="s">
        <v>69</v>
      </c>
      <c r="E138" s="50">
        <v>22000000</v>
      </c>
      <c r="F138" s="50">
        <v>43498000</v>
      </c>
      <c r="G138" s="50">
        <v>43498000</v>
      </c>
      <c r="H138" s="50">
        <v>0</v>
      </c>
      <c r="I138" s="50">
        <v>22000000</v>
      </c>
      <c r="J138" s="50">
        <v>0</v>
      </c>
      <c r="K138" s="50">
        <v>0</v>
      </c>
      <c r="L138" s="151">
        <f t="shared" si="0"/>
        <v>0</v>
      </c>
      <c r="M138" s="50">
        <v>0</v>
      </c>
      <c r="N138" s="152">
        <f t="shared" si="1"/>
        <v>0</v>
      </c>
      <c r="O138" s="50">
        <v>21498000</v>
      </c>
      <c r="P138" s="152">
        <f t="shared" si="2"/>
        <v>0.4942296197526323</v>
      </c>
      <c r="Q138" s="50">
        <v>21498000</v>
      </c>
    </row>
    <row r="139" spans="1:17" hidden="1" x14ac:dyDescent="0.25">
      <c r="A139" s="44" t="s">
        <v>704</v>
      </c>
      <c r="B139" s="44" t="s">
        <v>264</v>
      </c>
      <c r="C139" s="44" t="s">
        <v>265</v>
      </c>
      <c r="D139" s="44" t="s">
        <v>69</v>
      </c>
      <c r="E139" s="50">
        <v>25000000</v>
      </c>
      <c r="F139" s="50">
        <v>7000000</v>
      </c>
      <c r="G139" s="50">
        <v>7000000</v>
      </c>
      <c r="H139" s="50">
        <v>0</v>
      </c>
      <c r="I139" s="50">
        <v>0</v>
      </c>
      <c r="J139" s="50">
        <v>0</v>
      </c>
      <c r="K139" s="50">
        <v>2008867</v>
      </c>
      <c r="L139" s="151">
        <f t="shared" si="0"/>
        <v>0.28698099999999999</v>
      </c>
      <c r="M139" s="50">
        <v>2008867</v>
      </c>
      <c r="N139" s="152">
        <f t="shared" si="1"/>
        <v>0.28698099999999999</v>
      </c>
      <c r="O139" s="50">
        <v>4991133</v>
      </c>
      <c r="P139" s="152">
        <f t="shared" si="2"/>
        <v>0.71301899999999996</v>
      </c>
      <c r="Q139" s="50">
        <v>4991133</v>
      </c>
    </row>
    <row r="140" spans="1:17" hidden="1" x14ac:dyDescent="0.25">
      <c r="A140" s="44" t="s">
        <v>704</v>
      </c>
      <c r="B140" s="44" t="s">
        <v>266</v>
      </c>
      <c r="C140" s="44" t="s">
        <v>267</v>
      </c>
      <c r="D140" s="44" t="s">
        <v>69</v>
      </c>
      <c r="E140" s="50">
        <v>423304895</v>
      </c>
      <c r="F140" s="50">
        <v>422694895</v>
      </c>
      <c r="G140" s="50">
        <v>331277395.89999998</v>
      </c>
      <c r="H140" s="50">
        <v>0</v>
      </c>
      <c r="I140" s="50">
        <v>46872952.899999999</v>
      </c>
      <c r="J140" s="50">
        <v>0</v>
      </c>
      <c r="K140" s="50">
        <v>274246943.10000002</v>
      </c>
      <c r="L140" s="151">
        <f t="shared" si="0"/>
        <v>0.6488059031325657</v>
      </c>
      <c r="M140" s="50">
        <v>274246943.10000002</v>
      </c>
      <c r="N140" s="152">
        <f t="shared" si="1"/>
        <v>0.6488059031325657</v>
      </c>
      <c r="O140" s="50">
        <v>101574999</v>
      </c>
      <c r="P140" s="152">
        <f t="shared" si="2"/>
        <v>0.24030334929878913</v>
      </c>
      <c r="Q140" s="50">
        <v>10157499.9</v>
      </c>
    </row>
    <row r="141" spans="1:17" hidden="1" x14ac:dyDescent="0.25">
      <c r="A141" s="44" t="s">
        <v>704</v>
      </c>
      <c r="B141" s="44" t="s">
        <v>664</v>
      </c>
      <c r="C141" s="44" t="s">
        <v>269</v>
      </c>
      <c r="D141" s="44" t="s">
        <v>69</v>
      </c>
      <c r="E141" s="50">
        <v>406300000</v>
      </c>
      <c r="F141" s="50">
        <v>406300000</v>
      </c>
      <c r="G141" s="50">
        <v>314882500.89999998</v>
      </c>
      <c r="H141" s="50">
        <v>0</v>
      </c>
      <c r="I141" s="50">
        <v>33858333</v>
      </c>
      <c r="J141" s="50">
        <v>0</v>
      </c>
      <c r="K141" s="50">
        <v>270866668</v>
      </c>
      <c r="L141" s="151">
        <f t="shared" si="0"/>
        <v>0.66666666994831403</v>
      </c>
      <c r="M141" s="50">
        <v>270866668</v>
      </c>
      <c r="N141" s="152">
        <f t="shared" si="1"/>
        <v>0.66666666994831403</v>
      </c>
      <c r="O141" s="50">
        <v>101574999</v>
      </c>
      <c r="P141" s="152">
        <f t="shared" si="2"/>
        <v>0.24999999753876445</v>
      </c>
      <c r="Q141" s="50">
        <v>10157499.9</v>
      </c>
    </row>
    <row r="142" spans="1:17" hidden="1" x14ac:dyDescent="0.25">
      <c r="A142" s="44" t="s">
        <v>704</v>
      </c>
      <c r="B142" s="44" t="s">
        <v>666</v>
      </c>
      <c r="C142" s="44" t="s">
        <v>705</v>
      </c>
      <c r="D142" s="44" t="s">
        <v>69</v>
      </c>
      <c r="E142" s="50">
        <v>13007200</v>
      </c>
      <c r="F142" s="50">
        <v>13007200</v>
      </c>
      <c r="G142" s="50">
        <v>13007200</v>
      </c>
      <c r="H142" s="50">
        <v>0</v>
      </c>
      <c r="I142" s="50">
        <v>13007200</v>
      </c>
      <c r="J142" s="50">
        <v>0</v>
      </c>
      <c r="K142" s="50">
        <v>0</v>
      </c>
      <c r="L142" s="151">
        <f t="shared" si="0"/>
        <v>0</v>
      </c>
      <c r="M142" s="50">
        <v>0</v>
      </c>
      <c r="N142" s="152">
        <f t="shared" si="1"/>
        <v>0</v>
      </c>
      <c r="O142" s="50">
        <v>0</v>
      </c>
      <c r="P142" s="152">
        <f t="shared" si="2"/>
        <v>0</v>
      </c>
      <c r="Q142" s="50">
        <v>0</v>
      </c>
    </row>
    <row r="143" spans="1:17" hidden="1" x14ac:dyDescent="0.25">
      <c r="A143" s="44" t="s">
        <v>704</v>
      </c>
      <c r="B143" s="44" t="s">
        <v>668</v>
      </c>
      <c r="C143" s="44" t="s">
        <v>273</v>
      </c>
      <c r="D143" s="44" t="s">
        <v>69</v>
      </c>
      <c r="E143" s="50">
        <v>3997695</v>
      </c>
      <c r="F143" s="50">
        <v>3387695</v>
      </c>
      <c r="G143" s="50">
        <v>3387695</v>
      </c>
      <c r="H143" s="50">
        <v>0</v>
      </c>
      <c r="I143" s="50">
        <v>7419.9</v>
      </c>
      <c r="J143" s="50">
        <v>0</v>
      </c>
      <c r="K143" s="50">
        <v>3380275.1</v>
      </c>
      <c r="L143" s="151">
        <f t="shared" si="0"/>
        <v>0.99780974969706548</v>
      </c>
      <c r="M143" s="50">
        <v>3380275.1</v>
      </c>
      <c r="N143" s="152">
        <f t="shared" si="1"/>
        <v>0.99780974969706548</v>
      </c>
      <c r="O143" s="50">
        <v>0</v>
      </c>
      <c r="P143" s="152">
        <f t="shared" si="2"/>
        <v>0</v>
      </c>
      <c r="Q143" s="50">
        <v>0</v>
      </c>
    </row>
    <row r="144" spans="1:17" hidden="1" x14ac:dyDescent="0.25">
      <c r="A144" s="44">
        <v>214788</v>
      </c>
      <c r="B144" s="44"/>
      <c r="C144" s="44"/>
      <c r="D144" s="44" t="s">
        <v>69</v>
      </c>
      <c r="E144" s="50">
        <v>3537393833</v>
      </c>
      <c r="F144" s="50">
        <v>2849531919</v>
      </c>
      <c r="G144" s="50">
        <v>2410170782.73</v>
      </c>
      <c r="H144" s="50">
        <v>20817388.710000001</v>
      </c>
      <c r="I144" s="50">
        <v>321029821.63999999</v>
      </c>
      <c r="J144" s="50">
        <v>83731481.129999995</v>
      </c>
      <c r="K144" s="50">
        <v>1252934405.0599999</v>
      </c>
      <c r="L144" s="151">
        <f t="shared" si="0"/>
        <v>0.43969832262826458</v>
      </c>
      <c r="M144" s="50">
        <v>1252768437.8599999</v>
      </c>
      <c r="N144" s="152">
        <f t="shared" si="1"/>
        <v>0.4396400789571222</v>
      </c>
      <c r="O144" s="50">
        <v>1171018822.46</v>
      </c>
      <c r="P144" s="152">
        <f t="shared" si="2"/>
        <v>0.41095129156193183</v>
      </c>
      <c r="Q144" s="50">
        <v>731657686.19000006</v>
      </c>
    </row>
    <row r="145" spans="1:17" hidden="1" x14ac:dyDescent="0.25">
      <c r="A145" s="44" t="s">
        <v>706</v>
      </c>
      <c r="B145" s="44" t="s">
        <v>71</v>
      </c>
      <c r="C145" s="44" t="s">
        <v>72</v>
      </c>
      <c r="D145" s="44" t="s">
        <v>69</v>
      </c>
      <c r="E145" s="50">
        <v>1329087181</v>
      </c>
      <c r="F145" s="50">
        <v>1295200816</v>
      </c>
      <c r="G145" s="50">
        <v>1199332801</v>
      </c>
      <c r="H145" s="50">
        <v>0</v>
      </c>
      <c r="I145" s="50">
        <v>80721694.959999993</v>
      </c>
      <c r="J145" s="50">
        <v>0</v>
      </c>
      <c r="K145" s="50">
        <v>732675755.10000002</v>
      </c>
      <c r="L145" s="151">
        <f t="shared" si="0"/>
        <v>0.56568506292540821</v>
      </c>
      <c r="M145" s="50">
        <v>732675755.10000002</v>
      </c>
      <c r="N145" s="152">
        <f t="shared" si="1"/>
        <v>0.56568506292540821</v>
      </c>
      <c r="O145" s="50">
        <v>481803365.94</v>
      </c>
      <c r="P145" s="152">
        <f t="shared" si="2"/>
        <v>0.37199124644467485</v>
      </c>
      <c r="Q145" s="50">
        <v>385935350.94</v>
      </c>
    </row>
    <row r="146" spans="1:17" hidden="1" x14ac:dyDescent="0.25">
      <c r="A146" s="44" t="s">
        <v>706</v>
      </c>
      <c r="B146" s="44" t="s">
        <v>73</v>
      </c>
      <c r="C146" s="44" t="s">
        <v>74</v>
      </c>
      <c r="D146" s="44" t="s">
        <v>69</v>
      </c>
      <c r="E146" s="50">
        <v>512821400</v>
      </c>
      <c r="F146" s="50">
        <v>494422100</v>
      </c>
      <c r="G146" s="50">
        <v>405152462</v>
      </c>
      <c r="H146" s="50">
        <v>0</v>
      </c>
      <c r="I146" s="50">
        <v>0</v>
      </c>
      <c r="J146" s="50">
        <v>0</v>
      </c>
      <c r="K146" s="50">
        <v>301915355.62</v>
      </c>
      <c r="L146" s="151">
        <f t="shared" si="0"/>
        <v>0.61064292154416233</v>
      </c>
      <c r="M146" s="50">
        <v>301915355.62</v>
      </c>
      <c r="N146" s="152">
        <f t="shared" si="1"/>
        <v>0.61064292154416233</v>
      </c>
      <c r="O146" s="50">
        <v>192506744.38</v>
      </c>
      <c r="P146" s="152">
        <f t="shared" si="2"/>
        <v>0.38935707845583761</v>
      </c>
      <c r="Q146" s="50">
        <v>103237106.38</v>
      </c>
    </row>
    <row r="147" spans="1:17" hidden="1" x14ac:dyDescent="0.25">
      <c r="A147" s="44" t="s">
        <v>706</v>
      </c>
      <c r="B147" s="44" t="s">
        <v>75</v>
      </c>
      <c r="C147" s="44" t="s">
        <v>76</v>
      </c>
      <c r="D147" s="44" t="s">
        <v>69</v>
      </c>
      <c r="E147" s="50">
        <v>507821400</v>
      </c>
      <c r="F147" s="50">
        <v>493222100</v>
      </c>
      <c r="G147" s="50">
        <v>403952462</v>
      </c>
      <c r="H147" s="50">
        <v>0</v>
      </c>
      <c r="I147" s="50">
        <v>0</v>
      </c>
      <c r="J147" s="50">
        <v>0</v>
      </c>
      <c r="K147" s="50">
        <v>301915355.62</v>
      </c>
      <c r="L147" s="151">
        <f t="shared" si="0"/>
        <v>0.61212860417244075</v>
      </c>
      <c r="M147" s="50">
        <v>301915355.62</v>
      </c>
      <c r="N147" s="152">
        <f t="shared" si="1"/>
        <v>0.61212860417244075</v>
      </c>
      <c r="O147" s="50">
        <v>191306744.38</v>
      </c>
      <c r="P147" s="152">
        <f t="shared" si="2"/>
        <v>0.3878713958275592</v>
      </c>
      <c r="Q147" s="50">
        <v>102037106.38</v>
      </c>
    </row>
    <row r="148" spans="1:17" x14ac:dyDescent="0.25">
      <c r="A148" s="181" t="s">
        <v>706</v>
      </c>
      <c r="B148" s="181" t="s">
        <v>291</v>
      </c>
      <c r="C148" s="181" t="s">
        <v>292</v>
      </c>
      <c r="D148" s="181" t="s">
        <v>69</v>
      </c>
      <c r="E148" s="182">
        <v>5000000</v>
      </c>
      <c r="F148" s="182">
        <v>1200000</v>
      </c>
      <c r="G148" s="182">
        <v>1200000</v>
      </c>
      <c r="H148" s="182">
        <v>0</v>
      </c>
      <c r="I148" s="182">
        <v>0</v>
      </c>
      <c r="J148" s="182">
        <v>0</v>
      </c>
      <c r="K148" s="182">
        <v>0</v>
      </c>
      <c r="L148" s="183">
        <f t="shared" si="0"/>
        <v>0</v>
      </c>
      <c r="M148" s="182">
        <v>0</v>
      </c>
      <c r="N148" s="184">
        <f t="shared" si="1"/>
        <v>0</v>
      </c>
      <c r="O148" s="182">
        <v>1200000</v>
      </c>
      <c r="P148" s="184">
        <f t="shared" si="2"/>
        <v>1</v>
      </c>
      <c r="Q148" s="182">
        <v>1200000</v>
      </c>
    </row>
    <row r="149" spans="1:17" hidden="1" x14ac:dyDescent="0.25">
      <c r="A149" s="181" t="s">
        <v>706</v>
      </c>
      <c r="B149" s="181" t="s">
        <v>293</v>
      </c>
      <c r="C149" s="181" t="s">
        <v>294</v>
      </c>
      <c r="D149" s="181" t="s">
        <v>69</v>
      </c>
      <c r="E149" s="182">
        <v>11000000</v>
      </c>
      <c r="F149" s="182">
        <v>11000000</v>
      </c>
      <c r="G149" s="182">
        <v>11000000</v>
      </c>
      <c r="H149" s="182">
        <v>0</v>
      </c>
      <c r="I149" s="182">
        <v>0</v>
      </c>
      <c r="J149" s="182">
        <v>0</v>
      </c>
      <c r="K149" s="182">
        <v>2313938</v>
      </c>
      <c r="L149" s="183">
        <f t="shared" si="0"/>
        <v>0.21035799999999999</v>
      </c>
      <c r="M149" s="182">
        <v>2313938</v>
      </c>
      <c r="N149" s="184">
        <f t="shared" si="1"/>
        <v>0.21035799999999999</v>
      </c>
      <c r="O149" s="182">
        <v>8686062</v>
      </c>
      <c r="P149" s="184">
        <f t="shared" si="2"/>
        <v>0.78964199999999996</v>
      </c>
      <c r="Q149" s="182">
        <v>8686062</v>
      </c>
    </row>
    <row r="150" spans="1:17" hidden="1" x14ac:dyDescent="0.25">
      <c r="A150" s="181" t="s">
        <v>706</v>
      </c>
      <c r="B150" s="181" t="s">
        <v>295</v>
      </c>
      <c r="C150" s="181" t="s">
        <v>296</v>
      </c>
      <c r="D150" s="181" t="s">
        <v>69</v>
      </c>
      <c r="E150" s="182">
        <v>11000000</v>
      </c>
      <c r="F150" s="182">
        <v>11000000</v>
      </c>
      <c r="G150" s="182">
        <v>11000000</v>
      </c>
      <c r="H150" s="182">
        <v>0</v>
      </c>
      <c r="I150" s="182">
        <v>0</v>
      </c>
      <c r="J150" s="182">
        <v>0</v>
      </c>
      <c r="K150" s="182">
        <v>2313938</v>
      </c>
      <c r="L150" s="183">
        <f t="shared" si="0"/>
        <v>0.21035799999999999</v>
      </c>
      <c r="M150" s="182">
        <v>2313938</v>
      </c>
      <c r="N150" s="184">
        <f t="shared" si="1"/>
        <v>0.21035799999999999</v>
      </c>
      <c r="O150" s="182">
        <v>8686062</v>
      </c>
      <c r="P150" s="184">
        <f t="shared" si="2"/>
        <v>0.78964199999999996</v>
      </c>
      <c r="Q150" s="182">
        <v>8686062</v>
      </c>
    </row>
    <row r="151" spans="1:17" hidden="1" x14ac:dyDescent="0.25">
      <c r="A151" s="181" t="s">
        <v>706</v>
      </c>
      <c r="B151" s="181" t="s">
        <v>77</v>
      </c>
      <c r="C151" s="181" t="s">
        <v>78</v>
      </c>
      <c r="D151" s="181" t="s">
        <v>69</v>
      </c>
      <c r="E151" s="182">
        <v>602518513</v>
      </c>
      <c r="F151" s="182">
        <v>592617728</v>
      </c>
      <c r="G151" s="182">
        <v>586019351</v>
      </c>
      <c r="H151" s="182">
        <v>0</v>
      </c>
      <c r="I151" s="182">
        <v>0.01</v>
      </c>
      <c r="J151" s="182">
        <v>0</v>
      </c>
      <c r="K151" s="182">
        <v>312007168.43000001</v>
      </c>
      <c r="L151" s="183">
        <f t="shared" si="0"/>
        <v>0.52648976513574697</v>
      </c>
      <c r="M151" s="182">
        <v>312007168.43000001</v>
      </c>
      <c r="N151" s="184">
        <f t="shared" si="1"/>
        <v>0.52648976513574697</v>
      </c>
      <c r="O151" s="182">
        <v>280610559.56</v>
      </c>
      <c r="P151" s="184">
        <f t="shared" si="2"/>
        <v>0.4735102348473787</v>
      </c>
      <c r="Q151" s="182">
        <v>274012182.56</v>
      </c>
    </row>
    <row r="152" spans="1:17" hidden="1" x14ac:dyDescent="0.25">
      <c r="A152" s="181" t="s">
        <v>706</v>
      </c>
      <c r="B152" s="181" t="s">
        <v>79</v>
      </c>
      <c r="C152" s="181" t="s">
        <v>80</v>
      </c>
      <c r="D152" s="181" t="s">
        <v>69</v>
      </c>
      <c r="E152" s="182">
        <v>160994500</v>
      </c>
      <c r="F152" s="182">
        <v>160412072</v>
      </c>
      <c r="G152" s="182">
        <v>153813695</v>
      </c>
      <c r="H152" s="182">
        <v>0</v>
      </c>
      <c r="I152" s="182">
        <v>0.01</v>
      </c>
      <c r="J152" s="182">
        <v>0</v>
      </c>
      <c r="K152" s="182">
        <v>90746851.760000005</v>
      </c>
      <c r="L152" s="183">
        <f t="shared" si="0"/>
        <v>0.5657108634567104</v>
      </c>
      <c r="M152" s="182">
        <v>90746851.760000005</v>
      </c>
      <c r="N152" s="184">
        <f t="shared" si="1"/>
        <v>0.5657108634567104</v>
      </c>
      <c r="O152" s="182">
        <v>69665220.230000004</v>
      </c>
      <c r="P152" s="184">
        <f t="shared" si="2"/>
        <v>0.43428913648095019</v>
      </c>
      <c r="Q152" s="182">
        <v>63066843.229999997</v>
      </c>
    </row>
    <row r="153" spans="1:17" hidden="1" x14ac:dyDescent="0.25">
      <c r="A153" s="181" t="s">
        <v>706</v>
      </c>
      <c r="B153" s="181" t="s">
        <v>81</v>
      </c>
      <c r="C153" s="181" t="s">
        <v>82</v>
      </c>
      <c r="D153" s="181" t="s">
        <v>69</v>
      </c>
      <c r="E153" s="182">
        <v>218799248</v>
      </c>
      <c r="F153" s="182">
        <v>212368846</v>
      </c>
      <c r="G153" s="182">
        <v>212368846</v>
      </c>
      <c r="H153" s="182">
        <v>0</v>
      </c>
      <c r="I153" s="182">
        <v>0</v>
      </c>
      <c r="J153" s="182">
        <v>0</v>
      </c>
      <c r="K153" s="182">
        <v>118177048.91</v>
      </c>
      <c r="L153" s="183">
        <f t="shared" si="0"/>
        <v>0.55647074011034559</v>
      </c>
      <c r="M153" s="182">
        <v>118177048.91</v>
      </c>
      <c r="N153" s="184">
        <f t="shared" si="1"/>
        <v>0.55647074011034559</v>
      </c>
      <c r="O153" s="182">
        <v>94191797.090000004</v>
      </c>
      <c r="P153" s="184">
        <f t="shared" si="2"/>
        <v>0.44352925988965447</v>
      </c>
      <c r="Q153" s="182">
        <v>94191797.090000004</v>
      </c>
    </row>
    <row r="154" spans="1:17" x14ac:dyDescent="0.25">
      <c r="A154" s="181" t="s">
        <v>706</v>
      </c>
      <c r="B154" s="181" t="s">
        <v>83</v>
      </c>
      <c r="C154" s="181" t="s">
        <v>84</v>
      </c>
      <c r="D154" s="181" t="s">
        <v>85</v>
      </c>
      <c r="E154" s="182">
        <v>86609465</v>
      </c>
      <c r="F154" s="182">
        <v>84218160</v>
      </c>
      <c r="G154" s="182">
        <v>84218160</v>
      </c>
      <c r="H154" s="182">
        <v>0</v>
      </c>
      <c r="I154" s="182">
        <v>0</v>
      </c>
      <c r="J154" s="182">
        <v>0</v>
      </c>
      <c r="K154" s="182">
        <v>90100</v>
      </c>
      <c r="L154" s="183">
        <f t="shared" si="0"/>
        <v>1.0698405189569565E-3</v>
      </c>
      <c r="M154" s="182">
        <v>90100</v>
      </c>
      <c r="N154" s="184">
        <f t="shared" si="1"/>
        <v>1.0698405189569565E-3</v>
      </c>
      <c r="O154" s="182">
        <v>84128060</v>
      </c>
      <c r="P154" s="184">
        <f t="shared" si="2"/>
        <v>0.99893015948104302</v>
      </c>
      <c r="Q154" s="182">
        <v>84128060</v>
      </c>
    </row>
    <row r="155" spans="1:17" x14ac:dyDescent="0.25">
      <c r="A155" s="181" t="s">
        <v>706</v>
      </c>
      <c r="B155" s="181" t="s">
        <v>86</v>
      </c>
      <c r="C155" s="181" t="s">
        <v>87</v>
      </c>
      <c r="D155" s="181" t="s">
        <v>69</v>
      </c>
      <c r="E155" s="182">
        <v>79437600</v>
      </c>
      <c r="F155" s="182">
        <v>79437600</v>
      </c>
      <c r="G155" s="182">
        <v>79437600</v>
      </c>
      <c r="H155" s="182">
        <v>0</v>
      </c>
      <c r="I155" s="182">
        <v>0</v>
      </c>
      <c r="J155" s="182">
        <v>0</v>
      </c>
      <c r="K155" s="182">
        <v>70693690.870000005</v>
      </c>
      <c r="L155" s="183">
        <f t="shared" si="0"/>
        <v>0.88992732496953586</v>
      </c>
      <c r="M155" s="182">
        <v>70693690.870000005</v>
      </c>
      <c r="N155" s="184">
        <f t="shared" si="1"/>
        <v>0.88992732496953586</v>
      </c>
      <c r="O155" s="182">
        <v>8743909.1300000008</v>
      </c>
      <c r="P155" s="184">
        <f t="shared" si="2"/>
        <v>0.11007267503046417</v>
      </c>
      <c r="Q155" s="182">
        <v>8743909.1300000008</v>
      </c>
    </row>
    <row r="156" spans="1:17" hidden="1" x14ac:dyDescent="0.25">
      <c r="A156" s="181" t="s">
        <v>706</v>
      </c>
      <c r="B156" s="181" t="s">
        <v>88</v>
      </c>
      <c r="C156" s="181" t="s">
        <v>89</v>
      </c>
      <c r="D156" s="181" t="s">
        <v>69</v>
      </c>
      <c r="E156" s="182">
        <v>56677700</v>
      </c>
      <c r="F156" s="182">
        <v>56181050</v>
      </c>
      <c r="G156" s="182">
        <v>56181050</v>
      </c>
      <c r="H156" s="182">
        <v>0</v>
      </c>
      <c r="I156" s="182">
        <v>0</v>
      </c>
      <c r="J156" s="182">
        <v>0</v>
      </c>
      <c r="K156" s="182">
        <v>32299476.890000001</v>
      </c>
      <c r="L156" s="183">
        <f t="shared" si="0"/>
        <v>0.57491764376066312</v>
      </c>
      <c r="M156" s="182">
        <v>32299476.890000001</v>
      </c>
      <c r="N156" s="184">
        <f t="shared" si="1"/>
        <v>0.57491764376066312</v>
      </c>
      <c r="O156" s="182">
        <v>23881573.109999999</v>
      </c>
      <c r="P156" s="184">
        <f t="shared" si="2"/>
        <v>0.42508235623933693</v>
      </c>
      <c r="Q156" s="182">
        <v>23881573.109999999</v>
      </c>
    </row>
    <row r="157" spans="1:17" hidden="1" x14ac:dyDescent="0.25">
      <c r="A157" s="181" t="s">
        <v>706</v>
      </c>
      <c r="B157" s="181" t="s">
        <v>90</v>
      </c>
      <c r="C157" s="181" t="s">
        <v>91</v>
      </c>
      <c r="D157" s="181" t="s">
        <v>69</v>
      </c>
      <c r="E157" s="182">
        <v>101373634</v>
      </c>
      <c r="F157" s="182">
        <v>98580493</v>
      </c>
      <c r="G157" s="182">
        <v>98580493</v>
      </c>
      <c r="H157" s="182">
        <v>0</v>
      </c>
      <c r="I157" s="182">
        <v>40050979.020000003</v>
      </c>
      <c r="J157" s="182">
        <v>0</v>
      </c>
      <c r="K157" s="182">
        <v>58529513.979999997</v>
      </c>
      <c r="L157" s="183">
        <f t="shared" si="0"/>
        <v>0.59372308048814482</v>
      </c>
      <c r="M157" s="182">
        <v>58529513.979999997</v>
      </c>
      <c r="N157" s="184">
        <f t="shared" si="1"/>
        <v>0.59372308048814482</v>
      </c>
      <c r="O157" s="182">
        <v>0</v>
      </c>
      <c r="P157" s="184">
        <f t="shared" si="2"/>
        <v>0</v>
      </c>
      <c r="Q157" s="182">
        <v>0</v>
      </c>
    </row>
    <row r="158" spans="1:17" hidden="1" x14ac:dyDescent="0.25">
      <c r="A158" s="181" t="s">
        <v>706</v>
      </c>
      <c r="B158" s="181" t="s">
        <v>419</v>
      </c>
      <c r="C158" s="181" t="s">
        <v>697</v>
      </c>
      <c r="D158" s="181" t="s">
        <v>69</v>
      </c>
      <c r="E158" s="182">
        <v>96175035</v>
      </c>
      <c r="F158" s="182">
        <v>93525131</v>
      </c>
      <c r="G158" s="182">
        <v>93525131</v>
      </c>
      <c r="H158" s="182">
        <v>0</v>
      </c>
      <c r="I158" s="182">
        <v>37997049.049999997</v>
      </c>
      <c r="J158" s="182">
        <v>0</v>
      </c>
      <c r="K158" s="182">
        <v>55528081.950000003</v>
      </c>
      <c r="L158" s="183">
        <f t="shared" si="0"/>
        <v>0.5937236479251764</v>
      </c>
      <c r="M158" s="182">
        <v>55528081.950000003</v>
      </c>
      <c r="N158" s="184">
        <f t="shared" si="1"/>
        <v>0.5937236479251764</v>
      </c>
      <c r="O158" s="182">
        <v>0</v>
      </c>
      <c r="P158" s="184">
        <f t="shared" si="2"/>
        <v>0</v>
      </c>
      <c r="Q158" s="182">
        <v>0</v>
      </c>
    </row>
    <row r="159" spans="1:17" hidden="1" x14ac:dyDescent="0.25">
      <c r="A159" s="181" t="s">
        <v>706</v>
      </c>
      <c r="B159" s="181" t="s">
        <v>436</v>
      </c>
      <c r="C159" s="181" t="s">
        <v>95</v>
      </c>
      <c r="D159" s="181" t="s">
        <v>69</v>
      </c>
      <c r="E159" s="182">
        <v>5198599</v>
      </c>
      <c r="F159" s="182">
        <v>5055362</v>
      </c>
      <c r="G159" s="182">
        <v>5055362</v>
      </c>
      <c r="H159" s="182">
        <v>0</v>
      </c>
      <c r="I159" s="182">
        <v>2053929.97</v>
      </c>
      <c r="J159" s="182">
        <v>0</v>
      </c>
      <c r="K159" s="182">
        <v>3001432.03</v>
      </c>
      <c r="L159" s="183">
        <f t="shared" si="0"/>
        <v>0.59371258279822492</v>
      </c>
      <c r="M159" s="182">
        <v>3001432.03</v>
      </c>
      <c r="N159" s="184">
        <f t="shared" si="1"/>
        <v>0.59371258279822492</v>
      </c>
      <c r="O159" s="182">
        <v>0</v>
      </c>
      <c r="P159" s="184">
        <f t="shared" si="2"/>
        <v>0</v>
      </c>
      <c r="Q159" s="182">
        <v>0</v>
      </c>
    </row>
    <row r="160" spans="1:17" hidden="1" x14ac:dyDescent="0.25">
      <c r="A160" s="181" t="s">
        <v>706</v>
      </c>
      <c r="B160" s="181" t="s">
        <v>96</v>
      </c>
      <c r="C160" s="181" t="s">
        <v>97</v>
      </c>
      <c r="D160" s="181" t="s">
        <v>69</v>
      </c>
      <c r="E160" s="182">
        <v>101373634</v>
      </c>
      <c r="F160" s="182">
        <v>98580495</v>
      </c>
      <c r="G160" s="182">
        <v>98580495</v>
      </c>
      <c r="H160" s="182">
        <v>0</v>
      </c>
      <c r="I160" s="182">
        <v>40670715.93</v>
      </c>
      <c r="J160" s="182">
        <v>0</v>
      </c>
      <c r="K160" s="182">
        <v>57909779.07</v>
      </c>
      <c r="L160" s="183">
        <f t="shared" si="0"/>
        <v>0.58743648091846157</v>
      </c>
      <c r="M160" s="182">
        <v>57909779.07</v>
      </c>
      <c r="N160" s="184">
        <f t="shared" si="1"/>
        <v>0.58743648091846157</v>
      </c>
      <c r="O160" s="182">
        <v>0</v>
      </c>
      <c r="P160" s="184">
        <f t="shared" si="2"/>
        <v>0</v>
      </c>
      <c r="Q160" s="182">
        <v>0</v>
      </c>
    </row>
    <row r="161" spans="1:17" hidden="1" x14ac:dyDescent="0.25">
      <c r="A161" s="181" t="s">
        <v>706</v>
      </c>
      <c r="B161" s="181" t="s">
        <v>454</v>
      </c>
      <c r="C161" s="181" t="s">
        <v>698</v>
      </c>
      <c r="D161" s="181" t="s">
        <v>69</v>
      </c>
      <c r="E161" s="182">
        <v>54585842</v>
      </c>
      <c r="F161" s="182">
        <v>53081843</v>
      </c>
      <c r="G161" s="182">
        <v>53081843</v>
      </c>
      <c r="H161" s="182">
        <v>0</v>
      </c>
      <c r="I161" s="182">
        <v>22184957.890000001</v>
      </c>
      <c r="J161" s="182">
        <v>0</v>
      </c>
      <c r="K161" s="182">
        <v>30896885.109999999</v>
      </c>
      <c r="L161" s="183">
        <f t="shared" si="0"/>
        <v>0.58206127300440569</v>
      </c>
      <c r="M161" s="182">
        <v>30896885.109999999</v>
      </c>
      <c r="N161" s="184">
        <f t="shared" si="1"/>
        <v>0.58206127300440569</v>
      </c>
      <c r="O161" s="182">
        <v>0</v>
      </c>
      <c r="P161" s="184">
        <f t="shared" si="2"/>
        <v>0</v>
      </c>
      <c r="Q161" s="182">
        <v>0</v>
      </c>
    </row>
    <row r="162" spans="1:17" hidden="1" x14ac:dyDescent="0.25">
      <c r="A162" s="181" t="s">
        <v>706</v>
      </c>
      <c r="B162" s="181" t="s">
        <v>471</v>
      </c>
      <c r="C162" s="181" t="s">
        <v>699</v>
      </c>
      <c r="D162" s="181" t="s">
        <v>69</v>
      </c>
      <c r="E162" s="182">
        <v>15595897</v>
      </c>
      <c r="F162" s="182">
        <v>15166184</v>
      </c>
      <c r="G162" s="182">
        <v>15166184</v>
      </c>
      <c r="H162" s="182">
        <v>0</v>
      </c>
      <c r="I162" s="182">
        <v>6161880.0800000001</v>
      </c>
      <c r="J162" s="182">
        <v>0</v>
      </c>
      <c r="K162" s="182">
        <v>9004303.9199999999</v>
      </c>
      <c r="L162" s="183">
        <f t="shared" si="0"/>
        <v>0.59370926265961166</v>
      </c>
      <c r="M162" s="182">
        <v>9004303.9199999999</v>
      </c>
      <c r="N162" s="184">
        <f t="shared" si="1"/>
        <v>0.59370926265961166</v>
      </c>
      <c r="O162" s="182">
        <v>0</v>
      </c>
      <c r="P162" s="184">
        <f t="shared" si="2"/>
        <v>0</v>
      </c>
      <c r="Q162" s="182">
        <v>0</v>
      </c>
    </row>
    <row r="163" spans="1:17" hidden="1" x14ac:dyDescent="0.25">
      <c r="A163" s="181" t="s">
        <v>706</v>
      </c>
      <c r="B163" s="181" t="s">
        <v>488</v>
      </c>
      <c r="C163" s="181" t="s">
        <v>700</v>
      </c>
      <c r="D163" s="181" t="s">
        <v>69</v>
      </c>
      <c r="E163" s="182">
        <v>31191895</v>
      </c>
      <c r="F163" s="182">
        <v>30332468</v>
      </c>
      <c r="G163" s="182">
        <v>30332468</v>
      </c>
      <c r="H163" s="182">
        <v>0</v>
      </c>
      <c r="I163" s="182">
        <v>12323877.960000001</v>
      </c>
      <c r="J163" s="182">
        <v>0</v>
      </c>
      <c r="K163" s="182">
        <v>18008590.039999999</v>
      </c>
      <c r="L163" s="183">
        <f t="shared" si="0"/>
        <v>0.59370671849056267</v>
      </c>
      <c r="M163" s="182">
        <v>18008590.039999999</v>
      </c>
      <c r="N163" s="184">
        <f t="shared" si="1"/>
        <v>0.59370671849056267</v>
      </c>
      <c r="O163" s="182">
        <v>0</v>
      </c>
      <c r="P163" s="184">
        <f t="shared" si="2"/>
        <v>0</v>
      </c>
      <c r="Q163" s="182">
        <v>0</v>
      </c>
    </row>
    <row r="164" spans="1:17" hidden="1" x14ac:dyDescent="0.25">
      <c r="A164" s="181" t="s">
        <v>706</v>
      </c>
      <c r="B164" s="181" t="s">
        <v>104</v>
      </c>
      <c r="C164" s="181" t="s">
        <v>105</v>
      </c>
      <c r="D164" s="181" t="s">
        <v>69</v>
      </c>
      <c r="E164" s="182">
        <v>1188545520</v>
      </c>
      <c r="F164" s="182">
        <v>1240795520</v>
      </c>
      <c r="G164" s="182">
        <v>949539937.21000004</v>
      </c>
      <c r="H164" s="182">
        <v>95900</v>
      </c>
      <c r="I164" s="182">
        <v>199575114.84</v>
      </c>
      <c r="J164" s="182">
        <v>64752758.200000003</v>
      </c>
      <c r="K164" s="182">
        <v>468428682.85000002</v>
      </c>
      <c r="L164" s="183">
        <f t="shared" si="0"/>
        <v>0.37752286762769743</v>
      </c>
      <c r="M164" s="182">
        <v>468262715.64999998</v>
      </c>
      <c r="N164" s="184">
        <f t="shared" si="1"/>
        <v>0.37738910892424882</v>
      </c>
      <c r="O164" s="182">
        <v>507943064.11000001</v>
      </c>
      <c r="P164" s="184">
        <f t="shared" si="2"/>
        <v>0.4093688733740754</v>
      </c>
      <c r="Q164" s="182">
        <v>216687481.31999999</v>
      </c>
    </row>
    <row r="165" spans="1:17" hidden="1" x14ac:dyDescent="0.25">
      <c r="A165" s="181" t="s">
        <v>706</v>
      </c>
      <c r="B165" s="181" t="s">
        <v>106</v>
      </c>
      <c r="C165" s="181" t="s">
        <v>107</v>
      </c>
      <c r="D165" s="181" t="s">
        <v>69</v>
      </c>
      <c r="E165" s="182">
        <v>411755980</v>
      </c>
      <c r="F165" s="182">
        <v>427355497.89999998</v>
      </c>
      <c r="G165" s="182">
        <v>325782413.72000003</v>
      </c>
      <c r="H165" s="182">
        <v>0</v>
      </c>
      <c r="I165" s="182">
        <v>59268816.75</v>
      </c>
      <c r="J165" s="182">
        <v>33340482.329999998</v>
      </c>
      <c r="K165" s="182">
        <v>159038443.27000001</v>
      </c>
      <c r="L165" s="183">
        <f t="shared" si="0"/>
        <v>0.37214554171294312</v>
      </c>
      <c r="M165" s="182">
        <v>159038443.27000001</v>
      </c>
      <c r="N165" s="184">
        <f t="shared" si="1"/>
        <v>0.37214554171294312</v>
      </c>
      <c r="O165" s="182">
        <v>175707755.55000001</v>
      </c>
      <c r="P165" s="184">
        <f t="shared" si="2"/>
        <v>0.41115126964182674</v>
      </c>
      <c r="Q165" s="182">
        <v>74134671.370000005</v>
      </c>
    </row>
    <row r="166" spans="1:17" hidden="1" x14ac:dyDescent="0.25">
      <c r="A166" s="181" t="s">
        <v>706</v>
      </c>
      <c r="B166" s="181" t="s">
        <v>280</v>
      </c>
      <c r="C166" s="181" t="s">
        <v>281</v>
      </c>
      <c r="D166" s="181" t="s">
        <v>69</v>
      </c>
      <c r="E166" s="182">
        <v>168555500</v>
      </c>
      <c r="F166" s="182">
        <v>186505500</v>
      </c>
      <c r="G166" s="182">
        <v>162108575.09</v>
      </c>
      <c r="H166" s="182">
        <v>0</v>
      </c>
      <c r="I166" s="182">
        <v>20080301.469999999</v>
      </c>
      <c r="J166" s="182">
        <v>14128171.6</v>
      </c>
      <c r="K166" s="182">
        <v>106225459.25</v>
      </c>
      <c r="L166" s="183">
        <f t="shared" si="0"/>
        <v>0.56955671146427322</v>
      </c>
      <c r="M166" s="182">
        <v>106225459.25</v>
      </c>
      <c r="N166" s="184">
        <f t="shared" si="1"/>
        <v>0.56955671146427322</v>
      </c>
      <c r="O166" s="182">
        <v>46071567.68</v>
      </c>
      <c r="P166" s="184">
        <f t="shared" si="2"/>
        <v>0.24702524955028135</v>
      </c>
      <c r="Q166" s="182">
        <v>21674642.77</v>
      </c>
    </row>
    <row r="167" spans="1:17" hidden="1" x14ac:dyDescent="0.25">
      <c r="A167" s="181" t="s">
        <v>706</v>
      </c>
      <c r="B167" s="181" t="s">
        <v>302</v>
      </c>
      <c r="C167" s="181" t="s">
        <v>303</v>
      </c>
      <c r="D167" s="181" t="s">
        <v>69</v>
      </c>
      <c r="E167" s="182">
        <v>3869560</v>
      </c>
      <c r="F167" s="182">
        <v>3869560</v>
      </c>
      <c r="G167" s="182">
        <v>2902170</v>
      </c>
      <c r="H167" s="182">
        <v>0</v>
      </c>
      <c r="I167" s="182">
        <v>465474.93</v>
      </c>
      <c r="J167" s="182">
        <v>0</v>
      </c>
      <c r="K167" s="182">
        <v>962290.26</v>
      </c>
      <c r="L167" s="183">
        <f t="shared" si="0"/>
        <v>0.24868208788596119</v>
      </c>
      <c r="M167" s="182">
        <v>962290.26</v>
      </c>
      <c r="N167" s="184">
        <f t="shared" si="1"/>
        <v>0.24868208788596119</v>
      </c>
      <c r="O167" s="182">
        <v>2441794.81</v>
      </c>
      <c r="P167" s="184">
        <f t="shared" si="2"/>
        <v>0.63102647587839444</v>
      </c>
      <c r="Q167" s="182">
        <v>1474404.81</v>
      </c>
    </row>
    <row r="168" spans="1:17" hidden="1" x14ac:dyDescent="0.25">
      <c r="A168" s="181" t="s">
        <v>706</v>
      </c>
      <c r="B168" s="181" t="s">
        <v>108</v>
      </c>
      <c r="C168" s="181" t="s">
        <v>109</v>
      </c>
      <c r="D168" s="181" t="s">
        <v>69</v>
      </c>
      <c r="E168" s="182">
        <v>194561670</v>
      </c>
      <c r="F168" s="182">
        <v>189561670</v>
      </c>
      <c r="G168" s="182">
        <v>124385152.5</v>
      </c>
      <c r="H168" s="182">
        <v>0</v>
      </c>
      <c r="I168" s="182">
        <v>32369167.93</v>
      </c>
      <c r="J168" s="182">
        <v>16556048.439999999</v>
      </c>
      <c r="K168" s="182">
        <v>35863245.43</v>
      </c>
      <c r="L168" s="183">
        <f t="shared" si="0"/>
        <v>0.18919038553521922</v>
      </c>
      <c r="M168" s="182">
        <v>35863245.43</v>
      </c>
      <c r="N168" s="184">
        <f t="shared" si="1"/>
        <v>0.18919038553521922</v>
      </c>
      <c r="O168" s="182">
        <v>104773208.2</v>
      </c>
      <c r="P168" s="184">
        <f t="shared" si="2"/>
        <v>0.55271304689392109</v>
      </c>
      <c r="Q168" s="182">
        <v>39596690.700000003</v>
      </c>
    </row>
    <row r="169" spans="1:17" hidden="1" x14ac:dyDescent="0.25">
      <c r="A169" s="181" t="s">
        <v>706</v>
      </c>
      <c r="B169" s="181" t="s">
        <v>304</v>
      </c>
      <c r="C169" s="181" t="s">
        <v>305</v>
      </c>
      <c r="D169" s="181" t="s">
        <v>69</v>
      </c>
      <c r="E169" s="182">
        <v>1649720</v>
      </c>
      <c r="F169" s="182">
        <v>1799237.9</v>
      </c>
      <c r="G169" s="182">
        <v>1546869.13</v>
      </c>
      <c r="H169" s="182">
        <v>0</v>
      </c>
      <c r="I169" s="182">
        <v>347198.82</v>
      </c>
      <c r="J169" s="182">
        <v>147632.37</v>
      </c>
      <c r="K169" s="182">
        <v>1008096.49</v>
      </c>
      <c r="L169" s="183">
        <f t="shared" si="0"/>
        <v>0.56029082646602768</v>
      </c>
      <c r="M169" s="182">
        <v>1008096.49</v>
      </c>
      <c r="N169" s="184">
        <f t="shared" si="1"/>
        <v>0.56029082646602768</v>
      </c>
      <c r="O169" s="182">
        <v>296310.21999999997</v>
      </c>
      <c r="P169" s="184">
        <f t="shared" si="2"/>
        <v>0.16468651532962927</v>
      </c>
      <c r="Q169" s="182">
        <v>43941.45</v>
      </c>
    </row>
    <row r="170" spans="1:17" hidden="1" x14ac:dyDescent="0.25">
      <c r="A170" s="181" t="s">
        <v>706</v>
      </c>
      <c r="B170" s="181" t="s">
        <v>110</v>
      </c>
      <c r="C170" s="181" t="s">
        <v>111</v>
      </c>
      <c r="D170" s="181" t="s">
        <v>69</v>
      </c>
      <c r="E170" s="182">
        <v>43119530</v>
      </c>
      <c r="F170" s="182">
        <v>45619530</v>
      </c>
      <c r="G170" s="182">
        <v>34839647</v>
      </c>
      <c r="H170" s="182">
        <v>0</v>
      </c>
      <c r="I170" s="182">
        <v>6006673.5999999996</v>
      </c>
      <c r="J170" s="182">
        <v>2508629.92</v>
      </c>
      <c r="K170" s="182">
        <v>14979351.84</v>
      </c>
      <c r="L170" s="183">
        <f t="shared" si="0"/>
        <v>0.32835392736400398</v>
      </c>
      <c r="M170" s="182">
        <v>14979351.84</v>
      </c>
      <c r="N170" s="184">
        <f t="shared" si="1"/>
        <v>0.32835392736400398</v>
      </c>
      <c r="O170" s="182">
        <v>22124874.640000001</v>
      </c>
      <c r="P170" s="184">
        <f t="shared" si="2"/>
        <v>0.48498690451216836</v>
      </c>
      <c r="Q170" s="182">
        <v>11344991.640000001</v>
      </c>
    </row>
    <row r="171" spans="1:17" hidden="1" x14ac:dyDescent="0.25">
      <c r="A171" s="181" t="s">
        <v>706</v>
      </c>
      <c r="B171" s="181" t="s">
        <v>112</v>
      </c>
      <c r="C171" s="181" t="s">
        <v>113</v>
      </c>
      <c r="D171" s="181" t="s">
        <v>69</v>
      </c>
      <c r="E171" s="182">
        <v>114662680</v>
      </c>
      <c r="F171" s="182">
        <v>114662680</v>
      </c>
      <c r="G171" s="182">
        <v>89613087.390000001</v>
      </c>
      <c r="H171" s="182">
        <v>0</v>
      </c>
      <c r="I171" s="182">
        <v>18822392.82</v>
      </c>
      <c r="J171" s="182">
        <v>1638017.96</v>
      </c>
      <c r="K171" s="182">
        <v>53910155.130000003</v>
      </c>
      <c r="L171" s="183">
        <f t="shared" si="0"/>
        <v>0.4701630480815554</v>
      </c>
      <c r="M171" s="182">
        <v>53899287.93</v>
      </c>
      <c r="N171" s="184">
        <f t="shared" si="1"/>
        <v>0.47006827269343432</v>
      </c>
      <c r="O171" s="182">
        <v>40292114.090000004</v>
      </c>
      <c r="P171" s="184">
        <f t="shared" si="2"/>
        <v>0.35139693307360342</v>
      </c>
      <c r="Q171" s="182">
        <v>15242521.48</v>
      </c>
    </row>
    <row r="172" spans="1:17" hidden="1" x14ac:dyDescent="0.25">
      <c r="A172" s="181" t="s">
        <v>706</v>
      </c>
      <c r="B172" s="181" t="s">
        <v>114</v>
      </c>
      <c r="C172" s="181" t="s">
        <v>115</v>
      </c>
      <c r="D172" s="181" t="s">
        <v>69</v>
      </c>
      <c r="E172" s="182">
        <v>19200000</v>
      </c>
      <c r="F172" s="182">
        <v>19200000</v>
      </c>
      <c r="G172" s="182">
        <v>15771907.890000001</v>
      </c>
      <c r="H172" s="182">
        <v>0</v>
      </c>
      <c r="I172" s="182">
        <v>3822948.01</v>
      </c>
      <c r="J172" s="182">
        <v>0</v>
      </c>
      <c r="K172" s="182">
        <v>11567973</v>
      </c>
      <c r="L172" s="183">
        <f t="shared" si="0"/>
        <v>0.60249859375000003</v>
      </c>
      <c r="M172" s="182">
        <v>11567973</v>
      </c>
      <c r="N172" s="184">
        <f t="shared" si="1"/>
        <v>0.60249859375000003</v>
      </c>
      <c r="O172" s="182">
        <v>3809078.99</v>
      </c>
      <c r="P172" s="184">
        <f t="shared" si="2"/>
        <v>0.19838953072916668</v>
      </c>
      <c r="Q172" s="182">
        <v>380986.88</v>
      </c>
    </row>
    <row r="173" spans="1:17" hidden="1" x14ac:dyDescent="0.25">
      <c r="A173" s="181" t="s">
        <v>706</v>
      </c>
      <c r="B173" s="181" t="s">
        <v>116</v>
      </c>
      <c r="C173" s="181" t="s">
        <v>117</v>
      </c>
      <c r="D173" s="181" t="s">
        <v>69</v>
      </c>
      <c r="E173" s="182">
        <v>37800000</v>
      </c>
      <c r="F173" s="182">
        <v>37800000</v>
      </c>
      <c r="G173" s="182">
        <v>30594169.5</v>
      </c>
      <c r="H173" s="182">
        <v>0</v>
      </c>
      <c r="I173" s="182">
        <v>6418975.5</v>
      </c>
      <c r="J173" s="182">
        <v>0</v>
      </c>
      <c r="K173" s="182">
        <v>23364329.5</v>
      </c>
      <c r="L173" s="183">
        <f t="shared" si="0"/>
        <v>0.61810395502645499</v>
      </c>
      <c r="M173" s="182">
        <v>23364329.5</v>
      </c>
      <c r="N173" s="184">
        <f t="shared" si="1"/>
        <v>0.61810395502645499</v>
      </c>
      <c r="O173" s="182">
        <v>8016695</v>
      </c>
      <c r="P173" s="184">
        <f t="shared" si="2"/>
        <v>0.2120818783068783</v>
      </c>
      <c r="Q173" s="182">
        <v>810864.5</v>
      </c>
    </row>
    <row r="174" spans="1:17" x14ac:dyDescent="0.25">
      <c r="A174" s="181" t="s">
        <v>706</v>
      </c>
      <c r="B174" s="181" t="s">
        <v>118</v>
      </c>
      <c r="C174" s="181" t="s">
        <v>119</v>
      </c>
      <c r="D174" s="181" t="s">
        <v>69</v>
      </c>
      <c r="E174" s="182">
        <v>7200000</v>
      </c>
      <c r="F174" s="182">
        <v>7200000</v>
      </c>
      <c r="G174" s="182">
        <v>5400000</v>
      </c>
      <c r="H174" s="182">
        <v>0</v>
      </c>
      <c r="I174" s="182">
        <v>287040.40000000002</v>
      </c>
      <c r="J174" s="182">
        <v>0</v>
      </c>
      <c r="K174" s="182">
        <v>905549.6</v>
      </c>
      <c r="L174" s="183">
        <f t="shared" si="0"/>
        <v>0.12577077777777779</v>
      </c>
      <c r="M174" s="182">
        <v>894682.4</v>
      </c>
      <c r="N174" s="184">
        <f t="shared" si="1"/>
        <v>0.12426144444444445</v>
      </c>
      <c r="O174" s="182">
        <v>6007410</v>
      </c>
      <c r="P174" s="184">
        <f t="shared" si="2"/>
        <v>0.83436250000000001</v>
      </c>
      <c r="Q174" s="182">
        <v>4207410</v>
      </c>
    </row>
    <row r="175" spans="1:17" hidden="1" x14ac:dyDescent="0.25">
      <c r="A175" s="181" t="s">
        <v>706</v>
      </c>
      <c r="B175" s="181" t="s">
        <v>120</v>
      </c>
      <c r="C175" s="181" t="s">
        <v>121</v>
      </c>
      <c r="D175" s="181" t="s">
        <v>69</v>
      </c>
      <c r="E175" s="182">
        <v>45662680</v>
      </c>
      <c r="F175" s="182">
        <v>45662680</v>
      </c>
      <c r="G175" s="182">
        <v>34247010</v>
      </c>
      <c r="H175" s="182">
        <v>0</v>
      </c>
      <c r="I175" s="182">
        <v>8293428.9100000001</v>
      </c>
      <c r="J175" s="182">
        <v>1638017.96</v>
      </c>
      <c r="K175" s="182">
        <v>17196753.43</v>
      </c>
      <c r="L175" s="183">
        <f t="shared" si="0"/>
        <v>0.37660412025750567</v>
      </c>
      <c r="M175" s="182">
        <v>17196753.43</v>
      </c>
      <c r="N175" s="184">
        <f t="shared" si="1"/>
        <v>0.37660412025750567</v>
      </c>
      <c r="O175" s="182">
        <v>18534479.699999999</v>
      </c>
      <c r="P175" s="184">
        <f t="shared" si="2"/>
        <v>0.40589995374778703</v>
      </c>
      <c r="Q175" s="182">
        <v>7118809.7000000002</v>
      </c>
    </row>
    <row r="176" spans="1:17" x14ac:dyDescent="0.25">
      <c r="A176" s="181" t="s">
        <v>706</v>
      </c>
      <c r="B176" s="181" t="s">
        <v>122</v>
      </c>
      <c r="C176" s="181" t="s">
        <v>123</v>
      </c>
      <c r="D176" s="181" t="s">
        <v>69</v>
      </c>
      <c r="E176" s="182">
        <v>4800000</v>
      </c>
      <c r="F176" s="182">
        <v>4800000</v>
      </c>
      <c r="G176" s="182">
        <v>3600000</v>
      </c>
      <c r="H176" s="182">
        <v>0</v>
      </c>
      <c r="I176" s="182">
        <v>0</v>
      </c>
      <c r="J176" s="182">
        <v>0</v>
      </c>
      <c r="K176" s="182">
        <v>875549.6</v>
      </c>
      <c r="L176" s="183">
        <f t="shared" si="0"/>
        <v>0.18240616666666667</v>
      </c>
      <c r="M176" s="182">
        <v>875549.6</v>
      </c>
      <c r="N176" s="184">
        <f t="shared" si="1"/>
        <v>0.18240616666666667</v>
      </c>
      <c r="O176" s="182">
        <v>3924450.4</v>
      </c>
      <c r="P176" s="184">
        <f t="shared" si="2"/>
        <v>0.81759383333333335</v>
      </c>
      <c r="Q176" s="182">
        <v>2724450.4</v>
      </c>
    </row>
    <row r="177" spans="1:17" hidden="1" x14ac:dyDescent="0.25">
      <c r="A177" s="181" t="s">
        <v>706</v>
      </c>
      <c r="B177" s="181" t="s">
        <v>124</v>
      </c>
      <c r="C177" s="181" t="s">
        <v>125</v>
      </c>
      <c r="D177" s="181" t="s">
        <v>69</v>
      </c>
      <c r="E177" s="182">
        <v>5424230</v>
      </c>
      <c r="F177" s="182">
        <v>6924230</v>
      </c>
      <c r="G177" s="182">
        <v>5724448</v>
      </c>
      <c r="H177" s="182">
        <v>0</v>
      </c>
      <c r="I177" s="182">
        <v>823187.81</v>
      </c>
      <c r="J177" s="182">
        <v>214530.7</v>
      </c>
      <c r="K177" s="182">
        <v>835174.04</v>
      </c>
      <c r="L177" s="183">
        <f t="shared" si="0"/>
        <v>0.12061616093052946</v>
      </c>
      <c r="M177" s="182">
        <v>835174.04</v>
      </c>
      <c r="N177" s="184">
        <f t="shared" si="1"/>
        <v>0.12061616093052946</v>
      </c>
      <c r="O177" s="182">
        <v>5051337.45</v>
      </c>
      <c r="P177" s="184">
        <f t="shared" si="2"/>
        <v>0.72951612670289701</v>
      </c>
      <c r="Q177" s="182">
        <v>3851555.45</v>
      </c>
    </row>
    <row r="178" spans="1:17" hidden="1" x14ac:dyDescent="0.25">
      <c r="A178" s="181" t="s">
        <v>706</v>
      </c>
      <c r="B178" s="181" t="s">
        <v>126</v>
      </c>
      <c r="C178" s="181" t="s">
        <v>127</v>
      </c>
      <c r="D178" s="181" t="s">
        <v>69</v>
      </c>
      <c r="E178" s="182">
        <v>500000</v>
      </c>
      <c r="F178" s="182">
        <v>2000000</v>
      </c>
      <c r="G178" s="182">
        <v>1996750</v>
      </c>
      <c r="H178" s="182">
        <v>0</v>
      </c>
      <c r="I178" s="182">
        <v>87375.24</v>
      </c>
      <c r="J178" s="182">
        <v>181290</v>
      </c>
      <c r="K178" s="182">
        <v>361943.7</v>
      </c>
      <c r="L178" s="183">
        <f t="shared" si="0"/>
        <v>0.18097185000000002</v>
      </c>
      <c r="M178" s="182">
        <v>361943.7</v>
      </c>
      <c r="N178" s="184">
        <f t="shared" si="1"/>
        <v>0.18097185000000002</v>
      </c>
      <c r="O178" s="182">
        <v>1369391.06</v>
      </c>
      <c r="P178" s="184">
        <f t="shared" si="2"/>
        <v>0.68469553000000005</v>
      </c>
      <c r="Q178" s="182">
        <v>1366141.06</v>
      </c>
    </row>
    <row r="179" spans="1:17" x14ac:dyDescent="0.25">
      <c r="A179" s="181" t="s">
        <v>706</v>
      </c>
      <c r="B179" s="181" t="s">
        <v>128</v>
      </c>
      <c r="C179" s="181" t="s">
        <v>129</v>
      </c>
      <c r="D179" s="181" t="s">
        <v>69</v>
      </c>
      <c r="E179" s="182">
        <v>1000000</v>
      </c>
      <c r="F179" s="182">
        <v>1000000</v>
      </c>
      <c r="G179" s="182">
        <v>750000</v>
      </c>
      <c r="H179" s="182">
        <v>0</v>
      </c>
      <c r="I179" s="182">
        <v>168066.87</v>
      </c>
      <c r="J179" s="182">
        <v>0</v>
      </c>
      <c r="K179" s="182">
        <v>39548.129999999997</v>
      </c>
      <c r="L179" s="183">
        <f t="shared" si="0"/>
        <v>3.9548130000000001E-2</v>
      </c>
      <c r="M179" s="182">
        <v>39548.129999999997</v>
      </c>
      <c r="N179" s="184">
        <f t="shared" si="1"/>
        <v>3.9548130000000001E-2</v>
      </c>
      <c r="O179" s="182">
        <v>792385</v>
      </c>
      <c r="P179" s="184">
        <f t="shared" si="2"/>
        <v>0.79238500000000001</v>
      </c>
      <c r="Q179" s="182">
        <v>542385</v>
      </c>
    </row>
    <row r="180" spans="1:17" hidden="1" x14ac:dyDescent="0.25">
      <c r="A180" s="181" t="s">
        <v>706</v>
      </c>
      <c r="B180" s="181" t="s">
        <v>130</v>
      </c>
      <c r="C180" s="181" t="s">
        <v>131</v>
      </c>
      <c r="D180" s="181" t="s">
        <v>69</v>
      </c>
      <c r="E180" s="182">
        <v>138100</v>
      </c>
      <c r="F180" s="182">
        <v>138100</v>
      </c>
      <c r="G180" s="182">
        <v>138100</v>
      </c>
      <c r="H180" s="182">
        <v>0</v>
      </c>
      <c r="I180" s="182">
        <v>85336.99</v>
      </c>
      <c r="J180" s="182">
        <v>0</v>
      </c>
      <c r="K180" s="182">
        <v>29177.85</v>
      </c>
      <c r="L180" s="183">
        <f t="shared" si="0"/>
        <v>0.21128059377262853</v>
      </c>
      <c r="M180" s="182">
        <v>29177.85</v>
      </c>
      <c r="N180" s="184">
        <f t="shared" si="1"/>
        <v>0.21128059377262853</v>
      </c>
      <c r="O180" s="182">
        <v>23585.16</v>
      </c>
      <c r="P180" s="184">
        <f t="shared" si="2"/>
        <v>0.17078320057929036</v>
      </c>
      <c r="Q180" s="182">
        <v>23585.16</v>
      </c>
    </row>
    <row r="181" spans="1:17" x14ac:dyDescent="0.25">
      <c r="A181" s="181" t="s">
        <v>706</v>
      </c>
      <c r="B181" s="181" t="s">
        <v>132</v>
      </c>
      <c r="C181" s="181" t="s">
        <v>133</v>
      </c>
      <c r="D181" s="181" t="s">
        <v>69</v>
      </c>
      <c r="E181" s="182">
        <v>3786130</v>
      </c>
      <c r="F181" s="182">
        <v>3786130</v>
      </c>
      <c r="G181" s="182">
        <v>2839598</v>
      </c>
      <c r="H181" s="182">
        <v>0</v>
      </c>
      <c r="I181" s="182">
        <v>482408.71</v>
      </c>
      <c r="J181" s="182">
        <v>33240.699999999997</v>
      </c>
      <c r="K181" s="182">
        <v>404504.36</v>
      </c>
      <c r="L181" s="183">
        <f t="shared" si="0"/>
        <v>0.1068384762277048</v>
      </c>
      <c r="M181" s="182">
        <v>404504.36</v>
      </c>
      <c r="N181" s="184">
        <f t="shared" si="1"/>
        <v>0.1068384762277048</v>
      </c>
      <c r="O181" s="182">
        <v>2865976.23</v>
      </c>
      <c r="P181" s="184">
        <f t="shared" si="2"/>
        <v>0.7569672013375135</v>
      </c>
      <c r="Q181" s="182">
        <v>1919444.23</v>
      </c>
    </row>
    <row r="182" spans="1:17" hidden="1" x14ac:dyDescent="0.25">
      <c r="A182" s="181" t="s">
        <v>706</v>
      </c>
      <c r="B182" s="181" t="s">
        <v>134</v>
      </c>
      <c r="C182" s="181" t="s">
        <v>135</v>
      </c>
      <c r="D182" s="181" t="s">
        <v>69</v>
      </c>
      <c r="E182" s="182">
        <v>385113260</v>
      </c>
      <c r="F182" s="182">
        <v>425413260</v>
      </c>
      <c r="G182" s="182">
        <v>354684945</v>
      </c>
      <c r="H182" s="182">
        <v>0</v>
      </c>
      <c r="I182" s="182">
        <v>80062788.640000001</v>
      </c>
      <c r="J182" s="182">
        <v>24661749.93</v>
      </c>
      <c r="K182" s="182">
        <v>209226374</v>
      </c>
      <c r="L182" s="183">
        <f t="shared" si="0"/>
        <v>0.4918191172508351</v>
      </c>
      <c r="M182" s="182">
        <v>209226374</v>
      </c>
      <c r="N182" s="184">
        <f t="shared" si="1"/>
        <v>0.4918191172508351</v>
      </c>
      <c r="O182" s="182">
        <v>111462347.43000001</v>
      </c>
      <c r="P182" s="184">
        <f t="shared" si="2"/>
        <v>0.26200957494836907</v>
      </c>
      <c r="Q182" s="182">
        <v>40734032.43</v>
      </c>
    </row>
    <row r="183" spans="1:17" x14ac:dyDescent="0.25">
      <c r="A183" s="181" t="s">
        <v>706</v>
      </c>
      <c r="B183" s="181" t="s">
        <v>306</v>
      </c>
      <c r="C183" s="181" t="s">
        <v>307</v>
      </c>
      <c r="D183" s="181" t="s">
        <v>69</v>
      </c>
      <c r="E183" s="182">
        <v>2000000</v>
      </c>
      <c r="F183" s="182">
        <v>2000000</v>
      </c>
      <c r="G183" s="182">
        <v>1500000</v>
      </c>
      <c r="H183" s="182">
        <v>0</v>
      </c>
      <c r="I183" s="182">
        <v>0</v>
      </c>
      <c r="J183" s="182">
        <v>0</v>
      </c>
      <c r="K183" s="182">
        <v>0</v>
      </c>
      <c r="L183" s="183">
        <f t="shared" si="0"/>
        <v>0</v>
      </c>
      <c r="M183" s="182">
        <v>0</v>
      </c>
      <c r="N183" s="184">
        <f t="shared" si="1"/>
        <v>0</v>
      </c>
      <c r="O183" s="182">
        <v>2000000</v>
      </c>
      <c r="P183" s="184">
        <f t="shared" si="2"/>
        <v>1</v>
      </c>
      <c r="Q183" s="182">
        <v>1500000</v>
      </c>
    </row>
    <row r="184" spans="1:17" hidden="1" x14ac:dyDescent="0.25">
      <c r="A184" s="181" t="s">
        <v>706</v>
      </c>
      <c r="B184" s="181" t="s">
        <v>136</v>
      </c>
      <c r="C184" s="181" t="s">
        <v>137</v>
      </c>
      <c r="D184" s="181" t="s">
        <v>69</v>
      </c>
      <c r="E184" s="182">
        <v>373281100</v>
      </c>
      <c r="F184" s="182">
        <v>407581100</v>
      </c>
      <c r="G184" s="182">
        <v>337760825</v>
      </c>
      <c r="H184" s="182">
        <v>0</v>
      </c>
      <c r="I184" s="182">
        <v>78483234.75</v>
      </c>
      <c r="J184" s="182">
        <v>23739851.239999998</v>
      </c>
      <c r="K184" s="182">
        <v>202320789.09</v>
      </c>
      <c r="L184" s="183">
        <f t="shared" si="0"/>
        <v>0.4963939424325613</v>
      </c>
      <c r="M184" s="182">
        <v>202320789.09</v>
      </c>
      <c r="N184" s="184">
        <f t="shared" si="1"/>
        <v>0.4963939424325613</v>
      </c>
      <c r="O184" s="182">
        <v>103037224.92</v>
      </c>
      <c r="P184" s="184">
        <f t="shared" si="2"/>
        <v>0.25280177348753413</v>
      </c>
      <c r="Q184" s="182">
        <v>33216949.920000002</v>
      </c>
    </row>
    <row r="185" spans="1:17" hidden="1" x14ac:dyDescent="0.25">
      <c r="A185" s="181" t="s">
        <v>706</v>
      </c>
      <c r="B185" s="181" t="s">
        <v>138</v>
      </c>
      <c r="C185" s="181" t="s">
        <v>139</v>
      </c>
      <c r="D185" s="181" t="s">
        <v>69</v>
      </c>
      <c r="E185" s="182">
        <v>9832160</v>
      </c>
      <c r="F185" s="182">
        <v>15832160</v>
      </c>
      <c r="G185" s="182">
        <v>15424120</v>
      </c>
      <c r="H185" s="182">
        <v>0</v>
      </c>
      <c r="I185" s="182">
        <v>1579553.89</v>
      </c>
      <c r="J185" s="182">
        <v>921898.69</v>
      </c>
      <c r="K185" s="182">
        <v>6905584.9100000001</v>
      </c>
      <c r="L185" s="183">
        <f t="shared" si="0"/>
        <v>0.43617452767026105</v>
      </c>
      <c r="M185" s="182">
        <v>6905584.9100000001</v>
      </c>
      <c r="N185" s="184">
        <f t="shared" si="1"/>
        <v>0.43617452767026105</v>
      </c>
      <c r="O185" s="182">
        <v>6425122.5099999998</v>
      </c>
      <c r="P185" s="184">
        <f t="shared" si="2"/>
        <v>0.40582728509565341</v>
      </c>
      <c r="Q185" s="182">
        <v>6017082.5099999998</v>
      </c>
    </row>
    <row r="186" spans="1:17" hidden="1" x14ac:dyDescent="0.25">
      <c r="A186" s="181" t="s">
        <v>706</v>
      </c>
      <c r="B186" s="181" t="s">
        <v>140</v>
      </c>
      <c r="C186" s="181" t="s">
        <v>141</v>
      </c>
      <c r="D186" s="181" t="s">
        <v>69</v>
      </c>
      <c r="E186" s="182">
        <v>35800000</v>
      </c>
      <c r="F186" s="182">
        <v>35800000</v>
      </c>
      <c r="G186" s="182">
        <v>28360808</v>
      </c>
      <c r="H186" s="182">
        <v>95900</v>
      </c>
      <c r="I186" s="182">
        <v>14373468.27</v>
      </c>
      <c r="J186" s="182">
        <v>0</v>
      </c>
      <c r="K186" s="182">
        <v>6903431.7300000004</v>
      </c>
      <c r="L186" s="183">
        <f t="shared" si="0"/>
        <v>0.19283328854748605</v>
      </c>
      <c r="M186" s="182">
        <v>6748331.7300000004</v>
      </c>
      <c r="N186" s="184">
        <f t="shared" si="1"/>
        <v>0.18850088631284917</v>
      </c>
      <c r="O186" s="182">
        <v>14427200</v>
      </c>
      <c r="P186" s="184">
        <f t="shared" si="2"/>
        <v>0.40299441340782122</v>
      </c>
      <c r="Q186" s="182">
        <v>6988008</v>
      </c>
    </row>
    <row r="187" spans="1:17" hidden="1" x14ac:dyDescent="0.25">
      <c r="A187" s="181" t="s">
        <v>706</v>
      </c>
      <c r="B187" s="181" t="s">
        <v>142</v>
      </c>
      <c r="C187" s="181" t="s">
        <v>143</v>
      </c>
      <c r="D187" s="181" t="s">
        <v>69</v>
      </c>
      <c r="E187" s="182">
        <v>1800000</v>
      </c>
      <c r="F187" s="182">
        <v>1800000</v>
      </c>
      <c r="G187" s="182">
        <v>1531287.5</v>
      </c>
      <c r="H187" s="182">
        <v>0</v>
      </c>
      <c r="I187" s="182">
        <v>426968.27</v>
      </c>
      <c r="J187" s="182">
        <v>0</v>
      </c>
      <c r="K187" s="182">
        <v>273031.73</v>
      </c>
      <c r="L187" s="183">
        <f t="shared" si="0"/>
        <v>0.15168429444444442</v>
      </c>
      <c r="M187" s="182">
        <v>273031.73</v>
      </c>
      <c r="N187" s="184">
        <f t="shared" si="1"/>
        <v>0.15168429444444442</v>
      </c>
      <c r="O187" s="182">
        <v>1100000</v>
      </c>
      <c r="P187" s="184">
        <f t="shared" si="2"/>
        <v>0.61111111111111116</v>
      </c>
      <c r="Q187" s="182">
        <v>831287.5</v>
      </c>
    </row>
    <row r="188" spans="1:17" hidden="1" x14ac:dyDescent="0.25">
      <c r="A188" s="181" t="s">
        <v>706</v>
      </c>
      <c r="B188" s="181" t="s">
        <v>144</v>
      </c>
      <c r="C188" s="181" t="s">
        <v>145</v>
      </c>
      <c r="D188" s="181" t="s">
        <v>69</v>
      </c>
      <c r="E188" s="182">
        <v>34000000</v>
      </c>
      <c r="F188" s="182">
        <v>34000000</v>
      </c>
      <c r="G188" s="182">
        <v>26829520.5</v>
      </c>
      <c r="H188" s="182">
        <v>95900</v>
      </c>
      <c r="I188" s="182">
        <v>13946500</v>
      </c>
      <c r="J188" s="182">
        <v>0</v>
      </c>
      <c r="K188" s="182">
        <v>6630400</v>
      </c>
      <c r="L188" s="183">
        <f t="shared" si="0"/>
        <v>0.19501176470588236</v>
      </c>
      <c r="M188" s="182">
        <v>6475300</v>
      </c>
      <c r="N188" s="184">
        <f t="shared" si="1"/>
        <v>0.19045000000000001</v>
      </c>
      <c r="O188" s="182">
        <v>13327200</v>
      </c>
      <c r="P188" s="184">
        <f t="shared" si="2"/>
        <v>0.39197647058823532</v>
      </c>
      <c r="Q188" s="182">
        <v>6156720.5</v>
      </c>
    </row>
    <row r="189" spans="1:17" hidden="1" x14ac:dyDescent="0.25">
      <c r="A189" s="181" t="s">
        <v>706</v>
      </c>
      <c r="B189" s="181" t="s">
        <v>150</v>
      </c>
      <c r="C189" s="181" t="s">
        <v>151</v>
      </c>
      <c r="D189" s="181" t="s">
        <v>69</v>
      </c>
      <c r="E189" s="182">
        <v>113000000</v>
      </c>
      <c r="F189" s="182">
        <v>113000000</v>
      </c>
      <c r="G189" s="182">
        <v>59776225</v>
      </c>
      <c r="H189" s="182">
        <v>0</v>
      </c>
      <c r="I189" s="182">
        <v>12795403.720000001</v>
      </c>
      <c r="J189" s="182">
        <v>0</v>
      </c>
      <c r="K189" s="182">
        <v>19900839.82</v>
      </c>
      <c r="L189" s="183">
        <f t="shared" si="0"/>
        <v>0.17611362672566372</v>
      </c>
      <c r="M189" s="182">
        <v>19900839.82</v>
      </c>
      <c r="N189" s="184">
        <f t="shared" si="1"/>
        <v>0.17611362672566372</v>
      </c>
      <c r="O189" s="182">
        <v>80303756.459999993</v>
      </c>
      <c r="P189" s="184">
        <f t="shared" si="2"/>
        <v>0.71065271203539815</v>
      </c>
      <c r="Q189" s="182">
        <v>27079981.460000001</v>
      </c>
    </row>
    <row r="190" spans="1:17" hidden="1" x14ac:dyDescent="0.25">
      <c r="A190" s="181" t="s">
        <v>706</v>
      </c>
      <c r="B190" s="181" t="s">
        <v>152</v>
      </c>
      <c r="C190" s="181" t="s">
        <v>153</v>
      </c>
      <c r="D190" s="181" t="s">
        <v>69</v>
      </c>
      <c r="E190" s="182">
        <v>113000000</v>
      </c>
      <c r="F190" s="182">
        <v>113000000</v>
      </c>
      <c r="G190" s="182">
        <v>59776225</v>
      </c>
      <c r="H190" s="182">
        <v>0</v>
      </c>
      <c r="I190" s="182">
        <v>12795403.720000001</v>
      </c>
      <c r="J190" s="182">
        <v>0</v>
      </c>
      <c r="K190" s="182">
        <v>19900839.82</v>
      </c>
      <c r="L190" s="183">
        <f t="shared" si="0"/>
        <v>0.17611362672566372</v>
      </c>
      <c r="M190" s="182">
        <v>19900839.82</v>
      </c>
      <c r="N190" s="184">
        <f t="shared" si="1"/>
        <v>0.17611362672566372</v>
      </c>
      <c r="O190" s="182">
        <v>80303756.459999993</v>
      </c>
      <c r="P190" s="184">
        <f t="shared" si="2"/>
        <v>0.71065271203539815</v>
      </c>
      <c r="Q190" s="182">
        <v>27079981.460000001</v>
      </c>
    </row>
    <row r="191" spans="1:17" hidden="1" x14ac:dyDescent="0.25">
      <c r="A191" s="181" t="s">
        <v>706</v>
      </c>
      <c r="B191" s="181" t="s">
        <v>162</v>
      </c>
      <c r="C191" s="181" t="s">
        <v>163</v>
      </c>
      <c r="D191" s="181" t="s">
        <v>69</v>
      </c>
      <c r="E191" s="182">
        <v>119064370</v>
      </c>
      <c r="F191" s="182">
        <v>113914852.09999999</v>
      </c>
      <c r="G191" s="182">
        <v>82648760.099999994</v>
      </c>
      <c r="H191" s="182">
        <v>0</v>
      </c>
      <c r="I191" s="182">
        <v>12643089.83</v>
      </c>
      <c r="J191" s="182">
        <v>4897977.28</v>
      </c>
      <c r="K191" s="182">
        <v>18462689.859999999</v>
      </c>
      <c r="L191" s="183">
        <f t="shared" si="0"/>
        <v>0.16207447509822998</v>
      </c>
      <c r="M191" s="182">
        <v>18462689.859999999</v>
      </c>
      <c r="N191" s="184">
        <f t="shared" si="1"/>
        <v>0.16207447509822998</v>
      </c>
      <c r="O191" s="182">
        <v>77911095.129999995</v>
      </c>
      <c r="P191" s="184">
        <f t="shared" si="2"/>
        <v>0.68394150274281929</v>
      </c>
      <c r="Q191" s="182">
        <v>46645003.130000003</v>
      </c>
    </row>
    <row r="192" spans="1:17" x14ac:dyDescent="0.25">
      <c r="A192" s="181" t="s">
        <v>706</v>
      </c>
      <c r="B192" s="181" t="s">
        <v>310</v>
      </c>
      <c r="C192" s="181" t="s">
        <v>311</v>
      </c>
      <c r="D192" s="181" t="s">
        <v>69</v>
      </c>
      <c r="E192" s="182">
        <v>25816590</v>
      </c>
      <c r="F192" s="182">
        <v>25816590</v>
      </c>
      <c r="G192" s="182">
        <v>17862443</v>
      </c>
      <c r="H192" s="182">
        <v>0</v>
      </c>
      <c r="I192" s="182">
        <v>2927347.58</v>
      </c>
      <c r="J192" s="182">
        <v>307413</v>
      </c>
      <c r="K192" s="182">
        <v>1054290</v>
      </c>
      <c r="L192" s="183">
        <f t="shared" si="0"/>
        <v>4.0837693901479628E-2</v>
      </c>
      <c r="M192" s="182">
        <v>1054290</v>
      </c>
      <c r="N192" s="184">
        <f t="shared" si="1"/>
        <v>4.0837693901479628E-2</v>
      </c>
      <c r="O192" s="182">
        <v>21527539.420000002</v>
      </c>
      <c r="P192" s="184">
        <f t="shared" si="2"/>
        <v>0.8338645584099218</v>
      </c>
      <c r="Q192" s="182">
        <v>13573392.42</v>
      </c>
    </row>
    <row r="193" spans="1:17" x14ac:dyDescent="0.25">
      <c r="A193" s="181" t="s">
        <v>706</v>
      </c>
      <c r="B193" s="181" t="s">
        <v>164</v>
      </c>
      <c r="C193" s="181" t="s">
        <v>165</v>
      </c>
      <c r="D193" s="181" t="s">
        <v>69</v>
      </c>
      <c r="E193" s="182">
        <v>4358000</v>
      </c>
      <c r="F193" s="182">
        <v>4358000</v>
      </c>
      <c r="G193" s="182">
        <v>3268500</v>
      </c>
      <c r="H193" s="182">
        <v>0</v>
      </c>
      <c r="I193" s="182">
        <v>1363338.65</v>
      </c>
      <c r="J193" s="182">
        <v>0</v>
      </c>
      <c r="K193" s="182">
        <v>826722.13</v>
      </c>
      <c r="L193" s="183">
        <f t="shared" si="0"/>
        <v>0.18970218678292794</v>
      </c>
      <c r="M193" s="182">
        <v>826722.13</v>
      </c>
      <c r="N193" s="184">
        <f t="shared" si="1"/>
        <v>0.18970218678292794</v>
      </c>
      <c r="O193" s="182">
        <v>2167939.2200000002</v>
      </c>
      <c r="P193" s="184">
        <f t="shared" si="2"/>
        <v>0.49746195961450212</v>
      </c>
      <c r="Q193" s="182">
        <v>1078439.22</v>
      </c>
    </row>
    <row r="194" spans="1:17" x14ac:dyDescent="0.25">
      <c r="A194" s="181" t="s">
        <v>706</v>
      </c>
      <c r="B194" s="181" t="s">
        <v>166</v>
      </c>
      <c r="C194" s="181" t="s">
        <v>167</v>
      </c>
      <c r="D194" s="181" t="s">
        <v>69</v>
      </c>
      <c r="E194" s="182">
        <v>28300000</v>
      </c>
      <c r="F194" s="182">
        <v>23150482.100000001</v>
      </c>
      <c r="G194" s="182">
        <v>16075482.1</v>
      </c>
      <c r="H194" s="182">
        <v>0</v>
      </c>
      <c r="I194" s="182">
        <v>2703082.58</v>
      </c>
      <c r="J194" s="182">
        <v>0</v>
      </c>
      <c r="K194" s="182">
        <v>4016338.95</v>
      </c>
      <c r="L194" s="183">
        <f t="shared" si="0"/>
        <v>0.17348835037867311</v>
      </c>
      <c r="M194" s="182">
        <v>4016338.95</v>
      </c>
      <c r="N194" s="184">
        <f t="shared" si="1"/>
        <v>0.17348835037867311</v>
      </c>
      <c r="O194" s="182">
        <v>16431060.57</v>
      </c>
      <c r="P194" s="184">
        <f t="shared" si="2"/>
        <v>0.70975025483378595</v>
      </c>
      <c r="Q194" s="182">
        <v>9356060.5700000003</v>
      </c>
    </row>
    <row r="195" spans="1:17" hidden="1" x14ac:dyDescent="0.25">
      <c r="A195" s="181" t="s">
        <v>706</v>
      </c>
      <c r="B195" s="181" t="s">
        <v>312</v>
      </c>
      <c r="C195" s="181" t="s">
        <v>313</v>
      </c>
      <c r="D195" s="181" t="s">
        <v>69</v>
      </c>
      <c r="E195" s="182">
        <v>8695420</v>
      </c>
      <c r="F195" s="182">
        <v>8695420</v>
      </c>
      <c r="G195" s="182">
        <v>6521565</v>
      </c>
      <c r="H195" s="182">
        <v>0</v>
      </c>
      <c r="I195" s="182">
        <v>463986.2</v>
      </c>
      <c r="J195" s="182">
        <v>833333.33</v>
      </c>
      <c r="K195" s="182">
        <v>1575341.73</v>
      </c>
      <c r="L195" s="183">
        <f t="shared" si="0"/>
        <v>0.18116913616593563</v>
      </c>
      <c r="M195" s="182">
        <v>1575341.73</v>
      </c>
      <c r="N195" s="184">
        <f t="shared" si="1"/>
        <v>0.18116913616593563</v>
      </c>
      <c r="O195" s="182">
        <v>5822758.7400000002</v>
      </c>
      <c r="P195" s="184">
        <f t="shared" si="2"/>
        <v>0.66963513435808741</v>
      </c>
      <c r="Q195" s="182">
        <v>3648903.74</v>
      </c>
    </row>
    <row r="196" spans="1:17" hidden="1" x14ac:dyDescent="0.25">
      <c r="A196" s="181" t="s">
        <v>706</v>
      </c>
      <c r="B196" s="181" t="s">
        <v>168</v>
      </c>
      <c r="C196" s="181" t="s">
        <v>169</v>
      </c>
      <c r="D196" s="181" t="s">
        <v>69</v>
      </c>
      <c r="E196" s="182">
        <v>19689160</v>
      </c>
      <c r="F196" s="182">
        <v>19689160</v>
      </c>
      <c r="G196" s="182">
        <v>14766870</v>
      </c>
      <c r="H196" s="182">
        <v>0</v>
      </c>
      <c r="I196" s="182">
        <v>2979830.27</v>
      </c>
      <c r="J196" s="182">
        <v>873457.26</v>
      </c>
      <c r="K196" s="182">
        <v>1981865.87</v>
      </c>
      <c r="L196" s="183">
        <f t="shared" si="0"/>
        <v>0.10065771571768425</v>
      </c>
      <c r="M196" s="182">
        <v>1981865.87</v>
      </c>
      <c r="N196" s="184">
        <f t="shared" si="1"/>
        <v>0.10065771571768425</v>
      </c>
      <c r="O196" s="182">
        <v>13854006.6</v>
      </c>
      <c r="P196" s="184">
        <f t="shared" si="2"/>
        <v>0.70363624451220874</v>
      </c>
      <c r="Q196" s="182">
        <v>8931716.5999999996</v>
      </c>
    </row>
    <row r="197" spans="1:17" hidden="1" x14ac:dyDescent="0.25">
      <c r="A197" s="181" t="s">
        <v>706</v>
      </c>
      <c r="B197" s="181" t="s">
        <v>170</v>
      </c>
      <c r="C197" s="181" t="s">
        <v>171</v>
      </c>
      <c r="D197" s="181" t="s">
        <v>69</v>
      </c>
      <c r="E197" s="182">
        <v>26663380</v>
      </c>
      <c r="F197" s="182">
        <v>26663380</v>
      </c>
      <c r="G197" s="182">
        <v>19997535</v>
      </c>
      <c r="H197" s="182">
        <v>0</v>
      </c>
      <c r="I197" s="182">
        <v>2126600</v>
      </c>
      <c r="J197" s="182">
        <v>2276234.73</v>
      </c>
      <c r="K197" s="182">
        <v>7797000</v>
      </c>
      <c r="L197" s="183">
        <f t="shared" si="0"/>
        <v>0.29242354120145309</v>
      </c>
      <c r="M197" s="182">
        <v>7797000</v>
      </c>
      <c r="N197" s="184">
        <f t="shared" si="1"/>
        <v>0.29242354120145309</v>
      </c>
      <c r="O197" s="182">
        <v>14463545.27</v>
      </c>
      <c r="P197" s="184">
        <f t="shared" si="2"/>
        <v>0.54244980456341241</v>
      </c>
      <c r="Q197" s="182">
        <v>7797700.2699999996</v>
      </c>
    </row>
    <row r="198" spans="1:17" hidden="1" x14ac:dyDescent="0.25">
      <c r="A198" s="181" t="s">
        <v>706</v>
      </c>
      <c r="B198" s="181" t="s">
        <v>172</v>
      </c>
      <c r="C198" s="181" t="s">
        <v>173</v>
      </c>
      <c r="D198" s="181" t="s">
        <v>69</v>
      </c>
      <c r="E198" s="182">
        <v>5541820</v>
      </c>
      <c r="F198" s="182">
        <v>5541820</v>
      </c>
      <c r="G198" s="182">
        <v>4156365</v>
      </c>
      <c r="H198" s="182">
        <v>0</v>
      </c>
      <c r="I198" s="182">
        <v>78904.55</v>
      </c>
      <c r="J198" s="182">
        <v>607538.96</v>
      </c>
      <c r="K198" s="182">
        <v>1211131.18</v>
      </c>
      <c r="L198" s="183">
        <f t="shared" si="0"/>
        <v>0.21854394043833975</v>
      </c>
      <c r="M198" s="182">
        <v>1211131.18</v>
      </c>
      <c r="N198" s="184">
        <f t="shared" si="1"/>
        <v>0.21854394043833975</v>
      </c>
      <c r="O198" s="182">
        <v>3644245.31</v>
      </c>
      <c r="P198" s="184">
        <f t="shared" si="2"/>
        <v>0.65758998126969115</v>
      </c>
      <c r="Q198" s="182">
        <v>2258790.31</v>
      </c>
    </row>
    <row r="199" spans="1:17" hidden="1" x14ac:dyDescent="0.25">
      <c r="A199" s="181" t="s">
        <v>706</v>
      </c>
      <c r="B199" s="181" t="s">
        <v>174</v>
      </c>
      <c r="C199" s="181" t="s">
        <v>175</v>
      </c>
      <c r="D199" s="181" t="s">
        <v>69</v>
      </c>
      <c r="E199" s="182">
        <v>1525000</v>
      </c>
      <c r="F199" s="182">
        <v>1525000</v>
      </c>
      <c r="G199" s="182">
        <v>1249250</v>
      </c>
      <c r="H199" s="182">
        <v>0</v>
      </c>
      <c r="I199" s="182">
        <v>585967</v>
      </c>
      <c r="J199" s="182">
        <v>0</v>
      </c>
      <c r="K199" s="182">
        <v>1575</v>
      </c>
      <c r="L199" s="183">
        <f t="shared" si="0"/>
        <v>1.0327868852459017E-3</v>
      </c>
      <c r="M199" s="182">
        <v>1575</v>
      </c>
      <c r="N199" s="184">
        <f t="shared" si="1"/>
        <v>1.0327868852459017E-3</v>
      </c>
      <c r="O199" s="182">
        <v>937458</v>
      </c>
      <c r="P199" s="184">
        <f t="shared" si="2"/>
        <v>0.61472655737704918</v>
      </c>
      <c r="Q199" s="182">
        <v>661708</v>
      </c>
    </row>
    <row r="200" spans="1:17" hidden="1" x14ac:dyDescent="0.25">
      <c r="A200" s="181" t="s">
        <v>706</v>
      </c>
      <c r="B200" s="181" t="s">
        <v>176</v>
      </c>
      <c r="C200" s="181" t="s">
        <v>177</v>
      </c>
      <c r="D200" s="181" t="s">
        <v>69</v>
      </c>
      <c r="E200" s="182">
        <v>1525000</v>
      </c>
      <c r="F200" s="182">
        <v>1525000</v>
      </c>
      <c r="G200" s="182">
        <v>1249250</v>
      </c>
      <c r="H200" s="182">
        <v>0</v>
      </c>
      <c r="I200" s="182">
        <v>585967</v>
      </c>
      <c r="J200" s="182">
        <v>0</v>
      </c>
      <c r="K200" s="182">
        <v>1575</v>
      </c>
      <c r="L200" s="183">
        <f t="shared" si="0"/>
        <v>1.0327868852459017E-3</v>
      </c>
      <c r="M200" s="182">
        <v>1575</v>
      </c>
      <c r="N200" s="184">
        <f t="shared" si="1"/>
        <v>1.0327868852459017E-3</v>
      </c>
      <c r="O200" s="182">
        <v>937458</v>
      </c>
      <c r="P200" s="184">
        <f t="shared" si="2"/>
        <v>0.61472655737704918</v>
      </c>
      <c r="Q200" s="182">
        <v>661708</v>
      </c>
    </row>
    <row r="201" spans="1:17" hidden="1" x14ac:dyDescent="0.25">
      <c r="A201" s="181" t="s">
        <v>706</v>
      </c>
      <c r="B201" s="181" t="s">
        <v>178</v>
      </c>
      <c r="C201" s="181" t="s">
        <v>179</v>
      </c>
      <c r="D201" s="181" t="s">
        <v>69</v>
      </c>
      <c r="E201" s="182">
        <v>2200000</v>
      </c>
      <c r="F201" s="182">
        <v>2200000</v>
      </c>
      <c r="G201" s="182">
        <v>1700000</v>
      </c>
      <c r="H201" s="182">
        <v>0</v>
      </c>
      <c r="I201" s="182">
        <v>200000</v>
      </c>
      <c r="J201" s="182">
        <v>0</v>
      </c>
      <c r="K201" s="182">
        <v>150000</v>
      </c>
      <c r="L201" s="183">
        <f t="shared" si="0"/>
        <v>6.8181818181818177E-2</v>
      </c>
      <c r="M201" s="182">
        <v>150000</v>
      </c>
      <c r="N201" s="184">
        <f t="shared" si="1"/>
        <v>6.8181818181818177E-2</v>
      </c>
      <c r="O201" s="182">
        <v>1850000</v>
      </c>
      <c r="P201" s="184">
        <f t="shared" si="2"/>
        <v>0.84090909090909094</v>
      </c>
      <c r="Q201" s="182">
        <v>1350000</v>
      </c>
    </row>
    <row r="202" spans="1:17" hidden="1" x14ac:dyDescent="0.25">
      <c r="A202" s="181" t="s">
        <v>706</v>
      </c>
      <c r="B202" s="181" t="s">
        <v>180</v>
      </c>
      <c r="C202" s="181" t="s">
        <v>181</v>
      </c>
      <c r="D202" s="181" t="s">
        <v>69</v>
      </c>
      <c r="E202" s="182">
        <v>200000</v>
      </c>
      <c r="F202" s="182">
        <v>200000</v>
      </c>
      <c r="G202" s="182">
        <v>200000</v>
      </c>
      <c r="H202" s="182">
        <v>0</v>
      </c>
      <c r="I202" s="182">
        <v>150000</v>
      </c>
      <c r="J202" s="182">
        <v>0</v>
      </c>
      <c r="K202" s="182">
        <v>0</v>
      </c>
      <c r="L202" s="183">
        <f t="shared" si="0"/>
        <v>0</v>
      </c>
      <c r="M202" s="182">
        <v>0</v>
      </c>
      <c r="N202" s="184">
        <f t="shared" si="1"/>
        <v>0</v>
      </c>
      <c r="O202" s="182">
        <v>50000</v>
      </c>
      <c r="P202" s="184">
        <f t="shared" si="2"/>
        <v>0.25</v>
      </c>
      <c r="Q202" s="182">
        <v>50000</v>
      </c>
    </row>
    <row r="203" spans="1:17" x14ac:dyDescent="0.25">
      <c r="A203" s="181" t="s">
        <v>706</v>
      </c>
      <c r="B203" s="181" t="s">
        <v>182</v>
      </c>
      <c r="C203" s="181" t="s">
        <v>183</v>
      </c>
      <c r="D203" s="181" t="s">
        <v>69</v>
      </c>
      <c r="E203" s="182">
        <v>2000000</v>
      </c>
      <c r="F203" s="182">
        <v>2000000</v>
      </c>
      <c r="G203" s="182">
        <v>1500000</v>
      </c>
      <c r="H203" s="182">
        <v>0</v>
      </c>
      <c r="I203" s="182">
        <v>50000</v>
      </c>
      <c r="J203" s="182">
        <v>0</v>
      </c>
      <c r="K203" s="182">
        <v>150000</v>
      </c>
      <c r="L203" s="183">
        <f t="shared" si="0"/>
        <v>7.4999999999999997E-2</v>
      </c>
      <c r="M203" s="182">
        <v>150000</v>
      </c>
      <c r="N203" s="184">
        <f t="shared" si="1"/>
        <v>7.4999999999999997E-2</v>
      </c>
      <c r="O203" s="182">
        <v>1800000</v>
      </c>
      <c r="P203" s="184">
        <f t="shared" si="2"/>
        <v>0.9</v>
      </c>
      <c r="Q203" s="182">
        <v>1300000</v>
      </c>
    </row>
    <row r="204" spans="1:17" hidden="1" x14ac:dyDescent="0.25">
      <c r="A204" s="181" t="s">
        <v>706</v>
      </c>
      <c r="B204" s="181" t="s">
        <v>184</v>
      </c>
      <c r="C204" s="181" t="s">
        <v>185</v>
      </c>
      <c r="D204" s="181" t="s">
        <v>69</v>
      </c>
      <c r="E204" s="182">
        <v>56348380</v>
      </c>
      <c r="F204" s="182">
        <v>50848380</v>
      </c>
      <c r="G204" s="182">
        <v>42327235.520000003</v>
      </c>
      <c r="H204" s="182">
        <v>681321.62</v>
      </c>
      <c r="I204" s="182">
        <v>4943982.53</v>
      </c>
      <c r="J204" s="182">
        <v>6283056.0800000001</v>
      </c>
      <c r="K204" s="182">
        <v>11178530.550000001</v>
      </c>
      <c r="L204" s="183">
        <f t="shared" si="0"/>
        <v>0.21984044624430515</v>
      </c>
      <c r="M204" s="182">
        <v>11178530.550000001</v>
      </c>
      <c r="N204" s="184">
        <f t="shared" si="1"/>
        <v>0.21984044624430515</v>
      </c>
      <c r="O204" s="182">
        <v>27761489.219999999</v>
      </c>
      <c r="P204" s="184">
        <f t="shared" si="2"/>
        <v>0.54596605083583782</v>
      </c>
      <c r="Q204" s="182">
        <v>19240344.739999998</v>
      </c>
    </row>
    <row r="205" spans="1:17" hidden="1" x14ac:dyDescent="0.25">
      <c r="A205" s="181" t="s">
        <v>706</v>
      </c>
      <c r="B205" s="181" t="s">
        <v>186</v>
      </c>
      <c r="C205" s="181" t="s">
        <v>187</v>
      </c>
      <c r="D205" s="181" t="s">
        <v>69</v>
      </c>
      <c r="E205" s="182">
        <v>30858480</v>
      </c>
      <c r="F205" s="182">
        <v>29358480</v>
      </c>
      <c r="G205" s="182">
        <v>22809960</v>
      </c>
      <c r="H205" s="182">
        <v>0</v>
      </c>
      <c r="I205" s="182">
        <v>1998744.16</v>
      </c>
      <c r="J205" s="182">
        <v>1049885.17</v>
      </c>
      <c r="K205" s="182">
        <v>6169723.9800000004</v>
      </c>
      <c r="L205" s="183">
        <f t="shared" si="0"/>
        <v>0.21015134230382501</v>
      </c>
      <c r="M205" s="182">
        <v>6169723.9800000004</v>
      </c>
      <c r="N205" s="184">
        <f t="shared" si="1"/>
        <v>0.21015134230382501</v>
      </c>
      <c r="O205" s="182">
        <v>20140126.690000001</v>
      </c>
      <c r="P205" s="184">
        <f t="shared" si="2"/>
        <v>0.68600713286246429</v>
      </c>
      <c r="Q205" s="182">
        <v>13591606.689999999</v>
      </c>
    </row>
    <row r="206" spans="1:17" hidden="1" x14ac:dyDescent="0.25">
      <c r="A206" s="181" t="s">
        <v>706</v>
      </c>
      <c r="B206" s="181" t="s">
        <v>188</v>
      </c>
      <c r="C206" s="181" t="s">
        <v>189</v>
      </c>
      <c r="D206" s="181" t="s">
        <v>69</v>
      </c>
      <c r="E206" s="182">
        <v>25379000</v>
      </c>
      <c r="F206" s="182">
        <v>25379000</v>
      </c>
      <c r="G206" s="182">
        <v>19074250</v>
      </c>
      <c r="H206" s="182">
        <v>0</v>
      </c>
      <c r="I206" s="182">
        <v>1398547.16</v>
      </c>
      <c r="J206" s="182">
        <v>111463.2</v>
      </c>
      <c r="K206" s="182">
        <v>5001452.84</v>
      </c>
      <c r="L206" s="183">
        <f t="shared" si="0"/>
        <v>0.19707052444934789</v>
      </c>
      <c r="M206" s="182">
        <v>5001452.84</v>
      </c>
      <c r="N206" s="184">
        <f t="shared" si="1"/>
        <v>0.19707052444934789</v>
      </c>
      <c r="O206" s="182">
        <v>18867536.800000001</v>
      </c>
      <c r="P206" s="184">
        <f t="shared" si="2"/>
        <v>0.74343105717325353</v>
      </c>
      <c r="Q206" s="182">
        <v>12562786.800000001</v>
      </c>
    </row>
    <row r="207" spans="1:17" hidden="1" x14ac:dyDescent="0.25">
      <c r="A207" s="181" t="s">
        <v>706</v>
      </c>
      <c r="B207" s="181" t="s">
        <v>190</v>
      </c>
      <c r="C207" s="181" t="s">
        <v>191</v>
      </c>
      <c r="D207" s="181" t="s">
        <v>69</v>
      </c>
      <c r="E207" s="182">
        <v>231600</v>
      </c>
      <c r="F207" s="182">
        <v>231600</v>
      </c>
      <c r="G207" s="182">
        <v>199800</v>
      </c>
      <c r="H207" s="182">
        <v>0</v>
      </c>
      <c r="I207" s="182">
        <v>195</v>
      </c>
      <c r="J207" s="182">
        <v>0</v>
      </c>
      <c r="K207" s="182">
        <v>167805</v>
      </c>
      <c r="L207" s="183">
        <f t="shared" si="0"/>
        <v>0.72454663212435233</v>
      </c>
      <c r="M207" s="182">
        <v>167805</v>
      </c>
      <c r="N207" s="184">
        <f t="shared" si="1"/>
        <v>0.72454663212435233</v>
      </c>
      <c r="O207" s="182">
        <v>63600</v>
      </c>
      <c r="P207" s="184">
        <f t="shared" si="2"/>
        <v>0.27461139896373055</v>
      </c>
      <c r="Q207" s="182">
        <v>31800</v>
      </c>
    </row>
    <row r="208" spans="1:17" hidden="1" x14ac:dyDescent="0.25">
      <c r="A208" s="181" t="s">
        <v>706</v>
      </c>
      <c r="B208" s="181" t="s">
        <v>192</v>
      </c>
      <c r="C208" s="181" t="s">
        <v>193</v>
      </c>
      <c r="D208" s="181" t="s">
        <v>69</v>
      </c>
      <c r="E208" s="182">
        <v>4850880</v>
      </c>
      <c r="F208" s="182">
        <v>3350880</v>
      </c>
      <c r="G208" s="182">
        <v>3238160</v>
      </c>
      <c r="H208" s="182">
        <v>0</v>
      </c>
      <c r="I208" s="182">
        <v>600002</v>
      </c>
      <c r="J208" s="182">
        <v>938421.97</v>
      </c>
      <c r="K208" s="182">
        <v>1000466.14</v>
      </c>
      <c r="L208" s="183">
        <f t="shared" si="0"/>
        <v>0.29856817910519029</v>
      </c>
      <c r="M208" s="182">
        <v>1000466.14</v>
      </c>
      <c r="N208" s="184">
        <f t="shared" si="1"/>
        <v>0.29856817910519029</v>
      </c>
      <c r="O208" s="182">
        <v>811989.89</v>
      </c>
      <c r="P208" s="184">
        <f t="shared" si="2"/>
        <v>0.24232138721768612</v>
      </c>
      <c r="Q208" s="182">
        <v>699269.89</v>
      </c>
    </row>
    <row r="209" spans="1:17" x14ac:dyDescent="0.25">
      <c r="A209" s="181" t="s">
        <v>706</v>
      </c>
      <c r="B209" s="181" t="s">
        <v>194</v>
      </c>
      <c r="C209" s="181" t="s">
        <v>195</v>
      </c>
      <c r="D209" s="181" t="s">
        <v>69</v>
      </c>
      <c r="E209" s="182">
        <v>397000</v>
      </c>
      <c r="F209" s="182">
        <v>397000</v>
      </c>
      <c r="G209" s="182">
        <v>297750</v>
      </c>
      <c r="H209" s="182">
        <v>0</v>
      </c>
      <c r="I209" s="182">
        <v>0</v>
      </c>
      <c r="J209" s="182">
        <v>0</v>
      </c>
      <c r="K209" s="182">
        <v>0</v>
      </c>
      <c r="L209" s="183">
        <f t="shared" si="0"/>
        <v>0</v>
      </c>
      <c r="M209" s="182">
        <v>0</v>
      </c>
      <c r="N209" s="184">
        <f t="shared" si="1"/>
        <v>0</v>
      </c>
      <c r="O209" s="182">
        <v>397000</v>
      </c>
      <c r="P209" s="184">
        <f t="shared" si="2"/>
        <v>1</v>
      </c>
      <c r="Q209" s="182">
        <v>297750</v>
      </c>
    </row>
    <row r="210" spans="1:17" hidden="1" x14ac:dyDescent="0.25">
      <c r="A210" s="181" t="s">
        <v>706</v>
      </c>
      <c r="B210" s="181" t="s">
        <v>200</v>
      </c>
      <c r="C210" s="181" t="s">
        <v>201</v>
      </c>
      <c r="D210" s="181" t="s">
        <v>69</v>
      </c>
      <c r="E210" s="182">
        <v>5536500</v>
      </c>
      <c r="F210" s="182">
        <v>5536500</v>
      </c>
      <c r="G210" s="182">
        <v>5536500</v>
      </c>
      <c r="H210" s="182">
        <v>346521.62</v>
      </c>
      <c r="I210" s="182">
        <v>1461620.8</v>
      </c>
      <c r="J210" s="182">
        <v>2236430.89</v>
      </c>
      <c r="K210" s="182">
        <v>483923</v>
      </c>
      <c r="L210" s="183">
        <f t="shared" si="0"/>
        <v>8.7405942382371538E-2</v>
      </c>
      <c r="M210" s="182">
        <v>483923</v>
      </c>
      <c r="N210" s="184">
        <f t="shared" si="1"/>
        <v>8.7405942382371538E-2</v>
      </c>
      <c r="O210" s="182">
        <v>1008003.69</v>
      </c>
      <c r="P210" s="184">
        <f t="shared" si="2"/>
        <v>0.18206514765646165</v>
      </c>
      <c r="Q210" s="182">
        <v>1008003.69</v>
      </c>
    </row>
    <row r="211" spans="1:17" hidden="1" x14ac:dyDescent="0.25">
      <c r="A211" s="181" t="s">
        <v>706</v>
      </c>
      <c r="B211" s="181" t="s">
        <v>314</v>
      </c>
      <c r="C211" s="181" t="s">
        <v>315</v>
      </c>
      <c r="D211" s="181" t="s">
        <v>69</v>
      </c>
      <c r="E211" s="182">
        <v>1274000</v>
      </c>
      <c r="F211" s="182">
        <v>1274000</v>
      </c>
      <c r="G211" s="182">
        <v>1274000</v>
      </c>
      <c r="H211" s="182">
        <v>0</v>
      </c>
      <c r="I211" s="182">
        <v>130808.8</v>
      </c>
      <c r="J211" s="182">
        <v>779669.49</v>
      </c>
      <c r="K211" s="182">
        <v>338498</v>
      </c>
      <c r="L211" s="183">
        <f t="shared" si="0"/>
        <v>0.26569701726844586</v>
      </c>
      <c r="M211" s="182">
        <v>338498</v>
      </c>
      <c r="N211" s="184">
        <f t="shared" si="1"/>
        <v>0.26569701726844586</v>
      </c>
      <c r="O211" s="182">
        <v>25023.71</v>
      </c>
      <c r="P211" s="184">
        <f t="shared" si="2"/>
        <v>1.964184458398744E-2</v>
      </c>
      <c r="Q211" s="182">
        <v>25023.71</v>
      </c>
    </row>
    <row r="212" spans="1:17" hidden="1" x14ac:dyDescent="0.25">
      <c r="A212" s="181" t="s">
        <v>706</v>
      </c>
      <c r="B212" s="181" t="s">
        <v>316</v>
      </c>
      <c r="C212" s="181" t="s">
        <v>317</v>
      </c>
      <c r="D212" s="181" t="s">
        <v>69</v>
      </c>
      <c r="E212" s="182">
        <v>290000</v>
      </c>
      <c r="F212" s="182">
        <v>290000</v>
      </c>
      <c r="G212" s="182">
        <v>290000</v>
      </c>
      <c r="H212" s="182">
        <v>149952.42000000001</v>
      </c>
      <c r="I212" s="182">
        <v>137464.5</v>
      </c>
      <c r="J212" s="182">
        <v>0</v>
      </c>
      <c r="K212" s="182">
        <v>0</v>
      </c>
      <c r="L212" s="183">
        <f t="shared" si="0"/>
        <v>0</v>
      </c>
      <c r="M212" s="182">
        <v>0</v>
      </c>
      <c r="N212" s="184">
        <f t="shared" si="1"/>
        <v>0</v>
      </c>
      <c r="O212" s="182">
        <v>2583.08</v>
      </c>
      <c r="P212" s="184">
        <f t="shared" si="2"/>
        <v>8.9071724137931036E-3</v>
      </c>
      <c r="Q212" s="182">
        <v>2583.08</v>
      </c>
    </row>
    <row r="213" spans="1:17" hidden="1" x14ac:dyDescent="0.25">
      <c r="A213" s="181" t="s">
        <v>706</v>
      </c>
      <c r="B213" s="181" t="s">
        <v>318</v>
      </c>
      <c r="C213" s="181" t="s">
        <v>319</v>
      </c>
      <c r="D213" s="181" t="s">
        <v>69</v>
      </c>
      <c r="E213" s="182">
        <v>100000</v>
      </c>
      <c r="F213" s="182">
        <v>100000</v>
      </c>
      <c r="G213" s="182">
        <v>100000</v>
      </c>
      <c r="H213" s="182">
        <v>0</v>
      </c>
      <c r="I213" s="182">
        <v>0</v>
      </c>
      <c r="J213" s="182">
        <v>80563.350000000006</v>
      </c>
      <c r="K213" s="182">
        <v>0</v>
      </c>
      <c r="L213" s="183">
        <f t="shared" si="0"/>
        <v>0</v>
      </c>
      <c r="M213" s="182">
        <v>0</v>
      </c>
      <c r="N213" s="184">
        <f t="shared" si="1"/>
        <v>0</v>
      </c>
      <c r="O213" s="182">
        <v>19436.650000000001</v>
      </c>
      <c r="P213" s="184">
        <f t="shared" si="2"/>
        <v>0.19436650000000003</v>
      </c>
      <c r="Q213" s="182">
        <v>19436.650000000001</v>
      </c>
    </row>
    <row r="214" spans="1:17" hidden="1" x14ac:dyDescent="0.25">
      <c r="A214" s="181" t="s">
        <v>706</v>
      </c>
      <c r="B214" s="181" t="s">
        <v>202</v>
      </c>
      <c r="C214" s="181" t="s">
        <v>203</v>
      </c>
      <c r="D214" s="181" t="s">
        <v>69</v>
      </c>
      <c r="E214" s="182">
        <v>2782500</v>
      </c>
      <c r="F214" s="182">
        <v>2782500</v>
      </c>
      <c r="G214" s="182">
        <v>2782500</v>
      </c>
      <c r="H214" s="182">
        <v>0</v>
      </c>
      <c r="I214" s="182">
        <v>1190187.5</v>
      </c>
      <c r="J214" s="182">
        <v>1376198.05</v>
      </c>
      <c r="K214" s="182">
        <v>0</v>
      </c>
      <c r="L214" s="183">
        <f t="shared" si="0"/>
        <v>0</v>
      </c>
      <c r="M214" s="182">
        <v>0</v>
      </c>
      <c r="N214" s="184">
        <f t="shared" si="1"/>
        <v>0</v>
      </c>
      <c r="O214" s="182">
        <v>216114.45</v>
      </c>
      <c r="P214" s="184">
        <f t="shared" si="2"/>
        <v>7.7669164420485173E-2</v>
      </c>
      <c r="Q214" s="182">
        <v>216114.45</v>
      </c>
    </row>
    <row r="215" spans="1:17" hidden="1" x14ac:dyDescent="0.25">
      <c r="A215" s="181" t="s">
        <v>706</v>
      </c>
      <c r="B215" s="181" t="s">
        <v>204</v>
      </c>
      <c r="C215" s="181" t="s">
        <v>205</v>
      </c>
      <c r="D215" s="181" t="s">
        <v>69</v>
      </c>
      <c r="E215" s="182">
        <v>200000</v>
      </c>
      <c r="F215" s="182">
        <v>200000</v>
      </c>
      <c r="G215" s="182">
        <v>200000</v>
      </c>
      <c r="H215" s="182">
        <v>196569.2</v>
      </c>
      <c r="I215" s="182">
        <v>0</v>
      </c>
      <c r="J215" s="182">
        <v>0</v>
      </c>
      <c r="K215" s="182">
        <v>0</v>
      </c>
      <c r="L215" s="183">
        <f t="shared" si="0"/>
        <v>0</v>
      </c>
      <c r="M215" s="182">
        <v>0</v>
      </c>
      <c r="N215" s="184">
        <f t="shared" si="1"/>
        <v>0</v>
      </c>
      <c r="O215" s="182">
        <v>3430.8</v>
      </c>
      <c r="P215" s="184">
        <f t="shared" si="2"/>
        <v>1.7154000000000003E-2</v>
      </c>
      <c r="Q215" s="182">
        <v>3430.8</v>
      </c>
    </row>
    <row r="216" spans="1:17" x14ac:dyDescent="0.25">
      <c r="A216" s="181" t="s">
        <v>706</v>
      </c>
      <c r="B216" s="181" t="s">
        <v>322</v>
      </c>
      <c r="C216" s="181" t="s">
        <v>323</v>
      </c>
      <c r="D216" s="181" t="s">
        <v>69</v>
      </c>
      <c r="E216" s="182">
        <v>890000</v>
      </c>
      <c r="F216" s="182">
        <v>890000</v>
      </c>
      <c r="G216" s="182">
        <v>890000</v>
      </c>
      <c r="H216" s="182">
        <v>0</v>
      </c>
      <c r="I216" s="182">
        <v>3160</v>
      </c>
      <c r="J216" s="182">
        <v>0</v>
      </c>
      <c r="K216" s="182">
        <v>145425</v>
      </c>
      <c r="L216" s="183">
        <f t="shared" si="0"/>
        <v>0.16339887640449438</v>
      </c>
      <c r="M216" s="182">
        <v>145425</v>
      </c>
      <c r="N216" s="184">
        <f t="shared" si="1"/>
        <v>0.16339887640449438</v>
      </c>
      <c r="O216" s="182">
        <v>741415</v>
      </c>
      <c r="P216" s="184">
        <f t="shared" si="2"/>
        <v>0.83305056179775283</v>
      </c>
      <c r="Q216" s="182">
        <v>741415</v>
      </c>
    </row>
    <row r="217" spans="1:17" hidden="1" x14ac:dyDescent="0.25">
      <c r="A217" s="181" t="s">
        <v>706</v>
      </c>
      <c r="B217" s="181" t="s">
        <v>206</v>
      </c>
      <c r="C217" s="181" t="s">
        <v>207</v>
      </c>
      <c r="D217" s="181" t="s">
        <v>69</v>
      </c>
      <c r="E217" s="182">
        <v>3341900</v>
      </c>
      <c r="F217" s="182">
        <v>2341900</v>
      </c>
      <c r="G217" s="182">
        <v>1506425</v>
      </c>
      <c r="H217" s="182">
        <v>0</v>
      </c>
      <c r="I217" s="182">
        <v>6280.17</v>
      </c>
      <c r="J217" s="182">
        <v>0</v>
      </c>
      <c r="K217" s="182">
        <v>111538.33</v>
      </c>
      <c r="L217" s="183">
        <f t="shared" si="0"/>
        <v>4.7627281267347027E-2</v>
      </c>
      <c r="M217" s="182">
        <v>111538.33</v>
      </c>
      <c r="N217" s="184">
        <f t="shared" si="1"/>
        <v>4.7627281267347027E-2</v>
      </c>
      <c r="O217" s="182">
        <v>2224081.5</v>
      </c>
      <c r="P217" s="184">
        <f t="shared" si="2"/>
        <v>0.94969106281224647</v>
      </c>
      <c r="Q217" s="182">
        <v>1388606.5</v>
      </c>
    </row>
    <row r="218" spans="1:17" x14ac:dyDescent="0.25">
      <c r="A218" s="181" t="s">
        <v>706</v>
      </c>
      <c r="B218" s="181" t="s">
        <v>208</v>
      </c>
      <c r="C218" s="181" t="s">
        <v>209</v>
      </c>
      <c r="D218" s="181" t="s">
        <v>69</v>
      </c>
      <c r="E218" s="182">
        <v>671900</v>
      </c>
      <c r="F218" s="182">
        <v>671900</v>
      </c>
      <c r="G218" s="182">
        <v>503925</v>
      </c>
      <c r="H218" s="182">
        <v>0</v>
      </c>
      <c r="I218" s="182">
        <v>0</v>
      </c>
      <c r="J218" s="182">
        <v>0</v>
      </c>
      <c r="K218" s="182">
        <v>45250</v>
      </c>
      <c r="L218" s="183">
        <f t="shared" si="0"/>
        <v>6.7346331299300496E-2</v>
      </c>
      <c r="M218" s="182">
        <v>45250</v>
      </c>
      <c r="N218" s="184">
        <f t="shared" si="1"/>
        <v>6.7346331299300496E-2</v>
      </c>
      <c r="O218" s="182">
        <v>626650</v>
      </c>
      <c r="P218" s="184">
        <f t="shared" si="2"/>
        <v>0.93265366870069955</v>
      </c>
      <c r="Q218" s="182">
        <v>458675</v>
      </c>
    </row>
    <row r="219" spans="1:17" x14ac:dyDescent="0.25">
      <c r="A219" s="181" t="s">
        <v>706</v>
      </c>
      <c r="B219" s="181" t="s">
        <v>210</v>
      </c>
      <c r="C219" s="181" t="s">
        <v>211</v>
      </c>
      <c r="D219" s="181" t="s">
        <v>69</v>
      </c>
      <c r="E219" s="182">
        <v>2670000</v>
      </c>
      <c r="F219" s="182">
        <v>1670000</v>
      </c>
      <c r="G219" s="182">
        <v>1002500</v>
      </c>
      <c r="H219" s="182">
        <v>0</v>
      </c>
      <c r="I219" s="182">
        <v>6280.17</v>
      </c>
      <c r="J219" s="182">
        <v>0</v>
      </c>
      <c r="K219" s="182">
        <v>66288.33</v>
      </c>
      <c r="L219" s="183">
        <f t="shared" si="0"/>
        <v>3.9693610778443113E-2</v>
      </c>
      <c r="M219" s="182">
        <v>66288.33</v>
      </c>
      <c r="N219" s="184">
        <f t="shared" si="1"/>
        <v>3.9693610778443113E-2</v>
      </c>
      <c r="O219" s="182">
        <v>1597431.5</v>
      </c>
      <c r="P219" s="184">
        <f t="shared" si="2"/>
        <v>0.95654580838323355</v>
      </c>
      <c r="Q219" s="182">
        <v>929931.5</v>
      </c>
    </row>
    <row r="220" spans="1:17" hidden="1" x14ac:dyDescent="0.25">
      <c r="A220" s="181" t="s">
        <v>706</v>
      </c>
      <c r="B220" s="181" t="s">
        <v>212</v>
      </c>
      <c r="C220" s="181" t="s">
        <v>213</v>
      </c>
      <c r="D220" s="181" t="s">
        <v>69</v>
      </c>
      <c r="E220" s="182">
        <v>16611500</v>
      </c>
      <c r="F220" s="182">
        <v>13611500</v>
      </c>
      <c r="G220" s="182">
        <v>12474350.52</v>
      </c>
      <c r="H220" s="182">
        <v>334800</v>
      </c>
      <c r="I220" s="182">
        <v>1477337.4</v>
      </c>
      <c r="J220" s="182">
        <v>2996740.02</v>
      </c>
      <c r="K220" s="182">
        <v>4413345.24</v>
      </c>
      <c r="L220" s="183">
        <f t="shared" si="0"/>
        <v>0.32423650883444149</v>
      </c>
      <c r="M220" s="182">
        <v>4413345.24</v>
      </c>
      <c r="N220" s="184">
        <f t="shared" si="1"/>
        <v>0.32423650883444149</v>
      </c>
      <c r="O220" s="182">
        <v>4389277.34</v>
      </c>
      <c r="P220" s="184">
        <f t="shared" si="2"/>
        <v>0.32246830547698635</v>
      </c>
      <c r="Q220" s="182">
        <v>3252127.86</v>
      </c>
    </row>
    <row r="221" spans="1:17" hidden="1" x14ac:dyDescent="0.25">
      <c r="A221" s="181" t="s">
        <v>706</v>
      </c>
      <c r="B221" s="181" t="s">
        <v>214</v>
      </c>
      <c r="C221" s="181" t="s">
        <v>215</v>
      </c>
      <c r="D221" s="181" t="s">
        <v>69</v>
      </c>
      <c r="E221" s="182">
        <v>5232000</v>
      </c>
      <c r="F221" s="182">
        <v>2232000</v>
      </c>
      <c r="G221" s="182">
        <v>2224000</v>
      </c>
      <c r="H221" s="182">
        <v>0</v>
      </c>
      <c r="I221" s="182">
        <v>58344</v>
      </c>
      <c r="J221" s="182">
        <v>448800</v>
      </c>
      <c r="K221" s="182">
        <v>1645398.12</v>
      </c>
      <c r="L221" s="183">
        <f t="shared" si="0"/>
        <v>0.73718553763440864</v>
      </c>
      <c r="M221" s="182">
        <v>1645398.12</v>
      </c>
      <c r="N221" s="184">
        <f t="shared" si="1"/>
        <v>0.73718553763440864</v>
      </c>
      <c r="O221" s="182">
        <v>79457.88</v>
      </c>
      <c r="P221" s="184">
        <f t="shared" si="2"/>
        <v>3.5599408602150537E-2</v>
      </c>
      <c r="Q221" s="182">
        <v>71457.88</v>
      </c>
    </row>
    <row r="222" spans="1:17" hidden="1" x14ac:dyDescent="0.25">
      <c r="A222" s="181" t="s">
        <v>706</v>
      </c>
      <c r="B222" s="181" t="s">
        <v>218</v>
      </c>
      <c r="C222" s="181" t="s">
        <v>219</v>
      </c>
      <c r="D222" s="181" t="s">
        <v>69</v>
      </c>
      <c r="E222" s="182">
        <v>6600000</v>
      </c>
      <c r="F222" s="182">
        <v>2600000</v>
      </c>
      <c r="G222" s="182">
        <v>2411450.52</v>
      </c>
      <c r="H222" s="182">
        <v>0</v>
      </c>
      <c r="I222" s="182">
        <v>383177.52</v>
      </c>
      <c r="J222" s="182">
        <v>1083169.2</v>
      </c>
      <c r="K222" s="182">
        <v>924148</v>
      </c>
      <c r="L222" s="183">
        <f t="shared" si="0"/>
        <v>0.35544153846153848</v>
      </c>
      <c r="M222" s="182">
        <v>924148</v>
      </c>
      <c r="N222" s="184">
        <f t="shared" si="1"/>
        <v>0.35544153846153848</v>
      </c>
      <c r="O222" s="182">
        <v>209505.28</v>
      </c>
      <c r="P222" s="184">
        <f t="shared" si="2"/>
        <v>8.057895384615385E-2</v>
      </c>
      <c r="Q222" s="182">
        <v>20955.8</v>
      </c>
    </row>
    <row r="223" spans="1:17" hidden="1" x14ac:dyDescent="0.25">
      <c r="A223" s="181" t="s">
        <v>706</v>
      </c>
      <c r="B223" s="181" t="s">
        <v>220</v>
      </c>
      <c r="C223" s="181" t="s">
        <v>221</v>
      </c>
      <c r="D223" s="181" t="s">
        <v>69</v>
      </c>
      <c r="E223" s="182">
        <v>340000</v>
      </c>
      <c r="F223" s="182">
        <v>340000</v>
      </c>
      <c r="G223" s="182">
        <v>335000</v>
      </c>
      <c r="H223" s="182">
        <v>334800</v>
      </c>
      <c r="I223" s="182">
        <v>0</v>
      </c>
      <c r="J223" s="182">
        <v>0</v>
      </c>
      <c r="K223" s="182">
        <v>0</v>
      </c>
      <c r="L223" s="183">
        <f t="shared" si="0"/>
        <v>0</v>
      </c>
      <c r="M223" s="182">
        <v>0</v>
      </c>
      <c r="N223" s="184">
        <f t="shared" si="1"/>
        <v>0</v>
      </c>
      <c r="O223" s="182">
        <v>5200</v>
      </c>
      <c r="P223" s="184">
        <f t="shared" si="2"/>
        <v>1.5294117647058824E-2</v>
      </c>
      <c r="Q223" s="182">
        <v>200</v>
      </c>
    </row>
    <row r="224" spans="1:17" hidden="1" x14ac:dyDescent="0.25">
      <c r="A224" s="181" t="s">
        <v>706</v>
      </c>
      <c r="B224" s="181" t="s">
        <v>222</v>
      </c>
      <c r="C224" s="181" t="s">
        <v>223</v>
      </c>
      <c r="D224" s="181" t="s">
        <v>69</v>
      </c>
      <c r="E224" s="182">
        <v>1393100</v>
      </c>
      <c r="F224" s="182">
        <v>5393100</v>
      </c>
      <c r="G224" s="182">
        <v>5393100</v>
      </c>
      <c r="H224" s="182">
        <v>0</v>
      </c>
      <c r="I224" s="182">
        <v>1033121.88</v>
      </c>
      <c r="J224" s="182">
        <v>1464770.82</v>
      </c>
      <c r="K224" s="182">
        <v>1405853.12</v>
      </c>
      <c r="L224" s="183">
        <f t="shared" si="0"/>
        <v>0.26067625669837385</v>
      </c>
      <c r="M224" s="182">
        <v>1405853.12</v>
      </c>
      <c r="N224" s="184">
        <f t="shared" si="1"/>
        <v>0.26067625669837385</v>
      </c>
      <c r="O224" s="182">
        <v>1489354.18</v>
      </c>
      <c r="P224" s="184">
        <f t="shared" si="2"/>
        <v>0.27615919971815839</v>
      </c>
      <c r="Q224" s="182">
        <v>1489354.18</v>
      </c>
    </row>
    <row r="225" spans="1:17" x14ac:dyDescent="0.25">
      <c r="A225" s="181" t="s">
        <v>706</v>
      </c>
      <c r="B225" s="181" t="s">
        <v>224</v>
      </c>
      <c r="C225" s="181" t="s">
        <v>225</v>
      </c>
      <c r="D225" s="181" t="s">
        <v>69</v>
      </c>
      <c r="E225" s="182">
        <v>2296200</v>
      </c>
      <c r="F225" s="182">
        <v>2296200</v>
      </c>
      <c r="G225" s="182">
        <v>1472150</v>
      </c>
      <c r="H225" s="182">
        <v>0</v>
      </c>
      <c r="I225" s="182">
        <v>94</v>
      </c>
      <c r="J225" s="182">
        <v>0</v>
      </c>
      <c r="K225" s="182">
        <v>101106</v>
      </c>
      <c r="L225" s="183">
        <f t="shared" si="0"/>
        <v>4.4031878756205907E-2</v>
      </c>
      <c r="M225" s="182">
        <v>101106</v>
      </c>
      <c r="N225" s="184">
        <f t="shared" si="1"/>
        <v>4.4031878756205907E-2</v>
      </c>
      <c r="O225" s="182">
        <v>2195000</v>
      </c>
      <c r="P225" s="184">
        <f t="shared" si="2"/>
        <v>0.95592718404320176</v>
      </c>
      <c r="Q225" s="182">
        <v>1370950</v>
      </c>
    </row>
    <row r="226" spans="1:17" hidden="1" x14ac:dyDescent="0.25">
      <c r="A226" s="181" t="s">
        <v>706</v>
      </c>
      <c r="B226" s="181" t="s">
        <v>228</v>
      </c>
      <c r="C226" s="181" t="s">
        <v>229</v>
      </c>
      <c r="D226" s="181" t="s">
        <v>69</v>
      </c>
      <c r="E226" s="182">
        <v>750200</v>
      </c>
      <c r="F226" s="182">
        <v>750200</v>
      </c>
      <c r="G226" s="182">
        <v>638650</v>
      </c>
      <c r="H226" s="182">
        <v>0</v>
      </c>
      <c r="I226" s="182">
        <v>2600</v>
      </c>
      <c r="J226" s="182">
        <v>0</v>
      </c>
      <c r="K226" s="182">
        <v>336840</v>
      </c>
      <c r="L226" s="183">
        <f t="shared" si="0"/>
        <v>0.44900026659557452</v>
      </c>
      <c r="M226" s="182">
        <v>336840</v>
      </c>
      <c r="N226" s="184">
        <f t="shared" si="1"/>
        <v>0.44900026659557452</v>
      </c>
      <c r="O226" s="182">
        <v>410760</v>
      </c>
      <c r="P226" s="184">
        <f t="shared" si="2"/>
        <v>0.5475339909357505</v>
      </c>
      <c r="Q226" s="182">
        <v>299210</v>
      </c>
    </row>
    <row r="227" spans="1:17" hidden="1" x14ac:dyDescent="0.25">
      <c r="A227" s="181" t="s">
        <v>706</v>
      </c>
      <c r="B227" s="181" t="s">
        <v>230</v>
      </c>
      <c r="C227" s="181" t="s">
        <v>231</v>
      </c>
      <c r="D227" s="181" t="s">
        <v>85</v>
      </c>
      <c r="E227" s="182">
        <v>744452300</v>
      </c>
      <c r="F227" s="182">
        <v>139452300</v>
      </c>
      <c r="G227" s="182">
        <v>128139225</v>
      </c>
      <c r="H227" s="182">
        <v>20040167.09</v>
      </c>
      <c r="I227" s="182">
        <v>28811130.559999999</v>
      </c>
      <c r="J227" s="182">
        <v>12695666.85</v>
      </c>
      <c r="K227" s="182">
        <v>14076177.49</v>
      </c>
      <c r="L227" s="183">
        <f t="shared" si="0"/>
        <v>0.10093901276637245</v>
      </c>
      <c r="M227" s="182">
        <v>14076177.49</v>
      </c>
      <c r="N227" s="184">
        <f t="shared" si="1"/>
        <v>0.10093901276637245</v>
      </c>
      <c r="O227" s="182">
        <v>63829158.009999998</v>
      </c>
      <c r="P227" s="184">
        <f t="shared" si="2"/>
        <v>0.45771319662709037</v>
      </c>
      <c r="Q227" s="182">
        <v>52516083.009999998</v>
      </c>
    </row>
    <row r="228" spans="1:17" hidden="1" x14ac:dyDescent="0.25">
      <c r="A228" s="181" t="s">
        <v>706</v>
      </c>
      <c r="B228" s="181" t="s">
        <v>232</v>
      </c>
      <c r="C228" s="181" t="s">
        <v>233</v>
      </c>
      <c r="D228" s="181" t="s">
        <v>85</v>
      </c>
      <c r="E228" s="182">
        <v>67752300</v>
      </c>
      <c r="F228" s="182">
        <v>53252300</v>
      </c>
      <c r="G228" s="182">
        <v>53252300</v>
      </c>
      <c r="H228" s="182">
        <v>15294167.09</v>
      </c>
      <c r="I228" s="182">
        <v>8639462.7699999996</v>
      </c>
      <c r="J228" s="182">
        <v>10770874.140000001</v>
      </c>
      <c r="K228" s="182">
        <v>0</v>
      </c>
      <c r="L228" s="183">
        <f t="shared" si="0"/>
        <v>0</v>
      </c>
      <c r="M228" s="182">
        <v>0</v>
      </c>
      <c r="N228" s="184">
        <f t="shared" si="1"/>
        <v>0</v>
      </c>
      <c r="O228" s="182">
        <v>18547796</v>
      </c>
      <c r="P228" s="184">
        <f t="shared" si="2"/>
        <v>0.34830037388056478</v>
      </c>
      <c r="Q228" s="182">
        <v>18547796</v>
      </c>
    </row>
    <row r="229" spans="1:17" hidden="1" x14ac:dyDescent="0.25">
      <c r="A229" s="181" t="s">
        <v>706</v>
      </c>
      <c r="B229" s="181" t="s">
        <v>238</v>
      </c>
      <c r="C229" s="181" t="s">
        <v>239</v>
      </c>
      <c r="D229" s="181" t="s">
        <v>85</v>
      </c>
      <c r="E229" s="182">
        <v>45252300</v>
      </c>
      <c r="F229" s="182">
        <v>17752300</v>
      </c>
      <c r="G229" s="182">
        <v>17752300</v>
      </c>
      <c r="H229" s="182">
        <v>15294167.09</v>
      </c>
      <c r="I229" s="182">
        <v>486243.06</v>
      </c>
      <c r="J229" s="182">
        <v>296097.7</v>
      </c>
      <c r="K229" s="182">
        <v>0</v>
      </c>
      <c r="L229" s="183">
        <f t="shared" si="0"/>
        <v>0</v>
      </c>
      <c r="M229" s="182">
        <v>0</v>
      </c>
      <c r="N229" s="184">
        <f t="shared" si="1"/>
        <v>0</v>
      </c>
      <c r="O229" s="182">
        <v>1675792.15</v>
      </c>
      <c r="P229" s="184">
        <f t="shared" si="2"/>
        <v>9.4398593421697471E-2</v>
      </c>
      <c r="Q229" s="182">
        <v>1675792.15</v>
      </c>
    </row>
    <row r="230" spans="1:17" hidden="1" x14ac:dyDescent="0.25">
      <c r="A230" s="181" t="s">
        <v>706</v>
      </c>
      <c r="B230" s="181" t="s">
        <v>282</v>
      </c>
      <c r="C230" s="181" t="s">
        <v>283</v>
      </c>
      <c r="D230" s="181" t="s">
        <v>85</v>
      </c>
      <c r="E230" s="182">
        <v>22500000</v>
      </c>
      <c r="F230" s="182">
        <v>35500000</v>
      </c>
      <c r="G230" s="182">
        <v>35500000</v>
      </c>
      <c r="H230" s="182">
        <v>0</v>
      </c>
      <c r="I230" s="182">
        <v>8153219.71</v>
      </c>
      <c r="J230" s="182">
        <v>10474776.439999999</v>
      </c>
      <c r="K230" s="182">
        <v>0</v>
      </c>
      <c r="L230" s="183">
        <f t="shared" si="0"/>
        <v>0</v>
      </c>
      <c r="M230" s="182">
        <v>0</v>
      </c>
      <c r="N230" s="184">
        <f t="shared" si="1"/>
        <v>0</v>
      </c>
      <c r="O230" s="182">
        <v>16872003.850000001</v>
      </c>
      <c r="P230" s="184">
        <f t="shared" si="2"/>
        <v>0.47526771408450708</v>
      </c>
      <c r="Q230" s="182">
        <v>16872003.850000001</v>
      </c>
    </row>
    <row r="231" spans="1:17" hidden="1" x14ac:dyDescent="0.25">
      <c r="A231" s="181" t="s">
        <v>706</v>
      </c>
      <c r="B231" s="181" t="s">
        <v>328</v>
      </c>
      <c r="C231" s="181" t="s">
        <v>329</v>
      </c>
      <c r="D231" s="181" t="s">
        <v>85</v>
      </c>
      <c r="E231" s="182">
        <v>630000000</v>
      </c>
      <c r="F231" s="182">
        <v>30000000</v>
      </c>
      <c r="G231" s="182">
        <v>18686925</v>
      </c>
      <c r="H231" s="182">
        <v>0</v>
      </c>
      <c r="I231" s="182">
        <v>0</v>
      </c>
      <c r="J231" s="182">
        <v>0</v>
      </c>
      <c r="K231" s="182">
        <v>0</v>
      </c>
      <c r="L231" s="183">
        <f t="shared" si="0"/>
        <v>0</v>
      </c>
      <c r="M231" s="182">
        <v>0</v>
      </c>
      <c r="N231" s="184">
        <f t="shared" si="1"/>
        <v>0</v>
      </c>
      <c r="O231" s="182">
        <v>30000000</v>
      </c>
      <c r="P231" s="184">
        <f t="shared" si="2"/>
        <v>1</v>
      </c>
      <c r="Q231" s="182">
        <v>18686925</v>
      </c>
    </row>
    <row r="232" spans="1:17" x14ac:dyDescent="0.25">
      <c r="A232" s="181" t="s">
        <v>706</v>
      </c>
      <c r="B232" s="181" t="s">
        <v>330</v>
      </c>
      <c r="C232" s="181" t="s">
        <v>331</v>
      </c>
      <c r="D232" s="181" t="s">
        <v>85</v>
      </c>
      <c r="E232" s="182">
        <v>630000000</v>
      </c>
      <c r="F232" s="182">
        <v>30000000</v>
      </c>
      <c r="G232" s="182">
        <v>18686925</v>
      </c>
      <c r="H232" s="182">
        <v>0</v>
      </c>
      <c r="I232" s="182">
        <v>0</v>
      </c>
      <c r="J232" s="182">
        <v>0</v>
      </c>
      <c r="K232" s="182">
        <v>0</v>
      </c>
      <c r="L232" s="183">
        <f t="shared" si="0"/>
        <v>0</v>
      </c>
      <c r="M232" s="182">
        <v>0</v>
      </c>
      <c r="N232" s="184">
        <f t="shared" si="1"/>
        <v>0</v>
      </c>
      <c r="O232" s="182">
        <v>30000000</v>
      </c>
      <c r="P232" s="184">
        <f t="shared" si="2"/>
        <v>1</v>
      </c>
      <c r="Q232" s="182">
        <v>18686925</v>
      </c>
    </row>
    <row r="233" spans="1:17" hidden="1" x14ac:dyDescent="0.25">
      <c r="A233" s="181" t="s">
        <v>706</v>
      </c>
      <c r="B233" s="181" t="s">
        <v>244</v>
      </c>
      <c r="C233" s="181" t="s">
        <v>245</v>
      </c>
      <c r="D233" s="181" t="s">
        <v>85</v>
      </c>
      <c r="E233" s="182">
        <v>46700000</v>
      </c>
      <c r="F233" s="182">
        <v>56200000</v>
      </c>
      <c r="G233" s="182">
        <v>56200000</v>
      </c>
      <c r="H233" s="182">
        <v>4746000</v>
      </c>
      <c r="I233" s="182">
        <v>20171667.789999999</v>
      </c>
      <c r="J233" s="182">
        <v>1924792.71</v>
      </c>
      <c r="K233" s="182">
        <v>14076177.49</v>
      </c>
      <c r="L233" s="183">
        <f t="shared" si="0"/>
        <v>0.25046579163701066</v>
      </c>
      <c r="M233" s="182">
        <v>14076177.49</v>
      </c>
      <c r="N233" s="184">
        <f t="shared" si="1"/>
        <v>0.25046579163701066</v>
      </c>
      <c r="O233" s="182">
        <v>15281362.01</v>
      </c>
      <c r="P233" s="184">
        <f t="shared" si="2"/>
        <v>0.27191035604982206</v>
      </c>
      <c r="Q233" s="182">
        <v>15281362.01</v>
      </c>
    </row>
    <row r="234" spans="1:17" hidden="1" x14ac:dyDescent="0.25">
      <c r="A234" s="181" t="s">
        <v>706</v>
      </c>
      <c r="B234" s="181" t="s">
        <v>246</v>
      </c>
      <c r="C234" s="181" t="s">
        <v>247</v>
      </c>
      <c r="D234" s="181" t="s">
        <v>85</v>
      </c>
      <c r="E234" s="182">
        <v>46700000</v>
      </c>
      <c r="F234" s="182">
        <v>56200000</v>
      </c>
      <c r="G234" s="182">
        <v>56200000</v>
      </c>
      <c r="H234" s="182">
        <v>4746000</v>
      </c>
      <c r="I234" s="182">
        <v>20171667.789999999</v>
      </c>
      <c r="J234" s="182">
        <v>1924792.71</v>
      </c>
      <c r="K234" s="182">
        <v>14076177.49</v>
      </c>
      <c r="L234" s="183">
        <f t="shared" si="0"/>
        <v>0.25046579163701066</v>
      </c>
      <c r="M234" s="182">
        <v>14076177.49</v>
      </c>
      <c r="N234" s="184">
        <f t="shared" si="1"/>
        <v>0.25046579163701066</v>
      </c>
      <c r="O234" s="182">
        <v>15281362.01</v>
      </c>
      <c r="P234" s="184">
        <f t="shared" si="2"/>
        <v>0.27191035604982206</v>
      </c>
      <c r="Q234" s="182">
        <v>15281362.01</v>
      </c>
    </row>
    <row r="235" spans="1:17" hidden="1" x14ac:dyDescent="0.25">
      <c r="A235" s="181" t="s">
        <v>706</v>
      </c>
      <c r="B235" s="181" t="s">
        <v>248</v>
      </c>
      <c r="C235" s="181" t="s">
        <v>249</v>
      </c>
      <c r="D235" s="181" t="s">
        <v>69</v>
      </c>
      <c r="E235" s="182">
        <v>218960452</v>
      </c>
      <c r="F235" s="182">
        <v>123234903</v>
      </c>
      <c r="G235" s="182">
        <v>90831584</v>
      </c>
      <c r="H235" s="182">
        <v>0</v>
      </c>
      <c r="I235" s="182">
        <v>6977898.75</v>
      </c>
      <c r="J235" s="182">
        <v>0</v>
      </c>
      <c r="K235" s="182">
        <v>26575259.07</v>
      </c>
      <c r="L235" s="183">
        <f t="shared" si="0"/>
        <v>0.21564717805636607</v>
      </c>
      <c r="M235" s="182">
        <v>26575259.07</v>
      </c>
      <c r="N235" s="184">
        <f t="shared" si="1"/>
        <v>0.21564717805636607</v>
      </c>
      <c r="O235" s="182">
        <v>89681745.180000007</v>
      </c>
      <c r="P235" s="184">
        <f t="shared" si="2"/>
        <v>0.7277300748149248</v>
      </c>
      <c r="Q235" s="182">
        <v>57278426.18</v>
      </c>
    </row>
    <row r="236" spans="1:17" hidden="1" x14ac:dyDescent="0.25">
      <c r="A236" s="181" t="s">
        <v>706</v>
      </c>
      <c r="B236" s="181" t="s">
        <v>250</v>
      </c>
      <c r="C236" s="181" t="s">
        <v>251</v>
      </c>
      <c r="D236" s="181" t="s">
        <v>69</v>
      </c>
      <c r="E236" s="182">
        <v>17259352</v>
      </c>
      <c r="F236" s="182">
        <v>16783803</v>
      </c>
      <c r="G236" s="182">
        <v>16783803</v>
      </c>
      <c r="H236" s="182">
        <v>0</v>
      </c>
      <c r="I236" s="182">
        <v>6977898.75</v>
      </c>
      <c r="J236" s="182">
        <v>0</v>
      </c>
      <c r="K236" s="182">
        <v>9805904.25</v>
      </c>
      <c r="L236" s="183">
        <f t="shared" si="0"/>
        <v>0.58424805450826611</v>
      </c>
      <c r="M236" s="182">
        <v>9805904.25</v>
      </c>
      <c r="N236" s="184">
        <f t="shared" si="1"/>
        <v>0.58424805450826611</v>
      </c>
      <c r="O236" s="182">
        <v>0</v>
      </c>
      <c r="P236" s="184">
        <f t="shared" si="2"/>
        <v>0</v>
      </c>
      <c r="Q236" s="182">
        <v>0</v>
      </c>
    </row>
    <row r="237" spans="1:17" hidden="1" x14ac:dyDescent="0.25">
      <c r="A237" s="181" t="s">
        <v>706</v>
      </c>
      <c r="B237" s="181" t="s">
        <v>628</v>
      </c>
      <c r="C237" s="181" t="s">
        <v>702</v>
      </c>
      <c r="D237" s="181" t="s">
        <v>69</v>
      </c>
      <c r="E237" s="182">
        <v>14660103</v>
      </c>
      <c r="F237" s="182">
        <v>14256172</v>
      </c>
      <c r="G237" s="182">
        <v>14256172</v>
      </c>
      <c r="H237" s="182">
        <v>0</v>
      </c>
      <c r="I237" s="182">
        <v>5959889.1299999999</v>
      </c>
      <c r="J237" s="182">
        <v>0</v>
      </c>
      <c r="K237" s="182">
        <v>8296282.8700000001</v>
      </c>
      <c r="L237" s="183">
        <f t="shared" si="0"/>
        <v>0.58194323623480415</v>
      </c>
      <c r="M237" s="182">
        <v>8296282.8700000001</v>
      </c>
      <c r="N237" s="184">
        <f t="shared" si="1"/>
        <v>0.58194323623480415</v>
      </c>
      <c r="O237" s="182">
        <v>0</v>
      </c>
      <c r="P237" s="184">
        <f t="shared" si="2"/>
        <v>0</v>
      </c>
      <c r="Q237" s="182">
        <v>0</v>
      </c>
    </row>
    <row r="238" spans="1:17" hidden="1" x14ac:dyDescent="0.25">
      <c r="A238" s="181" t="s">
        <v>706</v>
      </c>
      <c r="B238" s="181" t="s">
        <v>643</v>
      </c>
      <c r="C238" s="181" t="s">
        <v>703</v>
      </c>
      <c r="D238" s="181" t="s">
        <v>69</v>
      </c>
      <c r="E238" s="182">
        <v>2599249</v>
      </c>
      <c r="F238" s="182">
        <v>2527631</v>
      </c>
      <c r="G238" s="182">
        <v>2527631</v>
      </c>
      <c r="H238" s="182">
        <v>0</v>
      </c>
      <c r="I238" s="182">
        <v>1018009.62</v>
      </c>
      <c r="J238" s="182">
        <v>0</v>
      </c>
      <c r="K238" s="182">
        <v>1509621.38</v>
      </c>
      <c r="L238" s="183">
        <f t="shared" si="0"/>
        <v>0.59724753336226688</v>
      </c>
      <c r="M238" s="182">
        <v>1509621.38</v>
      </c>
      <c r="N238" s="184">
        <f t="shared" si="1"/>
        <v>0.59724753336226688</v>
      </c>
      <c r="O238" s="182">
        <v>0</v>
      </c>
      <c r="P238" s="184">
        <f t="shared" si="2"/>
        <v>0</v>
      </c>
      <c r="Q238" s="182">
        <v>0</v>
      </c>
    </row>
    <row r="239" spans="1:17" hidden="1" x14ac:dyDescent="0.25">
      <c r="A239" s="181" t="s">
        <v>706</v>
      </c>
      <c r="B239" s="181" t="s">
        <v>260</v>
      </c>
      <c r="C239" s="181" t="s">
        <v>261</v>
      </c>
      <c r="D239" s="181" t="s">
        <v>69</v>
      </c>
      <c r="E239" s="182">
        <v>195701100</v>
      </c>
      <c r="F239" s="182">
        <v>100451100</v>
      </c>
      <c r="G239" s="182">
        <v>71047781</v>
      </c>
      <c r="H239" s="182">
        <v>0</v>
      </c>
      <c r="I239" s="182">
        <v>0</v>
      </c>
      <c r="J239" s="182">
        <v>0</v>
      </c>
      <c r="K239" s="182">
        <v>16769354.82</v>
      </c>
      <c r="L239" s="183">
        <f t="shared" si="0"/>
        <v>0.16694047969609094</v>
      </c>
      <c r="M239" s="182">
        <v>16769354.82</v>
      </c>
      <c r="N239" s="184">
        <f t="shared" si="1"/>
        <v>0.16694047969609094</v>
      </c>
      <c r="O239" s="182">
        <v>83681745.180000007</v>
      </c>
      <c r="P239" s="184">
        <f t="shared" si="2"/>
        <v>0.83305952030390917</v>
      </c>
      <c r="Q239" s="182">
        <v>54278426.18</v>
      </c>
    </row>
    <row r="240" spans="1:17" hidden="1" x14ac:dyDescent="0.25">
      <c r="A240" s="181" t="s">
        <v>706</v>
      </c>
      <c r="B240" s="181" t="s">
        <v>262</v>
      </c>
      <c r="C240" s="181" t="s">
        <v>263</v>
      </c>
      <c r="D240" s="181" t="s">
        <v>69</v>
      </c>
      <c r="E240" s="182">
        <v>165701100</v>
      </c>
      <c r="F240" s="182">
        <v>70451100</v>
      </c>
      <c r="G240" s="182">
        <v>41047781</v>
      </c>
      <c r="H240" s="182">
        <v>0</v>
      </c>
      <c r="I240" s="182">
        <v>0</v>
      </c>
      <c r="J240" s="182">
        <v>0</v>
      </c>
      <c r="K240" s="182">
        <v>14880077.82</v>
      </c>
      <c r="L240" s="183">
        <f t="shared" si="0"/>
        <v>0.21121143346235899</v>
      </c>
      <c r="M240" s="182">
        <v>14880077.82</v>
      </c>
      <c r="N240" s="184">
        <f t="shared" si="1"/>
        <v>0.21121143346235899</v>
      </c>
      <c r="O240" s="182">
        <v>55571022.18</v>
      </c>
      <c r="P240" s="184">
        <f t="shared" si="2"/>
        <v>0.78878856653764096</v>
      </c>
      <c r="Q240" s="182">
        <v>26167703.18</v>
      </c>
    </row>
    <row r="241" spans="1:256" x14ac:dyDescent="0.25">
      <c r="A241" s="181" t="s">
        <v>706</v>
      </c>
      <c r="B241" s="181" t="s">
        <v>264</v>
      </c>
      <c r="C241" s="181" t="s">
        <v>265</v>
      </c>
      <c r="D241" s="181" t="s">
        <v>69</v>
      </c>
      <c r="E241" s="182">
        <v>30000000</v>
      </c>
      <c r="F241" s="182">
        <v>30000000</v>
      </c>
      <c r="G241" s="182">
        <v>30000000</v>
      </c>
      <c r="H241" s="182">
        <v>0</v>
      </c>
      <c r="I241" s="182">
        <v>0</v>
      </c>
      <c r="J241" s="182">
        <v>0</v>
      </c>
      <c r="K241" s="182">
        <v>1889277</v>
      </c>
      <c r="L241" s="183">
        <f t="shared" si="0"/>
        <v>6.2975900000000001E-2</v>
      </c>
      <c r="M241" s="182">
        <v>1889277</v>
      </c>
      <c r="N241" s="184">
        <f t="shared" si="1"/>
        <v>6.2975900000000001E-2</v>
      </c>
      <c r="O241" s="182">
        <v>28110723</v>
      </c>
      <c r="P241" s="184">
        <f t="shared" si="2"/>
        <v>0.93702410000000003</v>
      </c>
      <c r="Q241" s="182">
        <v>28110723</v>
      </c>
    </row>
    <row r="242" spans="1:256" hidden="1" x14ac:dyDescent="0.25">
      <c r="A242" s="181" t="s">
        <v>706</v>
      </c>
      <c r="B242" s="181" t="s">
        <v>286</v>
      </c>
      <c r="C242" s="181" t="s">
        <v>287</v>
      </c>
      <c r="D242" s="181" t="s">
        <v>69</v>
      </c>
      <c r="E242" s="182">
        <v>6000000</v>
      </c>
      <c r="F242" s="182">
        <v>6000000</v>
      </c>
      <c r="G242" s="182">
        <v>3000000</v>
      </c>
      <c r="H242" s="182">
        <v>0</v>
      </c>
      <c r="I242" s="182">
        <v>0</v>
      </c>
      <c r="J242" s="182">
        <v>0</v>
      </c>
      <c r="K242" s="182">
        <v>0</v>
      </c>
      <c r="L242" s="183">
        <f t="shared" si="0"/>
        <v>0</v>
      </c>
      <c r="M242" s="182">
        <v>0</v>
      </c>
      <c r="N242" s="184">
        <f t="shared" si="1"/>
        <v>0</v>
      </c>
      <c r="O242" s="182">
        <v>6000000</v>
      </c>
      <c r="P242" s="184">
        <f t="shared" si="2"/>
        <v>1</v>
      </c>
      <c r="Q242" s="182">
        <v>3000000</v>
      </c>
    </row>
    <row r="243" spans="1:256" x14ac:dyDescent="0.25">
      <c r="A243" s="181" t="s">
        <v>706</v>
      </c>
      <c r="B243" s="181" t="s">
        <v>288</v>
      </c>
      <c r="C243" s="181" t="s">
        <v>289</v>
      </c>
      <c r="D243" s="181" t="s">
        <v>69</v>
      </c>
      <c r="E243" s="182">
        <v>6000000</v>
      </c>
      <c r="F243" s="182">
        <v>6000000</v>
      </c>
      <c r="G243" s="182">
        <v>3000000</v>
      </c>
      <c r="H243" s="182">
        <v>0</v>
      </c>
      <c r="I243" s="182">
        <v>0</v>
      </c>
      <c r="J243" s="182">
        <v>0</v>
      </c>
      <c r="K243" s="182">
        <v>0</v>
      </c>
      <c r="L243" s="183">
        <f t="shared" si="0"/>
        <v>0</v>
      </c>
      <c r="M243" s="182">
        <v>0</v>
      </c>
      <c r="N243" s="184">
        <f t="shared" si="1"/>
        <v>0</v>
      </c>
      <c r="O243" s="182">
        <v>6000000</v>
      </c>
      <c r="P243" s="184">
        <f t="shared" si="2"/>
        <v>1</v>
      </c>
      <c r="Q243" s="182">
        <v>3000000</v>
      </c>
    </row>
    <row r="244" spans="1:256" hidden="1" x14ac:dyDescent="0.25">
      <c r="A244" s="44">
        <v>214789</v>
      </c>
      <c r="B244" s="44"/>
      <c r="C244" s="44"/>
      <c r="D244" s="44" t="s">
        <v>69</v>
      </c>
      <c r="E244" s="50">
        <v>77210852108</v>
      </c>
      <c r="F244" s="50">
        <v>75853899258</v>
      </c>
      <c r="G244" s="50">
        <v>70802311232.880005</v>
      </c>
      <c r="H244" s="50">
        <v>590053295.25</v>
      </c>
      <c r="I244" s="50">
        <v>10047737008.629999</v>
      </c>
      <c r="J244" s="50">
        <v>776401656.22000003</v>
      </c>
      <c r="K244" s="50">
        <v>43438852833.440002</v>
      </c>
      <c r="L244" s="151">
        <f t="shared" si="0"/>
        <v>0.57266473125781581</v>
      </c>
      <c r="M244" s="50">
        <v>42414823607.279999</v>
      </c>
      <c r="N244" s="152">
        <f t="shared" si="1"/>
        <v>0.55916471034686699</v>
      </c>
      <c r="O244" s="50">
        <v>21000854464.459999</v>
      </c>
      <c r="P244" s="152">
        <f t="shared" si="2"/>
        <v>0.27685926062983668</v>
      </c>
      <c r="Q244" s="50">
        <v>15949266439.34</v>
      </c>
    </row>
    <row r="245" spans="1:256" hidden="1" x14ac:dyDescent="0.25">
      <c r="A245" s="44" t="s">
        <v>707</v>
      </c>
      <c r="B245" s="44" t="s">
        <v>71</v>
      </c>
      <c r="C245" s="44" t="s">
        <v>72</v>
      </c>
      <c r="D245" s="44" t="s">
        <v>69</v>
      </c>
      <c r="E245" s="50">
        <v>48966684366</v>
      </c>
      <c r="F245" s="50">
        <v>48019702941</v>
      </c>
      <c r="G245" s="50">
        <v>44561800949</v>
      </c>
      <c r="H245" s="50">
        <v>0</v>
      </c>
      <c r="I245" s="50">
        <v>2263288220</v>
      </c>
      <c r="J245" s="50">
        <v>0</v>
      </c>
      <c r="K245" s="50">
        <v>29801910227.77</v>
      </c>
      <c r="L245" s="151">
        <f t="shared" si="0"/>
        <v>0.62061837959277855</v>
      </c>
      <c r="M245" s="50">
        <v>29801910227.77</v>
      </c>
      <c r="N245" s="152">
        <f t="shared" si="1"/>
        <v>0.62061837959277855</v>
      </c>
      <c r="O245" s="50">
        <v>15954504493.23</v>
      </c>
      <c r="P245" s="152">
        <f t="shared" si="2"/>
        <v>0.33224912933827805</v>
      </c>
      <c r="Q245" s="50">
        <v>12496602501.23</v>
      </c>
    </row>
    <row r="246" spans="1:256" hidden="1" x14ac:dyDescent="0.25">
      <c r="A246" s="44" t="s">
        <v>707</v>
      </c>
      <c r="B246" s="44" t="s">
        <v>73</v>
      </c>
      <c r="C246" s="44" t="s">
        <v>74</v>
      </c>
      <c r="D246" s="44" t="s">
        <v>69</v>
      </c>
      <c r="E246" s="50">
        <v>17541843984</v>
      </c>
      <c r="F246" s="50">
        <v>16935768300</v>
      </c>
      <c r="G246" s="50">
        <v>14774722810</v>
      </c>
      <c r="H246" s="50">
        <v>0</v>
      </c>
      <c r="I246" s="50">
        <v>0</v>
      </c>
      <c r="J246" s="50">
        <v>0</v>
      </c>
      <c r="K246" s="50">
        <v>10778279844.469999</v>
      </c>
      <c r="L246" s="151">
        <f t="shared" si="0"/>
        <v>0.63642107364388067</v>
      </c>
      <c r="M246" s="50">
        <v>10778279844.469999</v>
      </c>
      <c r="N246" s="152">
        <f t="shared" si="1"/>
        <v>0.63642107364388067</v>
      </c>
      <c r="O246" s="50">
        <v>6157488455.5299997</v>
      </c>
      <c r="P246" s="152">
        <f t="shared" si="2"/>
        <v>0.36357892635611933</v>
      </c>
      <c r="Q246" s="50">
        <v>3996442965.5300002</v>
      </c>
    </row>
    <row r="247" spans="1:256" hidden="1" x14ac:dyDescent="0.25">
      <c r="A247" s="44" t="s">
        <v>707</v>
      </c>
      <c r="B247" s="44" t="s">
        <v>75</v>
      </c>
      <c r="C247" s="44" t="s">
        <v>76</v>
      </c>
      <c r="D247" s="44" t="s">
        <v>69</v>
      </c>
      <c r="E247" s="50">
        <v>17541843984</v>
      </c>
      <c r="F247" s="50">
        <v>16935768300</v>
      </c>
      <c r="G247" s="50">
        <v>14774722810</v>
      </c>
      <c r="H247" s="50">
        <v>0</v>
      </c>
      <c r="I247" s="50">
        <v>0</v>
      </c>
      <c r="J247" s="50">
        <v>0</v>
      </c>
      <c r="K247" s="50">
        <v>10778279844.469999</v>
      </c>
      <c r="L247" s="151">
        <f t="shared" si="0"/>
        <v>0.63642107364388067</v>
      </c>
      <c r="M247" s="50">
        <v>10778279844.469999</v>
      </c>
      <c r="N247" s="152">
        <f t="shared" si="1"/>
        <v>0.63642107364388067</v>
      </c>
      <c r="O247" s="50">
        <v>6157488455.5299997</v>
      </c>
      <c r="P247" s="152">
        <f t="shared" si="2"/>
        <v>0.36357892635611933</v>
      </c>
      <c r="Q247" s="50">
        <v>3996442965.5300002</v>
      </c>
    </row>
    <row r="248" spans="1:256" hidden="1" x14ac:dyDescent="0.25">
      <c r="A248" s="44" t="s">
        <v>707</v>
      </c>
      <c r="B248" s="44" t="s">
        <v>293</v>
      </c>
      <c r="C248" s="44" t="s">
        <v>294</v>
      </c>
      <c r="D248" s="44" t="s">
        <v>69</v>
      </c>
      <c r="E248" s="50">
        <v>3681614000</v>
      </c>
      <c r="F248" s="50">
        <v>3681614000</v>
      </c>
      <c r="G248" s="50">
        <v>3681614000</v>
      </c>
      <c r="H248" s="50">
        <v>0</v>
      </c>
      <c r="I248" s="50">
        <v>0</v>
      </c>
      <c r="J248" s="50">
        <v>0</v>
      </c>
      <c r="K248" s="50">
        <v>2418150420.6599998</v>
      </c>
      <c r="L248" s="151">
        <f t="shared" si="0"/>
        <v>0.65681802075394102</v>
      </c>
      <c r="M248" s="50">
        <v>2418150420.6599998</v>
      </c>
      <c r="N248" s="152">
        <f t="shared" si="1"/>
        <v>0.65681802075394102</v>
      </c>
      <c r="O248" s="50">
        <v>1263463579.3399999</v>
      </c>
      <c r="P248" s="152">
        <f t="shared" si="2"/>
        <v>0.34318197924605892</v>
      </c>
      <c r="Q248" s="50">
        <v>1263463579.3399999</v>
      </c>
    </row>
    <row r="249" spans="1:256" hidden="1" x14ac:dyDescent="0.25">
      <c r="A249" s="44" t="s">
        <v>707</v>
      </c>
      <c r="B249" s="44" t="s">
        <v>295</v>
      </c>
      <c r="C249" s="44" t="s">
        <v>296</v>
      </c>
      <c r="D249" s="44" t="s">
        <v>69</v>
      </c>
      <c r="E249" s="50">
        <v>8000000</v>
      </c>
      <c r="F249" s="50">
        <v>8000000</v>
      </c>
      <c r="G249" s="50">
        <v>8000000</v>
      </c>
      <c r="H249" s="50">
        <v>0</v>
      </c>
      <c r="I249" s="50">
        <v>0</v>
      </c>
      <c r="J249" s="50">
        <v>0</v>
      </c>
      <c r="K249" s="50">
        <v>4597702.4800000004</v>
      </c>
      <c r="L249" s="151">
        <f t="shared" si="0"/>
        <v>0.57471281000000007</v>
      </c>
      <c r="M249" s="50">
        <v>4597702.4800000004</v>
      </c>
      <c r="N249" s="152">
        <f t="shared" si="1"/>
        <v>0.57471281000000007</v>
      </c>
      <c r="O249" s="50">
        <v>3402297.52</v>
      </c>
      <c r="P249" s="152">
        <f t="shared" si="2"/>
        <v>0.42528718999999998</v>
      </c>
      <c r="Q249" s="50">
        <v>3402297.52</v>
      </c>
    </row>
    <row r="250" spans="1:256" x14ac:dyDescent="0.25">
      <c r="A250" s="165" t="s">
        <v>707</v>
      </c>
      <c r="B250" s="165" t="s">
        <v>337</v>
      </c>
      <c r="C250" s="165" t="s">
        <v>338</v>
      </c>
      <c r="D250" s="165" t="s">
        <v>69</v>
      </c>
      <c r="E250" s="166">
        <v>25000000</v>
      </c>
      <c r="F250" s="166">
        <v>25000000</v>
      </c>
      <c r="G250" s="166">
        <v>25000000</v>
      </c>
      <c r="H250" s="166">
        <v>0</v>
      </c>
      <c r="I250" s="166">
        <v>0</v>
      </c>
      <c r="J250" s="166">
        <v>0</v>
      </c>
      <c r="K250" s="166">
        <v>1772450</v>
      </c>
      <c r="L250" s="167">
        <f t="shared" si="0"/>
        <v>7.0898000000000003E-2</v>
      </c>
      <c r="M250" s="166">
        <v>1772450</v>
      </c>
      <c r="N250" s="168">
        <f t="shared" si="1"/>
        <v>7.0898000000000003E-2</v>
      </c>
      <c r="O250" s="166">
        <v>23227550</v>
      </c>
      <c r="P250" s="168">
        <f t="shared" si="2"/>
        <v>0.92910199999999998</v>
      </c>
      <c r="Q250" s="166">
        <v>23227550</v>
      </c>
      <c r="GM250" s="185"/>
      <c r="GN250" s="185"/>
      <c r="GO250" s="185"/>
      <c r="GP250" s="185"/>
      <c r="GQ250" s="185"/>
      <c r="GR250" s="185"/>
      <c r="GS250" s="185"/>
      <c r="GT250" s="185"/>
      <c r="GU250" s="185"/>
      <c r="GV250" s="185"/>
      <c r="GW250" s="185"/>
      <c r="GX250" s="185"/>
      <c r="GY250" s="185"/>
      <c r="GZ250" s="185"/>
      <c r="HA250" s="185"/>
      <c r="HB250" s="185"/>
      <c r="HC250" s="185"/>
      <c r="HD250" s="185"/>
      <c r="HE250" s="185"/>
      <c r="HF250" s="185"/>
      <c r="HG250" s="185"/>
      <c r="HH250" s="185"/>
      <c r="HI250" s="185"/>
      <c r="HJ250" s="185"/>
      <c r="HK250" s="185"/>
      <c r="HL250" s="185"/>
      <c r="HM250" s="185"/>
      <c r="HN250" s="185"/>
      <c r="HO250" s="185"/>
      <c r="HP250" s="185"/>
      <c r="HQ250" s="185"/>
      <c r="HR250" s="185"/>
      <c r="HS250" s="185"/>
      <c r="HT250" s="185"/>
      <c r="HU250" s="185"/>
      <c r="HV250" s="185"/>
      <c r="HW250" s="185"/>
      <c r="HX250" s="185"/>
      <c r="HY250" s="185"/>
      <c r="HZ250" s="185"/>
      <c r="IA250" s="185"/>
      <c r="IB250" s="185"/>
      <c r="IC250" s="185"/>
      <c r="ID250" s="185"/>
      <c r="IE250" s="185"/>
      <c r="IF250" s="185"/>
      <c r="IG250" s="185"/>
      <c r="IH250" s="185"/>
      <c r="II250" s="185"/>
      <c r="IJ250" s="185"/>
      <c r="IK250" s="185"/>
      <c r="IL250" s="185"/>
      <c r="IM250" s="185"/>
      <c r="IN250" s="185"/>
      <c r="IO250" s="185"/>
      <c r="IP250" s="185"/>
      <c r="IQ250" s="185"/>
      <c r="IR250" s="185"/>
      <c r="IS250" s="185"/>
      <c r="IT250" s="185"/>
      <c r="IU250" s="185"/>
      <c r="IV250" s="185"/>
    </row>
    <row r="251" spans="1:256" hidden="1" x14ac:dyDescent="0.25">
      <c r="A251" s="165" t="s">
        <v>707</v>
      </c>
      <c r="B251" s="165" t="s">
        <v>339</v>
      </c>
      <c r="C251" s="165" t="s">
        <v>340</v>
      </c>
      <c r="D251" s="165" t="s">
        <v>69</v>
      </c>
      <c r="E251" s="166">
        <v>3648614000</v>
      </c>
      <c r="F251" s="166">
        <v>3648614000</v>
      </c>
      <c r="G251" s="166">
        <v>3648614000</v>
      </c>
      <c r="H251" s="166">
        <v>0</v>
      </c>
      <c r="I251" s="166">
        <v>0</v>
      </c>
      <c r="J251" s="166">
        <v>0</v>
      </c>
      <c r="K251" s="166">
        <v>2411780268.1799998</v>
      </c>
      <c r="L251" s="167">
        <f t="shared" si="0"/>
        <v>0.66101272104421016</v>
      </c>
      <c r="M251" s="166">
        <v>2411780268.1799998</v>
      </c>
      <c r="N251" s="168">
        <f t="shared" si="1"/>
        <v>0.66101272104421016</v>
      </c>
      <c r="O251" s="166">
        <v>1236833731.8199999</v>
      </c>
      <c r="P251" s="168">
        <f t="shared" si="2"/>
        <v>0.33898727895578978</v>
      </c>
      <c r="Q251" s="166">
        <v>1236833731.8199999</v>
      </c>
      <c r="GM251" s="185"/>
      <c r="GN251" s="185"/>
      <c r="GO251" s="185"/>
      <c r="GP251" s="185"/>
      <c r="GQ251" s="185"/>
      <c r="GR251" s="185"/>
      <c r="GS251" s="185"/>
      <c r="GT251" s="185"/>
      <c r="GU251" s="185"/>
      <c r="GV251" s="185"/>
      <c r="GW251" s="185"/>
      <c r="GX251" s="185"/>
      <c r="GY251" s="185"/>
      <c r="GZ251" s="185"/>
      <c r="HA251" s="185"/>
      <c r="HB251" s="185"/>
      <c r="HC251" s="185"/>
      <c r="HD251" s="185"/>
      <c r="HE251" s="185"/>
      <c r="HF251" s="185"/>
      <c r="HG251" s="185"/>
      <c r="HH251" s="185"/>
      <c r="HI251" s="185"/>
      <c r="HJ251" s="185"/>
      <c r="HK251" s="185"/>
      <c r="HL251" s="185"/>
      <c r="HM251" s="185"/>
      <c r="HN251" s="185"/>
      <c r="HO251" s="185"/>
      <c r="HP251" s="185"/>
      <c r="HQ251" s="185"/>
      <c r="HR251" s="185"/>
      <c r="HS251" s="185"/>
      <c r="HT251" s="185"/>
      <c r="HU251" s="185"/>
      <c r="HV251" s="185"/>
      <c r="HW251" s="185"/>
      <c r="HX251" s="185"/>
      <c r="HY251" s="185"/>
      <c r="HZ251" s="185"/>
      <c r="IA251" s="185"/>
      <c r="IB251" s="185"/>
      <c r="IC251" s="185"/>
      <c r="ID251" s="185"/>
      <c r="IE251" s="185"/>
      <c r="IF251" s="185"/>
      <c r="IG251" s="185"/>
      <c r="IH251" s="185"/>
      <c r="II251" s="185"/>
      <c r="IJ251" s="185"/>
      <c r="IK251" s="185"/>
      <c r="IL251" s="185"/>
      <c r="IM251" s="185"/>
      <c r="IN251" s="185"/>
      <c r="IO251" s="185"/>
      <c r="IP251" s="185"/>
      <c r="IQ251" s="185"/>
      <c r="IR251" s="185"/>
      <c r="IS251" s="185"/>
      <c r="IT251" s="185"/>
      <c r="IU251" s="185"/>
      <c r="IV251" s="185"/>
    </row>
    <row r="252" spans="1:256" hidden="1" x14ac:dyDescent="0.25">
      <c r="A252" s="165" t="s">
        <v>707</v>
      </c>
      <c r="B252" s="165" t="s">
        <v>77</v>
      </c>
      <c r="C252" s="165" t="s">
        <v>78</v>
      </c>
      <c r="D252" s="165" t="s">
        <v>69</v>
      </c>
      <c r="E252" s="166">
        <v>20273537632</v>
      </c>
      <c r="F252" s="166">
        <v>20043354521</v>
      </c>
      <c r="G252" s="166">
        <v>18812168170</v>
      </c>
      <c r="H252" s="166">
        <v>0</v>
      </c>
      <c r="I252" s="166">
        <v>0</v>
      </c>
      <c r="J252" s="166">
        <v>0</v>
      </c>
      <c r="K252" s="166">
        <v>11575472213.639999</v>
      </c>
      <c r="L252" s="167">
        <f t="shared" si="0"/>
        <v>0.57752170184447138</v>
      </c>
      <c r="M252" s="166">
        <v>11575472213.639999</v>
      </c>
      <c r="N252" s="168">
        <f t="shared" si="1"/>
        <v>0.57752170184447138</v>
      </c>
      <c r="O252" s="166">
        <v>8467882307.3599997</v>
      </c>
      <c r="P252" s="168">
        <f t="shared" si="2"/>
        <v>0.42247829815552856</v>
      </c>
      <c r="Q252" s="166">
        <v>7236695956.3599997</v>
      </c>
      <c r="GM252" s="185"/>
      <c r="GN252" s="185"/>
      <c r="GO252" s="185"/>
      <c r="GP252" s="185"/>
      <c r="GQ252" s="185"/>
      <c r="GR252" s="185"/>
      <c r="GS252" s="185"/>
      <c r="GT252" s="185"/>
      <c r="GU252" s="185"/>
      <c r="GV252" s="185"/>
      <c r="GW252" s="185"/>
      <c r="GX252" s="185"/>
      <c r="GY252" s="185"/>
      <c r="GZ252" s="185"/>
      <c r="HA252" s="185"/>
      <c r="HB252" s="185"/>
      <c r="HC252" s="185"/>
      <c r="HD252" s="185"/>
      <c r="HE252" s="185"/>
      <c r="HF252" s="185"/>
      <c r="HG252" s="185"/>
      <c r="HH252" s="185"/>
      <c r="HI252" s="185"/>
      <c r="HJ252" s="185"/>
      <c r="HK252" s="185"/>
      <c r="HL252" s="185"/>
      <c r="HM252" s="185"/>
      <c r="HN252" s="185"/>
      <c r="HO252" s="185"/>
      <c r="HP252" s="185"/>
      <c r="HQ252" s="185"/>
      <c r="HR252" s="185"/>
      <c r="HS252" s="185"/>
      <c r="HT252" s="185"/>
      <c r="HU252" s="185"/>
      <c r="HV252" s="185"/>
      <c r="HW252" s="185"/>
      <c r="HX252" s="185"/>
      <c r="HY252" s="185"/>
      <c r="HZ252" s="185"/>
      <c r="IA252" s="185"/>
      <c r="IB252" s="185"/>
      <c r="IC252" s="185"/>
      <c r="ID252" s="185"/>
      <c r="IE252" s="185"/>
      <c r="IF252" s="185"/>
      <c r="IG252" s="185"/>
      <c r="IH252" s="185"/>
      <c r="II252" s="185"/>
      <c r="IJ252" s="185"/>
      <c r="IK252" s="185"/>
      <c r="IL252" s="185"/>
      <c r="IM252" s="185"/>
      <c r="IN252" s="185"/>
      <c r="IO252" s="185"/>
      <c r="IP252" s="185"/>
      <c r="IQ252" s="185"/>
      <c r="IR252" s="185"/>
      <c r="IS252" s="185"/>
      <c r="IT252" s="185"/>
      <c r="IU252" s="185"/>
      <c r="IV252" s="185"/>
    </row>
    <row r="253" spans="1:256" hidden="1" x14ac:dyDescent="0.25">
      <c r="A253" s="165" t="s">
        <v>707</v>
      </c>
      <c r="B253" s="165" t="s">
        <v>79</v>
      </c>
      <c r="C253" s="165" t="s">
        <v>80</v>
      </c>
      <c r="D253" s="165" t="s">
        <v>69</v>
      </c>
      <c r="E253" s="166">
        <v>7240363600</v>
      </c>
      <c r="F253" s="166">
        <v>7234363600</v>
      </c>
      <c r="G253" s="166">
        <v>6897593599</v>
      </c>
      <c r="H253" s="166">
        <v>0</v>
      </c>
      <c r="I253" s="166">
        <v>0</v>
      </c>
      <c r="J253" s="166">
        <v>0</v>
      </c>
      <c r="K253" s="166">
        <v>4480433350.75</v>
      </c>
      <c r="L253" s="167">
        <f t="shared" si="0"/>
        <v>0.61932653630376</v>
      </c>
      <c r="M253" s="166">
        <v>4480433350.75</v>
      </c>
      <c r="N253" s="168">
        <f t="shared" si="1"/>
        <v>0.61932653630376</v>
      </c>
      <c r="O253" s="166">
        <v>2753930249.25</v>
      </c>
      <c r="P253" s="168">
        <f t="shared" si="2"/>
        <v>0.38067346369624</v>
      </c>
      <c r="Q253" s="166">
        <v>2417160248.25</v>
      </c>
      <c r="GM253" s="185"/>
      <c r="GN253" s="185"/>
      <c r="GO253" s="185"/>
      <c r="GP253" s="185"/>
      <c r="GQ253" s="185"/>
      <c r="GR253" s="185"/>
      <c r="GS253" s="185"/>
      <c r="GT253" s="185"/>
      <c r="GU253" s="185"/>
      <c r="GV253" s="185"/>
      <c r="GW253" s="185"/>
      <c r="GX253" s="185"/>
      <c r="GY253" s="185"/>
      <c r="GZ253" s="185"/>
      <c r="HA253" s="185"/>
      <c r="HB253" s="185"/>
      <c r="HC253" s="185"/>
      <c r="HD253" s="185"/>
      <c r="HE253" s="185"/>
      <c r="HF253" s="185"/>
      <c r="HG253" s="185"/>
      <c r="HH253" s="185"/>
      <c r="HI253" s="185"/>
      <c r="HJ253" s="185"/>
      <c r="HK253" s="185"/>
      <c r="HL253" s="185"/>
      <c r="HM253" s="185"/>
      <c r="HN253" s="185"/>
      <c r="HO253" s="185"/>
      <c r="HP253" s="185"/>
      <c r="HQ253" s="185"/>
      <c r="HR253" s="185"/>
      <c r="HS253" s="185"/>
      <c r="HT253" s="185"/>
      <c r="HU253" s="185"/>
      <c r="HV253" s="185"/>
      <c r="HW253" s="185"/>
      <c r="HX253" s="185"/>
      <c r="HY253" s="185"/>
      <c r="HZ253" s="185"/>
      <c r="IA253" s="185"/>
      <c r="IB253" s="185"/>
      <c r="IC253" s="185"/>
      <c r="ID253" s="185"/>
      <c r="IE253" s="185"/>
      <c r="IF253" s="185"/>
      <c r="IG253" s="185"/>
      <c r="IH253" s="185"/>
      <c r="II253" s="185"/>
      <c r="IJ253" s="185"/>
      <c r="IK253" s="185"/>
      <c r="IL253" s="185"/>
      <c r="IM253" s="185"/>
      <c r="IN253" s="185"/>
      <c r="IO253" s="185"/>
      <c r="IP253" s="185"/>
      <c r="IQ253" s="185"/>
      <c r="IR253" s="185"/>
      <c r="IS253" s="185"/>
      <c r="IT253" s="185"/>
      <c r="IU253" s="185"/>
      <c r="IV253" s="185"/>
    </row>
    <row r="254" spans="1:256" hidden="1" x14ac:dyDescent="0.25">
      <c r="A254" s="165" t="s">
        <v>707</v>
      </c>
      <c r="B254" s="165" t="s">
        <v>81</v>
      </c>
      <c r="C254" s="165" t="s">
        <v>82</v>
      </c>
      <c r="D254" s="165" t="s">
        <v>69</v>
      </c>
      <c r="E254" s="166">
        <v>646663149</v>
      </c>
      <c r="F254" s="166">
        <v>507159410</v>
      </c>
      <c r="G254" s="166">
        <v>507159410</v>
      </c>
      <c r="H254" s="166">
        <v>0</v>
      </c>
      <c r="I254" s="166">
        <v>0</v>
      </c>
      <c r="J254" s="166">
        <v>0</v>
      </c>
      <c r="K254" s="166">
        <v>305847189.11000001</v>
      </c>
      <c r="L254" s="167">
        <f t="shared" si="0"/>
        <v>0.60305928092707584</v>
      </c>
      <c r="M254" s="166">
        <v>305847189.11000001</v>
      </c>
      <c r="N254" s="168">
        <f t="shared" si="1"/>
        <v>0.60305928092707584</v>
      </c>
      <c r="O254" s="166">
        <v>201312220.88999999</v>
      </c>
      <c r="P254" s="168">
        <f t="shared" si="2"/>
        <v>0.39694071907292422</v>
      </c>
      <c r="Q254" s="166">
        <v>201312220.88999999</v>
      </c>
      <c r="GM254" s="185"/>
      <c r="GN254" s="185"/>
      <c r="GO254" s="185"/>
      <c r="GP254" s="185"/>
      <c r="GQ254" s="185"/>
      <c r="GR254" s="185"/>
      <c r="GS254" s="185"/>
      <c r="GT254" s="185"/>
      <c r="GU254" s="185"/>
      <c r="GV254" s="185"/>
      <c r="GW254" s="185"/>
      <c r="GX254" s="185"/>
      <c r="GY254" s="185"/>
      <c r="GZ254" s="185"/>
      <c r="HA254" s="185"/>
      <c r="HB254" s="185"/>
      <c r="HC254" s="185"/>
      <c r="HD254" s="185"/>
      <c r="HE254" s="185"/>
      <c r="HF254" s="185"/>
      <c r="HG254" s="185"/>
      <c r="HH254" s="185"/>
      <c r="HI254" s="185"/>
      <c r="HJ254" s="185"/>
      <c r="HK254" s="185"/>
      <c r="HL254" s="185"/>
      <c r="HM254" s="185"/>
      <c r="HN254" s="185"/>
      <c r="HO254" s="185"/>
      <c r="HP254" s="185"/>
      <c r="HQ254" s="185"/>
      <c r="HR254" s="185"/>
      <c r="HS254" s="185"/>
      <c r="HT254" s="185"/>
      <c r="HU254" s="185"/>
      <c r="HV254" s="185"/>
      <c r="HW254" s="185"/>
      <c r="HX254" s="185"/>
      <c r="HY254" s="185"/>
      <c r="HZ254" s="185"/>
      <c r="IA254" s="185"/>
      <c r="IB254" s="185"/>
      <c r="IC254" s="185"/>
      <c r="ID254" s="185"/>
      <c r="IE254" s="185"/>
      <c r="IF254" s="185"/>
      <c r="IG254" s="185"/>
      <c r="IH254" s="185"/>
      <c r="II254" s="185"/>
      <c r="IJ254" s="185"/>
      <c r="IK254" s="185"/>
      <c r="IL254" s="185"/>
      <c r="IM254" s="185"/>
      <c r="IN254" s="185"/>
      <c r="IO254" s="185"/>
      <c r="IP254" s="185"/>
      <c r="IQ254" s="185"/>
      <c r="IR254" s="185"/>
      <c r="IS254" s="185"/>
      <c r="IT254" s="185"/>
      <c r="IU254" s="185"/>
      <c r="IV254" s="185"/>
    </row>
    <row r="255" spans="1:256" x14ac:dyDescent="0.25">
      <c r="A255" s="165" t="s">
        <v>707</v>
      </c>
      <c r="B255" s="165" t="s">
        <v>83</v>
      </c>
      <c r="C255" s="165" t="s">
        <v>84</v>
      </c>
      <c r="D255" s="165" t="s">
        <v>85</v>
      </c>
      <c r="E255" s="166">
        <v>3190897883</v>
      </c>
      <c r="F255" s="166">
        <v>3138377184</v>
      </c>
      <c r="G255" s="166">
        <v>2243960834</v>
      </c>
      <c r="H255" s="166">
        <v>0</v>
      </c>
      <c r="I255" s="166">
        <v>0</v>
      </c>
      <c r="J255" s="166">
        <v>0</v>
      </c>
      <c r="K255" s="166">
        <v>260070.28</v>
      </c>
      <c r="L255" s="167">
        <f t="shared" si="0"/>
        <v>8.2867757682500404E-5</v>
      </c>
      <c r="M255" s="166">
        <v>260070.28</v>
      </c>
      <c r="N255" s="168">
        <f t="shared" si="1"/>
        <v>8.2867757682500404E-5</v>
      </c>
      <c r="O255" s="166">
        <v>3138117113.7199998</v>
      </c>
      <c r="P255" s="168">
        <f t="shared" si="2"/>
        <v>0.99991713224231749</v>
      </c>
      <c r="Q255" s="166">
        <v>2243700763.7199998</v>
      </c>
      <c r="GM255" s="185"/>
      <c r="GN255" s="185"/>
      <c r="GO255" s="185"/>
      <c r="GP255" s="185"/>
      <c r="GQ255" s="185"/>
      <c r="GR255" s="185"/>
      <c r="GS255" s="185"/>
      <c r="GT255" s="185"/>
      <c r="GU255" s="185"/>
      <c r="GV255" s="185"/>
      <c r="GW255" s="185"/>
      <c r="GX255" s="185"/>
      <c r="GY255" s="185"/>
      <c r="GZ255" s="185"/>
      <c r="HA255" s="185"/>
      <c r="HB255" s="185"/>
      <c r="HC255" s="185"/>
      <c r="HD255" s="185"/>
      <c r="HE255" s="185"/>
      <c r="HF255" s="185"/>
      <c r="HG255" s="185"/>
      <c r="HH255" s="185"/>
      <c r="HI255" s="185"/>
      <c r="HJ255" s="185"/>
      <c r="HK255" s="185"/>
      <c r="HL255" s="185"/>
      <c r="HM255" s="185"/>
      <c r="HN255" s="185"/>
      <c r="HO255" s="185"/>
      <c r="HP255" s="185"/>
      <c r="HQ255" s="185"/>
      <c r="HR255" s="185"/>
      <c r="HS255" s="185"/>
      <c r="HT255" s="185"/>
      <c r="HU255" s="185"/>
      <c r="HV255" s="185"/>
      <c r="HW255" s="185"/>
      <c r="HX255" s="185"/>
      <c r="HY255" s="185"/>
      <c r="HZ255" s="185"/>
      <c r="IA255" s="185"/>
      <c r="IB255" s="185"/>
      <c r="IC255" s="185"/>
      <c r="ID255" s="185"/>
      <c r="IE255" s="185"/>
      <c r="IF255" s="185"/>
      <c r="IG255" s="185"/>
      <c r="IH255" s="185"/>
      <c r="II255" s="185"/>
      <c r="IJ255" s="185"/>
      <c r="IK255" s="185"/>
      <c r="IL255" s="185"/>
      <c r="IM255" s="185"/>
      <c r="IN255" s="185"/>
      <c r="IO255" s="185"/>
      <c r="IP255" s="185"/>
      <c r="IQ255" s="185"/>
      <c r="IR255" s="185"/>
      <c r="IS255" s="185"/>
      <c r="IT255" s="185"/>
      <c r="IU255" s="185"/>
      <c r="IV255" s="185"/>
    </row>
    <row r="256" spans="1:256" hidden="1" x14ac:dyDescent="0.25">
      <c r="A256" s="165" t="s">
        <v>707</v>
      </c>
      <c r="B256" s="165" t="s">
        <v>86</v>
      </c>
      <c r="C256" s="165" t="s">
        <v>87</v>
      </c>
      <c r="D256" s="165" t="s">
        <v>69</v>
      </c>
      <c r="E256" s="166">
        <v>2924191700</v>
      </c>
      <c r="F256" s="166">
        <v>2924191700</v>
      </c>
      <c r="G256" s="166">
        <v>2924191700</v>
      </c>
      <c r="H256" s="166">
        <v>0</v>
      </c>
      <c r="I256" s="166">
        <v>0</v>
      </c>
      <c r="J256" s="166">
        <v>0</v>
      </c>
      <c r="K256" s="166">
        <v>2864118376.1199999</v>
      </c>
      <c r="L256" s="167">
        <f t="shared" si="0"/>
        <v>0.97945643444648312</v>
      </c>
      <c r="M256" s="166">
        <v>2864118376.1199999</v>
      </c>
      <c r="N256" s="168">
        <f t="shared" si="1"/>
        <v>0.97945643444648312</v>
      </c>
      <c r="O256" s="166">
        <v>60073323.880000003</v>
      </c>
      <c r="P256" s="168">
        <f t="shared" si="2"/>
        <v>2.0543565553516892E-2</v>
      </c>
      <c r="Q256" s="166">
        <v>60073323.880000003</v>
      </c>
      <c r="GM256" s="185"/>
      <c r="GN256" s="185"/>
      <c r="GO256" s="185"/>
      <c r="GP256" s="185"/>
      <c r="GQ256" s="185"/>
      <c r="GR256" s="185"/>
      <c r="GS256" s="185"/>
      <c r="GT256" s="185"/>
      <c r="GU256" s="185"/>
      <c r="GV256" s="185"/>
      <c r="GW256" s="185"/>
      <c r="GX256" s="185"/>
      <c r="GY256" s="185"/>
      <c r="GZ256" s="185"/>
      <c r="HA256" s="185"/>
      <c r="HB256" s="185"/>
      <c r="HC256" s="185"/>
      <c r="HD256" s="185"/>
      <c r="HE256" s="185"/>
      <c r="HF256" s="185"/>
      <c r="HG256" s="185"/>
      <c r="HH256" s="185"/>
      <c r="HI256" s="185"/>
      <c r="HJ256" s="185"/>
      <c r="HK256" s="185"/>
      <c r="HL256" s="185"/>
      <c r="HM256" s="185"/>
      <c r="HN256" s="185"/>
      <c r="HO256" s="185"/>
      <c r="HP256" s="185"/>
      <c r="HQ256" s="185"/>
      <c r="HR256" s="185"/>
      <c r="HS256" s="185"/>
      <c r="HT256" s="185"/>
      <c r="HU256" s="185"/>
      <c r="HV256" s="185"/>
      <c r="HW256" s="185"/>
      <c r="HX256" s="185"/>
      <c r="HY256" s="185"/>
      <c r="HZ256" s="185"/>
      <c r="IA256" s="185"/>
      <c r="IB256" s="185"/>
      <c r="IC256" s="185"/>
      <c r="ID256" s="185"/>
      <c r="IE256" s="185"/>
      <c r="IF256" s="185"/>
      <c r="IG256" s="185"/>
      <c r="IH256" s="185"/>
      <c r="II256" s="185"/>
      <c r="IJ256" s="185"/>
      <c r="IK256" s="185"/>
      <c r="IL256" s="185"/>
      <c r="IM256" s="185"/>
      <c r="IN256" s="185"/>
      <c r="IO256" s="185"/>
      <c r="IP256" s="185"/>
      <c r="IQ256" s="185"/>
      <c r="IR256" s="185"/>
      <c r="IS256" s="185"/>
      <c r="IT256" s="185"/>
      <c r="IU256" s="185"/>
      <c r="IV256" s="185"/>
    </row>
    <row r="257" spans="1:256" hidden="1" x14ac:dyDescent="0.25">
      <c r="A257" s="165" t="s">
        <v>707</v>
      </c>
      <c r="B257" s="165" t="s">
        <v>88</v>
      </c>
      <c r="C257" s="165" t="s">
        <v>89</v>
      </c>
      <c r="D257" s="165" t="s">
        <v>69</v>
      </c>
      <c r="E257" s="166">
        <v>6271421300</v>
      </c>
      <c r="F257" s="166">
        <v>6239262627</v>
      </c>
      <c r="G257" s="166">
        <v>6239262627</v>
      </c>
      <c r="H257" s="166">
        <v>0</v>
      </c>
      <c r="I257" s="166">
        <v>0</v>
      </c>
      <c r="J257" s="166">
        <v>0</v>
      </c>
      <c r="K257" s="166">
        <v>3924813227.3800001</v>
      </c>
      <c r="L257" s="167">
        <f t="shared" si="0"/>
        <v>0.62905081289504117</v>
      </c>
      <c r="M257" s="166">
        <v>3924813227.3800001</v>
      </c>
      <c r="N257" s="168">
        <f t="shared" si="1"/>
        <v>0.62905081289504117</v>
      </c>
      <c r="O257" s="166">
        <v>2314449399.6199999</v>
      </c>
      <c r="P257" s="168">
        <f t="shared" si="2"/>
        <v>0.37094918710495883</v>
      </c>
      <c r="Q257" s="166">
        <v>2314449399.6199999</v>
      </c>
      <c r="GM257" s="185"/>
      <c r="GN257" s="185"/>
      <c r="GO257" s="185"/>
      <c r="GP257" s="185"/>
      <c r="GQ257" s="185"/>
      <c r="GR257" s="185"/>
      <c r="GS257" s="185"/>
      <c r="GT257" s="185"/>
      <c r="GU257" s="185"/>
      <c r="GV257" s="185"/>
      <c r="GW257" s="185"/>
      <c r="GX257" s="185"/>
      <c r="GY257" s="185"/>
      <c r="GZ257" s="185"/>
      <c r="HA257" s="185"/>
      <c r="HB257" s="185"/>
      <c r="HC257" s="185"/>
      <c r="HD257" s="185"/>
      <c r="HE257" s="185"/>
      <c r="HF257" s="185"/>
      <c r="HG257" s="185"/>
      <c r="HH257" s="185"/>
      <c r="HI257" s="185"/>
      <c r="HJ257" s="185"/>
      <c r="HK257" s="185"/>
      <c r="HL257" s="185"/>
      <c r="HM257" s="185"/>
      <c r="HN257" s="185"/>
      <c r="HO257" s="185"/>
      <c r="HP257" s="185"/>
      <c r="HQ257" s="185"/>
      <c r="HR257" s="185"/>
      <c r="HS257" s="185"/>
      <c r="HT257" s="185"/>
      <c r="HU257" s="185"/>
      <c r="HV257" s="185"/>
      <c r="HW257" s="185"/>
      <c r="HX257" s="185"/>
      <c r="HY257" s="185"/>
      <c r="HZ257" s="185"/>
      <c r="IA257" s="185"/>
      <c r="IB257" s="185"/>
      <c r="IC257" s="185"/>
      <c r="ID257" s="185"/>
      <c r="IE257" s="185"/>
      <c r="IF257" s="185"/>
      <c r="IG257" s="185"/>
      <c r="IH257" s="185"/>
      <c r="II257" s="185"/>
      <c r="IJ257" s="185"/>
      <c r="IK257" s="185"/>
      <c r="IL257" s="185"/>
      <c r="IM257" s="185"/>
      <c r="IN257" s="185"/>
      <c r="IO257" s="185"/>
      <c r="IP257" s="185"/>
      <c r="IQ257" s="185"/>
      <c r="IR257" s="185"/>
      <c r="IS257" s="185"/>
      <c r="IT257" s="185"/>
      <c r="IU257" s="185"/>
      <c r="IV257" s="185"/>
    </row>
    <row r="258" spans="1:256" hidden="1" x14ac:dyDescent="0.25">
      <c r="A258" s="165" t="s">
        <v>707</v>
      </c>
      <c r="B258" s="165" t="s">
        <v>90</v>
      </c>
      <c r="C258" s="165" t="s">
        <v>91</v>
      </c>
      <c r="D258" s="165" t="s">
        <v>69</v>
      </c>
      <c r="E258" s="166">
        <v>3734844376</v>
      </c>
      <c r="F258" s="166">
        <v>3679483060</v>
      </c>
      <c r="G258" s="166">
        <v>3646647985</v>
      </c>
      <c r="H258" s="166">
        <v>0</v>
      </c>
      <c r="I258" s="166">
        <v>1125528059</v>
      </c>
      <c r="J258" s="166">
        <v>0</v>
      </c>
      <c r="K258" s="166">
        <v>2521119926</v>
      </c>
      <c r="L258" s="167">
        <f t="shared" si="0"/>
        <v>0.68518318603157258</v>
      </c>
      <c r="M258" s="166">
        <v>2521119926</v>
      </c>
      <c r="N258" s="168">
        <f t="shared" si="1"/>
        <v>0.68518318603157258</v>
      </c>
      <c r="O258" s="166">
        <v>32835075</v>
      </c>
      <c r="P258" s="168">
        <f t="shared" si="2"/>
        <v>8.9238282836393863E-3</v>
      </c>
      <c r="Q258" s="166">
        <v>0</v>
      </c>
      <c r="GM258" s="185"/>
      <c r="GN258" s="185"/>
      <c r="GO258" s="185"/>
      <c r="GP258" s="185"/>
      <c r="GQ258" s="185"/>
      <c r="GR258" s="185"/>
      <c r="GS258" s="185"/>
      <c r="GT258" s="185"/>
      <c r="GU258" s="185"/>
      <c r="GV258" s="185"/>
      <c r="GW258" s="185"/>
      <c r="GX258" s="185"/>
      <c r="GY258" s="185"/>
      <c r="GZ258" s="185"/>
      <c r="HA258" s="185"/>
      <c r="HB258" s="185"/>
      <c r="HC258" s="185"/>
      <c r="HD258" s="185"/>
      <c r="HE258" s="185"/>
      <c r="HF258" s="185"/>
      <c r="HG258" s="185"/>
      <c r="HH258" s="185"/>
      <c r="HI258" s="185"/>
      <c r="HJ258" s="185"/>
      <c r="HK258" s="185"/>
      <c r="HL258" s="185"/>
      <c r="HM258" s="185"/>
      <c r="HN258" s="185"/>
      <c r="HO258" s="185"/>
      <c r="HP258" s="185"/>
      <c r="HQ258" s="185"/>
      <c r="HR258" s="185"/>
      <c r="HS258" s="185"/>
      <c r="HT258" s="185"/>
      <c r="HU258" s="185"/>
      <c r="HV258" s="185"/>
      <c r="HW258" s="185"/>
      <c r="HX258" s="185"/>
      <c r="HY258" s="185"/>
      <c r="HZ258" s="185"/>
      <c r="IA258" s="185"/>
      <c r="IB258" s="185"/>
      <c r="IC258" s="185"/>
      <c r="ID258" s="185"/>
      <c r="IE258" s="185"/>
      <c r="IF258" s="185"/>
      <c r="IG258" s="185"/>
      <c r="IH258" s="185"/>
      <c r="II258" s="185"/>
      <c r="IJ258" s="185"/>
      <c r="IK258" s="185"/>
      <c r="IL258" s="185"/>
      <c r="IM258" s="185"/>
      <c r="IN258" s="185"/>
      <c r="IO258" s="185"/>
      <c r="IP258" s="185"/>
      <c r="IQ258" s="185"/>
      <c r="IR258" s="185"/>
      <c r="IS258" s="185"/>
      <c r="IT258" s="185"/>
      <c r="IU258" s="185"/>
      <c r="IV258" s="185"/>
    </row>
    <row r="259" spans="1:256" hidden="1" x14ac:dyDescent="0.25">
      <c r="A259" s="165" t="s">
        <v>707</v>
      </c>
      <c r="B259" s="165" t="s">
        <v>420</v>
      </c>
      <c r="C259" s="165" t="s">
        <v>697</v>
      </c>
      <c r="D259" s="165" t="s">
        <v>69</v>
      </c>
      <c r="E259" s="166">
        <v>3543313962</v>
      </c>
      <c r="F259" s="166">
        <v>3490791688</v>
      </c>
      <c r="G259" s="166">
        <v>3459640463</v>
      </c>
      <c r="H259" s="166">
        <v>0</v>
      </c>
      <c r="I259" s="166">
        <v>1067741996</v>
      </c>
      <c r="J259" s="166">
        <v>0</v>
      </c>
      <c r="K259" s="166">
        <v>2391898467</v>
      </c>
      <c r="L259" s="167">
        <f t="shared" si="0"/>
        <v>0.68520229242622166</v>
      </c>
      <c r="M259" s="166">
        <v>2391898467</v>
      </c>
      <c r="N259" s="168">
        <f t="shared" si="1"/>
        <v>0.68520229242622166</v>
      </c>
      <c r="O259" s="166">
        <v>31151225</v>
      </c>
      <c r="P259" s="168">
        <f t="shared" si="2"/>
        <v>8.9238281124267415E-3</v>
      </c>
      <c r="Q259" s="166">
        <v>0</v>
      </c>
      <c r="GM259" s="185"/>
      <c r="GN259" s="185"/>
      <c r="GO259" s="185"/>
      <c r="GP259" s="185"/>
      <c r="GQ259" s="185"/>
      <c r="GR259" s="185"/>
      <c r="GS259" s="185"/>
      <c r="GT259" s="185"/>
      <c r="GU259" s="185"/>
      <c r="GV259" s="185"/>
      <c r="GW259" s="185"/>
      <c r="GX259" s="185"/>
      <c r="GY259" s="185"/>
      <c r="GZ259" s="185"/>
      <c r="HA259" s="185"/>
      <c r="HB259" s="185"/>
      <c r="HC259" s="185"/>
      <c r="HD259" s="185"/>
      <c r="HE259" s="185"/>
      <c r="HF259" s="185"/>
      <c r="HG259" s="185"/>
      <c r="HH259" s="185"/>
      <c r="HI259" s="185"/>
      <c r="HJ259" s="185"/>
      <c r="HK259" s="185"/>
      <c r="HL259" s="185"/>
      <c r="HM259" s="185"/>
      <c r="HN259" s="185"/>
      <c r="HO259" s="185"/>
      <c r="HP259" s="185"/>
      <c r="HQ259" s="185"/>
      <c r="HR259" s="185"/>
      <c r="HS259" s="185"/>
      <c r="HT259" s="185"/>
      <c r="HU259" s="185"/>
      <c r="HV259" s="185"/>
      <c r="HW259" s="185"/>
      <c r="HX259" s="185"/>
      <c r="HY259" s="185"/>
      <c r="HZ259" s="185"/>
      <c r="IA259" s="185"/>
      <c r="IB259" s="185"/>
      <c r="IC259" s="185"/>
      <c r="ID259" s="185"/>
      <c r="IE259" s="185"/>
      <c r="IF259" s="185"/>
      <c r="IG259" s="185"/>
      <c r="IH259" s="185"/>
      <c r="II259" s="185"/>
      <c r="IJ259" s="185"/>
      <c r="IK259" s="185"/>
      <c r="IL259" s="185"/>
      <c r="IM259" s="185"/>
      <c r="IN259" s="185"/>
      <c r="IO259" s="185"/>
      <c r="IP259" s="185"/>
      <c r="IQ259" s="185"/>
      <c r="IR259" s="185"/>
      <c r="IS259" s="185"/>
      <c r="IT259" s="185"/>
      <c r="IU259" s="185"/>
      <c r="IV259" s="185"/>
    </row>
    <row r="260" spans="1:256" hidden="1" x14ac:dyDescent="0.25">
      <c r="A260" s="165" t="s">
        <v>707</v>
      </c>
      <c r="B260" s="165" t="s">
        <v>437</v>
      </c>
      <c r="C260" s="165" t="s">
        <v>95</v>
      </c>
      <c r="D260" s="165" t="s">
        <v>69</v>
      </c>
      <c r="E260" s="166">
        <v>191530414</v>
      </c>
      <c r="F260" s="166">
        <v>188691372</v>
      </c>
      <c r="G260" s="166">
        <v>187007522</v>
      </c>
      <c r="H260" s="166">
        <v>0</v>
      </c>
      <c r="I260" s="166">
        <v>57786063</v>
      </c>
      <c r="J260" s="166">
        <v>0</v>
      </c>
      <c r="K260" s="166">
        <v>129221459</v>
      </c>
      <c r="L260" s="167">
        <f t="shared" si="0"/>
        <v>0.68482971759832245</v>
      </c>
      <c r="M260" s="166">
        <v>129221459</v>
      </c>
      <c r="N260" s="168">
        <f t="shared" si="1"/>
        <v>0.68482971759832245</v>
      </c>
      <c r="O260" s="166">
        <v>1683850</v>
      </c>
      <c r="P260" s="168">
        <f t="shared" si="2"/>
        <v>8.9238314510745095E-3</v>
      </c>
      <c r="Q260" s="166">
        <v>0</v>
      </c>
      <c r="GM260" s="185"/>
      <c r="GN260" s="185"/>
      <c r="GO260" s="185"/>
      <c r="GP260" s="185"/>
      <c r="GQ260" s="185"/>
      <c r="GR260" s="185"/>
      <c r="GS260" s="185"/>
      <c r="GT260" s="185"/>
      <c r="GU260" s="185"/>
      <c r="GV260" s="185"/>
      <c r="GW260" s="185"/>
      <c r="GX260" s="185"/>
      <c r="GY260" s="185"/>
      <c r="GZ260" s="185"/>
      <c r="HA260" s="185"/>
      <c r="HB260" s="185"/>
      <c r="HC260" s="185"/>
      <c r="HD260" s="185"/>
      <c r="HE260" s="185"/>
      <c r="HF260" s="185"/>
      <c r="HG260" s="185"/>
      <c r="HH260" s="185"/>
      <c r="HI260" s="185"/>
      <c r="HJ260" s="185"/>
      <c r="HK260" s="185"/>
      <c r="HL260" s="185"/>
      <c r="HM260" s="185"/>
      <c r="HN260" s="185"/>
      <c r="HO260" s="185"/>
      <c r="HP260" s="185"/>
      <c r="HQ260" s="185"/>
      <c r="HR260" s="185"/>
      <c r="HS260" s="185"/>
      <c r="HT260" s="185"/>
      <c r="HU260" s="185"/>
      <c r="HV260" s="185"/>
      <c r="HW260" s="185"/>
      <c r="HX260" s="185"/>
      <c r="HY260" s="185"/>
      <c r="HZ260" s="185"/>
      <c r="IA260" s="185"/>
      <c r="IB260" s="185"/>
      <c r="IC260" s="185"/>
      <c r="ID260" s="185"/>
      <c r="IE260" s="185"/>
      <c r="IF260" s="185"/>
      <c r="IG260" s="185"/>
      <c r="IH260" s="185"/>
      <c r="II260" s="185"/>
      <c r="IJ260" s="185"/>
      <c r="IK260" s="185"/>
      <c r="IL260" s="185"/>
      <c r="IM260" s="185"/>
      <c r="IN260" s="185"/>
      <c r="IO260" s="185"/>
      <c r="IP260" s="185"/>
      <c r="IQ260" s="185"/>
      <c r="IR260" s="185"/>
      <c r="IS260" s="185"/>
      <c r="IT260" s="185"/>
      <c r="IU260" s="185"/>
      <c r="IV260" s="185"/>
    </row>
    <row r="261" spans="1:256" hidden="1" x14ac:dyDescent="0.25">
      <c r="A261" s="165" t="s">
        <v>707</v>
      </c>
      <c r="B261" s="165" t="s">
        <v>96</v>
      </c>
      <c r="C261" s="165" t="s">
        <v>97</v>
      </c>
      <c r="D261" s="165" t="s">
        <v>69</v>
      </c>
      <c r="E261" s="166">
        <v>3734844374</v>
      </c>
      <c r="F261" s="166">
        <v>3679483060</v>
      </c>
      <c r="G261" s="166">
        <v>3646647984</v>
      </c>
      <c r="H261" s="166">
        <v>0</v>
      </c>
      <c r="I261" s="166">
        <v>1137760161</v>
      </c>
      <c r="J261" s="166">
        <v>0</v>
      </c>
      <c r="K261" s="166">
        <v>2508887823</v>
      </c>
      <c r="L261" s="167">
        <f t="shared" si="0"/>
        <v>0.68185877800997408</v>
      </c>
      <c r="M261" s="166">
        <v>2508887823</v>
      </c>
      <c r="N261" s="168">
        <f t="shared" si="1"/>
        <v>0.68185877800997408</v>
      </c>
      <c r="O261" s="166">
        <v>32835076</v>
      </c>
      <c r="P261" s="168">
        <f t="shared" si="2"/>
        <v>8.9238285554166952E-3</v>
      </c>
      <c r="Q261" s="166">
        <v>0</v>
      </c>
      <c r="GM261" s="185"/>
      <c r="GN261" s="185"/>
      <c r="GO261" s="185"/>
      <c r="GP261" s="185"/>
      <c r="GQ261" s="185"/>
      <c r="GR261" s="185"/>
      <c r="GS261" s="185"/>
      <c r="GT261" s="185"/>
      <c r="GU261" s="185"/>
      <c r="GV261" s="185"/>
      <c r="GW261" s="185"/>
      <c r="GX261" s="185"/>
      <c r="GY261" s="185"/>
      <c r="GZ261" s="185"/>
      <c r="HA261" s="185"/>
      <c r="HB261" s="185"/>
      <c r="HC261" s="185"/>
      <c r="HD261" s="185"/>
      <c r="HE261" s="185"/>
      <c r="HF261" s="185"/>
      <c r="HG261" s="185"/>
      <c r="HH261" s="185"/>
      <c r="HI261" s="185"/>
      <c r="HJ261" s="185"/>
      <c r="HK261" s="185"/>
      <c r="HL261" s="185"/>
      <c r="HM261" s="185"/>
      <c r="HN261" s="185"/>
      <c r="HO261" s="185"/>
      <c r="HP261" s="185"/>
      <c r="HQ261" s="185"/>
      <c r="HR261" s="185"/>
      <c r="HS261" s="185"/>
      <c r="HT261" s="185"/>
      <c r="HU261" s="185"/>
      <c r="HV261" s="185"/>
      <c r="HW261" s="185"/>
      <c r="HX261" s="185"/>
      <c r="HY261" s="185"/>
      <c r="HZ261" s="185"/>
      <c r="IA261" s="185"/>
      <c r="IB261" s="185"/>
      <c r="IC261" s="185"/>
      <c r="ID261" s="185"/>
      <c r="IE261" s="185"/>
      <c r="IF261" s="185"/>
      <c r="IG261" s="185"/>
      <c r="IH261" s="185"/>
      <c r="II261" s="185"/>
      <c r="IJ261" s="185"/>
      <c r="IK261" s="185"/>
      <c r="IL261" s="185"/>
      <c r="IM261" s="185"/>
      <c r="IN261" s="185"/>
      <c r="IO261" s="185"/>
      <c r="IP261" s="185"/>
      <c r="IQ261" s="185"/>
      <c r="IR261" s="185"/>
      <c r="IS261" s="185"/>
      <c r="IT261" s="185"/>
      <c r="IU261" s="185"/>
      <c r="IV261" s="185"/>
    </row>
    <row r="262" spans="1:256" hidden="1" x14ac:dyDescent="0.25">
      <c r="A262" s="165" t="s">
        <v>707</v>
      </c>
      <c r="B262" s="165" t="s">
        <v>455</v>
      </c>
      <c r="C262" s="165" t="s">
        <v>698</v>
      </c>
      <c r="D262" s="165" t="s">
        <v>69</v>
      </c>
      <c r="E262" s="166">
        <v>2011070048</v>
      </c>
      <c r="F262" s="166">
        <v>1981260109</v>
      </c>
      <c r="G262" s="166">
        <v>1963579684</v>
      </c>
      <c r="H262" s="166">
        <v>0</v>
      </c>
      <c r="I262" s="166">
        <v>617686680</v>
      </c>
      <c r="J262" s="166">
        <v>0</v>
      </c>
      <c r="K262" s="166">
        <v>1345893004</v>
      </c>
      <c r="L262" s="167">
        <f t="shared" si="0"/>
        <v>0.67931161480827051</v>
      </c>
      <c r="M262" s="166">
        <v>1345893004</v>
      </c>
      <c r="N262" s="168">
        <f t="shared" si="1"/>
        <v>0.67931161480827051</v>
      </c>
      <c r="O262" s="166">
        <v>17680425</v>
      </c>
      <c r="P262" s="168">
        <f t="shared" si="2"/>
        <v>8.9238282846787996E-3</v>
      </c>
      <c r="Q262" s="166">
        <v>0</v>
      </c>
      <c r="GM262" s="185"/>
      <c r="GN262" s="185"/>
      <c r="GO262" s="185"/>
      <c r="GP262" s="185"/>
      <c r="GQ262" s="185"/>
      <c r="GR262" s="185"/>
      <c r="GS262" s="185"/>
      <c r="GT262" s="185"/>
      <c r="GU262" s="185"/>
      <c r="GV262" s="185"/>
      <c r="GW262" s="185"/>
      <c r="GX262" s="185"/>
      <c r="GY262" s="185"/>
      <c r="GZ262" s="185"/>
      <c r="HA262" s="185"/>
      <c r="HB262" s="185"/>
      <c r="HC262" s="185"/>
      <c r="HD262" s="185"/>
      <c r="HE262" s="185"/>
      <c r="HF262" s="185"/>
      <c r="HG262" s="185"/>
      <c r="HH262" s="185"/>
      <c r="HI262" s="185"/>
      <c r="HJ262" s="185"/>
      <c r="HK262" s="185"/>
      <c r="HL262" s="185"/>
      <c r="HM262" s="185"/>
      <c r="HN262" s="185"/>
      <c r="HO262" s="185"/>
      <c r="HP262" s="185"/>
      <c r="HQ262" s="185"/>
      <c r="HR262" s="185"/>
      <c r="HS262" s="185"/>
      <c r="HT262" s="185"/>
      <c r="HU262" s="185"/>
      <c r="HV262" s="185"/>
      <c r="HW262" s="185"/>
      <c r="HX262" s="185"/>
      <c r="HY262" s="185"/>
      <c r="HZ262" s="185"/>
      <c r="IA262" s="185"/>
      <c r="IB262" s="185"/>
      <c r="IC262" s="185"/>
      <c r="ID262" s="185"/>
      <c r="IE262" s="185"/>
      <c r="IF262" s="185"/>
      <c r="IG262" s="185"/>
      <c r="IH262" s="185"/>
      <c r="II262" s="185"/>
      <c r="IJ262" s="185"/>
      <c r="IK262" s="185"/>
      <c r="IL262" s="185"/>
      <c r="IM262" s="185"/>
      <c r="IN262" s="185"/>
      <c r="IO262" s="185"/>
      <c r="IP262" s="185"/>
      <c r="IQ262" s="185"/>
      <c r="IR262" s="185"/>
      <c r="IS262" s="185"/>
      <c r="IT262" s="185"/>
      <c r="IU262" s="185"/>
      <c r="IV262" s="185"/>
    </row>
    <row r="263" spans="1:256" hidden="1" x14ac:dyDescent="0.25">
      <c r="A263" s="165" t="s">
        <v>707</v>
      </c>
      <c r="B263" s="165" t="s">
        <v>472</v>
      </c>
      <c r="C263" s="165" t="s">
        <v>699</v>
      </c>
      <c r="D263" s="165" t="s">
        <v>69</v>
      </c>
      <c r="E263" s="166">
        <v>574591442</v>
      </c>
      <c r="F263" s="166">
        <v>566074317</v>
      </c>
      <c r="G263" s="166">
        <v>561022767</v>
      </c>
      <c r="H263" s="166">
        <v>0</v>
      </c>
      <c r="I263" s="166">
        <v>173358010</v>
      </c>
      <c r="J263" s="166">
        <v>0</v>
      </c>
      <c r="K263" s="166">
        <v>387664757</v>
      </c>
      <c r="L263" s="167">
        <f t="shared" si="0"/>
        <v>0.68483014572095491</v>
      </c>
      <c r="M263" s="166">
        <v>387664757</v>
      </c>
      <c r="N263" s="168">
        <f t="shared" si="1"/>
        <v>0.68483014572095491</v>
      </c>
      <c r="O263" s="166">
        <v>5051550</v>
      </c>
      <c r="P263" s="168">
        <f t="shared" si="2"/>
        <v>8.9238282824267399E-3</v>
      </c>
      <c r="Q263" s="166">
        <v>0</v>
      </c>
      <c r="GM263" s="185"/>
      <c r="GN263" s="185"/>
      <c r="GO263" s="185"/>
      <c r="GP263" s="185"/>
      <c r="GQ263" s="185"/>
      <c r="GR263" s="185"/>
      <c r="GS263" s="185"/>
      <c r="GT263" s="185"/>
      <c r="GU263" s="185"/>
      <c r="GV263" s="185"/>
      <c r="GW263" s="185"/>
      <c r="GX263" s="185"/>
      <c r="GY263" s="185"/>
      <c r="GZ263" s="185"/>
      <c r="HA263" s="185"/>
      <c r="HB263" s="185"/>
      <c r="HC263" s="185"/>
      <c r="HD263" s="185"/>
      <c r="HE263" s="185"/>
      <c r="HF263" s="185"/>
      <c r="HG263" s="185"/>
      <c r="HH263" s="185"/>
      <c r="HI263" s="185"/>
      <c r="HJ263" s="185"/>
      <c r="HK263" s="185"/>
      <c r="HL263" s="185"/>
      <c r="HM263" s="185"/>
      <c r="HN263" s="185"/>
      <c r="HO263" s="185"/>
      <c r="HP263" s="185"/>
      <c r="HQ263" s="185"/>
      <c r="HR263" s="185"/>
      <c r="HS263" s="185"/>
      <c r="HT263" s="185"/>
      <c r="HU263" s="185"/>
      <c r="HV263" s="185"/>
      <c r="HW263" s="185"/>
      <c r="HX263" s="185"/>
      <c r="HY263" s="185"/>
      <c r="HZ263" s="185"/>
      <c r="IA263" s="185"/>
      <c r="IB263" s="185"/>
      <c r="IC263" s="185"/>
      <c r="ID263" s="185"/>
      <c r="IE263" s="185"/>
      <c r="IF263" s="185"/>
      <c r="IG263" s="185"/>
      <c r="IH263" s="185"/>
      <c r="II263" s="185"/>
      <c r="IJ263" s="185"/>
      <c r="IK263" s="185"/>
      <c r="IL263" s="185"/>
      <c r="IM263" s="185"/>
      <c r="IN263" s="185"/>
      <c r="IO263" s="185"/>
      <c r="IP263" s="185"/>
      <c r="IQ263" s="185"/>
      <c r="IR263" s="185"/>
      <c r="IS263" s="185"/>
      <c r="IT263" s="185"/>
      <c r="IU263" s="185"/>
      <c r="IV263" s="185"/>
    </row>
    <row r="264" spans="1:256" hidden="1" x14ac:dyDescent="0.25">
      <c r="A264" s="165" t="s">
        <v>707</v>
      </c>
      <c r="B264" s="165" t="s">
        <v>489</v>
      </c>
      <c r="C264" s="165" t="s">
        <v>700</v>
      </c>
      <c r="D264" s="165" t="s">
        <v>69</v>
      </c>
      <c r="E264" s="166">
        <v>1149182884</v>
      </c>
      <c r="F264" s="166">
        <v>1132148634</v>
      </c>
      <c r="G264" s="166">
        <v>1122045533</v>
      </c>
      <c r="H264" s="166">
        <v>0</v>
      </c>
      <c r="I264" s="166">
        <v>346715471</v>
      </c>
      <c r="J264" s="166">
        <v>0</v>
      </c>
      <c r="K264" s="166">
        <v>775330062</v>
      </c>
      <c r="L264" s="167">
        <f t="shared" si="0"/>
        <v>0.6848306297563399</v>
      </c>
      <c r="M264" s="166">
        <v>775330062</v>
      </c>
      <c r="N264" s="168">
        <f t="shared" si="1"/>
        <v>0.6848306297563399</v>
      </c>
      <c r="O264" s="166">
        <v>10103101</v>
      </c>
      <c r="P264" s="168">
        <f t="shared" si="2"/>
        <v>8.9238291657029907E-3</v>
      </c>
      <c r="Q264" s="166">
        <v>0</v>
      </c>
      <c r="GM264" s="185"/>
      <c r="GN264" s="185"/>
      <c r="GO264" s="185"/>
      <c r="GP264" s="185"/>
      <c r="GQ264" s="185"/>
      <c r="GR264" s="185"/>
      <c r="GS264" s="185"/>
      <c r="GT264" s="185"/>
      <c r="GU264" s="185"/>
      <c r="GV264" s="185"/>
      <c r="GW264" s="185"/>
      <c r="GX264" s="185"/>
      <c r="GY264" s="185"/>
      <c r="GZ264" s="185"/>
      <c r="HA264" s="185"/>
      <c r="HB264" s="185"/>
      <c r="HC264" s="185"/>
      <c r="HD264" s="185"/>
      <c r="HE264" s="185"/>
      <c r="HF264" s="185"/>
      <c r="HG264" s="185"/>
      <c r="HH264" s="185"/>
      <c r="HI264" s="185"/>
      <c r="HJ264" s="185"/>
      <c r="HK264" s="185"/>
      <c r="HL264" s="185"/>
      <c r="HM264" s="185"/>
      <c r="HN264" s="185"/>
      <c r="HO264" s="185"/>
      <c r="HP264" s="185"/>
      <c r="HQ264" s="185"/>
      <c r="HR264" s="185"/>
      <c r="HS264" s="185"/>
      <c r="HT264" s="185"/>
      <c r="HU264" s="185"/>
      <c r="HV264" s="185"/>
      <c r="HW264" s="185"/>
      <c r="HX264" s="185"/>
      <c r="HY264" s="185"/>
      <c r="HZ264" s="185"/>
      <c r="IA264" s="185"/>
      <c r="IB264" s="185"/>
      <c r="IC264" s="185"/>
      <c r="ID264" s="185"/>
      <c r="IE264" s="185"/>
      <c r="IF264" s="185"/>
      <c r="IG264" s="185"/>
      <c r="IH264" s="185"/>
      <c r="II264" s="185"/>
      <c r="IJ264" s="185"/>
      <c r="IK264" s="185"/>
      <c r="IL264" s="185"/>
      <c r="IM264" s="185"/>
      <c r="IN264" s="185"/>
      <c r="IO264" s="185"/>
      <c r="IP264" s="185"/>
      <c r="IQ264" s="185"/>
      <c r="IR264" s="185"/>
      <c r="IS264" s="185"/>
      <c r="IT264" s="185"/>
      <c r="IU264" s="185"/>
      <c r="IV264" s="185"/>
    </row>
    <row r="265" spans="1:256" hidden="1" x14ac:dyDescent="0.25">
      <c r="A265" s="165" t="s">
        <v>707</v>
      </c>
      <c r="B265" s="165" t="s">
        <v>104</v>
      </c>
      <c r="C265" s="165" t="s">
        <v>105</v>
      </c>
      <c r="D265" s="165" t="s">
        <v>69</v>
      </c>
      <c r="E265" s="166">
        <v>6509291577</v>
      </c>
      <c r="F265" s="166">
        <v>6441103286</v>
      </c>
      <c r="G265" s="166">
        <v>6202249731.8800001</v>
      </c>
      <c r="H265" s="166">
        <v>129985669.64</v>
      </c>
      <c r="I265" s="166">
        <v>1990892625.4100001</v>
      </c>
      <c r="J265" s="166">
        <v>263152170.44999999</v>
      </c>
      <c r="K265" s="166">
        <v>2599356737</v>
      </c>
      <c r="L265" s="167">
        <f t="shared" si="0"/>
        <v>0.40355768594020336</v>
      </c>
      <c r="M265" s="166">
        <v>1628425204.4000001</v>
      </c>
      <c r="N265" s="168">
        <f t="shared" si="1"/>
        <v>0.25281774442888511</v>
      </c>
      <c r="O265" s="166">
        <v>1457716083.5</v>
      </c>
      <c r="P265" s="168">
        <f t="shared" si="2"/>
        <v>0.22631465740790171</v>
      </c>
      <c r="Q265" s="166">
        <v>1218862529.3800001</v>
      </c>
      <c r="GM265" s="185"/>
      <c r="GN265" s="185"/>
      <c r="GO265" s="185"/>
      <c r="GP265" s="185"/>
      <c r="GQ265" s="185"/>
      <c r="GR265" s="185"/>
      <c r="GS265" s="185"/>
      <c r="GT265" s="185"/>
      <c r="GU265" s="185"/>
      <c r="GV265" s="185"/>
      <c r="GW265" s="185"/>
      <c r="GX265" s="185"/>
      <c r="GY265" s="185"/>
      <c r="GZ265" s="185"/>
      <c r="HA265" s="185"/>
      <c r="HB265" s="185"/>
      <c r="HC265" s="185"/>
      <c r="HD265" s="185"/>
      <c r="HE265" s="185"/>
      <c r="HF265" s="185"/>
      <c r="HG265" s="185"/>
      <c r="HH265" s="185"/>
      <c r="HI265" s="185"/>
      <c r="HJ265" s="185"/>
      <c r="HK265" s="185"/>
      <c r="HL265" s="185"/>
      <c r="HM265" s="185"/>
      <c r="HN265" s="185"/>
      <c r="HO265" s="185"/>
      <c r="HP265" s="185"/>
      <c r="HQ265" s="185"/>
      <c r="HR265" s="185"/>
      <c r="HS265" s="185"/>
      <c r="HT265" s="185"/>
      <c r="HU265" s="185"/>
      <c r="HV265" s="185"/>
      <c r="HW265" s="185"/>
      <c r="HX265" s="185"/>
      <c r="HY265" s="185"/>
      <c r="HZ265" s="185"/>
      <c r="IA265" s="185"/>
      <c r="IB265" s="185"/>
      <c r="IC265" s="185"/>
      <c r="ID265" s="185"/>
      <c r="IE265" s="185"/>
      <c r="IF265" s="185"/>
      <c r="IG265" s="185"/>
      <c r="IH265" s="185"/>
      <c r="II265" s="185"/>
      <c r="IJ265" s="185"/>
      <c r="IK265" s="185"/>
      <c r="IL265" s="185"/>
      <c r="IM265" s="185"/>
      <c r="IN265" s="185"/>
      <c r="IO265" s="185"/>
      <c r="IP265" s="185"/>
      <c r="IQ265" s="185"/>
      <c r="IR265" s="185"/>
      <c r="IS265" s="185"/>
      <c r="IT265" s="185"/>
      <c r="IU265" s="185"/>
      <c r="IV265" s="185"/>
    </row>
    <row r="266" spans="1:256" hidden="1" x14ac:dyDescent="0.25">
      <c r="A266" s="165" t="s">
        <v>707</v>
      </c>
      <c r="B266" s="165" t="s">
        <v>106</v>
      </c>
      <c r="C266" s="165" t="s">
        <v>107</v>
      </c>
      <c r="D266" s="165" t="s">
        <v>69</v>
      </c>
      <c r="E266" s="166">
        <v>3002893777</v>
      </c>
      <c r="F266" s="166">
        <v>2992122950</v>
      </c>
      <c r="G266" s="166">
        <v>2880107346</v>
      </c>
      <c r="H266" s="166">
        <v>118195604.64</v>
      </c>
      <c r="I266" s="166">
        <v>807217931.46000004</v>
      </c>
      <c r="J266" s="166">
        <v>121980511.41</v>
      </c>
      <c r="K266" s="166">
        <v>956278077.98000002</v>
      </c>
      <c r="L266" s="167">
        <f t="shared" si="0"/>
        <v>0.31959852384408199</v>
      </c>
      <c r="M266" s="166">
        <v>817979993.79999995</v>
      </c>
      <c r="N266" s="168">
        <f t="shared" si="1"/>
        <v>0.27337780147035734</v>
      </c>
      <c r="O266" s="166">
        <v>988450824.50999999</v>
      </c>
      <c r="P266" s="168">
        <f t="shared" si="2"/>
        <v>0.33035100529876288</v>
      </c>
      <c r="Q266" s="166">
        <v>876435220.50999999</v>
      </c>
      <c r="GM266" s="185"/>
      <c r="GN266" s="185"/>
      <c r="GO266" s="185"/>
      <c r="GP266" s="185"/>
      <c r="GQ266" s="185"/>
      <c r="GR266" s="185"/>
      <c r="GS266" s="185"/>
      <c r="GT266" s="185"/>
      <c r="GU266" s="185"/>
      <c r="GV266" s="185"/>
      <c r="GW266" s="185"/>
      <c r="GX266" s="185"/>
      <c r="GY266" s="185"/>
      <c r="GZ266" s="185"/>
      <c r="HA266" s="185"/>
      <c r="HB266" s="185"/>
      <c r="HC266" s="185"/>
      <c r="HD266" s="185"/>
      <c r="HE266" s="185"/>
      <c r="HF266" s="185"/>
      <c r="HG266" s="185"/>
      <c r="HH266" s="185"/>
      <c r="HI266" s="185"/>
      <c r="HJ266" s="185"/>
      <c r="HK266" s="185"/>
      <c r="HL266" s="185"/>
      <c r="HM266" s="185"/>
      <c r="HN266" s="185"/>
      <c r="HO266" s="185"/>
      <c r="HP266" s="185"/>
      <c r="HQ266" s="185"/>
      <c r="HR266" s="185"/>
      <c r="HS266" s="185"/>
      <c r="HT266" s="185"/>
      <c r="HU266" s="185"/>
      <c r="HV266" s="185"/>
      <c r="HW266" s="185"/>
      <c r="HX266" s="185"/>
      <c r="HY266" s="185"/>
      <c r="HZ266" s="185"/>
      <c r="IA266" s="185"/>
      <c r="IB266" s="185"/>
      <c r="IC266" s="185"/>
      <c r="ID266" s="185"/>
      <c r="IE266" s="185"/>
      <c r="IF266" s="185"/>
      <c r="IG266" s="185"/>
      <c r="IH266" s="185"/>
      <c r="II266" s="185"/>
      <c r="IJ266" s="185"/>
      <c r="IK266" s="185"/>
      <c r="IL266" s="185"/>
      <c r="IM266" s="185"/>
      <c r="IN266" s="185"/>
      <c r="IO266" s="185"/>
      <c r="IP266" s="185"/>
      <c r="IQ266" s="185"/>
      <c r="IR266" s="185"/>
      <c r="IS266" s="185"/>
      <c r="IT266" s="185"/>
      <c r="IU266" s="185"/>
      <c r="IV266" s="185"/>
    </row>
    <row r="267" spans="1:256" hidden="1" x14ac:dyDescent="0.25">
      <c r="A267" s="165" t="s">
        <v>707</v>
      </c>
      <c r="B267" s="165" t="s">
        <v>280</v>
      </c>
      <c r="C267" s="165" t="s">
        <v>281</v>
      </c>
      <c r="D267" s="165" t="s">
        <v>69</v>
      </c>
      <c r="E267" s="166">
        <v>540000000</v>
      </c>
      <c r="F267" s="166">
        <v>493566479</v>
      </c>
      <c r="G267" s="166">
        <v>381550875</v>
      </c>
      <c r="H267" s="166">
        <v>85316482.739999995</v>
      </c>
      <c r="I267" s="166">
        <v>15084406.279999999</v>
      </c>
      <c r="J267" s="166">
        <v>247000</v>
      </c>
      <c r="K267" s="166">
        <v>245467362.44</v>
      </c>
      <c r="L267" s="167">
        <f t="shared" si="0"/>
        <v>0.49733394159452227</v>
      </c>
      <c r="M267" s="166">
        <v>238165908.09999999</v>
      </c>
      <c r="N267" s="168">
        <f t="shared" si="1"/>
        <v>0.48254068749267714</v>
      </c>
      <c r="O267" s="166">
        <v>147451227.53999999</v>
      </c>
      <c r="P267" s="168">
        <f t="shared" si="2"/>
        <v>0.29874643804568418</v>
      </c>
      <c r="Q267" s="166">
        <v>35435623.539999999</v>
      </c>
      <c r="GM267" s="185"/>
      <c r="GN267" s="185"/>
      <c r="GO267" s="185"/>
      <c r="GP267" s="185"/>
      <c r="GQ267" s="185"/>
      <c r="GR267" s="185"/>
      <c r="GS267" s="185"/>
      <c r="GT267" s="185"/>
      <c r="GU267" s="185"/>
      <c r="GV267" s="185"/>
      <c r="GW267" s="185"/>
      <c r="GX267" s="185"/>
      <c r="GY267" s="185"/>
      <c r="GZ267" s="185"/>
      <c r="HA267" s="185"/>
      <c r="HB267" s="185"/>
      <c r="HC267" s="185"/>
      <c r="HD267" s="185"/>
      <c r="HE267" s="185"/>
      <c r="HF267" s="185"/>
      <c r="HG267" s="185"/>
      <c r="HH267" s="185"/>
      <c r="HI267" s="185"/>
      <c r="HJ267" s="185"/>
      <c r="HK267" s="185"/>
      <c r="HL267" s="185"/>
      <c r="HM267" s="185"/>
      <c r="HN267" s="185"/>
      <c r="HO267" s="185"/>
      <c r="HP267" s="185"/>
      <c r="HQ267" s="185"/>
      <c r="HR267" s="185"/>
      <c r="HS267" s="185"/>
      <c r="HT267" s="185"/>
      <c r="HU267" s="185"/>
      <c r="HV267" s="185"/>
      <c r="HW267" s="185"/>
      <c r="HX267" s="185"/>
      <c r="HY267" s="185"/>
      <c r="HZ267" s="185"/>
      <c r="IA267" s="185"/>
      <c r="IB267" s="185"/>
      <c r="IC267" s="185"/>
      <c r="ID267" s="185"/>
      <c r="IE267" s="185"/>
      <c r="IF267" s="185"/>
      <c r="IG267" s="185"/>
      <c r="IH267" s="185"/>
      <c r="II267" s="185"/>
      <c r="IJ267" s="185"/>
      <c r="IK267" s="185"/>
      <c r="IL267" s="185"/>
      <c r="IM267" s="185"/>
      <c r="IN267" s="185"/>
      <c r="IO267" s="185"/>
      <c r="IP267" s="185"/>
      <c r="IQ267" s="185"/>
      <c r="IR267" s="185"/>
      <c r="IS267" s="185"/>
      <c r="IT267" s="185"/>
      <c r="IU267" s="185"/>
      <c r="IV267" s="185"/>
    </row>
    <row r="268" spans="1:256" x14ac:dyDescent="0.25">
      <c r="A268" s="165" t="s">
        <v>707</v>
      </c>
      <c r="B268" s="165" t="s">
        <v>108</v>
      </c>
      <c r="C268" s="165" t="s">
        <v>109</v>
      </c>
      <c r="D268" s="165" t="s">
        <v>69</v>
      </c>
      <c r="E268" s="166">
        <v>974595134</v>
      </c>
      <c r="F268" s="166">
        <v>1010257828</v>
      </c>
      <c r="G268" s="166">
        <v>1010257828</v>
      </c>
      <c r="H268" s="166">
        <v>32879121.899999999</v>
      </c>
      <c r="I268" s="166">
        <v>301868247.02999997</v>
      </c>
      <c r="J268" s="166">
        <v>50408733.409999996</v>
      </c>
      <c r="K268" s="166">
        <v>191787907.38999999</v>
      </c>
      <c r="L268" s="167">
        <f t="shared" si="0"/>
        <v>0.18984055562299487</v>
      </c>
      <c r="M268" s="166">
        <v>191787907.38999999</v>
      </c>
      <c r="N268" s="168">
        <f t="shared" si="1"/>
        <v>0.18984055562299487</v>
      </c>
      <c r="O268" s="166">
        <v>433313818.26999998</v>
      </c>
      <c r="P268" s="168">
        <f t="shared" si="2"/>
        <v>0.42891409129472241</v>
      </c>
      <c r="Q268" s="166">
        <v>433313818.26999998</v>
      </c>
      <c r="GM268" s="185"/>
      <c r="GN268" s="185"/>
      <c r="GO268" s="185"/>
      <c r="GP268" s="185"/>
      <c r="GQ268" s="185"/>
      <c r="GR268" s="185"/>
      <c r="GS268" s="185"/>
      <c r="GT268" s="185"/>
      <c r="GU268" s="185"/>
      <c r="GV268" s="185"/>
      <c r="GW268" s="185"/>
      <c r="GX268" s="185"/>
      <c r="GY268" s="185"/>
      <c r="GZ268" s="185"/>
      <c r="HA268" s="185"/>
      <c r="HB268" s="185"/>
      <c r="HC268" s="185"/>
      <c r="HD268" s="185"/>
      <c r="HE268" s="185"/>
      <c r="HF268" s="185"/>
      <c r="HG268" s="185"/>
      <c r="HH268" s="185"/>
      <c r="HI268" s="185"/>
      <c r="HJ268" s="185"/>
      <c r="HK268" s="185"/>
      <c r="HL268" s="185"/>
      <c r="HM268" s="185"/>
      <c r="HN268" s="185"/>
      <c r="HO268" s="185"/>
      <c r="HP268" s="185"/>
      <c r="HQ268" s="185"/>
      <c r="HR268" s="185"/>
      <c r="HS268" s="185"/>
      <c r="HT268" s="185"/>
      <c r="HU268" s="185"/>
      <c r="HV268" s="185"/>
      <c r="HW268" s="185"/>
      <c r="HX268" s="185"/>
      <c r="HY268" s="185"/>
      <c r="HZ268" s="185"/>
      <c r="IA268" s="185"/>
      <c r="IB268" s="185"/>
      <c r="IC268" s="185"/>
      <c r="ID268" s="185"/>
      <c r="IE268" s="185"/>
      <c r="IF268" s="185"/>
      <c r="IG268" s="185"/>
      <c r="IH268" s="185"/>
      <c r="II268" s="185"/>
      <c r="IJ268" s="185"/>
      <c r="IK268" s="185"/>
      <c r="IL268" s="185"/>
      <c r="IM268" s="185"/>
      <c r="IN268" s="185"/>
      <c r="IO268" s="185"/>
      <c r="IP268" s="185"/>
      <c r="IQ268" s="185"/>
      <c r="IR268" s="185"/>
      <c r="IS268" s="185"/>
      <c r="IT268" s="185"/>
      <c r="IU268" s="185"/>
      <c r="IV268" s="185"/>
    </row>
    <row r="269" spans="1:256" hidden="1" x14ac:dyDescent="0.25">
      <c r="A269" s="165" t="s">
        <v>707</v>
      </c>
      <c r="B269" s="165" t="s">
        <v>304</v>
      </c>
      <c r="C269" s="165" t="s">
        <v>305</v>
      </c>
      <c r="D269" s="165" t="s">
        <v>69</v>
      </c>
      <c r="E269" s="166">
        <v>114061860</v>
      </c>
      <c r="F269" s="166">
        <v>114061860</v>
      </c>
      <c r="G269" s="166">
        <v>114061860</v>
      </c>
      <c r="H269" s="166">
        <v>0</v>
      </c>
      <c r="I269" s="166">
        <v>31666502.510000002</v>
      </c>
      <c r="J269" s="166">
        <v>0</v>
      </c>
      <c r="K269" s="166">
        <v>20560552.489999998</v>
      </c>
      <c r="L269" s="167">
        <f t="shared" si="0"/>
        <v>0.18025790996219068</v>
      </c>
      <c r="M269" s="166">
        <v>20560552.489999998</v>
      </c>
      <c r="N269" s="168">
        <f t="shared" si="1"/>
        <v>0.18025790996219068</v>
      </c>
      <c r="O269" s="166">
        <v>61834805</v>
      </c>
      <c r="P269" s="168">
        <f t="shared" si="2"/>
        <v>0.5421164006969551</v>
      </c>
      <c r="Q269" s="166">
        <v>61834805</v>
      </c>
      <c r="GM269" s="185"/>
      <c r="GN269" s="185"/>
      <c r="GO269" s="185"/>
      <c r="GP269" s="185"/>
      <c r="GQ269" s="185"/>
      <c r="GR269" s="185"/>
      <c r="GS269" s="185"/>
      <c r="GT269" s="185"/>
      <c r="GU269" s="185"/>
      <c r="GV269" s="185"/>
      <c r="GW269" s="185"/>
      <c r="GX269" s="185"/>
      <c r="GY269" s="185"/>
      <c r="GZ269" s="185"/>
      <c r="HA269" s="185"/>
      <c r="HB269" s="185"/>
      <c r="HC269" s="185"/>
      <c r="HD269" s="185"/>
      <c r="HE269" s="185"/>
      <c r="HF269" s="185"/>
      <c r="HG269" s="185"/>
      <c r="HH269" s="185"/>
      <c r="HI269" s="185"/>
      <c r="HJ269" s="185"/>
      <c r="HK269" s="185"/>
      <c r="HL269" s="185"/>
      <c r="HM269" s="185"/>
      <c r="HN269" s="185"/>
      <c r="HO269" s="185"/>
      <c r="HP269" s="185"/>
      <c r="HQ269" s="185"/>
      <c r="HR269" s="185"/>
      <c r="HS269" s="185"/>
      <c r="HT269" s="185"/>
      <c r="HU269" s="185"/>
      <c r="HV269" s="185"/>
      <c r="HW269" s="185"/>
      <c r="HX269" s="185"/>
      <c r="HY269" s="185"/>
      <c r="HZ269" s="185"/>
      <c r="IA269" s="185"/>
      <c r="IB269" s="185"/>
      <c r="IC269" s="185"/>
      <c r="ID269" s="185"/>
      <c r="IE269" s="185"/>
      <c r="IF269" s="185"/>
      <c r="IG269" s="185"/>
      <c r="IH269" s="185"/>
      <c r="II269" s="185"/>
      <c r="IJ269" s="185"/>
      <c r="IK269" s="185"/>
      <c r="IL269" s="185"/>
      <c r="IM269" s="185"/>
      <c r="IN269" s="185"/>
      <c r="IO269" s="185"/>
      <c r="IP269" s="185"/>
      <c r="IQ269" s="185"/>
      <c r="IR269" s="185"/>
      <c r="IS269" s="185"/>
      <c r="IT269" s="185"/>
      <c r="IU269" s="185"/>
      <c r="IV269" s="185"/>
    </row>
    <row r="270" spans="1:256" hidden="1" x14ac:dyDescent="0.25">
      <c r="A270" s="165" t="s">
        <v>707</v>
      </c>
      <c r="B270" s="165" t="s">
        <v>110</v>
      </c>
      <c r="C270" s="165" t="s">
        <v>111</v>
      </c>
      <c r="D270" s="165" t="s">
        <v>69</v>
      </c>
      <c r="E270" s="166">
        <v>1374236783</v>
      </c>
      <c r="F270" s="166">
        <v>1374236783</v>
      </c>
      <c r="G270" s="166">
        <v>1374236783</v>
      </c>
      <c r="H270" s="166">
        <v>0</v>
      </c>
      <c r="I270" s="166">
        <v>458598775.63999999</v>
      </c>
      <c r="J270" s="166">
        <v>71324778</v>
      </c>
      <c r="K270" s="166">
        <v>498462255.66000003</v>
      </c>
      <c r="L270" s="167">
        <f t="shared" si="0"/>
        <v>0.36271933761796277</v>
      </c>
      <c r="M270" s="166">
        <v>367465625.81999999</v>
      </c>
      <c r="N270" s="168">
        <f t="shared" si="1"/>
        <v>0.26739615062392053</v>
      </c>
      <c r="O270" s="166">
        <v>345850973.69999999</v>
      </c>
      <c r="P270" s="168">
        <f t="shared" si="2"/>
        <v>0.25166767327024747</v>
      </c>
      <c r="Q270" s="166">
        <v>345850973.69999999</v>
      </c>
      <c r="GM270" s="185"/>
      <c r="GN270" s="185"/>
      <c r="GO270" s="185"/>
      <c r="GP270" s="185"/>
      <c r="GQ270" s="185"/>
      <c r="GR270" s="185"/>
      <c r="GS270" s="185"/>
      <c r="GT270" s="185"/>
      <c r="GU270" s="185"/>
      <c r="GV270" s="185"/>
      <c r="GW270" s="185"/>
      <c r="GX270" s="185"/>
      <c r="GY270" s="185"/>
      <c r="GZ270" s="185"/>
      <c r="HA270" s="185"/>
      <c r="HB270" s="185"/>
      <c r="HC270" s="185"/>
      <c r="HD270" s="185"/>
      <c r="HE270" s="185"/>
      <c r="HF270" s="185"/>
      <c r="HG270" s="185"/>
      <c r="HH270" s="185"/>
      <c r="HI270" s="185"/>
      <c r="HJ270" s="185"/>
      <c r="HK270" s="185"/>
      <c r="HL270" s="185"/>
      <c r="HM270" s="185"/>
      <c r="HN270" s="185"/>
      <c r="HO270" s="185"/>
      <c r="HP270" s="185"/>
      <c r="HQ270" s="185"/>
      <c r="HR270" s="185"/>
      <c r="HS270" s="185"/>
      <c r="HT270" s="185"/>
      <c r="HU270" s="185"/>
      <c r="HV270" s="185"/>
      <c r="HW270" s="185"/>
      <c r="HX270" s="185"/>
      <c r="HY270" s="185"/>
      <c r="HZ270" s="185"/>
      <c r="IA270" s="185"/>
      <c r="IB270" s="185"/>
      <c r="IC270" s="185"/>
      <c r="ID270" s="185"/>
      <c r="IE270" s="185"/>
      <c r="IF270" s="185"/>
      <c r="IG270" s="185"/>
      <c r="IH270" s="185"/>
      <c r="II270" s="185"/>
      <c r="IJ270" s="185"/>
      <c r="IK270" s="185"/>
      <c r="IL270" s="185"/>
      <c r="IM270" s="185"/>
      <c r="IN270" s="185"/>
      <c r="IO270" s="185"/>
      <c r="IP270" s="185"/>
      <c r="IQ270" s="185"/>
      <c r="IR270" s="185"/>
      <c r="IS270" s="185"/>
      <c r="IT270" s="185"/>
      <c r="IU270" s="185"/>
      <c r="IV270" s="185"/>
    </row>
    <row r="271" spans="1:256" hidden="1" x14ac:dyDescent="0.25">
      <c r="A271" s="165" t="s">
        <v>707</v>
      </c>
      <c r="B271" s="165" t="s">
        <v>112</v>
      </c>
      <c r="C271" s="165" t="s">
        <v>113</v>
      </c>
      <c r="D271" s="165" t="s">
        <v>69</v>
      </c>
      <c r="E271" s="166">
        <v>758051064</v>
      </c>
      <c r="F271" s="166">
        <v>708510005</v>
      </c>
      <c r="G271" s="166">
        <v>707010005</v>
      </c>
      <c r="H271" s="166">
        <v>0</v>
      </c>
      <c r="I271" s="166">
        <v>254024282.25</v>
      </c>
      <c r="J271" s="166">
        <v>90258371.730000004</v>
      </c>
      <c r="K271" s="166">
        <v>263389934.12</v>
      </c>
      <c r="L271" s="167">
        <f t="shared" si="0"/>
        <v>0.37175189095600703</v>
      </c>
      <c r="M271" s="166">
        <v>261501769.16999999</v>
      </c>
      <c r="N271" s="168">
        <f t="shared" si="1"/>
        <v>0.36908691101687408</v>
      </c>
      <c r="O271" s="166">
        <v>100837416.90000001</v>
      </c>
      <c r="P271" s="168">
        <f t="shared" si="2"/>
        <v>0.14232320812463334</v>
      </c>
      <c r="Q271" s="166">
        <v>99337416.900000006</v>
      </c>
      <c r="GM271" s="185"/>
      <c r="GN271" s="185"/>
      <c r="GO271" s="185"/>
      <c r="GP271" s="185"/>
      <c r="GQ271" s="185"/>
      <c r="GR271" s="185"/>
      <c r="GS271" s="185"/>
      <c r="GT271" s="185"/>
      <c r="GU271" s="185"/>
      <c r="GV271" s="185"/>
      <c r="GW271" s="185"/>
      <c r="GX271" s="185"/>
      <c r="GY271" s="185"/>
      <c r="GZ271" s="185"/>
      <c r="HA271" s="185"/>
      <c r="HB271" s="185"/>
      <c r="HC271" s="185"/>
      <c r="HD271" s="185"/>
      <c r="HE271" s="185"/>
      <c r="HF271" s="185"/>
      <c r="HG271" s="185"/>
      <c r="HH271" s="185"/>
      <c r="HI271" s="185"/>
      <c r="HJ271" s="185"/>
      <c r="HK271" s="185"/>
      <c r="HL271" s="185"/>
      <c r="HM271" s="185"/>
      <c r="HN271" s="185"/>
      <c r="HO271" s="185"/>
      <c r="HP271" s="185"/>
      <c r="HQ271" s="185"/>
      <c r="HR271" s="185"/>
      <c r="HS271" s="185"/>
      <c r="HT271" s="185"/>
      <c r="HU271" s="185"/>
      <c r="HV271" s="185"/>
      <c r="HW271" s="185"/>
      <c r="HX271" s="185"/>
      <c r="HY271" s="185"/>
      <c r="HZ271" s="185"/>
      <c r="IA271" s="185"/>
      <c r="IB271" s="185"/>
      <c r="IC271" s="185"/>
      <c r="ID271" s="185"/>
      <c r="IE271" s="185"/>
      <c r="IF271" s="185"/>
      <c r="IG271" s="185"/>
      <c r="IH271" s="185"/>
      <c r="II271" s="185"/>
      <c r="IJ271" s="185"/>
      <c r="IK271" s="185"/>
      <c r="IL271" s="185"/>
      <c r="IM271" s="185"/>
      <c r="IN271" s="185"/>
      <c r="IO271" s="185"/>
      <c r="IP271" s="185"/>
      <c r="IQ271" s="185"/>
      <c r="IR271" s="185"/>
      <c r="IS271" s="185"/>
      <c r="IT271" s="185"/>
      <c r="IU271" s="185"/>
      <c r="IV271" s="185"/>
    </row>
    <row r="272" spans="1:256" hidden="1" x14ac:dyDescent="0.25">
      <c r="A272" s="165" t="s">
        <v>707</v>
      </c>
      <c r="B272" s="165" t="s">
        <v>114</v>
      </c>
      <c r="C272" s="165" t="s">
        <v>115</v>
      </c>
      <c r="D272" s="165" t="s">
        <v>69</v>
      </c>
      <c r="E272" s="166">
        <v>18001000</v>
      </c>
      <c r="F272" s="166">
        <v>18001000</v>
      </c>
      <c r="G272" s="166">
        <v>18001000</v>
      </c>
      <c r="H272" s="166">
        <v>0</v>
      </c>
      <c r="I272" s="166">
        <v>7062558</v>
      </c>
      <c r="J272" s="166">
        <v>0</v>
      </c>
      <c r="K272" s="166">
        <v>10938442</v>
      </c>
      <c r="L272" s="167">
        <f t="shared" si="0"/>
        <v>0.60765746347425142</v>
      </c>
      <c r="M272" s="166">
        <v>9242795</v>
      </c>
      <c r="N272" s="168">
        <f t="shared" si="1"/>
        <v>0.51346008555080269</v>
      </c>
      <c r="O272" s="166">
        <v>0</v>
      </c>
      <c r="P272" s="168">
        <f t="shared" si="2"/>
        <v>0</v>
      </c>
      <c r="Q272" s="166">
        <v>0</v>
      </c>
      <c r="GM272" s="185"/>
      <c r="GN272" s="185"/>
      <c r="GO272" s="185"/>
      <c r="GP272" s="185"/>
      <c r="GQ272" s="185"/>
      <c r="GR272" s="185"/>
      <c r="GS272" s="185"/>
      <c r="GT272" s="185"/>
      <c r="GU272" s="185"/>
      <c r="GV272" s="185"/>
      <c r="GW272" s="185"/>
      <c r="GX272" s="185"/>
      <c r="GY272" s="185"/>
      <c r="GZ272" s="185"/>
      <c r="HA272" s="185"/>
      <c r="HB272" s="185"/>
      <c r="HC272" s="185"/>
      <c r="HD272" s="185"/>
      <c r="HE272" s="185"/>
      <c r="HF272" s="185"/>
      <c r="HG272" s="185"/>
      <c r="HH272" s="185"/>
      <c r="HI272" s="185"/>
      <c r="HJ272" s="185"/>
      <c r="HK272" s="185"/>
      <c r="HL272" s="185"/>
      <c r="HM272" s="185"/>
      <c r="HN272" s="185"/>
      <c r="HO272" s="185"/>
      <c r="HP272" s="185"/>
      <c r="HQ272" s="185"/>
      <c r="HR272" s="185"/>
      <c r="HS272" s="185"/>
      <c r="HT272" s="185"/>
      <c r="HU272" s="185"/>
      <c r="HV272" s="185"/>
      <c r="HW272" s="185"/>
      <c r="HX272" s="185"/>
      <c r="HY272" s="185"/>
      <c r="HZ272" s="185"/>
      <c r="IA272" s="185"/>
      <c r="IB272" s="185"/>
      <c r="IC272" s="185"/>
      <c r="ID272" s="185"/>
      <c r="IE272" s="185"/>
      <c r="IF272" s="185"/>
      <c r="IG272" s="185"/>
      <c r="IH272" s="185"/>
      <c r="II272" s="185"/>
      <c r="IJ272" s="185"/>
      <c r="IK272" s="185"/>
      <c r="IL272" s="185"/>
      <c r="IM272" s="185"/>
      <c r="IN272" s="185"/>
      <c r="IO272" s="185"/>
      <c r="IP272" s="185"/>
      <c r="IQ272" s="185"/>
      <c r="IR272" s="185"/>
      <c r="IS272" s="185"/>
      <c r="IT272" s="185"/>
      <c r="IU272" s="185"/>
      <c r="IV272" s="185"/>
    </row>
    <row r="273" spans="1:256" hidden="1" x14ac:dyDescent="0.25">
      <c r="A273" s="165" t="s">
        <v>707</v>
      </c>
      <c r="B273" s="165" t="s">
        <v>116</v>
      </c>
      <c r="C273" s="165" t="s">
        <v>117</v>
      </c>
      <c r="D273" s="165" t="s">
        <v>69</v>
      </c>
      <c r="E273" s="166">
        <v>244470000</v>
      </c>
      <c r="F273" s="166">
        <v>206743349</v>
      </c>
      <c r="G273" s="166">
        <v>206743349</v>
      </c>
      <c r="H273" s="166">
        <v>0</v>
      </c>
      <c r="I273" s="166">
        <v>30753681.449999999</v>
      </c>
      <c r="J273" s="166">
        <v>0</v>
      </c>
      <c r="K273" s="166">
        <v>168086202.31999999</v>
      </c>
      <c r="L273" s="167">
        <f t="shared" si="0"/>
        <v>0.81301866847479576</v>
      </c>
      <c r="M273" s="166">
        <v>168086202.31999999</v>
      </c>
      <c r="N273" s="168">
        <f t="shared" si="1"/>
        <v>0.81301866847479576</v>
      </c>
      <c r="O273" s="166">
        <v>7903465.2300000004</v>
      </c>
      <c r="P273" s="168">
        <f t="shared" si="2"/>
        <v>3.8228389296334757E-2</v>
      </c>
      <c r="Q273" s="166">
        <v>7903465.2300000004</v>
      </c>
      <c r="GM273" s="185"/>
      <c r="GN273" s="185"/>
      <c r="GO273" s="185"/>
      <c r="GP273" s="185"/>
      <c r="GQ273" s="185"/>
      <c r="GR273" s="185"/>
      <c r="GS273" s="185"/>
      <c r="GT273" s="185"/>
      <c r="GU273" s="185"/>
      <c r="GV273" s="185"/>
      <c r="GW273" s="185"/>
      <c r="GX273" s="185"/>
      <c r="GY273" s="185"/>
      <c r="GZ273" s="185"/>
      <c r="HA273" s="185"/>
      <c r="HB273" s="185"/>
      <c r="HC273" s="185"/>
      <c r="HD273" s="185"/>
      <c r="HE273" s="185"/>
      <c r="HF273" s="185"/>
      <c r="HG273" s="185"/>
      <c r="HH273" s="185"/>
      <c r="HI273" s="185"/>
      <c r="HJ273" s="185"/>
      <c r="HK273" s="185"/>
      <c r="HL273" s="185"/>
      <c r="HM273" s="185"/>
      <c r="HN273" s="185"/>
      <c r="HO273" s="185"/>
      <c r="HP273" s="185"/>
      <c r="HQ273" s="185"/>
      <c r="HR273" s="185"/>
      <c r="HS273" s="185"/>
      <c r="HT273" s="185"/>
      <c r="HU273" s="185"/>
      <c r="HV273" s="185"/>
      <c r="HW273" s="185"/>
      <c r="HX273" s="185"/>
      <c r="HY273" s="185"/>
      <c r="HZ273" s="185"/>
      <c r="IA273" s="185"/>
      <c r="IB273" s="185"/>
      <c r="IC273" s="185"/>
      <c r="ID273" s="185"/>
      <c r="IE273" s="185"/>
      <c r="IF273" s="185"/>
      <c r="IG273" s="185"/>
      <c r="IH273" s="185"/>
      <c r="II273" s="185"/>
      <c r="IJ273" s="185"/>
      <c r="IK273" s="185"/>
      <c r="IL273" s="185"/>
      <c r="IM273" s="185"/>
      <c r="IN273" s="185"/>
      <c r="IO273" s="185"/>
      <c r="IP273" s="185"/>
      <c r="IQ273" s="185"/>
      <c r="IR273" s="185"/>
      <c r="IS273" s="185"/>
      <c r="IT273" s="185"/>
      <c r="IU273" s="185"/>
      <c r="IV273" s="185"/>
    </row>
    <row r="274" spans="1:256" hidden="1" x14ac:dyDescent="0.25">
      <c r="A274" s="165" t="s">
        <v>707</v>
      </c>
      <c r="B274" s="165" t="s">
        <v>118</v>
      </c>
      <c r="C274" s="165" t="s">
        <v>119</v>
      </c>
      <c r="D274" s="165" t="s">
        <v>69</v>
      </c>
      <c r="E274" s="166">
        <v>6000000</v>
      </c>
      <c r="F274" s="166">
        <v>4500000</v>
      </c>
      <c r="G274" s="166">
        <v>3000000</v>
      </c>
      <c r="H274" s="166">
        <v>0</v>
      </c>
      <c r="I274" s="166">
        <v>2231601.2999999998</v>
      </c>
      <c r="J274" s="166">
        <v>0</v>
      </c>
      <c r="K274" s="166">
        <v>768398.7</v>
      </c>
      <c r="L274" s="167">
        <f t="shared" si="0"/>
        <v>0.17075526666666666</v>
      </c>
      <c r="M274" s="166">
        <v>768398.7</v>
      </c>
      <c r="N274" s="168">
        <f t="shared" si="1"/>
        <v>0.17075526666666666</v>
      </c>
      <c r="O274" s="166">
        <v>1500000</v>
      </c>
      <c r="P274" s="168">
        <f t="shared" si="2"/>
        <v>0.33333333333333331</v>
      </c>
      <c r="Q274" s="166">
        <v>0</v>
      </c>
      <c r="GM274" s="185"/>
      <c r="GN274" s="185"/>
      <c r="GO274" s="185"/>
      <c r="GP274" s="185"/>
      <c r="GQ274" s="185"/>
      <c r="GR274" s="185"/>
      <c r="GS274" s="185"/>
      <c r="GT274" s="185"/>
      <c r="GU274" s="185"/>
      <c r="GV274" s="185"/>
      <c r="GW274" s="185"/>
      <c r="GX274" s="185"/>
      <c r="GY274" s="185"/>
      <c r="GZ274" s="185"/>
      <c r="HA274" s="185"/>
      <c r="HB274" s="185"/>
      <c r="HC274" s="185"/>
      <c r="HD274" s="185"/>
      <c r="HE274" s="185"/>
      <c r="HF274" s="185"/>
      <c r="HG274" s="185"/>
      <c r="HH274" s="185"/>
      <c r="HI274" s="185"/>
      <c r="HJ274" s="185"/>
      <c r="HK274" s="185"/>
      <c r="HL274" s="185"/>
      <c r="HM274" s="185"/>
      <c r="HN274" s="185"/>
      <c r="HO274" s="185"/>
      <c r="HP274" s="185"/>
      <c r="HQ274" s="185"/>
      <c r="HR274" s="185"/>
      <c r="HS274" s="185"/>
      <c r="HT274" s="185"/>
      <c r="HU274" s="185"/>
      <c r="HV274" s="185"/>
      <c r="HW274" s="185"/>
      <c r="HX274" s="185"/>
      <c r="HY274" s="185"/>
      <c r="HZ274" s="185"/>
      <c r="IA274" s="185"/>
      <c r="IB274" s="185"/>
      <c r="IC274" s="185"/>
      <c r="ID274" s="185"/>
      <c r="IE274" s="185"/>
      <c r="IF274" s="185"/>
      <c r="IG274" s="185"/>
      <c r="IH274" s="185"/>
      <c r="II274" s="185"/>
      <c r="IJ274" s="185"/>
      <c r="IK274" s="185"/>
      <c r="IL274" s="185"/>
      <c r="IM274" s="185"/>
      <c r="IN274" s="185"/>
      <c r="IO274" s="185"/>
      <c r="IP274" s="185"/>
      <c r="IQ274" s="185"/>
      <c r="IR274" s="185"/>
      <c r="IS274" s="185"/>
      <c r="IT274" s="185"/>
      <c r="IU274" s="185"/>
      <c r="IV274" s="185"/>
    </row>
    <row r="275" spans="1:256" hidden="1" x14ac:dyDescent="0.25">
      <c r="A275" s="165" t="s">
        <v>707</v>
      </c>
      <c r="B275" s="165" t="s">
        <v>120</v>
      </c>
      <c r="C275" s="165" t="s">
        <v>121</v>
      </c>
      <c r="D275" s="165" t="s">
        <v>69</v>
      </c>
      <c r="E275" s="166">
        <v>411938379</v>
      </c>
      <c r="F275" s="166">
        <v>411938379</v>
      </c>
      <c r="G275" s="166">
        <v>411938379</v>
      </c>
      <c r="H275" s="166">
        <v>0</v>
      </c>
      <c r="I275" s="166">
        <v>209379758.59999999</v>
      </c>
      <c r="J275" s="166">
        <v>86153113.530000001</v>
      </c>
      <c r="K275" s="166">
        <v>59214713.82</v>
      </c>
      <c r="L275" s="167">
        <f t="shared" si="0"/>
        <v>0.1437465330706659</v>
      </c>
      <c r="M275" s="166">
        <v>59022195.869999997</v>
      </c>
      <c r="N275" s="168">
        <f t="shared" si="1"/>
        <v>0.14327918659407066</v>
      </c>
      <c r="O275" s="166">
        <v>57190793.049999997</v>
      </c>
      <c r="P275" s="168">
        <f t="shared" si="2"/>
        <v>0.13883336917728659</v>
      </c>
      <c r="Q275" s="166">
        <v>57190793.049999997</v>
      </c>
      <c r="GM275" s="185"/>
      <c r="GN275" s="185"/>
      <c r="GO275" s="185"/>
      <c r="GP275" s="185"/>
      <c r="GQ275" s="185"/>
      <c r="GR275" s="185"/>
      <c r="GS275" s="185"/>
      <c r="GT275" s="185"/>
      <c r="GU275" s="185"/>
      <c r="GV275" s="185"/>
      <c r="GW275" s="185"/>
      <c r="GX275" s="185"/>
      <c r="GY275" s="185"/>
      <c r="GZ275" s="185"/>
      <c r="HA275" s="185"/>
      <c r="HB275" s="185"/>
      <c r="HC275" s="185"/>
      <c r="HD275" s="185"/>
      <c r="HE275" s="185"/>
      <c r="HF275" s="185"/>
      <c r="HG275" s="185"/>
      <c r="HH275" s="185"/>
      <c r="HI275" s="185"/>
      <c r="HJ275" s="185"/>
      <c r="HK275" s="185"/>
      <c r="HL275" s="185"/>
      <c r="HM275" s="185"/>
      <c r="HN275" s="185"/>
      <c r="HO275" s="185"/>
      <c r="HP275" s="185"/>
      <c r="HQ275" s="185"/>
      <c r="HR275" s="185"/>
      <c r="HS275" s="185"/>
      <c r="HT275" s="185"/>
      <c r="HU275" s="185"/>
      <c r="HV275" s="185"/>
      <c r="HW275" s="185"/>
      <c r="HX275" s="185"/>
      <c r="HY275" s="185"/>
      <c r="HZ275" s="185"/>
      <c r="IA275" s="185"/>
      <c r="IB275" s="185"/>
      <c r="IC275" s="185"/>
      <c r="ID275" s="185"/>
      <c r="IE275" s="185"/>
      <c r="IF275" s="185"/>
      <c r="IG275" s="185"/>
      <c r="IH275" s="185"/>
      <c r="II275" s="185"/>
      <c r="IJ275" s="185"/>
      <c r="IK275" s="185"/>
      <c r="IL275" s="185"/>
      <c r="IM275" s="185"/>
      <c r="IN275" s="185"/>
      <c r="IO275" s="185"/>
      <c r="IP275" s="185"/>
      <c r="IQ275" s="185"/>
      <c r="IR275" s="185"/>
      <c r="IS275" s="185"/>
      <c r="IT275" s="185"/>
      <c r="IU275" s="185"/>
      <c r="IV275" s="185"/>
    </row>
    <row r="276" spans="1:256" hidden="1" x14ac:dyDescent="0.25">
      <c r="A276" s="165" t="s">
        <v>707</v>
      </c>
      <c r="B276" s="165" t="s">
        <v>122</v>
      </c>
      <c r="C276" s="165" t="s">
        <v>123</v>
      </c>
      <c r="D276" s="165" t="s">
        <v>69</v>
      </c>
      <c r="E276" s="166">
        <v>77641685</v>
      </c>
      <c r="F276" s="166">
        <v>67327277</v>
      </c>
      <c r="G276" s="166">
        <v>67327277</v>
      </c>
      <c r="H276" s="166">
        <v>0</v>
      </c>
      <c r="I276" s="166">
        <v>4596682.9000000004</v>
      </c>
      <c r="J276" s="166">
        <v>4105258.2</v>
      </c>
      <c r="K276" s="166">
        <v>24382177.280000001</v>
      </c>
      <c r="L276" s="167">
        <f t="shared" si="0"/>
        <v>0.36214411701218813</v>
      </c>
      <c r="M276" s="166">
        <v>24382177.280000001</v>
      </c>
      <c r="N276" s="168">
        <f t="shared" si="1"/>
        <v>0.36214411701218813</v>
      </c>
      <c r="O276" s="166">
        <v>34243158.619999997</v>
      </c>
      <c r="P276" s="168">
        <f t="shared" si="2"/>
        <v>0.50860750866249937</v>
      </c>
      <c r="Q276" s="166">
        <v>34243158.619999997</v>
      </c>
      <c r="GM276" s="185"/>
      <c r="GN276" s="185"/>
      <c r="GO276" s="185"/>
      <c r="GP276" s="185"/>
      <c r="GQ276" s="185"/>
      <c r="GR276" s="185"/>
      <c r="GS276" s="185"/>
      <c r="GT276" s="185"/>
      <c r="GU276" s="185"/>
      <c r="GV276" s="185"/>
      <c r="GW276" s="185"/>
      <c r="GX276" s="185"/>
      <c r="GY276" s="185"/>
      <c r="GZ276" s="185"/>
      <c r="HA276" s="185"/>
      <c r="HB276" s="185"/>
      <c r="HC276" s="185"/>
      <c r="HD276" s="185"/>
      <c r="HE276" s="185"/>
      <c r="HF276" s="185"/>
      <c r="HG276" s="185"/>
      <c r="HH276" s="185"/>
      <c r="HI276" s="185"/>
      <c r="HJ276" s="185"/>
      <c r="HK276" s="185"/>
      <c r="HL276" s="185"/>
      <c r="HM276" s="185"/>
      <c r="HN276" s="185"/>
      <c r="HO276" s="185"/>
      <c r="HP276" s="185"/>
      <c r="HQ276" s="185"/>
      <c r="HR276" s="185"/>
      <c r="HS276" s="185"/>
      <c r="HT276" s="185"/>
      <c r="HU276" s="185"/>
      <c r="HV276" s="185"/>
      <c r="HW276" s="185"/>
      <c r="HX276" s="185"/>
      <c r="HY276" s="185"/>
      <c r="HZ276" s="185"/>
      <c r="IA276" s="185"/>
      <c r="IB276" s="185"/>
      <c r="IC276" s="185"/>
      <c r="ID276" s="185"/>
      <c r="IE276" s="185"/>
      <c r="IF276" s="185"/>
      <c r="IG276" s="185"/>
      <c r="IH276" s="185"/>
      <c r="II276" s="185"/>
      <c r="IJ276" s="185"/>
      <c r="IK276" s="185"/>
      <c r="IL276" s="185"/>
      <c r="IM276" s="185"/>
      <c r="IN276" s="185"/>
      <c r="IO276" s="185"/>
      <c r="IP276" s="185"/>
      <c r="IQ276" s="185"/>
      <c r="IR276" s="185"/>
      <c r="IS276" s="185"/>
      <c r="IT276" s="185"/>
      <c r="IU276" s="185"/>
      <c r="IV276" s="185"/>
    </row>
    <row r="277" spans="1:256" hidden="1" x14ac:dyDescent="0.25">
      <c r="A277" s="165" t="s">
        <v>707</v>
      </c>
      <c r="B277" s="165" t="s">
        <v>124</v>
      </c>
      <c r="C277" s="165" t="s">
        <v>125</v>
      </c>
      <c r="D277" s="165" t="s">
        <v>69</v>
      </c>
      <c r="E277" s="166">
        <v>9633760</v>
      </c>
      <c r="F277" s="166">
        <v>9633760</v>
      </c>
      <c r="G277" s="166">
        <v>9633760</v>
      </c>
      <c r="H277" s="166">
        <v>0</v>
      </c>
      <c r="I277" s="166">
        <v>3440000</v>
      </c>
      <c r="J277" s="166">
        <v>0</v>
      </c>
      <c r="K277" s="166">
        <v>1736652.5</v>
      </c>
      <c r="L277" s="167">
        <f t="shared" si="0"/>
        <v>0.18026736186078957</v>
      </c>
      <c r="M277" s="166">
        <v>1736652.5</v>
      </c>
      <c r="N277" s="168">
        <f t="shared" si="1"/>
        <v>0.18026736186078957</v>
      </c>
      <c r="O277" s="166">
        <v>4457107.5</v>
      </c>
      <c r="P277" s="168">
        <f t="shared" si="2"/>
        <v>0.46265502773579581</v>
      </c>
      <c r="Q277" s="166">
        <v>4457107.5</v>
      </c>
      <c r="GM277" s="185"/>
      <c r="GN277" s="185"/>
      <c r="GO277" s="185"/>
      <c r="GP277" s="185"/>
      <c r="GQ277" s="185"/>
      <c r="GR277" s="185"/>
      <c r="GS277" s="185"/>
      <c r="GT277" s="185"/>
      <c r="GU277" s="185"/>
      <c r="GV277" s="185"/>
      <c r="GW277" s="185"/>
      <c r="GX277" s="185"/>
      <c r="GY277" s="185"/>
      <c r="GZ277" s="185"/>
      <c r="HA277" s="185"/>
      <c r="HB277" s="185"/>
      <c r="HC277" s="185"/>
      <c r="HD277" s="185"/>
      <c r="HE277" s="185"/>
      <c r="HF277" s="185"/>
      <c r="HG277" s="185"/>
      <c r="HH277" s="185"/>
      <c r="HI277" s="185"/>
      <c r="HJ277" s="185"/>
      <c r="HK277" s="185"/>
      <c r="HL277" s="185"/>
      <c r="HM277" s="185"/>
      <c r="HN277" s="185"/>
      <c r="HO277" s="185"/>
      <c r="HP277" s="185"/>
      <c r="HQ277" s="185"/>
      <c r="HR277" s="185"/>
      <c r="HS277" s="185"/>
      <c r="HT277" s="185"/>
      <c r="HU277" s="185"/>
      <c r="HV277" s="185"/>
      <c r="HW277" s="185"/>
      <c r="HX277" s="185"/>
      <c r="HY277" s="185"/>
      <c r="HZ277" s="185"/>
      <c r="IA277" s="185"/>
      <c r="IB277" s="185"/>
      <c r="IC277" s="185"/>
      <c r="ID277" s="185"/>
      <c r="IE277" s="185"/>
      <c r="IF277" s="185"/>
      <c r="IG277" s="185"/>
      <c r="IH277" s="185"/>
      <c r="II277" s="185"/>
      <c r="IJ277" s="185"/>
      <c r="IK277" s="185"/>
      <c r="IL277" s="185"/>
      <c r="IM277" s="185"/>
      <c r="IN277" s="185"/>
      <c r="IO277" s="185"/>
      <c r="IP277" s="185"/>
      <c r="IQ277" s="185"/>
      <c r="IR277" s="185"/>
      <c r="IS277" s="185"/>
      <c r="IT277" s="185"/>
      <c r="IU277" s="185"/>
      <c r="IV277" s="185"/>
    </row>
    <row r="278" spans="1:256" hidden="1" x14ac:dyDescent="0.25">
      <c r="A278" s="165" t="s">
        <v>707</v>
      </c>
      <c r="B278" s="165" t="s">
        <v>126</v>
      </c>
      <c r="C278" s="165" t="s">
        <v>127</v>
      </c>
      <c r="D278" s="165" t="s">
        <v>69</v>
      </c>
      <c r="E278" s="166">
        <v>5513760</v>
      </c>
      <c r="F278" s="166">
        <v>5513760</v>
      </c>
      <c r="G278" s="166">
        <v>5513760</v>
      </c>
      <c r="H278" s="166">
        <v>0</v>
      </c>
      <c r="I278" s="166">
        <v>2940000</v>
      </c>
      <c r="J278" s="166">
        <v>0</v>
      </c>
      <c r="K278" s="166">
        <v>56060</v>
      </c>
      <c r="L278" s="167">
        <f t="shared" si="0"/>
        <v>1.0167290560343576E-2</v>
      </c>
      <c r="M278" s="166">
        <v>56060</v>
      </c>
      <c r="N278" s="168">
        <f t="shared" si="1"/>
        <v>1.0167290560343576E-2</v>
      </c>
      <c r="O278" s="166">
        <v>2517700</v>
      </c>
      <c r="P278" s="168">
        <f t="shared" si="2"/>
        <v>0.45662125301064971</v>
      </c>
      <c r="Q278" s="166">
        <v>2517700</v>
      </c>
      <c r="GM278" s="185"/>
      <c r="GN278" s="185"/>
      <c r="GO278" s="185"/>
      <c r="GP278" s="185"/>
      <c r="GQ278" s="185"/>
      <c r="GR278" s="185"/>
      <c r="GS278" s="185"/>
      <c r="GT278" s="185"/>
      <c r="GU278" s="185"/>
      <c r="GV278" s="185"/>
      <c r="GW278" s="185"/>
      <c r="GX278" s="185"/>
      <c r="GY278" s="185"/>
      <c r="GZ278" s="185"/>
      <c r="HA278" s="185"/>
      <c r="HB278" s="185"/>
      <c r="HC278" s="185"/>
      <c r="HD278" s="185"/>
      <c r="HE278" s="185"/>
      <c r="HF278" s="185"/>
      <c r="HG278" s="185"/>
      <c r="HH278" s="185"/>
      <c r="HI278" s="185"/>
      <c r="HJ278" s="185"/>
      <c r="HK278" s="185"/>
      <c r="HL278" s="185"/>
      <c r="HM278" s="185"/>
      <c r="HN278" s="185"/>
      <c r="HO278" s="185"/>
      <c r="HP278" s="185"/>
      <c r="HQ278" s="185"/>
      <c r="HR278" s="185"/>
      <c r="HS278" s="185"/>
      <c r="HT278" s="185"/>
      <c r="HU278" s="185"/>
      <c r="HV278" s="185"/>
      <c r="HW278" s="185"/>
      <c r="HX278" s="185"/>
      <c r="HY278" s="185"/>
      <c r="HZ278" s="185"/>
      <c r="IA278" s="185"/>
      <c r="IB278" s="185"/>
      <c r="IC278" s="185"/>
      <c r="ID278" s="185"/>
      <c r="IE278" s="185"/>
      <c r="IF278" s="185"/>
      <c r="IG278" s="185"/>
      <c r="IH278" s="185"/>
      <c r="II278" s="185"/>
      <c r="IJ278" s="185"/>
      <c r="IK278" s="185"/>
      <c r="IL278" s="185"/>
      <c r="IM278" s="185"/>
      <c r="IN278" s="185"/>
      <c r="IO278" s="185"/>
      <c r="IP278" s="185"/>
      <c r="IQ278" s="185"/>
      <c r="IR278" s="185"/>
      <c r="IS278" s="185"/>
      <c r="IT278" s="185"/>
      <c r="IU278" s="185"/>
      <c r="IV278" s="185"/>
    </row>
    <row r="279" spans="1:256" hidden="1" x14ac:dyDescent="0.25">
      <c r="A279" s="165" t="s">
        <v>707</v>
      </c>
      <c r="B279" s="165" t="s">
        <v>128</v>
      </c>
      <c r="C279" s="165" t="s">
        <v>129</v>
      </c>
      <c r="D279" s="165" t="s">
        <v>69</v>
      </c>
      <c r="E279" s="166">
        <v>2620000</v>
      </c>
      <c r="F279" s="166">
        <v>2620000</v>
      </c>
      <c r="G279" s="166">
        <v>2620000</v>
      </c>
      <c r="H279" s="166">
        <v>0</v>
      </c>
      <c r="I279" s="166">
        <v>0</v>
      </c>
      <c r="J279" s="166">
        <v>0</v>
      </c>
      <c r="K279" s="166">
        <v>1680592.5</v>
      </c>
      <c r="L279" s="167">
        <f t="shared" si="0"/>
        <v>0.64144751908396946</v>
      </c>
      <c r="M279" s="166">
        <v>1680592.5</v>
      </c>
      <c r="N279" s="168">
        <f t="shared" si="1"/>
        <v>0.64144751908396946</v>
      </c>
      <c r="O279" s="166">
        <v>939407.5</v>
      </c>
      <c r="P279" s="168">
        <f t="shared" si="2"/>
        <v>0.35855248091603054</v>
      </c>
      <c r="Q279" s="166">
        <v>939407.5</v>
      </c>
      <c r="GM279" s="185"/>
      <c r="GN279" s="185"/>
      <c r="GO279" s="185"/>
      <c r="GP279" s="185"/>
      <c r="GQ279" s="185"/>
      <c r="GR279" s="185"/>
      <c r="GS279" s="185"/>
      <c r="GT279" s="185"/>
      <c r="GU279" s="185"/>
      <c r="GV279" s="185"/>
      <c r="GW279" s="185"/>
      <c r="GX279" s="185"/>
      <c r="GY279" s="185"/>
      <c r="GZ279" s="185"/>
      <c r="HA279" s="185"/>
      <c r="HB279" s="185"/>
      <c r="HC279" s="185"/>
      <c r="HD279" s="185"/>
      <c r="HE279" s="185"/>
      <c r="HF279" s="185"/>
      <c r="HG279" s="185"/>
      <c r="HH279" s="185"/>
      <c r="HI279" s="185"/>
      <c r="HJ279" s="185"/>
      <c r="HK279" s="185"/>
      <c r="HL279" s="185"/>
      <c r="HM279" s="185"/>
      <c r="HN279" s="185"/>
      <c r="HO279" s="185"/>
      <c r="HP279" s="185"/>
      <c r="HQ279" s="185"/>
      <c r="HR279" s="185"/>
      <c r="HS279" s="185"/>
      <c r="HT279" s="185"/>
      <c r="HU279" s="185"/>
      <c r="HV279" s="185"/>
      <c r="HW279" s="185"/>
      <c r="HX279" s="185"/>
      <c r="HY279" s="185"/>
      <c r="HZ279" s="185"/>
      <c r="IA279" s="185"/>
      <c r="IB279" s="185"/>
      <c r="IC279" s="185"/>
      <c r="ID279" s="185"/>
      <c r="IE279" s="185"/>
      <c r="IF279" s="185"/>
      <c r="IG279" s="185"/>
      <c r="IH279" s="185"/>
      <c r="II279" s="185"/>
      <c r="IJ279" s="185"/>
      <c r="IK279" s="185"/>
      <c r="IL279" s="185"/>
      <c r="IM279" s="185"/>
      <c r="IN279" s="185"/>
      <c r="IO279" s="185"/>
      <c r="IP279" s="185"/>
      <c r="IQ279" s="185"/>
      <c r="IR279" s="185"/>
      <c r="IS279" s="185"/>
      <c r="IT279" s="185"/>
      <c r="IU279" s="185"/>
      <c r="IV279" s="185"/>
    </row>
    <row r="280" spans="1:256" x14ac:dyDescent="0.25">
      <c r="A280" s="165" t="s">
        <v>707</v>
      </c>
      <c r="B280" s="165" t="s">
        <v>132</v>
      </c>
      <c r="C280" s="165" t="s">
        <v>133</v>
      </c>
      <c r="D280" s="165" t="s">
        <v>69</v>
      </c>
      <c r="E280" s="166">
        <v>1500000</v>
      </c>
      <c r="F280" s="166">
        <v>1500000</v>
      </c>
      <c r="G280" s="166">
        <v>1500000</v>
      </c>
      <c r="H280" s="166">
        <v>0</v>
      </c>
      <c r="I280" s="166">
        <v>500000</v>
      </c>
      <c r="J280" s="166">
        <v>0</v>
      </c>
      <c r="K280" s="166">
        <v>0</v>
      </c>
      <c r="L280" s="167">
        <f t="shared" si="0"/>
        <v>0</v>
      </c>
      <c r="M280" s="166">
        <v>0</v>
      </c>
      <c r="N280" s="168">
        <f t="shared" si="1"/>
        <v>0</v>
      </c>
      <c r="O280" s="166">
        <v>1000000</v>
      </c>
      <c r="P280" s="168">
        <f t="shared" si="2"/>
        <v>0.66666666666666663</v>
      </c>
      <c r="Q280" s="166">
        <v>1000000</v>
      </c>
      <c r="GM280" s="185"/>
      <c r="GN280" s="185"/>
      <c r="GO280" s="185"/>
      <c r="GP280" s="185"/>
      <c r="GQ280" s="185"/>
      <c r="GR280" s="185"/>
      <c r="GS280" s="185"/>
      <c r="GT280" s="185"/>
      <c r="GU280" s="185"/>
      <c r="GV280" s="185"/>
      <c r="GW280" s="185"/>
      <c r="GX280" s="185"/>
      <c r="GY280" s="185"/>
      <c r="GZ280" s="185"/>
      <c r="HA280" s="185"/>
      <c r="HB280" s="185"/>
      <c r="HC280" s="185"/>
      <c r="HD280" s="185"/>
      <c r="HE280" s="185"/>
      <c r="HF280" s="185"/>
      <c r="HG280" s="185"/>
      <c r="HH280" s="185"/>
      <c r="HI280" s="185"/>
      <c r="HJ280" s="185"/>
      <c r="HK280" s="185"/>
      <c r="HL280" s="185"/>
      <c r="HM280" s="185"/>
      <c r="HN280" s="185"/>
      <c r="HO280" s="185"/>
      <c r="HP280" s="185"/>
      <c r="HQ280" s="185"/>
      <c r="HR280" s="185"/>
      <c r="HS280" s="185"/>
      <c r="HT280" s="185"/>
      <c r="HU280" s="185"/>
      <c r="HV280" s="185"/>
      <c r="HW280" s="185"/>
      <c r="HX280" s="185"/>
      <c r="HY280" s="185"/>
      <c r="HZ280" s="185"/>
      <c r="IA280" s="185"/>
      <c r="IB280" s="185"/>
      <c r="IC280" s="185"/>
      <c r="ID280" s="185"/>
      <c r="IE280" s="185"/>
      <c r="IF280" s="185"/>
      <c r="IG280" s="185"/>
      <c r="IH280" s="185"/>
      <c r="II280" s="185"/>
      <c r="IJ280" s="185"/>
      <c r="IK280" s="185"/>
      <c r="IL280" s="185"/>
      <c r="IM280" s="185"/>
      <c r="IN280" s="185"/>
      <c r="IO280" s="185"/>
      <c r="IP280" s="185"/>
      <c r="IQ280" s="185"/>
      <c r="IR280" s="185"/>
      <c r="IS280" s="185"/>
      <c r="IT280" s="185"/>
      <c r="IU280" s="185"/>
      <c r="IV280" s="185"/>
    </row>
    <row r="281" spans="1:256" hidden="1" x14ac:dyDescent="0.25">
      <c r="A281" s="165" t="s">
        <v>707</v>
      </c>
      <c r="B281" s="165" t="s">
        <v>134</v>
      </c>
      <c r="C281" s="165" t="s">
        <v>135</v>
      </c>
      <c r="D281" s="165" t="s">
        <v>69</v>
      </c>
      <c r="E281" s="166">
        <v>312558343</v>
      </c>
      <c r="F281" s="166">
        <v>319872751</v>
      </c>
      <c r="G281" s="166">
        <v>319872751</v>
      </c>
      <c r="H281" s="166">
        <v>0</v>
      </c>
      <c r="I281" s="166">
        <v>96274125.150000006</v>
      </c>
      <c r="J281" s="166">
        <v>7174338.2400000002</v>
      </c>
      <c r="K281" s="166">
        <v>154951732.81</v>
      </c>
      <c r="L281" s="167">
        <f t="shared" si="0"/>
        <v>0.48441679488353795</v>
      </c>
      <c r="M281" s="166">
        <v>150766491.69</v>
      </c>
      <c r="N281" s="168">
        <f t="shared" si="1"/>
        <v>0.47133271345767114</v>
      </c>
      <c r="O281" s="166">
        <v>61472554.799999997</v>
      </c>
      <c r="P281" s="168">
        <f t="shared" si="2"/>
        <v>0.19217815399349222</v>
      </c>
      <c r="Q281" s="166">
        <v>61472554.799999997</v>
      </c>
      <c r="GM281" s="185"/>
      <c r="GN281" s="185"/>
      <c r="GO281" s="185"/>
      <c r="GP281" s="185"/>
      <c r="GQ281" s="185"/>
      <c r="GR281" s="185"/>
      <c r="GS281" s="185"/>
      <c r="GT281" s="185"/>
      <c r="GU281" s="185"/>
      <c r="GV281" s="185"/>
      <c r="GW281" s="185"/>
      <c r="GX281" s="185"/>
      <c r="GY281" s="185"/>
      <c r="GZ281" s="185"/>
      <c r="HA281" s="185"/>
      <c r="HB281" s="185"/>
      <c r="HC281" s="185"/>
      <c r="HD281" s="185"/>
      <c r="HE281" s="185"/>
      <c r="HF281" s="185"/>
      <c r="HG281" s="185"/>
      <c r="HH281" s="185"/>
      <c r="HI281" s="185"/>
      <c r="HJ281" s="185"/>
      <c r="HK281" s="185"/>
      <c r="HL281" s="185"/>
      <c r="HM281" s="185"/>
      <c r="HN281" s="185"/>
      <c r="HO281" s="185"/>
      <c r="HP281" s="185"/>
      <c r="HQ281" s="185"/>
      <c r="HR281" s="185"/>
      <c r="HS281" s="185"/>
      <c r="HT281" s="185"/>
      <c r="HU281" s="185"/>
      <c r="HV281" s="185"/>
      <c r="HW281" s="185"/>
      <c r="HX281" s="185"/>
      <c r="HY281" s="185"/>
      <c r="HZ281" s="185"/>
      <c r="IA281" s="185"/>
      <c r="IB281" s="185"/>
      <c r="IC281" s="185"/>
      <c r="ID281" s="185"/>
      <c r="IE281" s="185"/>
      <c r="IF281" s="185"/>
      <c r="IG281" s="185"/>
      <c r="IH281" s="185"/>
      <c r="II281" s="185"/>
      <c r="IJ281" s="185"/>
      <c r="IK281" s="185"/>
      <c r="IL281" s="185"/>
      <c r="IM281" s="185"/>
      <c r="IN281" s="185"/>
      <c r="IO281" s="185"/>
      <c r="IP281" s="185"/>
      <c r="IQ281" s="185"/>
      <c r="IR281" s="185"/>
      <c r="IS281" s="185"/>
      <c r="IT281" s="185"/>
      <c r="IU281" s="185"/>
      <c r="IV281" s="185"/>
    </row>
    <row r="282" spans="1:256" x14ac:dyDescent="0.25">
      <c r="A282" s="165" t="s">
        <v>707</v>
      </c>
      <c r="B282" s="165" t="s">
        <v>346</v>
      </c>
      <c r="C282" s="165" t="s">
        <v>347</v>
      </c>
      <c r="D282" s="165" t="s">
        <v>69</v>
      </c>
      <c r="E282" s="166">
        <v>34001608</v>
      </c>
      <c r="F282" s="166">
        <v>31001608</v>
      </c>
      <c r="G282" s="166">
        <v>31001608</v>
      </c>
      <c r="H282" s="166">
        <v>0</v>
      </c>
      <c r="I282" s="166">
        <v>671757.29</v>
      </c>
      <c r="J282" s="166">
        <v>0</v>
      </c>
      <c r="K282" s="166">
        <v>5800895.9900000002</v>
      </c>
      <c r="L282" s="167">
        <f t="shared" si="0"/>
        <v>0.18711597121026755</v>
      </c>
      <c r="M282" s="166">
        <v>5800895.9900000002</v>
      </c>
      <c r="N282" s="168">
        <f t="shared" si="1"/>
        <v>0.18711597121026755</v>
      </c>
      <c r="O282" s="166">
        <v>24528954.719999999</v>
      </c>
      <c r="P282" s="168">
        <f t="shared" si="2"/>
        <v>0.79121556275403515</v>
      </c>
      <c r="Q282" s="166">
        <v>24528954.719999999</v>
      </c>
      <c r="GM282" s="185"/>
      <c r="GN282" s="185"/>
      <c r="GO282" s="185"/>
      <c r="GP282" s="185"/>
      <c r="GQ282" s="185"/>
      <c r="GR282" s="185"/>
      <c r="GS282" s="185"/>
      <c r="GT282" s="185"/>
      <c r="GU282" s="185"/>
      <c r="GV282" s="185"/>
      <c r="GW282" s="185"/>
      <c r="GX282" s="185"/>
      <c r="GY282" s="185"/>
      <c r="GZ282" s="185"/>
      <c r="HA282" s="185"/>
      <c r="HB282" s="185"/>
      <c r="HC282" s="185"/>
      <c r="HD282" s="185"/>
      <c r="HE282" s="185"/>
      <c r="HF282" s="185"/>
      <c r="HG282" s="185"/>
      <c r="HH282" s="185"/>
      <c r="HI282" s="185"/>
      <c r="HJ282" s="185"/>
      <c r="HK282" s="185"/>
      <c r="HL282" s="185"/>
      <c r="HM282" s="185"/>
      <c r="HN282" s="185"/>
      <c r="HO282" s="185"/>
      <c r="HP282" s="185"/>
      <c r="HQ282" s="185"/>
      <c r="HR282" s="185"/>
      <c r="HS282" s="185"/>
      <c r="HT282" s="185"/>
      <c r="HU282" s="185"/>
      <c r="HV282" s="185"/>
      <c r="HW282" s="185"/>
      <c r="HX282" s="185"/>
      <c r="HY282" s="185"/>
      <c r="HZ282" s="185"/>
      <c r="IA282" s="185"/>
      <c r="IB282" s="185"/>
      <c r="IC282" s="185"/>
      <c r="ID282" s="185"/>
      <c r="IE282" s="185"/>
      <c r="IF282" s="185"/>
      <c r="IG282" s="185"/>
      <c r="IH282" s="185"/>
      <c r="II282" s="185"/>
      <c r="IJ282" s="185"/>
      <c r="IK282" s="185"/>
      <c r="IL282" s="185"/>
      <c r="IM282" s="185"/>
      <c r="IN282" s="185"/>
      <c r="IO282" s="185"/>
      <c r="IP282" s="185"/>
      <c r="IQ282" s="185"/>
      <c r="IR282" s="185"/>
      <c r="IS282" s="185"/>
      <c r="IT282" s="185"/>
      <c r="IU282" s="185"/>
      <c r="IV282" s="185"/>
    </row>
    <row r="283" spans="1:256" hidden="1" x14ac:dyDescent="0.25">
      <c r="A283" s="165" t="s">
        <v>707</v>
      </c>
      <c r="B283" s="165" t="s">
        <v>308</v>
      </c>
      <c r="C283" s="165" t="s">
        <v>309</v>
      </c>
      <c r="D283" s="165" t="s">
        <v>69</v>
      </c>
      <c r="E283" s="166">
        <v>95000000</v>
      </c>
      <c r="F283" s="166">
        <v>95000000</v>
      </c>
      <c r="G283" s="166">
        <v>95000000</v>
      </c>
      <c r="H283" s="166">
        <v>0</v>
      </c>
      <c r="I283" s="166">
        <v>56132143.729999997</v>
      </c>
      <c r="J283" s="166">
        <v>0</v>
      </c>
      <c r="K283" s="166">
        <v>38381455.700000003</v>
      </c>
      <c r="L283" s="167">
        <f t="shared" si="0"/>
        <v>0.40401532315789479</v>
      </c>
      <c r="M283" s="166">
        <v>34196214.579999998</v>
      </c>
      <c r="N283" s="168">
        <f t="shared" si="1"/>
        <v>0.35996015347368421</v>
      </c>
      <c r="O283" s="166">
        <v>486400.57</v>
      </c>
      <c r="P283" s="168">
        <f t="shared" si="2"/>
        <v>5.1200059999999999E-3</v>
      </c>
      <c r="Q283" s="166">
        <v>486400.57</v>
      </c>
      <c r="GM283" s="185"/>
      <c r="GN283" s="185"/>
      <c r="GO283" s="185"/>
      <c r="GP283" s="185"/>
      <c r="GQ283" s="185"/>
      <c r="GR283" s="185"/>
      <c r="GS283" s="185"/>
      <c r="GT283" s="185"/>
      <c r="GU283" s="185"/>
      <c r="GV283" s="185"/>
      <c r="GW283" s="185"/>
      <c r="GX283" s="185"/>
      <c r="GY283" s="185"/>
      <c r="GZ283" s="185"/>
      <c r="HA283" s="185"/>
      <c r="HB283" s="185"/>
      <c r="HC283" s="185"/>
      <c r="HD283" s="185"/>
      <c r="HE283" s="185"/>
      <c r="HF283" s="185"/>
      <c r="HG283" s="185"/>
      <c r="HH283" s="185"/>
      <c r="HI283" s="185"/>
      <c r="HJ283" s="185"/>
      <c r="HK283" s="185"/>
      <c r="HL283" s="185"/>
      <c r="HM283" s="185"/>
      <c r="HN283" s="185"/>
      <c r="HO283" s="185"/>
      <c r="HP283" s="185"/>
      <c r="HQ283" s="185"/>
      <c r="HR283" s="185"/>
      <c r="HS283" s="185"/>
      <c r="HT283" s="185"/>
      <c r="HU283" s="185"/>
      <c r="HV283" s="185"/>
      <c r="HW283" s="185"/>
      <c r="HX283" s="185"/>
      <c r="HY283" s="185"/>
      <c r="HZ283" s="185"/>
      <c r="IA283" s="185"/>
      <c r="IB283" s="185"/>
      <c r="IC283" s="185"/>
      <c r="ID283" s="185"/>
      <c r="IE283" s="185"/>
      <c r="IF283" s="185"/>
      <c r="IG283" s="185"/>
      <c r="IH283" s="185"/>
      <c r="II283" s="185"/>
      <c r="IJ283" s="185"/>
      <c r="IK283" s="185"/>
      <c r="IL283" s="185"/>
      <c r="IM283" s="185"/>
      <c r="IN283" s="185"/>
      <c r="IO283" s="185"/>
      <c r="IP283" s="185"/>
      <c r="IQ283" s="185"/>
      <c r="IR283" s="185"/>
      <c r="IS283" s="185"/>
      <c r="IT283" s="185"/>
      <c r="IU283" s="185"/>
      <c r="IV283" s="185"/>
    </row>
    <row r="284" spans="1:256" hidden="1" x14ac:dyDescent="0.25">
      <c r="A284" s="165" t="s">
        <v>707</v>
      </c>
      <c r="B284" s="165" t="s">
        <v>136</v>
      </c>
      <c r="C284" s="165" t="s">
        <v>137</v>
      </c>
      <c r="D284" s="165" t="s">
        <v>69</v>
      </c>
      <c r="E284" s="166">
        <v>131200000</v>
      </c>
      <c r="F284" s="166">
        <v>141514408</v>
      </c>
      <c r="G284" s="166">
        <v>141514408</v>
      </c>
      <c r="H284" s="166">
        <v>0</v>
      </c>
      <c r="I284" s="166">
        <v>28967653.75</v>
      </c>
      <c r="J284" s="166">
        <v>0</v>
      </c>
      <c r="K284" s="166">
        <v>83562548.849999994</v>
      </c>
      <c r="L284" s="167">
        <f t="shared" si="0"/>
        <v>0.59048792296823938</v>
      </c>
      <c r="M284" s="166">
        <v>83562548.849999994</v>
      </c>
      <c r="N284" s="168">
        <f t="shared" si="1"/>
        <v>0.59048792296823938</v>
      </c>
      <c r="O284" s="166">
        <v>28984205.399999999</v>
      </c>
      <c r="P284" s="168">
        <f t="shared" si="2"/>
        <v>0.20481451895696726</v>
      </c>
      <c r="Q284" s="166">
        <v>28984205.399999999</v>
      </c>
      <c r="GM284" s="185"/>
      <c r="GN284" s="185"/>
      <c r="GO284" s="185"/>
      <c r="GP284" s="185"/>
      <c r="GQ284" s="185"/>
      <c r="GR284" s="185"/>
      <c r="GS284" s="185"/>
      <c r="GT284" s="185"/>
      <c r="GU284" s="185"/>
      <c r="GV284" s="185"/>
      <c r="GW284" s="185"/>
      <c r="GX284" s="185"/>
      <c r="GY284" s="185"/>
      <c r="GZ284" s="185"/>
      <c r="HA284" s="185"/>
      <c r="HB284" s="185"/>
      <c r="HC284" s="185"/>
      <c r="HD284" s="185"/>
      <c r="HE284" s="185"/>
      <c r="HF284" s="185"/>
      <c r="HG284" s="185"/>
      <c r="HH284" s="185"/>
      <c r="HI284" s="185"/>
      <c r="HJ284" s="185"/>
      <c r="HK284" s="185"/>
      <c r="HL284" s="185"/>
      <c r="HM284" s="185"/>
      <c r="HN284" s="185"/>
      <c r="HO284" s="185"/>
      <c r="HP284" s="185"/>
      <c r="HQ284" s="185"/>
      <c r="HR284" s="185"/>
      <c r="HS284" s="185"/>
      <c r="HT284" s="185"/>
      <c r="HU284" s="185"/>
      <c r="HV284" s="185"/>
      <c r="HW284" s="185"/>
      <c r="HX284" s="185"/>
      <c r="HY284" s="185"/>
      <c r="HZ284" s="185"/>
      <c r="IA284" s="185"/>
      <c r="IB284" s="185"/>
      <c r="IC284" s="185"/>
      <c r="ID284" s="185"/>
      <c r="IE284" s="185"/>
      <c r="IF284" s="185"/>
      <c r="IG284" s="185"/>
      <c r="IH284" s="185"/>
      <c r="II284" s="185"/>
      <c r="IJ284" s="185"/>
      <c r="IK284" s="185"/>
      <c r="IL284" s="185"/>
      <c r="IM284" s="185"/>
      <c r="IN284" s="185"/>
      <c r="IO284" s="185"/>
      <c r="IP284" s="185"/>
      <c r="IQ284" s="185"/>
      <c r="IR284" s="185"/>
      <c r="IS284" s="185"/>
      <c r="IT284" s="185"/>
      <c r="IU284" s="185"/>
      <c r="IV284" s="185"/>
    </row>
    <row r="285" spans="1:256" hidden="1" x14ac:dyDescent="0.25">
      <c r="A285" s="165" t="s">
        <v>707</v>
      </c>
      <c r="B285" s="165" t="s">
        <v>138</v>
      </c>
      <c r="C285" s="165" t="s">
        <v>139</v>
      </c>
      <c r="D285" s="165" t="s">
        <v>69</v>
      </c>
      <c r="E285" s="166">
        <v>52356735</v>
      </c>
      <c r="F285" s="166">
        <v>52356735</v>
      </c>
      <c r="G285" s="166">
        <v>52356735</v>
      </c>
      <c r="H285" s="166">
        <v>0</v>
      </c>
      <c r="I285" s="166">
        <v>10502570.380000001</v>
      </c>
      <c r="J285" s="166">
        <v>7174338.2400000002</v>
      </c>
      <c r="K285" s="166">
        <v>27206832.27</v>
      </c>
      <c r="L285" s="167">
        <f t="shared" si="0"/>
        <v>0.51964340920036356</v>
      </c>
      <c r="M285" s="166">
        <v>27206832.27</v>
      </c>
      <c r="N285" s="168">
        <f t="shared" si="1"/>
        <v>0.51964340920036356</v>
      </c>
      <c r="O285" s="166">
        <v>7472994.1100000003</v>
      </c>
      <c r="P285" s="168">
        <f t="shared" si="2"/>
        <v>0.14273224084733321</v>
      </c>
      <c r="Q285" s="166">
        <v>7472994.1100000003</v>
      </c>
      <c r="GM285" s="185"/>
      <c r="GN285" s="185"/>
      <c r="GO285" s="185"/>
      <c r="GP285" s="185"/>
      <c r="GQ285" s="185"/>
      <c r="GR285" s="185"/>
      <c r="GS285" s="185"/>
      <c r="GT285" s="185"/>
      <c r="GU285" s="185"/>
      <c r="GV285" s="185"/>
      <c r="GW285" s="185"/>
      <c r="GX285" s="185"/>
      <c r="GY285" s="185"/>
      <c r="GZ285" s="185"/>
      <c r="HA285" s="185"/>
      <c r="HB285" s="185"/>
      <c r="HC285" s="185"/>
      <c r="HD285" s="185"/>
      <c r="HE285" s="185"/>
      <c r="HF285" s="185"/>
      <c r="HG285" s="185"/>
      <c r="HH285" s="185"/>
      <c r="HI285" s="185"/>
      <c r="HJ285" s="185"/>
      <c r="HK285" s="185"/>
      <c r="HL285" s="185"/>
      <c r="HM285" s="185"/>
      <c r="HN285" s="185"/>
      <c r="HO285" s="185"/>
      <c r="HP285" s="185"/>
      <c r="HQ285" s="185"/>
      <c r="HR285" s="185"/>
      <c r="HS285" s="185"/>
      <c r="HT285" s="185"/>
      <c r="HU285" s="185"/>
      <c r="HV285" s="185"/>
      <c r="HW285" s="185"/>
      <c r="HX285" s="185"/>
      <c r="HY285" s="185"/>
      <c r="HZ285" s="185"/>
      <c r="IA285" s="185"/>
      <c r="IB285" s="185"/>
      <c r="IC285" s="185"/>
      <c r="ID285" s="185"/>
      <c r="IE285" s="185"/>
      <c r="IF285" s="185"/>
      <c r="IG285" s="185"/>
      <c r="IH285" s="185"/>
      <c r="II285" s="185"/>
      <c r="IJ285" s="185"/>
      <c r="IK285" s="185"/>
      <c r="IL285" s="185"/>
      <c r="IM285" s="185"/>
      <c r="IN285" s="185"/>
      <c r="IO285" s="185"/>
      <c r="IP285" s="185"/>
      <c r="IQ285" s="185"/>
      <c r="IR285" s="185"/>
      <c r="IS285" s="185"/>
      <c r="IT285" s="185"/>
      <c r="IU285" s="185"/>
      <c r="IV285" s="185"/>
    </row>
    <row r="286" spans="1:256" hidden="1" x14ac:dyDescent="0.25">
      <c r="A286" s="165" t="s">
        <v>707</v>
      </c>
      <c r="B286" s="165" t="s">
        <v>140</v>
      </c>
      <c r="C286" s="165" t="s">
        <v>141</v>
      </c>
      <c r="D286" s="165" t="s">
        <v>69</v>
      </c>
      <c r="E286" s="166">
        <v>134000000</v>
      </c>
      <c r="F286" s="166">
        <v>134000000</v>
      </c>
      <c r="G286" s="166">
        <v>134000000</v>
      </c>
      <c r="H286" s="166">
        <v>0</v>
      </c>
      <c r="I286" s="166">
        <v>18212169</v>
      </c>
      <c r="J286" s="166">
        <v>0</v>
      </c>
      <c r="K286" s="166">
        <v>43253813</v>
      </c>
      <c r="L286" s="167">
        <f t="shared" si="0"/>
        <v>0.32278964925373133</v>
      </c>
      <c r="M286" s="166">
        <v>43054813</v>
      </c>
      <c r="N286" s="168">
        <f t="shared" si="1"/>
        <v>0.32130457462686568</v>
      </c>
      <c r="O286" s="166">
        <v>72534018</v>
      </c>
      <c r="P286" s="168">
        <f t="shared" si="2"/>
        <v>0.54129864179104481</v>
      </c>
      <c r="Q286" s="166">
        <v>72534018</v>
      </c>
      <c r="GM286" s="185"/>
      <c r="GN286" s="185"/>
      <c r="GO286" s="185"/>
      <c r="GP286" s="185"/>
      <c r="GQ286" s="185"/>
      <c r="GR286" s="185"/>
      <c r="GS286" s="185"/>
      <c r="GT286" s="185"/>
      <c r="GU286" s="185"/>
      <c r="GV286" s="185"/>
      <c r="GW286" s="185"/>
      <c r="GX286" s="185"/>
      <c r="GY286" s="185"/>
      <c r="GZ286" s="185"/>
      <c r="HA286" s="185"/>
      <c r="HB286" s="185"/>
      <c r="HC286" s="185"/>
      <c r="HD286" s="185"/>
      <c r="HE286" s="185"/>
      <c r="HF286" s="185"/>
      <c r="HG286" s="185"/>
      <c r="HH286" s="185"/>
      <c r="HI286" s="185"/>
      <c r="HJ286" s="185"/>
      <c r="HK286" s="185"/>
      <c r="HL286" s="185"/>
      <c r="HM286" s="185"/>
      <c r="HN286" s="185"/>
      <c r="HO286" s="185"/>
      <c r="HP286" s="185"/>
      <c r="HQ286" s="185"/>
      <c r="HR286" s="185"/>
      <c r="HS286" s="185"/>
      <c r="HT286" s="185"/>
      <c r="HU286" s="185"/>
      <c r="HV286" s="185"/>
      <c r="HW286" s="185"/>
      <c r="HX286" s="185"/>
      <c r="HY286" s="185"/>
      <c r="HZ286" s="185"/>
      <c r="IA286" s="185"/>
      <c r="IB286" s="185"/>
      <c r="IC286" s="185"/>
      <c r="ID286" s="185"/>
      <c r="IE286" s="185"/>
      <c r="IF286" s="185"/>
      <c r="IG286" s="185"/>
      <c r="IH286" s="185"/>
      <c r="II286" s="185"/>
      <c r="IJ286" s="185"/>
      <c r="IK286" s="185"/>
      <c r="IL286" s="185"/>
      <c r="IM286" s="185"/>
      <c r="IN286" s="185"/>
      <c r="IO286" s="185"/>
      <c r="IP286" s="185"/>
      <c r="IQ286" s="185"/>
      <c r="IR286" s="185"/>
      <c r="IS286" s="185"/>
      <c r="IT286" s="185"/>
      <c r="IU286" s="185"/>
      <c r="IV286" s="185"/>
    </row>
    <row r="287" spans="1:256" hidden="1" x14ac:dyDescent="0.25">
      <c r="A287" s="165" t="s">
        <v>707</v>
      </c>
      <c r="B287" s="165" t="s">
        <v>142</v>
      </c>
      <c r="C287" s="165" t="s">
        <v>143</v>
      </c>
      <c r="D287" s="165" t="s">
        <v>69</v>
      </c>
      <c r="E287" s="166">
        <v>4000000</v>
      </c>
      <c r="F287" s="166">
        <v>4000000</v>
      </c>
      <c r="G287" s="166">
        <v>4000000</v>
      </c>
      <c r="H287" s="166">
        <v>0</v>
      </c>
      <c r="I287" s="166">
        <v>921451</v>
      </c>
      <c r="J287" s="166">
        <v>0</v>
      </c>
      <c r="K287" s="166">
        <v>1078549</v>
      </c>
      <c r="L287" s="167">
        <f t="shared" si="0"/>
        <v>0.26963724999999999</v>
      </c>
      <c r="M287" s="166">
        <v>1078549</v>
      </c>
      <c r="N287" s="168">
        <f t="shared" si="1"/>
        <v>0.26963724999999999</v>
      </c>
      <c r="O287" s="166">
        <v>2000000</v>
      </c>
      <c r="P287" s="168">
        <f t="shared" si="2"/>
        <v>0.5</v>
      </c>
      <c r="Q287" s="166">
        <v>2000000</v>
      </c>
      <c r="GM287" s="185"/>
      <c r="GN287" s="185"/>
      <c r="GO287" s="185"/>
      <c r="GP287" s="185"/>
      <c r="GQ287" s="185"/>
      <c r="GR287" s="185"/>
      <c r="GS287" s="185"/>
      <c r="GT287" s="185"/>
      <c r="GU287" s="185"/>
      <c r="GV287" s="185"/>
      <c r="GW287" s="185"/>
      <c r="GX287" s="185"/>
      <c r="GY287" s="185"/>
      <c r="GZ287" s="185"/>
      <c r="HA287" s="185"/>
      <c r="HB287" s="185"/>
      <c r="HC287" s="185"/>
      <c r="HD287" s="185"/>
      <c r="HE287" s="185"/>
      <c r="HF287" s="185"/>
      <c r="HG287" s="185"/>
      <c r="HH287" s="185"/>
      <c r="HI287" s="185"/>
      <c r="HJ287" s="185"/>
      <c r="HK287" s="185"/>
      <c r="HL287" s="185"/>
      <c r="HM287" s="185"/>
      <c r="HN287" s="185"/>
      <c r="HO287" s="185"/>
      <c r="HP287" s="185"/>
      <c r="HQ287" s="185"/>
      <c r="HR287" s="185"/>
      <c r="HS287" s="185"/>
      <c r="HT287" s="185"/>
      <c r="HU287" s="185"/>
      <c r="HV287" s="185"/>
      <c r="HW287" s="185"/>
      <c r="HX287" s="185"/>
      <c r="HY287" s="185"/>
      <c r="HZ287" s="185"/>
      <c r="IA287" s="185"/>
      <c r="IB287" s="185"/>
      <c r="IC287" s="185"/>
      <c r="ID287" s="185"/>
      <c r="IE287" s="185"/>
      <c r="IF287" s="185"/>
      <c r="IG287" s="185"/>
      <c r="IH287" s="185"/>
      <c r="II287" s="185"/>
      <c r="IJ287" s="185"/>
      <c r="IK287" s="185"/>
      <c r="IL287" s="185"/>
      <c r="IM287" s="185"/>
      <c r="IN287" s="185"/>
      <c r="IO287" s="185"/>
      <c r="IP287" s="185"/>
      <c r="IQ287" s="185"/>
      <c r="IR287" s="185"/>
      <c r="IS287" s="185"/>
      <c r="IT287" s="185"/>
      <c r="IU287" s="185"/>
      <c r="IV287" s="185"/>
    </row>
    <row r="288" spans="1:256" hidden="1" x14ac:dyDescent="0.25">
      <c r="A288" s="165" t="s">
        <v>707</v>
      </c>
      <c r="B288" s="165" t="s">
        <v>144</v>
      </c>
      <c r="C288" s="165" t="s">
        <v>145</v>
      </c>
      <c r="D288" s="165" t="s">
        <v>69</v>
      </c>
      <c r="E288" s="166">
        <v>130000000</v>
      </c>
      <c r="F288" s="166">
        <v>130000000</v>
      </c>
      <c r="G288" s="166">
        <v>130000000</v>
      </c>
      <c r="H288" s="166">
        <v>0</v>
      </c>
      <c r="I288" s="166">
        <v>17290718</v>
      </c>
      <c r="J288" s="166">
        <v>0</v>
      </c>
      <c r="K288" s="166">
        <v>42175264</v>
      </c>
      <c r="L288" s="167">
        <f t="shared" si="0"/>
        <v>0.3244251076923077</v>
      </c>
      <c r="M288" s="166">
        <v>41976264</v>
      </c>
      <c r="N288" s="168">
        <f t="shared" si="1"/>
        <v>0.32289433846153848</v>
      </c>
      <c r="O288" s="166">
        <v>70534018</v>
      </c>
      <c r="P288" s="168">
        <f t="shared" si="2"/>
        <v>0.54256936923076926</v>
      </c>
      <c r="Q288" s="166">
        <v>70534018</v>
      </c>
      <c r="GM288" s="185"/>
      <c r="GN288" s="185"/>
      <c r="GO288" s="185"/>
      <c r="GP288" s="185"/>
      <c r="GQ288" s="185"/>
      <c r="GR288" s="185"/>
      <c r="GS288" s="185"/>
      <c r="GT288" s="185"/>
      <c r="GU288" s="185"/>
      <c r="GV288" s="185"/>
      <c r="GW288" s="185"/>
      <c r="GX288" s="185"/>
      <c r="GY288" s="185"/>
      <c r="GZ288" s="185"/>
      <c r="HA288" s="185"/>
      <c r="HB288" s="185"/>
      <c r="HC288" s="185"/>
      <c r="HD288" s="185"/>
      <c r="HE288" s="185"/>
      <c r="HF288" s="185"/>
      <c r="HG288" s="185"/>
      <c r="HH288" s="185"/>
      <c r="HI288" s="185"/>
      <c r="HJ288" s="185"/>
      <c r="HK288" s="185"/>
      <c r="HL288" s="185"/>
      <c r="HM288" s="185"/>
      <c r="HN288" s="185"/>
      <c r="HO288" s="185"/>
      <c r="HP288" s="185"/>
      <c r="HQ288" s="185"/>
      <c r="HR288" s="185"/>
      <c r="HS288" s="185"/>
      <c r="HT288" s="185"/>
      <c r="HU288" s="185"/>
      <c r="HV288" s="185"/>
      <c r="HW288" s="185"/>
      <c r="HX288" s="185"/>
      <c r="HY288" s="185"/>
      <c r="HZ288" s="185"/>
      <c r="IA288" s="185"/>
      <c r="IB288" s="185"/>
      <c r="IC288" s="185"/>
      <c r="ID288" s="185"/>
      <c r="IE288" s="185"/>
      <c r="IF288" s="185"/>
      <c r="IG288" s="185"/>
      <c r="IH288" s="185"/>
      <c r="II288" s="185"/>
      <c r="IJ288" s="185"/>
      <c r="IK288" s="185"/>
      <c r="IL288" s="185"/>
      <c r="IM288" s="185"/>
      <c r="IN288" s="185"/>
      <c r="IO288" s="185"/>
      <c r="IP288" s="185"/>
      <c r="IQ288" s="185"/>
      <c r="IR288" s="185"/>
      <c r="IS288" s="185"/>
      <c r="IT288" s="185"/>
      <c r="IU288" s="185"/>
      <c r="IV288" s="185"/>
    </row>
    <row r="289" spans="1:256" hidden="1" x14ac:dyDescent="0.25">
      <c r="A289" s="165" t="s">
        <v>707</v>
      </c>
      <c r="B289" s="165" t="s">
        <v>150</v>
      </c>
      <c r="C289" s="165" t="s">
        <v>151</v>
      </c>
      <c r="D289" s="165" t="s">
        <v>69</v>
      </c>
      <c r="E289" s="166">
        <v>1300000000</v>
      </c>
      <c r="F289" s="166">
        <v>1300000000</v>
      </c>
      <c r="G289" s="166">
        <v>1174662049.8800001</v>
      </c>
      <c r="H289" s="166">
        <v>0</v>
      </c>
      <c r="I289" s="166">
        <v>345277102.69999999</v>
      </c>
      <c r="J289" s="166">
        <v>0</v>
      </c>
      <c r="K289" s="166">
        <v>817529536</v>
      </c>
      <c r="L289" s="167">
        <f t="shared" si="0"/>
        <v>0.62886887384615386</v>
      </c>
      <c r="M289" s="166">
        <v>1748760</v>
      </c>
      <c r="N289" s="168">
        <f t="shared" si="1"/>
        <v>1.3452E-3</v>
      </c>
      <c r="O289" s="166">
        <v>137193361.30000001</v>
      </c>
      <c r="P289" s="168">
        <f t="shared" si="2"/>
        <v>0.10553335484615385</v>
      </c>
      <c r="Q289" s="166">
        <v>11855411.18</v>
      </c>
      <c r="GM289" s="185"/>
      <c r="GN289" s="185"/>
      <c r="GO289" s="185"/>
      <c r="GP289" s="185"/>
      <c r="GQ289" s="185"/>
      <c r="GR289" s="185"/>
      <c r="GS289" s="185"/>
      <c r="GT289" s="185"/>
      <c r="GU289" s="185"/>
      <c r="GV289" s="185"/>
      <c r="GW289" s="185"/>
      <c r="GX289" s="185"/>
      <c r="GY289" s="185"/>
      <c r="GZ289" s="185"/>
      <c r="HA289" s="185"/>
      <c r="HB289" s="185"/>
      <c r="HC289" s="185"/>
      <c r="HD289" s="185"/>
      <c r="HE289" s="185"/>
      <c r="HF289" s="185"/>
      <c r="HG289" s="185"/>
      <c r="HH289" s="185"/>
      <c r="HI289" s="185"/>
      <c r="HJ289" s="185"/>
      <c r="HK289" s="185"/>
      <c r="HL289" s="185"/>
      <c r="HM289" s="185"/>
      <c r="HN289" s="185"/>
      <c r="HO289" s="185"/>
      <c r="HP289" s="185"/>
      <c r="HQ289" s="185"/>
      <c r="HR289" s="185"/>
      <c r="HS289" s="185"/>
      <c r="HT289" s="185"/>
      <c r="HU289" s="185"/>
      <c r="HV289" s="185"/>
      <c r="HW289" s="185"/>
      <c r="HX289" s="185"/>
      <c r="HY289" s="185"/>
      <c r="HZ289" s="185"/>
      <c r="IA289" s="185"/>
      <c r="IB289" s="185"/>
      <c r="IC289" s="185"/>
      <c r="ID289" s="185"/>
      <c r="IE289" s="185"/>
      <c r="IF289" s="185"/>
      <c r="IG289" s="185"/>
      <c r="IH289" s="185"/>
      <c r="II289" s="185"/>
      <c r="IJ289" s="185"/>
      <c r="IK289" s="185"/>
      <c r="IL289" s="185"/>
      <c r="IM289" s="185"/>
      <c r="IN289" s="185"/>
      <c r="IO289" s="185"/>
      <c r="IP289" s="185"/>
      <c r="IQ289" s="185"/>
      <c r="IR289" s="185"/>
      <c r="IS289" s="185"/>
      <c r="IT289" s="185"/>
      <c r="IU289" s="185"/>
      <c r="IV289" s="185"/>
    </row>
    <row r="290" spans="1:256" hidden="1" x14ac:dyDescent="0.25">
      <c r="A290" s="165" t="s">
        <v>707</v>
      </c>
      <c r="B290" s="165" t="s">
        <v>152</v>
      </c>
      <c r="C290" s="165" t="s">
        <v>153</v>
      </c>
      <c r="D290" s="165" t="s">
        <v>69</v>
      </c>
      <c r="E290" s="166">
        <v>1300000000</v>
      </c>
      <c r="F290" s="166">
        <v>1300000000</v>
      </c>
      <c r="G290" s="166">
        <v>1174662049.8800001</v>
      </c>
      <c r="H290" s="166">
        <v>0</v>
      </c>
      <c r="I290" s="166">
        <v>345277102.69999999</v>
      </c>
      <c r="J290" s="166">
        <v>0</v>
      </c>
      <c r="K290" s="166">
        <v>817529536</v>
      </c>
      <c r="L290" s="167">
        <f t="shared" si="0"/>
        <v>0.62886887384615386</v>
      </c>
      <c r="M290" s="166">
        <v>1748760</v>
      </c>
      <c r="N290" s="168">
        <f t="shared" si="1"/>
        <v>1.3452E-3</v>
      </c>
      <c r="O290" s="166">
        <v>137193361.30000001</v>
      </c>
      <c r="P290" s="168">
        <f t="shared" si="2"/>
        <v>0.10553335484615385</v>
      </c>
      <c r="Q290" s="166">
        <v>11855411.18</v>
      </c>
      <c r="GM290" s="185"/>
      <c r="GN290" s="185"/>
      <c r="GO290" s="185"/>
      <c r="GP290" s="185"/>
      <c r="GQ290" s="185"/>
      <c r="GR290" s="185"/>
      <c r="GS290" s="185"/>
      <c r="GT290" s="185"/>
      <c r="GU290" s="185"/>
      <c r="GV290" s="185"/>
      <c r="GW290" s="185"/>
      <c r="GX290" s="185"/>
      <c r="GY290" s="185"/>
      <c r="GZ290" s="185"/>
      <c r="HA290" s="185"/>
      <c r="HB290" s="185"/>
      <c r="HC290" s="185"/>
      <c r="HD290" s="185"/>
      <c r="HE290" s="185"/>
      <c r="HF290" s="185"/>
      <c r="HG290" s="185"/>
      <c r="HH290" s="185"/>
      <c r="HI290" s="185"/>
      <c r="HJ290" s="185"/>
      <c r="HK290" s="185"/>
      <c r="HL290" s="185"/>
      <c r="HM290" s="185"/>
      <c r="HN290" s="185"/>
      <c r="HO290" s="185"/>
      <c r="HP290" s="185"/>
      <c r="HQ290" s="185"/>
      <c r="HR290" s="185"/>
      <c r="HS290" s="185"/>
      <c r="HT290" s="185"/>
      <c r="HU290" s="185"/>
      <c r="HV290" s="185"/>
      <c r="HW290" s="185"/>
      <c r="HX290" s="185"/>
      <c r="HY290" s="185"/>
      <c r="HZ290" s="185"/>
      <c r="IA290" s="185"/>
      <c r="IB290" s="185"/>
      <c r="IC290" s="185"/>
      <c r="ID290" s="185"/>
      <c r="IE290" s="185"/>
      <c r="IF290" s="185"/>
      <c r="IG290" s="185"/>
      <c r="IH290" s="185"/>
      <c r="II290" s="185"/>
      <c r="IJ290" s="185"/>
      <c r="IK290" s="185"/>
      <c r="IL290" s="185"/>
      <c r="IM290" s="185"/>
      <c r="IN290" s="185"/>
      <c r="IO290" s="185"/>
      <c r="IP290" s="185"/>
      <c r="IQ290" s="185"/>
      <c r="IR290" s="185"/>
      <c r="IS290" s="185"/>
      <c r="IT290" s="185"/>
      <c r="IU290" s="185"/>
      <c r="IV290" s="185"/>
    </row>
    <row r="291" spans="1:256" hidden="1" x14ac:dyDescent="0.25">
      <c r="A291" s="165" t="s">
        <v>707</v>
      </c>
      <c r="B291" s="165" t="s">
        <v>154</v>
      </c>
      <c r="C291" s="165" t="s">
        <v>155</v>
      </c>
      <c r="D291" s="165" t="s">
        <v>69</v>
      </c>
      <c r="E291" s="166">
        <v>5000000</v>
      </c>
      <c r="F291" s="166">
        <v>1303100</v>
      </c>
      <c r="G291" s="166">
        <v>1303100</v>
      </c>
      <c r="H291" s="166">
        <v>0</v>
      </c>
      <c r="I291" s="166">
        <v>1009800</v>
      </c>
      <c r="J291" s="166">
        <v>0</v>
      </c>
      <c r="K291" s="166">
        <v>158100</v>
      </c>
      <c r="L291" s="167">
        <f t="shared" si="0"/>
        <v>0.12132606860563272</v>
      </c>
      <c r="M291" s="166">
        <v>158100</v>
      </c>
      <c r="N291" s="168">
        <f t="shared" si="1"/>
        <v>0.12132606860563272</v>
      </c>
      <c r="O291" s="166">
        <v>135200</v>
      </c>
      <c r="P291" s="168">
        <f t="shared" si="2"/>
        <v>0.10375258997774538</v>
      </c>
      <c r="Q291" s="166">
        <v>135200</v>
      </c>
      <c r="GM291" s="185"/>
      <c r="GN291" s="185"/>
      <c r="GO291" s="185"/>
      <c r="GP291" s="185"/>
      <c r="GQ291" s="185"/>
      <c r="GR291" s="185"/>
      <c r="GS291" s="185"/>
      <c r="GT291" s="185"/>
      <c r="GU291" s="185"/>
      <c r="GV291" s="185"/>
      <c r="GW291" s="185"/>
      <c r="GX291" s="185"/>
      <c r="GY291" s="185"/>
      <c r="GZ291" s="185"/>
      <c r="HA291" s="185"/>
      <c r="HB291" s="185"/>
      <c r="HC291" s="185"/>
      <c r="HD291" s="185"/>
      <c r="HE291" s="185"/>
      <c r="HF291" s="185"/>
      <c r="HG291" s="185"/>
      <c r="HH291" s="185"/>
      <c r="HI291" s="185"/>
      <c r="HJ291" s="185"/>
      <c r="HK291" s="185"/>
      <c r="HL291" s="185"/>
      <c r="HM291" s="185"/>
      <c r="HN291" s="185"/>
      <c r="HO291" s="185"/>
      <c r="HP291" s="185"/>
      <c r="HQ291" s="185"/>
      <c r="HR291" s="185"/>
      <c r="HS291" s="185"/>
      <c r="HT291" s="185"/>
      <c r="HU291" s="185"/>
      <c r="HV291" s="185"/>
      <c r="HW291" s="185"/>
      <c r="HX291" s="185"/>
      <c r="HY291" s="185"/>
      <c r="HZ291" s="185"/>
      <c r="IA291" s="185"/>
      <c r="IB291" s="185"/>
      <c r="IC291" s="185"/>
      <c r="ID291" s="185"/>
      <c r="IE291" s="185"/>
      <c r="IF291" s="185"/>
      <c r="IG291" s="185"/>
      <c r="IH291" s="185"/>
      <c r="II291" s="185"/>
      <c r="IJ291" s="185"/>
      <c r="IK291" s="185"/>
      <c r="IL291" s="185"/>
      <c r="IM291" s="185"/>
      <c r="IN291" s="185"/>
      <c r="IO291" s="185"/>
      <c r="IP291" s="185"/>
      <c r="IQ291" s="185"/>
      <c r="IR291" s="185"/>
      <c r="IS291" s="185"/>
      <c r="IT291" s="185"/>
      <c r="IU291" s="185"/>
      <c r="IV291" s="185"/>
    </row>
    <row r="292" spans="1:256" hidden="1" x14ac:dyDescent="0.25">
      <c r="A292" s="165" t="s">
        <v>707</v>
      </c>
      <c r="B292" s="165" t="s">
        <v>156</v>
      </c>
      <c r="C292" s="165" t="s">
        <v>157</v>
      </c>
      <c r="D292" s="165" t="s">
        <v>69</v>
      </c>
      <c r="E292" s="166">
        <v>5000000</v>
      </c>
      <c r="F292" s="166">
        <v>1303100</v>
      </c>
      <c r="G292" s="166">
        <v>1303100</v>
      </c>
      <c r="H292" s="166">
        <v>0</v>
      </c>
      <c r="I292" s="166">
        <v>1009800</v>
      </c>
      <c r="J292" s="166">
        <v>0</v>
      </c>
      <c r="K292" s="166">
        <v>158100</v>
      </c>
      <c r="L292" s="167">
        <f t="shared" si="0"/>
        <v>0.12132606860563272</v>
      </c>
      <c r="M292" s="166">
        <v>158100</v>
      </c>
      <c r="N292" s="168">
        <f t="shared" si="1"/>
        <v>0.12132606860563272</v>
      </c>
      <c r="O292" s="166">
        <v>135200</v>
      </c>
      <c r="P292" s="168">
        <f t="shared" si="2"/>
        <v>0.10375258997774538</v>
      </c>
      <c r="Q292" s="166">
        <v>135200</v>
      </c>
      <c r="GM292" s="185"/>
      <c r="GN292" s="185"/>
      <c r="GO292" s="185"/>
      <c r="GP292" s="185"/>
      <c r="GQ292" s="185"/>
      <c r="GR292" s="185"/>
      <c r="GS292" s="185"/>
      <c r="GT292" s="185"/>
      <c r="GU292" s="185"/>
      <c r="GV292" s="185"/>
      <c r="GW292" s="185"/>
      <c r="GX292" s="185"/>
      <c r="GY292" s="185"/>
      <c r="GZ292" s="185"/>
      <c r="HA292" s="185"/>
      <c r="HB292" s="185"/>
      <c r="HC292" s="185"/>
      <c r="HD292" s="185"/>
      <c r="HE292" s="185"/>
      <c r="HF292" s="185"/>
      <c r="HG292" s="185"/>
      <c r="HH292" s="185"/>
      <c r="HI292" s="185"/>
      <c r="HJ292" s="185"/>
      <c r="HK292" s="185"/>
      <c r="HL292" s="185"/>
      <c r="HM292" s="185"/>
      <c r="HN292" s="185"/>
      <c r="HO292" s="185"/>
      <c r="HP292" s="185"/>
      <c r="HQ292" s="185"/>
      <c r="HR292" s="185"/>
      <c r="HS292" s="185"/>
      <c r="HT292" s="185"/>
      <c r="HU292" s="185"/>
      <c r="HV292" s="185"/>
      <c r="HW292" s="185"/>
      <c r="HX292" s="185"/>
      <c r="HY292" s="185"/>
      <c r="HZ292" s="185"/>
      <c r="IA292" s="185"/>
      <c r="IB292" s="185"/>
      <c r="IC292" s="185"/>
      <c r="ID292" s="185"/>
      <c r="IE292" s="185"/>
      <c r="IF292" s="185"/>
      <c r="IG292" s="185"/>
      <c r="IH292" s="185"/>
      <c r="II292" s="185"/>
      <c r="IJ292" s="185"/>
      <c r="IK292" s="185"/>
      <c r="IL292" s="185"/>
      <c r="IM292" s="185"/>
      <c r="IN292" s="185"/>
      <c r="IO292" s="185"/>
      <c r="IP292" s="185"/>
      <c r="IQ292" s="185"/>
      <c r="IR292" s="185"/>
      <c r="IS292" s="185"/>
      <c r="IT292" s="185"/>
      <c r="IU292" s="185"/>
      <c r="IV292" s="185"/>
    </row>
    <row r="293" spans="1:256" hidden="1" x14ac:dyDescent="0.25">
      <c r="A293" s="165" t="s">
        <v>707</v>
      </c>
      <c r="B293" s="165" t="s">
        <v>162</v>
      </c>
      <c r="C293" s="165" t="s">
        <v>163</v>
      </c>
      <c r="D293" s="165" t="s">
        <v>69</v>
      </c>
      <c r="E293" s="166">
        <v>932264008</v>
      </c>
      <c r="F293" s="166">
        <v>924325095</v>
      </c>
      <c r="G293" s="166">
        <v>924325095</v>
      </c>
      <c r="H293" s="166">
        <v>11790065</v>
      </c>
      <c r="I293" s="166">
        <v>458386250.94999999</v>
      </c>
      <c r="J293" s="166">
        <v>43738949.07</v>
      </c>
      <c r="K293" s="166">
        <v>360027757.69999999</v>
      </c>
      <c r="L293" s="167">
        <f t="shared" si="0"/>
        <v>0.3895033897137673</v>
      </c>
      <c r="M293" s="166">
        <v>349447491.35000002</v>
      </c>
      <c r="N293" s="168">
        <f t="shared" si="1"/>
        <v>0.37805691227067684</v>
      </c>
      <c r="O293" s="166">
        <v>50382072.280000001</v>
      </c>
      <c r="P293" s="168">
        <f t="shared" si="2"/>
        <v>5.4506874856621743E-2</v>
      </c>
      <c r="Q293" s="166">
        <v>50382072.280000001</v>
      </c>
      <c r="GM293" s="185"/>
      <c r="GN293" s="185"/>
      <c r="GO293" s="185"/>
      <c r="GP293" s="185"/>
      <c r="GQ293" s="185"/>
      <c r="GR293" s="185"/>
      <c r="GS293" s="185"/>
      <c r="GT293" s="185"/>
      <c r="GU293" s="185"/>
      <c r="GV293" s="185"/>
      <c r="GW293" s="185"/>
      <c r="GX293" s="185"/>
      <c r="GY293" s="185"/>
      <c r="GZ293" s="185"/>
      <c r="HA293" s="185"/>
      <c r="HB293" s="185"/>
      <c r="HC293" s="185"/>
      <c r="HD293" s="185"/>
      <c r="HE293" s="185"/>
      <c r="HF293" s="185"/>
      <c r="HG293" s="185"/>
      <c r="HH293" s="185"/>
      <c r="HI293" s="185"/>
      <c r="HJ293" s="185"/>
      <c r="HK293" s="185"/>
      <c r="HL293" s="185"/>
      <c r="HM293" s="185"/>
      <c r="HN293" s="185"/>
      <c r="HO293" s="185"/>
      <c r="HP293" s="185"/>
      <c r="HQ293" s="185"/>
      <c r="HR293" s="185"/>
      <c r="HS293" s="185"/>
      <c r="HT293" s="185"/>
      <c r="HU293" s="185"/>
      <c r="HV293" s="185"/>
      <c r="HW293" s="185"/>
      <c r="HX293" s="185"/>
      <c r="HY293" s="185"/>
      <c r="HZ293" s="185"/>
      <c r="IA293" s="185"/>
      <c r="IB293" s="185"/>
      <c r="IC293" s="185"/>
      <c r="ID293" s="185"/>
      <c r="IE293" s="185"/>
      <c r="IF293" s="185"/>
      <c r="IG293" s="185"/>
      <c r="IH293" s="185"/>
      <c r="II293" s="185"/>
      <c r="IJ293" s="185"/>
      <c r="IK293" s="185"/>
      <c r="IL293" s="185"/>
      <c r="IM293" s="185"/>
      <c r="IN293" s="185"/>
      <c r="IO293" s="185"/>
      <c r="IP293" s="185"/>
      <c r="IQ293" s="185"/>
      <c r="IR293" s="185"/>
      <c r="IS293" s="185"/>
      <c r="IT293" s="185"/>
      <c r="IU293" s="185"/>
      <c r="IV293" s="185"/>
    </row>
    <row r="294" spans="1:256" hidden="1" x14ac:dyDescent="0.25">
      <c r="A294" s="165" t="s">
        <v>707</v>
      </c>
      <c r="B294" s="165" t="s">
        <v>310</v>
      </c>
      <c r="C294" s="165" t="s">
        <v>311</v>
      </c>
      <c r="D294" s="165" t="s">
        <v>69</v>
      </c>
      <c r="E294" s="166">
        <v>120656000</v>
      </c>
      <c r="F294" s="166">
        <v>118656000</v>
      </c>
      <c r="G294" s="166">
        <v>118656000</v>
      </c>
      <c r="H294" s="166">
        <v>0</v>
      </c>
      <c r="I294" s="166">
        <v>85704978.599999994</v>
      </c>
      <c r="J294" s="166">
        <v>0</v>
      </c>
      <c r="K294" s="166">
        <v>17585674.260000002</v>
      </c>
      <c r="L294" s="167">
        <f t="shared" si="0"/>
        <v>0.14820720620954694</v>
      </c>
      <c r="M294" s="166">
        <v>17112128.550000001</v>
      </c>
      <c r="N294" s="168">
        <f t="shared" si="1"/>
        <v>0.14421629373988673</v>
      </c>
      <c r="O294" s="166">
        <v>15365347.140000001</v>
      </c>
      <c r="P294" s="168">
        <f t="shared" si="2"/>
        <v>0.12949490240695793</v>
      </c>
      <c r="Q294" s="166">
        <v>15365347.140000001</v>
      </c>
      <c r="GM294" s="185"/>
      <c r="GN294" s="185"/>
      <c r="GO294" s="185"/>
      <c r="GP294" s="185"/>
      <c r="GQ294" s="185"/>
      <c r="GR294" s="185"/>
      <c r="GS294" s="185"/>
      <c r="GT294" s="185"/>
      <c r="GU294" s="185"/>
      <c r="GV294" s="185"/>
      <c r="GW294" s="185"/>
      <c r="GX294" s="185"/>
      <c r="GY294" s="185"/>
      <c r="GZ294" s="185"/>
      <c r="HA294" s="185"/>
      <c r="HB294" s="185"/>
      <c r="HC294" s="185"/>
      <c r="HD294" s="185"/>
      <c r="HE294" s="185"/>
      <c r="HF294" s="185"/>
      <c r="HG294" s="185"/>
      <c r="HH294" s="185"/>
      <c r="HI294" s="185"/>
      <c r="HJ294" s="185"/>
      <c r="HK294" s="185"/>
      <c r="HL294" s="185"/>
      <c r="HM294" s="185"/>
      <c r="HN294" s="185"/>
      <c r="HO294" s="185"/>
      <c r="HP294" s="185"/>
      <c r="HQ294" s="185"/>
      <c r="HR294" s="185"/>
      <c r="HS294" s="185"/>
      <c r="HT294" s="185"/>
      <c r="HU294" s="185"/>
      <c r="HV294" s="185"/>
      <c r="HW294" s="185"/>
      <c r="HX294" s="185"/>
      <c r="HY294" s="185"/>
      <c r="HZ294" s="185"/>
      <c r="IA294" s="185"/>
      <c r="IB294" s="185"/>
      <c r="IC294" s="185"/>
      <c r="ID294" s="185"/>
      <c r="IE294" s="185"/>
      <c r="IF294" s="185"/>
      <c r="IG294" s="185"/>
      <c r="IH294" s="185"/>
      <c r="II294" s="185"/>
      <c r="IJ294" s="185"/>
      <c r="IK294" s="185"/>
      <c r="IL294" s="185"/>
      <c r="IM294" s="185"/>
      <c r="IN294" s="185"/>
      <c r="IO294" s="185"/>
      <c r="IP294" s="185"/>
      <c r="IQ294" s="185"/>
      <c r="IR294" s="185"/>
      <c r="IS294" s="185"/>
      <c r="IT294" s="185"/>
      <c r="IU294" s="185"/>
      <c r="IV294" s="185"/>
    </row>
    <row r="295" spans="1:256" hidden="1" x14ac:dyDescent="0.25">
      <c r="A295" s="165" t="s">
        <v>707</v>
      </c>
      <c r="B295" s="165" t="s">
        <v>164</v>
      </c>
      <c r="C295" s="165" t="s">
        <v>165</v>
      </c>
      <c r="D295" s="165" t="s">
        <v>69</v>
      </c>
      <c r="E295" s="166">
        <v>504520000</v>
      </c>
      <c r="F295" s="166">
        <v>504520000</v>
      </c>
      <c r="G295" s="166">
        <v>504520000</v>
      </c>
      <c r="H295" s="166">
        <v>0</v>
      </c>
      <c r="I295" s="166">
        <v>238893769.21000001</v>
      </c>
      <c r="J295" s="166">
        <v>37303789.850000001</v>
      </c>
      <c r="K295" s="166">
        <v>227906848.91</v>
      </c>
      <c r="L295" s="167">
        <f t="shared" si="0"/>
        <v>0.45173005809482281</v>
      </c>
      <c r="M295" s="166">
        <v>224589640.09</v>
      </c>
      <c r="N295" s="168">
        <f t="shared" si="1"/>
        <v>0.44515507827241735</v>
      </c>
      <c r="O295" s="166">
        <v>415592.03</v>
      </c>
      <c r="P295" s="168">
        <f t="shared" si="2"/>
        <v>8.2373747324189332E-4</v>
      </c>
      <c r="Q295" s="166">
        <v>415592.03</v>
      </c>
      <c r="GM295" s="185"/>
      <c r="GN295" s="185"/>
      <c r="GO295" s="185"/>
      <c r="GP295" s="185"/>
      <c r="GQ295" s="185"/>
      <c r="GR295" s="185"/>
      <c r="GS295" s="185"/>
      <c r="GT295" s="185"/>
      <c r="GU295" s="185"/>
      <c r="GV295" s="185"/>
      <c r="GW295" s="185"/>
      <c r="GX295" s="185"/>
      <c r="GY295" s="185"/>
      <c r="GZ295" s="185"/>
      <c r="HA295" s="185"/>
      <c r="HB295" s="185"/>
      <c r="HC295" s="185"/>
      <c r="HD295" s="185"/>
      <c r="HE295" s="185"/>
      <c r="HF295" s="185"/>
      <c r="HG295" s="185"/>
      <c r="HH295" s="185"/>
      <c r="HI295" s="185"/>
      <c r="HJ295" s="185"/>
      <c r="HK295" s="185"/>
      <c r="HL295" s="185"/>
      <c r="HM295" s="185"/>
      <c r="HN295" s="185"/>
      <c r="HO295" s="185"/>
      <c r="HP295" s="185"/>
      <c r="HQ295" s="185"/>
      <c r="HR295" s="185"/>
      <c r="HS295" s="185"/>
      <c r="HT295" s="185"/>
      <c r="HU295" s="185"/>
      <c r="HV295" s="185"/>
      <c r="HW295" s="185"/>
      <c r="HX295" s="185"/>
      <c r="HY295" s="185"/>
      <c r="HZ295" s="185"/>
      <c r="IA295" s="185"/>
      <c r="IB295" s="185"/>
      <c r="IC295" s="185"/>
      <c r="ID295" s="185"/>
      <c r="IE295" s="185"/>
      <c r="IF295" s="185"/>
      <c r="IG295" s="185"/>
      <c r="IH295" s="185"/>
      <c r="II295" s="185"/>
      <c r="IJ295" s="185"/>
      <c r="IK295" s="185"/>
      <c r="IL295" s="185"/>
      <c r="IM295" s="185"/>
      <c r="IN295" s="185"/>
      <c r="IO295" s="185"/>
      <c r="IP295" s="185"/>
      <c r="IQ295" s="185"/>
      <c r="IR295" s="185"/>
      <c r="IS295" s="185"/>
      <c r="IT295" s="185"/>
      <c r="IU295" s="185"/>
      <c r="IV295" s="185"/>
    </row>
    <row r="296" spans="1:256" hidden="1" x14ac:dyDescent="0.25">
      <c r="A296" s="165" t="s">
        <v>707</v>
      </c>
      <c r="B296" s="165" t="s">
        <v>166</v>
      </c>
      <c r="C296" s="165" t="s">
        <v>167</v>
      </c>
      <c r="D296" s="165" t="s">
        <v>69</v>
      </c>
      <c r="E296" s="166">
        <v>95028648</v>
      </c>
      <c r="F296" s="166">
        <v>95028648</v>
      </c>
      <c r="G296" s="166">
        <v>95028648</v>
      </c>
      <c r="H296" s="166">
        <v>0</v>
      </c>
      <c r="I296" s="166">
        <v>28776859.600000001</v>
      </c>
      <c r="J296" s="166">
        <v>5866459.2199999997</v>
      </c>
      <c r="K296" s="166">
        <v>60235216.329999998</v>
      </c>
      <c r="L296" s="167">
        <f t="shared" si="0"/>
        <v>0.63386376211518869</v>
      </c>
      <c r="M296" s="166">
        <v>59674739.109999999</v>
      </c>
      <c r="N296" s="168">
        <f t="shared" si="1"/>
        <v>0.62796578048758522</v>
      </c>
      <c r="O296" s="166">
        <v>150112.85</v>
      </c>
      <c r="P296" s="168">
        <f t="shared" si="2"/>
        <v>1.5796589045442382E-3</v>
      </c>
      <c r="Q296" s="166">
        <v>150112.85</v>
      </c>
      <c r="GM296" s="185"/>
      <c r="GN296" s="185"/>
      <c r="GO296" s="185"/>
      <c r="GP296" s="185"/>
      <c r="GQ296" s="185"/>
      <c r="GR296" s="185"/>
      <c r="GS296" s="185"/>
      <c r="GT296" s="185"/>
      <c r="GU296" s="185"/>
      <c r="GV296" s="185"/>
      <c r="GW296" s="185"/>
      <c r="GX296" s="185"/>
      <c r="GY296" s="185"/>
      <c r="GZ296" s="185"/>
      <c r="HA296" s="185"/>
      <c r="HB296" s="185"/>
      <c r="HC296" s="185"/>
      <c r="HD296" s="185"/>
      <c r="HE296" s="185"/>
      <c r="HF296" s="185"/>
      <c r="HG296" s="185"/>
      <c r="HH296" s="185"/>
      <c r="HI296" s="185"/>
      <c r="HJ296" s="185"/>
      <c r="HK296" s="185"/>
      <c r="HL296" s="185"/>
      <c r="HM296" s="185"/>
      <c r="HN296" s="185"/>
      <c r="HO296" s="185"/>
      <c r="HP296" s="185"/>
      <c r="HQ296" s="185"/>
      <c r="HR296" s="185"/>
      <c r="HS296" s="185"/>
      <c r="HT296" s="185"/>
      <c r="HU296" s="185"/>
      <c r="HV296" s="185"/>
      <c r="HW296" s="185"/>
      <c r="HX296" s="185"/>
      <c r="HY296" s="185"/>
      <c r="HZ296" s="185"/>
      <c r="IA296" s="185"/>
      <c r="IB296" s="185"/>
      <c r="IC296" s="185"/>
      <c r="ID296" s="185"/>
      <c r="IE296" s="185"/>
      <c r="IF296" s="185"/>
      <c r="IG296" s="185"/>
      <c r="IH296" s="185"/>
      <c r="II296" s="185"/>
      <c r="IJ296" s="185"/>
      <c r="IK296" s="185"/>
      <c r="IL296" s="185"/>
      <c r="IM296" s="185"/>
      <c r="IN296" s="185"/>
      <c r="IO296" s="185"/>
      <c r="IP296" s="185"/>
      <c r="IQ296" s="185"/>
      <c r="IR296" s="185"/>
      <c r="IS296" s="185"/>
      <c r="IT296" s="185"/>
      <c r="IU296" s="185"/>
      <c r="IV296" s="185"/>
    </row>
    <row r="297" spans="1:256" x14ac:dyDescent="0.25">
      <c r="A297" s="165" t="s">
        <v>707</v>
      </c>
      <c r="B297" s="165" t="s">
        <v>312</v>
      </c>
      <c r="C297" s="165" t="s">
        <v>313</v>
      </c>
      <c r="D297" s="165" t="s">
        <v>69</v>
      </c>
      <c r="E297" s="166">
        <v>3000000</v>
      </c>
      <c r="F297" s="166">
        <v>3000000</v>
      </c>
      <c r="G297" s="166">
        <v>3000000</v>
      </c>
      <c r="H297" s="166">
        <v>0</v>
      </c>
      <c r="I297" s="166">
        <v>0</v>
      </c>
      <c r="J297" s="166">
        <v>0</v>
      </c>
      <c r="K297" s="166">
        <v>0</v>
      </c>
      <c r="L297" s="167">
        <f t="shared" si="0"/>
        <v>0</v>
      </c>
      <c r="M297" s="166">
        <v>0</v>
      </c>
      <c r="N297" s="168">
        <f t="shared" si="1"/>
        <v>0</v>
      </c>
      <c r="O297" s="166">
        <v>3000000</v>
      </c>
      <c r="P297" s="168">
        <f t="shared" si="2"/>
        <v>1</v>
      </c>
      <c r="Q297" s="166">
        <v>3000000</v>
      </c>
      <c r="GM297" s="185"/>
      <c r="GN297" s="185"/>
      <c r="GO297" s="185"/>
      <c r="GP297" s="185"/>
      <c r="GQ297" s="185"/>
      <c r="GR297" s="185"/>
      <c r="GS297" s="185"/>
      <c r="GT297" s="185"/>
      <c r="GU297" s="185"/>
      <c r="GV297" s="185"/>
      <c r="GW297" s="185"/>
      <c r="GX297" s="185"/>
      <c r="GY297" s="185"/>
      <c r="GZ297" s="185"/>
      <c r="HA297" s="185"/>
      <c r="HB297" s="185"/>
      <c r="HC297" s="185"/>
      <c r="HD297" s="185"/>
      <c r="HE297" s="185"/>
      <c r="HF297" s="185"/>
      <c r="HG297" s="185"/>
      <c r="HH297" s="185"/>
      <c r="HI297" s="185"/>
      <c r="HJ297" s="185"/>
      <c r="HK297" s="185"/>
      <c r="HL297" s="185"/>
      <c r="HM297" s="185"/>
      <c r="HN297" s="185"/>
      <c r="HO297" s="185"/>
      <c r="HP297" s="185"/>
      <c r="HQ297" s="185"/>
      <c r="HR297" s="185"/>
      <c r="HS297" s="185"/>
      <c r="HT297" s="185"/>
      <c r="HU297" s="185"/>
      <c r="HV297" s="185"/>
      <c r="HW297" s="185"/>
      <c r="HX297" s="185"/>
      <c r="HY297" s="185"/>
      <c r="HZ297" s="185"/>
      <c r="IA297" s="185"/>
      <c r="IB297" s="185"/>
      <c r="IC297" s="185"/>
      <c r="ID297" s="185"/>
      <c r="IE297" s="185"/>
      <c r="IF297" s="185"/>
      <c r="IG297" s="185"/>
      <c r="IH297" s="185"/>
      <c r="II297" s="185"/>
      <c r="IJ297" s="185"/>
      <c r="IK297" s="185"/>
      <c r="IL297" s="185"/>
      <c r="IM297" s="185"/>
      <c r="IN297" s="185"/>
      <c r="IO297" s="185"/>
      <c r="IP297" s="185"/>
      <c r="IQ297" s="185"/>
      <c r="IR297" s="185"/>
      <c r="IS297" s="185"/>
      <c r="IT297" s="185"/>
      <c r="IU297" s="185"/>
      <c r="IV297" s="185"/>
    </row>
    <row r="298" spans="1:256" hidden="1" x14ac:dyDescent="0.25">
      <c r="A298" s="165" t="s">
        <v>707</v>
      </c>
      <c r="B298" s="165" t="s">
        <v>168</v>
      </c>
      <c r="C298" s="165" t="s">
        <v>169</v>
      </c>
      <c r="D298" s="165" t="s">
        <v>69</v>
      </c>
      <c r="E298" s="166">
        <v>16864852</v>
      </c>
      <c r="F298" s="166">
        <v>11257762</v>
      </c>
      <c r="G298" s="166">
        <v>11257762</v>
      </c>
      <c r="H298" s="166">
        <v>0</v>
      </c>
      <c r="I298" s="166">
        <v>5982003.6200000001</v>
      </c>
      <c r="J298" s="166">
        <v>0</v>
      </c>
      <c r="K298" s="166">
        <v>5265312.25</v>
      </c>
      <c r="L298" s="167">
        <f t="shared" si="0"/>
        <v>0.4677050598511498</v>
      </c>
      <c r="M298" s="166">
        <v>5265312.25</v>
      </c>
      <c r="N298" s="168">
        <f t="shared" si="1"/>
        <v>0.4677050598511498</v>
      </c>
      <c r="O298" s="166">
        <v>10446.129999999999</v>
      </c>
      <c r="P298" s="168">
        <f t="shared" si="2"/>
        <v>9.2790467590272378E-4</v>
      </c>
      <c r="Q298" s="166">
        <v>10446.129999999999</v>
      </c>
      <c r="GM298" s="185"/>
      <c r="GN298" s="185"/>
      <c r="GO298" s="185"/>
      <c r="GP298" s="185"/>
      <c r="GQ298" s="185"/>
      <c r="GR298" s="185"/>
      <c r="GS298" s="185"/>
      <c r="GT298" s="185"/>
      <c r="GU298" s="185"/>
      <c r="GV298" s="185"/>
      <c r="GW298" s="185"/>
      <c r="GX298" s="185"/>
      <c r="GY298" s="185"/>
      <c r="GZ298" s="185"/>
      <c r="HA298" s="185"/>
      <c r="HB298" s="185"/>
      <c r="HC298" s="185"/>
      <c r="HD298" s="185"/>
      <c r="HE298" s="185"/>
      <c r="HF298" s="185"/>
      <c r="HG298" s="185"/>
      <c r="HH298" s="185"/>
      <c r="HI298" s="185"/>
      <c r="HJ298" s="185"/>
      <c r="HK298" s="185"/>
      <c r="HL298" s="185"/>
      <c r="HM298" s="185"/>
      <c r="HN298" s="185"/>
      <c r="HO298" s="185"/>
      <c r="HP298" s="185"/>
      <c r="HQ298" s="185"/>
      <c r="HR298" s="185"/>
      <c r="HS298" s="185"/>
      <c r="HT298" s="185"/>
      <c r="HU298" s="185"/>
      <c r="HV298" s="185"/>
      <c r="HW298" s="185"/>
      <c r="HX298" s="185"/>
      <c r="HY298" s="185"/>
      <c r="HZ298" s="185"/>
      <c r="IA298" s="185"/>
      <c r="IB298" s="185"/>
      <c r="IC298" s="185"/>
      <c r="ID298" s="185"/>
      <c r="IE298" s="185"/>
      <c r="IF298" s="185"/>
      <c r="IG298" s="185"/>
      <c r="IH298" s="185"/>
      <c r="II298" s="185"/>
      <c r="IJ298" s="185"/>
      <c r="IK298" s="185"/>
      <c r="IL298" s="185"/>
      <c r="IM298" s="185"/>
      <c r="IN298" s="185"/>
      <c r="IO298" s="185"/>
      <c r="IP298" s="185"/>
      <c r="IQ298" s="185"/>
      <c r="IR298" s="185"/>
      <c r="IS298" s="185"/>
      <c r="IT298" s="185"/>
      <c r="IU298" s="185"/>
      <c r="IV298" s="185"/>
    </row>
    <row r="299" spans="1:256" hidden="1" x14ac:dyDescent="0.25">
      <c r="A299" s="165" t="s">
        <v>707</v>
      </c>
      <c r="B299" s="165" t="s">
        <v>170</v>
      </c>
      <c r="C299" s="165" t="s">
        <v>171</v>
      </c>
      <c r="D299" s="165" t="s">
        <v>69</v>
      </c>
      <c r="E299" s="166">
        <v>40562000</v>
      </c>
      <c r="F299" s="166">
        <v>24844258</v>
      </c>
      <c r="G299" s="166">
        <v>24844258</v>
      </c>
      <c r="H299" s="166">
        <v>9812565</v>
      </c>
      <c r="I299" s="166">
        <v>12817662.640000001</v>
      </c>
      <c r="J299" s="166">
        <v>0</v>
      </c>
      <c r="K299" s="166">
        <v>0</v>
      </c>
      <c r="L299" s="167">
        <f t="shared" si="0"/>
        <v>0</v>
      </c>
      <c r="M299" s="166">
        <v>0</v>
      </c>
      <c r="N299" s="168">
        <f t="shared" si="1"/>
        <v>0</v>
      </c>
      <c r="O299" s="166">
        <v>2214030.36</v>
      </c>
      <c r="P299" s="168">
        <f t="shared" si="2"/>
        <v>8.9116380935989309E-2</v>
      </c>
      <c r="Q299" s="166">
        <v>2214030.36</v>
      </c>
      <c r="GM299" s="185"/>
      <c r="GN299" s="185"/>
      <c r="GO299" s="185"/>
      <c r="GP299" s="185"/>
      <c r="GQ299" s="185"/>
      <c r="GR299" s="185"/>
      <c r="GS299" s="185"/>
      <c r="GT299" s="185"/>
      <c r="GU299" s="185"/>
      <c r="GV299" s="185"/>
      <c r="GW299" s="185"/>
      <c r="GX299" s="185"/>
      <c r="GY299" s="185"/>
      <c r="GZ299" s="185"/>
      <c r="HA299" s="185"/>
      <c r="HB299" s="185"/>
      <c r="HC299" s="185"/>
      <c r="HD299" s="185"/>
      <c r="HE299" s="185"/>
      <c r="HF299" s="185"/>
      <c r="HG299" s="185"/>
      <c r="HH299" s="185"/>
      <c r="HI299" s="185"/>
      <c r="HJ299" s="185"/>
      <c r="HK299" s="185"/>
      <c r="HL299" s="185"/>
      <c r="HM299" s="185"/>
      <c r="HN299" s="185"/>
      <c r="HO299" s="185"/>
      <c r="HP299" s="185"/>
      <c r="HQ299" s="185"/>
      <c r="HR299" s="185"/>
      <c r="HS299" s="185"/>
      <c r="HT299" s="185"/>
      <c r="HU299" s="185"/>
      <c r="HV299" s="185"/>
      <c r="HW299" s="185"/>
      <c r="HX299" s="185"/>
      <c r="HY299" s="185"/>
      <c r="HZ299" s="185"/>
      <c r="IA299" s="185"/>
      <c r="IB299" s="185"/>
      <c r="IC299" s="185"/>
      <c r="ID299" s="185"/>
      <c r="IE299" s="185"/>
      <c r="IF299" s="185"/>
      <c r="IG299" s="185"/>
      <c r="IH299" s="185"/>
      <c r="II299" s="185"/>
      <c r="IJ299" s="185"/>
      <c r="IK299" s="185"/>
      <c r="IL299" s="185"/>
      <c r="IM299" s="185"/>
      <c r="IN299" s="185"/>
      <c r="IO299" s="185"/>
      <c r="IP299" s="185"/>
      <c r="IQ299" s="185"/>
      <c r="IR299" s="185"/>
      <c r="IS299" s="185"/>
      <c r="IT299" s="185"/>
      <c r="IU299" s="185"/>
      <c r="IV299" s="185"/>
    </row>
    <row r="300" spans="1:256" hidden="1" x14ac:dyDescent="0.25">
      <c r="A300" s="165" t="s">
        <v>707</v>
      </c>
      <c r="B300" s="165" t="s">
        <v>172</v>
      </c>
      <c r="C300" s="165" t="s">
        <v>173</v>
      </c>
      <c r="D300" s="165" t="s">
        <v>69</v>
      </c>
      <c r="E300" s="166">
        <v>151632508</v>
      </c>
      <c r="F300" s="166">
        <v>167018427</v>
      </c>
      <c r="G300" s="166">
        <v>167018427</v>
      </c>
      <c r="H300" s="166">
        <v>1977500</v>
      </c>
      <c r="I300" s="166">
        <v>86210977.280000001</v>
      </c>
      <c r="J300" s="166">
        <v>568700</v>
      </c>
      <c r="K300" s="166">
        <v>49034705.950000003</v>
      </c>
      <c r="L300" s="167">
        <f t="shared" si="0"/>
        <v>0.29358859875982429</v>
      </c>
      <c r="M300" s="166">
        <v>42805671.350000001</v>
      </c>
      <c r="N300" s="168">
        <f t="shared" si="1"/>
        <v>0.25629310561043661</v>
      </c>
      <c r="O300" s="166">
        <v>29226543.77</v>
      </c>
      <c r="P300" s="168">
        <f t="shared" si="2"/>
        <v>0.17498993551172651</v>
      </c>
      <c r="Q300" s="166">
        <v>29226543.77</v>
      </c>
      <c r="GM300" s="185"/>
      <c r="GN300" s="185"/>
      <c r="GO300" s="185"/>
      <c r="GP300" s="185"/>
      <c r="GQ300" s="185"/>
      <c r="GR300" s="185"/>
      <c r="GS300" s="185"/>
      <c r="GT300" s="185"/>
      <c r="GU300" s="185"/>
      <c r="GV300" s="185"/>
      <c r="GW300" s="185"/>
      <c r="GX300" s="185"/>
      <c r="GY300" s="185"/>
      <c r="GZ300" s="185"/>
      <c r="HA300" s="185"/>
      <c r="HB300" s="185"/>
      <c r="HC300" s="185"/>
      <c r="HD300" s="185"/>
      <c r="HE300" s="185"/>
      <c r="HF300" s="185"/>
      <c r="HG300" s="185"/>
      <c r="HH300" s="185"/>
      <c r="HI300" s="185"/>
      <c r="HJ300" s="185"/>
      <c r="HK300" s="185"/>
      <c r="HL300" s="185"/>
      <c r="HM300" s="185"/>
      <c r="HN300" s="185"/>
      <c r="HO300" s="185"/>
      <c r="HP300" s="185"/>
      <c r="HQ300" s="185"/>
      <c r="HR300" s="185"/>
      <c r="HS300" s="185"/>
      <c r="HT300" s="185"/>
      <c r="HU300" s="185"/>
      <c r="HV300" s="185"/>
      <c r="HW300" s="185"/>
      <c r="HX300" s="185"/>
      <c r="HY300" s="185"/>
      <c r="HZ300" s="185"/>
      <c r="IA300" s="185"/>
      <c r="IB300" s="185"/>
      <c r="IC300" s="185"/>
      <c r="ID300" s="185"/>
      <c r="IE300" s="185"/>
      <c r="IF300" s="185"/>
      <c r="IG300" s="185"/>
      <c r="IH300" s="185"/>
      <c r="II300" s="185"/>
      <c r="IJ300" s="185"/>
      <c r="IK300" s="185"/>
      <c r="IL300" s="185"/>
      <c r="IM300" s="185"/>
      <c r="IN300" s="185"/>
      <c r="IO300" s="185"/>
      <c r="IP300" s="185"/>
      <c r="IQ300" s="185"/>
      <c r="IR300" s="185"/>
      <c r="IS300" s="185"/>
      <c r="IT300" s="185"/>
      <c r="IU300" s="185"/>
      <c r="IV300" s="185"/>
    </row>
    <row r="301" spans="1:256" hidden="1" x14ac:dyDescent="0.25">
      <c r="A301" s="165" t="s">
        <v>707</v>
      </c>
      <c r="B301" s="165" t="s">
        <v>174</v>
      </c>
      <c r="C301" s="165" t="s">
        <v>175</v>
      </c>
      <c r="D301" s="165" t="s">
        <v>69</v>
      </c>
      <c r="E301" s="166">
        <v>18000000</v>
      </c>
      <c r="F301" s="166">
        <v>18000000</v>
      </c>
      <c r="G301" s="166">
        <v>18000000</v>
      </c>
      <c r="H301" s="166">
        <v>0</v>
      </c>
      <c r="I301" s="166">
        <v>1328634</v>
      </c>
      <c r="J301" s="166">
        <v>0</v>
      </c>
      <c r="K301" s="166">
        <v>221366</v>
      </c>
      <c r="L301" s="167">
        <f t="shared" si="0"/>
        <v>1.229811111111111E-2</v>
      </c>
      <c r="M301" s="166">
        <v>221366</v>
      </c>
      <c r="N301" s="168">
        <f t="shared" si="1"/>
        <v>1.229811111111111E-2</v>
      </c>
      <c r="O301" s="166">
        <v>16450000</v>
      </c>
      <c r="P301" s="168">
        <f t="shared" si="2"/>
        <v>0.91388888888888886</v>
      </c>
      <c r="Q301" s="166">
        <v>16450000</v>
      </c>
      <c r="GM301" s="185"/>
      <c r="GN301" s="185"/>
      <c r="GO301" s="185"/>
      <c r="GP301" s="185"/>
      <c r="GQ301" s="185"/>
      <c r="GR301" s="185"/>
      <c r="GS301" s="185"/>
      <c r="GT301" s="185"/>
      <c r="GU301" s="185"/>
      <c r="GV301" s="185"/>
      <c r="GW301" s="185"/>
      <c r="GX301" s="185"/>
      <c r="GY301" s="185"/>
      <c r="GZ301" s="185"/>
      <c r="HA301" s="185"/>
      <c r="HB301" s="185"/>
      <c r="HC301" s="185"/>
      <c r="HD301" s="185"/>
      <c r="HE301" s="185"/>
      <c r="HF301" s="185"/>
      <c r="HG301" s="185"/>
      <c r="HH301" s="185"/>
      <c r="HI301" s="185"/>
      <c r="HJ301" s="185"/>
      <c r="HK301" s="185"/>
      <c r="HL301" s="185"/>
      <c r="HM301" s="185"/>
      <c r="HN301" s="185"/>
      <c r="HO301" s="185"/>
      <c r="HP301" s="185"/>
      <c r="HQ301" s="185"/>
      <c r="HR301" s="185"/>
      <c r="HS301" s="185"/>
      <c r="HT301" s="185"/>
      <c r="HU301" s="185"/>
      <c r="HV301" s="185"/>
      <c r="HW301" s="185"/>
      <c r="HX301" s="185"/>
      <c r="HY301" s="185"/>
      <c r="HZ301" s="185"/>
      <c r="IA301" s="185"/>
      <c r="IB301" s="185"/>
      <c r="IC301" s="185"/>
      <c r="ID301" s="185"/>
      <c r="IE301" s="185"/>
      <c r="IF301" s="185"/>
      <c r="IG301" s="185"/>
      <c r="IH301" s="185"/>
      <c r="II301" s="185"/>
      <c r="IJ301" s="185"/>
      <c r="IK301" s="185"/>
      <c r="IL301" s="185"/>
      <c r="IM301" s="185"/>
      <c r="IN301" s="185"/>
      <c r="IO301" s="185"/>
      <c r="IP301" s="185"/>
      <c r="IQ301" s="185"/>
      <c r="IR301" s="185"/>
      <c r="IS301" s="185"/>
      <c r="IT301" s="185"/>
      <c r="IU301" s="185"/>
      <c r="IV301" s="185"/>
    </row>
    <row r="302" spans="1:256" x14ac:dyDescent="0.25">
      <c r="A302" s="165" t="s">
        <v>707</v>
      </c>
      <c r="B302" s="165" t="s">
        <v>176</v>
      </c>
      <c r="C302" s="165" t="s">
        <v>177</v>
      </c>
      <c r="D302" s="165" t="s">
        <v>69</v>
      </c>
      <c r="E302" s="166">
        <v>18000000</v>
      </c>
      <c r="F302" s="166">
        <v>18000000</v>
      </c>
      <c r="G302" s="166">
        <v>18000000</v>
      </c>
      <c r="H302" s="166">
        <v>0</v>
      </c>
      <c r="I302" s="166">
        <v>1328634</v>
      </c>
      <c r="J302" s="166">
        <v>0</v>
      </c>
      <c r="K302" s="166">
        <v>221366</v>
      </c>
      <c r="L302" s="167">
        <f t="shared" si="0"/>
        <v>1.229811111111111E-2</v>
      </c>
      <c r="M302" s="166">
        <v>221366</v>
      </c>
      <c r="N302" s="168">
        <f t="shared" si="1"/>
        <v>1.229811111111111E-2</v>
      </c>
      <c r="O302" s="166">
        <v>16450000</v>
      </c>
      <c r="P302" s="168">
        <f t="shared" si="2"/>
        <v>0.91388888888888886</v>
      </c>
      <c r="Q302" s="166">
        <v>16450000</v>
      </c>
      <c r="GM302" s="185"/>
      <c r="GN302" s="185"/>
      <c r="GO302" s="185"/>
      <c r="GP302" s="185"/>
      <c r="GQ302" s="185"/>
      <c r="GR302" s="185"/>
      <c r="GS302" s="185"/>
      <c r="GT302" s="185"/>
      <c r="GU302" s="185"/>
      <c r="GV302" s="185"/>
      <c r="GW302" s="185"/>
      <c r="GX302" s="185"/>
      <c r="GY302" s="185"/>
      <c r="GZ302" s="185"/>
      <c r="HA302" s="185"/>
      <c r="HB302" s="185"/>
      <c r="HC302" s="185"/>
      <c r="HD302" s="185"/>
      <c r="HE302" s="185"/>
      <c r="HF302" s="185"/>
      <c r="HG302" s="185"/>
      <c r="HH302" s="185"/>
      <c r="HI302" s="185"/>
      <c r="HJ302" s="185"/>
      <c r="HK302" s="185"/>
      <c r="HL302" s="185"/>
      <c r="HM302" s="185"/>
      <c r="HN302" s="185"/>
      <c r="HO302" s="185"/>
      <c r="HP302" s="185"/>
      <c r="HQ302" s="185"/>
      <c r="HR302" s="185"/>
      <c r="HS302" s="185"/>
      <c r="HT302" s="185"/>
      <c r="HU302" s="185"/>
      <c r="HV302" s="185"/>
      <c r="HW302" s="185"/>
      <c r="HX302" s="185"/>
      <c r="HY302" s="185"/>
      <c r="HZ302" s="185"/>
      <c r="IA302" s="185"/>
      <c r="IB302" s="185"/>
      <c r="IC302" s="185"/>
      <c r="ID302" s="185"/>
      <c r="IE302" s="185"/>
      <c r="IF302" s="185"/>
      <c r="IG302" s="185"/>
      <c r="IH302" s="185"/>
      <c r="II302" s="185"/>
      <c r="IJ302" s="185"/>
      <c r="IK302" s="185"/>
      <c r="IL302" s="185"/>
      <c r="IM302" s="185"/>
      <c r="IN302" s="185"/>
      <c r="IO302" s="185"/>
      <c r="IP302" s="185"/>
      <c r="IQ302" s="185"/>
      <c r="IR302" s="185"/>
      <c r="IS302" s="185"/>
      <c r="IT302" s="185"/>
      <c r="IU302" s="185"/>
      <c r="IV302" s="185"/>
    </row>
    <row r="303" spans="1:256" hidden="1" x14ac:dyDescent="0.25">
      <c r="A303" s="165" t="s">
        <v>707</v>
      </c>
      <c r="B303" s="165" t="s">
        <v>178</v>
      </c>
      <c r="C303" s="165" t="s">
        <v>179</v>
      </c>
      <c r="D303" s="165" t="s">
        <v>69</v>
      </c>
      <c r="E303" s="166">
        <v>36890625</v>
      </c>
      <c r="F303" s="166">
        <v>33335625</v>
      </c>
      <c r="G303" s="166">
        <v>33335625</v>
      </c>
      <c r="H303" s="166">
        <v>0</v>
      </c>
      <c r="I303" s="166">
        <v>5722329.9000000004</v>
      </c>
      <c r="J303" s="166">
        <v>0</v>
      </c>
      <c r="K303" s="166">
        <v>1809766.89</v>
      </c>
      <c r="L303" s="167">
        <f t="shared" si="0"/>
        <v>5.4289274312391021E-2</v>
      </c>
      <c r="M303" s="166">
        <v>1809766.89</v>
      </c>
      <c r="N303" s="168">
        <f t="shared" si="1"/>
        <v>5.4289274312391021E-2</v>
      </c>
      <c r="O303" s="166">
        <v>25803528.210000001</v>
      </c>
      <c r="P303" s="168">
        <f t="shared" si="2"/>
        <v>0.77405263018167503</v>
      </c>
      <c r="Q303" s="166">
        <v>25803528.210000001</v>
      </c>
      <c r="GM303" s="185"/>
      <c r="GN303" s="185"/>
      <c r="GO303" s="185"/>
      <c r="GP303" s="185"/>
      <c r="GQ303" s="185"/>
      <c r="GR303" s="185"/>
      <c r="GS303" s="185"/>
      <c r="GT303" s="185"/>
      <c r="GU303" s="185"/>
      <c r="GV303" s="185"/>
      <c r="GW303" s="185"/>
      <c r="GX303" s="185"/>
      <c r="GY303" s="185"/>
      <c r="GZ303" s="185"/>
      <c r="HA303" s="185"/>
      <c r="HB303" s="185"/>
      <c r="HC303" s="185"/>
      <c r="HD303" s="185"/>
      <c r="HE303" s="185"/>
      <c r="HF303" s="185"/>
      <c r="HG303" s="185"/>
      <c r="HH303" s="185"/>
      <c r="HI303" s="185"/>
      <c r="HJ303" s="185"/>
      <c r="HK303" s="185"/>
      <c r="HL303" s="185"/>
      <c r="HM303" s="185"/>
      <c r="HN303" s="185"/>
      <c r="HO303" s="185"/>
      <c r="HP303" s="185"/>
      <c r="HQ303" s="185"/>
      <c r="HR303" s="185"/>
      <c r="HS303" s="185"/>
      <c r="HT303" s="185"/>
      <c r="HU303" s="185"/>
      <c r="HV303" s="185"/>
      <c r="HW303" s="185"/>
      <c r="HX303" s="185"/>
      <c r="HY303" s="185"/>
      <c r="HZ303" s="185"/>
      <c r="IA303" s="185"/>
      <c r="IB303" s="185"/>
      <c r="IC303" s="185"/>
      <c r="ID303" s="185"/>
      <c r="IE303" s="185"/>
      <c r="IF303" s="185"/>
      <c r="IG303" s="185"/>
      <c r="IH303" s="185"/>
      <c r="II303" s="185"/>
      <c r="IJ303" s="185"/>
      <c r="IK303" s="185"/>
      <c r="IL303" s="185"/>
      <c r="IM303" s="185"/>
      <c r="IN303" s="185"/>
      <c r="IO303" s="185"/>
      <c r="IP303" s="185"/>
      <c r="IQ303" s="185"/>
      <c r="IR303" s="185"/>
      <c r="IS303" s="185"/>
      <c r="IT303" s="185"/>
      <c r="IU303" s="185"/>
      <c r="IV303" s="185"/>
    </row>
    <row r="304" spans="1:256" hidden="1" x14ac:dyDescent="0.25">
      <c r="A304" s="165" t="s">
        <v>707</v>
      </c>
      <c r="B304" s="165" t="s">
        <v>348</v>
      </c>
      <c r="C304" s="165" t="s">
        <v>349</v>
      </c>
      <c r="D304" s="165" t="s">
        <v>69</v>
      </c>
      <c r="E304" s="166">
        <v>3000000</v>
      </c>
      <c r="F304" s="166">
        <v>5000000</v>
      </c>
      <c r="G304" s="166">
        <v>5000000</v>
      </c>
      <c r="H304" s="166">
        <v>0</v>
      </c>
      <c r="I304" s="166">
        <v>1110223.8</v>
      </c>
      <c r="J304" s="166">
        <v>0</v>
      </c>
      <c r="K304" s="166">
        <v>1809766.89</v>
      </c>
      <c r="L304" s="167">
        <f t="shared" si="0"/>
        <v>0.36195337799999999</v>
      </c>
      <c r="M304" s="166">
        <v>1809766.89</v>
      </c>
      <c r="N304" s="168">
        <f t="shared" si="1"/>
        <v>0.36195337799999999</v>
      </c>
      <c r="O304" s="166">
        <v>2080009.31</v>
      </c>
      <c r="P304" s="168">
        <f t="shared" si="2"/>
        <v>0.416001862</v>
      </c>
      <c r="Q304" s="166">
        <v>2080009.31</v>
      </c>
      <c r="GM304" s="185"/>
      <c r="GN304" s="185"/>
      <c r="GO304" s="185"/>
      <c r="GP304" s="185"/>
      <c r="GQ304" s="185"/>
      <c r="GR304" s="185"/>
      <c r="GS304" s="185"/>
      <c r="GT304" s="185"/>
      <c r="GU304" s="185"/>
      <c r="GV304" s="185"/>
      <c r="GW304" s="185"/>
      <c r="GX304" s="185"/>
      <c r="GY304" s="185"/>
      <c r="GZ304" s="185"/>
      <c r="HA304" s="185"/>
      <c r="HB304" s="185"/>
      <c r="HC304" s="185"/>
      <c r="HD304" s="185"/>
      <c r="HE304" s="185"/>
      <c r="HF304" s="185"/>
      <c r="HG304" s="185"/>
      <c r="HH304" s="185"/>
      <c r="HI304" s="185"/>
      <c r="HJ304" s="185"/>
      <c r="HK304" s="185"/>
      <c r="HL304" s="185"/>
      <c r="HM304" s="185"/>
      <c r="HN304" s="185"/>
      <c r="HO304" s="185"/>
      <c r="HP304" s="185"/>
      <c r="HQ304" s="185"/>
      <c r="HR304" s="185"/>
      <c r="HS304" s="185"/>
      <c r="HT304" s="185"/>
      <c r="HU304" s="185"/>
      <c r="HV304" s="185"/>
      <c r="HW304" s="185"/>
      <c r="HX304" s="185"/>
      <c r="HY304" s="185"/>
      <c r="HZ304" s="185"/>
      <c r="IA304" s="185"/>
      <c r="IB304" s="185"/>
      <c r="IC304" s="185"/>
      <c r="ID304" s="185"/>
      <c r="IE304" s="185"/>
      <c r="IF304" s="185"/>
      <c r="IG304" s="185"/>
      <c r="IH304" s="185"/>
      <c r="II304" s="185"/>
      <c r="IJ304" s="185"/>
      <c r="IK304" s="185"/>
      <c r="IL304" s="185"/>
      <c r="IM304" s="185"/>
      <c r="IN304" s="185"/>
      <c r="IO304" s="185"/>
      <c r="IP304" s="185"/>
      <c r="IQ304" s="185"/>
      <c r="IR304" s="185"/>
      <c r="IS304" s="185"/>
      <c r="IT304" s="185"/>
      <c r="IU304" s="185"/>
      <c r="IV304" s="185"/>
    </row>
    <row r="305" spans="1:256" x14ac:dyDescent="0.25">
      <c r="A305" s="165" t="s">
        <v>707</v>
      </c>
      <c r="B305" s="165" t="s">
        <v>180</v>
      </c>
      <c r="C305" s="165" t="s">
        <v>181</v>
      </c>
      <c r="D305" s="165" t="s">
        <v>69</v>
      </c>
      <c r="E305" s="166">
        <v>19500000</v>
      </c>
      <c r="F305" s="166">
        <v>13945000</v>
      </c>
      <c r="G305" s="166">
        <v>13945000</v>
      </c>
      <c r="H305" s="166">
        <v>0</v>
      </c>
      <c r="I305" s="166">
        <v>1426615.85</v>
      </c>
      <c r="J305" s="166">
        <v>0</v>
      </c>
      <c r="K305" s="166">
        <v>0</v>
      </c>
      <c r="L305" s="167">
        <f t="shared" si="0"/>
        <v>0</v>
      </c>
      <c r="M305" s="166">
        <v>0</v>
      </c>
      <c r="N305" s="168">
        <f t="shared" si="1"/>
        <v>0</v>
      </c>
      <c r="O305" s="166">
        <v>12518384.15</v>
      </c>
      <c r="P305" s="168">
        <f t="shared" si="2"/>
        <v>0.89769696306920044</v>
      </c>
      <c r="Q305" s="166">
        <v>12518384.15</v>
      </c>
      <c r="GM305" s="185"/>
      <c r="GN305" s="185"/>
      <c r="GO305" s="185"/>
      <c r="GP305" s="185"/>
      <c r="GQ305" s="185"/>
      <c r="GR305" s="185"/>
      <c r="GS305" s="185"/>
      <c r="GT305" s="185"/>
      <c r="GU305" s="185"/>
      <c r="GV305" s="185"/>
      <c r="GW305" s="185"/>
      <c r="GX305" s="185"/>
      <c r="GY305" s="185"/>
      <c r="GZ305" s="185"/>
      <c r="HA305" s="185"/>
      <c r="HB305" s="185"/>
      <c r="HC305" s="185"/>
      <c r="HD305" s="185"/>
      <c r="HE305" s="185"/>
      <c r="HF305" s="185"/>
      <c r="HG305" s="185"/>
      <c r="HH305" s="185"/>
      <c r="HI305" s="185"/>
      <c r="HJ305" s="185"/>
      <c r="HK305" s="185"/>
      <c r="HL305" s="185"/>
      <c r="HM305" s="185"/>
      <c r="HN305" s="185"/>
      <c r="HO305" s="185"/>
      <c r="HP305" s="185"/>
      <c r="HQ305" s="185"/>
      <c r="HR305" s="185"/>
      <c r="HS305" s="185"/>
      <c r="HT305" s="185"/>
      <c r="HU305" s="185"/>
      <c r="HV305" s="185"/>
      <c r="HW305" s="185"/>
      <c r="HX305" s="185"/>
      <c r="HY305" s="185"/>
      <c r="HZ305" s="185"/>
      <c r="IA305" s="185"/>
      <c r="IB305" s="185"/>
      <c r="IC305" s="185"/>
      <c r="ID305" s="185"/>
      <c r="IE305" s="185"/>
      <c r="IF305" s="185"/>
      <c r="IG305" s="185"/>
      <c r="IH305" s="185"/>
      <c r="II305" s="185"/>
      <c r="IJ305" s="185"/>
      <c r="IK305" s="185"/>
      <c r="IL305" s="185"/>
      <c r="IM305" s="185"/>
      <c r="IN305" s="185"/>
      <c r="IO305" s="185"/>
      <c r="IP305" s="185"/>
      <c r="IQ305" s="185"/>
      <c r="IR305" s="185"/>
      <c r="IS305" s="185"/>
      <c r="IT305" s="185"/>
      <c r="IU305" s="185"/>
      <c r="IV305" s="185"/>
    </row>
    <row r="306" spans="1:256" hidden="1" x14ac:dyDescent="0.25">
      <c r="A306" s="165" t="s">
        <v>707</v>
      </c>
      <c r="B306" s="165" t="s">
        <v>182</v>
      </c>
      <c r="C306" s="165" t="s">
        <v>183</v>
      </c>
      <c r="D306" s="165" t="s">
        <v>69</v>
      </c>
      <c r="E306" s="166">
        <v>14390625</v>
      </c>
      <c r="F306" s="166">
        <v>14390625</v>
      </c>
      <c r="G306" s="166">
        <v>14390625</v>
      </c>
      <c r="H306" s="166">
        <v>0</v>
      </c>
      <c r="I306" s="166">
        <v>3185490.25</v>
      </c>
      <c r="J306" s="166">
        <v>0</v>
      </c>
      <c r="K306" s="166">
        <v>0</v>
      </c>
      <c r="L306" s="167">
        <f t="shared" si="0"/>
        <v>0</v>
      </c>
      <c r="M306" s="166">
        <v>0</v>
      </c>
      <c r="N306" s="168">
        <f t="shared" si="1"/>
        <v>0</v>
      </c>
      <c r="O306" s="166">
        <v>11205134.75</v>
      </c>
      <c r="P306" s="168">
        <f t="shared" si="2"/>
        <v>0.77864128555917478</v>
      </c>
      <c r="Q306" s="166">
        <v>11205134.75</v>
      </c>
      <c r="GM306" s="185"/>
      <c r="GN306" s="185"/>
      <c r="GO306" s="185"/>
      <c r="GP306" s="185"/>
      <c r="GQ306" s="185"/>
      <c r="GR306" s="185"/>
      <c r="GS306" s="185"/>
      <c r="GT306" s="185"/>
      <c r="GU306" s="185"/>
      <c r="GV306" s="185"/>
      <c r="GW306" s="185"/>
      <c r="GX306" s="185"/>
      <c r="GY306" s="185"/>
      <c r="GZ306" s="185"/>
      <c r="HA306" s="185"/>
      <c r="HB306" s="185"/>
      <c r="HC306" s="185"/>
      <c r="HD306" s="185"/>
      <c r="HE306" s="185"/>
      <c r="HF306" s="185"/>
      <c r="HG306" s="185"/>
      <c r="HH306" s="185"/>
      <c r="HI306" s="185"/>
      <c r="HJ306" s="185"/>
      <c r="HK306" s="185"/>
      <c r="HL306" s="185"/>
      <c r="HM306" s="185"/>
      <c r="HN306" s="185"/>
      <c r="HO306" s="185"/>
      <c r="HP306" s="185"/>
      <c r="HQ306" s="185"/>
      <c r="HR306" s="185"/>
      <c r="HS306" s="185"/>
      <c r="HT306" s="185"/>
      <c r="HU306" s="185"/>
      <c r="HV306" s="185"/>
      <c r="HW306" s="185"/>
      <c r="HX306" s="185"/>
      <c r="HY306" s="185"/>
      <c r="HZ306" s="185"/>
      <c r="IA306" s="185"/>
      <c r="IB306" s="185"/>
      <c r="IC306" s="185"/>
      <c r="ID306" s="185"/>
      <c r="IE306" s="185"/>
      <c r="IF306" s="185"/>
      <c r="IG306" s="185"/>
      <c r="IH306" s="185"/>
      <c r="II306" s="185"/>
      <c r="IJ306" s="185"/>
      <c r="IK306" s="185"/>
      <c r="IL306" s="185"/>
      <c r="IM306" s="185"/>
      <c r="IN306" s="185"/>
      <c r="IO306" s="185"/>
      <c r="IP306" s="185"/>
      <c r="IQ306" s="185"/>
      <c r="IR306" s="185"/>
      <c r="IS306" s="185"/>
      <c r="IT306" s="185"/>
      <c r="IU306" s="185"/>
      <c r="IV306" s="185"/>
    </row>
    <row r="307" spans="1:256" hidden="1" x14ac:dyDescent="0.25">
      <c r="A307" s="165" t="s">
        <v>707</v>
      </c>
      <c r="B307" s="165" t="s">
        <v>184</v>
      </c>
      <c r="C307" s="165" t="s">
        <v>185</v>
      </c>
      <c r="D307" s="165" t="s">
        <v>69</v>
      </c>
      <c r="E307" s="166">
        <v>5938711949</v>
      </c>
      <c r="F307" s="166">
        <v>5607355253</v>
      </c>
      <c r="G307" s="166">
        <v>5607355252</v>
      </c>
      <c r="H307" s="166">
        <v>131697703.08</v>
      </c>
      <c r="I307" s="166">
        <v>2072824077.6199999</v>
      </c>
      <c r="J307" s="166">
        <v>164833057.65000001</v>
      </c>
      <c r="K307" s="166">
        <v>2448701305.9899998</v>
      </c>
      <c r="L307" s="167">
        <f t="shared" si="0"/>
        <v>0.43669451916389929</v>
      </c>
      <c r="M307" s="166">
        <v>2399955008.71</v>
      </c>
      <c r="N307" s="168">
        <f t="shared" si="1"/>
        <v>0.42800124130283995</v>
      </c>
      <c r="O307" s="166">
        <v>789299108.65999997</v>
      </c>
      <c r="P307" s="168">
        <f t="shared" si="2"/>
        <v>0.14076138804255639</v>
      </c>
      <c r="Q307" s="166">
        <v>789299107.65999997</v>
      </c>
      <c r="GM307" s="185"/>
      <c r="GN307" s="185"/>
      <c r="GO307" s="185"/>
      <c r="GP307" s="185"/>
      <c r="GQ307" s="185"/>
      <c r="GR307" s="185"/>
      <c r="GS307" s="185"/>
      <c r="GT307" s="185"/>
      <c r="GU307" s="185"/>
      <c r="GV307" s="185"/>
      <c r="GW307" s="185"/>
      <c r="GX307" s="185"/>
      <c r="GY307" s="185"/>
      <c r="GZ307" s="185"/>
      <c r="HA307" s="185"/>
      <c r="HB307" s="185"/>
      <c r="HC307" s="185"/>
      <c r="HD307" s="185"/>
      <c r="HE307" s="185"/>
      <c r="HF307" s="185"/>
      <c r="HG307" s="185"/>
      <c r="HH307" s="185"/>
      <c r="HI307" s="185"/>
      <c r="HJ307" s="185"/>
      <c r="HK307" s="185"/>
      <c r="HL307" s="185"/>
      <c r="HM307" s="185"/>
      <c r="HN307" s="185"/>
      <c r="HO307" s="185"/>
      <c r="HP307" s="185"/>
      <c r="HQ307" s="185"/>
      <c r="HR307" s="185"/>
      <c r="HS307" s="185"/>
      <c r="HT307" s="185"/>
      <c r="HU307" s="185"/>
      <c r="HV307" s="185"/>
      <c r="HW307" s="185"/>
      <c r="HX307" s="185"/>
      <c r="HY307" s="185"/>
      <c r="HZ307" s="185"/>
      <c r="IA307" s="185"/>
      <c r="IB307" s="185"/>
      <c r="IC307" s="185"/>
      <c r="ID307" s="185"/>
      <c r="IE307" s="185"/>
      <c r="IF307" s="185"/>
      <c r="IG307" s="185"/>
      <c r="IH307" s="185"/>
      <c r="II307" s="185"/>
      <c r="IJ307" s="185"/>
      <c r="IK307" s="185"/>
      <c r="IL307" s="185"/>
      <c r="IM307" s="185"/>
      <c r="IN307" s="185"/>
      <c r="IO307" s="185"/>
      <c r="IP307" s="185"/>
      <c r="IQ307" s="185"/>
      <c r="IR307" s="185"/>
      <c r="IS307" s="185"/>
      <c r="IT307" s="185"/>
      <c r="IU307" s="185"/>
      <c r="IV307" s="185"/>
    </row>
    <row r="308" spans="1:256" hidden="1" x14ac:dyDescent="0.25">
      <c r="A308" s="165" t="s">
        <v>707</v>
      </c>
      <c r="B308" s="165" t="s">
        <v>186</v>
      </c>
      <c r="C308" s="165" t="s">
        <v>187</v>
      </c>
      <c r="D308" s="165" t="s">
        <v>69</v>
      </c>
      <c r="E308" s="166">
        <v>1018969461</v>
      </c>
      <c r="F308" s="166">
        <v>1024605450</v>
      </c>
      <c r="G308" s="166">
        <v>1024605450</v>
      </c>
      <c r="H308" s="166">
        <v>0</v>
      </c>
      <c r="I308" s="166">
        <v>212712345.66999999</v>
      </c>
      <c r="J308" s="166">
        <v>55166325.780000001</v>
      </c>
      <c r="K308" s="166">
        <v>459022054.13</v>
      </c>
      <c r="L308" s="167">
        <f t="shared" si="0"/>
        <v>0.44799884104657067</v>
      </c>
      <c r="M308" s="166">
        <v>446895870.49000001</v>
      </c>
      <c r="N308" s="168">
        <f t="shared" si="1"/>
        <v>0.43616386238234434</v>
      </c>
      <c r="O308" s="166">
        <v>297704724.42000002</v>
      </c>
      <c r="P308" s="168">
        <f t="shared" si="2"/>
        <v>0.29055547617865979</v>
      </c>
      <c r="Q308" s="166">
        <v>297704724.42000002</v>
      </c>
      <c r="GM308" s="185"/>
      <c r="GN308" s="185"/>
      <c r="GO308" s="185"/>
      <c r="GP308" s="185"/>
      <c r="GQ308" s="185"/>
      <c r="GR308" s="185"/>
      <c r="GS308" s="185"/>
      <c r="GT308" s="185"/>
      <c r="GU308" s="185"/>
      <c r="GV308" s="185"/>
      <c r="GW308" s="185"/>
      <c r="GX308" s="185"/>
      <c r="GY308" s="185"/>
      <c r="GZ308" s="185"/>
      <c r="HA308" s="185"/>
      <c r="HB308" s="185"/>
      <c r="HC308" s="185"/>
      <c r="HD308" s="185"/>
      <c r="HE308" s="185"/>
      <c r="HF308" s="185"/>
      <c r="HG308" s="185"/>
      <c r="HH308" s="185"/>
      <c r="HI308" s="185"/>
      <c r="HJ308" s="185"/>
      <c r="HK308" s="185"/>
      <c r="HL308" s="185"/>
      <c r="HM308" s="185"/>
      <c r="HN308" s="185"/>
      <c r="HO308" s="185"/>
      <c r="HP308" s="185"/>
      <c r="HQ308" s="185"/>
      <c r="HR308" s="185"/>
      <c r="HS308" s="185"/>
      <c r="HT308" s="185"/>
      <c r="HU308" s="185"/>
      <c r="HV308" s="185"/>
      <c r="HW308" s="185"/>
      <c r="HX308" s="185"/>
      <c r="HY308" s="185"/>
      <c r="HZ308" s="185"/>
      <c r="IA308" s="185"/>
      <c r="IB308" s="185"/>
      <c r="IC308" s="185"/>
      <c r="ID308" s="185"/>
      <c r="IE308" s="185"/>
      <c r="IF308" s="185"/>
      <c r="IG308" s="185"/>
      <c r="IH308" s="185"/>
      <c r="II308" s="185"/>
      <c r="IJ308" s="185"/>
      <c r="IK308" s="185"/>
      <c r="IL308" s="185"/>
      <c r="IM308" s="185"/>
      <c r="IN308" s="185"/>
      <c r="IO308" s="185"/>
      <c r="IP308" s="185"/>
      <c r="IQ308" s="185"/>
      <c r="IR308" s="185"/>
      <c r="IS308" s="185"/>
      <c r="IT308" s="185"/>
      <c r="IU308" s="185"/>
      <c r="IV308" s="185"/>
    </row>
    <row r="309" spans="1:256" hidden="1" x14ac:dyDescent="0.25">
      <c r="A309" s="165" t="s">
        <v>707</v>
      </c>
      <c r="B309" s="165" t="s">
        <v>188</v>
      </c>
      <c r="C309" s="165" t="s">
        <v>189</v>
      </c>
      <c r="D309" s="165" t="s">
        <v>69</v>
      </c>
      <c r="E309" s="166">
        <v>735778133</v>
      </c>
      <c r="F309" s="166">
        <v>749681315</v>
      </c>
      <c r="G309" s="166">
        <v>749681315</v>
      </c>
      <c r="H309" s="166">
        <v>0</v>
      </c>
      <c r="I309" s="166">
        <v>144489436.72999999</v>
      </c>
      <c r="J309" s="166">
        <v>13767062.5</v>
      </c>
      <c r="K309" s="166">
        <v>316421415.52999997</v>
      </c>
      <c r="L309" s="167">
        <f t="shared" si="0"/>
        <v>0.42207456581734332</v>
      </c>
      <c r="M309" s="166">
        <v>304295231.88999999</v>
      </c>
      <c r="N309" s="168">
        <f t="shared" si="1"/>
        <v>0.405899447940756</v>
      </c>
      <c r="O309" s="166">
        <v>275003400.24000001</v>
      </c>
      <c r="P309" s="168">
        <f t="shared" si="2"/>
        <v>0.36682707003308468</v>
      </c>
      <c r="Q309" s="166">
        <v>275003400.24000001</v>
      </c>
      <c r="GM309" s="185"/>
      <c r="GN309" s="185"/>
      <c r="GO309" s="185"/>
      <c r="GP309" s="185"/>
      <c r="GQ309" s="185"/>
      <c r="GR309" s="185"/>
      <c r="GS309" s="185"/>
      <c r="GT309" s="185"/>
      <c r="GU309" s="185"/>
      <c r="GV309" s="185"/>
      <c r="GW309" s="185"/>
      <c r="GX309" s="185"/>
      <c r="GY309" s="185"/>
      <c r="GZ309" s="185"/>
      <c r="HA309" s="185"/>
      <c r="HB309" s="185"/>
      <c r="HC309" s="185"/>
      <c r="HD309" s="185"/>
      <c r="HE309" s="185"/>
      <c r="HF309" s="185"/>
      <c r="HG309" s="185"/>
      <c r="HH309" s="185"/>
      <c r="HI309" s="185"/>
      <c r="HJ309" s="185"/>
      <c r="HK309" s="185"/>
      <c r="HL309" s="185"/>
      <c r="HM309" s="185"/>
      <c r="HN309" s="185"/>
      <c r="HO309" s="185"/>
      <c r="HP309" s="185"/>
      <c r="HQ309" s="185"/>
      <c r="HR309" s="185"/>
      <c r="HS309" s="185"/>
      <c r="HT309" s="185"/>
      <c r="HU309" s="185"/>
      <c r="HV309" s="185"/>
      <c r="HW309" s="185"/>
      <c r="HX309" s="185"/>
      <c r="HY309" s="185"/>
      <c r="HZ309" s="185"/>
      <c r="IA309" s="185"/>
      <c r="IB309" s="185"/>
      <c r="IC309" s="185"/>
      <c r="ID309" s="185"/>
      <c r="IE309" s="185"/>
      <c r="IF309" s="185"/>
      <c r="IG309" s="185"/>
      <c r="IH309" s="185"/>
      <c r="II309" s="185"/>
      <c r="IJ309" s="185"/>
      <c r="IK309" s="185"/>
      <c r="IL309" s="185"/>
      <c r="IM309" s="185"/>
      <c r="IN309" s="185"/>
      <c r="IO309" s="185"/>
      <c r="IP309" s="185"/>
      <c r="IQ309" s="185"/>
      <c r="IR309" s="185"/>
      <c r="IS309" s="185"/>
      <c r="IT309" s="185"/>
      <c r="IU309" s="185"/>
      <c r="IV309" s="185"/>
    </row>
    <row r="310" spans="1:256" hidden="1" x14ac:dyDescent="0.25">
      <c r="A310" s="165" t="s">
        <v>707</v>
      </c>
      <c r="B310" s="165" t="s">
        <v>190</v>
      </c>
      <c r="C310" s="165" t="s">
        <v>191</v>
      </c>
      <c r="D310" s="165" t="s">
        <v>69</v>
      </c>
      <c r="E310" s="166">
        <v>224830540</v>
      </c>
      <c r="F310" s="166">
        <v>220146790</v>
      </c>
      <c r="G310" s="166">
        <v>220146790</v>
      </c>
      <c r="H310" s="166">
        <v>0</v>
      </c>
      <c r="I310" s="166">
        <v>66751008.939999998</v>
      </c>
      <c r="J310" s="166">
        <v>37147000</v>
      </c>
      <c r="K310" s="166">
        <v>109050986.48</v>
      </c>
      <c r="L310" s="167">
        <f t="shared" si="0"/>
        <v>0.49535578729083446</v>
      </c>
      <c r="M310" s="166">
        <v>109050986.48</v>
      </c>
      <c r="N310" s="168">
        <f t="shared" si="1"/>
        <v>0.49535578729083446</v>
      </c>
      <c r="O310" s="166">
        <v>7197794.5800000001</v>
      </c>
      <c r="P310" s="168">
        <f t="shared" si="2"/>
        <v>3.269543280644701E-2</v>
      </c>
      <c r="Q310" s="166">
        <v>7197794.5800000001</v>
      </c>
      <c r="GM310" s="185"/>
      <c r="GN310" s="185"/>
      <c r="GO310" s="185"/>
      <c r="GP310" s="185"/>
      <c r="GQ310" s="185"/>
      <c r="GR310" s="185"/>
      <c r="GS310" s="185"/>
      <c r="GT310" s="185"/>
      <c r="GU310" s="185"/>
      <c r="GV310" s="185"/>
      <c r="GW310" s="185"/>
      <c r="GX310" s="185"/>
      <c r="GY310" s="185"/>
      <c r="GZ310" s="185"/>
      <c r="HA310" s="185"/>
      <c r="HB310" s="185"/>
      <c r="HC310" s="185"/>
      <c r="HD310" s="185"/>
      <c r="HE310" s="185"/>
      <c r="HF310" s="185"/>
      <c r="HG310" s="185"/>
      <c r="HH310" s="185"/>
      <c r="HI310" s="185"/>
      <c r="HJ310" s="185"/>
      <c r="HK310" s="185"/>
      <c r="HL310" s="185"/>
      <c r="HM310" s="185"/>
      <c r="HN310" s="185"/>
      <c r="HO310" s="185"/>
      <c r="HP310" s="185"/>
      <c r="HQ310" s="185"/>
      <c r="HR310" s="185"/>
      <c r="HS310" s="185"/>
      <c r="HT310" s="185"/>
      <c r="HU310" s="185"/>
      <c r="HV310" s="185"/>
      <c r="HW310" s="185"/>
      <c r="HX310" s="185"/>
      <c r="HY310" s="185"/>
      <c r="HZ310" s="185"/>
      <c r="IA310" s="185"/>
      <c r="IB310" s="185"/>
      <c r="IC310" s="185"/>
      <c r="ID310" s="185"/>
      <c r="IE310" s="185"/>
      <c r="IF310" s="185"/>
      <c r="IG310" s="185"/>
      <c r="IH310" s="185"/>
      <c r="II310" s="185"/>
      <c r="IJ310" s="185"/>
      <c r="IK310" s="185"/>
      <c r="IL310" s="185"/>
      <c r="IM310" s="185"/>
      <c r="IN310" s="185"/>
      <c r="IO310" s="185"/>
      <c r="IP310" s="185"/>
      <c r="IQ310" s="185"/>
      <c r="IR310" s="185"/>
      <c r="IS310" s="185"/>
      <c r="IT310" s="185"/>
      <c r="IU310" s="185"/>
      <c r="IV310" s="185"/>
    </row>
    <row r="311" spans="1:256" x14ac:dyDescent="0.25">
      <c r="A311" s="165" t="s">
        <v>707</v>
      </c>
      <c r="B311" s="165" t="s">
        <v>350</v>
      </c>
      <c r="C311" s="165" t="s">
        <v>351</v>
      </c>
      <c r="D311" s="165" t="s">
        <v>69</v>
      </c>
      <c r="E311" s="166">
        <v>12909188</v>
      </c>
      <c r="F311" s="166">
        <v>12909188</v>
      </c>
      <c r="G311" s="166">
        <v>12909188</v>
      </c>
      <c r="H311" s="166">
        <v>0</v>
      </c>
      <c r="I311" s="166">
        <v>120975</v>
      </c>
      <c r="J311" s="166">
        <v>2016114.92</v>
      </c>
      <c r="K311" s="166">
        <v>0</v>
      </c>
      <c r="L311" s="167">
        <f t="shared" si="0"/>
        <v>0</v>
      </c>
      <c r="M311" s="166">
        <v>0</v>
      </c>
      <c r="N311" s="168">
        <f t="shared" si="1"/>
        <v>0</v>
      </c>
      <c r="O311" s="166">
        <v>10772098.08</v>
      </c>
      <c r="P311" s="168">
        <f t="shared" si="2"/>
        <v>0.83445202595236823</v>
      </c>
      <c r="Q311" s="166">
        <v>10772098.08</v>
      </c>
      <c r="GM311" s="185"/>
      <c r="GN311" s="185"/>
      <c r="GO311" s="185"/>
      <c r="GP311" s="185"/>
      <c r="GQ311" s="185"/>
      <c r="GR311" s="185"/>
      <c r="GS311" s="185"/>
      <c r="GT311" s="185"/>
      <c r="GU311" s="185"/>
      <c r="GV311" s="185"/>
      <c r="GW311" s="185"/>
      <c r="GX311" s="185"/>
      <c r="GY311" s="185"/>
      <c r="GZ311" s="185"/>
      <c r="HA311" s="185"/>
      <c r="HB311" s="185"/>
      <c r="HC311" s="185"/>
      <c r="HD311" s="185"/>
      <c r="HE311" s="185"/>
      <c r="HF311" s="185"/>
      <c r="HG311" s="185"/>
      <c r="HH311" s="185"/>
      <c r="HI311" s="185"/>
      <c r="HJ311" s="185"/>
      <c r="HK311" s="185"/>
      <c r="HL311" s="185"/>
      <c r="HM311" s="185"/>
      <c r="HN311" s="185"/>
      <c r="HO311" s="185"/>
      <c r="HP311" s="185"/>
      <c r="HQ311" s="185"/>
      <c r="HR311" s="185"/>
      <c r="HS311" s="185"/>
      <c r="HT311" s="185"/>
      <c r="HU311" s="185"/>
      <c r="HV311" s="185"/>
      <c r="HW311" s="185"/>
      <c r="HX311" s="185"/>
      <c r="HY311" s="185"/>
      <c r="HZ311" s="185"/>
      <c r="IA311" s="185"/>
      <c r="IB311" s="185"/>
      <c r="IC311" s="185"/>
      <c r="ID311" s="185"/>
      <c r="IE311" s="185"/>
      <c r="IF311" s="185"/>
      <c r="IG311" s="185"/>
      <c r="IH311" s="185"/>
      <c r="II311" s="185"/>
      <c r="IJ311" s="185"/>
      <c r="IK311" s="185"/>
      <c r="IL311" s="185"/>
      <c r="IM311" s="185"/>
      <c r="IN311" s="185"/>
      <c r="IO311" s="185"/>
      <c r="IP311" s="185"/>
      <c r="IQ311" s="185"/>
      <c r="IR311" s="185"/>
      <c r="IS311" s="185"/>
      <c r="IT311" s="185"/>
      <c r="IU311" s="185"/>
      <c r="IV311" s="185"/>
    </row>
    <row r="312" spans="1:256" hidden="1" x14ac:dyDescent="0.25">
      <c r="A312" s="44" t="s">
        <v>707</v>
      </c>
      <c r="B312" s="44" t="s">
        <v>192</v>
      </c>
      <c r="C312" s="44" t="s">
        <v>193</v>
      </c>
      <c r="D312" s="44" t="s">
        <v>69</v>
      </c>
      <c r="E312" s="50">
        <v>40465200</v>
      </c>
      <c r="F312" s="50">
        <v>36881757</v>
      </c>
      <c r="G312" s="50">
        <v>36881757</v>
      </c>
      <c r="H312" s="50">
        <v>0</v>
      </c>
      <c r="I312" s="50">
        <v>1350925</v>
      </c>
      <c r="J312" s="50">
        <v>462735</v>
      </c>
      <c r="K312" s="50">
        <v>32323492.120000001</v>
      </c>
      <c r="L312" s="151">
        <f t="shared" si="0"/>
        <v>0.87640868410905703</v>
      </c>
      <c r="M312" s="50">
        <v>32323492.120000001</v>
      </c>
      <c r="N312" s="152">
        <f t="shared" si="1"/>
        <v>0.87640868410905703</v>
      </c>
      <c r="O312" s="50">
        <v>2744604.88</v>
      </c>
      <c r="P312" s="152">
        <f t="shared" si="2"/>
        <v>7.4416326749292341E-2</v>
      </c>
      <c r="Q312" s="50">
        <v>2744604.88</v>
      </c>
    </row>
    <row r="313" spans="1:256" hidden="1" x14ac:dyDescent="0.25">
      <c r="A313" s="44" t="s">
        <v>707</v>
      </c>
      <c r="B313" s="44" t="s">
        <v>194</v>
      </c>
      <c r="C313" s="44" t="s">
        <v>195</v>
      </c>
      <c r="D313" s="44" t="s">
        <v>69</v>
      </c>
      <c r="E313" s="50">
        <v>4986400</v>
      </c>
      <c r="F313" s="50">
        <v>4986400</v>
      </c>
      <c r="G313" s="50">
        <v>4986400</v>
      </c>
      <c r="H313" s="50">
        <v>0</v>
      </c>
      <c r="I313" s="50">
        <v>0</v>
      </c>
      <c r="J313" s="50">
        <v>1773413.36</v>
      </c>
      <c r="K313" s="50">
        <v>1226160</v>
      </c>
      <c r="L313" s="151">
        <f t="shared" si="0"/>
        <v>0.24590085031285094</v>
      </c>
      <c r="M313" s="50">
        <v>1226160</v>
      </c>
      <c r="N313" s="152">
        <f t="shared" si="1"/>
        <v>0.24590085031285094</v>
      </c>
      <c r="O313" s="50">
        <v>1986826.64</v>
      </c>
      <c r="P313" s="152">
        <f t="shared" si="2"/>
        <v>0.3984491095780523</v>
      </c>
      <c r="Q313" s="50">
        <v>1986826.64</v>
      </c>
    </row>
    <row r="314" spans="1:256" hidden="1" x14ac:dyDescent="0.25">
      <c r="A314" s="44" t="s">
        <v>707</v>
      </c>
      <c r="B314" s="44" t="s">
        <v>196</v>
      </c>
      <c r="C314" s="44" t="s">
        <v>197</v>
      </c>
      <c r="D314" s="44" t="s">
        <v>69</v>
      </c>
      <c r="E314" s="50">
        <v>1012911000</v>
      </c>
      <c r="F314" s="50">
        <v>1012911000</v>
      </c>
      <c r="G314" s="50">
        <v>1012911000</v>
      </c>
      <c r="H314" s="50">
        <v>6427249.8300000001</v>
      </c>
      <c r="I314" s="50">
        <v>87227110.590000004</v>
      </c>
      <c r="J314" s="50">
        <v>59947748.960000001</v>
      </c>
      <c r="K314" s="50">
        <v>734754334.38999999</v>
      </c>
      <c r="L314" s="151">
        <f t="shared" si="0"/>
        <v>0.72538883908852803</v>
      </c>
      <c r="M314" s="50">
        <v>734754334.38999999</v>
      </c>
      <c r="N314" s="152">
        <f t="shared" si="1"/>
        <v>0.72538883908852803</v>
      </c>
      <c r="O314" s="50">
        <v>124554556.23</v>
      </c>
      <c r="P314" s="152">
        <f t="shared" si="2"/>
        <v>0.12296693019426189</v>
      </c>
      <c r="Q314" s="50">
        <v>124554556.23</v>
      </c>
    </row>
    <row r="315" spans="1:256" hidden="1" x14ac:dyDescent="0.25">
      <c r="A315" s="44" t="s">
        <v>707</v>
      </c>
      <c r="B315" s="44" t="s">
        <v>198</v>
      </c>
      <c r="C315" s="44" t="s">
        <v>199</v>
      </c>
      <c r="D315" s="44" t="s">
        <v>69</v>
      </c>
      <c r="E315" s="50">
        <v>987000000</v>
      </c>
      <c r="F315" s="50">
        <v>987000000</v>
      </c>
      <c r="G315" s="50">
        <v>987000000</v>
      </c>
      <c r="H315" s="50">
        <v>6427249.8300000001</v>
      </c>
      <c r="I315" s="50">
        <v>75007940.340000004</v>
      </c>
      <c r="J315" s="50">
        <v>59947748.960000001</v>
      </c>
      <c r="K315" s="50">
        <v>721073735.13999999</v>
      </c>
      <c r="L315" s="151">
        <f t="shared" si="0"/>
        <v>0.7305711602228977</v>
      </c>
      <c r="M315" s="50">
        <v>721073735.13999999</v>
      </c>
      <c r="N315" s="152">
        <f t="shared" si="1"/>
        <v>0.7305711602228977</v>
      </c>
      <c r="O315" s="50">
        <v>124543325.73</v>
      </c>
      <c r="P315" s="152">
        <f t="shared" si="2"/>
        <v>0.12618371401215805</v>
      </c>
      <c r="Q315" s="50">
        <v>124543325.73</v>
      </c>
    </row>
    <row r="316" spans="1:256" hidden="1" x14ac:dyDescent="0.25">
      <c r="A316" s="44" t="s">
        <v>707</v>
      </c>
      <c r="B316" s="44" t="s">
        <v>352</v>
      </c>
      <c r="C316" s="44" t="s">
        <v>353</v>
      </c>
      <c r="D316" s="44" t="s">
        <v>69</v>
      </c>
      <c r="E316" s="50">
        <v>25911000</v>
      </c>
      <c r="F316" s="50">
        <v>25911000</v>
      </c>
      <c r="G316" s="50">
        <v>25911000</v>
      </c>
      <c r="H316" s="50">
        <v>0</v>
      </c>
      <c r="I316" s="50">
        <v>12219170.25</v>
      </c>
      <c r="J316" s="50">
        <v>0</v>
      </c>
      <c r="K316" s="50">
        <v>13680599.25</v>
      </c>
      <c r="L316" s="151">
        <f t="shared" si="0"/>
        <v>0.52798422484659024</v>
      </c>
      <c r="M316" s="50">
        <v>13680599.25</v>
      </c>
      <c r="N316" s="152">
        <f t="shared" si="1"/>
        <v>0.52798422484659024</v>
      </c>
      <c r="O316" s="50">
        <v>11230.5</v>
      </c>
      <c r="P316" s="152">
        <f t="shared" si="2"/>
        <v>4.3342595808729882E-4</v>
      </c>
      <c r="Q316" s="50">
        <v>11230.5</v>
      </c>
    </row>
    <row r="317" spans="1:256" hidden="1" x14ac:dyDescent="0.25">
      <c r="A317" s="44" t="s">
        <v>707</v>
      </c>
      <c r="B317" s="44" t="s">
        <v>200</v>
      </c>
      <c r="C317" s="44" t="s">
        <v>201</v>
      </c>
      <c r="D317" s="44" t="s">
        <v>69</v>
      </c>
      <c r="E317" s="50">
        <v>492133633</v>
      </c>
      <c r="F317" s="50">
        <v>532279085</v>
      </c>
      <c r="G317" s="50">
        <v>532279084</v>
      </c>
      <c r="H317" s="50">
        <v>38733393.990000002</v>
      </c>
      <c r="I317" s="50">
        <v>48276865.979999997</v>
      </c>
      <c r="J317" s="50">
        <v>16459318.720000001</v>
      </c>
      <c r="K317" s="50">
        <v>340238354.26999998</v>
      </c>
      <c r="L317" s="151">
        <f t="shared" si="0"/>
        <v>0.63921045154347922</v>
      </c>
      <c r="M317" s="50">
        <v>327619196.19</v>
      </c>
      <c r="N317" s="152">
        <f t="shared" si="1"/>
        <v>0.61550266659453656</v>
      </c>
      <c r="O317" s="50">
        <v>88571152.040000007</v>
      </c>
      <c r="P317" s="152">
        <f t="shared" si="2"/>
        <v>0.16639983522929519</v>
      </c>
      <c r="Q317" s="50">
        <v>88571151.040000007</v>
      </c>
    </row>
    <row r="318" spans="1:256" hidden="1" x14ac:dyDescent="0.25">
      <c r="A318" s="44" t="s">
        <v>707</v>
      </c>
      <c r="B318" s="44" t="s">
        <v>314</v>
      </c>
      <c r="C318" s="44" t="s">
        <v>315</v>
      </c>
      <c r="D318" s="44" t="s">
        <v>69</v>
      </c>
      <c r="E318" s="50">
        <v>116502163</v>
      </c>
      <c r="F318" s="50">
        <v>138638873</v>
      </c>
      <c r="G318" s="50">
        <v>138638873</v>
      </c>
      <c r="H318" s="50">
        <v>18143633.129999999</v>
      </c>
      <c r="I318" s="50">
        <v>5485403.6399999997</v>
      </c>
      <c r="J318" s="50">
        <v>112836.15</v>
      </c>
      <c r="K318" s="50">
        <v>82017397.760000005</v>
      </c>
      <c r="L318" s="151">
        <f t="shared" si="0"/>
        <v>0.5915901938989363</v>
      </c>
      <c r="M318" s="50">
        <v>78852795.180000007</v>
      </c>
      <c r="N318" s="152">
        <f t="shared" si="1"/>
        <v>0.56876396550049857</v>
      </c>
      <c r="O318" s="50">
        <v>32879602.32</v>
      </c>
      <c r="P318" s="152">
        <f t="shared" si="2"/>
        <v>0.23716005192858139</v>
      </c>
      <c r="Q318" s="50">
        <v>32879602.32</v>
      </c>
    </row>
    <row r="319" spans="1:256" hidden="1" x14ac:dyDescent="0.25">
      <c r="A319" s="44" t="s">
        <v>707</v>
      </c>
      <c r="B319" s="44" t="s">
        <v>316</v>
      </c>
      <c r="C319" s="44" t="s">
        <v>317</v>
      </c>
      <c r="D319" s="44" t="s">
        <v>69</v>
      </c>
      <c r="E319" s="50">
        <v>100168000</v>
      </c>
      <c r="F319" s="50">
        <v>100168000</v>
      </c>
      <c r="G319" s="50">
        <v>100168000</v>
      </c>
      <c r="H319" s="50">
        <v>1663827.36</v>
      </c>
      <c r="I319" s="50">
        <v>30523569.039999999</v>
      </c>
      <c r="J319" s="50">
        <v>0</v>
      </c>
      <c r="K319" s="50">
        <v>66166194.719999999</v>
      </c>
      <c r="L319" s="151">
        <f t="shared" si="0"/>
        <v>0.66055221947128817</v>
      </c>
      <c r="M319" s="50">
        <v>62132094.719999999</v>
      </c>
      <c r="N319" s="152">
        <f t="shared" si="1"/>
        <v>0.62027887868381115</v>
      </c>
      <c r="O319" s="50">
        <v>1814408.88</v>
      </c>
      <c r="P319" s="152">
        <f t="shared" si="2"/>
        <v>1.8113657854803927E-2</v>
      </c>
      <c r="Q319" s="50">
        <v>1814408.88</v>
      </c>
    </row>
    <row r="320" spans="1:256" hidden="1" x14ac:dyDescent="0.25">
      <c r="A320" s="44" t="s">
        <v>707</v>
      </c>
      <c r="B320" s="44" t="s">
        <v>318</v>
      </c>
      <c r="C320" s="44" t="s">
        <v>319</v>
      </c>
      <c r="D320" s="44" t="s">
        <v>69</v>
      </c>
      <c r="E320" s="50">
        <v>88546837</v>
      </c>
      <c r="F320" s="50">
        <v>124611598</v>
      </c>
      <c r="G320" s="50">
        <v>124611598</v>
      </c>
      <c r="H320" s="50">
        <v>0</v>
      </c>
      <c r="I320" s="50">
        <v>0</v>
      </c>
      <c r="J320" s="50">
        <v>3977346.88</v>
      </c>
      <c r="K320" s="50">
        <v>102752216.48</v>
      </c>
      <c r="L320" s="151">
        <f t="shared" si="0"/>
        <v>0.8245798796352809</v>
      </c>
      <c r="M320" s="50">
        <v>102752216.48</v>
      </c>
      <c r="N320" s="152">
        <f t="shared" si="1"/>
        <v>0.8245798796352809</v>
      </c>
      <c r="O320" s="50">
        <v>17882034.640000001</v>
      </c>
      <c r="P320" s="152">
        <f t="shared" si="2"/>
        <v>0.14350216935665971</v>
      </c>
      <c r="Q320" s="50">
        <v>17882034.640000001</v>
      </c>
    </row>
    <row r="321" spans="1:256" hidden="1" x14ac:dyDescent="0.25">
      <c r="A321" s="44" t="s">
        <v>707</v>
      </c>
      <c r="B321" s="44" t="s">
        <v>202</v>
      </c>
      <c r="C321" s="44" t="s">
        <v>203</v>
      </c>
      <c r="D321" s="44" t="s">
        <v>69</v>
      </c>
      <c r="E321" s="50">
        <v>110456300</v>
      </c>
      <c r="F321" s="50">
        <v>105456300</v>
      </c>
      <c r="G321" s="50">
        <v>105456299</v>
      </c>
      <c r="H321" s="50">
        <v>3630579.5</v>
      </c>
      <c r="I321" s="50">
        <v>11691372.949999999</v>
      </c>
      <c r="J321" s="50">
        <v>11241984.869999999</v>
      </c>
      <c r="K321" s="50">
        <v>47859280.200000003</v>
      </c>
      <c r="L321" s="151">
        <f t="shared" si="0"/>
        <v>0.45383045109680503</v>
      </c>
      <c r="M321" s="50">
        <v>42873920.200000003</v>
      </c>
      <c r="N321" s="152">
        <f t="shared" si="1"/>
        <v>0.40655627212409312</v>
      </c>
      <c r="O321" s="50">
        <v>31033082.48</v>
      </c>
      <c r="P321" s="152">
        <f t="shared" si="2"/>
        <v>0.29427433429771382</v>
      </c>
      <c r="Q321" s="50">
        <v>31033081.48</v>
      </c>
    </row>
    <row r="322" spans="1:256" hidden="1" x14ac:dyDescent="0.25">
      <c r="A322" s="44" t="s">
        <v>707</v>
      </c>
      <c r="B322" s="44" t="s">
        <v>320</v>
      </c>
      <c r="C322" s="44" t="s">
        <v>321</v>
      </c>
      <c r="D322" s="44" t="s">
        <v>69</v>
      </c>
      <c r="E322" s="50">
        <v>2261183</v>
      </c>
      <c r="F322" s="50">
        <v>1140592</v>
      </c>
      <c r="G322" s="50">
        <v>1140592</v>
      </c>
      <c r="H322" s="50">
        <v>1066455</v>
      </c>
      <c r="I322" s="50">
        <v>0</v>
      </c>
      <c r="J322" s="50">
        <v>0</v>
      </c>
      <c r="K322" s="50">
        <v>0</v>
      </c>
      <c r="L322" s="151">
        <f t="shared" si="0"/>
        <v>0</v>
      </c>
      <c r="M322" s="50">
        <v>0</v>
      </c>
      <c r="N322" s="152">
        <f t="shared" si="1"/>
        <v>0</v>
      </c>
      <c r="O322" s="50">
        <v>74137</v>
      </c>
      <c r="P322" s="152">
        <f t="shared" si="2"/>
        <v>6.4998702428212721E-2</v>
      </c>
      <c r="Q322" s="50">
        <v>74137</v>
      </c>
    </row>
    <row r="323" spans="1:256" hidden="1" x14ac:dyDescent="0.25">
      <c r="A323" s="44" t="s">
        <v>707</v>
      </c>
      <c r="B323" s="44" t="s">
        <v>204</v>
      </c>
      <c r="C323" s="44" t="s">
        <v>205</v>
      </c>
      <c r="D323" s="44" t="s">
        <v>69</v>
      </c>
      <c r="E323" s="50">
        <v>51120350</v>
      </c>
      <c r="F323" s="50">
        <v>39184922</v>
      </c>
      <c r="G323" s="50">
        <v>39184922</v>
      </c>
      <c r="H323" s="50">
        <v>12287785</v>
      </c>
      <c r="I323" s="50">
        <v>0</v>
      </c>
      <c r="J323" s="50">
        <v>0</v>
      </c>
      <c r="K323" s="50">
        <v>24397936.649999999</v>
      </c>
      <c r="L323" s="151">
        <f t="shared" si="0"/>
        <v>0.62263583553898616</v>
      </c>
      <c r="M323" s="50">
        <v>23962841.149999999</v>
      </c>
      <c r="N323" s="152">
        <f t="shared" si="1"/>
        <v>0.61153218960088773</v>
      </c>
      <c r="O323" s="50">
        <v>2499200.35</v>
      </c>
      <c r="P323" s="152">
        <f t="shared" si="2"/>
        <v>6.3779643353634854E-2</v>
      </c>
      <c r="Q323" s="50">
        <v>2499200.35</v>
      </c>
    </row>
    <row r="324" spans="1:256" hidden="1" x14ac:dyDescent="0.25">
      <c r="A324" s="44" t="s">
        <v>707</v>
      </c>
      <c r="B324" s="44" t="s">
        <v>322</v>
      </c>
      <c r="C324" s="44" t="s">
        <v>323</v>
      </c>
      <c r="D324" s="44" t="s">
        <v>69</v>
      </c>
      <c r="E324" s="50">
        <v>23078800</v>
      </c>
      <c r="F324" s="50">
        <v>23078800</v>
      </c>
      <c r="G324" s="50">
        <v>23078800</v>
      </c>
      <c r="H324" s="50">
        <v>1941114</v>
      </c>
      <c r="I324" s="50">
        <v>576520.35</v>
      </c>
      <c r="J324" s="50">
        <v>1127150.82</v>
      </c>
      <c r="K324" s="50">
        <v>17045328.460000001</v>
      </c>
      <c r="L324" s="151">
        <f t="shared" si="0"/>
        <v>0.73857082950586694</v>
      </c>
      <c r="M324" s="50">
        <v>17045328.460000001</v>
      </c>
      <c r="N324" s="152">
        <f t="shared" si="1"/>
        <v>0.73857082950586694</v>
      </c>
      <c r="O324" s="50">
        <v>2388686.37</v>
      </c>
      <c r="P324" s="152">
        <f t="shared" si="2"/>
        <v>0.10350132459226651</v>
      </c>
      <c r="Q324" s="50">
        <v>2388686.37</v>
      </c>
    </row>
    <row r="325" spans="1:256" hidden="1" x14ac:dyDescent="0.25">
      <c r="A325" s="44" t="s">
        <v>707</v>
      </c>
      <c r="B325" s="44" t="s">
        <v>206</v>
      </c>
      <c r="C325" s="44" t="s">
        <v>207</v>
      </c>
      <c r="D325" s="44" t="s">
        <v>69</v>
      </c>
      <c r="E325" s="50">
        <v>144803139</v>
      </c>
      <c r="F325" s="50">
        <v>148458599</v>
      </c>
      <c r="G325" s="50">
        <v>148458599</v>
      </c>
      <c r="H325" s="50">
        <v>20822154.82</v>
      </c>
      <c r="I325" s="50">
        <v>34664587.329999998</v>
      </c>
      <c r="J325" s="50">
        <v>13928901.6</v>
      </c>
      <c r="K325" s="50">
        <v>54699189.259999998</v>
      </c>
      <c r="L325" s="151">
        <f t="shared" si="0"/>
        <v>0.36844742998012531</v>
      </c>
      <c r="M325" s="50">
        <v>54699189.259999998</v>
      </c>
      <c r="N325" s="152">
        <f t="shared" si="1"/>
        <v>0.36844742998012531</v>
      </c>
      <c r="O325" s="50">
        <v>24343765.989999998</v>
      </c>
      <c r="P325" s="152">
        <f t="shared" si="2"/>
        <v>0.16397679995619519</v>
      </c>
      <c r="Q325" s="50">
        <v>24343765.989999998</v>
      </c>
    </row>
    <row r="326" spans="1:256" hidden="1" x14ac:dyDescent="0.25">
      <c r="A326" s="44" t="s">
        <v>707</v>
      </c>
      <c r="B326" s="44" t="s">
        <v>208</v>
      </c>
      <c r="C326" s="44" t="s">
        <v>209</v>
      </c>
      <c r="D326" s="44" t="s">
        <v>69</v>
      </c>
      <c r="E326" s="50">
        <v>17162500</v>
      </c>
      <c r="F326" s="50">
        <v>22627960</v>
      </c>
      <c r="G326" s="50">
        <v>22627960</v>
      </c>
      <c r="H326" s="50">
        <v>310605</v>
      </c>
      <c r="I326" s="50">
        <v>193729.59</v>
      </c>
      <c r="J326" s="50">
        <v>0</v>
      </c>
      <c r="K326" s="50">
        <v>15858930.300000001</v>
      </c>
      <c r="L326" s="151">
        <f t="shared" si="0"/>
        <v>0.70085550354517157</v>
      </c>
      <c r="M326" s="50">
        <v>15858930.300000001</v>
      </c>
      <c r="N326" s="152">
        <f t="shared" si="1"/>
        <v>0.70085550354517157</v>
      </c>
      <c r="O326" s="50">
        <v>6264695.1100000003</v>
      </c>
      <c r="P326" s="152">
        <f t="shared" si="2"/>
        <v>0.27685638077847052</v>
      </c>
      <c r="Q326" s="50">
        <v>6264695.1100000003</v>
      </c>
    </row>
    <row r="327" spans="1:256" hidden="1" x14ac:dyDescent="0.25">
      <c r="A327" s="44" t="s">
        <v>707</v>
      </c>
      <c r="B327" s="44" t="s">
        <v>210</v>
      </c>
      <c r="C327" s="44" t="s">
        <v>211</v>
      </c>
      <c r="D327" s="44" t="s">
        <v>69</v>
      </c>
      <c r="E327" s="50">
        <v>127640639</v>
      </c>
      <c r="F327" s="50">
        <v>125830639</v>
      </c>
      <c r="G327" s="50">
        <v>125830639</v>
      </c>
      <c r="H327" s="50">
        <v>20511549.82</v>
      </c>
      <c r="I327" s="50">
        <v>34470857.740000002</v>
      </c>
      <c r="J327" s="50">
        <v>13928901.6</v>
      </c>
      <c r="K327" s="50">
        <v>38840258.960000001</v>
      </c>
      <c r="L327" s="151">
        <f t="shared" si="0"/>
        <v>0.3086709188530784</v>
      </c>
      <c r="M327" s="50">
        <v>38840258.960000001</v>
      </c>
      <c r="N327" s="152">
        <f t="shared" si="1"/>
        <v>0.3086709188530784</v>
      </c>
      <c r="O327" s="50">
        <v>18079070.879999999</v>
      </c>
      <c r="P327" s="152">
        <f t="shared" si="2"/>
        <v>0.1436778118880887</v>
      </c>
      <c r="Q327" s="50">
        <v>18079070.879999999</v>
      </c>
    </row>
    <row r="328" spans="1:256" hidden="1" x14ac:dyDescent="0.25">
      <c r="A328" s="44" t="s">
        <v>707</v>
      </c>
      <c r="B328" s="44" t="s">
        <v>212</v>
      </c>
      <c r="C328" s="44" t="s">
        <v>213</v>
      </c>
      <c r="D328" s="44" t="s">
        <v>69</v>
      </c>
      <c r="E328" s="50">
        <v>3269894716</v>
      </c>
      <c r="F328" s="50">
        <v>2889101119</v>
      </c>
      <c r="G328" s="50">
        <v>2889101119</v>
      </c>
      <c r="H328" s="50">
        <v>65714904.439999998</v>
      </c>
      <c r="I328" s="50">
        <v>1689943168.05</v>
      </c>
      <c r="J328" s="50">
        <v>19330762.59</v>
      </c>
      <c r="K328" s="50">
        <v>859987373.94000006</v>
      </c>
      <c r="L328" s="151">
        <f t="shared" si="0"/>
        <v>0.29766606931282008</v>
      </c>
      <c r="M328" s="50">
        <v>835986418.38</v>
      </c>
      <c r="N328" s="152">
        <f t="shared" si="1"/>
        <v>0.28935865653236764</v>
      </c>
      <c r="O328" s="50">
        <v>254124909.97999999</v>
      </c>
      <c r="P328" s="152">
        <f t="shared" si="2"/>
        <v>8.7959853086748252E-2</v>
      </c>
      <c r="Q328" s="50">
        <v>254124909.97999999</v>
      </c>
    </row>
    <row r="329" spans="1:256" hidden="1" x14ac:dyDescent="0.25">
      <c r="A329" s="44" t="s">
        <v>707</v>
      </c>
      <c r="B329" s="44" t="s">
        <v>214</v>
      </c>
      <c r="C329" s="44" t="s">
        <v>215</v>
      </c>
      <c r="D329" s="44" t="s">
        <v>69</v>
      </c>
      <c r="E329" s="50">
        <v>34070136</v>
      </c>
      <c r="F329" s="50">
        <v>14603063</v>
      </c>
      <c r="G329" s="50">
        <v>14603063</v>
      </c>
      <c r="H329" s="50">
        <v>0</v>
      </c>
      <c r="I329" s="50">
        <v>916408.15</v>
      </c>
      <c r="J329" s="50">
        <v>0</v>
      </c>
      <c r="K329" s="50">
        <v>11243350.77</v>
      </c>
      <c r="L329" s="151">
        <f t="shared" si="0"/>
        <v>0.76993099118999897</v>
      </c>
      <c r="M329" s="50">
        <v>9361732.1099999994</v>
      </c>
      <c r="N329" s="152">
        <f t="shared" si="1"/>
        <v>0.64108003300403482</v>
      </c>
      <c r="O329" s="50">
        <v>2443304.08</v>
      </c>
      <c r="P329" s="152">
        <f t="shared" si="2"/>
        <v>0.16731449285673836</v>
      </c>
      <c r="Q329" s="50">
        <v>2443304.08</v>
      </c>
    </row>
    <row r="330" spans="1:256" hidden="1" x14ac:dyDescent="0.25">
      <c r="A330" s="44" t="s">
        <v>707</v>
      </c>
      <c r="B330" s="44" t="s">
        <v>216</v>
      </c>
      <c r="C330" s="44" t="s">
        <v>217</v>
      </c>
      <c r="D330" s="44" t="s">
        <v>69</v>
      </c>
      <c r="E330" s="50">
        <v>26479307</v>
      </c>
      <c r="F330" s="50">
        <v>26479307</v>
      </c>
      <c r="G330" s="50">
        <v>26479307</v>
      </c>
      <c r="H330" s="50">
        <v>12942629.699999999</v>
      </c>
      <c r="I330" s="50">
        <v>6349999.9500000002</v>
      </c>
      <c r="J330" s="50">
        <v>0</v>
      </c>
      <c r="K330" s="50">
        <v>6984477.6600000001</v>
      </c>
      <c r="L330" s="151">
        <f t="shared" si="0"/>
        <v>0.26377116515926946</v>
      </c>
      <c r="M330" s="50">
        <v>6984477.6600000001</v>
      </c>
      <c r="N330" s="152">
        <f t="shared" si="1"/>
        <v>0.26377116515926946</v>
      </c>
      <c r="O330" s="50">
        <v>202199.69</v>
      </c>
      <c r="P330" s="152">
        <f t="shared" si="2"/>
        <v>7.6361397977673662E-3</v>
      </c>
      <c r="Q330" s="50">
        <v>202199.69</v>
      </c>
    </row>
    <row r="331" spans="1:256" hidden="1" x14ac:dyDescent="0.25">
      <c r="A331" s="44" t="s">
        <v>707</v>
      </c>
      <c r="B331" s="44" t="s">
        <v>218</v>
      </c>
      <c r="C331" s="44" t="s">
        <v>219</v>
      </c>
      <c r="D331" s="44" t="s">
        <v>69</v>
      </c>
      <c r="E331" s="50">
        <v>140601000</v>
      </c>
      <c r="F331" s="50">
        <v>120972732</v>
      </c>
      <c r="G331" s="50">
        <v>120972732</v>
      </c>
      <c r="H331" s="50">
        <v>80230</v>
      </c>
      <c r="I331" s="50">
        <v>9298152</v>
      </c>
      <c r="J331" s="50">
        <v>0</v>
      </c>
      <c r="K331" s="50">
        <v>58214038.609999999</v>
      </c>
      <c r="L331" s="151">
        <f t="shared" si="0"/>
        <v>0.48121620176355112</v>
      </c>
      <c r="M331" s="50">
        <v>58214038.609999999</v>
      </c>
      <c r="N331" s="152">
        <f t="shared" si="1"/>
        <v>0.48121620176355112</v>
      </c>
      <c r="O331" s="50">
        <v>53380311.390000001</v>
      </c>
      <c r="P331" s="152">
        <f t="shared" si="2"/>
        <v>0.44125903835915686</v>
      </c>
      <c r="Q331" s="50">
        <v>53380311.390000001</v>
      </c>
    </row>
    <row r="332" spans="1:256" x14ac:dyDescent="0.25">
      <c r="A332" s="53" t="s">
        <v>707</v>
      </c>
      <c r="B332" s="53" t="s">
        <v>220</v>
      </c>
      <c r="C332" s="53" t="s">
        <v>221</v>
      </c>
      <c r="D332" s="53" t="s">
        <v>69</v>
      </c>
      <c r="E332" s="54">
        <v>1260371675</v>
      </c>
      <c r="F332" s="54">
        <v>1239367145</v>
      </c>
      <c r="G332" s="54">
        <v>1239367145</v>
      </c>
      <c r="H332" s="54">
        <v>27903221</v>
      </c>
      <c r="I332" s="54">
        <v>1076067552.0599999</v>
      </c>
      <c r="J332" s="54">
        <v>1141129.19</v>
      </c>
      <c r="K332" s="54">
        <v>69845172.709999993</v>
      </c>
      <c r="L332" s="177">
        <f t="shared" si="0"/>
        <v>5.6355514176551769E-2</v>
      </c>
      <c r="M332" s="54">
        <v>51087664.909999996</v>
      </c>
      <c r="N332" s="178">
        <f t="shared" si="1"/>
        <v>4.1220767482907573E-2</v>
      </c>
      <c r="O332" s="54">
        <v>64410070.039999999</v>
      </c>
      <c r="P332" s="178">
        <f t="shared" si="2"/>
        <v>5.1970128706292272E-2</v>
      </c>
      <c r="Q332" s="54">
        <v>64410070.039999999</v>
      </c>
      <c r="GM332" s="186"/>
      <c r="GN332" s="186"/>
      <c r="GO332" s="186"/>
      <c r="GP332" s="186"/>
      <c r="GQ332" s="186"/>
      <c r="GR332" s="186"/>
      <c r="GS332" s="186"/>
      <c r="GT332" s="186"/>
      <c r="GU332" s="186"/>
      <c r="GV332" s="186"/>
      <c r="GW332" s="186"/>
      <c r="GX332" s="186"/>
      <c r="GY332" s="186"/>
      <c r="GZ332" s="186"/>
      <c r="HA332" s="186"/>
      <c r="HB332" s="186"/>
      <c r="HC332" s="186"/>
      <c r="HD332" s="186"/>
      <c r="HE332" s="186"/>
      <c r="HF332" s="186"/>
      <c r="HG332" s="186"/>
      <c r="HH332" s="186"/>
      <c r="HI332" s="186"/>
      <c r="HJ332" s="186"/>
      <c r="HK332" s="186"/>
      <c r="HL332" s="186"/>
      <c r="HM332" s="186"/>
      <c r="HN332" s="186"/>
      <c r="HO332" s="186"/>
      <c r="HP332" s="186"/>
      <c r="HQ332" s="186"/>
      <c r="HR332" s="186"/>
      <c r="HS332" s="186"/>
      <c r="HT332" s="186"/>
      <c r="HU332" s="186"/>
      <c r="HV332" s="186"/>
      <c r="HW332" s="186"/>
      <c r="HX332" s="186"/>
      <c r="HY332" s="186"/>
      <c r="HZ332" s="186"/>
      <c r="IA332" s="186"/>
      <c r="IB332" s="186"/>
      <c r="IC332" s="186"/>
      <c r="ID332" s="186"/>
      <c r="IE332" s="186"/>
      <c r="IF332" s="186"/>
      <c r="IG332" s="186"/>
      <c r="IH332" s="186"/>
      <c r="II332" s="186"/>
      <c r="IJ332" s="186"/>
      <c r="IK332" s="186"/>
      <c r="IL332" s="186"/>
      <c r="IM332" s="186"/>
      <c r="IN332" s="186"/>
      <c r="IO332" s="186"/>
      <c r="IP332" s="186"/>
      <c r="IQ332" s="186"/>
      <c r="IR332" s="186"/>
      <c r="IS332" s="186"/>
      <c r="IT332" s="186"/>
      <c r="IU332" s="186"/>
      <c r="IV332" s="186"/>
    </row>
    <row r="333" spans="1:256" hidden="1" x14ac:dyDescent="0.25">
      <c r="A333" s="53" t="s">
        <v>707</v>
      </c>
      <c r="B333" s="53" t="s">
        <v>222</v>
      </c>
      <c r="C333" s="53" t="s">
        <v>223</v>
      </c>
      <c r="D333" s="53" t="s">
        <v>69</v>
      </c>
      <c r="E333" s="54">
        <v>291010979</v>
      </c>
      <c r="F333" s="54">
        <v>313668508</v>
      </c>
      <c r="G333" s="54">
        <v>313668508</v>
      </c>
      <c r="H333" s="54">
        <v>15741360</v>
      </c>
      <c r="I333" s="54">
        <v>76704657.870000005</v>
      </c>
      <c r="J333" s="54">
        <v>11816513.4</v>
      </c>
      <c r="K333" s="54">
        <v>167629682.69</v>
      </c>
      <c r="L333" s="177">
        <f t="shared" si="0"/>
        <v>0.53441668007678989</v>
      </c>
      <c r="M333" s="54">
        <v>167629682.69</v>
      </c>
      <c r="N333" s="178">
        <f t="shared" si="1"/>
        <v>0.53441668007678989</v>
      </c>
      <c r="O333" s="54">
        <v>41776294.039999999</v>
      </c>
      <c r="P333" s="178">
        <f t="shared" si="2"/>
        <v>0.13318612794880894</v>
      </c>
      <c r="Q333" s="54">
        <v>41776294.039999999</v>
      </c>
      <c r="GM333" s="186"/>
      <c r="GN333" s="186"/>
      <c r="GO333" s="186"/>
      <c r="GP333" s="186"/>
      <c r="GQ333" s="186"/>
      <c r="GR333" s="186"/>
      <c r="GS333" s="186"/>
      <c r="GT333" s="186"/>
      <c r="GU333" s="186"/>
      <c r="GV333" s="186"/>
      <c r="GW333" s="186"/>
      <c r="GX333" s="186"/>
      <c r="GY333" s="186"/>
      <c r="GZ333" s="186"/>
      <c r="HA333" s="186"/>
      <c r="HB333" s="186"/>
      <c r="HC333" s="186"/>
      <c r="HD333" s="186"/>
      <c r="HE333" s="186"/>
      <c r="HF333" s="186"/>
      <c r="HG333" s="186"/>
      <c r="HH333" s="186"/>
      <c r="HI333" s="186"/>
      <c r="HJ333" s="186"/>
      <c r="HK333" s="186"/>
      <c r="HL333" s="186"/>
      <c r="HM333" s="186"/>
      <c r="HN333" s="186"/>
      <c r="HO333" s="186"/>
      <c r="HP333" s="186"/>
      <c r="HQ333" s="186"/>
      <c r="HR333" s="186"/>
      <c r="HS333" s="186"/>
      <c r="HT333" s="186"/>
      <c r="HU333" s="186"/>
      <c r="HV333" s="186"/>
      <c r="HW333" s="186"/>
      <c r="HX333" s="186"/>
      <c r="HY333" s="186"/>
      <c r="HZ333" s="186"/>
      <c r="IA333" s="186"/>
      <c r="IB333" s="186"/>
      <c r="IC333" s="186"/>
      <c r="ID333" s="186"/>
      <c r="IE333" s="186"/>
      <c r="IF333" s="186"/>
      <c r="IG333" s="186"/>
      <c r="IH333" s="186"/>
      <c r="II333" s="186"/>
      <c r="IJ333" s="186"/>
      <c r="IK333" s="186"/>
      <c r="IL333" s="186"/>
      <c r="IM333" s="186"/>
      <c r="IN333" s="186"/>
      <c r="IO333" s="186"/>
      <c r="IP333" s="186"/>
      <c r="IQ333" s="186"/>
      <c r="IR333" s="186"/>
      <c r="IS333" s="186"/>
      <c r="IT333" s="186"/>
      <c r="IU333" s="186"/>
      <c r="IV333" s="186"/>
    </row>
    <row r="334" spans="1:256" x14ac:dyDescent="0.25">
      <c r="A334" s="53" t="s">
        <v>707</v>
      </c>
      <c r="B334" s="53" t="s">
        <v>224</v>
      </c>
      <c r="C334" s="53" t="s">
        <v>225</v>
      </c>
      <c r="D334" s="53" t="s">
        <v>69</v>
      </c>
      <c r="E334" s="54">
        <v>1243089320</v>
      </c>
      <c r="F334" s="54">
        <v>899738065</v>
      </c>
      <c r="G334" s="54">
        <v>899738065</v>
      </c>
      <c r="H334" s="54">
        <v>9047463.7400000002</v>
      </c>
      <c r="I334" s="54">
        <v>518987906.74000001</v>
      </c>
      <c r="J334" s="54">
        <v>6373120</v>
      </c>
      <c r="K334" s="54">
        <v>341933188.43000001</v>
      </c>
      <c r="L334" s="177">
        <f t="shared" si="0"/>
        <v>0.3800363702851674</v>
      </c>
      <c r="M334" s="54">
        <v>341933188.43000001</v>
      </c>
      <c r="N334" s="178">
        <f t="shared" si="1"/>
        <v>0.3800363702851674</v>
      </c>
      <c r="O334" s="54">
        <v>23396386.09</v>
      </c>
      <c r="P334" s="178">
        <f t="shared" si="2"/>
        <v>2.6003552589497256E-2</v>
      </c>
      <c r="Q334" s="54">
        <v>23396386.09</v>
      </c>
      <c r="GM334" s="186"/>
      <c r="GN334" s="186"/>
      <c r="GO334" s="186"/>
      <c r="GP334" s="186"/>
      <c r="GQ334" s="186"/>
      <c r="GR334" s="186"/>
      <c r="GS334" s="186"/>
      <c r="GT334" s="186"/>
      <c r="GU334" s="186"/>
      <c r="GV334" s="186"/>
      <c r="GW334" s="186"/>
      <c r="GX334" s="186"/>
      <c r="GY334" s="186"/>
      <c r="GZ334" s="186"/>
      <c r="HA334" s="186"/>
      <c r="HB334" s="186"/>
      <c r="HC334" s="186"/>
      <c r="HD334" s="186"/>
      <c r="HE334" s="186"/>
      <c r="HF334" s="186"/>
      <c r="HG334" s="186"/>
      <c r="HH334" s="186"/>
      <c r="HI334" s="186"/>
      <c r="HJ334" s="186"/>
      <c r="HK334" s="186"/>
      <c r="HL334" s="186"/>
      <c r="HM334" s="186"/>
      <c r="HN334" s="186"/>
      <c r="HO334" s="186"/>
      <c r="HP334" s="186"/>
      <c r="HQ334" s="186"/>
      <c r="HR334" s="186"/>
      <c r="HS334" s="186"/>
      <c r="HT334" s="186"/>
      <c r="HU334" s="186"/>
      <c r="HV334" s="186"/>
      <c r="HW334" s="186"/>
      <c r="HX334" s="186"/>
      <c r="HY334" s="186"/>
      <c r="HZ334" s="186"/>
      <c r="IA334" s="186"/>
      <c r="IB334" s="186"/>
      <c r="IC334" s="186"/>
      <c r="ID334" s="186"/>
      <c r="IE334" s="186"/>
      <c r="IF334" s="186"/>
      <c r="IG334" s="186"/>
      <c r="IH334" s="186"/>
      <c r="II334" s="186"/>
      <c r="IJ334" s="186"/>
      <c r="IK334" s="186"/>
      <c r="IL334" s="186"/>
      <c r="IM334" s="186"/>
      <c r="IN334" s="186"/>
      <c r="IO334" s="186"/>
      <c r="IP334" s="186"/>
      <c r="IQ334" s="186"/>
      <c r="IR334" s="186"/>
      <c r="IS334" s="186"/>
      <c r="IT334" s="186"/>
      <c r="IU334" s="186"/>
      <c r="IV334" s="186"/>
    </row>
    <row r="335" spans="1:256" hidden="1" x14ac:dyDescent="0.25">
      <c r="A335" s="44" t="s">
        <v>707</v>
      </c>
      <c r="B335" s="44" t="s">
        <v>226</v>
      </c>
      <c r="C335" s="44" t="s">
        <v>227</v>
      </c>
      <c r="D335" s="44" t="s">
        <v>69</v>
      </c>
      <c r="E335" s="50">
        <v>90632447</v>
      </c>
      <c r="F335" s="50">
        <v>90632447</v>
      </c>
      <c r="G335" s="50">
        <v>90632447</v>
      </c>
      <c r="H335" s="50">
        <v>0</v>
      </c>
      <c r="I335" s="50">
        <v>10011.66</v>
      </c>
      <c r="J335" s="50">
        <v>0</v>
      </c>
      <c r="K335" s="50">
        <v>86313998.739999995</v>
      </c>
      <c r="L335" s="151">
        <f t="shared" si="0"/>
        <v>0.95235207254196719</v>
      </c>
      <c r="M335" s="50">
        <v>82952169.640000001</v>
      </c>
      <c r="N335" s="152">
        <f t="shared" si="1"/>
        <v>0.91525907537286288</v>
      </c>
      <c r="O335" s="50">
        <v>4308436.5999999996</v>
      </c>
      <c r="P335" s="152">
        <f t="shared" si="2"/>
        <v>4.7537463045657362E-2</v>
      </c>
      <c r="Q335" s="50">
        <v>4308436.5999999996</v>
      </c>
    </row>
    <row r="336" spans="1:256" hidden="1" x14ac:dyDescent="0.25">
      <c r="A336" s="44" t="s">
        <v>707</v>
      </c>
      <c r="B336" s="44" t="s">
        <v>228</v>
      </c>
      <c r="C336" s="44" t="s">
        <v>229</v>
      </c>
      <c r="D336" s="44" t="s">
        <v>69</v>
      </c>
      <c r="E336" s="50">
        <v>183639852</v>
      </c>
      <c r="F336" s="50">
        <v>183639852</v>
      </c>
      <c r="G336" s="50">
        <v>183639852</v>
      </c>
      <c r="H336" s="50">
        <v>0</v>
      </c>
      <c r="I336" s="50">
        <v>1608479.62</v>
      </c>
      <c r="J336" s="50">
        <v>0</v>
      </c>
      <c r="K336" s="50">
        <v>117823464.33</v>
      </c>
      <c r="L336" s="151">
        <f t="shared" si="0"/>
        <v>0.64160073669630269</v>
      </c>
      <c r="M336" s="50">
        <v>117823464.33</v>
      </c>
      <c r="N336" s="152">
        <f t="shared" si="1"/>
        <v>0.64160073669630269</v>
      </c>
      <c r="O336" s="50">
        <v>64207908.049999997</v>
      </c>
      <c r="P336" s="152">
        <f t="shared" si="2"/>
        <v>0.34964038225210503</v>
      </c>
      <c r="Q336" s="50">
        <v>64207908.049999997</v>
      </c>
    </row>
    <row r="337" spans="1:256" hidden="1" x14ac:dyDescent="0.25">
      <c r="A337" s="44" t="s">
        <v>707</v>
      </c>
      <c r="B337" s="44" t="s">
        <v>230</v>
      </c>
      <c r="C337" s="44" t="s">
        <v>231</v>
      </c>
      <c r="D337" s="44" t="s">
        <v>85</v>
      </c>
      <c r="E337" s="50">
        <v>2053989952</v>
      </c>
      <c r="F337" s="50">
        <v>2052989131</v>
      </c>
      <c r="G337" s="50">
        <v>2052989131</v>
      </c>
      <c r="H337" s="50">
        <v>328369922.52999997</v>
      </c>
      <c r="I337" s="50">
        <v>327222217.91000003</v>
      </c>
      <c r="J337" s="50">
        <v>348416428.12</v>
      </c>
      <c r="K337" s="50">
        <v>480036472.64999998</v>
      </c>
      <c r="L337" s="151">
        <f t="shared" si="0"/>
        <v>0.23382319243754437</v>
      </c>
      <c r="M337" s="50">
        <v>480036472.64999998</v>
      </c>
      <c r="N337" s="152">
        <f t="shared" si="1"/>
        <v>0.23382319243754437</v>
      </c>
      <c r="O337" s="50">
        <v>568944089.78999996</v>
      </c>
      <c r="P337" s="152">
        <f t="shared" si="2"/>
        <v>0.27712961612849374</v>
      </c>
      <c r="Q337" s="50">
        <v>568944089.78999996</v>
      </c>
    </row>
    <row r="338" spans="1:256" hidden="1" x14ac:dyDescent="0.25">
      <c r="A338" s="44" t="s">
        <v>707</v>
      </c>
      <c r="B338" s="44" t="s">
        <v>232</v>
      </c>
      <c r="C338" s="44" t="s">
        <v>233</v>
      </c>
      <c r="D338" s="44" t="s">
        <v>85</v>
      </c>
      <c r="E338" s="50">
        <v>1511257014</v>
      </c>
      <c r="F338" s="50">
        <v>1463751731</v>
      </c>
      <c r="G338" s="50">
        <v>1463751731</v>
      </c>
      <c r="H338" s="50">
        <v>236599081.62</v>
      </c>
      <c r="I338" s="50">
        <v>292848060.95999998</v>
      </c>
      <c r="J338" s="50">
        <v>347986359.94</v>
      </c>
      <c r="K338" s="50">
        <v>474445907.07999998</v>
      </c>
      <c r="L338" s="151">
        <f t="shared" si="0"/>
        <v>0.32413003997328832</v>
      </c>
      <c r="M338" s="50">
        <v>474445907.07999998</v>
      </c>
      <c r="N338" s="152">
        <f t="shared" si="1"/>
        <v>0.32413003997328832</v>
      </c>
      <c r="O338" s="50">
        <v>111872321.40000001</v>
      </c>
      <c r="P338" s="152">
        <f t="shared" si="2"/>
        <v>7.6428481026336023E-2</v>
      </c>
      <c r="Q338" s="50">
        <v>111872321.40000001</v>
      </c>
    </row>
    <row r="339" spans="1:256" hidden="1" x14ac:dyDescent="0.25">
      <c r="A339" s="44" t="s">
        <v>707</v>
      </c>
      <c r="B339" s="44" t="s">
        <v>234</v>
      </c>
      <c r="C339" s="44" t="s">
        <v>235</v>
      </c>
      <c r="D339" s="44" t="s">
        <v>85</v>
      </c>
      <c r="E339" s="50">
        <v>46000000</v>
      </c>
      <c r="F339" s="50">
        <v>46000000</v>
      </c>
      <c r="G339" s="50">
        <v>46000000</v>
      </c>
      <c r="H339" s="50">
        <v>0</v>
      </c>
      <c r="I339" s="50">
        <v>35048784.299999997</v>
      </c>
      <c r="J339" s="50">
        <v>317940</v>
      </c>
      <c r="K339" s="50">
        <v>2513984.4500000002</v>
      </c>
      <c r="L339" s="151">
        <f t="shared" si="0"/>
        <v>5.4651835869565221E-2</v>
      </c>
      <c r="M339" s="50">
        <v>2513984.4500000002</v>
      </c>
      <c r="N339" s="152">
        <f t="shared" si="1"/>
        <v>5.4651835869565221E-2</v>
      </c>
      <c r="O339" s="50">
        <v>8119291.25</v>
      </c>
      <c r="P339" s="152">
        <f t="shared" si="2"/>
        <v>0.17650633152173914</v>
      </c>
      <c r="Q339" s="50">
        <v>8119291.25</v>
      </c>
    </row>
    <row r="340" spans="1:256" hidden="1" x14ac:dyDescent="0.25">
      <c r="A340" s="44" t="s">
        <v>707</v>
      </c>
      <c r="B340" s="44" t="s">
        <v>324</v>
      </c>
      <c r="C340" s="44" t="s">
        <v>325</v>
      </c>
      <c r="D340" s="44" t="s">
        <v>85</v>
      </c>
      <c r="E340" s="50">
        <v>0</v>
      </c>
      <c r="F340" s="50">
        <v>815400</v>
      </c>
      <c r="G340" s="50">
        <v>815400</v>
      </c>
      <c r="H340" s="50">
        <v>0</v>
      </c>
      <c r="I340" s="50">
        <v>815400</v>
      </c>
      <c r="J340" s="50">
        <v>0</v>
      </c>
      <c r="K340" s="50">
        <v>0</v>
      </c>
      <c r="L340" s="151">
        <f t="shared" si="0"/>
        <v>0</v>
      </c>
      <c r="M340" s="50">
        <v>0</v>
      </c>
      <c r="N340" s="152">
        <f t="shared" si="1"/>
        <v>0</v>
      </c>
      <c r="O340" s="50">
        <v>0</v>
      </c>
      <c r="P340" s="152">
        <f t="shared" si="2"/>
        <v>0</v>
      </c>
      <c r="Q340" s="50">
        <v>0</v>
      </c>
    </row>
    <row r="341" spans="1:256" hidden="1" x14ac:dyDescent="0.25">
      <c r="A341" s="44" t="s">
        <v>707</v>
      </c>
      <c r="B341" s="44" t="s">
        <v>236</v>
      </c>
      <c r="C341" s="44" t="s">
        <v>237</v>
      </c>
      <c r="D341" s="44" t="s">
        <v>85</v>
      </c>
      <c r="E341" s="50">
        <v>302703422</v>
      </c>
      <c r="F341" s="50">
        <v>287003422</v>
      </c>
      <c r="G341" s="50">
        <v>287003422</v>
      </c>
      <c r="H341" s="50">
        <v>6227640</v>
      </c>
      <c r="I341" s="50">
        <v>13056035.07</v>
      </c>
      <c r="J341" s="50">
        <v>0</v>
      </c>
      <c r="K341" s="50">
        <v>246682957.62</v>
      </c>
      <c r="L341" s="151">
        <f t="shared" si="0"/>
        <v>0.85951225215704918</v>
      </c>
      <c r="M341" s="50">
        <v>246682957.62</v>
      </c>
      <c r="N341" s="152">
        <f t="shared" si="1"/>
        <v>0.85951225215704918</v>
      </c>
      <c r="O341" s="50">
        <v>21036789.309999999</v>
      </c>
      <c r="P341" s="152">
        <f t="shared" si="2"/>
        <v>7.3298043498589358E-2</v>
      </c>
      <c r="Q341" s="50">
        <v>21036789.309999999</v>
      </c>
    </row>
    <row r="342" spans="1:256" hidden="1" x14ac:dyDescent="0.25">
      <c r="A342" s="44" t="s">
        <v>707</v>
      </c>
      <c r="B342" s="44" t="s">
        <v>238</v>
      </c>
      <c r="C342" s="44" t="s">
        <v>239</v>
      </c>
      <c r="D342" s="44" t="s">
        <v>85</v>
      </c>
      <c r="E342" s="50">
        <v>68995579</v>
      </c>
      <c r="F342" s="50">
        <v>122129459</v>
      </c>
      <c r="G342" s="50">
        <v>122129459</v>
      </c>
      <c r="H342" s="50">
        <v>17751283.899999999</v>
      </c>
      <c r="I342" s="50">
        <v>41058903.57</v>
      </c>
      <c r="J342" s="50">
        <v>0</v>
      </c>
      <c r="K342" s="50">
        <v>52189321.310000002</v>
      </c>
      <c r="L342" s="151">
        <f t="shared" si="0"/>
        <v>0.42732786779969278</v>
      </c>
      <c r="M342" s="50">
        <v>52189321.310000002</v>
      </c>
      <c r="N342" s="152">
        <f t="shared" si="1"/>
        <v>0.42732786779969278</v>
      </c>
      <c r="O342" s="50">
        <v>11129950.220000001</v>
      </c>
      <c r="P342" s="152">
        <f t="shared" si="2"/>
        <v>9.113239599300936E-2</v>
      </c>
      <c r="Q342" s="50">
        <v>11129950.220000001</v>
      </c>
    </row>
    <row r="343" spans="1:256" hidden="1" x14ac:dyDescent="0.25">
      <c r="A343" s="44" t="s">
        <v>707</v>
      </c>
      <c r="B343" s="44" t="s">
        <v>282</v>
      </c>
      <c r="C343" s="44" t="s">
        <v>283</v>
      </c>
      <c r="D343" s="44" t="s">
        <v>85</v>
      </c>
      <c r="E343" s="50">
        <v>100000000</v>
      </c>
      <c r="F343" s="50">
        <v>100000000</v>
      </c>
      <c r="G343" s="50">
        <v>100000000</v>
      </c>
      <c r="H343" s="50">
        <v>400000</v>
      </c>
      <c r="I343" s="50">
        <v>46037119.409999996</v>
      </c>
      <c r="J343" s="50">
        <v>0</v>
      </c>
      <c r="K343" s="50">
        <v>50942100.170000002</v>
      </c>
      <c r="L343" s="151">
        <f t="shared" si="0"/>
        <v>0.50942100170000004</v>
      </c>
      <c r="M343" s="50">
        <v>50942100.170000002</v>
      </c>
      <c r="N343" s="152">
        <f t="shared" si="1"/>
        <v>0.50942100170000004</v>
      </c>
      <c r="O343" s="50">
        <v>2620780.42</v>
      </c>
      <c r="P343" s="152">
        <f t="shared" si="2"/>
        <v>2.62078042E-2</v>
      </c>
      <c r="Q343" s="50">
        <v>2620780.42</v>
      </c>
    </row>
    <row r="344" spans="1:256" hidden="1" x14ac:dyDescent="0.25">
      <c r="A344" s="44" t="s">
        <v>707</v>
      </c>
      <c r="B344" s="44" t="s">
        <v>326</v>
      </c>
      <c r="C344" s="44" t="s">
        <v>327</v>
      </c>
      <c r="D344" s="44" t="s">
        <v>85</v>
      </c>
      <c r="E344" s="50">
        <v>1200000</v>
      </c>
      <c r="F344" s="50">
        <v>1200000</v>
      </c>
      <c r="G344" s="50">
        <v>1200000</v>
      </c>
      <c r="H344" s="50">
        <v>1158250</v>
      </c>
      <c r="I344" s="50">
        <v>0</v>
      </c>
      <c r="J344" s="50">
        <v>0</v>
      </c>
      <c r="K344" s="50">
        <v>0</v>
      </c>
      <c r="L344" s="151">
        <f t="shared" si="0"/>
        <v>0</v>
      </c>
      <c r="M344" s="50">
        <v>0</v>
      </c>
      <c r="N344" s="152">
        <f t="shared" si="1"/>
        <v>0</v>
      </c>
      <c r="O344" s="50">
        <v>41750</v>
      </c>
      <c r="P344" s="152">
        <f t="shared" si="2"/>
        <v>3.4791666666666665E-2</v>
      </c>
      <c r="Q344" s="50">
        <v>41750</v>
      </c>
    </row>
    <row r="345" spans="1:256" x14ac:dyDescent="0.25">
      <c r="A345" s="165" t="s">
        <v>707</v>
      </c>
      <c r="B345" s="165" t="s">
        <v>240</v>
      </c>
      <c r="C345" s="165" t="s">
        <v>241</v>
      </c>
      <c r="D345" s="165" t="s">
        <v>85</v>
      </c>
      <c r="E345" s="166">
        <v>2700000</v>
      </c>
      <c r="F345" s="166">
        <v>2700000</v>
      </c>
      <c r="G345" s="166">
        <v>2700000</v>
      </c>
      <c r="H345" s="166">
        <v>0</v>
      </c>
      <c r="I345" s="166">
        <v>0</v>
      </c>
      <c r="J345" s="166">
        <v>0</v>
      </c>
      <c r="K345" s="166">
        <v>0</v>
      </c>
      <c r="L345" s="167">
        <f t="shared" si="0"/>
        <v>0</v>
      </c>
      <c r="M345" s="166">
        <v>0</v>
      </c>
      <c r="N345" s="168">
        <f t="shared" si="1"/>
        <v>0</v>
      </c>
      <c r="O345" s="166">
        <v>2700000</v>
      </c>
      <c r="P345" s="168">
        <f t="shared" si="2"/>
        <v>1</v>
      </c>
      <c r="Q345" s="166">
        <v>2700000</v>
      </c>
      <c r="GM345" s="185"/>
      <c r="GN345" s="185"/>
      <c r="GO345" s="185"/>
      <c r="GP345" s="185"/>
      <c r="GQ345" s="185"/>
      <c r="GR345" s="185"/>
      <c r="GS345" s="185"/>
      <c r="GT345" s="185"/>
      <c r="GU345" s="185"/>
      <c r="GV345" s="185"/>
      <c r="GW345" s="185"/>
      <c r="GX345" s="185"/>
      <c r="GY345" s="185"/>
      <c r="GZ345" s="185"/>
      <c r="HA345" s="185"/>
      <c r="HB345" s="185"/>
      <c r="HC345" s="185"/>
      <c r="HD345" s="185"/>
      <c r="HE345" s="185"/>
      <c r="HF345" s="185"/>
      <c r="HG345" s="185"/>
      <c r="HH345" s="185"/>
      <c r="HI345" s="185"/>
      <c r="HJ345" s="185"/>
      <c r="HK345" s="185"/>
      <c r="HL345" s="185"/>
      <c r="HM345" s="185"/>
      <c r="HN345" s="185"/>
      <c r="HO345" s="185"/>
      <c r="HP345" s="185"/>
      <c r="HQ345" s="185"/>
      <c r="HR345" s="185"/>
      <c r="HS345" s="185"/>
      <c r="HT345" s="185"/>
      <c r="HU345" s="185"/>
      <c r="HV345" s="185"/>
      <c r="HW345" s="185"/>
      <c r="HX345" s="185"/>
      <c r="HY345" s="185"/>
      <c r="HZ345" s="185"/>
      <c r="IA345" s="185"/>
      <c r="IB345" s="185"/>
      <c r="IC345" s="185"/>
      <c r="ID345" s="185"/>
      <c r="IE345" s="185"/>
      <c r="IF345" s="185"/>
      <c r="IG345" s="185"/>
      <c r="IH345" s="185"/>
      <c r="II345" s="185"/>
      <c r="IJ345" s="185"/>
      <c r="IK345" s="185"/>
      <c r="IL345" s="185"/>
      <c r="IM345" s="185"/>
      <c r="IN345" s="185"/>
      <c r="IO345" s="185"/>
      <c r="IP345" s="185"/>
      <c r="IQ345" s="185"/>
      <c r="IR345" s="185"/>
      <c r="IS345" s="185"/>
      <c r="IT345" s="185"/>
      <c r="IU345" s="185"/>
      <c r="IV345" s="185"/>
    </row>
    <row r="346" spans="1:256" x14ac:dyDescent="0.25">
      <c r="A346" s="53" t="s">
        <v>707</v>
      </c>
      <c r="B346" s="53" t="s">
        <v>242</v>
      </c>
      <c r="C346" s="53" t="s">
        <v>243</v>
      </c>
      <c r="D346" s="53" t="s">
        <v>85</v>
      </c>
      <c r="E346" s="54">
        <v>989658013</v>
      </c>
      <c r="F346" s="54">
        <v>903903450</v>
      </c>
      <c r="G346" s="54">
        <v>903903450</v>
      </c>
      <c r="H346" s="54">
        <v>211061907.72</v>
      </c>
      <c r="I346" s="54">
        <v>156831818.61000001</v>
      </c>
      <c r="J346" s="54">
        <v>347668419.94</v>
      </c>
      <c r="K346" s="54">
        <v>122117543.53</v>
      </c>
      <c r="L346" s="177">
        <f t="shared" si="0"/>
        <v>0.13510020736174866</v>
      </c>
      <c r="M346" s="54">
        <v>122117543.53</v>
      </c>
      <c r="N346" s="178">
        <f t="shared" si="1"/>
        <v>0.13510020736174866</v>
      </c>
      <c r="O346" s="54">
        <v>66223760.200000003</v>
      </c>
      <c r="P346" s="178">
        <f t="shared" si="2"/>
        <v>7.3264196745791821E-2</v>
      </c>
      <c r="Q346" s="54">
        <v>66223760.200000003</v>
      </c>
      <c r="GM346" s="186"/>
      <c r="GN346" s="186"/>
      <c r="GO346" s="186"/>
      <c r="GP346" s="186"/>
      <c r="GQ346" s="186"/>
      <c r="GR346" s="186"/>
      <c r="GS346" s="186"/>
      <c r="GT346" s="186"/>
      <c r="GU346" s="186"/>
      <c r="GV346" s="186"/>
      <c r="GW346" s="186"/>
      <c r="GX346" s="186"/>
      <c r="GY346" s="186"/>
      <c r="GZ346" s="186"/>
      <c r="HA346" s="186"/>
      <c r="HB346" s="186"/>
      <c r="HC346" s="186"/>
      <c r="HD346" s="186"/>
      <c r="HE346" s="186"/>
      <c r="HF346" s="186"/>
      <c r="HG346" s="186"/>
      <c r="HH346" s="186"/>
      <c r="HI346" s="186"/>
      <c r="HJ346" s="186"/>
      <c r="HK346" s="186"/>
      <c r="HL346" s="186"/>
      <c r="HM346" s="186"/>
      <c r="HN346" s="186"/>
      <c r="HO346" s="186"/>
      <c r="HP346" s="186"/>
      <c r="HQ346" s="186"/>
      <c r="HR346" s="186"/>
      <c r="HS346" s="186"/>
      <c r="HT346" s="186"/>
      <c r="HU346" s="186"/>
      <c r="HV346" s="186"/>
      <c r="HW346" s="186"/>
      <c r="HX346" s="186"/>
      <c r="HY346" s="186"/>
      <c r="HZ346" s="186"/>
      <c r="IA346" s="186"/>
      <c r="IB346" s="186"/>
      <c r="IC346" s="186"/>
      <c r="ID346" s="186"/>
      <c r="IE346" s="186"/>
      <c r="IF346" s="186"/>
      <c r="IG346" s="186"/>
      <c r="IH346" s="186"/>
      <c r="II346" s="186"/>
      <c r="IJ346" s="186"/>
      <c r="IK346" s="186"/>
      <c r="IL346" s="186"/>
      <c r="IM346" s="186"/>
      <c r="IN346" s="186"/>
      <c r="IO346" s="186"/>
      <c r="IP346" s="186"/>
      <c r="IQ346" s="186"/>
      <c r="IR346" s="186"/>
      <c r="IS346" s="186"/>
      <c r="IT346" s="186"/>
      <c r="IU346" s="186"/>
      <c r="IV346" s="186"/>
    </row>
    <row r="347" spans="1:256" hidden="1" x14ac:dyDescent="0.25">
      <c r="A347" s="53" t="s">
        <v>707</v>
      </c>
      <c r="B347" s="53" t="s">
        <v>328</v>
      </c>
      <c r="C347" s="53" t="s">
        <v>329</v>
      </c>
      <c r="D347" s="53" t="s">
        <v>85</v>
      </c>
      <c r="E347" s="54">
        <v>94148000</v>
      </c>
      <c r="F347" s="54">
        <v>94148000</v>
      </c>
      <c r="G347" s="54">
        <v>94148000</v>
      </c>
      <c r="H347" s="54">
        <v>89764969.329999998</v>
      </c>
      <c r="I347" s="54">
        <v>0</v>
      </c>
      <c r="J347" s="54">
        <v>430068.18</v>
      </c>
      <c r="K347" s="54">
        <v>3035030.34</v>
      </c>
      <c r="L347" s="177">
        <f t="shared" si="0"/>
        <v>3.2236800994179374E-2</v>
      </c>
      <c r="M347" s="54">
        <v>3035030.34</v>
      </c>
      <c r="N347" s="178">
        <f t="shared" si="1"/>
        <v>3.2236800994179374E-2</v>
      </c>
      <c r="O347" s="54">
        <v>917932.15</v>
      </c>
      <c r="P347" s="178">
        <f t="shared" si="2"/>
        <v>9.7498847559162171E-3</v>
      </c>
      <c r="Q347" s="54">
        <v>917932.15</v>
      </c>
      <c r="GM347" s="186"/>
      <c r="GN347" s="186"/>
      <c r="GO347" s="186"/>
      <c r="GP347" s="186"/>
      <c r="GQ347" s="186"/>
      <c r="GR347" s="186"/>
      <c r="GS347" s="186"/>
      <c r="GT347" s="186"/>
      <c r="GU347" s="186"/>
      <c r="GV347" s="186"/>
      <c r="GW347" s="186"/>
      <c r="GX347" s="186"/>
      <c r="GY347" s="186"/>
      <c r="GZ347" s="186"/>
      <c r="HA347" s="186"/>
      <c r="HB347" s="186"/>
      <c r="HC347" s="186"/>
      <c r="HD347" s="186"/>
      <c r="HE347" s="186"/>
      <c r="HF347" s="186"/>
      <c r="HG347" s="186"/>
      <c r="HH347" s="186"/>
      <c r="HI347" s="186"/>
      <c r="HJ347" s="186"/>
      <c r="HK347" s="186"/>
      <c r="HL347" s="186"/>
      <c r="HM347" s="186"/>
      <c r="HN347" s="186"/>
      <c r="HO347" s="186"/>
      <c r="HP347" s="186"/>
      <c r="HQ347" s="186"/>
      <c r="HR347" s="186"/>
      <c r="HS347" s="186"/>
      <c r="HT347" s="186"/>
      <c r="HU347" s="186"/>
      <c r="HV347" s="186"/>
      <c r="HW347" s="186"/>
      <c r="HX347" s="186"/>
      <c r="HY347" s="186"/>
      <c r="HZ347" s="186"/>
      <c r="IA347" s="186"/>
      <c r="IB347" s="186"/>
      <c r="IC347" s="186"/>
      <c r="ID347" s="186"/>
      <c r="IE347" s="186"/>
      <c r="IF347" s="186"/>
      <c r="IG347" s="186"/>
      <c r="IH347" s="186"/>
      <c r="II347" s="186"/>
      <c r="IJ347" s="186"/>
      <c r="IK347" s="186"/>
      <c r="IL347" s="186"/>
      <c r="IM347" s="186"/>
      <c r="IN347" s="186"/>
      <c r="IO347" s="186"/>
      <c r="IP347" s="186"/>
      <c r="IQ347" s="186"/>
      <c r="IR347" s="186"/>
      <c r="IS347" s="186"/>
      <c r="IT347" s="186"/>
      <c r="IU347" s="186"/>
      <c r="IV347" s="186"/>
    </row>
    <row r="348" spans="1:256" x14ac:dyDescent="0.25">
      <c r="A348" s="53" t="s">
        <v>707</v>
      </c>
      <c r="B348" s="53" t="s">
        <v>330</v>
      </c>
      <c r="C348" s="53" t="s">
        <v>331</v>
      </c>
      <c r="D348" s="53" t="s">
        <v>85</v>
      </c>
      <c r="E348" s="54">
        <v>92800000</v>
      </c>
      <c r="F348" s="54">
        <v>92800000</v>
      </c>
      <c r="G348" s="54">
        <v>92800000</v>
      </c>
      <c r="H348" s="54">
        <v>89764969.329999998</v>
      </c>
      <c r="I348" s="54">
        <v>0</v>
      </c>
      <c r="J348" s="54">
        <v>0</v>
      </c>
      <c r="K348" s="54">
        <v>3035030.34</v>
      </c>
      <c r="L348" s="177">
        <f t="shared" si="0"/>
        <v>3.2705068318965518E-2</v>
      </c>
      <c r="M348" s="54">
        <v>3035030.34</v>
      </c>
      <c r="N348" s="178">
        <f t="shared" si="1"/>
        <v>3.2705068318965518E-2</v>
      </c>
      <c r="O348" s="54">
        <v>0.33</v>
      </c>
      <c r="P348" s="178">
        <f t="shared" si="2"/>
        <v>3.5560344827586207E-9</v>
      </c>
      <c r="Q348" s="54">
        <v>0.33</v>
      </c>
      <c r="GM348" s="186"/>
      <c r="GN348" s="186"/>
      <c r="GO348" s="186"/>
      <c r="GP348" s="186"/>
      <c r="GQ348" s="186"/>
      <c r="GR348" s="186"/>
      <c r="GS348" s="186"/>
      <c r="GT348" s="186"/>
      <c r="GU348" s="186"/>
      <c r="GV348" s="186"/>
      <c r="GW348" s="186"/>
      <c r="GX348" s="186"/>
      <c r="GY348" s="186"/>
      <c r="GZ348" s="186"/>
      <c r="HA348" s="186"/>
      <c r="HB348" s="186"/>
      <c r="HC348" s="186"/>
      <c r="HD348" s="186"/>
      <c r="HE348" s="186"/>
      <c r="HF348" s="186"/>
      <c r="HG348" s="186"/>
      <c r="HH348" s="186"/>
      <c r="HI348" s="186"/>
      <c r="HJ348" s="186"/>
      <c r="HK348" s="186"/>
      <c r="HL348" s="186"/>
      <c r="HM348" s="186"/>
      <c r="HN348" s="186"/>
      <c r="HO348" s="186"/>
      <c r="HP348" s="186"/>
      <c r="HQ348" s="186"/>
      <c r="HR348" s="186"/>
      <c r="HS348" s="186"/>
      <c r="HT348" s="186"/>
      <c r="HU348" s="186"/>
      <c r="HV348" s="186"/>
      <c r="HW348" s="186"/>
      <c r="HX348" s="186"/>
      <c r="HY348" s="186"/>
      <c r="HZ348" s="186"/>
      <c r="IA348" s="186"/>
      <c r="IB348" s="186"/>
      <c r="IC348" s="186"/>
      <c r="ID348" s="186"/>
      <c r="IE348" s="186"/>
      <c r="IF348" s="186"/>
      <c r="IG348" s="186"/>
      <c r="IH348" s="186"/>
      <c r="II348" s="186"/>
      <c r="IJ348" s="186"/>
      <c r="IK348" s="186"/>
      <c r="IL348" s="186"/>
      <c r="IM348" s="186"/>
      <c r="IN348" s="186"/>
      <c r="IO348" s="186"/>
      <c r="IP348" s="186"/>
      <c r="IQ348" s="186"/>
      <c r="IR348" s="186"/>
      <c r="IS348" s="186"/>
      <c r="IT348" s="186"/>
      <c r="IU348" s="186"/>
      <c r="IV348" s="186"/>
    </row>
    <row r="349" spans="1:256" x14ac:dyDescent="0.25">
      <c r="A349" s="165" t="s">
        <v>707</v>
      </c>
      <c r="B349" s="165" t="s">
        <v>358</v>
      </c>
      <c r="C349" s="165" t="s">
        <v>359</v>
      </c>
      <c r="D349" s="165" t="s">
        <v>85</v>
      </c>
      <c r="E349" s="166">
        <v>1348000</v>
      </c>
      <c r="F349" s="166">
        <v>1348000</v>
      </c>
      <c r="G349" s="166">
        <v>1348000</v>
      </c>
      <c r="H349" s="166">
        <v>0</v>
      </c>
      <c r="I349" s="166">
        <v>0</v>
      </c>
      <c r="J349" s="166">
        <v>430068.18</v>
      </c>
      <c r="K349" s="166">
        <v>0</v>
      </c>
      <c r="L349" s="167">
        <f t="shared" si="0"/>
        <v>0</v>
      </c>
      <c r="M349" s="166">
        <v>0</v>
      </c>
      <c r="N349" s="168">
        <f t="shared" si="1"/>
        <v>0</v>
      </c>
      <c r="O349" s="166">
        <v>917931.82</v>
      </c>
      <c r="P349" s="168">
        <f t="shared" si="2"/>
        <v>0.68095832344213647</v>
      </c>
      <c r="Q349" s="166">
        <v>917931.82</v>
      </c>
      <c r="GM349" s="185"/>
      <c r="GN349" s="185"/>
      <c r="GO349" s="185"/>
      <c r="GP349" s="185"/>
      <c r="GQ349" s="185"/>
      <c r="GR349" s="185"/>
      <c r="GS349" s="185"/>
      <c r="GT349" s="185"/>
      <c r="GU349" s="185"/>
      <c r="GV349" s="185"/>
      <c r="GW349" s="185"/>
      <c r="GX349" s="185"/>
      <c r="GY349" s="185"/>
      <c r="GZ349" s="185"/>
      <c r="HA349" s="185"/>
      <c r="HB349" s="185"/>
      <c r="HC349" s="185"/>
      <c r="HD349" s="185"/>
      <c r="HE349" s="185"/>
      <c r="HF349" s="185"/>
      <c r="HG349" s="185"/>
      <c r="HH349" s="185"/>
      <c r="HI349" s="185"/>
      <c r="HJ349" s="185"/>
      <c r="HK349" s="185"/>
      <c r="HL349" s="185"/>
      <c r="HM349" s="185"/>
      <c r="HN349" s="185"/>
      <c r="HO349" s="185"/>
      <c r="HP349" s="185"/>
      <c r="HQ349" s="185"/>
      <c r="HR349" s="185"/>
      <c r="HS349" s="185"/>
      <c r="HT349" s="185"/>
      <c r="HU349" s="185"/>
      <c r="HV349" s="185"/>
      <c r="HW349" s="185"/>
      <c r="HX349" s="185"/>
      <c r="HY349" s="185"/>
      <c r="HZ349" s="185"/>
      <c r="IA349" s="185"/>
      <c r="IB349" s="185"/>
      <c r="IC349" s="185"/>
      <c r="ID349" s="185"/>
      <c r="IE349" s="185"/>
      <c r="IF349" s="185"/>
      <c r="IG349" s="185"/>
      <c r="IH349" s="185"/>
      <c r="II349" s="185"/>
      <c r="IJ349" s="185"/>
      <c r="IK349" s="185"/>
      <c r="IL349" s="185"/>
      <c r="IM349" s="185"/>
      <c r="IN349" s="185"/>
      <c r="IO349" s="185"/>
      <c r="IP349" s="185"/>
      <c r="IQ349" s="185"/>
      <c r="IR349" s="185"/>
      <c r="IS349" s="185"/>
      <c r="IT349" s="185"/>
      <c r="IU349" s="185"/>
      <c r="IV349" s="185"/>
    </row>
    <row r="350" spans="1:256" hidden="1" x14ac:dyDescent="0.25">
      <c r="A350" s="44" t="s">
        <v>707</v>
      </c>
      <c r="B350" s="44" t="s">
        <v>244</v>
      </c>
      <c r="C350" s="44" t="s">
        <v>245</v>
      </c>
      <c r="D350" s="44" t="s">
        <v>85</v>
      </c>
      <c r="E350" s="50">
        <v>448584938</v>
      </c>
      <c r="F350" s="50">
        <v>495089400</v>
      </c>
      <c r="G350" s="50">
        <v>495089400</v>
      </c>
      <c r="H350" s="50">
        <v>2005871.58</v>
      </c>
      <c r="I350" s="50">
        <v>34374156.950000003</v>
      </c>
      <c r="J350" s="50">
        <v>0</v>
      </c>
      <c r="K350" s="50">
        <v>2555535.23</v>
      </c>
      <c r="L350" s="151">
        <f t="shared" si="0"/>
        <v>5.1617651882670075E-3</v>
      </c>
      <c r="M350" s="50">
        <v>2555535.23</v>
      </c>
      <c r="N350" s="152">
        <f t="shared" si="1"/>
        <v>5.1617651882670075E-3</v>
      </c>
      <c r="O350" s="50">
        <v>456153836.24000001</v>
      </c>
      <c r="P350" s="152">
        <f t="shared" si="2"/>
        <v>0.92135649892726446</v>
      </c>
      <c r="Q350" s="50">
        <v>456153836.24000001</v>
      </c>
    </row>
    <row r="351" spans="1:256" x14ac:dyDescent="0.25">
      <c r="A351" s="53" t="s">
        <v>707</v>
      </c>
      <c r="B351" s="53" t="s">
        <v>246</v>
      </c>
      <c r="C351" s="53" t="s">
        <v>247</v>
      </c>
      <c r="D351" s="53" t="s">
        <v>85</v>
      </c>
      <c r="E351" s="54">
        <v>448584938</v>
      </c>
      <c r="F351" s="54">
        <v>495089400</v>
      </c>
      <c r="G351" s="54">
        <v>495089400</v>
      </c>
      <c r="H351" s="54">
        <v>2005871.58</v>
      </c>
      <c r="I351" s="54">
        <v>34374156.950000003</v>
      </c>
      <c r="J351" s="54">
        <v>0</v>
      </c>
      <c r="K351" s="54">
        <v>2555535.23</v>
      </c>
      <c r="L351" s="177">
        <f t="shared" si="0"/>
        <v>5.1617651882670075E-3</v>
      </c>
      <c r="M351" s="54">
        <v>2555535.23</v>
      </c>
      <c r="N351" s="178">
        <f t="shared" si="1"/>
        <v>5.1617651882670075E-3</v>
      </c>
      <c r="O351" s="54">
        <v>456153836.24000001</v>
      </c>
      <c r="P351" s="178">
        <f t="shared" si="2"/>
        <v>0.92135649892726446</v>
      </c>
      <c r="Q351" s="54">
        <v>456153836.24000001</v>
      </c>
      <c r="GM351" s="186"/>
      <c r="GN351" s="186"/>
      <c r="GO351" s="186"/>
      <c r="GP351" s="186"/>
      <c r="GQ351" s="186"/>
      <c r="GR351" s="186"/>
      <c r="GS351" s="186"/>
      <c r="GT351" s="186"/>
      <c r="GU351" s="186"/>
      <c r="GV351" s="186"/>
      <c r="GW351" s="186"/>
      <c r="GX351" s="186"/>
      <c r="GY351" s="186"/>
      <c r="GZ351" s="186"/>
      <c r="HA351" s="186"/>
      <c r="HB351" s="186"/>
      <c r="HC351" s="186"/>
      <c r="HD351" s="186"/>
      <c r="HE351" s="186"/>
      <c r="HF351" s="186"/>
      <c r="HG351" s="186"/>
      <c r="HH351" s="186"/>
      <c r="HI351" s="186"/>
      <c r="HJ351" s="186"/>
      <c r="HK351" s="186"/>
      <c r="HL351" s="186"/>
      <c r="HM351" s="186"/>
      <c r="HN351" s="186"/>
      <c r="HO351" s="186"/>
      <c r="HP351" s="186"/>
      <c r="HQ351" s="186"/>
      <c r="HR351" s="186"/>
      <c r="HS351" s="186"/>
      <c r="HT351" s="186"/>
      <c r="HU351" s="186"/>
      <c r="HV351" s="186"/>
      <c r="HW351" s="186"/>
      <c r="HX351" s="186"/>
      <c r="HY351" s="186"/>
      <c r="HZ351" s="186"/>
      <c r="IA351" s="186"/>
      <c r="IB351" s="186"/>
      <c r="IC351" s="186"/>
      <c r="ID351" s="186"/>
      <c r="IE351" s="186"/>
      <c r="IF351" s="186"/>
      <c r="IG351" s="186"/>
      <c r="IH351" s="186"/>
      <c r="II351" s="186"/>
      <c r="IJ351" s="186"/>
      <c r="IK351" s="186"/>
      <c r="IL351" s="186"/>
      <c r="IM351" s="186"/>
      <c r="IN351" s="186"/>
      <c r="IO351" s="186"/>
      <c r="IP351" s="186"/>
      <c r="IQ351" s="186"/>
      <c r="IR351" s="186"/>
      <c r="IS351" s="186"/>
      <c r="IT351" s="186"/>
      <c r="IU351" s="186"/>
      <c r="IV351" s="186"/>
    </row>
    <row r="352" spans="1:256" hidden="1" x14ac:dyDescent="0.25">
      <c r="A352" s="53" t="s">
        <v>707</v>
      </c>
      <c r="B352" s="53" t="s">
        <v>248</v>
      </c>
      <c r="C352" s="53" t="s">
        <v>249</v>
      </c>
      <c r="D352" s="53" t="s">
        <v>69</v>
      </c>
      <c r="E352" s="54">
        <v>13160774264</v>
      </c>
      <c r="F352" s="54">
        <v>13151348647</v>
      </c>
      <c r="G352" s="54">
        <v>11796516169</v>
      </c>
      <c r="H352" s="54">
        <v>0</v>
      </c>
      <c r="I352" s="54">
        <v>2812109867.6900001</v>
      </c>
      <c r="J352" s="54">
        <v>0</v>
      </c>
      <c r="K352" s="54">
        <v>8108848090.0299997</v>
      </c>
      <c r="L352" s="177">
        <f t="shared" si="0"/>
        <v>0.61657920474032424</v>
      </c>
      <c r="M352" s="54">
        <v>8104496693.75</v>
      </c>
      <c r="N352" s="178">
        <f t="shared" si="1"/>
        <v>0.61624833401392221</v>
      </c>
      <c r="O352" s="54">
        <v>2230390689.2800002</v>
      </c>
      <c r="P352" s="178">
        <f t="shared" si="2"/>
        <v>0.16959406591268358</v>
      </c>
      <c r="Q352" s="54">
        <v>875558211.27999997</v>
      </c>
      <c r="GM352" s="186"/>
      <c r="GN352" s="186"/>
      <c r="GO352" s="186"/>
      <c r="GP352" s="186"/>
      <c r="GQ352" s="186"/>
      <c r="GR352" s="186"/>
      <c r="GS352" s="186"/>
      <c r="GT352" s="186"/>
      <c r="GU352" s="186"/>
      <c r="GV352" s="186"/>
      <c r="GW352" s="186"/>
      <c r="GX352" s="186"/>
      <c r="GY352" s="186"/>
      <c r="GZ352" s="186"/>
      <c r="HA352" s="186"/>
      <c r="HB352" s="186"/>
      <c r="HC352" s="186"/>
      <c r="HD352" s="186"/>
      <c r="HE352" s="186"/>
      <c r="HF352" s="186"/>
      <c r="HG352" s="186"/>
      <c r="HH352" s="186"/>
      <c r="HI352" s="186"/>
      <c r="HJ352" s="186"/>
      <c r="HK352" s="186"/>
      <c r="HL352" s="186"/>
      <c r="HM352" s="186"/>
      <c r="HN352" s="186"/>
      <c r="HO352" s="186"/>
      <c r="HP352" s="186"/>
      <c r="HQ352" s="186"/>
      <c r="HR352" s="186"/>
      <c r="HS352" s="186"/>
      <c r="HT352" s="186"/>
      <c r="HU352" s="186"/>
      <c r="HV352" s="186"/>
      <c r="HW352" s="186"/>
      <c r="HX352" s="186"/>
      <c r="HY352" s="186"/>
      <c r="HZ352" s="186"/>
      <c r="IA352" s="186"/>
      <c r="IB352" s="186"/>
      <c r="IC352" s="186"/>
      <c r="ID352" s="186"/>
      <c r="IE352" s="186"/>
      <c r="IF352" s="186"/>
      <c r="IG352" s="186"/>
      <c r="IH352" s="186"/>
      <c r="II352" s="186"/>
      <c r="IJ352" s="186"/>
      <c r="IK352" s="186"/>
      <c r="IL352" s="186"/>
      <c r="IM352" s="186"/>
      <c r="IN352" s="186"/>
      <c r="IO352" s="186"/>
      <c r="IP352" s="186"/>
      <c r="IQ352" s="186"/>
      <c r="IR352" s="186"/>
      <c r="IS352" s="186"/>
      <c r="IT352" s="186"/>
      <c r="IU352" s="186"/>
      <c r="IV352" s="186"/>
    </row>
    <row r="353" spans="1:256" hidden="1" x14ac:dyDescent="0.25">
      <c r="A353" s="53" t="s">
        <v>707</v>
      </c>
      <c r="B353" s="53" t="s">
        <v>250</v>
      </c>
      <c r="C353" s="53" t="s">
        <v>251</v>
      </c>
      <c r="D353" s="53" t="s">
        <v>69</v>
      </c>
      <c r="E353" s="54">
        <v>11073271142</v>
      </c>
      <c r="F353" s="54">
        <v>11063845525</v>
      </c>
      <c r="G353" s="54">
        <v>10058863047</v>
      </c>
      <c r="H353" s="54">
        <v>0</v>
      </c>
      <c r="I353" s="54">
        <v>2617965536.21</v>
      </c>
      <c r="J353" s="54">
        <v>0</v>
      </c>
      <c r="K353" s="54">
        <v>7166379504.79</v>
      </c>
      <c r="L353" s="177">
        <f t="shared" si="0"/>
        <v>0.64772953387651355</v>
      </c>
      <c r="M353" s="54">
        <v>7166379504.79</v>
      </c>
      <c r="N353" s="178">
        <f t="shared" si="1"/>
        <v>0.64772953387651355</v>
      </c>
      <c r="O353" s="54">
        <v>1279500484</v>
      </c>
      <c r="P353" s="178">
        <f t="shared" si="2"/>
        <v>0.11564699462847933</v>
      </c>
      <c r="Q353" s="54">
        <v>274518006</v>
      </c>
      <c r="GM353" s="186"/>
      <c r="GN353" s="186"/>
      <c r="GO353" s="186"/>
      <c r="GP353" s="186"/>
      <c r="GQ353" s="186"/>
      <c r="GR353" s="186"/>
      <c r="GS353" s="186"/>
      <c r="GT353" s="186"/>
      <c r="GU353" s="186"/>
      <c r="GV353" s="186"/>
      <c r="GW353" s="186"/>
      <c r="GX353" s="186"/>
      <c r="GY353" s="186"/>
      <c r="GZ353" s="186"/>
      <c r="HA353" s="186"/>
      <c r="HB353" s="186"/>
      <c r="HC353" s="186"/>
      <c r="HD353" s="186"/>
      <c r="HE353" s="186"/>
      <c r="HF353" s="186"/>
      <c r="HG353" s="186"/>
      <c r="HH353" s="186"/>
      <c r="HI353" s="186"/>
      <c r="HJ353" s="186"/>
      <c r="HK353" s="186"/>
      <c r="HL353" s="186"/>
      <c r="HM353" s="186"/>
      <c r="HN353" s="186"/>
      <c r="HO353" s="186"/>
      <c r="HP353" s="186"/>
      <c r="HQ353" s="186"/>
      <c r="HR353" s="186"/>
      <c r="HS353" s="186"/>
      <c r="HT353" s="186"/>
      <c r="HU353" s="186"/>
      <c r="HV353" s="186"/>
      <c r="HW353" s="186"/>
      <c r="HX353" s="186"/>
      <c r="HY353" s="186"/>
      <c r="HZ353" s="186"/>
      <c r="IA353" s="186"/>
      <c r="IB353" s="186"/>
      <c r="IC353" s="186"/>
      <c r="ID353" s="186"/>
      <c r="IE353" s="186"/>
      <c r="IF353" s="186"/>
      <c r="IG353" s="186"/>
      <c r="IH353" s="186"/>
      <c r="II353" s="186"/>
      <c r="IJ353" s="186"/>
      <c r="IK353" s="186"/>
      <c r="IL353" s="186"/>
      <c r="IM353" s="186"/>
      <c r="IN353" s="186"/>
      <c r="IO353" s="186"/>
      <c r="IP353" s="186"/>
      <c r="IQ353" s="186"/>
      <c r="IR353" s="186"/>
      <c r="IS353" s="186"/>
      <c r="IT353" s="186"/>
      <c r="IU353" s="186"/>
      <c r="IV353" s="186"/>
    </row>
    <row r="354" spans="1:256" hidden="1" x14ac:dyDescent="0.25">
      <c r="A354" s="53" t="s">
        <v>707</v>
      </c>
      <c r="B354" s="53" t="s">
        <v>366</v>
      </c>
      <c r="C354" s="53" t="s">
        <v>367</v>
      </c>
      <c r="D354" s="53" t="s">
        <v>69</v>
      </c>
      <c r="E354" s="54">
        <v>666000000</v>
      </c>
      <c r="F354" s="54">
        <v>666000000</v>
      </c>
      <c r="G354" s="54">
        <v>516150000</v>
      </c>
      <c r="H354" s="54">
        <v>0</v>
      </c>
      <c r="I354" s="54">
        <v>55500000</v>
      </c>
      <c r="J354" s="54">
        <v>0</v>
      </c>
      <c r="K354" s="54">
        <v>444000000</v>
      </c>
      <c r="L354" s="177">
        <f t="shared" si="0"/>
        <v>0.66666666666666663</v>
      </c>
      <c r="M354" s="54">
        <v>444000000</v>
      </c>
      <c r="N354" s="178">
        <f t="shared" si="1"/>
        <v>0.66666666666666663</v>
      </c>
      <c r="O354" s="54">
        <v>166500000</v>
      </c>
      <c r="P354" s="178">
        <f t="shared" si="2"/>
        <v>0.25</v>
      </c>
      <c r="Q354" s="54">
        <v>16650000</v>
      </c>
      <c r="GM354" s="186"/>
      <c r="GN354" s="186"/>
      <c r="GO354" s="186"/>
      <c r="GP354" s="186"/>
      <c r="GQ354" s="186"/>
      <c r="GR354" s="186"/>
      <c r="GS354" s="186"/>
      <c r="GT354" s="186"/>
      <c r="GU354" s="186"/>
      <c r="GV354" s="186"/>
      <c r="GW354" s="186"/>
      <c r="GX354" s="186"/>
      <c r="GY354" s="186"/>
      <c r="GZ354" s="186"/>
      <c r="HA354" s="186"/>
      <c r="HB354" s="186"/>
      <c r="HC354" s="186"/>
      <c r="HD354" s="186"/>
      <c r="HE354" s="186"/>
      <c r="HF354" s="186"/>
      <c r="HG354" s="186"/>
      <c r="HH354" s="186"/>
      <c r="HI354" s="186"/>
      <c r="HJ354" s="186"/>
      <c r="HK354" s="186"/>
      <c r="HL354" s="186"/>
      <c r="HM354" s="186"/>
      <c r="HN354" s="186"/>
      <c r="HO354" s="186"/>
      <c r="HP354" s="186"/>
      <c r="HQ354" s="186"/>
      <c r="HR354" s="186"/>
      <c r="HS354" s="186"/>
      <c r="HT354" s="186"/>
      <c r="HU354" s="186"/>
      <c r="HV354" s="186"/>
      <c r="HW354" s="186"/>
      <c r="HX354" s="186"/>
      <c r="HY354" s="186"/>
      <c r="HZ354" s="186"/>
      <c r="IA354" s="186"/>
      <c r="IB354" s="186"/>
      <c r="IC354" s="186"/>
      <c r="ID354" s="186"/>
      <c r="IE354" s="186"/>
      <c r="IF354" s="186"/>
      <c r="IG354" s="186"/>
      <c r="IH354" s="186"/>
      <c r="II354" s="186"/>
      <c r="IJ354" s="186"/>
      <c r="IK354" s="186"/>
      <c r="IL354" s="186"/>
      <c r="IM354" s="186"/>
      <c r="IN354" s="186"/>
      <c r="IO354" s="186"/>
      <c r="IP354" s="186"/>
      <c r="IQ354" s="186"/>
      <c r="IR354" s="186"/>
      <c r="IS354" s="186"/>
      <c r="IT354" s="186"/>
      <c r="IU354" s="186"/>
      <c r="IV354" s="186"/>
    </row>
    <row r="355" spans="1:256" hidden="1" x14ac:dyDescent="0.25">
      <c r="A355" s="53" t="s">
        <v>707</v>
      </c>
      <c r="B355" s="53" t="s">
        <v>368</v>
      </c>
      <c r="C355" s="53" t="s">
        <v>369</v>
      </c>
      <c r="D355" s="53" t="s">
        <v>69</v>
      </c>
      <c r="E355" s="54">
        <v>666000000</v>
      </c>
      <c r="F355" s="54">
        <v>666000000</v>
      </c>
      <c r="G355" s="54">
        <v>516150000</v>
      </c>
      <c r="H355" s="54">
        <v>0</v>
      </c>
      <c r="I355" s="54">
        <v>55500000</v>
      </c>
      <c r="J355" s="54">
        <v>0</v>
      </c>
      <c r="K355" s="54">
        <v>444000000</v>
      </c>
      <c r="L355" s="177">
        <f t="shared" si="0"/>
        <v>0.66666666666666663</v>
      </c>
      <c r="M355" s="54">
        <v>444000000</v>
      </c>
      <c r="N355" s="178">
        <f t="shared" si="1"/>
        <v>0.66666666666666663</v>
      </c>
      <c r="O355" s="54">
        <v>166500000</v>
      </c>
      <c r="P355" s="178">
        <f t="shared" si="2"/>
        <v>0.25</v>
      </c>
      <c r="Q355" s="54">
        <v>16650000</v>
      </c>
      <c r="GM355" s="186"/>
      <c r="GN355" s="186"/>
      <c r="GO355" s="186"/>
      <c r="GP355" s="186"/>
      <c r="GQ355" s="186"/>
      <c r="GR355" s="186"/>
      <c r="GS355" s="186"/>
      <c r="GT355" s="186"/>
      <c r="GU355" s="186"/>
      <c r="GV355" s="186"/>
      <c r="GW355" s="186"/>
      <c r="GX355" s="186"/>
      <c r="GY355" s="186"/>
      <c r="GZ355" s="186"/>
      <c r="HA355" s="186"/>
      <c r="HB355" s="186"/>
      <c r="HC355" s="186"/>
      <c r="HD355" s="186"/>
      <c r="HE355" s="186"/>
      <c r="HF355" s="186"/>
      <c r="HG355" s="186"/>
      <c r="HH355" s="186"/>
      <c r="HI355" s="186"/>
      <c r="HJ355" s="186"/>
      <c r="HK355" s="186"/>
      <c r="HL355" s="186"/>
      <c r="HM355" s="186"/>
      <c r="HN355" s="186"/>
      <c r="HO355" s="186"/>
      <c r="HP355" s="186"/>
      <c r="HQ355" s="186"/>
      <c r="HR355" s="186"/>
      <c r="HS355" s="186"/>
      <c r="HT355" s="186"/>
      <c r="HU355" s="186"/>
      <c r="HV355" s="186"/>
      <c r="HW355" s="186"/>
      <c r="HX355" s="186"/>
      <c r="HY355" s="186"/>
      <c r="HZ355" s="186"/>
      <c r="IA355" s="186"/>
      <c r="IB355" s="186"/>
      <c r="IC355" s="186"/>
      <c r="ID355" s="186"/>
      <c r="IE355" s="186"/>
      <c r="IF355" s="186"/>
      <c r="IG355" s="186"/>
      <c r="IH355" s="186"/>
      <c r="II355" s="186"/>
      <c r="IJ355" s="186"/>
      <c r="IK355" s="186"/>
      <c r="IL355" s="186"/>
      <c r="IM355" s="186"/>
      <c r="IN355" s="186"/>
      <c r="IO355" s="186"/>
      <c r="IP355" s="186"/>
      <c r="IQ355" s="186"/>
      <c r="IR355" s="186"/>
      <c r="IS355" s="186"/>
      <c r="IT355" s="186"/>
      <c r="IU355" s="186"/>
      <c r="IV355" s="186"/>
    </row>
    <row r="356" spans="1:256" hidden="1" x14ac:dyDescent="0.25">
      <c r="A356" s="53" t="s">
        <v>707</v>
      </c>
      <c r="B356" s="53" t="s">
        <v>260</v>
      </c>
      <c r="C356" s="53" t="s">
        <v>261</v>
      </c>
      <c r="D356" s="53" t="s">
        <v>69</v>
      </c>
      <c r="E356" s="54">
        <v>1271503122</v>
      </c>
      <c r="F356" s="54">
        <v>1271503122</v>
      </c>
      <c r="G356" s="54">
        <v>1071503122</v>
      </c>
      <c r="H356" s="54">
        <v>0</v>
      </c>
      <c r="I356" s="54">
        <v>84442629.379999995</v>
      </c>
      <c r="J356" s="54">
        <v>0</v>
      </c>
      <c r="K356" s="54">
        <v>474913105.01999998</v>
      </c>
      <c r="L356" s="177">
        <f t="shared" si="0"/>
        <v>0.37350526066580902</v>
      </c>
      <c r="M356" s="54">
        <v>470561708.74000001</v>
      </c>
      <c r="N356" s="178">
        <f t="shared" si="1"/>
        <v>0.3700830148177961</v>
      </c>
      <c r="O356" s="54">
        <v>712147387.60000002</v>
      </c>
      <c r="P356" s="178">
        <f t="shared" si="2"/>
        <v>0.56008308220260905</v>
      </c>
      <c r="Q356" s="54">
        <v>512147387.60000002</v>
      </c>
      <c r="GM356" s="186"/>
      <c r="GN356" s="186"/>
      <c r="GO356" s="186"/>
      <c r="GP356" s="186"/>
      <c r="GQ356" s="186"/>
      <c r="GR356" s="186"/>
      <c r="GS356" s="186"/>
      <c r="GT356" s="186"/>
      <c r="GU356" s="186"/>
      <c r="GV356" s="186"/>
      <c r="GW356" s="186"/>
      <c r="GX356" s="186"/>
      <c r="GY356" s="186"/>
      <c r="GZ356" s="186"/>
      <c r="HA356" s="186"/>
      <c r="HB356" s="186"/>
      <c r="HC356" s="186"/>
      <c r="HD356" s="186"/>
      <c r="HE356" s="186"/>
      <c r="HF356" s="186"/>
      <c r="HG356" s="186"/>
      <c r="HH356" s="186"/>
      <c r="HI356" s="186"/>
      <c r="HJ356" s="186"/>
      <c r="HK356" s="186"/>
      <c r="HL356" s="186"/>
      <c r="HM356" s="186"/>
      <c r="HN356" s="186"/>
      <c r="HO356" s="186"/>
      <c r="HP356" s="186"/>
      <c r="HQ356" s="186"/>
      <c r="HR356" s="186"/>
      <c r="HS356" s="186"/>
      <c r="HT356" s="186"/>
      <c r="HU356" s="186"/>
      <c r="HV356" s="186"/>
      <c r="HW356" s="186"/>
      <c r="HX356" s="186"/>
      <c r="HY356" s="186"/>
      <c r="HZ356" s="186"/>
      <c r="IA356" s="186"/>
      <c r="IB356" s="186"/>
      <c r="IC356" s="186"/>
      <c r="ID356" s="186"/>
      <c r="IE356" s="186"/>
      <c r="IF356" s="186"/>
      <c r="IG356" s="186"/>
      <c r="IH356" s="186"/>
      <c r="II356" s="186"/>
      <c r="IJ356" s="186"/>
      <c r="IK356" s="186"/>
      <c r="IL356" s="186"/>
      <c r="IM356" s="186"/>
      <c r="IN356" s="186"/>
      <c r="IO356" s="186"/>
      <c r="IP356" s="186"/>
      <c r="IQ356" s="186"/>
      <c r="IR356" s="186"/>
      <c r="IS356" s="186"/>
      <c r="IT356" s="186"/>
      <c r="IU356" s="186"/>
      <c r="IV356" s="186"/>
    </row>
    <row r="357" spans="1:256" hidden="1" x14ac:dyDescent="0.25">
      <c r="A357" s="53" t="s">
        <v>707</v>
      </c>
      <c r="B357" s="53" t="s">
        <v>262</v>
      </c>
      <c r="C357" s="53" t="s">
        <v>263</v>
      </c>
      <c r="D357" s="53" t="s">
        <v>69</v>
      </c>
      <c r="E357" s="54">
        <v>1000003122</v>
      </c>
      <c r="F357" s="54">
        <v>1000003122</v>
      </c>
      <c r="G357" s="54">
        <v>800003122</v>
      </c>
      <c r="H357" s="54">
        <v>0</v>
      </c>
      <c r="I357" s="54">
        <v>84442629.379999995</v>
      </c>
      <c r="J357" s="54">
        <v>0</v>
      </c>
      <c r="K357" s="54">
        <v>365558150.62</v>
      </c>
      <c r="L357" s="177">
        <f t="shared" si="0"/>
        <v>0.36555700935101682</v>
      </c>
      <c r="M357" s="54">
        <v>361206754.33999997</v>
      </c>
      <c r="N357" s="178">
        <f t="shared" si="1"/>
        <v>0.36120562665603356</v>
      </c>
      <c r="O357" s="54">
        <v>550002342</v>
      </c>
      <c r="P357" s="178">
        <f t="shared" si="2"/>
        <v>0.55000062489804902</v>
      </c>
      <c r="Q357" s="54">
        <v>350002342</v>
      </c>
      <c r="GM357" s="186"/>
      <c r="GN357" s="186"/>
      <c r="GO357" s="186"/>
      <c r="GP357" s="186"/>
      <c r="GQ357" s="186"/>
      <c r="GR357" s="186"/>
      <c r="GS357" s="186"/>
      <c r="GT357" s="186"/>
      <c r="GU357" s="186"/>
      <c r="GV357" s="186"/>
      <c r="GW357" s="186"/>
      <c r="GX357" s="186"/>
      <c r="GY357" s="186"/>
      <c r="GZ357" s="186"/>
      <c r="HA357" s="186"/>
      <c r="HB357" s="186"/>
      <c r="HC357" s="186"/>
      <c r="HD357" s="186"/>
      <c r="HE357" s="186"/>
      <c r="HF357" s="186"/>
      <c r="HG357" s="186"/>
      <c r="HH357" s="186"/>
      <c r="HI357" s="186"/>
      <c r="HJ357" s="186"/>
      <c r="HK357" s="186"/>
      <c r="HL357" s="186"/>
      <c r="HM357" s="186"/>
      <c r="HN357" s="186"/>
      <c r="HO357" s="186"/>
      <c r="HP357" s="186"/>
      <c r="HQ357" s="186"/>
      <c r="HR357" s="186"/>
      <c r="HS357" s="186"/>
      <c r="HT357" s="186"/>
      <c r="HU357" s="186"/>
      <c r="HV357" s="186"/>
      <c r="HW357" s="186"/>
      <c r="HX357" s="186"/>
      <c r="HY357" s="186"/>
      <c r="HZ357" s="186"/>
      <c r="IA357" s="186"/>
      <c r="IB357" s="186"/>
      <c r="IC357" s="186"/>
      <c r="ID357" s="186"/>
      <c r="IE357" s="186"/>
      <c r="IF357" s="186"/>
      <c r="IG357" s="186"/>
      <c r="IH357" s="186"/>
      <c r="II357" s="186"/>
      <c r="IJ357" s="186"/>
      <c r="IK357" s="186"/>
      <c r="IL357" s="186"/>
      <c r="IM357" s="186"/>
      <c r="IN357" s="186"/>
      <c r="IO357" s="186"/>
      <c r="IP357" s="186"/>
      <c r="IQ357" s="186"/>
      <c r="IR357" s="186"/>
      <c r="IS357" s="186"/>
      <c r="IT357" s="186"/>
      <c r="IU357" s="186"/>
      <c r="IV357" s="186"/>
    </row>
    <row r="358" spans="1:256" hidden="1" x14ac:dyDescent="0.25">
      <c r="A358" s="53" t="s">
        <v>707</v>
      </c>
      <c r="B358" s="53" t="s">
        <v>264</v>
      </c>
      <c r="C358" s="53" t="s">
        <v>265</v>
      </c>
      <c r="D358" s="53" t="s">
        <v>69</v>
      </c>
      <c r="E358" s="54">
        <v>271500000</v>
      </c>
      <c r="F358" s="54">
        <v>271500000</v>
      </c>
      <c r="G358" s="54">
        <v>271500000</v>
      </c>
      <c r="H358" s="54">
        <v>0</v>
      </c>
      <c r="I358" s="54">
        <v>0</v>
      </c>
      <c r="J358" s="54">
        <v>0</v>
      </c>
      <c r="K358" s="54">
        <v>109354954.40000001</v>
      </c>
      <c r="L358" s="177">
        <f t="shared" si="0"/>
        <v>0.40278067918968696</v>
      </c>
      <c r="M358" s="54">
        <v>109354954.40000001</v>
      </c>
      <c r="N358" s="178">
        <f t="shared" si="1"/>
        <v>0.40278067918968696</v>
      </c>
      <c r="O358" s="54">
        <v>162145045.59999999</v>
      </c>
      <c r="P358" s="178">
        <f t="shared" si="2"/>
        <v>0.59721932081031304</v>
      </c>
      <c r="Q358" s="54">
        <v>162145045.59999999</v>
      </c>
      <c r="GM358" s="186"/>
      <c r="GN358" s="186"/>
      <c r="GO358" s="186"/>
      <c r="GP358" s="186"/>
      <c r="GQ358" s="186"/>
      <c r="GR358" s="186"/>
      <c r="GS358" s="186"/>
      <c r="GT358" s="186"/>
      <c r="GU358" s="186"/>
      <c r="GV358" s="186"/>
      <c r="GW358" s="186"/>
      <c r="GX358" s="186"/>
      <c r="GY358" s="186"/>
      <c r="GZ358" s="186"/>
      <c r="HA358" s="186"/>
      <c r="HB358" s="186"/>
      <c r="HC358" s="186"/>
      <c r="HD358" s="186"/>
      <c r="HE358" s="186"/>
      <c r="HF358" s="186"/>
      <c r="HG358" s="186"/>
      <c r="HH358" s="186"/>
      <c r="HI358" s="186"/>
      <c r="HJ358" s="186"/>
      <c r="HK358" s="186"/>
      <c r="HL358" s="186"/>
      <c r="HM358" s="186"/>
      <c r="HN358" s="186"/>
      <c r="HO358" s="186"/>
      <c r="HP358" s="186"/>
      <c r="HQ358" s="186"/>
      <c r="HR358" s="186"/>
      <c r="HS358" s="186"/>
      <c r="HT358" s="186"/>
      <c r="HU358" s="186"/>
      <c r="HV358" s="186"/>
      <c r="HW358" s="186"/>
      <c r="HX358" s="186"/>
      <c r="HY358" s="186"/>
      <c r="HZ358" s="186"/>
      <c r="IA358" s="186"/>
      <c r="IB358" s="186"/>
      <c r="IC358" s="186"/>
      <c r="ID358" s="186"/>
      <c r="IE358" s="186"/>
      <c r="IF358" s="186"/>
      <c r="IG358" s="186"/>
      <c r="IH358" s="186"/>
      <c r="II358" s="186"/>
      <c r="IJ358" s="186"/>
      <c r="IK358" s="186"/>
      <c r="IL358" s="186"/>
      <c r="IM358" s="186"/>
      <c r="IN358" s="186"/>
      <c r="IO358" s="186"/>
      <c r="IP358" s="186"/>
      <c r="IQ358" s="186"/>
      <c r="IR358" s="186"/>
      <c r="IS358" s="186"/>
      <c r="IT358" s="186"/>
      <c r="IU358" s="186"/>
      <c r="IV358" s="186"/>
    </row>
    <row r="359" spans="1:256" hidden="1" x14ac:dyDescent="0.25">
      <c r="A359" s="53" t="s">
        <v>707</v>
      </c>
      <c r="B359" s="53" t="s">
        <v>286</v>
      </c>
      <c r="C359" s="53" t="s">
        <v>287</v>
      </c>
      <c r="D359" s="53" t="s">
        <v>69</v>
      </c>
      <c r="E359" s="54">
        <v>150000000</v>
      </c>
      <c r="F359" s="54">
        <v>150000000</v>
      </c>
      <c r="G359" s="54">
        <v>150000000</v>
      </c>
      <c r="H359" s="54">
        <v>0</v>
      </c>
      <c r="I359" s="54">
        <v>54201702.100000001</v>
      </c>
      <c r="J359" s="54">
        <v>0</v>
      </c>
      <c r="K359" s="54">
        <v>23555480.219999999</v>
      </c>
      <c r="L359" s="177">
        <f t="shared" si="0"/>
        <v>0.15703653479999999</v>
      </c>
      <c r="M359" s="54">
        <v>23555480.219999999</v>
      </c>
      <c r="N359" s="178">
        <f t="shared" si="1"/>
        <v>0.15703653479999999</v>
      </c>
      <c r="O359" s="54">
        <v>72242817.680000007</v>
      </c>
      <c r="P359" s="178">
        <f t="shared" si="2"/>
        <v>0.4816187845333334</v>
      </c>
      <c r="Q359" s="54">
        <v>72242817.680000007</v>
      </c>
      <c r="GM359" s="186"/>
      <c r="GN359" s="186"/>
      <c r="GO359" s="186"/>
      <c r="GP359" s="186"/>
      <c r="GQ359" s="186"/>
      <c r="GR359" s="186"/>
      <c r="GS359" s="186"/>
      <c r="GT359" s="186"/>
      <c r="GU359" s="186"/>
      <c r="GV359" s="186"/>
      <c r="GW359" s="186"/>
      <c r="GX359" s="186"/>
      <c r="GY359" s="186"/>
      <c r="GZ359" s="186"/>
      <c r="HA359" s="186"/>
      <c r="HB359" s="186"/>
      <c r="HC359" s="186"/>
      <c r="HD359" s="186"/>
      <c r="HE359" s="186"/>
      <c r="HF359" s="186"/>
      <c r="HG359" s="186"/>
      <c r="HH359" s="186"/>
      <c r="HI359" s="186"/>
      <c r="HJ359" s="186"/>
      <c r="HK359" s="186"/>
      <c r="HL359" s="186"/>
      <c r="HM359" s="186"/>
      <c r="HN359" s="186"/>
      <c r="HO359" s="186"/>
      <c r="HP359" s="186"/>
      <c r="HQ359" s="186"/>
      <c r="HR359" s="186"/>
      <c r="HS359" s="186"/>
      <c r="HT359" s="186"/>
      <c r="HU359" s="186"/>
      <c r="HV359" s="186"/>
      <c r="HW359" s="186"/>
      <c r="HX359" s="186"/>
      <c r="HY359" s="186"/>
      <c r="HZ359" s="186"/>
      <c r="IA359" s="186"/>
      <c r="IB359" s="186"/>
      <c r="IC359" s="186"/>
      <c r="ID359" s="186"/>
      <c r="IE359" s="186"/>
      <c r="IF359" s="186"/>
      <c r="IG359" s="186"/>
      <c r="IH359" s="186"/>
      <c r="II359" s="186"/>
      <c r="IJ359" s="186"/>
      <c r="IK359" s="186"/>
      <c r="IL359" s="186"/>
      <c r="IM359" s="186"/>
      <c r="IN359" s="186"/>
      <c r="IO359" s="186"/>
      <c r="IP359" s="186"/>
      <c r="IQ359" s="186"/>
      <c r="IR359" s="186"/>
      <c r="IS359" s="186"/>
      <c r="IT359" s="186"/>
      <c r="IU359" s="186"/>
      <c r="IV359" s="186"/>
    </row>
    <row r="360" spans="1:256" hidden="1" x14ac:dyDescent="0.25">
      <c r="A360" s="53" t="s">
        <v>707</v>
      </c>
      <c r="B360" s="53" t="s">
        <v>288</v>
      </c>
      <c r="C360" s="53" t="s">
        <v>289</v>
      </c>
      <c r="D360" s="53" t="s">
        <v>69</v>
      </c>
      <c r="E360" s="54">
        <v>100000000</v>
      </c>
      <c r="F360" s="54">
        <v>100000000</v>
      </c>
      <c r="G360" s="54">
        <v>100000000</v>
      </c>
      <c r="H360" s="54">
        <v>0</v>
      </c>
      <c r="I360" s="54">
        <v>47368336.640000001</v>
      </c>
      <c r="J360" s="54">
        <v>0</v>
      </c>
      <c r="K360" s="54">
        <v>2888845.68</v>
      </c>
      <c r="L360" s="177">
        <f t="shared" si="0"/>
        <v>2.88884568E-2</v>
      </c>
      <c r="M360" s="54">
        <v>2888845.68</v>
      </c>
      <c r="N360" s="178">
        <f t="shared" si="1"/>
        <v>2.88884568E-2</v>
      </c>
      <c r="O360" s="54">
        <v>49742817.68</v>
      </c>
      <c r="P360" s="178">
        <f t="shared" si="2"/>
        <v>0.49742817680000001</v>
      </c>
      <c r="Q360" s="54">
        <v>49742817.68</v>
      </c>
      <c r="GM360" s="186"/>
      <c r="GN360" s="186"/>
      <c r="GO360" s="186"/>
      <c r="GP360" s="186"/>
      <c r="GQ360" s="186"/>
      <c r="GR360" s="186"/>
      <c r="GS360" s="186"/>
      <c r="GT360" s="186"/>
      <c r="GU360" s="186"/>
      <c r="GV360" s="186"/>
      <c r="GW360" s="186"/>
      <c r="GX360" s="186"/>
      <c r="GY360" s="186"/>
      <c r="GZ360" s="186"/>
      <c r="HA360" s="186"/>
      <c r="HB360" s="186"/>
      <c r="HC360" s="186"/>
      <c r="HD360" s="186"/>
      <c r="HE360" s="186"/>
      <c r="HF360" s="186"/>
      <c r="HG360" s="186"/>
      <c r="HH360" s="186"/>
      <c r="HI360" s="186"/>
      <c r="HJ360" s="186"/>
      <c r="HK360" s="186"/>
      <c r="HL360" s="186"/>
      <c r="HM360" s="186"/>
      <c r="HN360" s="186"/>
      <c r="HO360" s="186"/>
      <c r="HP360" s="186"/>
      <c r="HQ360" s="186"/>
      <c r="HR360" s="186"/>
      <c r="HS360" s="186"/>
      <c r="HT360" s="186"/>
      <c r="HU360" s="186"/>
      <c r="HV360" s="186"/>
      <c r="HW360" s="186"/>
      <c r="HX360" s="186"/>
      <c r="HY360" s="186"/>
      <c r="HZ360" s="186"/>
      <c r="IA360" s="186"/>
      <c r="IB360" s="186"/>
      <c r="IC360" s="186"/>
      <c r="ID360" s="186"/>
      <c r="IE360" s="186"/>
      <c r="IF360" s="186"/>
      <c r="IG360" s="186"/>
      <c r="IH360" s="186"/>
      <c r="II360" s="186"/>
      <c r="IJ360" s="186"/>
      <c r="IK360" s="186"/>
      <c r="IL360" s="186"/>
      <c r="IM360" s="186"/>
      <c r="IN360" s="186"/>
      <c r="IO360" s="186"/>
      <c r="IP360" s="186"/>
      <c r="IQ360" s="186"/>
      <c r="IR360" s="186"/>
      <c r="IS360" s="186"/>
      <c r="IT360" s="186"/>
      <c r="IU360" s="186"/>
      <c r="IV360" s="186"/>
    </row>
    <row r="361" spans="1:256" hidden="1" x14ac:dyDescent="0.25">
      <c r="A361" s="53" t="s">
        <v>707</v>
      </c>
      <c r="B361" s="53" t="s">
        <v>370</v>
      </c>
      <c r="C361" s="53" t="s">
        <v>371</v>
      </c>
      <c r="D361" s="53" t="s">
        <v>69</v>
      </c>
      <c r="E361" s="54">
        <v>50000000</v>
      </c>
      <c r="F361" s="54">
        <v>50000000</v>
      </c>
      <c r="G361" s="54">
        <v>50000000</v>
      </c>
      <c r="H361" s="54">
        <v>0</v>
      </c>
      <c r="I361" s="54">
        <v>6833365.46</v>
      </c>
      <c r="J361" s="54">
        <v>0</v>
      </c>
      <c r="K361" s="54">
        <v>20666634.539999999</v>
      </c>
      <c r="L361" s="177">
        <f t="shared" si="0"/>
        <v>0.41333269079999996</v>
      </c>
      <c r="M361" s="54">
        <v>20666634.539999999</v>
      </c>
      <c r="N361" s="178">
        <f t="shared" si="1"/>
        <v>0.41333269079999996</v>
      </c>
      <c r="O361" s="54">
        <v>22500000</v>
      </c>
      <c r="P361" s="178">
        <f t="shared" si="2"/>
        <v>0.45</v>
      </c>
      <c r="Q361" s="54">
        <v>22500000</v>
      </c>
      <c r="GM361" s="186"/>
      <c r="GN361" s="186"/>
      <c r="GO361" s="186"/>
      <c r="GP361" s="186"/>
      <c r="GQ361" s="186"/>
      <c r="GR361" s="186"/>
      <c r="GS361" s="186"/>
      <c r="GT361" s="186"/>
      <c r="GU361" s="186"/>
      <c r="GV361" s="186"/>
      <c r="GW361" s="186"/>
      <c r="GX361" s="186"/>
      <c r="GY361" s="186"/>
      <c r="GZ361" s="186"/>
      <c r="HA361" s="186"/>
      <c r="HB361" s="186"/>
      <c r="HC361" s="186"/>
      <c r="HD361" s="186"/>
      <c r="HE361" s="186"/>
      <c r="HF361" s="186"/>
      <c r="HG361" s="186"/>
      <c r="HH361" s="186"/>
      <c r="HI361" s="186"/>
      <c r="HJ361" s="186"/>
      <c r="HK361" s="186"/>
      <c r="HL361" s="186"/>
      <c r="HM361" s="186"/>
      <c r="HN361" s="186"/>
      <c r="HO361" s="186"/>
      <c r="HP361" s="186"/>
      <c r="HQ361" s="186"/>
      <c r="HR361" s="186"/>
      <c r="HS361" s="186"/>
      <c r="HT361" s="186"/>
      <c r="HU361" s="186"/>
      <c r="HV361" s="186"/>
      <c r="HW361" s="186"/>
      <c r="HX361" s="186"/>
      <c r="HY361" s="186"/>
      <c r="HZ361" s="186"/>
      <c r="IA361" s="186"/>
      <c r="IB361" s="186"/>
      <c r="IC361" s="186"/>
      <c r="ID361" s="186"/>
      <c r="IE361" s="186"/>
      <c r="IF361" s="186"/>
      <c r="IG361" s="186"/>
      <c r="IH361" s="186"/>
      <c r="II361" s="186"/>
      <c r="IJ361" s="186"/>
      <c r="IK361" s="186"/>
      <c r="IL361" s="186"/>
      <c r="IM361" s="186"/>
      <c r="IN361" s="186"/>
      <c r="IO361" s="186"/>
      <c r="IP361" s="186"/>
      <c r="IQ361" s="186"/>
      <c r="IR361" s="186"/>
      <c r="IS361" s="186"/>
      <c r="IT361" s="186"/>
      <c r="IU361" s="186"/>
      <c r="IV361" s="186"/>
    </row>
    <row r="362" spans="1:256" hidden="1" x14ac:dyDescent="0.25">
      <c r="A362" s="53" t="s">
        <v>707</v>
      </c>
      <c r="B362" s="53" t="s">
        <v>372</v>
      </c>
      <c r="C362" s="53" t="s">
        <v>373</v>
      </c>
      <c r="D362" s="53" t="s">
        <v>85</v>
      </c>
      <c r="E362" s="54">
        <v>581400000</v>
      </c>
      <c r="F362" s="54">
        <v>581400000</v>
      </c>
      <c r="G362" s="54">
        <v>581400000</v>
      </c>
      <c r="H362" s="54">
        <v>0</v>
      </c>
      <c r="I362" s="54">
        <v>581400000</v>
      </c>
      <c r="J362" s="54">
        <v>0</v>
      </c>
      <c r="K362" s="54">
        <v>0</v>
      </c>
      <c r="L362" s="177">
        <f t="shared" si="0"/>
        <v>0</v>
      </c>
      <c r="M362" s="54">
        <v>0</v>
      </c>
      <c r="N362" s="178">
        <f t="shared" si="1"/>
        <v>0</v>
      </c>
      <c r="O362" s="54">
        <v>0</v>
      </c>
      <c r="P362" s="178">
        <f t="shared" si="2"/>
        <v>0</v>
      </c>
      <c r="Q362" s="54">
        <v>0</v>
      </c>
      <c r="GM362" s="186"/>
      <c r="GN362" s="186"/>
      <c r="GO362" s="186"/>
      <c r="GP362" s="186"/>
      <c r="GQ362" s="186"/>
      <c r="GR362" s="186"/>
      <c r="GS362" s="186"/>
      <c r="GT362" s="186"/>
      <c r="GU362" s="186"/>
      <c r="GV362" s="186"/>
      <c r="GW362" s="186"/>
      <c r="GX362" s="186"/>
      <c r="GY362" s="186"/>
      <c r="GZ362" s="186"/>
      <c r="HA362" s="186"/>
      <c r="HB362" s="186"/>
      <c r="HC362" s="186"/>
      <c r="HD362" s="186"/>
      <c r="HE362" s="186"/>
      <c r="HF362" s="186"/>
      <c r="HG362" s="186"/>
      <c r="HH362" s="186"/>
      <c r="HI362" s="186"/>
      <c r="HJ362" s="186"/>
      <c r="HK362" s="186"/>
      <c r="HL362" s="186"/>
      <c r="HM362" s="186"/>
      <c r="HN362" s="186"/>
      <c r="HO362" s="186"/>
      <c r="HP362" s="186"/>
      <c r="HQ362" s="186"/>
      <c r="HR362" s="186"/>
      <c r="HS362" s="186"/>
      <c r="HT362" s="186"/>
      <c r="HU362" s="186"/>
      <c r="HV362" s="186"/>
      <c r="HW362" s="186"/>
      <c r="HX362" s="186"/>
      <c r="HY362" s="186"/>
      <c r="HZ362" s="186"/>
      <c r="IA362" s="186"/>
      <c r="IB362" s="186"/>
      <c r="IC362" s="186"/>
      <c r="ID362" s="186"/>
      <c r="IE362" s="186"/>
      <c r="IF362" s="186"/>
      <c r="IG362" s="186"/>
      <c r="IH362" s="186"/>
      <c r="II362" s="186"/>
      <c r="IJ362" s="186"/>
      <c r="IK362" s="186"/>
      <c r="IL362" s="186"/>
      <c r="IM362" s="186"/>
      <c r="IN362" s="186"/>
      <c r="IO362" s="186"/>
      <c r="IP362" s="186"/>
      <c r="IQ362" s="186"/>
      <c r="IR362" s="186"/>
      <c r="IS362" s="186"/>
      <c r="IT362" s="186"/>
      <c r="IU362" s="186"/>
      <c r="IV362" s="186"/>
    </row>
    <row r="363" spans="1:256" hidden="1" x14ac:dyDescent="0.25">
      <c r="A363" s="53" t="s">
        <v>707</v>
      </c>
      <c r="B363" s="53" t="s">
        <v>374</v>
      </c>
      <c r="C363" s="53" t="s">
        <v>375</v>
      </c>
      <c r="D363" s="53" t="s">
        <v>85</v>
      </c>
      <c r="E363" s="54">
        <v>581400000</v>
      </c>
      <c r="F363" s="54">
        <v>581400000</v>
      </c>
      <c r="G363" s="54">
        <v>581400000</v>
      </c>
      <c r="H363" s="54">
        <v>0</v>
      </c>
      <c r="I363" s="54">
        <v>581400000</v>
      </c>
      <c r="J363" s="54">
        <v>0</v>
      </c>
      <c r="K363" s="54">
        <v>0</v>
      </c>
      <c r="L363" s="177">
        <f t="shared" si="0"/>
        <v>0</v>
      </c>
      <c r="M363" s="54">
        <v>0</v>
      </c>
      <c r="N363" s="178">
        <f t="shared" si="1"/>
        <v>0</v>
      </c>
      <c r="O363" s="54">
        <v>0</v>
      </c>
      <c r="P363" s="178">
        <f t="shared" si="2"/>
        <v>0</v>
      </c>
      <c r="Q363" s="54">
        <v>0</v>
      </c>
      <c r="GM363" s="186"/>
      <c r="GN363" s="186"/>
      <c r="GO363" s="186"/>
      <c r="GP363" s="186"/>
      <c r="GQ363" s="186"/>
      <c r="GR363" s="186"/>
      <c r="GS363" s="186"/>
      <c r="GT363" s="186"/>
      <c r="GU363" s="186"/>
      <c r="GV363" s="186"/>
      <c r="GW363" s="186"/>
      <c r="GX363" s="186"/>
      <c r="GY363" s="186"/>
      <c r="GZ363" s="186"/>
      <c r="HA363" s="186"/>
      <c r="HB363" s="186"/>
      <c r="HC363" s="186"/>
      <c r="HD363" s="186"/>
      <c r="HE363" s="186"/>
      <c r="HF363" s="186"/>
      <c r="HG363" s="186"/>
      <c r="HH363" s="186"/>
      <c r="HI363" s="186"/>
      <c r="HJ363" s="186"/>
      <c r="HK363" s="186"/>
      <c r="HL363" s="186"/>
      <c r="HM363" s="186"/>
      <c r="HN363" s="186"/>
      <c r="HO363" s="186"/>
      <c r="HP363" s="186"/>
      <c r="HQ363" s="186"/>
      <c r="HR363" s="186"/>
      <c r="HS363" s="186"/>
      <c r="HT363" s="186"/>
      <c r="HU363" s="186"/>
      <c r="HV363" s="186"/>
      <c r="HW363" s="186"/>
      <c r="HX363" s="186"/>
      <c r="HY363" s="186"/>
      <c r="HZ363" s="186"/>
      <c r="IA363" s="186"/>
      <c r="IB363" s="186"/>
      <c r="IC363" s="186"/>
      <c r="ID363" s="186"/>
      <c r="IE363" s="186"/>
      <c r="IF363" s="186"/>
      <c r="IG363" s="186"/>
      <c r="IH363" s="186"/>
      <c r="II363" s="186"/>
      <c r="IJ363" s="186"/>
      <c r="IK363" s="186"/>
      <c r="IL363" s="186"/>
      <c r="IM363" s="186"/>
      <c r="IN363" s="186"/>
      <c r="IO363" s="186"/>
      <c r="IP363" s="186"/>
      <c r="IQ363" s="186"/>
      <c r="IR363" s="186"/>
      <c r="IS363" s="186"/>
      <c r="IT363" s="186"/>
      <c r="IU363" s="186"/>
      <c r="IV363" s="186"/>
    </row>
    <row r="364" spans="1:256" x14ac:dyDescent="0.25">
      <c r="A364" s="53" t="s">
        <v>707</v>
      </c>
      <c r="B364" s="53" t="s">
        <v>674</v>
      </c>
      <c r="C364" s="53" t="s">
        <v>710</v>
      </c>
      <c r="D364" s="53" t="s">
        <v>85</v>
      </c>
      <c r="E364" s="54">
        <v>581400000</v>
      </c>
      <c r="F364" s="54">
        <v>581400000</v>
      </c>
      <c r="G364" s="54">
        <v>581400000</v>
      </c>
      <c r="H364" s="54">
        <v>0</v>
      </c>
      <c r="I364" s="54">
        <v>581400000</v>
      </c>
      <c r="J364" s="54">
        <v>0</v>
      </c>
      <c r="K364" s="54">
        <v>0</v>
      </c>
      <c r="L364" s="177">
        <f t="shared" si="0"/>
        <v>0</v>
      </c>
      <c r="M364" s="54">
        <v>0</v>
      </c>
      <c r="N364" s="178">
        <f t="shared" si="1"/>
        <v>0</v>
      </c>
      <c r="O364" s="54">
        <v>0</v>
      </c>
      <c r="P364" s="178">
        <f t="shared" si="2"/>
        <v>0</v>
      </c>
      <c r="Q364" s="54">
        <v>0</v>
      </c>
      <c r="GM364" s="186"/>
      <c r="GN364" s="186"/>
      <c r="GO364" s="186"/>
      <c r="GP364" s="186"/>
      <c r="GQ364" s="186"/>
      <c r="GR364" s="186"/>
      <c r="GS364" s="186"/>
      <c r="GT364" s="186"/>
      <c r="GU364" s="186"/>
      <c r="GV364" s="186"/>
      <c r="GW364" s="186"/>
      <c r="GX364" s="186"/>
      <c r="GY364" s="186"/>
      <c r="GZ364" s="186"/>
      <c r="HA364" s="186"/>
      <c r="HB364" s="186"/>
      <c r="HC364" s="186"/>
      <c r="HD364" s="186"/>
      <c r="HE364" s="186"/>
      <c r="HF364" s="186"/>
      <c r="HG364" s="186"/>
      <c r="HH364" s="186"/>
      <c r="HI364" s="186"/>
      <c r="HJ364" s="186"/>
      <c r="HK364" s="186"/>
      <c r="HL364" s="186"/>
      <c r="HM364" s="186"/>
      <c r="HN364" s="186"/>
      <c r="HO364" s="186"/>
      <c r="HP364" s="186"/>
      <c r="HQ364" s="186"/>
      <c r="HR364" s="186"/>
      <c r="HS364" s="186"/>
      <c r="HT364" s="186"/>
      <c r="HU364" s="186"/>
      <c r="HV364" s="186"/>
      <c r="HW364" s="186"/>
      <c r="HX364" s="186"/>
      <c r="HY364" s="186"/>
      <c r="HZ364" s="186"/>
      <c r="IA364" s="186"/>
      <c r="IB364" s="186"/>
      <c r="IC364" s="186"/>
      <c r="ID364" s="186"/>
      <c r="IE364" s="186"/>
      <c r="IF364" s="186"/>
      <c r="IG364" s="186"/>
      <c r="IH364" s="186"/>
      <c r="II364" s="186"/>
      <c r="IJ364" s="186"/>
      <c r="IK364" s="186"/>
      <c r="IL364" s="186"/>
      <c r="IM364" s="186"/>
      <c r="IN364" s="186"/>
      <c r="IO364" s="186"/>
      <c r="IP364" s="186"/>
      <c r="IQ364" s="186"/>
      <c r="IR364" s="186"/>
      <c r="IS364" s="186"/>
      <c r="IT364" s="186"/>
      <c r="IU364" s="186"/>
      <c r="IV364" s="186"/>
    </row>
    <row r="365" spans="1:256" hidden="1" x14ac:dyDescent="0.25">
      <c r="A365" s="44" t="s">
        <v>711</v>
      </c>
      <c r="B365" s="44"/>
      <c r="C365" s="44"/>
      <c r="D365" s="44" t="s">
        <v>69</v>
      </c>
      <c r="E365" s="50">
        <v>27896892306</v>
      </c>
      <c r="F365" s="50">
        <v>27565207857</v>
      </c>
      <c r="G365" s="50">
        <v>24130620142.599998</v>
      </c>
      <c r="H365" s="50">
        <v>13816351.52</v>
      </c>
      <c r="I365" s="50">
        <v>3765774070.8600001</v>
      </c>
      <c r="J365" s="50">
        <v>397458130.55000001</v>
      </c>
      <c r="K365" s="50">
        <v>14290944721.690001</v>
      </c>
      <c r="L365" s="151">
        <f t="shared" si="0"/>
        <v>0.51844139162044844</v>
      </c>
      <c r="M365" s="50">
        <v>14044664117.33</v>
      </c>
      <c r="N365" s="152">
        <f t="shared" si="1"/>
        <v>0.50950691865591902</v>
      </c>
      <c r="O365" s="50">
        <v>9097214582.3799992</v>
      </c>
      <c r="P365" s="152">
        <f t="shared" si="2"/>
        <v>0.33002524884171414</v>
      </c>
      <c r="Q365" s="50">
        <v>5662626867.9799995</v>
      </c>
    </row>
    <row r="366" spans="1:256" hidden="1" x14ac:dyDescent="0.25">
      <c r="A366" s="44" t="s">
        <v>711</v>
      </c>
      <c r="B366" s="44" t="s">
        <v>71</v>
      </c>
      <c r="C366" s="44" t="s">
        <v>72</v>
      </c>
      <c r="D366" s="44" t="s">
        <v>69</v>
      </c>
      <c r="E366" s="50">
        <v>13888392480</v>
      </c>
      <c r="F366" s="50">
        <v>13554210603</v>
      </c>
      <c r="G366" s="50">
        <v>13450241509</v>
      </c>
      <c r="H366" s="50">
        <v>0</v>
      </c>
      <c r="I366" s="50">
        <v>901643263</v>
      </c>
      <c r="J366" s="50">
        <v>0</v>
      </c>
      <c r="K366" s="50">
        <v>7885504030.1499996</v>
      </c>
      <c r="L366" s="151">
        <f t="shared" si="0"/>
        <v>0.58177523288627919</v>
      </c>
      <c r="M366" s="50">
        <v>7885504030.1499996</v>
      </c>
      <c r="N366" s="152">
        <f t="shared" si="1"/>
        <v>0.58177523288627919</v>
      </c>
      <c r="O366" s="50">
        <v>4767063309.8500004</v>
      </c>
      <c r="P366" s="152">
        <f t="shared" si="2"/>
        <v>0.35170350007656587</v>
      </c>
      <c r="Q366" s="50">
        <v>4663094215.8500004</v>
      </c>
    </row>
    <row r="367" spans="1:256" hidden="1" x14ac:dyDescent="0.25">
      <c r="A367" s="44" t="s">
        <v>711</v>
      </c>
      <c r="B367" s="44" t="s">
        <v>73</v>
      </c>
      <c r="C367" s="44" t="s">
        <v>74</v>
      </c>
      <c r="D367" s="44" t="s">
        <v>69</v>
      </c>
      <c r="E367" s="50">
        <v>5229936552</v>
      </c>
      <c r="F367" s="50">
        <v>5032025148</v>
      </c>
      <c r="G367" s="50">
        <v>5032025148</v>
      </c>
      <c r="H367" s="50">
        <v>0</v>
      </c>
      <c r="I367" s="50">
        <v>0</v>
      </c>
      <c r="J367" s="50">
        <v>0</v>
      </c>
      <c r="K367" s="50">
        <v>3139248933.71</v>
      </c>
      <c r="L367" s="151">
        <f t="shared" si="0"/>
        <v>0.62385398351153076</v>
      </c>
      <c r="M367" s="50">
        <v>3139248933.71</v>
      </c>
      <c r="N367" s="152">
        <f t="shared" si="1"/>
        <v>0.62385398351153076</v>
      </c>
      <c r="O367" s="50">
        <v>1892776214.29</v>
      </c>
      <c r="P367" s="152">
        <f t="shared" si="2"/>
        <v>0.37614601648846924</v>
      </c>
      <c r="Q367" s="50">
        <v>1892776214.29</v>
      </c>
    </row>
    <row r="368" spans="1:256" hidden="1" x14ac:dyDescent="0.25">
      <c r="A368" s="44" t="s">
        <v>711</v>
      </c>
      <c r="B368" s="44" t="s">
        <v>75</v>
      </c>
      <c r="C368" s="44" t="s">
        <v>76</v>
      </c>
      <c r="D368" s="44" t="s">
        <v>69</v>
      </c>
      <c r="E368" s="50">
        <v>5229936552</v>
      </c>
      <c r="F368" s="50">
        <v>5032025148</v>
      </c>
      <c r="G368" s="50">
        <v>5032025148</v>
      </c>
      <c r="H368" s="50">
        <v>0</v>
      </c>
      <c r="I368" s="50">
        <v>0</v>
      </c>
      <c r="J368" s="50">
        <v>0</v>
      </c>
      <c r="K368" s="50">
        <v>3139248933.71</v>
      </c>
      <c r="L368" s="151">
        <f t="shared" si="0"/>
        <v>0.62385398351153076</v>
      </c>
      <c r="M368" s="50">
        <v>3139248933.71</v>
      </c>
      <c r="N368" s="152">
        <f t="shared" si="1"/>
        <v>0.62385398351153076</v>
      </c>
      <c r="O368" s="50">
        <v>1892776214.29</v>
      </c>
      <c r="P368" s="152">
        <f t="shared" si="2"/>
        <v>0.37614601648846924</v>
      </c>
      <c r="Q368" s="50">
        <v>1892776214.29</v>
      </c>
    </row>
    <row r="369" spans="1:17" hidden="1" x14ac:dyDescent="0.25">
      <c r="A369" s="44" t="s">
        <v>711</v>
      </c>
      <c r="B369" s="44" t="s">
        <v>293</v>
      </c>
      <c r="C369" s="44" t="s">
        <v>294</v>
      </c>
      <c r="D369" s="44" t="s">
        <v>69</v>
      </c>
      <c r="E369" s="50">
        <v>26335200</v>
      </c>
      <c r="F369" s="50">
        <v>26335200</v>
      </c>
      <c r="G369" s="50">
        <v>26335200</v>
      </c>
      <c r="H369" s="50">
        <v>0</v>
      </c>
      <c r="I369" s="50">
        <v>0</v>
      </c>
      <c r="J369" s="50">
        <v>0</v>
      </c>
      <c r="K369" s="50">
        <v>3279168.67</v>
      </c>
      <c r="L369" s="151">
        <f t="shared" si="0"/>
        <v>0.12451656604088823</v>
      </c>
      <c r="M369" s="50">
        <v>3279168.67</v>
      </c>
      <c r="N369" s="152">
        <f t="shared" si="1"/>
        <v>0.12451656604088823</v>
      </c>
      <c r="O369" s="50">
        <v>23056031.329999998</v>
      </c>
      <c r="P369" s="152">
        <f t="shared" si="2"/>
        <v>0.87548343395911166</v>
      </c>
      <c r="Q369" s="50">
        <v>23056031.329999998</v>
      </c>
    </row>
    <row r="370" spans="1:17" hidden="1" x14ac:dyDescent="0.25">
      <c r="A370" s="44" t="s">
        <v>711</v>
      </c>
      <c r="B370" s="44" t="s">
        <v>339</v>
      </c>
      <c r="C370" s="44" t="s">
        <v>340</v>
      </c>
      <c r="D370" s="44" t="s">
        <v>69</v>
      </c>
      <c r="E370" s="50">
        <v>26335200</v>
      </c>
      <c r="F370" s="50">
        <v>26335200</v>
      </c>
      <c r="G370" s="50">
        <v>26335200</v>
      </c>
      <c r="H370" s="50">
        <v>0</v>
      </c>
      <c r="I370" s="50">
        <v>0</v>
      </c>
      <c r="J370" s="50">
        <v>0</v>
      </c>
      <c r="K370" s="50">
        <v>3279168.67</v>
      </c>
      <c r="L370" s="151">
        <f t="shared" si="0"/>
        <v>0.12451656604088823</v>
      </c>
      <c r="M370" s="50">
        <v>3279168.67</v>
      </c>
      <c r="N370" s="152">
        <f t="shared" si="1"/>
        <v>0.12451656604088823</v>
      </c>
      <c r="O370" s="50">
        <v>23056031.329999998</v>
      </c>
      <c r="P370" s="152">
        <f t="shared" si="2"/>
        <v>0.87548343395911166</v>
      </c>
      <c r="Q370" s="50">
        <v>23056031.329999998</v>
      </c>
    </row>
    <row r="371" spans="1:17" hidden="1" x14ac:dyDescent="0.25">
      <c r="A371" s="44" t="s">
        <v>711</v>
      </c>
      <c r="B371" s="44" t="s">
        <v>77</v>
      </c>
      <c r="C371" s="44" t="s">
        <v>78</v>
      </c>
      <c r="D371" s="44" t="s">
        <v>69</v>
      </c>
      <c r="E371" s="50">
        <v>6513497315</v>
      </c>
      <c r="F371" s="50">
        <v>6428205068</v>
      </c>
      <c r="G371" s="50">
        <v>6340096078</v>
      </c>
      <c r="H371" s="50">
        <v>0</v>
      </c>
      <c r="I371" s="50">
        <v>0</v>
      </c>
      <c r="J371" s="50">
        <v>0</v>
      </c>
      <c r="K371" s="50">
        <v>3592834107.77</v>
      </c>
      <c r="L371" s="151">
        <f t="shared" si="0"/>
        <v>0.55891715801901665</v>
      </c>
      <c r="M371" s="50">
        <v>3592834107.77</v>
      </c>
      <c r="N371" s="152">
        <f t="shared" si="1"/>
        <v>0.55891715801901665</v>
      </c>
      <c r="O371" s="50">
        <v>2835370960.23</v>
      </c>
      <c r="P371" s="152">
        <f t="shared" si="2"/>
        <v>0.4410828419809833</v>
      </c>
      <c r="Q371" s="50">
        <v>2747261970.23</v>
      </c>
    </row>
    <row r="372" spans="1:17" hidden="1" x14ac:dyDescent="0.25">
      <c r="A372" s="44" t="s">
        <v>711</v>
      </c>
      <c r="B372" s="44" t="s">
        <v>79</v>
      </c>
      <c r="C372" s="44" t="s">
        <v>80</v>
      </c>
      <c r="D372" s="44" t="s">
        <v>69</v>
      </c>
      <c r="E372" s="50">
        <v>1819317700</v>
      </c>
      <c r="F372" s="50">
        <v>1819317700</v>
      </c>
      <c r="G372" s="50">
        <v>1737983822</v>
      </c>
      <c r="H372" s="50">
        <v>0</v>
      </c>
      <c r="I372" s="50">
        <v>0</v>
      </c>
      <c r="J372" s="50">
        <v>0</v>
      </c>
      <c r="K372" s="50">
        <v>1003853544.79</v>
      </c>
      <c r="L372" s="151">
        <f t="shared" si="0"/>
        <v>0.55177473664440246</v>
      </c>
      <c r="M372" s="50">
        <v>1003853544.79</v>
      </c>
      <c r="N372" s="152">
        <f t="shared" si="1"/>
        <v>0.55177473664440246</v>
      </c>
      <c r="O372" s="50">
        <v>815464155.21000004</v>
      </c>
      <c r="P372" s="152">
        <f t="shared" si="2"/>
        <v>0.44822526335559754</v>
      </c>
      <c r="Q372" s="50">
        <v>734130277.21000004</v>
      </c>
    </row>
    <row r="373" spans="1:17" hidden="1" x14ac:dyDescent="0.25">
      <c r="A373" s="44" t="s">
        <v>711</v>
      </c>
      <c r="B373" s="44" t="s">
        <v>81</v>
      </c>
      <c r="C373" s="44" t="s">
        <v>82</v>
      </c>
      <c r="D373" s="44" t="s">
        <v>69</v>
      </c>
      <c r="E373" s="50">
        <v>1750176673</v>
      </c>
      <c r="F373" s="50">
        <v>1705397775</v>
      </c>
      <c r="G373" s="50">
        <v>1705397775</v>
      </c>
      <c r="H373" s="50">
        <v>0</v>
      </c>
      <c r="I373" s="50">
        <v>0</v>
      </c>
      <c r="J373" s="50">
        <v>0</v>
      </c>
      <c r="K373" s="50">
        <v>1041045011.48</v>
      </c>
      <c r="L373" s="151">
        <f t="shared" si="0"/>
        <v>0.61044116905805157</v>
      </c>
      <c r="M373" s="50">
        <v>1041045011.48</v>
      </c>
      <c r="N373" s="152">
        <f t="shared" si="1"/>
        <v>0.61044116905805157</v>
      </c>
      <c r="O373" s="50">
        <v>664352763.51999998</v>
      </c>
      <c r="P373" s="152">
        <f t="shared" si="2"/>
        <v>0.38955883094194843</v>
      </c>
      <c r="Q373" s="50">
        <v>664352763.51999998</v>
      </c>
    </row>
    <row r="374" spans="1:17" x14ac:dyDescent="0.25">
      <c r="A374" s="165" t="s">
        <v>711</v>
      </c>
      <c r="B374" s="165" t="s">
        <v>83</v>
      </c>
      <c r="C374" s="165" t="s">
        <v>84</v>
      </c>
      <c r="D374" s="165" t="s">
        <v>85</v>
      </c>
      <c r="E374" s="166">
        <v>905032542</v>
      </c>
      <c r="F374" s="166">
        <v>883255690</v>
      </c>
      <c r="G374" s="166">
        <v>876480578</v>
      </c>
      <c r="H374" s="166">
        <v>0</v>
      </c>
      <c r="I374" s="166">
        <v>0</v>
      </c>
      <c r="J374" s="166">
        <v>0</v>
      </c>
      <c r="K374" s="166">
        <v>233734.39</v>
      </c>
      <c r="L374" s="167">
        <f t="shared" si="0"/>
        <v>2.6462823013345097E-4</v>
      </c>
      <c r="M374" s="166">
        <v>233734.39</v>
      </c>
      <c r="N374" s="168">
        <f t="shared" si="1"/>
        <v>2.6462823013345097E-4</v>
      </c>
      <c r="O374" s="166">
        <v>883021955.61000001</v>
      </c>
      <c r="P374" s="168">
        <f t="shared" si="2"/>
        <v>0.9997353717698666</v>
      </c>
      <c r="Q374" s="166">
        <v>876246843.61000001</v>
      </c>
    </row>
    <row r="375" spans="1:17" x14ac:dyDescent="0.25">
      <c r="A375" s="165" t="s">
        <v>711</v>
      </c>
      <c r="B375" s="165" t="s">
        <v>86</v>
      </c>
      <c r="C375" s="165" t="s">
        <v>87</v>
      </c>
      <c r="D375" s="165" t="s">
        <v>69</v>
      </c>
      <c r="E375" s="166">
        <v>831593600</v>
      </c>
      <c r="F375" s="166">
        <v>831593600</v>
      </c>
      <c r="G375" s="166">
        <v>831593600</v>
      </c>
      <c r="H375" s="166">
        <v>0</v>
      </c>
      <c r="I375" s="166">
        <v>0</v>
      </c>
      <c r="J375" s="166">
        <v>0</v>
      </c>
      <c r="K375" s="166">
        <v>804797966.63999999</v>
      </c>
      <c r="L375" s="167">
        <f t="shared" si="0"/>
        <v>0.96777797068183302</v>
      </c>
      <c r="M375" s="166">
        <v>804797966.63999999</v>
      </c>
      <c r="N375" s="168">
        <f t="shared" si="1"/>
        <v>0.96777797068183302</v>
      </c>
      <c r="O375" s="166">
        <v>26795633.359999999</v>
      </c>
      <c r="P375" s="168">
        <f t="shared" si="2"/>
        <v>3.222202931816695E-2</v>
      </c>
      <c r="Q375" s="166">
        <v>26795633.359999999</v>
      </c>
    </row>
    <row r="376" spans="1:17" hidden="1" x14ac:dyDescent="0.25">
      <c r="A376" s="165" t="s">
        <v>711</v>
      </c>
      <c r="B376" s="165" t="s">
        <v>88</v>
      </c>
      <c r="C376" s="165" t="s">
        <v>89</v>
      </c>
      <c r="D376" s="165" t="s">
        <v>69</v>
      </c>
      <c r="E376" s="166">
        <v>1207376800</v>
      </c>
      <c r="F376" s="166">
        <v>1188640303</v>
      </c>
      <c r="G376" s="166">
        <v>1188640303</v>
      </c>
      <c r="H376" s="166">
        <v>0</v>
      </c>
      <c r="I376" s="166">
        <v>0</v>
      </c>
      <c r="J376" s="166">
        <v>0</v>
      </c>
      <c r="K376" s="166">
        <v>742903850.47000003</v>
      </c>
      <c r="L376" s="167">
        <f t="shared" si="0"/>
        <v>0.62500308006971561</v>
      </c>
      <c r="M376" s="166">
        <v>742903850.47000003</v>
      </c>
      <c r="N376" s="168">
        <f t="shared" si="1"/>
        <v>0.62500308006971561</v>
      </c>
      <c r="O376" s="166">
        <v>445736452.52999997</v>
      </c>
      <c r="P376" s="168">
        <f t="shared" si="2"/>
        <v>0.37499691993028439</v>
      </c>
      <c r="Q376" s="166">
        <v>445736452.52999997</v>
      </c>
    </row>
    <row r="377" spans="1:17" hidden="1" x14ac:dyDescent="0.25">
      <c r="A377" s="165" t="s">
        <v>711</v>
      </c>
      <c r="B377" s="165" t="s">
        <v>90</v>
      </c>
      <c r="C377" s="165" t="s">
        <v>91</v>
      </c>
      <c r="D377" s="165" t="s">
        <v>69</v>
      </c>
      <c r="E377" s="166">
        <v>1059311707</v>
      </c>
      <c r="F377" s="166">
        <v>1033822594</v>
      </c>
      <c r="G377" s="166">
        <v>1025892542</v>
      </c>
      <c r="H377" s="166">
        <v>0</v>
      </c>
      <c r="I377" s="166">
        <v>450196626</v>
      </c>
      <c r="J377" s="166">
        <v>0</v>
      </c>
      <c r="K377" s="166">
        <v>575695916</v>
      </c>
      <c r="L377" s="167">
        <f t="shared" si="0"/>
        <v>0.55686141833344383</v>
      </c>
      <c r="M377" s="166">
        <v>575695916</v>
      </c>
      <c r="N377" s="168">
        <f t="shared" si="1"/>
        <v>0.55686141833344383</v>
      </c>
      <c r="O377" s="166">
        <v>7930052</v>
      </c>
      <c r="P377" s="168">
        <f t="shared" si="2"/>
        <v>7.6706120044422246E-3</v>
      </c>
      <c r="Q377" s="166">
        <v>0</v>
      </c>
    </row>
    <row r="378" spans="1:17" hidden="1" x14ac:dyDescent="0.25">
      <c r="A378" s="165" t="s">
        <v>711</v>
      </c>
      <c r="B378" s="165" t="s">
        <v>421</v>
      </c>
      <c r="C378" s="165" t="s">
        <v>697</v>
      </c>
      <c r="D378" s="165" t="s">
        <v>69</v>
      </c>
      <c r="E378" s="166">
        <v>1004988079</v>
      </c>
      <c r="F378" s="166">
        <v>980806100</v>
      </c>
      <c r="G378" s="166">
        <v>973282717</v>
      </c>
      <c r="H378" s="166">
        <v>0</v>
      </c>
      <c r="I378" s="166">
        <v>427109669</v>
      </c>
      <c r="J378" s="166">
        <v>0</v>
      </c>
      <c r="K378" s="166">
        <v>546173048</v>
      </c>
      <c r="L378" s="167">
        <f t="shared" si="0"/>
        <v>0.55686138983026312</v>
      </c>
      <c r="M378" s="166">
        <v>546173048</v>
      </c>
      <c r="N378" s="168">
        <f t="shared" si="1"/>
        <v>0.55686138983026312</v>
      </c>
      <c r="O378" s="166">
        <v>7523383</v>
      </c>
      <c r="P378" s="168">
        <f t="shared" si="2"/>
        <v>7.670611958877499E-3</v>
      </c>
      <c r="Q378" s="166">
        <v>0</v>
      </c>
    </row>
    <row r="379" spans="1:17" hidden="1" x14ac:dyDescent="0.25">
      <c r="A379" s="165" t="s">
        <v>711</v>
      </c>
      <c r="B379" s="165" t="s">
        <v>438</v>
      </c>
      <c r="C379" s="165" t="s">
        <v>95</v>
      </c>
      <c r="D379" s="165" t="s">
        <v>69</v>
      </c>
      <c r="E379" s="166">
        <v>54323628</v>
      </c>
      <c r="F379" s="166">
        <v>53016494</v>
      </c>
      <c r="G379" s="166">
        <v>52609825</v>
      </c>
      <c r="H379" s="166">
        <v>0</v>
      </c>
      <c r="I379" s="166">
        <v>23086957</v>
      </c>
      <c r="J379" s="166">
        <v>0</v>
      </c>
      <c r="K379" s="166">
        <v>29522868</v>
      </c>
      <c r="L379" s="167">
        <f t="shared" si="0"/>
        <v>0.55686194564280311</v>
      </c>
      <c r="M379" s="166">
        <v>29522868</v>
      </c>
      <c r="N379" s="168">
        <f t="shared" si="1"/>
        <v>0.55686194564280311</v>
      </c>
      <c r="O379" s="166">
        <v>406669</v>
      </c>
      <c r="P379" s="168">
        <f t="shared" si="2"/>
        <v>7.670612847390474E-3</v>
      </c>
      <c r="Q379" s="166">
        <v>0</v>
      </c>
    </row>
    <row r="380" spans="1:17" hidden="1" x14ac:dyDescent="0.25">
      <c r="A380" s="165" t="s">
        <v>711</v>
      </c>
      <c r="B380" s="165" t="s">
        <v>96</v>
      </c>
      <c r="C380" s="165" t="s">
        <v>97</v>
      </c>
      <c r="D380" s="165" t="s">
        <v>69</v>
      </c>
      <c r="E380" s="166">
        <v>1059311706</v>
      </c>
      <c r="F380" s="166">
        <v>1033822593</v>
      </c>
      <c r="G380" s="166">
        <v>1025892541</v>
      </c>
      <c r="H380" s="166">
        <v>0</v>
      </c>
      <c r="I380" s="166">
        <v>451446637</v>
      </c>
      <c r="J380" s="166">
        <v>0</v>
      </c>
      <c r="K380" s="166">
        <v>574445904</v>
      </c>
      <c r="L380" s="167">
        <f t="shared" si="0"/>
        <v>0.55565230232881935</v>
      </c>
      <c r="M380" s="166">
        <v>574445904</v>
      </c>
      <c r="N380" s="168">
        <f t="shared" si="1"/>
        <v>0.55565230232881935</v>
      </c>
      <c r="O380" s="166">
        <v>7930052</v>
      </c>
      <c r="P380" s="168">
        <f t="shared" si="2"/>
        <v>7.6706120118618841E-3</v>
      </c>
      <c r="Q380" s="166">
        <v>0</v>
      </c>
    </row>
    <row r="381" spans="1:17" hidden="1" x14ac:dyDescent="0.25">
      <c r="A381" s="165" t="s">
        <v>711</v>
      </c>
      <c r="B381" s="165" t="s">
        <v>456</v>
      </c>
      <c r="C381" s="165" t="s">
        <v>698</v>
      </c>
      <c r="D381" s="165" t="s">
        <v>69</v>
      </c>
      <c r="E381" s="166">
        <v>570398650</v>
      </c>
      <c r="F381" s="166">
        <v>556673743</v>
      </c>
      <c r="G381" s="166">
        <v>552403715</v>
      </c>
      <c r="H381" s="166">
        <v>0</v>
      </c>
      <c r="I381" s="166">
        <v>243663618</v>
      </c>
      <c r="J381" s="166">
        <v>0</v>
      </c>
      <c r="K381" s="166">
        <v>308740097</v>
      </c>
      <c r="L381" s="167">
        <f t="shared" si="0"/>
        <v>0.55461587847875193</v>
      </c>
      <c r="M381" s="166">
        <v>308740097</v>
      </c>
      <c r="N381" s="168">
        <f t="shared" si="1"/>
        <v>0.55461587847875193</v>
      </c>
      <c r="O381" s="166">
        <v>4270028</v>
      </c>
      <c r="P381" s="168">
        <f t="shared" si="2"/>
        <v>7.6706114734066055E-3</v>
      </c>
      <c r="Q381" s="166">
        <v>0</v>
      </c>
    </row>
    <row r="382" spans="1:17" hidden="1" x14ac:dyDescent="0.25">
      <c r="A382" s="165" t="s">
        <v>711</v>
      </c>
      <c r="B382" s="165" t="s">
        <v>473</v>
      </c>
      <c r="C382" s="165" t="s">
        <v>699</v>
      </c>
      <c r="D382" s="165" t="s">
        <v>69</v>
      </c>
      <c r="E382" s="166">
        <v>162970985</v>
      </c>
      <c r="F382" s="166">
        <v>159049583</v>
      </c>
      <c r="G382" s="166">
        <v>157829575</v>
      </c>
      <c r="H382" s="166">
        <v>0</v>
      </c>
      <c r="I382" s="166">
        <v>69260972</v>
      </c>
      <c r="J382" s="166">
        <v>0</v>
      </c>
      <c r="K382" s="166">
        <v>88568603</v>
      </c>
      <c r="L382" s="167">
        <f t="shared" si="0"/>
        <v>0.55686158573581424</v>
      </c>
      <c r="M382" s="166">
        <v>88568603</v>
      </c>
      <c r="N382" s="168">
        <f t="shared" si="1"/>
        <v>0.55686158573581424</v>
      </c>
      <c r="O382" s="166">
        <v>1220008</v>
      </c>
      <c r="P382" s="168">
        <f t="shared" si="2"/>
        <v>7.670614263729318E-3</v>
      </c>
      <c r="Q382" s="166">
        <v>0</v>
      </c>
    </row>
    <row r="383" spans="1:17" hidden="1" x14ac:dyDescent="0.25">
      <c r="A383" s="165" t="s">
        <v>711</v>
      </c>
      <c r="B383" s="165" t="s">
        <v>490</v>
      </c>
      <c r="C383" s="165" t="s">
        <v>700</v>
      </c>
      <c r="D383" s="165" t="s">
        <v>69</v>
      </c>
      <c r="E383" s="166">
        <v>325942071</v>
      </c>
      <c r="F383" s="166">
        <v>318099267</v>
      </c>
      <c r="G383" s="166">
        <v>315659251</v>
      </c>
      <c r="H383" s="166">
        <v>0</v>
      </c>
      <c r="I383" s="166">
        <v>138522047</v>
      </c>
      <c r="J383" s="166">
        <v>0</v>
      </c>
      <c r="K383" s="166">
        <v>177137204</v>
      </c>
      <c r="L383" s="167">
        <f t="shared" si="0"/>
        <v>0.55686140263881845</v>
      </c>
      <c r="M383" s="166">
        <v>177137204</v>
      </c>
      <c r="N383" s="168">
        <f t="shared" si="1"/>
        <v>0.55686140263881845</v>
      </c>
      <c r="O383" s="166">
        <v>2440016</v>
      </c>
      <c r="P383" s="168">
        <f t="shared" si="2"/>
        <v>7.6706118282253068E-3</v>
      </c>
      <c r="Q383" s="166">
        <v>0</v>
      </c>
    </row>
    <row r="384" spans="1:17" hidden="1" x14ac:dyDescent="0.25">
      <c r="A384" s="165" t="s">
        <v>711</v>
      </c>
      <c r="B384" s="165" t="s">
        <v>104</v>
      </c>
      <c r="C384" s="165" t="s">
        <v>105</v>
      </c>
      <c r="D384" s="165" t="s">
        <v>69</v>
      </c>
      <c r="E384" s="166">
        <v>3955829992</v>
      </c>
      <c r="F384" s="166">
        <v>3999861533</v>
      </c>
      <c r="G384" s="166">
        <v>3272420812.5999999</v>
      </c>
      <c r="H384" s="166">
        <v>0</v>
      </c>
      <c r="I384" s="166">
        <v>633767280.76999998</v>
      </c>
      <c r="J384" s="166">
        <v>0</v>
      </c>
      <c r="K384" s="166">
        <v>2462653699.1399999</v>
      </c>
      <c r="L384" s="167">
        <f t="shared" si="0"/>
        <v>0.61568473778964683</v>
      </c>
      <c r="M384" s="166">
        <v>2222234329.71</v>
      </c>
      <c r="N384" s="168">
        <f t="shared" si="1"/>
        <v>0.55557781472581791</v>
      </c>
      <c r="O384" s="166">
        <v>903440553.09000003</v>
      </c>
      <c r="P384" s="168">
        <f t="shared" si="2"/>
        <v>0.2258679570871035</v>
      </c>
      <c r="Q384" s="166">
        <v>175999832.69</v>
      </c>
    </row>
    <row r="385" spans="1:17" hidden="1" x14ac:dyDescent="0.25">
      <c r="A385" s="165" t="s">
        <v>711</v>
      </c>
      <c r="B385" s="165" t="s">
        <v>112</v>
      </c>
      <c r="C385" s="165" t="s">
        <v>113</v>
      </c>
      <c r="D385" s="165" t="s">
        <v>69</v>
      </c>
      <c r="E385" s="166">
        <v>3954369992</v>
      </c>
      <c r="F385" s="166">
        <v>3999201533</v>
      </c>
      <c r="G385" s="166">
        <v>3271760812.5999999</v>
      </c>
      <c r="H385" s="166">
        <v>0</v>
      </c>
      <c r="I385" s="166">
        <v>633767280.76999998</v>
      </c>
      <c r="J385" s="166">
        <v>0</v>
      </c>
      <c r="K385" s="166">
        <v>2462653699.1399999</v>
      </c>
      <c r="L385" s="167">
        <f t="shared" si="0"/>
        <v>0.61578634605409366</v>
      </c>
      <c r="M385" s="166">
        <v>2222234329.71</v>
      </c>
      <c r="N385" s="168">
        <f t="shared" si="1"/>
        <v>0.55566950336783638</v>
      </c>
      <c r="O385" s="166">
        <v>902780553.09000003</v>
      </c>
      <c r="P385" s="168">
        <f t="shared" si="2"/>
        <v>0.22574019979752794</v>
      </c>
      <c r="Q385" s="166">
        <v>175339832.69</v>
      </c>
    </row>
    <row r="386" spans="1:17" hidden="1" x14ac:dyDescent="0.25">
      <c r="A386" s="165" t="s">
        <v>711</v>
      </c>
      <c r="B386" s="165" t="s">
        <v>114</v>
      </c>
      <c r="C386" s="165" t="s">
        <v>115</v>
      </c>
      <c r="D386" s="165" t="s">
        <v>69</v>
      </c>
      <c r="E386" s="166">
        <v>2664489000</v>
      </c>
      <c r="F386" s="166">
        <v>2664489000</v>
      </c>
      <c r="G386" s="166">
        <v>2064650475</v>
      </c>
      <c r="H386" s="166">
        <v>0</v>
      </c>
      <c r="I386" s="166">
        <v>233878247.47</v>
      </c>
      <c r="J386" s="166">
        <v>0</v>
      </c>
      <c r="K386" s="166">
        <v>1764123502.53</v>
      </c>
      <c r="L386" s="167">
        <f t="shared" si="0"/>
        <v>0.66208699023715245</v>
      </c>
      <c r="M386" s="166">
        <v>1528742886.3099999</v>
      </c>
      <c r="N386" s="168">
        <f t="shared" si="1"/>
        <v>0.57374711860698235</v>
      </c>
      <c r="O386" s="166">
        <v>666487250</v>
      </c>
      <c r="P386" s="168">
        <f t="shared" si="2"/>
        <v>0.25013698686690017</v>
      </c>
      <c r="Q386" s="166">
        <v>66648725</v>
      </c>
    </row>
    <row r="387" spans="1:17" hidden="1" x14ac:dyDescent="0.25">
      <c r="A387" s="165" t="s">
        <v>711</v>
      </c>
      <c r="B387" s="165" t="s">
        <v>116</v>
      </c>
      <c r="C387" s="165" t="s">
        <v>117</v>
      </c>
      <c r="D387" s="165" t="s">
        <v>69</v>
      </c>
      <c r="E387" s="166">
        <v>1052390992</v>
      </c>
      <c r="F387" s="166">
        <v>1097222533</v>
      </c>
      <c r="G387" s="166">
        <v>1000792837.6</v>
      </c>
      <c r="H387" s="166">
        <v>0</v>
      </c>
      <c r="I387" s="166">
        <v>332892488.67000002</v>
      </c>
      <c r="J387" s="166">
        <v>0</v>
      </c>
      <c r="K387" s="166">
        <v>657185938.33000004</v>
      </c>
      <c r="L387" s="167">
        <f t="shared" si="0"/>
        <v>0.59895410326029097</v>
      </c>
      <c r="M387" s="166">
        <v>652147185.12</v>
      </c>
      <c r="N387" s="168">
        <f t="shared" si="1"/>
        <v>0.59436182315442843</v>
      </c>
      <c r="O387" s="166">
        <v>107144106</v>
      </c>
      <c r="P387" s="168">
        <f t="shared" si="2"/>
        <v>9.7650296797176697E-2</v>
      </c>
      <c r="Q387" s="166">
        <v>10714410.6</v>
      </c>
    </row>
    <row r="388" spans="1:17" hidden="1" x14ac:dyDescent="0.25">
      <c r="A388" s="165" t="s">
        <v>711</v>
      </c>
      <c r="B388" s="165" t="s">
        <v>120</v>
      </c>
      <c r="C388" s="165" t="s">
        <v>121</v>
      </c>
      <c r="D388" s="165" t="s">
        <v>69</v>
      </c>
      <c r="E388" s="166">
        <v>124690000</v>
      </c>
      <c r="F388" s="166">
        <v>124690000</v>
      </c>
      <c r="G388" s="166">
        <v>93517500</v>
      </c>
      <c r="H388" s="166">
        <v>0</v>
      </c>
      <c r="I388" s="166">
        <v>62345000</v>
      </c>
      <c r="J388" s="166">
        <v>0</v>
      </c>
      <c r="K388" s="166">
        <v>0</v>
      </c>
      <c r="L388" s="167">
        <f t="shared" si="0"/>
        <v>0</v>
      </c>
      <c r="M388" s="166">
        <v>0</v>
      </c>
      <c r="N388" s="168">
        <f t="shared" si="1"/>
        <v>0</v>
      </c>
      <c r="O388" s="166">
        <v>62345000</v>
      </c>
      <c r="P388" s="168">
        <f t="shared" si="2"/>
        <v>0.5</v>
      </c>
      <c r="Q388" s="166">
        <v>31172500</v>
      </c>
    </row>
    <row r="389" spans="1:17" hidden="1" x14ac:dyDescent="0.25">
      <c r="A389" s="165" t="s">
        <v>711</v>
      </c>
      <c r="B389" s="165" t="s">
        <v>122</v>
      </c>
      <c r="C389" s="165" t="s">
        <v>123</v>
      </c>
      <c r="D389" s="165" t="s">
        <v>69</v>
      </c>
      <c r="E389" s="166">
        <v>112800000</v>
      </c>
      <c r="F389" s="166">
        <v>112800000</v>
      </c>
      <c r="G389" s="166">
        <v>112800000</v>
      </c>
      <c r="H389" s="166">
        <v>0</v>
      </c>
      <c r="I389" s="166">
        <v>4651544.63</v>
      </c>
      <c r="J389" s="166">
        <v>0</v>
      </c>
      <c r="K389" s="166">
        <v>41344258.280000001</v>
      </c>
      <c r="L389" s="167">
        <f t="shared" si="0"/>
        <v>0.36652711241134756</v>
      </c>
      <c r="M389" s="166">
        <v>41344258.280000001</v>
      </c>
      <c r="N389" s="168">
        <f t="shared" si="1"/>
        <v>0.36652711241134756</v>
      </c>
      <c r="O389" s="166">
        <v>66804197.090000004</v>
      </c>
      <c r="P389" s="168">
        <f t="shared" si="2"/>
        <v>0.59223578980496461</v>
      </c>
      <c r="Q389" s="166">
        <v>66804197.090000004</v>
      </c>
    </row>
    <row r="390" spans="1:17" hidden="1" x14ac:dyDescent="0.25">
      <c r="A390" s="165" t="s">
        <v>711</v>
      </c>
      <c r="B390" s="165" t="s">
        <v>134</v>
      </c>
      <c r="C390" s="165" t="s">
        <v>135</v>
      </c>
      <c r="D390" s="165" t="s">
        <v>69</v>
      </c>
      <c r="E390" s="166">
        <v>340000</v>
      </c>
      <c r="F390" s="166">
        <v>340000</v>
      </c>
      <c r="G390" s="166">
        <v>340000</v>
      </c>
      <c r="H390" s="166">
        <v>0</v>
      </c>
      <c r="I390" s="166">
        <v>0</v>
      </c>
      <c r="J390" s="166">
        <v>0</v>
      </c>
      <c r="K390" s="166">
        <v>0</v>
      </c>
      <c r="L390" s="167">
        <f t="shared" si="0"/>
        <v>0</v>
      </c>
      <c r="M390" s="166">
        <v>0</v>
      </c>
      <c r="N390" s="168">
        <f t="shared" si="1"/>
        <v>0</v>
      </c>
      <c r="O390" s="166">
        <v>340000</v>
      </c>
      <c r="P390" s="168">
        <f t="shared" si="2"/>
        <v>1</v>
      </c>
      <c r="Q390" s="166">
        <v>340000</v>
      </c>
    </row>
    <row r="391" spans="1:17" x14ac:dyDescent="0.25">
      <c r="A391" s="165" t="s">
        <v>711</v>
      </c>
      <c r="B391" s="165" t="s">
        <v>346</v>
      </c>
      <c r="C391" s="165" t="s">
        <v>347</v>
      </c>
      <c r="D391" s="165" t="s">
        <v>69</v>
      </c>
      <c r="E391" s="166">
        <v>180000</v>
      </c>
      <c r="F391" s="166">
        <v>180000</v>
      </c>
      <c r="G391" s="166">
        <v>180000</v>
      </c>
      <c r="H391" s="166">
        <v>0</v>
      </c>
      <c r="I391" s="166">
        <v>0</v>
      </c>
      <c r="J391" s="166">
        <v>0</v>
      </c>
      <c r="K391" s="166">
        <v>0</v>
      </c>
      <c r="L391" s="167">
        <f t="shared" si="0"/>
        <v>0</v>
      </c>
      <c r="M391" s="166">
        <v>0</v>
      </c>
      <c r="N391" s="168">
        <f t="shared" si="1"/>
        <v>0</v>
      </c>
      <c r="O391" s="166">
        <v>180000</v>
      </c>
      <c r="P391" s="168">
        <f t="shared" si="2"/>
        <v>1</v>
      </c>
      <c r="Q391" s="166">
        <v>180000</v>
      </c>
    </row>
    <row r="392" spans="1:17" x14ac:dyDescent="0.25">
      <c r="A392" s="165" t="s">
        <v>711</v>
      </c>
      <c r="B392" s="165" t="s">
        <v>138</v>
      </c>
      <c r="C392" s="165" t="s">
        <v>139</v>
      </c>
      <c r="D392" s="165" t="s">
        <v>69</v>
      </c>
      <c r="E392" s="166">
        <v>160000</v>
      </c>
      <c r="F392" s="166">
        <v>160000</v>
      </c>
      <c r="G392" s="166">
        <v>160000</v>
      </c>
      <c r="H392" s="166">
        <v>0</v>
      </c>
      <c r="I392" s="166">
        <v>0</v>
      </c>
      <c r="J392" s="166">
        <v>0</v>
      </c>
      <c r="K392" s="166">
        <v>0</v>
      </c>
      <c r="L392" s="167">
        <f t="shared" si="0"/>
        <v>0</v>
      </c>
      <c r="M392" s="166">
        <v>0</v>
      </c>
      <c r="N392" s="168">
        <f t="shared" si="1"/>
        <v>0</v>
      </c>
      <c r="O392" s="166">
        <v>160000</v>
      </c>
      <c r="P392" s="168">
        <f t="shared" si="2"/>
        <v>1</v>
      </c>
      <c r="Q392" s="166">
        <v>160000</v>
      </c>
    </row>
    <row r="393" spans="1:17" hidden="1" x14ac:dyDescent="0.25">
      <c r="A393" s="165" t="s">
        <v>711</v>
      </c>
      <c r="B393" s="165" t="s">
        <v>162</v>
      </c>
      <c r="C393" s="165" t="s">
        <v>163</v>
      </c>
      <c r="D393" s="165" t="s">
        <v>69</v>
      </c>
      <c r="E393" s="166">
        <v>1120000</v>
      </c>
      <c r="F393" s="166">
        <v>320000</v>
      </c>
      <c r="G393" s="166">
        <v>320000</v>
      </c>
      <c r="H393" s="166">
        <v>0</v>
      </c>
      <c r="I393" s="166">
        <v>0</v>
      </c>
      <c r="J393" s="166">
        <v>0</v>
      </c>
      <c r="K393" s="166">
        <v>0</v>
      </c>
      <c r="L393" s="167">
        <f t="shared" si="0"/>
        <v>0</v>
      </c>
      <c r="M393" s="166">
        <v>0</v>
      </c>
      <c r="N393" s="168">
        <f t="shared" si="1"/>
        <v>0</v>
      </c>
      <c r="O393" s="166">
        <v>320000</v>
      </c>
      <c r="P393" s="168">
        <f t="shared" si="2"/>
        <v>1</v>
      </c>
      <c r="Q393" s="166">
        <v>320000</v>
      </c>
    </row>
    <row r="394" spans="1:17" hidden="1" x14ac:dyDescent="0.25">
      <c r="A394" s="165" t="s">
        <v>711</v>
      </c>
      <c r="B394" s="165" t="s">
        <v>164</v>
      </c>
      <c r="C394" s="165" t="s">
        <v>165</v>
      </c>
      <c r="D394" s="165" t="s">
        <v>69</v>
      </c>
      <c r="E394" s="166">
        <v>800000</v>
      </c>
      <c r="F394" s="166">
        <v>0</v>
      </c>
      <c r="G394" s="166">
        <v>0</v>
      </c>
      <c r="H394" s="166">
        <v>0</v>
      </c>
      <c r="I394" s="166">
        <v>0</v>
      </c>
      <c r="J394" s="166">
        <v>0</v>
      </c>
      <c r="K394" s="166">
        <v>0</v>
      </c>
      <c r="L394" s="167" t="e">
        <f t="shared" si="0"/>
        <v>#DIV/0!</v>
      </c>
      <c r="M394" s="166">
        <v>0</v>
      </c>
      <c r="N394" s="168" t="e">
        <f t="shared" si="1"/>
        <v>#DIV/0!</v>
      </c>
      <c r="O394" s="166">
        <v>0</v>
      </c>
      <c r="P394" s="168" t="e">
        <f t="shared" si="2"/>
        <v>#DIV/0!</v>
      </c>
      <c r="Q394" s="166">
        <v>0</v>
      </c>
    </row>
    <row r="395" spans="1:17" x14ac:dyDescent="0.25">
      <c r="A395" s="165" t="s">
        <v>711</v>
      </c>
      <c r="B395" s="165" t="s">
        <v>172</v>
      </c>
      <c r="C395" s="165" t="s">
        <v>173</v>
      </c>
      <c r="D395" s="165" t="s">
        <v>69</v>
      </c>
      <c r="E395" s="166">
        <v>320000</v>
      </c>
      <c r="F395" s="166">
        <v>320000</v>
      </c>
      <c r="G395" s="166">
        <v>320000</v>
      </c>
      <c r="H395" s="166">
        <v>0</v>
      </c>
      <c r="I395" s="166">
        <v>0</v>
      </c>
      <c r="J395" s="166">
        <v>0</v>
      </c>
      <c r="K395" s="166">
        <v>0</v>
      </c>
      <c r="L395" s="167">
        <f t="shared" si="0"/>
        <v>0</v>
      </c>
      <c r="M395" s="166">
        <v>0</v>
      </c>
      <c r="N395" s="168">
        <f t="shared" si="1"/>
        <v>0</v>
      </c>
      <c r="O395" s="166">
        <v>320000</v>
      </c>
      <c r="P395" s="168">
        <f t="shared" si="2"/>
        <v>1</v>
      </c>
      <c r="Q395" s="166">
        <v>320000</v>
      </c>
    </row>
    <row r="396" spans="1:17" hidden="1" x14ac:dyDescent="0.25">
      <c r="A396" s="44" t="s">
        <v>711</v>
      </c>
      <c r="B396" s="44" t="s">
        <v>184</v>
      </c>
      <c r="C396" s="44" t="s">
        <v>185</v>
      </c>
      <c r="D396" s="44" t="s">
        <v>69</v>
      </c>
      <c r="E396" s="50">
        <v>9762991308</v>
      </c>
      <c r="F396" s="50">
        <v>9727778878</v>
      </c>
      <c r="G396" s="50">
        <v>7125951120</v>
      </c>
      <c r="H396" s="50">
        <v>12966451.52</v>
      </c>
      <c r="I396" s="50">
        <v>2148104733.0900002</v>
      </c>
      <c r="J396" s="50">
        <v>396083130.55000001</v>
      </c>
      <c r="K396" s="50">
        <v>3790426353.9000001</v>
      </c>
      <c r="L396" s="151">
        <f t="shared" si="0"/>
        <v>0.38964972389250069</v>
      </c>
      <c r="M396" s="50">
        <v>3784565118.9699998</v>
      </c>
      <c r="N396" s="152">
        <f t="shared" si="1"/>
        <v>0.38904719838246304</v>
      </c>
      <c r="O396" s="50">
        <v>3380198208.9400001</v>
      </c>
      <c r="P396" s="152">
        <f t="shared" si="2"/>
        <v>0.34747893135035546</v>
      </c>
      <c r="Q396" s="50">
        <v>778370450.94000006</v>
      </c>
    </row>
    <row r="397" spans="1:17" hidden="1" x14ac:dyDescent="0.25">
      <c r="A397" s="44" t="s">
        <v>711</v>
      </c>
      <c r="B397" s="44" t="s">
        <v>186</v>
      </c>
      <c r="C397" s="44" t="s">
        <v>187</v>
      </c>
      <c r="D397" s="44" t="s">
        <v>69</v>
      </c>
      <c r="E397" s="50">
        <v>20114885</v>
      </c>
      <c r="F397" s="50">
        <v>15114885</v>
      </c>
      <c r="G397" s="50">
        <v>13975285</v>
      </c>
      <c r="H397" s="50">
        <v>3772613</v>
      </c>
      <c r="I397" s="50">
        <v>0</v>
      </c>
      <c r="J397" s="50">
        <v>0</v>
      </c>
      <c r="K397" s="50">
        <v>1170358.99</v>
      </c>
      <c r="L397" s="151">
        <f t="shared" si="0"/>
        <v>7.7430889484107882E-2</v>
      </c>
      <c r="M397" s="50">
        <v>1170358.99</v>
      </c>
      <c r="N397" s="152">
        <f t="shared" si="1"/>
        <v>7.7430889484107882E-2</v>
      </c>
      <c r="O397" s="50">
        <v>10171913.01</v>
      </c>
      <c r="P397" s="152">
        <f t="shared" si="2"/>
        <v>0.67297323201598958</v>
      </c>
      <c r="Q397" s="50">
        <v>9032313.0099999998</v>
      </c>
    </row>
    <row r="398" spans="1:17" x14ac:dyDescent="0.25">
      <c r="A398" s="53" t="s">
        <v>711</v>
      </c>
      <c r="B398" s="53" t="s">
        <v>188</v>
      </c>
      <c r="C398" s="53" t="s">
        <v>189</v>
      </c>
      <c r="D398" s="53" t="s">
        <v>69</v>
      </c>
      <c r="E398" s="54">
        <v>4558400</v>
      </c>
      <c r="F398" s="54">
        <v>4558400</v>
      </c>
      <c r="G398" s="54">
        <v>3418800</v>
      </c>
      <c r="H398" s="54">
        <v>155970</v>
      </c>
      <c r="I398" s="54">
        <v>0</v>
      </c>
      <c r="J398" s="54">
        <v>0</v>
      </c>
      <c r="K398" s="54">
        <v>0</v>
      </c>
      <c r="L398" s="177">
        <f t="shared" si="0"/>
        <v>0</v>
      </c>
      <c r="M398" s="54">
        <v>0</v>
      </c>
      <c r="N398" s="178">
        <f t="shared" si="1"/>
        <v>0</v>
      </c>
      <c r="O398" s="54">
        <v>4402430</v>
      </c>
      <c r="P398" s="178">
        <f t="shared" si="2"/>
        <v>0.96578404703404708</v>
      </c>
      <c r="Q398" s="54">
        <v>3262830</v>
      </c>
    </row>
    <row r="399" spans="1:17" hidden="1" x14ac:dyDescent="0.25">
      <c r="A399" s="44" t="s">
        <v>711</v>
      </c>
      <c r="B399" s="44" t="s">
        <v>190</v>
      </c>
      <c r="C399" s="44" t="s">
        <v>191</v>
      </c>
      <c r="D399" s="44" t="s">
        <v>69</v>
      </c>
      <c r="E399" s="50">
        <v>1998283</v>
      </c>
      <c r="F399" s="50">
        <v>3620553</v>
      </c>
      <c r="G399" s="50">
        <v>3620553</v>
      </c>
      <c r="H399" s="50">
        <v>3616643</v>
      </c>
      <c r="I399" s="50">
        <v>0</v>
      </c>
      <c r="J399" s="50">
        <v>0</v>
      </c>
      <c r="K399" s="50">
        <v>0</v>
      </c>
      <c r="L399" s="151">
        <f t="shared" si="0"/>
        <v>0</v>
      </c>
      <c r="M399" s="50">
        <v>0</v>
      </c>
      <c r="N399" s="152">
        <f t="shared" si="1"/>
        <v>0</v>
      </c>
      <c r="O399" s="50">
        <v>3910</v>
      </c>
      <c r="P399" s="152">
        <f t="shared" si="2"/>
        <v>1.0799455221343259E-3</v>
      </c>
      <c r="Q399" s="50">
        <v>3910</v>
      </c>
    </row>
    <row r="400" spans="1:17" hidden="1" x14ac:dyDescent="0.25">
      <c r="A400" s="44" t="s">
        <v>711</v>
      </c>
      <c r="B400" s="44" t="s">
        <v>350</v>
      </c>
      <c r="C400" s="44" t="s">
        <v>351</v>
      </c>
      <c r="D400" s="44" t="s">
        <v>69</v>
      </c>
      <c r="E400" s="50">
        <v>1432676</v>
      </c>
      <c r="F400" s="50">
        <v>1432676</v>
      </c>
      <c r="G400" s="50">
        <v>1432676</v>
      </c>
      <c r="H400" s="50">
        <v>0</v>
      </c>
      <c r="I400" s="50">
        <v>0</v>
      </c>
      <c r="J400" s="50">
        <v>0</v>
      </c>
      <c r="K400" s="50">
        <v>1170358.99</v>
      </c>
      <c r="L400" s="151">
        <f t="shared" si="0"/>
        <v>0.81690416395612131</v>
      </c>
      <c r="M400" s="50">
        <v>1170358.99</v>
      </c>
      <c r="N400" s="152">
        <f t="shared" si="1"/>
        <v>0.81690416395612131</v>
      </c>
      <c r="O400" s="50">
        <v>262317.01</v>
      </c>
      <c r="P400" s="152">
        <f t="shared" si="2"/>
        <v>0.18309583604387875</v>
      </c>
      <c r="Q400" s="50">
        <v>262317.01</v>
      </c>
    </row>
    <row r="401" spans="1:17" x14ac:dyDescent="0.25">
      <c r="A401" s="165" t="s">
        <v>711</v>
      </c>
      <c r="B401" s="165" t="s">
        <v>194</v>
      </c>
      <c r="C401" s="165" t="s">
        <v>195</v>
      </c>
      <c r="D401" s="165" t="s">
        <v>69</v>
      </c>
      <c r="E401" s="166">
        <v>12125526</v>
      </c>
      <c r="F401" s="166">
        <v>5503256</v>
      </c>
      <c r="G401" s="166">
        <v>5503256</v>
      </c>
      <c r="H401" s="166">
        <v>0</v>
      </c>
      <c r="I401" s="166">
        <v>0</v>
      </c>
      <c r="J401" s="166">
        <v>0</v>
      </c>
      <c r="K401" s="166">
        <v>0</v>
      </c>
      <c r="L401" s="167">
        <f t="shared" si="0"/>
        <v>0</v>
      </c>
      <c r="M401" s="166">
        <v>0</v>
      </c>
      <c r="N401" s="168">
        <f t="shared" si="1"/>
        <v>0</v>
      </c>
      <c r="O401" s="166">
        <v>5503256</v>
      </c>
      <c r="P401" s="168">
        <f t="shared" si="2"/>
        <v>1</v>
      </c>
      <c r="Q401" s="166">
        <v>5503256</v>
      </c>
    </row>
    <row r="402" spans="1:17" hidden="1" x14ac:dyDescent="0.25">
      <c r="A402" s="44" t="s">
        <v>711</v>
      </c>
      <c r="B402" s="44" t="s">
        <v>196</v>
      </c>
      <c r="C402" s="44" t="s">
        <v>197</v>
      </c>
      <c r="D402" s="44" t="s">
        <v>69</v>
      </c>
      <c r="E402" s="50">
        <v>9704809902</v>
      </c>
      <c r="F402" s="50">
        <v>9683827239</v>
      </c>
      <c r="G402" s="50">
        <v>7083139081</v>
      </c>
      <c r="H402" s="50">
        <v>0</v>
      </c>
      <c r="I402" s="50">
        <v>2146780361.77</v>
      </c>
      <c r="J402" s="50">
        <v>394043627.44999999</v>
      </c>
      <c r="K402" s="50">
        <v>3782806359.6599998</v>
      </c>
      <c r="L402" s="151">
        <f t="shared" si="0"/>
        <v>0.39063133472945261</v>
      </c>
      <c r="M402" s="50">
        <v>3777133457.3099999</v>
      </c>
      <c r="N402" s="152">
        <f t="shared" si="1"/>
        <v>0.39004552271422444</v>
      </c>
      <c r="O402" s="50">
        <v>3360196890.1199999</v>
      </c>
      <c r="P402" s="152">
        <f t="shared" si="2"/>
        <v>0.34699058617933282</v>
      </c>
      <c r="Q402" s="50">
        <v>759508732.12</v>
      </c>
    </row>
    <row r="403" spans="1:17" hidden="1" x14ac:dyDescent="0.25">
      <c r="A403" s="44" t="s">
        <v>711</v>
      </c>
      <c r="B403" s="44" t="s">
        <v>579</v>
      </c>
      <c r="C403" s="44" t="s">
        <v>580</v>
      </c>
      <c r="D403" s="44" t="s">
        <v>69</v>
      </c>
      <c r="E403" s="50">
        <v>3494885</v>
      </c>
      <c r="F403" s="50">
        <v>2843230</v>
      </c>
      <c r="G403" s="50">
        <v>2843230</v>
      </c>
      <c r="H403" s="50">
        <v>0</v>
      </c>
      <c r="I403" s="50">
        <v>327640</v>
      </c>
      <c r="J403" s="50">
        <v>0</v>
      </c>
      <c r="K403" s="50">
        <v>1863935</v>
      </c>
      <c r="L403" s="151">
        <f t="shared" si="0"/>
        <v>0.65556954590377847</v>
      </c>
      <c r="M403" s="50">
        <v>1863935</v>
      </c>
      <c r="N403" s="152">
        <f t="shared" si="1"/>
        <v>0.65556954590377847</v>
      </c>
      <c r="O403" s="50">
        <v>651655</v>
      </c>
      <c r="P403" s="152">
        <f t="shared" si="2"/>
        <v>0.22919531659415524</v>
      </c>
      <c r="Q403" s="50">
        <v>651655</v>
      </c>
    </row>
    <row r="404" spans="1:17" x14ac:dyDescent="0.25">
      <c r="A404" s="53" t="s">
        <v>711</v>
      </c>
      <c r="B404" s="53" t="s">
        <v>198</v>
      </c>
      <c r="C404" s="53" t="s">
        <v>199</v>
      </c>
      <c r="D404" s="53" t="s">
        <v>69</v>
      </c>
      <c r="E404" s="54">
        <v>9654391017</v>
      </c>
      <c r="F404" s="54">
        <v>9654391017</v>
      </c>
      <c r="G404" s="54">
        <v>7053702859</v>
      </c>
      <c r="H404" s="54">
        <v>0</v>
      </c>
      <c r="I404" s="54">
        <v>2128824090.8599999</v>
      </c>
      <c r="J404" s="54">
        <v>392729734.00999999</v>
      </c>
      <c r="K404" s="54">
        <v>3777591957.98</v>
      </c>
      <c r="L404" s="177">
        <f t="shared" si="0"/>
        <v>0.39128226227093987</v>
      </c>
      <c r="M404" s="54">
        <v>3771919055.6300001</v>
      </c>
      <c r="N404" s="178">
        <f t="shared" si="1"/>
        <v>0.39069466411586096</v>
      </c>
      <c r="O404" s="54">
        <v>3355245234.1500001</v>
      </c>
      <c r="P404" s="178">
        <f t="shared" si="2"/>
        <v>0.34753566830283689</v>
      </c>
      <c r="Q404" s="54">
        <v>754557076.14999998</v>
      </c>
    </row>
    <row r="405" spans="1:17" x14ac:dyDescent="0.25">
      <c r="A405" s="53" t="s">
        <v>711</v>
      </c>
      <c r="B405" s="53" t="s">
        <v>352</v>
      </c>
      <c r="C405" s="53" t="s">
        <v>353</v>
      </c>
      <c r="D405" s="53" t="s">
        <v>69</v>
      </c>
      <c r="E405" s="54">
        <v>46924000</v>
      </c>
      <c r="F405" s="54">
        <v>26592992</v>
      </c>
      <c r="G405" s="54">
        <v>26592992</v>
      </c>
      <c r="H405" s="54">
        <v>0</v>
      </c>
      <c r="I405" s="54">
        <v>17628630.91</v>
      </c>
      <c r="J405" s="54">
        <v>1313893.44</v>
      </c>
      <c r="K405" s="54">
        <v>3350466.68</v>
      </c>
      <c r="L405" s="177">
        <f t="shared" si="0"/>
        <v>0.12599058729457746</v>
      </c>
      <c r="M405" s="54">
        <v>3350466.68</v>
      </c>
      <c r="N405" s="178">
        <f t="shared" si="1"/>
        <v>0.12599058729457746</v>
      </c>
      <c r="O405" s="54">
        <v>4300000.97</v>
      </c>
      <c r="P405" s="178">
        <f t="shared" si="2"/>
        <v>0.1616967722172819</v>
      </c>
      <c r="Q405" s="54">
        <v>4300000.97</v>
      </c>
    </row>
    <row r="406" spans="1:17" hidden="1" x14ac:dyDescent="0.25">
      <c r="A406" s="44" t="s">
        <v>711</v>
      </c>
      <c r="B406" s="44" t="s">
        <v>200</v>
      </c>
      <c r="C406" s="44" t="s">
        <v>201</v>
      </c>
      <c r="D406" s="44" t="s">
        <v>69</v>
      </c>
      <c r="E406" s="50">
        <v>9701312</v>
      </c>
      <c r="F406" s="50">
        <v>8721992</v>
      </c>
      <c r="G406" s="50">
        <v>8721992</v>
      </c>
      <c r="H406" s="50">
        <v>0</v>
      </c>
      <c r="I406" s="50">
        <v>58771.3</v>
      </c>
      <c r="J406" s="50">
        <v>2039503.1</v>
      </c>
      <c r="K406" s="50">
        <v>3450142.23</v>
      </c>
      <c r="L406" s="151">
        <f t="shared" si="0"/>
        <v>0.39556814888158576</v>
      </c>
      <c r="M406" s="50">
        <v>3261809.65</v>
      </c>
      <c r="N406" s="152">
        <f t="shared" si="1"/>
        <v>0.37397530862215878</v>
      </c>
      <c r="O406" s="50">
        <v>3173575.37</v>
      </c>
      <c r="P406" s="152">
        <f t="shared" si="2"/>
        <v>0.36385900950149919</v>
      </c>
      <c r="Q406" s="50">
        <v>3173575.37</v>
      </c>
    </row>
    <row r="407" spans="1:17" hidden="1" x14ac:dyDescent="0.25">
      <c r="A407" s="44" t="s">
        <v>711</v>
      </c>
      <c r="B407" s="44" t="s">
        <v>314</v>
      </c>
      <c r="C407" s="44" t="s">
        <v>315</v>
      </c>
      <c r="D407" s="44" t="s">
        <v>69</v>
      </c>
      <c r="E407" s="50">
        <v>3440012</v>
      </c>
      <c r="F407" s="50">
        <v>3440012</v>
      </c>
      <c r="G407" s="50">
        <v>3440012</v>
      </c>
      <c r="H407" s="50">
        <v>0</v>
      </c>
      <c r="I407" s="50">
        <v>46680.3</v>
      </c>
      <c r="J407" s="50">
        <v>2039503.1</v>
      </c>
      <c r="K407" s="50">
        <v>378545.48</v>
      </c>
      <c r="L407" s="151">
        <f t="shared" si="0"/>
        <v>0.11004190683055756</v>
      </c>
      <c r="M407" s="50">
        <v>190212.9</v>
      </c>
      <c r="N407" s="152">
        <f t="shared" si="1"/>
        <v>5.5294254787483295E-2</v>
      </c>
      <c r="O407" s="50">
        <v>975283.12</v>
      </c>
      <c r="P407" s="152">
        <f t="shared" si="2"/>
        <v>0.2835115458899562</v>
      </c>
      <c r="Q407" s="50">
        <v>975283.12</v>
      </c>
    </row>
    <row r="408" spans="1:17" hidden="1" x14ac:dyDescent="0.25">
      <c r="A408" s="44" t="s">
        <v>711</v>
      </c>
      <c r="B408" s="44" t="s">
        <v>316</v>
      </c>
      <c r="C408" s="44" t="s">
        <v>317</v>
      </c>
      <c r="D408" s="44" t="s">
        <v>69</v>
      </c>
      <c r="E408" s="50">
        <v>678950</v>
      </c>
      <c r="F408" s="50">
        <v>0</v>
      </c>
      <c r="G408" s="50">
        <v>0</v>
      </c>
      <c r="H408" s="50">
        <v>0</v>
      </c>
      <c r="I408" s="50">
        <v>0</v>
      </c>
      <c r="J408" s="50">
        <v>0</v>
      </c>
      <c r="K408" s="50">
        <v>0</v>
      </c>
      <c r="L408" s="151" t="e">
        <f t="shared" si="0"/>
        <v>#DIV/0!</v>
      </c>
      <c r="M408" s="50">
        <v>0</v>
      </c>
      <c r="N408" s="152" t="e">
        <f t="shared" si="1"/>
        <v>#DIV/0!</v>
      </c>
      <c r="O408" s="50">
        <v>0</v>
      </c>
      <c r="P408" s="152" t="e">
        <f t="shared" si="2"/>
        <v>#DIV/0!</v>
      </c>
      <c r="Q408" s="50">
        <v>0</v>
      </c>
    </row>
    <row r="409" spans="1:17" x14ac:dyDescent="0.25">
      <c r="A409" s="165" t="s">
        <v>711</v>
      </c>
      <c r="B409" s="165" t="s">
        <v>318</v>
      </c>
      <c r="C409" s="165" t="s">
        <v>319</v>
      </c>
      <c r="D409" s="165" t="s">
        <v>69</v>
      </c>
      <c r="E409" s="166">
        <v>648835</v>
      </c>
      <c r="F409" s="166">
        <v>600000</v>
      </c>
      <c r="G409" s="166">
        <v>600000</v>
      </c>
      <c r="H409" s="166">
        <v>0</v>
      </c>
      <c r="I409" s="166">
        <v>0</v>
      </c>
      <c r="J409" s="166">
        <v>0</v>
      </c>
      <c r="K409" s="166">
        <v>0</v>
      </c>
      <c r="L409" s="167">
        <f t="shared" si="0"/>
        <v>0</v>
      </c>
      <c r="M409" s="166">
        <v>0</v>
      </c>
      <c r="N409" s="168">
        <f t="shared" si="1"/>
        <v>0</v>
      </c>
      <c r="O409" s="166">
        <v>600000</v>
      </c>
      <c r="P409" s="168">
        <f t="shared" si="2"/>
        <v>1</v>
      </c>
      <c r="Q409" s="166">
        <v>600000</v>
      </c>
    </row>
    <row r="410" spans="1:17" hidden="1" x14ac:dyDescent="0.25">
      <c r="A410" s="165" t="s">
        <v>711</v>
      </c>
      <c r="B410" s="165" t="s">
        <v>202</v>
      </c>
      <c r="C410" s="165" t="s">
        <v>203</v>
      </c>
      <c r="D410" s="165" t="s">
        <v>69</v>
      </c>
      <c r="E410" s="166">
        <v>274510</v>
      </c>
      <c r="F410" s="166">
        <v>274510</v>
      </c>
      <c r="G410" s="166">
        <v>274510</v>
      </c>
      <c r="H410" s="166">
        <v>0</v>
      </c>
      <c r="I410" s="166">
        <v>0</v>
      </c>
      <c r="J410" s="166">
        <v>0</v>
      </c>
      <c r="K410" s="166">
        <v>112924.29</v>
      </c>
      <c r="L410" s="167">
        <f t="shared" si="0"/>
        <v>0.41136676259516958</v>
      </c>
      <c r="M410" s="166">
        <v>112924.29</v>
      </c>
      <c r="N410" s="168">
        <f t="shared" si="1"/>
        <v>0.41136676259516958</v>
      </c>
      <c r="O410" s="166">
        <v>161585.71</v>
      </c>
      <c r="P410" s="168">
        <f t="shared" si="2"/>
        <v>0.58863323740483042</v>
      </c>
      <c r="Q410" s="166">
        <v>161585.71</v>
      </c>
    </row>
    <row r="411" spans="1:17" hidden="1" x14ac:dyDescent="0.25">
      <c r="A411" s="165" t="s">
        <v>711</v>
      </c>
      <c r="B411" s="165" t="s">
        <v>204</v>
      </c>
      <c r="C411" s="165" t="s">
        <v>205</v>
      </c>
      <c r="D411" s="165" t="s">
        <v>69</v>
      </c>
      <c r="E411" s="166">
        <v>4524220</v>
      </c>
      <c r="F411" s="166">
        <v>4272685</v>
      </c>
      <c r="G411" s="166">
        <v>4272685</v>
      </c>
      <c r="H411" s="166">
        <v>0</v>
      </c>
      <c r="I411" s="166">
        <v>12091</v>
      </c>
      <c r="J411" s="166">
        <v>0</v>
      </c>
      <c r="K411" s="166">
        <v>2958672.46</v>
      </c>
      <c r="L411" s="167">
        <f t="shared" si="0"/>
        <v>0.69246210755063853</v>
      </c>
      <c r="M411" s="166">
        <v>2958672.46</v>
      </c>
      <c r="N411" s="168">
        <f t="shared" si="1"/>
        <v>0.69246210755063853</v>
      </c>
      <c r="O411" s="166">
        <v>1301921.54</v>
      </c>
      <c r="P411" s="168">
        <f t="shared" si="2"/>
        <v>0.30470805594140454</v>
      </c>
      <c r="Q411" s="166">
        <v>1301921.54</v>
      </c>
    </row>
    <row r="412" spans="1:17" hidden="1" x14ac:dyDescent="0.25">
      <c r="A412" s="165" t="s">
        <v>711</v>
      </c>
      <c r="B412" s="165" t="s">
        <v>322</v>
      </c>
      <c r="C412" s="165" t="s">
        <v>323</v>
      </c>
      <c r="D412" s="165" t="s">
        <v>69</v>
      </c>
      <c r="E412" s="166">
        <v>134785</v>
      </c>
      <c r="F412" s="166">
        <v>134785</v>
      </c>
      <c r="G412" s="166">
        <v>134785</v>
      </c>
      <c r="H412" s="166">
        <v>0</v>
      </c>
      <c r="I412" s="166">
        <v>0</v>
      </c>
      <c r="J412" s="166">
        <v>0</v>
      </c>
      <c r="K412" s="166">
        <v>0</v>
      </c>
      <c r="L412" s="167">
        <f t="shared" si="0"/>
        <v>0</v>
      </c>
      <c r="M412" s="166">
        <v>0</v>
      </c>
      <c r="N412" s="168">
        <f t="shared" si="1"/>
        <v>0</v>
      </c>
      <c r="O412" s="166">
        <v>134785</v>
      </c>
      <c r="P412" s="168">
        <f t="shared" si="2"/>
        <v>1</v>
      </c>
      <c r="Q412" s="166">
        <v>134785</v>
      </c>
    </row>
    <row r="413" spans="1:17" hidden="1" x14ac:dyDescent="0.25">
      <c r="A413" s="165" t="s">
        <v>711</v>
      </c>
      <c r="B413" s="165" t="s">
        <v>206</v>
      </c>
      <c r="C413" s="165" t="s">
        <v>207</v>
      </c>
      <c r="D413" s="165" t="s">
        <v>69</v>
      </c>
      <c r="E413" s="166">
        <v>4818247</v>
      </c>
      <c r="F413" s="166">
        <v>0</v>
      </c>
      <c r="G413" s="166">
        <v>0</v>
      </c>
      <c r="H413" s="166">
        <v>0</v>
      </c>
      <c r="I413" s="166">
        <v>0</v>
      </c>
      <c r="J413" s="166">
        <v>0</v>
      </c>
      <c r="K413" s="166">
        <v>0</v>
      </c>
      <c r="L413" s="167" t="e">
        <f t="shared" si="0"/>
        <v>#DIV/0!</v>
      </c>
      <c r="M413" s="166">
        <v>0</v>
      </c>
      <c r="N413" s="168" t="e">
        <f t="shared" si="1"/>
        <v>#DIV/0!</v>
      </c>
      <c r="O413" s="166">
        <v>0</v>
      </c>
      <c r="P413" s="168" t="e">
        <f t="shared" si="2"/>
        <v>#DIV/0!</v>
      </c>
      <c r="Q413" s="166">
        <v>0</v>
      </c>
    </row>
    <row r="414" spans="1:17" hidden="1" x14ac:dyDescent="0.25">
      <c r="A414" s="165" t="s">
        <v>711</v>
      </c>
      <c r="B414" s="165" t="s">
        <v>208</v>
      </c>
      <c r="C414" s="165" t="s">
        <v>209</v>
      </c>
      <c r="D414" s="165" t="s">
        <v>69</v>
      </c>
      <c r="E414" s="166">
        <v>4818247</v>
      </c>
      <c r="F414" s="166">
        <v>0</v>
      </c>
      <c r="G414" s="166">
        <v>0</v>
      </c>
      <c r="H414" s="166">
        <v>0</v>
      </c>
      <c r="I414" s="166">
        <v>0</v>
      </c>
      <c r="J414" s="166">
        <v>0</v>
      </c>
      <c r="K414" s="166">
        <v>0</v>
      </c>
      <c r="L414" s="167" t="e">
        <f t="shared" si="0"/>
        <v>#DIV/0!</v>
      </c>
      <c r="M414" s="166">
        <v>0</v>
      </c>
      <c r="N414" s="168" t="e">
        <f t="shared" si="1"/>
        <v>#DIV/0!</v>
      </c>
      <c r="O414" s="166">
        <v>0</v>
      </c>
      <c r="P414" s="168" t="e">
        <f t="shared" si="2"/>
        <v>#DIV/0!</v>
      </c>
      <c r="Q414" s="166">
        <v>0</v>
      </c>
    </row>
    <row r="415" spans="1:17" hidden="1" x14ac:dyDescent="0.25">
      <c r="A415" s="165" t="s">
        <v>711</v>
      </c>
      <c r="B415" s="165" t="s">
        <v>354</v>
      </c>
      <c r="C415" s="165" t="s">
        <v>355</v>
      </c>
      <c r="D415" s="165" t="s">
        <v>69</v>
      </c>
      <c r="E415" s="166">
        <v>2859160</v>
      </c>
      <c r="F415" s="166">
        <v>859160</v>
      </c>
      <c r="G415" s="166">
        <v>859160</v>
      </c>
      <c r="H415" s="166">
        <v>0</v>
      </c>
      <c r="I415" s="166">
        <v>0</v>
      </c>
      <c r="J415" s="166">
        <v>0</v>
      </c>
      <c r="K415" s="166">
        <v>0</v>
      </c>
      <c r="L415" s="167">
        <f t="shared" si="0"/>
        <v>0</v>
      </c>
      <c r="M415" s="166">
        <v>0</v>
      </c>
      <c r="N415" s="168">
        <f t="shared" si="1"/>
        <v>0</v>
      </c>
      <c r="O415" s="166">
        <v>859160</v>
      </c>
      <c r="P415" s="168">
        <f t="shared" si="2"/>
        <v>1</v>
      </c>
      <c r="Q415" s="166">
        <v>859160</v>
      </c>
    </row>
    <row r="416" spans="1:17" x14ac:dyDescent="0.25">
      <c r="A416" s="165" t="s">
        <v>711</v>
      </c>
      <c r="B416" s="165" t="s">
        <v>356</v>
      </c>
      <c r="C416" s="165" t="s">
        <v>357</v>
      </c>
      <c r="D416" s="165" t="s">
        <v>69</v>
      </c>
      <c r="E416" s="166">
        <v>2859160</v>
      </c>
      <c r="F416" s="166">
        <v>859160</v>
      </c>
      <c r="G416" s="166">
        <v>859160</v>
      </c>
      <c r="H416" s="166">
        <v>0</v>
      </c>
      <c r="I416" s="166">
        <v>0</v>
      </c>
      <c r="J416" s="166">
        <v>0</v>
      </c>
      <c r="K416" s="166">
        <v>0</v>
      </c>
      <c r="L416" s="167">
        <f t="shared" si="0"/>
        <v>0</v>
      </c>
      <c r="M416" s="166">
        <v>0</v>
      </c>
      <c r="N416" s="168">
        <f t="shared" si="1"/>
        <v>0</v>
      </c>
      <c r="O416" s="166">
        <v>859160</v>
      </c>
      <c r="P416" s="168">
        <f t="shared" si="2"/>
        <v>1</v>
      </c>
      <c r="Q416" s="166">
        <v>859160</v>
      </c>
    </row>
    <row r="417" spans="1:17" hidden="1" x14ac:dyDescent="0.25">
      <c r="A417" s="165" t="s">
        <v>711</v>
      </c>
      <c r="B417" s="165" t="s">
        <v>212</v>
      </c>
      <c r="C417" s="165" t="s">
        <v>213</v>
      </c>
      <c r="D417" s="165" t="s">
        <v>69</v>
      </c>
      <c r="E417" s="166">
        <v>20687802</v>
      </c>
      <c r="F417" s="166">
        <v>19255602</v>
      </c>
      <c r="G417" s="166">
        <v>19255602</v>
      </c>
      <c r="H417" s="166">
        <v>9193838.5199999996</v>
      </c>
      <c r="I417" s="166">
        <v>1265600.02</v>
      </c>
      <c r="J417" s="166">
        <v>0</v>
      </c>
      <c r="K417" s="166">
        <v>2999493.02</v>
      </c>
      <c r="L417" s="167">
        <f t="shared" si="0"/>
        <v>0.15577248740392535</v>
      </c>
      <c r="M417" s="166">
        <v>2999493.02</v>
      </c>
      <c r="N417" s="168">
        <f t="shared" si="1"/>
        <v>0.15577248740392535</v>
      </c>
      <c r="O417" s="166">
        <v>5796670.4400000004</v>
      </c>
      <c r="P417" s="168">
        <f t="shared" si="2"/>
        <v>0.30103813113711014</v>
      </c>
      <c r="Q417" s="166">
        <v>5796670.4400000004</v>
      </c>
    </row>
    <row r="418" spans="1:17" x14ac:dyDescent="0.25">
      <c r="A418" s="165" t="s">
        <v>711</v>
      </c>
      <c r="B418" s="165" t="s">
        <v>216</v>
      </c>
      <c r="C418" s="165" t="s">
        <v>217</v>
      </c>
      <c r="D418" s="165" t="s">
        <v>69</v>
      </c>
      <c r="E418" s="166">
        <v>9443712</v>
      </c>
      <c r="F418" s="166">
        <v>9443712</v>
      </c>
      <c r="G418" s="166">
        <v>9443712</v>
      </c>
      <c r="H418" s="166">
        <v>4580611.62</v>
      </c>
      <c r="I418" s="166">
        <v>0</v>
      </c>
      <c r="J418" s="166">
        <v>0</v>
      </c>
      <c r="K418" s="166">
        <v>0</v>
      </c>
      <c r="L418" s="167">
        <f t="shared" si="0"/>
        <v>0</v>
      </c>
      <c r="M418" s="166">
        <v>0</v>
      </c>
      <c r="N418" s="168">
        <f t="shared" si="1"/>
        <v>0</v>
      </c>
      <c r="O418" s="166">
        <v>4863100.38</v>
      </c>
      <c r="P418" s="168">
        <f t="shared" si="2"/>
        <v>0.51495644721058842</v>
      </c>
      <c r="Q418" s="166">
        <v>4863100.38</v>
      </c>
    </row>
    <row r="419" spans="1:17" x14ac:dyDescent="0.25">
      <c r="A419" s="165" t="s">
        <v>711</v>
      </c>
      <c r="B419" s="165" t="s">
        <v>218</v>
      </c>
      <c r="C419" s="165" t="s">
        <v>219</v>
      </c>
      <c r="D419" s="165" t="s">
        <v>69</v>
      </c>
      <c r="E419" s="166">
        <v>4708500</v>
      </c>
      <c r="F419" s="166">
        <v>4708500</v>
      </c>
      <c r="G419" s="166">
        <v>4708500</v>
      </c>
      <c r="H419" s="166">
        <v>4452502.3</v>
      </c>
      <c r="I419" s="166">
        <v>0</v>
      </c>
      <c r="J419" s="166">
        <v>0</v>
      </c>
      <c r="K419" s="166">
        <v>0</v>
      </c>
      <c r="L419" s="167">
        <f t="shared" si="0"/>
        <v>0</v>
      </c>
      <c r="M419" s="166">
        <v>0</v>
      </c>
      <c r="N419" s="168">
        <f t="shared" si="1"/>
        <v>0</v>
      </c>
      <c r="O419" s="166">
        <v>255997.7</v>
      </c>
      <c r="P419" s="168">
        <f t="shared" si="2"/>
        <v>5.4369268344483385E-2</v>
      </c>
      <c r="Q419" s="166">
        <v>255997.7</v>
      </c>
    </row>
    <row r="420" spans="1:17" x14ac:dyDescent="0.25">
      <c r="A420" s="165" t="s">
        <v>711</v>
      </c>
      <c r="B420" s="165" t="s">
        <v>220</v>
      </c>
      <c r="C420" s="165" t="s">
        <v>221</v>
      </c>
      <c r="D420" s="165" t="s">
        <v>69</v>
      </c>
      <c r="E420" s="166">
        <v>4306450</v>
      </c>
      <c r="F420" s="166">
        <v>3981750</v>
      </c>
      <c r="G420" s="166">
        <v>3981750</v>
      </c>
      <c r="H420" s="166">
        <v>0</v>
      </c>
      <c r="I420" s="166">
        <v>1265600.02</v>
      </c>
      <c r="J420" s="166">
        <v>0</v>
      </c>
      <c r="K420" s="166">
        <v>2409124.52</v>
      </c>
      <c r="L420" s="167">
        <f t="shared" si="0"/>
        <v>0.60504163244804421</v>
      </c>
      <c r="M420" s="166">
        <v>2409124.52</v>
      </c>
      <c r="N420" s="168">
        <f t="shared" si="1"/>
        <v>0.60504163244804421</v>
      </c>
      <c r="O420" s="166">
        <v>307025.46000000002</v>
      </c>
      <c r="P420" s="168">
        <f t="shared" si="2"/>
        <v>7.710817103032587E-2</v>
      </c>
      <c r="Q420" s="166">
        <v>307025.46000000002</v>
      </c>
    </row>
    <row r="421" spans="1:17" x14ac:dyDescent="0.25">
      <c r="A421" s="165" t="s">
        <v>711</v>
      </c>
      <c r="B421" s="165" t="s">
        <v>222</v>
      </c>
      <c r="C421" s="165" t="s">
        <v>223</v>
      </c>
      <c r="D421" s="165" t="s">
        <v>69</v>
      </c>
      <c r="E421" s="166">
        <v>842640</v>
      </c>
      <c r="F421" s="166">
        <v>842640</v>
      </c>
      <c r="G421" s="166">
        <v>842640</v>
      </c>
      <c r="H421" s="166">
        <v>0</v>
      </c>
      <c r="I421" s="166">
        <v>0</v>
      </c>
      <c r="J421" s="166">
        <v>0</v>
      </c>
      <c r="K421" s="166">
        <v>590368.5</v>
      </c>
      <c r="L421" s="167">
        <f t="shared" si="0"/>
        <v>0.70061770150954139</v>
      </c>
      <c r="M421" s="166">
        <v>590368.5</v>
      </c>
      <c r="N421" s="168">
        <f t="shared" si="1"/>
        <v>0.70061770150954139</v>
      </c>
      <c r="O421" s="166">
        <v>252271.5</v>
      </c>
      <c r="P421" s="168">
        <f t="shared" si="2"/>
        <v>0.29938229849045855</v>
      </c>
      <c r="Q421" s="166">
        <v>252271.5</v>
      </c>
    </row>
    <row r="422" spans="1:17" x14ac:dyDescent="0.25">
      <c r="A422" s="165" t="s">
        <v>711</v>
      </c>
      <c r="B422" s="165" t="s">
        <v>224</v>
      </c>
      <c r="C422" s="165" t="s">
        <v>225</v>
      </c>
      <c r="D422" s="165" t="s">
        <v>69</v>
      </c>
      <c r="E422" s="166">
        <v>887300</v>
      </c>
      <c r="F422" s="166">
        <v>162000</v>
      </c>
      <c r="G422" s="166">
        <v>162000</v>
      </c>
      <c r="H422" s="166">
        <v>160724.6</v>
      </c>
      <c r="I422" s="166">
        <v>0</v>
      </c>
      <c r="J422" s="166">
        <v>0</v>
      </c>
      <c r="K422" s="166">
        <v>0</v>
      </c>
      <c r="L422" s="167">
        <f t="shared" si="0"/>
        <v>0</v>
      </c>
      <c r="M422" s="166">
        <v>0</v>
      </c>
      <c r="N422" s="168">
        <f t="shared" si="1"/>
        <v>0</v>
      </c>
      <c r="O422" s="166">
        <v>1275.4000000000001</v>
      </c>
      <c r="P422" s="168">
        <f t="shared" si="2"/>
        <v>7.8728395061728393E-3</v>
      </c>
      <c r="Q422" s="166">
        <v>1275.4000000000001</v>
      </c>
    </row>
    <row r="423" spans="1:17" x14ac:dyDescent="0.25">
      <c r="A423" s="165" t="s">
        <v>711</v>
      </c>
      <c r="B423" s="165" t="s">
        <v>228</v>
      </c>
      <c r="C423" s="165" t="s">
        <v>229</v>
      </c>
      <c r="D423" s="165" t="s">
        <v>69</v>
      </c>
      <c r="E423" s="166">
        <v>499200</v>
      </c>
      <c r="F423" s="166">
        <v>117000</v>
      </c>
      <c r="G423" s="166">
        <v>117000</v>
      </c>
      <c r="H423" s="166">
        <v>0</v>
      </c>
      <c r="I423" s="166">
        <v>0</v>
      </c>
      <c r="J423" s="166">
        <v>0</v>
      </c>
      <c r="K423" s="166">
        <v>0</v>
      </c>
      <c r="L423" s="167">
        <f t="shared" si="0"/>
        <v>0</v>
      </c>
      <c r="M423" s="166">
        <v>0</v>
      </c>
      <c r="N423" s="168">
        <f t="shared" si="1"/>
        <v>0</v>
      </c>
      <c r="O423" s="166">
        <v>117000</v>
      </c>
      <c r="P423" s="168">
        <f t="shared" si="2"/>
        <v>1</v>
      </c>
      <c r="Q423" s="166">
        <v>117000</v>
      </c>
    </row>
    <row r="424" spans="1:17" hidden="1" x14ac:dyDescent="0.25">
      <c r="A424" s="44" t="s">
        <v>711</v>
      </c>
      <c r="B424" s="44" t="s">
        <v>230</v>
      </c>
      <c r="C424" s="44" t="s">
        <v>231</v>
      </c>
      <c r="D424" s="44" t="s">
        <v>85</v>
      </c>
      <c r="E424" s="50">
        <v>53324000</v>
      </c>
      <c r="F424" s="50">
        <v>51342000</v>
      </c>
      <c r="G424" s="50">
        <v>51342000</v>
      </c>
      <c r="H424" s="50">
        <v>849900</v>
      </c>
      <c r="I424" s="50">
        <v>4360000</v>
      </c>
      <c r="J424" s="50">
        <v>1375000</v>
      </c>
      <c r="K424" s="50">
        <v>3065000</v>
      </c>
      <c r="L424" s="151">
        <f t="shared" si="0"/>
        <v>5.9697713373066882E-2</v>
      </c>
      <c r="M424" s="50">
        <v>3065000</v>
      </c>
      <c r="N424" s="152">
        <f t="shared" si="1"/>
        <v>5.9697713373066882E-2</v>
      </c>
      <c r="O424" s="50">
        <v>41692100</v>
      </c>
      <c r="P424" s="152">
        <f t="shared" si="2"/>
        <v>0.81204666744575593</v>
      </c>
      <c r="Q424" s="50">
        <v>41692100</v>
      </c>
    </row>
    <row r="425" spans="1:17" hidden="1" x14ac:dyDescent="0.25">
      <c r="A425" s="44" t="s">
        <v>711</v>
      </c>
      <c r="B425" s="44" t="s">
        <v>232</v>
      </c>
      <c r="C425" s="44" t="s">
        <v>233</v>
      </c>
      <c r="D425" s="44" t="s">
        <v>85</v>
      </c>
      <c r="E425" s="50">
        <v>45824000</v>
      </c>
      <c r="F425" s="50">
        <v>42525000</v>
      </c>
      <c r="G425" s="50">
        <v>42525000</v>
      </c>
      <c r="H425" s="50">
        <v>849900</v>
      </c>
      <c r="I425" s="50">
        <v>0</v>
      </c>
      <c r="J425" s="50">
        <v>0</v>
      </c>
      <c r="K425" s="50">
        <v>0</v>
      </c>
      <c r="L425" s="151">
        <f t="shared" si="0"/>
        <v>0</v>
      </c>
      <c r="M425" s="50">
        <v>0</v>
      </c>
      <c r="N425" s="152">
        <f t="shared" si="1"/>
        <v>0</v>
      </c>
      <c r="O425" s="50">
        <v>41675100</v>
      </c>
      <c r="P425" s="152">
        <f t="shared" si="2"/>
        <v>0.98001410934744271</v>
      </c>
      <c r="Q425" s="50">
        <v>41675100</v>
      </c>
    </row>
    <row r="426" spans="1:17" x14ac:dyDescent="0.25">
      <c r="A426" s="53" t="s">
        <v>711</v>
      </c>
      <c r="B426" s="53" t="s">
        <v>234</v>
      </c>
      <c r="C426" s="53" t="s">
        <v>235</v>
      </c>
      <c r="D426" s="53" t="s">
        <v>85</v>
      </c>
      <c r="E426" s="54">
        <v>3490000</v>
      </c>
      <c r="F426" s="54">
        <v>790000</v>
      </c>
      <c r="G426" s="54">
        <v>790000</v>
      </c>
      <c r="H426" s="54">
        <v>750000</v>
      </c>
      <c r="I426" s="54">
        <v>0</v>
      </c>
      <c r="J426" s="54">
        <v>0</v>
      </c>
      <c r="K426" s="54">
        <v>0</v>
      </c>
      <c r="L426" s="177">
        <f t="shared" si="0"/>
        <v>0</v>
      </c>
      <c r="M426" s="54">
        <v>0</v>
      </c>
      <c r="N426" s="178">
        <f t="shared" si="1"/>
        <v>0</v>
      </c>
      <c r="O426" s="54">
        <v>40000</v>
      </c>
      <c r="P426" s="178">
        <f t="shared" si="2"/>
        <v>5.0632911392405063E-2</v>
      </c>
      <c r="Q426" s="54">
        <v>40000</v>
      </c>
    </row>
    <row r="427" spans="1:17" hidden="1" x14ac:dyDescent="0.25">
      <c r="A427" s="44" t="s">
        <v>711</v>
      </c>
      <c r="B427" s="44" t="s">
        <v>238</v>
      </c>
      <c r="C427" s="44" t="s">
        <v>239</v>
      </c>
      <c r="D427" s="44" t="s">
        <v>85</v>
      </c>
      <c r="E427" s="50">
        <v>420000</v>
      </c>
      <c r="F427" s="50">
        <v>0</v>
      </c>
      <c r="G427" s="50">
        <v>0</v>
      </c>
      <c r="H427" s="50">
        <v>0</v>
      </c>
      <c r="I427" s="50">
        <v>0</v>
      </c>
      <c r="J427" s="50">
        <v>0</v>
      </c>
      <c r="K427" s="50">
        <v>0</v>
      </c>
      <c r="L427" s="151" t="e">
        <f t="shared" si="0"/>
        <v>#DIV/0!</v>
      </c>
      <c r="M427" s="50">
        <v>0</v>
      </c>
      <c r="N427" s="152" t="e">
        <f t="shared" si="1"/>
        <v>#DIV/0!</v>
      </c>
      <c r="O427" s="50">
        <v>0</v>
      </c>
      <c r="P427" s="152" t="e">
        <f t="shared" si="2"/>
        <v>#DIV/0!</v>
      </c>
      <c r="Q427" s="50">
        <v>0</v>
      </c>
    </row>
    <row r="428" spans="1:17" x14ac:dyDescent="0.25">
      <c r="A428" s="165" t="s">
        <v>711</v>
      </c>
      <c r="B428" s="165" t="s">
        <v>326</v>
      </c>
      <c r="C428" s="165" t="s">
        <v>327</v>
      </c>
      <c r="D428" s="165" t="s">
        <v>85</v>
      </c>
      <c r="E428" s="166">
        <v>41125000</v>
      </c>
      <c r="F428" s="166">
        <v>41545000</v>
      </c>
      <c r="G428" s="166">
        <v>41545000</v>
      </c>
      <c r="H428" s="166">
        <v>0</v>
      </c>
      <c r="I428" s="166">
        <v>0</v>
      </c>
      <c r="J428" s="166">
        <v>0</v>
      </c>
      <c r="K428" s="166">
        <v>0</v>
      </c>
      <c r="L428" s="167">
        <f t="shared" si="0"/>
        <v>0</v>
      </c>
      <c r="M428" s="166">
        <v>0</v>
      </c>
      <c r="N428" s="168">
        <f t="shared" si="1"/>
        <v>0</v>
      </c>
      <c r="O428" s="166">
        <v>41545000</v>
      </c>
      <c r="P428" s="168">
        <f t="shared" si="2"/>
        <v>1</v>
      </c>
      <c r="Q428" s="166">
        <v>41545000</v>
      </c>
    </row>
    <row r="429" spans="1:17" hidden="1" x14ac:dyDescent="0.25">
      <c r="A429" s="165" t="s">
        <v>711</v>
      </c>
      <c r="B429" s="165" t="s">
        <v>242</v>
      </c>
      <c r="C429" s="165" t="s">
        <v>243</v>
      </c>
      <c r="D429" s="165" t="s">
        <v>85</v>
      </c>
      <c r="E429" s="166">
        <v>789000</v>
      </c>
      <c r="F429" s="166">
        <v>190000</v>
      </c>
      <c r="G429" s="166">
        <v>190000</v>
      </c>
      <c r="H429" s="166">
        <v>99900</v>
      </c>
      <c r="I429" s="166">
        <v>0</v>
      </c>
      <c r="J429" s="166">
        <v>0</v>
      </c>
      <c r="K429" s="166">
        <v>0</v>
      </c>
      <c r="L429" s="167">
        <f t="shared" si="0"/>
        <v>0</v>
      </c>
      <c r="M429" s="166">
        <v>0</v>
      </c>
      <c r="N429" s="168">
        <f t="shared" si="1"/>
        <v>0</v>
      </c>
      <c r="O429" s="166">
        <v>90100</v>
      </c>
      <c r="P429" s="168">
        <f t="shared" si="2"/>
        <v>0.47421052631578947</v>
      </c>
      <c r="Q429" s="166">
        <v>90100</v>
      </c>
    </row>
    <row r="430" spans="1:17" hidden="1" x14ac:dyDescent="0.25">
      <c r="A430" s="165" t="s">
        <v>711</v>
      </c>
      <c r="B430" s="165" t="s">
        <v>244</v>
      </c>
      <c r="C430" s="165" t="s">
        <v>245</v>
      </c>
      <c r="D430" s="165" t="s">
        <v>85</v>
      </c>
      <c r="E430" s="166">
        <v>7500000</v>
      </c>
      <c r="F430" s="166">
        <v>8817000</v>
      </c>
      <c r="G430" s="166">
        <v>8817000</v>
      </c>
      <c r="H430" s="166">
        <v>0</v>
      </c>
      <c r="I430" s="166">
        <v>4360000</v>
      </c>
      <c r="J430" s="166">
        <v>1375000</v>
      </c>
      <c r="K430" s="166">
        <v>3065000</v>
      </c>
      <c r="L430" s="167">
        <f t="shared" si="0"/>
        <v>0.34762390835885221</v>
      </c>
      <c r="M430" s="166">
        <v>3065000</v>
      </c>
      <c r="N430" s="168">
        <f t="shared" si="1"/>
        <v>0.34762390835885221</v>
      </c>
      <c r="O430" s="166">
        <v>17000</v>
      </c>
      <c r="P430" s="168">
        <f t="shared" si="2"/>
        <v>1.9280934558239763E-3</v>
      </c>
      <c r="Q430" s="166">
        <v>17000</v>
      </c>
    </row>
    <row r="431" spans="1:17" hidden="1" x14ac:dyDescent="0.25">
      <c r="A431" s="165" t="s">
        <v>711</v>
      </c>
      <c r="B431" s="165" t="s">
        <v>611</v>
      </c>
      <c r="C431" s="165" t="s">
        <v>612</v>
      </c>
      <c r="D431" s="165" t="s">
        <v>85</v>
      </c>
      <c r="E431" s="166">
        <v>7500000</v>
      </c>
      <c r="F431" s="166">
        <v>8817000</v>
      </c>
      <c r="G431" s="166">
        <v>8817000</v>
      </c>
      <c r="H431" s="166">
        <v>0</v>
      </c>
      <c r="I431" s="166">
        <v>4360000</v>
      </c>
      <c r="J431" s="166">
        <v>1375000</v>
      </c>
      <c r="K431" s="166">
        <v>3065000</v>
      </c>
      <c r="L431" s="167">
        <f t="shared" si="0"/>
        <v>0.34762390835885221</v>
      </c>
      <c r="M431" s="166">
        <v>3065000</v>
      </c>
      <c r="N431" s="168">
        <f t="shared" si="1"/>
        <v>0.34762390835885221</v>
      </c>
      <c r="O431" s="166">
        <v>17000</v>
      </c>
      <c r="P431" s="168">
        <f t="shared" si="2"/>
        <v>1.9280934558239763E-3</v>
      </c>
      <c r="Q431" s="166">
        <v>17000</v>
      </c>
    </row>
    <row r="432" spans="1:17" hidden="1" x14ac:dyDescent="0.25">
      <c r="A432" s="165" t="s">
        <v>711</v>
      </c>
      <c r="B432" s="165" t="s">
        <v>248</v>
      </c>
      <c r="C432" s="165" t="s">
        <v>249</v>
      </c>
      <c r="D432" s="165" t="s">
        <v>69</v>
      </c>
      <c r="E432" s="166">
        <v>236354526</v>
      </c>
      <c r="F432" s="166">
        <v>232014843</v>
      </c>
      <c r="G432" s="166">
        <v>230664701</v>
      </c>
      <c r="H432" s="166">
        <v>0</v>
      </c>
      <c r="I432" s="166">
        <v>77898794</v>
      </c>
      <c r="J432" s="166">
        <v>0</v>
      </c>
      <c r="K432" s="166">
        <v>149295638.5</v>
      </c>
      <c r="L432" s="167">
        <f t="shared" si="0"/>
        <v>0.64347451468870032</v>
      </c>
      <c r="M432" s="166">
        <v>149295638.5</v>
      </c>
      <c r="N432" s="168">
        <f t="shared" si="1"/>
        <v>0.64347451468870032</v>
      </c>
      <c r="O432" s="166">
        <v>4820410.5</v>
      </c>
      <c r="P432" s="168">
        <f t="shared" si="2"/>
        <v>2.0776302229939661E-2</v>
      </c>
      <c r="Q432" s="166">
        <v>3470268.5</v>
      </c>
    </row>
    <row r="433" spans="1:17" hidden="1" x14ac:dyDescent="0.25">
      <c r="A433" s="165" t="s">
        <v>711</v>
      </c>
      <c r="B433" s="165" t="s">
        <v>250</v>
      </c>
      <c r="C433" s="165" t="s">
        <v>251</v>
      </c>
      <c r="D433" s="165" t="s">
        <v>69</v>
      </c>
      <c r="E433" s="166">
        <v>180354526</v>
      </c>
      <c r="F433" s="166">
        <v>176014843</v>
      </c>
      <c r="G433" s="166">
        <v>174664701</v>
      </c>
      <c r="H433" s="166">
        <v>0</v>
      </c>
      <c r="I433" s="166">
        <v>77898794</v>
      </c>
      <c r="J433" s="166">
        <v>0</v>
      </c>
      <c r="K433" s="166">
        <v>96765907</v>
      </c>
      <c r="L433" s="167">
        <f t="shared" si="0"/>
        <v>0.54975992564445264</v>
      </c>
      <c r="M433" s="166">
        <v>96765907</v>
      </c>
      <c r="N433" s="168">
        <f t="shared" si="1"/>
        <v>0.54975992564445264</v>
      </c>
      <c r="O433" s="166">
        <v>1350142</v>
      </c>
      <c r="P433" s="168">
        <f t="shared" si="2"/>
        <v>7.6706144606225055E-3</v>
      </c>
      <c r="Q433" s="166">
        <v>0</v>
      </c>
    </row>
    <row r="434" spans="1:17" hidden="1" x14ac:dyDescent="0.25">
      <c r="A434" s="165" t="s">
        <v>711</v>
      </c>
      <c r="B434" s="165" t="s">
        <v>630</v>
      </c>
      <c r="C434" s="165" t="s">
        <v>702</v>
      </c>
      <c r="D434" s="165" t="s">
        <v>69</v>
      </c>
      <c r="E434" s="166">
        <v>153192762</v>
      </c>
      <c r="F434" s="166">
        <v>149506644</v>
      </c>
      <c r="G434" s="166">
        <v>148359836</v>
      </c>
      <c r="H434" s="166">
        <v>0</v>
      </c>
      <c r="I434" s="166">
        <v>66355362</v>
      </c>
      <c r="J434" s="166">
        <v>0</v>
      </c>
      <c r="K434" s="166">
        <v>82004474</v>
      </c>
      <c r="L434" s="167">
        <f t="shared" si="0"/>
        <v>0.54850053352812866</v>
      </c>
      <c r="M434" s="166">
        <v>82004474</v>
      </c>
      <c r="N434" s="168">
        <f t="shared" si="1"/>
        <v>0.54850053352812866</v>
      </c>
      <c r="O434" s="166">
        <v>1146808</v>
      </c>
      <c r="P434" s="168">
        <f t="shared" si="2"/>
        <v>7.6706156282927464E-3</v>
      </c>
      <c r="Q434" s="166">
        <v>0</v>
      </c>
    </row>
    <row r="435" spans="1:17" hidden="1" x14ac:dyDescent="0.25">
      <c r="A435" s="165" t="s">
        <v>711</v>
      </c>
      <c r="B435" s="165" t="s">
        <v>645</v>
      </c>
      <c r="C435" s="165" t="s">
        <v>703</v>
      </c>
      <c r="D435" s="165" t="s">
        <v>69</v>
      </c>
      <c r="E435" s="166">
        <v>27161764</v>
      </c>
      <c r="F435" s="166">
        <v>26508199</v>
      </c>
      <c r="G435" s="166">
        <v>26304865</v>
      </c>
      <c r="H435" s="166">
        <v>0</v>
      </c>
      <c r="I435" s="166">
        <v>11543432</v>
      </c>
      <c r="J435" s="166">
        <v>0</v>
      </c>
      <c r="K435" s="166">
        <v>14761433</v>
      </c>
      <c r="L435" s="167">
        <f t="shared" si="0"/>
        <v>0.55686291626224782</v>
      </c>
      <c r="M435" s="166">
        <v>14761433</v>
      </c>
      <c r="N435" s="168">
        <f t="shared" si="1"/>
        <v>0.55686291626224782</v>
      </c>
      <c r="O435" s="166">
        <v>203334</v>
      </c>
      <c r="P435" s="168">
        <f t="shared" si="2"/>
        <v>7.6706078749446543E-3</v>
      </c>
      <c r="Q435" s="166">
        <v>0</v>
      </c>
    </row>
    <row r="436" spans="1:17" hidden="1" x14ac:dyDescent="0.25">
      <c r="A436" s="165" t="s">
        <v>711</v>
      </c>
      <c r="B436" s="165" t="s">
        <v>260</v>
      </c>
      <c r="C436" s="165" t="s">
        <v>261</v>
      </c>
      <c r="D436" s="165" t="s">
        <v>69</v>
      </c>
      <c r="E436" s="166">
        <v>56000000</v>
      </c>
      <c r="F436" s="166">
        <v>56000000</v>
      </c>
      <c r="G436" s="166">
        <v>56000000</v>
      </c>
      <c r="H436" s="166">
        <v>0</v>
      </c>
      <c r="I436" s="166">
        <v>0</v>
      </c>
      <c r="J436" s="166">
        <v>0</v>
      </c>
      <c r="K436" s="166">
        <v>52529731.5</v>
      </c>
      <c r="L436" s="167">
        <f t="shared" si="0"/>
        <v>0.93803091964285712</v>
      </c>
      <c r="M436" s="166">
        <v>52529731.5</v>
      </c>
      <c r="N436" s="168">
        <f t="shared" si="1"/>
        <v>0.93803091964285712</v>
      </c>
      <c r="O436" s="166">
        <v>3470268.5</v>
      </c>
      <c r="P436" s="168">
        <f t="shared" si="2"/>
        <v>6.196908035714286E-2</v>
      </c>
      <c r="Q436" s="166">
        <v>3470268.5</v>
      </c>
    </row>
    <row r="437" spans="1:17" hidden="1" x14ac:dyDescent="0.25">
      <c r="A437" s="165" t="s">
        <v>711</v>
      </c>
      <c r="B437" s="165" t="s">
        <v>264</v>
      </c>
      <c r="C437" s="165" t="s">
        <v>265</v>
      </c>
      <c r="D437" s="165" t="s">
        <v>69</v>
      </c>
      <c r="E437" s="166">
        <v>56000000</v>
      </c>
      <c r="F437" s="166">
        <v>56000000</v>
      </c>
      <c r="G437" s="166">
        <v>56000000</v>
      </c>
      <c r="H437" s="166">
        <v>0</v>
      </c>
      <c r="I437" s="166">
        <v>0</v>
      </c>
      <c r="J437" s="166">
        <v>0</v>
      </c>
      <c r="K437" s="166">
        <v>52529731.5</v>
      </c>
      <c r="L437" s="167">
        <f t="shared" si="0"/>
        <v>0.93803091964285712</v>
      </c>
      <c r="M437" s="166">
        <v>52529731.5</v>
      </c>
      <c r="N437" s="168">
        <f t="shared" si="1"/>
        <v>0.93803091964285712</v>
      </c>
      <c r="O437" s="166">
        <v>3470268.5</v>
      </c>
      <c r="P437" s="168">
        <f t="shared" si="2"/>
        <v>6.196908035714286E-2</v>
      </c>
      <c r="Q437" s="166">
        <v>3470268.5</v>
      </c>
    </row>
    <row r="438" spans="1:17" hidden="1" x14ac:dyDescent="0.25">
      <c r="A438" s="165" t="s">
        <v>712</v>
      </c>
      <c r="B438" s="165"/>
      <c r="C438" s="165"/>
      <c r="D438" s="165" t="s">
        <v>69</v>
      </c>
      <c r="E438" s="166">
        <v>2218633702</v>
      </c>
      <c r="F438" s="166">
        <v>2188337693</v>
      </c>
      <c r="G438" s="166">
        <v>1987428357.5</v>
      </c>
      <c r="H438" s="166">
        <v>12631802.35</v>
      </c>
      <c r="I438" s="166">
        <v>228135460.08000001</v>
      </c>
      <c r="J438" s="166">
        <v>12293578.07</v>
      </c>
      <c r="K438" s="166">
        <v>1145464304.22</v>
      </c>
      <c r="L438" s="167">
        <f t="shared" si="0"/>
        <v>0.52344037571718605</v>
      </c>
      <c r="M438" s="166">
        <v>1113782374.22</v>
      </c>
      <c r="N438" s="168">
        <f t="shared" si="1"/>
        <v>0.50896275185623285</v>
      </c>
      <c r="O438" s="166">
        <v>789812548.27999997</v>
      </c>
      <c r="P438" s="168">
        <f t="shared" si="2"/>
        <v>0.3609189526856082</v>
      </c>
      <c r="Q438" s="166">
        <v>588903212.77999997</v>
      </c>
    </row>
    <row r="439" spans="1:17" hidden="1" x14ac:dyDescent="0.25">
      <c r="A439" s="165" t="s">
        <v>712</v>
      </c>
      <c r="B439" s="165" t="s">
        <v>71</v>
      </c>
      <c r="C439" s="165" t="s">
        <v>72</v>
      </c>
      <c r="D439" s="165" t="s">
        <v>69</v>
      </c>
      <c r="E439" s="166">
        <v>1258145726</v>
      </c>
      <c r="F439" s="166">
        <v>1228348840</v>
      </c>
      <c r="G439" s="166">
        <v>1219624729</v>
      </c>
      <c r="H439" s="166">
        <v>0</v>
      </c>
      <c r="I439" s="166">
        <v>73925001</v>
      </c>
      <c r="J439" s="166">
        <v>0</v>
      </c>
      <c r="K439" s="166">
        <v>751485932.44000006</v>
      </c>
      <c r="L439" s="167">
        <f t="shared" si="0"/>
        <v>0.61178543746579361</v>
      </c>
      <c r="M439" s="166">
        <v>751485932.44000006</v>
      </c>
      <c r="N439" s="168">
        <f t="shared" si="1"/>
        <v>0.61178543746579361</v>
      </c>
      <c r="O439" s="166">
        <v>402937906.56</v>
      </c>
      <c r="P439" s="168">
        <f t="shared" si="2"/>
        <v>0.32803214643814049</v>
      </c>
      <c r="Q439" s="166">
        <v>394213795.56</v>
      </c>
    </row>
    <row r="440" spans="1:17" hidden="1" x14ac:dyDescent="0.25">
      <c r="A440" s="165" t="s">
        <v>712</v>
      </c>
      <c r="B440" s="165" t="s">
        <v>73</v>
      </c>
      <c r="C440" s="165" t="s">
        <v>74</v>
      </c>
      <c r="D440" s="165" t="s">
        <v>69</v>
      </c>
      <c r="E440" s="166">
        <v>493376624</v>
      </c>
      <c r="F440" s="166">
        <v>477092402</v>
      </c>
      <c r="G440" s="166">
        <v>477092402</v>
      </c>
      <c r="H440" s="166">
        <v>0</v>
      </c>
      <c r="I440" s="166">
        <v>0</v>
      </c>
      <c r="J440" s="166">
        <v>0</v>
      </c>
      <c r="K440" s="166">
        <v>303526032.37</v>
      </c>
      <c r="L440" s="167">
        <f t="shared" si="0"/>
        <v>0.6361996776674721</v>
      </c>
      <c r="M440" s="166">
        <v>303526032.37</v>
      </c>
      <c r="N440" s="168">
        <f t="shared" si="1"/>
        <v>0.6361996776674721</v>
      </c>
      <c r="O440" s="166">
        <v>173566369.63</v>
      </c>
      <c r="P440" s="168">
        <f t="shared" si="2"/>
        <v>0.36380032233252796</v>
      </c>
      <c r="Q440" s="166">
        <v>173566369.63</v>
      </c>
    </row>
    <row r="441" spans="1:17" hidden="1" x14ac:dyDescent="0.25">
      <c r="A441" s="165" t="s">
        <v>712</v>
      </c>
      <c r="B441" s="165" t="s">
        <v>75</v>
      </c>
      <c r="C441" s="165" t="s">
        <v>76</v>
      </c>
      <c r="D441" s="165" t="s">
        <v>69</v>
      </c>
      <c r="E441" s="166">
        <v>493376624</v>
      </c>
      <c r="F441" s="166">
        <v>477092402</v>
      </c>
      <c r="G441" s="166">
        <v>477092402</v>
      </c>
      <c r="H441" s="166">
        <v>0</v>
      </c>
      <c r="I441" s="166">
        <v>0</v>
      </c>
      <c r="J441" s="166">
        <v>0</v>
      </c>
      <c r="K441" s="166">
        <v>303526032.37</v>
      </c>
      <c r="L441" s="167">
        <f t="shared" si="0"/>
        <v>0.6361996776674721</v>
      </c>
      <c r="M441" s="166">
        <v>303526032.37</v>
      </c>
      <c r="N441" s="168">
        <f t="shared" si="1"/>
        <v>0.6361996776674721</v>
      </c>
      <c r="O441" s="166">
        <v>173566369.63</v>
      </c>
      <c r="P441" s="168">
        <f t="shared" si="2"/>
        <v>0.36380032233252796</v>
      </c>
      <c r="Q441" s="166">
        <v>173566369.63</v>
      </c>
    </row>
    <row r="442" spans="1:17" hidden="1" x14ac:dyDescent="0.25">
      <c r="A442" s="165" t="s">
        <v>712</v>
      </c>
      <c r="B442" s="165" t="s">
        <v>77</v>
      </c>
      <c r="C442" s="165" t="s">
        <v>78</v>
      </c>
      <c r="D442" s="165" t="s">
        <v>69</v>
      </c>
      <c r="E442" s="166">
        <v>572843880</v>
      </c>
      <c r="F442" s="166">
        <v>563876622</v>
      </c>
      <c r="G442" s="166">
        <v>556483341</v>
      </c>
      <c r="H442" s="166">
        <v>0</v>
      </c>
      <c r="I442" s="166">
        <v>0</v>
      </c>
      <c r="J442" s="166">
        <v>0</v>
      </c>
      <c r="K442" s="166">
        <v>335835915.06999999</v>
      </c>
      <c r="L442" s="167">
        <f t="shared" si="0"/>
        <v>0.59558403730027309</v>
      </c>
      <c r="M442" s="166">
        <v>335835915.06999999</v>
      </c>
      <c r="N442" s="168">
        <f t="shared" si="1"/>
        <v>0.59558403730027309</v>
      </c>
      <c r="O442" s="166">
        <v>228040706.93000001</v>
      </c>
      <c r="P442" s="168">
        <f t="shared" si="2"/>
        <v>0.40441596269972691</v>
      </c>
      <c r="Q442" s="166">
        <v>220647425.93000001</v>
      </c>
    </row>
    <row r="443" spans="1:17" hidden="1" x14ac:dyDescent="0.25">
      <c r="A443" s="165" t="s">
        <v>712</v>
      </c>
      <c r="B443" s="165" t="s">
        <v>79</v>
      </c>
      <c r="C443" s="165" t="s">
        <v>80</v>
      </c>
      <c r="D443" s="165" t="s">
        <v>69</v>
      </c>
      <c r="E443" s="166">
        <v>166263500</v>
      </c>
      <c r="F443" s="166">
        <v>166263500</v>
      </c>
      <c r="G443" s="166">
        <v>159438723</v>
      </c>
      <c r="H443" s="166">
        <v>0</v>
      </c>
      <c r="I443" s="166">
        <v>0</v>
      </c>
      <c r="J443" s="166">
        <v>0</v>
      </c>
      <c r="K443" s="166">
        <v>98680264.579999998</v>
      </c>
      <c r="L443" s="167">
        <f t="shared" si="0"/>
        <v>0.5935173058428338</v>
      </c>
      <c r="M443" s="166">
        <v>98680264.579999998</v>
      </c>
      <c r="N443" s="168">
        <f t="shared" si="1"/>
        <v>0.5935173058428338</v>
      </c>
      <c r="O443" s="166">
        <v>67583235.420000002</v>
      </c>
      <c r="P443" s="168">
        <f t="shared" si="2"/>
        <v>0.4064826941571662</v>
      </c>
      <c r="Q443" s="166">
        <v>60758458.420000002</v>
      </c>
    </row>
    <row r="444" spans="1:17" hidden="1" x14ac:dyDescent="0.25">
      <c r="A444" s="165" t="s">
        <v>712</v>
      </c>
      <c r="B444" s="165" t="s">
        <v>81</v>
      </c>
      <c r="C444" s="165" t="s">
        <v>82</v>
      </c>
      <c r="D444" s="165" t="s">
        <v>69</v>
      </c>
      <c r="E444" s="166">
        <v>139725380</v>
      </c>
      <c r="F444" s="166">
        <v>133724590</v>
      </c>
      <c r="G444" s="166">
        <v>133724590</v>
      </c>
      <c r="H444" s="166">
        <v>0</v>
      </c>
      <c r="I444" s="166">
        <v>0</v>
      </c>
      <c r="J444" s="166">
        <v>0</v>
      </c>
      <c r="K444" s="166">
        <v>97405802.950000003</v>
      </c>
      <c r="L444" s="167">
        <f t="shared" si="0"/>
        <v>0.72840606914554762</v>
      </c>
      <c r="M444" s="166">
        <v>97405802.950000003</v>
      </c>
      <c r="N444" s="168">
        <f t="shared" si="1"/>
        <v>0.72840606914554762</v>
      </c>
      <c r="O444" s="166">
        <v>36318787.049999997</v>
      </c>
      <c r="P444" s="168">
        <f t="shared" si="2"/>
        <v>0.27159393085445238</v>
      </c>
      <c r="Q444" s="166">
        <v>36318787.049999997</v>
      </c>
    </row>
    <row r="445" spans="1:17" x14ac:dyDescent="0.25">
      <c r="A445" s="165" t="s">
        <v>712</v>
      </c>
      <c r="B445" s="165" t="s">
        <v>83</v>
      </c>
      <c r="C445" s="165" t="s">
        <v>84</v>
      </c>
      <c r="D445" s="165" t="s">
        <v>85</v>
      </c>
      <c r="E445" s="166">
        <v>81986600</v>
      </c>
      <c r="F445" s="166">
        <v>80044896</v>
      </c>
      <c r="G445" s="166">
        <v>79476392</v>
      </c>
      <c r="H445" s="166">
        <v>0</v>
      </c>
      <c r="I445" s="166">
        <v>0</v>
      </c>
      <c r="J445" s="166">
        <v>0</v>
      </c>
      <c r="K445" s="166">
        <v>42483.31</v>
      </c>
      <c r="L445" s="167">
        <f t="shared" si="0"/>
        <v>5.3074352173560196E-4</v>
      </c>
      <c r="M445" s="166">
        <v>42483.31</v>
      </c>
      <c r="N445" s="168">
        <f t="shared" si="1"/>
        <v>5.3074352173560196E-4</v>
      </c>
      <c r="O445" s="166">
        <v>80002412.689999998</v>
      </c>
      <c r="P445" s="168">
        <f t="shared" si="2"/>
        <v>0.99946925647826435</v>
      </c>
      <c r="Q445" s="166">
        <v>79433908.689999998</v>
      </c>
    </row>
    <row r="446" spans="1:17" x14ac:dyDescent="0.25">
      <c r="A446" s="165" t="s">
        <v>712</v>
      </c>
      <c r="B446" s="165" t="s">
        <v>86</v>
      </c>
      <c r="C446" s="165" t="s">
        <v>87</v>
      </c>
      <c r="D446" s="165" t="s">
        <v>69</v>
      </c>
      <c r="E446" s="166">
        <v>75278800</v>
      </c>
      <c r="F446" s="166">
        <v>75278800</v>
      </c>
      <c r="G446" s="166">
        <v>75278800</v>
      </c>
      <c r="H446" s="166">
        <v>0</v>
      </c>
      <c r="I446" s="166">
        <v>0</v>
      </c>
      <c r="J446" s="166">
        <v>0</v>
      </c>
      <c r="K446" s="166">
        <v>63401849.280000001</v>
      </c>
      <c r="L446" s="167">
        <f t="shared" si="0"/>
        <v>0.84222715133609993</v>
      </c>
      <c r="M446" s="166">
        <v>63401849.280000001</v>
      </c>
      <c r="N446" s="168">
        <f t="shared" si="1"/>
        <v>0.84222715133609993</v>
      </c>
      <c r="O446" s="166">
        <v>11876950.720000001</v>
      </c>
      <c r="P446" s="168">
        <f t="shared" si="2"/>
        <v>0.15777284866390007</v>
      </c>
      <c r="Q446" s="166">
        <v>11876950.720000001</v>
      </c>
    </row>
    <row r="447" spans="1:17" hidden="1" x14ac:dyDescent="0.25">
      <c r="A447" s="165" t="s">
        <v>712</v>
      </c>
      <c r="B447" s="165" t="s">
        <v>88</v>
      </c>
      <c r="C447" s="165" t="s">
        <v>89</v>
      </c>
      <c r="D447" s="165" t="s">
        <v>69</v>
      </c>
      <c r="E447" s="166">
        <v>109589600</v>
      </c>
      <c r="F447" s="166">
        <v>108564836</v>
      </c>
      <c r="G447" s="166">
        <v>108564836</v>
      </c>
      <c r="H447" s="166">
        <v>0</v>
      </c>
      <c r="I447" s="166">
        <v>0</v>
      </c>
      <c r="J447" s="166">
        <v>0</v>
      </c>
      <c r="K447" s="166">
        <v>76305514.950000003</v>
      </c>
      <c r="L447" s="167">
        <f t="shared" si="0"/>
        <v>0.70285663168136692</v>
      </c>
      <c r="M447" s="166">
        <v>76305514.950000003</v>
      </c>
      <c r="N447" s="168">
        <f t="shared" si="1"/>
        <v>0.70285663168136692</v>
      </c>
      <c r="O447" s="166">
        <v>32259321.050000001</v>
      </c>
      <c r="P447" s="168">
        <f t="shared" si="2"/>
        <v>0.29714336831863314</v>
      </c>
      <c r="Q447" s="166">
        <v>32259321.050000001</v>
      </c>
    </row>
    <row r="448" spans="1:17" hidden="1" x14ac:dyDescent="0.25">
      <c r="A448" s="165" t="s">
        <v>712</v>
      </c>
      <c r="B448" s="165" t="s">
        <v>90</v>
      </c>
      <c r="C448" s="165" t="s">
        <v>91</v>
      </c>
      <c r="D448" s="165" t="s">
        <v>69</v>
      </c>
      <c r="E448" s="166">
        <v>95962711</v>
      </c>
      <c r="F448" s="166">
        <v>93690008</v>
      </c>
      <c r="G448" s="166">
        <v>93024593</v>
      </c>
      <c r="H448" s="166">
        <v>0</v>
      </c>
      <c r="I448" s="166">
        <v>36899362</v>
      </c>
      <c r="J448" s="166">
        <v>0</v>
      </c>
      <c r="K448" s="166">
        <v>56125231</v>
      </c>
      <c r="L448" s="167">
        <f t="shared" si="0"/>
        <v>0.59905247313032572</v>
      </c>
      <c r="M448" s="166">
        <v>56125231</v>
      </c>
      <c r="N448" s="168">
        <f t="shared" si="1"/>
        <v>0.59905247313032572</v>
      </c>
      <c r="O448" s="166">
        <v>665415</v>
      </c>
      <c r="P448" s="168">
        <f t="shared" si="2"/>
        <v>7.1023048690528447E-3</v>
      </c>
      <c r="Q448" s="166">
        <v>0</v>
      </c>
    </row>
    <row r="449" spans="1:17" hidden="1" x14ac:dyDescent="0.25">
      <c r="A449" s="165" t="s">
        <v>712</v>
      </c>
      <c r="B449" s="165" t="s">
        <v>422</v>
      </c>
      <c r="C449" s="165" t="s">
        <v>697</v>
      </c>
      <c r="D449" s="165" t="s">
        <v>69</v>
      </c>
      <c r="E449" s="166">
        <v>91041575</v>
      </c>
      <c r="F449" s="166">
        <v>88885421</v>
      </c>
      <c r="G449" s="166">
        <v>88254129</v>
      </c>
      <c r="H449" s="166">
        <v>0</v>
      </c>
      <c r="I449" s="166">
        <v>35007114</v>
      </c>
      <c r="J449" s="166">
        <v>0</v>
      </c>
      <c r="K449" s="166">
        <v>53247015</v>
      </c>
      <c r="L449" s="167">
        <f t="shared" si="0"/>
        <v>0.59905229002628002</v>
      </c>
      <c r="M449" s="166">
        <v>53247015</v>
      </c>
      <c r="N449" s="168">
        <f t="shared" si="1"/>
        <v>0.59905229002628002</v>
      </c>
      <c r="O449" s="166">
        <v>631292</v>
      </c>
      <c r="P449" s="168">
        <f t="shared" si="2"/>
        <v>7.1023120878282164E-3</v>
      </c>
      <c r="Q449" s="166">
        <v>0</v>
      </c>
    </row>
    <row r="450" spans="1:17" hidden="1" x14ac:dyDescent="0.25">
      <c r="A450" s="165" t="s">
        <v>712</v>
      </c>
      <c r="B450" s="165" t="s">
        <v>439</v>
      </c>
      <c r="C450" s="165" t="s">
        <v>95</v>
      </c>
      <c r="D450" s="165" t="s">
        <v>69</v>
      </c>
      <c r="E450" s="166">
        <v>4921136</v>
      </c>
      <c r="F450" s="166">
        <v>4804587</v>
      </c>
      <c r="G450" s="166">
        <v>4770464</v>
      </c>
      <c r="H450" s="166">
        <v>0</v>
      </c>
      <c r="I450" s="166">
        <v>1892248</v>
      </c>
      <c r="J450" s="166">
        <v>0</v>
      </c>
      <c r="K450" s="166">
        <v>2878216</v>
      </c>
      <c r="L450" s="167">
        <f t="shared" si="0"/>
        <v>0.5990558605765699</v>
      </c>
      <c r="M450" s="166">
        <v>2878216</v>
      </c>
      <c r="N450" s="168">
        <f t="shared" si="1"/>
        <v>0.5990558605765699</v>
      </c>
      <c r="O450" s="166">
        <v>34123</v>
      </c>
      <c r="P450" s="168">
        <f t="shared" si="2"/>
        <v>7.1021713208648321E-3</v>
      </c>
      <c r="Q450" s="166">
        <v>0</v>
      </c>
    </row>
    <row r="451" spans="1:17" hidden="1" x14ac:dyDescent="0.25">
      <c r="A451" s="165" t="s">
        <v>712</v>
      </c>
      <c r="B451" s="165" t="s">
        <v>96</v>
      </c>
      <c r="C451" s="165" t="s">
        <v>97</v>
      </c>
      <c r="D451" s="165" t="s">
        <v>69</v>
      </c>
      <c r="E451" s="166">
        <v>95962511</v>
      </c>
      <c r="F451" s="166">
        <v>93689808</v>
      </c>
      <c r="G451" s="166">
        <v>93024393</v>
      </c>
      <c r="H451" s="166">
        <v>0</v>
      </c>
      <c r="I451" s="166">
        <v>37025639</v>
      </c>
      <c r="J451" s="166">
        <v>0</v>
      </c>
      <c r="K451" s="166">
        <v>55998754</v>
      </c>
      <c r="L451" s="167">
        <f t="shared" si="0"/>
        <v>0.5977037971942476</v>
      </c>
      <c r="M451" s="166">
        <v>55998754</v>
      </c>
      <c r="N451" s="168">
        <f t="shared" si="1"/>
        <v>0.5977037971942476</v>
      </c>
      <c r="O451" s="166">
        <v>665415</v>
      </c>
      <c r="P451" s="168">
        <f t="shared" si="2"/>
        <v>7.10232003037086E-3</v>
      </c>
      <c r="Q451" s="166">
        <v>0</v>
      </c>
    </row>
    <row r="452" spans="1:17" hidden="1" x14ac:dyDescent="0.25">
      <c r="A452" s="165" t="s">
        <v>712</v>
      </c>
      <c r="B452" s="165" t="s">
        <v>457</v>
      </c>
      <c r="C452" s="165" t="s">
        <v>698</v>
      </c>
      <c r="D452" s="165" t="s">
        <v>69</v>
      </c>
      <c r="E452" s="166">
        <v>51672183</v>
      </c>
      <c r="F452" s="166">
        <v>50448420</v>
      </c>
      <c r="G452" s="166">
        <v>50090119</v>
      </c>
      <c r="H452" s="166">
        <v>0</v>
      </c>
      <c r="I452" s="166">
        <v>19995319</v>
      </c>
      <c r="J452" s="166">
        <v>0</v>
      </c>
      <c r="K452" s="166">
        <v>30094800</v>
      </c>
      <c r="L452" s="167">
        <f t="shared" si="0"/>
        <v>0.59654593741488826</v>
      </c>
      <c r="M452" s="166">
        <v>30094800</v>
      </c>
      <c r="N452" s="168">
        <f t="shared" si="1"/>
        <v>0.59654593741488826</v>
      </c>
      <c r="O452" s="166">
        <v>358301</v>
      </c>
      <c r="P452" s="168">
        <f t="shared" si="2"/>
        <v>7.1023235217277372E-3</v>
      </c>
      <c r="Q452" s="166">
        <v>0</v>
      </c>
    </row>
    <row r="453" spans="1:17" hidden="1" x14ac:dyDescent="0.25">
      <c r="A453" s="165" t="s">
        <v>712</v>
      </c>
      <c r="B453" s="165" t="s">
        <v>474</v>
      </c>
      <c r="C453" s="165" t="s">
        <v>699</v>
      </c>
      <c r="D453" s="165" t="s">
        <v>69</v>
      </c>
      <c r="E453" s="166">
        <v>14763409</v>
      </c>
      <c r="F453" s="166">
        <v>14413762</v>
      </c>
      <c r="G453" s="166">
        <v>14311391</v>
      </c>
      <c r="H453" s="166">
        <v>0</v>
      </c>
      <c r="I453" s="166">
        <v>5676740</v>
      </c>
      <c r="J453" s="166">
        <v>0</v>
      </c>
      <c r="K453" s="166">
        <v>8634651</v>
      </c>
      <c r="L453" s="167">
        <f t="shared" si="0"/>
        <v>0.59905602714960882</v>
      </c>
      <c r="M453" s="166">
        <v>8634651</v>
      </c>
      <c r="N453" s="168">
        <f t="shared" si="1"/>
        <v>0.59905602714960882</v>
      </c>
      <c r="O453" s="166">
        <v>102371</v>
      </c>
      <c r="P453" s="168">
        <f t="shared" si="2"/>
        <v>7.1023095844096771E-3</v>
      </c>
      <c r="Q453" s="166">
        <v>0</v>
      </c>
    </row>
    <row r="454" spans="1:17" hidden="1" x14ac:dyDescent="0.25">
      <c r="A454" s="165" t="s">
        <v>712</v>
      </c>
      <c r="B454" s="165" t="s">
        <v>491</v>
      </c>
      <c r="C454" s="165" t="s">
        <v>700</v>
      </c>
      <c r="D454" s="165" t="s">
        <v>69</v>
      </c>
      <c r="E454" s="166">
        <v>29526919</v>
      </c>
      <c r="F454" s="166">
        <v>28827626</v>
      </c>
      <c r="G454" s="166">
        <v>28622883</v>
      </c>
      <c r="H454" s="166">
        <v>0</v>
      </c>
      <c r="I454" s="166">
        <v>11353580</v>
      </c>
      <c r="J454" s="166">
        <v>0</v>
      </c>
      <c r="K454" s="166">
        <v>17269303</v>
      </c>
      <c r="L454" s="167">
        <f t="shared" si="0"/>
        <v>0.59905394221501274</v>
      </c>
      <c r="M454" s="166">
        <v>17269303</v>
      </c>
      <c r="N454" s="168">
        <f t="shared" si="1"/>
        <v>0.59905394221501274</v>
      </c>
      <c r="O454" s="166">
        <v>204743</v>
      </c>
      <c r="P454" s="168">
        <f t="shared" si="2"/>
        <v>7.1023191434494122E-3</v>
      </c>
      <c r="Q454" s="166">
        <v>0</v>
      </c>
    </row>
    <row r="455" spans="1:17" hidden="1" x14ac:dyDescent="0.25">
      <c r="A455" s="165" t="s">
        <v>712</v>
      </c>
      <c r="B455" s="165" t="s">
        <v>104</v>
      </c>
      <c r="C455" s="165" t="s">
        <v>105</v>
      </c>
      <c r="D455" s="165" t="s">
        <v>69</v>
      </c>
      <c r="E455" s="166">
        <v>306630000</v>
      </c>
      <c r="F455" s="166">
        <v>306606621</v>
      </c>
      <c r="G455" s="166">
        <v>269200762.5</v>
      </c>
      <c r="H455" s="166">
        <v>0</v>
      </c>
      <c r="I455" s="166">
        <v>44711720.219999999</v>
      </c>
      <c r="J455" s="166">
        <v>0</v>
      </c>
      <c r="K455" s="166">
        <v>216698287.34999999</v>
      </c>
      <c r="L455" s="167">
        <f t="shared" si="0"/>
        <v>0.7067632350639943</v>
      </c>
      <c r="M455" s="166">
        <v>185016357.34999999</v>
      </c>
      <c r="N455" s="168">
        <f t="shared" si="1"/>
        <v>0.60343236146227908</v>
      </c>
      <c r="O455" s="166">
        <v>45196613.43</v>
      </c>
      <c r="P455" s="168">
        <f t="shared" si="2"/>
        <v>0.1474091240514992</v>
      </c>
      <c r="Q455" s="166">
        <v>7790754.9299999997</v>
      </c>
    </row>
    <row r="456" spans="1:17" hidden="1" x14ac:dyDescent="0.25">
      <c r="A456" s="165" t="s">
        <v>712</v>
      </c>
      <c r="B456" s="165" t="s">
        <v>112</v>
      </c>
      <c r="C456" s="165" t="s">
        <v>113</v>
      </c>
      <c r="D456" s="165" t="s">
        <v>69</v>
      </c>
      <c r="E456" s="166">
        <v>291630000</v>
      </c>
      <c r="F456" s="166">
        <v>291640000</v>
      </c>
      <c r="G456" s="166">
        <v>254234141.5</v>
      </c>
      <c r="H456" s="166">
        <v>0</v>
      </c>
      <c r="I456" s="166">
        <v>30470758.77</v>
      </c>
      <c r="J456" s="166">
        <v>0</v>
      </c>
      <c r="K456" s="166">
        <v>216698287.34999999</v>
      </c>
      <c r="L456" s="167">
        <f t="shared" si="0"/>
        <v>0.74303349111918804</v>
      </c>
      <c r="M456" s="166">
        <v>185016357.34999999</v>
      </c>
      <c r="N456" s="168">
        <f t="shared" si="1"/>
        <v>0.63439979889589904</v>
      </c>
      <c r="O456" s="166">
        <v>44470953.880000003</v>
      </c>
      <c r="P456" s="168">
        <f t="shared" si="2"/>
        <v>0.15248578343162805</v>
      </c>
      <c r="Q456" s="166">
        <v>7065095.3799999999</v>
      </c>
    </row>
    <row r="457" spans="1:17" hidden="1" x14ac:dyDescent="0.25">
      <c r="A457" s="165" t="s">
        <v>712</v>
      </c>
      <c r="B457" s="165" t="s">
        <v>114</v>
      </c>
      <c r="C457" s="165" t="s">
        <v>115</v>
      </c>
      <c r="D457" s="165" t="s">
        <v>69</v>
      </c>
      <c r="E457" s="166">
        <v>221840000</v>
      </c>
      <c r="F457" s="166">
        <v>221840000</v>
      </c>
      <c r="G457" s="166">
        <v>199451641.5</v>
      </c>
      <c r="H457" s="166">
        <v>0</v>
      </c>
      <c r="I457" s="166">
        <v>15210696.119999999</v>
      </c>
      <c r="J457" s="166">
        <v>0</v>
      </c>
      <c r="K457" s="166">
        <v>181753350</v>
      </c>
      <c r="L457" s="167">
        <f t="shared" si="0"/>
        <v>0.81929926974395961</v>
      </c>
      <c r="M457" s="166">
        <v>150071420</v>
      </c>
      <c r="N457" s="168">
        <f t="shared" si="1"/>
        <v>0.67648494410385862</v>
      </c>
      <c r="O457" s="166">
        <v>24875953.879999999</v>
      </c>
      <c r="P457" s="168">
        <f t="shared" si="2"/>
        <v>0.11213466408222142</v>
      </c>
      <c r="Q457" s="166">
        <v>2487595.38</v>
      </c>
    </row>
    <row r="458" spans="1:17" hidden="1" x14ac:dyDescent="0.25">
      <c r="A458" s="165" t="s">
        <v>712</v>
      </c>
      <c r="B458" s="165" t="s">
        <v>116</v>
      </c>
      <c r="C458" s="165" t="s">
        <v>117</v>
      </c>
      <c r="D458" s="165" t="s">
        <v>69</v>
      </c>
      <c r="E458" s="166">
        <v>52200000</v>
      </c>
      <c r="F458" s="166">
        <v>52200000</v>
      </c>
      <c r="G458" s="166">
        <v>40455000</v>
      </c>
      <c r="H458" s="166">
        <v>0</v>
      </c>
      <c r="I458" s="166">
        <v>8712887.6500000004</v>
      </c>
      <c r="J458" s="166">
        <v>0</v>
      </c>
      <c r="K458" s="166">
        <v>30437112.350000001</v>
      </c>
      <c r="L458" s="167">
        <f t="shared" si="0"/>
        <v>0.58308644348659011</v>
      </c>
      <c r="M458" s="166">
        <v>30437112.350000001</v>
      </c>
      <c r="N458" s="168">
        <f t="shared" si="1"/>
        <v>0.58308644348659011</v>
      </c>
      <c r="O458" s="166">
        <v>13050000</v>
      </c>
      <c r="P458" s="168">
        <f t="shared" si="2"/>
        <v>0.25</v>
      </c>
      <c r="Q458" s="166">
        <v>1305000</v>
      </c>
    </row>
    <row r="459" spans="1:17" hidden="1" x14ac:dyDescent="0.25">
      <c r="A459" s="165" t="s">
        <v>712</v>
      </c>
      <c r="B459" s="165" t="s">
        <v>120</v>
      </c>
      <c r="C459" s="165" t="s">
        <v>121</v>
      </c>
      <c r="D459" s="165" t="s">
        <v>69</v>
      </c>
      <c r="E459" s="166">
        <v>13090000</v>
      </c>
      <c r="F459" s="166">
        <v>13090000</v>
      </c>
      <c r="G459" s="166">
        <v>9817500</v>
      </c>
      <c r="H459" s="166">
        <v>0</v>
      </c>
      <c r="I459" s="166">
        <v>6545000</v>
      </c>
      <c r="J459" s="166">
        <v>0</v>
      </c>
      <c r="K459" s="166">
        <v>0</v>
      </c>
      <c r="L459" s="167">
        <f t="shared" si="0"/>
        <v>0</v>
      </c>
      <c r="M459" s="166">
        <v>0</v>
      </c>
      <c r="N459" s="168">
        <f t="shared" si="1"/>
        <v>0</v>
      </c>
      <c r="O459" s="166">
        <v>6545000</v>
      </c>
      <c r="P459" s="168">
        <f t="shared" si="2"/>
        <v>0.5</v>
      </c>
      <c r="Q459" s="166">
        <v>3272500</v>
      </c>
    </row>
    <row r="460" spans="1:17" hidden="1" x14ac:dyDescent="0.25">
      <c r="A460" s="165" t="s">
        <v>712</v>
      </c>
      <c r="B460" s="165" t="s">
        <v>122</v>
      </c>
      <c r="C460" s="165" t="s">
        <v>123</v>
      </c>
      <c r="D460" s="165" t="s">
        <v>69</v>
      </c>
      <c r="E460" s="166">
        <v>4500000</v>
      </c>
      <c r="F460" s="166">
        <v>4510000</v>
      </c>
      <c r="G460" s="166">
        <v>4510000</v>
      </c>
      <c r="H460" s="166">
        <v>0</v>
      </c>
      <c r="I460" s="166">
        <v>2175</v>
      </c>
      <c r="J460" s="166">
        <v>0</v>
      </c>
      <c r="K460" s="166">
        <v>4507825</v>
      </c>
      <c r="L460" s="167">
        <f t="shared" si="0"/>
        <v>0.99951773835920177</v>
      </c>
      <c r="M460" s="166">
        <v>4507825</v>
      </c>
      <c r="N460" s="168">
        <f t="shared" si="1"/>
        <v>0.99951773835920177</v>
      </c>
      <c r="O460" s="166">
        <v>0</v>
      </c>
      <c r="P460" s="168">
        <f t="shared" si="2"/>
        <v>0</v>
      </c>
      <c r="Q460" s="166">
        <v>0</v>
      </c>
    </row>
    <row r="461" spans="1:17" hidden="1" x14ac:dyDescent="0.25">
      <c r="A461" s="165" t="s">
        <v>712</v>
      </c>
      <c r="B461" s="165" t="s">
        <v>162</v>
      </c>
      <c r="C461" s="165" t="s">
        <v>163</v>
      </c>
      <c r="D461" s="165" t="s">
        <v>69</v>
      </c>
      <c r="E461" s="166">
        <v>15000000</v>
      </c>
      <c r="F461" s="166">
        <v>14966621</v>
      </c>
      <c r="G461" s="166">
        <v>14966621</v>
      </c>
      <c r="H461" s="166">
        <v>0</v>
      </c>
      <c r="I461" s="166">
        <v>14240961.449999999</v>
      </c>
      <c r="J461" s="166">
        <v>0</v>
      </c>
      <c r="K461" s="166">
        <v>0</v>
      </c>
      <c r="L461" s="167">
        <f t="shared" si="0"/>
        <v>0</v>
      </c>
      <c r="M461" s="166">
        <v>0</v>
      </c>
      <c r="N461" s="168">
        <f t="shared" si="1"/>
        <v>0</v>
      </c>
      <c r="O461" s="166">
        <v>725659.55</v>
      </c>
      <c r="P461" s="168">
        <f t="shared" si="2"/>
        <v>4.848519582342601E-2</v>
      </c>
      <c r="Q461" s="166">
        <v>725659.55</v>
      </c>
    </row>
    <row r="462" spans="1:17" hidden="1" x14ac:dyDescent="0.25">
      <c r="A462" s="165" t="s">
        <v>712</v>
      </c>
      <c r="B462" s="165" t="s">
        <v>164</v>
      </c>
      <c r="C462" s="165" t="s">
        <v>165</v>
      </c>
      <c r="D462" s="165" t="s">
        <v>69</v>
      </c>
      <c r="E462" s="166">
        <v>15000000</v>
      </c>
      <c r="F462" s="166">
        <v>14966621</v>
      </c>
      <c r="G462" s="166">
        <v>14966621</v>
      </c>
      <c r="H462" s="166">
        <v>0</v>
      </c>
      <c r="I462" s="166">
        <v>14240961.449999999</v>
      </c>
      <c r="J462" s="166">
        <v>0</v>
      </c>
      <c r="K462" s="166">
        <v>0</v>
      </c>
      <c r="L462" s="167">
        <f t="shared" si="0"/>
        <v>0</v>
      </c>
      <c r="M462" s="166">
        <v>0</v>
      </c>
      <c r="N462" s="168">
        <f t="shared" si="1"/>
        <v>0</v>
      </c>
      <c r="O462" s="166">
        <v>725659.55</v>
      </c>
      <c r="P462" s="168">
        <f t="shared" si="2"/>
        <v>4.848519582342601E-2</v>
      </c>
      <c r="Q462" s="166">
        <v>725659.55</v>
      </c>
    </row>
    <row r="463" spans="1:17" hidden="1" x14ac:dyDescent="0.25">
      <c r="A463" s="165" t="s">
        <v>712</v>
      </c>
      <c r="B463" s="165" t="s">
        <v>184</v>
      </c>
      <c r="C463" s="165" t="s">
        <v>185</v>
      </c>
      <c r="D463" s="165" t="s">
        <v>69</v>
      </c>
      <c r="E463" s="166">
        <v>621407272</v>
      </c>
      <c r="F463" s="166">
        <v>621318468</v>
      </c>
      <c r="G463" s="166">
        <v>466652393</v>
      </c>
      <c r="H463" s="166">
        <v>12631802.35</v>
      </c>
      <c r="I463" s="166">
        <v>103089967.86</v>
      </c>
      <c r="J463" s="166">
        <v>12293578.07</v>
      </c>
      <c r="K463" s="166">
        <v>158976093.43000001</v>
      </c>
      <c r="L463" s="167">
        <f t="shared" si="0"/>
        <v>0.25586893295114482</v>
      </c>
      <c r="M463" s="166">
        <v>158976093.43000001</v>
      </c>
      <c r="N463" s="168">
        <f t="shared" si="1"/>
        <v>0.25586893295114482</v>
      </c>
      <c r="O463" s="166">
        <v>334327026.29000002</v>
      </c>
      <c r="P463" s="168">
        <f t="shared" si="2"/>
        <v>0.53809285174829213</v>
      </c>
      <c r="Q463" s="166">
        <v>179660951.28999999</v>
      </c>
    </row>
    <row r="464" spans="1:17" hidden="1" x14ac:dyDescent="0.25">
      <c r="A464" s="165" t="s">
        <v>712</v>
      </c>
      <c r="B464" s="165" t="s">
        <v>186</v>
      </c>
      <c r="C464" s="165" t="s">
        <v>187</v>
      </c>
      <c r="D464" s="165" t="s">
        <v>69</v>
      </c>
      <c r="E464" s="166">
        <v>25251750</v>
      </c>
      <c r="F464" s="166">
        <v>25251750</v>
      </c>
      <c r="G464" s="166">
        <v>16497563</v>
      </c>
      <c r="H464" s="166">
        <v>441771.7</v>
      </c>
      <c r="I464" s="166">
        <v>0</v>
      </c>
      <c r="J464" s="166">
        <v>0</v>
      </c>
      <c r="K464" s="166">
        <v>0</v>
      </c>
      <c r="L464" s="167">
        <f t="shared" si="0"/>
        <v>0</v>
      </c>
      <c r="M464" s="166">
        <v>0</v>
      </c>
      <c r="N464" s="168">
        <f t="shared" si="1"/>
        <v>0</v>
      </c>
      <c r="O464" s="166">
        <v>24809978.300000001</v>
      </c>
      <c r="P464" s="168">
        <f t="shared" si="2"/>
        <v>0.98250530359282029</v>
      </c>
      <c r="Q464" s="166">
        <v>16055791.300000001</v>
      </c>
    </row>
    <row r="465" spans="1:17" x14ac:dyDescent="0.25">
      <c r="A465" s="165" t="s">
        <v>712</v>
      </c>
      <c r="B465" s="165" t="s">
        <v>188</v>
      </c>
      <c r="C465" s="165" t="s">
        <v>189</v>
      </c>
      <c r="D465" s="165" t="s">
        <v>69</v>
      </c>
      <c r="E465" s="166">
        <v>24819750</v>
      </c>
      <c r="F465" s="166">
        <v>24819750</v>
      </c>
      <c r="G465" s="166">
        <v>16065563</v>
      </c>
      <c r="H465" s="166">
        <v>10398</v>
      </c>
      <c r="I465" s="166">
        <v>0</v>
      </c>
      <c r="J465" s="166">
        <v>0</v>
      </c>
      <c r="K465" s="166">
        <v>0</v>
      </c>
      <c r="L465" s="167">
        <f t="shared" si="0"/>
        <v>0</v>
      </c>
      <c r="M465" s="166">
        <v>0</v>
      </c>
      <c r="N465" s="168">
        <f t="shared" si="1"/>
        <v>0</v>
      </c>
      <c r="O465" s="166">
        <v>24809352</v>
      </c>
      <c r="P465" s="168">
        <f t="shared" si="2"/>
        <v>0.99958105943855191</v>
      </c>
      <c r="Q465" s="166">
        <v>16055165</v>
      </c>
    </row>
    <row r="466" spans="1:17" hidden="1" x14ac:dyDescent="0.25">
      <c r="A466" s="165" t="s">
        <v>712</v>
      </c>
      <c r="B466" s="165" t="s">
        <v>190</v>
      </c>
      <c r="C466" s="165" t="s">
        <v>191</v>
      </c>
      <c r="D466" s="165" t="s">
        <v>69</v>
      </c>
      <c r="E466" s="166">
        <v>197000</v>
      </c>
      <c r="F466" s="166">
        <v>432000</v>
      </c>
      <c r="G466" s="166">
        <v>432000</v>
      </c>
      <c r="H466" s="166">
        <v>431373.7</v>
      </c>
      <c r="I466" s="166">
        <v>0</v>
      </c>
      <c r="J466" s="166">
        <v>0</v>
      </c>
      <c r="K466" s="166">
        <v>0</v>
      </c>
      <c r="L466" s="167">
        <f t="shared" si="0"/>
        <v>0</v>
      </c>
      <c r="M466" s="166">
        <v>0</v>
      </c>
      <c r="N466" s="168">
        <f t="shared" si="1"/>
        <v>0</v>
      </c>
      <c r="O466" s="166">
        <v>626.29999999999995</v>
      </c>
      <c r="P466" s="168">
        <f t="shared" si="2"/>
        <v>1.4497685185185184E-3</v>
      </c>
      <c r="Q466" s="166">
        <v>626.29999999999995</v>
      </c>
    </row>
    <row r="467" spans="1:17" hidden="1" x14ac:dyDescent="0.25">
      <c r="A467" s="165" t="s">
        <v>712</v>
      </c>
      <c r="B467" s="165" t="s">
        <v>194</v>
      </c>
      <c r="C467" s="165" t="s">
        <v>195</v>
      </c>
      <c r="D467" s="165" t="s">
        <v>69</v>
      </c>
      <c r="E467" s="166">
        <v>235000</v>
      </c>
      <c r="F467" s="166">
        <v>0</v>
      </c>
      <c r="G467" s="166">
        <v>0</v>
      </c>
      <c r="H467" s="166">
        <v>0</v>
      </c>
      <c r="I467" s="166">
        <v>0</v>
      </c>
      <c r="J467" s="166">
        <v>0</v>
      </c>
      <c r="K467" s="166">
        <v>0</v>
      </c>
      <c r="L467" s="167" t="e">
        <f t="shared" si="0"/>
        <v>#DIV/0!</v>
      </c>
      <c r="M467" s="166">
        <v>0</v>
      </c>
      <c r="N467" s="168" t="e">
        <f t="shared" si="1"/>
        <v>#DIV/0!</v>
      </c>
      <c r="O467" s="166">
        <v>0</v>
      </c>
      <c r="P467" s="168" t="e">
        <f t="shared" si="2"/>
        <v>#DIV/0!</v>
      </c>
      <c r="Q467" s="166">
        <v>0</v>
      </c>
    </row>
    <row r="468" spans="1:17" hidden="1" x14ac:dyDescent="0.25">
      <c r="A468" s="165" t="s">
        <v>712</v>
      </c>
      <c r="B468" s="165" t="s">
        <v>196</v>
      </c>
      <c r="C468" s="165" t="s">
        <v>197</v>
      </c>
      <c r="D468" s="165" t="s">
        <v>69</v>
      </c>
      <c r="E468" s="166">
        <v>582942552</v>
      </c>
      <c r="F468" s="166">
        <v>582942552</v>
      </c>
      <c r="G468" s="166">
        <v>437030664</v>
      </c>
      <c r="H468" s="166">
        <v>10801818.48</v>
      </c>
      <c r="I468" s="166">
        <v>100809030.09</v>
      </c>
      <c r="J468" s="166">
        <v>12293578.07</v>
      </c>
      <c r="K468" s="166">
        <v>151226807.68000001</v>
      </c>
      <c r="L468" s="167">
        <f t="shared" si="0"/>
        <v>0.25941974412600438</v>
      </c>
      <c r="M468" s="166">
        <v>151226807.68000001</v>
      </c>
      <c r="N468" s="168">
        <f t="shared" si="1"/>
        <v>0.25941974412600438</v>
      </c>
      <c r="O468" s="166">
        <v>307811317.68000001</v>
      </c>
      <c r="P468" s="168">
        <f t="shared" si="2"/>
        <v>0.52803027781029099</v>
      </c>
      <c r="Q468" s="166">
        <v>161899429.68000001</v>
      </c>
    </row>
    <row r="469" spans="1:17" hidden="1" x14ac:dyDescent="0.25">
      <c r="A469" s="165" t="s">
        <v>712</v>
      </c>
      <c r="B469" s="165" t="s">
        <v>198</v>
      </c>
      <c r="C469" s="165" t="s">
        <v>199</v>
      </c>
      <c r="D469" s="165" t="s">
        <v>69</v>
      </c>
      <c r="E469" s="166">
        <v>582942552</v>
      </c>
      <c r="F469" s="166">
        <v>582942552</v>
      </c>
      <c r="G469" s="166">
        <v>437030664</v>
      </c>
      <c r="H469" s="166">
        <v>10801818.48</v>
      </c>
      <c r="I469" s="166">
        <v>100809030.09</v>
      </c>
      <c r="J469" s="166">
        <v>12293578.07</v>
      </c>
      <c r="K469" s="166">
        <v>151226807.68000001</v>
      </c>
      <c r="L469" s="167">
        <f t="shared" si="0"/>
        <v>0.25941974412600438</v>
      </c>
      <c r="M469" s="166">
        <v>151226807.68000001</v>
      </c>
      <c r="N469" s="168">
        <f t="shared" si="1"/>
        <v>0.25941974412600438</v>
      </c>
      <c r="O469" s="166">
        <v>307811317.68000001</v>
      </c>
      <c r="P469" s="168">
        <f t="shared" si="2"/>
        <v>0.52803027781029099</v>
      </c>
      <c r="Q469" s="166">
        <v>161899429.68000001</v>
      </c>
    </row>
    <row r="470" spans="1:17" hidden="1" x14ac:dyDescent="0.25">
      <c r="A470" s="165" t="s">
        <v>712</v>
      </c>
      <c r="B470" s="165" t="s">
        <v>206</v>
      </c>
      <c r="C470" s="165" t="s">
        <v>207</v>
      </c>
      <c r="D470" s="165" t="s">
        <v>69</v>
      </c>
      <c r="E470" s="166">
        <v>367200</v>
      </c>
      <c r="F470" s="166">
        <v>367200</v>
      </c>
      <c r="G470" s="166">
        <v>367200</v>
      </c>
      <c r="H470" s="166">
        <v>0</v>
      </c>
      <c r="I470" s="166">
        <v>0</v>
      </c>
      <c r="J470" s="166">
        <v>0</v>
      </c>
      <c r="K470" s="166">
        <v>0</v>
      </c>
      <c r="L470" s="167">
        <f t="shared" si="0"/>
        <v>0</v>
      </c>
      <c r="M470" s="166">
        <v>0</v>
      </c>
      <c r="N470" s="168">
        <f t="shared" si="1"/>
        <v>0</v>
      </c>
      <c r="O470" s="166">
        <v>367200</v>
      </c>
      <c r="P470" s="168">
        <f t="shared" si="2"/>
        <v>1</v>
      </c>
      <c r="Q470" s="166">
        <v>367200</v>
      </c>
    </row>
    <row r="471" spans="1:17" x14ac:dyDescent="0.25">
      <c r="A471" s="165" t="s">
        <v>712</v>
      </c>
      <c r="B471" s="165" t="s">
        <v>208</v>
      </c>
      <c r="C471" s="165" t="s">
        <v>209</v>
      </c>
      <c r="D471" s="165" t="s">
        <v>69</v>
      </c>
      <c r="E471" s="166">
        <v>367200</v>
      </c>
      <c r="F471" s="166">
        <v>367200</v>
      </c>
      <c r="G471" s="166">
        <v>367200</v>
      </c>
      <c r="H471" s="166">
        <v>0</v>
      </c>
      <c r="I471" s="166">
        <v>0</v>
      </c>
      <c r="J471" s="166">
        <v>0</v>
      </c>
      <c r="K471" s="166">
        <v>0</v>
      </c>
      <c r="L471" s="167">
        <f t="shared" si="0"/>
        <v>0</v>
      </c>
      <c r="M471" s="166">
        <v>0</v>
      </c>
      <c r="N471" s="168">
        <f t="shared" si="1"/>
        <v>0</v>
      </c>
      <c r="O471" s="166">
        <v>367200</v>
      </c>
      <c r="P471" s="168">
        <f t="shared" si="2"/>
        <v>1</v>
      </c>
      <c r="Q471" s="166">
        <v>367200</v>
      </c>
    </row>
    <row r="472" spans="1:17" hidden="1" x14ac:dyDescent="0.25">
      <c r="A472" s="165" t="s">
        <v>712</v>
      </c>
      <c r="B472" s="165" t="s">
        <v>354</v>
      </c>
      <c r="C472" s="165" t="s">
        <v>355</v>
      </c>
      <c r="D472" s="165" t="s">
        <v>69</v>
      </c>
      <c r="E472" s="166">
        <v>6280000</v>
      </c>
      <c r="F472" s="166">
        <v>6277196</v>
      </c>
      <c r="G472" s="166">
        <v>6277196</v>
      </c>
      <c r="H472" s="166">
        <v>0</v>
      </c>
      <c r="I472" s="166">
        <v>0</v>
      </c>
      <c r="J472" s="166">
        <v>0</v>
      </c>
      <c r="K472" s="166">
        <v>6277195.2000000002</v>
      </c>
      <c r="L472" s="167">
        <f t="shared" si="0"/>
        <v>0.99999987255456102</v>
      </c>
      <c r="M472" s="166">
        <v>6277195.2000000002</v>
      </c>
      <c r="N472" s="168">
        <f t="shared" si="1"/>
        <v>0.99999987255456102</v>
      </c>
      <c r="O472" s="166">
        <v>0.8</v>
      </c>
      <c r="P472" s="168">
        <f t="shared" si="2"/>
        <v>1.2744543901448992E-7</v>
      </c>
      <c r="Q472" s="166">
        <v>0.8</v>
      </c>
    </row>
    <row r="473" spans="1:17" hidden="1" x14ac:dyDescent="0.25">
      <c r="A473" s="165" t="s">
        <v>712</v>
      </c>
      <c r="B473" s="165" t="s">
        <v>356</v>
      </c>
      <c r="C473" s="165" t="s">
        <v>357</v>
      </c>
      <c r="D473" s="165" t="s">
        <v>69</v>
      </c>
      <c r="E473" s="166">
        <v>6280000</v>
      </c>
      <c r="F473" s="166">
        <v>6277196</v>
      </c>
      <c r="G473" s="166">
        <v>6277196</v>
      </c>
      <c r="H473" s="166">
        <v>0</v>
      </c>
      <c r="I473" s="166">
        <v>0</v>
      </c>
      <c r="J473" s="166">
        <v>0</v>
      </c>
      <c r="K473" s="166">
        <v>6277195.2000000002</v>
      </c>
      <c r="L473" s="167">
        <f t="shared" si="0"/>
        <v>0.99999987255456102</v>
      </c>
      <c r="M473" s="166">
        <v>6277195.2000000002</v>
      </c>
      <c r="N473" s="168">
        <f t="shared" si="1"/>
        <v>0.99999987255456102</v>
      </c>
      <c r="O473" s="166">
        <v>0.8</v>
      </c>
      <c r="P473" s="168">
        <f t="shared" si="2"/>
        <v>1.2744543901448992E-7</v>
      </c>
      <c r="Q473" s="166">
        <v>0.8</v>
      </c>
    </row>
    <row r="474" spans="1:17" hidden="1" x14ac:dyDescent="0.25">
      <c r="A474" s="165" t="s">
        <v>712</v>
      </c>
      <c r="B474" s="165" t="s">
        <v>212</v>
      </c>
      <c r="C474" s="165" t="s">
        <v>213</v>
      </c>
      <c r="D474" s="165" t="s">
        <v>69</v>
      </c>
      <c r="E474" s="166">
        <v>6565770</v>
      </c>
      <c r="F474" s="166">
        <v>6479770</v>
      </c>
      <c r="G474" s="166">
        <v>6479770</v>
      </c>
      <c r="H474" s="166">
        <v>1388212.17</v>
      </c>
      <c r="I474" s="166">
        <v>2280937.77</v>
      </c>
      <c r="J474" s="166">
        <v>0</v>
      </c>
      <c r="K474" s="166">
        <v>1472090.55</v>
      </c>
      <c r="L474" s="167">
        <f t="shared" si="0"/>
        <v>0.22718253117008783</v>
      </c>
      <c r="M474" s="166">
        <v>1472090.55</v>
      </c>
      <c r="N474" s="168">
        <f t="shared" si="1"/>
        <v>0.22718253117008783</v>
      </c>
      <c r="O474" s="166">
        <v>1338529.51</v>
      </c>
      <c r="P474" s="168">
        <f t="shared" si="2"/>
        <v>0.2065705279662704</v>
      </c>
      <c r="Q474" s="166">
        <v>1338529.51</v>
      </c>
    </row>
    <row r="475" spans="1:17" hidden="1" x14ac:dyDescent="0.25">
      <c r="A475" s="165" t="s">
        <v>712</v>
      </c>
      <c r="B475" s="165" t="s">
        <v>216</v>
      </c>
      <c r="C475" s="165" t="s">
        <v>217</v>
      </c>
      <c r="D475" s="165" t="s">
        <v>69</v>
      </c>
      <c r="E475" s="166">
        <v>1076170</v>
      </c>
      <c r="F475" s="166">
        <v>1076170</v>
      </c>
      <c r="G475" s="166">
        <v>1076170</v>
      </c>
      <c r="H475" s="166">
        <v>1036057.93</v>
      </c>
      <c r="I475" s="166">
        <v>0</v>
      </c>
      <c r="J475" s="166">
        <v>0</v>
      </c>
      <c r="K475" s="166">
        <v>0</v>
      </c>
      <c r="L475" s="167">
        <f t="shared" si="0"/>
        <v>0</v>
      </c>
      <c r="M475" s="166">
        <v>0</v>
      </c>
      <c r="N475" s="168">
        <f t="shared" si="1"/>
        <v>0</v>
      </c>
      <c r="O475" s="166">
        <v>40112.07</v>
      </c>
      <c r="P475" s="168">
        <f t="shared" si="2"/>
        <v>3.7272986609922225E-2</v>
      </c>
      <c r="Q475" s="166">
        <v>40112.07</v>
      </c>
    </row>
    <row r="476" spans="1:17" hidden="1" x14ac:dyDescent="0.25">
      <c r="A476" s="165" t="s">
        <v>712</v>
      </c>
      <c r="B476" s="165" t="s">
        <v>218</v>
      </c>
      <c r="C476" s="165" t="s">
        <v>219</v>
      </c>
      <c r="D476" s="165" t="s">
        <v>69</v>
      </c>
      <c r="E476" s="166">
        <v>333500</v>
      </c>
      <c r="F476" s="166">
        <v>333500</v>
      </c>
      <c r="G476" s="166">
        <v>333500</v>
      </c>
      <c r="H476" s="166">
        <v>328568.05</v>
      </c>
      <c r="I476" s="166">
        <v>0</v>
      </c>
      <c r="J476" s="166">
        <v>0</v>
      </c>
      <c r="K476" s="166">
        <v>0</v>
      </c>
      <c r="L476" s="167">
        <f t="shared" si="0"/>
        <v>0</v>
      </c>
      <c r="M476" s="166">
        <v>0</v>
      </c>
      <c r="N476" s="168">
        <f t="shared" si="1"/>
        <v>0</v>
      </c>
      <c r="O476" s="166">
        <v>4931.95</v>
      </c>
      <c r="P476" s="168">
        <f t="shared" si="2"/>
        <v>1.4788455772113943E-2</v>
      </c>
      <c r="Q476" s="166">
        <v>4931.95</v>
      </c>
    </row>
    <row r="477" spans="1:17" hidden="1" x14ac:dyDescent="0.25">
      <c r="A477" s="165" t="s">
        <v>712</v>
      </c>
      <c r="B477" s="165" t="s">
        <v>220</v>
      </c>
      <c r="C477" s="165" t="s">
        <v>221</v>
      </c>
      <c r="D477" s="165" t="s">
        <v>69</v>
      </c>
      <c r="E477" s="166">
        <v>2531700</v>
      </c>
      <c r="F477" s="166">
        <v>2530600</v>
      </c>
      <c r="G477" s="166">
        <v>2530600</v>
      </c>
      <c r="H477" s="166">
        <v>0</v>
      </c>
      <c r="I477" s="166">
        <v>2280937.77</v>
      </c>
      <c r="J477" s="166">
        <v>0</v>
      </c>
      <c r="K477" s="166">
        <v>0</v>
      </c>
      <c r="L477" s="167">
        <f t="shared" si="0"/>
        <v>0</v>
      </c>
      <c r="M477" s="166">
        <v>0</v>
      </c>
      <c r="N477" s="168">
        <f t="shared" si="1"/>
        <v>0</v>
      </c>
      <c r="O477" s="166">
        <v>249662.23</v>
      </c>
      <c r="P477" s="168">
        <f t="shared" si="2"/>
        <v>9.8657326325772551E-2</v>
      </c>
      <c r="Q477" s="166">
        <v>249662.23</v>
      </c>
    </row>
    <row r="478" spans="1:17" hidden="1" x14ac:dyDescent="0.25">
      <c r="A478" s="165" t="s">
        <v>712</v>
      </c>
      <c r="B478" s="165" t="s">
        <v>224</v>
      </c>
      <c r="C478" s="165" t="s">
        <v>225</v>
      </c>
      <c r="D478" s="165" t="s">
        <v>69</v>
      </c>
      <c r="E478" s="166">
        <v>525000</v>
      </c>
      <c r="F478" s="166">
        <v>495000</v>
      </c>
      <c r="G478" s="166">
        <v>495000</v>
      </c>
      <c r="H478" s="166">
        <v>23586.19</v>
      </c>
      <c r="I478" s="166">
        <v>0</v>
      </c>
      <c r="J478" s="166">
        <v>0</v>
      </c>
      <c r="K478" s="166">
        <v>176280</v>
      </c>
      <c r="L478" s="167">
        <f t="shared" si="0"/>
        <v>0.35612121212121212</v>
      </c>
      <c r="M478" s="166">
        <v>176280</v>
      </c>
      <c r="N478" s="168">
        <f t="shared" si="1"/>
        <v>0.35612121212121212</v>
      </c>
      <c r="O478" s="166">
        <v>295133.81</v>
      </c>
      <c r="P478" s="168">
        <f t="shared" si="2"/>
        <v>0.59622991919191914</v>
      </c>
      <c r="Q478" s="166">
        <v>295133.81</v>
      </c>
    </row>
    <row r="479" spans="1:17" hidden="1" x14ac:dyDescent="0.25">
      <c r="A479" s="165" t="s">
        <v>712</v>
      </c>
      <c r="B479" s="165" t="s">
        <v>226</v>
      </c>
      <c r="C479" s="165" t="s">
        <v>227</v>
      </c>
      <c r="D479" s="165" t="s">
        <v>69</v>
      </c>
      <c r="E479" s="166">
        <v>2094900</v>
      </c>
      <c r="F479" s="166">
        <v>2040000</v>
      </c>
      <c r="G479" s="166">
        <v>2040000</v>
      </c>
      <c r="H479" s="166">
        <v>0</v>
      </c>
      <c r="I479" s="166">
        <v>0</v>
      </c>
      <c r="J479" s="166">
        <v>0</v>
      </c>
      <c r="K479" s="166">
        <v>1295810.55</v>
      </c>
      <c r="L479" s="167">
        <f t="shared" si="0"/>
        <v>0.63520125000000005</v>
      </c>
      <c r="M479" s="166">
        <v>1295810.55</v>
      </c>
      <c r="N479" s="168">
        <f t="shared" si="1"/>
        <v>0.63520125000000005</v>
      </c>
      <c r="O479" s="166">
        <v>744189.45</v>
      </c>
      <c r="P479" s="168">
        <f t="shared" si="2"/>
        <v>0.36479874999999995</v>
      </c>
      <c r="Q479" s="166">
        <v>744189.45</v>
      </c>
    </row>
    <row r="480" spans="1:17" x14ac:dyDescent="0.25">
      <c r="A480" s="165" t="s">
        <v>712</v>
      </c>
      <c r="B480" s="165" t="s">
        <v>228</v>
      </c>
      <c r="C480" s="165" t="s">
        <v>229</v>
      </c>
      <c r="D480" s="165" t="s">
        <v>69</v>
      </c>
      <c r="E480" s="166">
        <v>4500</v>
      </c>
      <c r="F480" s="166">
        <v>4500</v>
      </c>
      <c r="G480" s="166">
        <v>4500</v>
      </c>
      <c r="H480" s="166">
        <v>0</v>
      </c>
      <c r="I480" s="166">
        <v>0</v>
      </c>
      <c r="J480" s="166">
        <v>0</v>
      </c>
      <c r="K480" s="166">
        <v>0</v>
      </c>
      <c r="L480" s="167">
        <f t="shared" si="0"/>
        <v>0</v>
      </c>
      <c r="M480" s="166">
        <v>0</v>
      </c>
      <c r="N480" s="168">
        <f t="shared" si="1"/>
        <v>0</v>
      </c>
      <c r="O480" s="166">
        <v>4500</v>
      </c>
      <c r="P480" s="168">
        <f t="shared" si="2"/>
        <v>1</v>
      </c>
      <c r="Q480" s="166">
        <v>4500</v>
      </c>
    </row>
    <row r="481" spans="1:17" hidden="1" x14ac:dyDescent="0.25">
      <c r="A481" s="165" t="s">
        <v>712</v>
      </c>
      <c r="B481" s="165" t="s">
        <v>230</v>
      </c>
      <c r="C481" s="165" t="s">
        <v>231</v>
      </c>
      <c r="D481" s="165" t="s">
        <v>85</v>
      </c>
      <c r="E481" s="166">
        <v>10612500</v>
      </c>
      <c r="F481" s="166">
        <v>10612500</v>
      </c>
      <c r="G481" s="166">
        <v>10612500</v>
      </c>
      <c r="H481" s="166">
        <v>0</v>
      </c>
      <c r="I481" s="166">
        <v>0</v>
      </c>
      <c r="J481" s="166">
        <v>0</v>
      </c>
      <c r="K481" s="166">
        <v>5818800</v>
      </c>
      <c r="L481" s="167">
        <f t="shared" si="0"/>
        <v>0.54829681978798583</v>
      </c>
      <c r="M481" s="166">
        <v>5818800</v>
      </c>
      <c r="N481" s="168">
        <f t="shared" si="1"/>
        <v>0.54829681978798583</v>
      </c>
      <c r="O481" s="166">
        <v>4793700</v>
      </c>
      <c r="P481" s="168">
        <f t="shared" si="2"/>
        <v>0.45170318021201411</v>
      </c>
      <c r="Q481" s="166">
        <v>4793700</v>
      </c>
    </row>
    <row r="482" spans="1:17" hidden="1" x14ac:dyDescent="0.25">
      <c r="A482" s="165" t="s">
        <v>712</v>
      </c>
      <c r="B482" s="165" t="s">
        <v>232</v>
      </c>
      <c r="C482" s="165" t="s">
        <v>233</v>
      </c>
      <c r="D482" s="165" t="s">
        <v>85</v>
      </c>
      <c r="E482" s="166">
        <v>10612500</v>
      </c>
      <c r="F482" s="166">
        <v>10612500</v>
      </c>
      <c r="G482" s="166">
        <v>10612500</v>
      </c>
      <c r="H482" s="166">
        <v>0</v>
      </c>
      <c r="I482" s="166">
        <v>0</v>
      </c>
      <c r="J482" s="166">
        <v>0</v>
      </c>
      <c r="K482" s="166">
        <v>5818800</v>
      </c>
      <c r="L482" s="167">
        <f t="shared" si="0"/>
        <v>0.54829681978798583</v>
      </c>
      <c r="M482" s="166">
        <v>5818800</v>
      </c>
      <c r="N482" s="168">
        <f t="shared" si="1"/>
        <v>0.54829681978798583</v>
      </c>
      <c r="O482" s="166">
        <v>4793700</v>
      </c>
      <c r="P482" s="168">
        <f t="shared" si="2"/>
        <v>0.45170318021201411</v>
      </c>
      <c r="Q482" s="166">
        <v>4793700</v>
      </c>
    </row>
    <row r="483" spans="1:17" hidden="1" x14ac:dyDescent="0.25">
      <c r="A483" s="165" t="s">
        <v>712</v>
      </c>
      <c r="B483" s="165" t="s">
        <v>234</v>
      </c>
      <c r="C483" s="165" t="s">
        <v>235</v>
      </c>
      <c r="D483" s="165" t="s">
        <v>85</v>
      </c>
      <c r="E483" s="166">
        <v>6650000</v>
      </c>
      <c r="F483" s="166">
        <v>6650000</v>
      </c>
      <c r="G483" s="166">
        <v>6650000</v>
      </c>
      <c r="H483" s="166">
        <v>0</v>
      </c>
      <c r="I483" s="166">
        <v>0</v>
      </c>
      <c r="J483" s="166">
        <v>0</v>
      </c>
      <c r="K483" s="166">
        <v>5152800</v>
      </c>
      <c r="L483" s="167">
        <f t="shared" si="0"/>
        <v>0.77485714285714291</v>
      </c>
      <c r="M483" s="166">
        <v>5152800</v>
      </c>
      <c r="N483" s="168">
        <f t="shared" si="1"/>
        <v>0.77485714285714291</v>
      </c>
      <c r="O483" s="166">
        <v>1497200</v>
      </c>
      <c r="P483" s="168">
        <f t="shared" si="2"/>
        <v>0.22514285714285714</v>
      </c>
      <c r="Q483" s="166">
        <v>1497200</v>
      </c>
    </row>
    <row r="484" spans="1:17" hidden="1" x14ac:dyDescent="0.25">
      <c r="A484" s="165" t="s">
        <v>712</v>
      </c>
      <c r="B484" s="165" t="s">
        <v>326</v>
      </c>
      <c r="C484" s="165" t="s">
        <v>327</v>
      </c>
      <c r="D484" s="165" t="s">
        <v>85</v>
      </c>
      <c r="E484" s="166">
        <v>760000</v>
      </c>
      <c r="F484" s="166">
        <v>760000</v>
      </c>
      <c r="G484" s="166">
        <v>760000</v>
      </c>
      <c r="H484" s="166">
        <v>0</v>
      </c>
      <c r="I484" s="166">
        <v>0</v>
      </c>
      <c r="J484" s="166">
        <v>0</v>
      </c>
      <c r="K484" s="166">
        <v>666000</v>
      </c>
      <c r="L484" s="167">
        <f t="shared" si="0"/>
        <v>0.87631578947368416</v>
      </c>
      <c r="M484" s="166">
        <v>666000</v>
      </c>
      <c r="N484" s="168">
        <f t="shared" si="1"/>
        <v>0.87631578947368416</v>
      </c>
      <c r="O484" s="166">
        <v>94000</v>
      </c>
      <c r="P484" s="168">
        <f t="shared" si="2"/>
        <v>0.12368421052631579</v>
      </c>
      <c r="Q484" s="166">
        <v>94000</v>
      </c>
    </row>
    <row r="485" spans="1:17" x14ac:dyDescent="0.25">
      <c r="A485" s="165" t="s">
        <v>712</v>
      </c>
      <c r="B485" s="165" t="s">
        <v>242</v>
      </c>
      <c r="C485" s="165" t="s">
        <v>243</v>
      </c>
      <c r="D485" s="165" t="s">
        <v>85</v>
      </c>
      <c r="E485" s="166">
        <v>3202500</v>
      </c>
      <c r="F485" s="166">
        <v>3202500</v>
      </c>
      <c r="G485" s="166">
        <v>3202500</v>
      </c>
      <c r="H485" s="166">
        <v>0</v>
      </c>
      <c r="I485" s="166">
        <v>0</v>
      </c>
      <c r="J485" s="166">
        <v>0</v>
      </c>
      <c r="K485" s="166">
        <v>0</v>
      </c>
      <c r="L485" s="167">
        <f t="shared" si="0"/>
        <v>0</v>
      </c>
      <c r="M485" s="166">
        <v>0</v>
      </c>
      <c r="N485" s="168">
        <f t="shared" si="1"/>
        <v>0</v>
      </c>
      <c r="O485" s="166">
        <v>3202500</v>
      </c>
      <c r="P485" s="168">
        <f t="shared" si="2"/>
        <v>1</v>
      </c>
      <c r="Q485" s="166">
        <v>3202500</v>
      </c>
    </row>
    <row r="486" spans="1:17" hidden="1" x14ac:dyDescent="0.25">
      <c r="A486" s="44" t="s">
        <v>712</v>
      </c>
      <c r="B486" s="44" t="s">
        <v>248</v>
      </c>
      <c r="C486" s="44" t="s">
        <v>249</v>
      </c>
      <c r="D486" s="44" t="s">
        <v>69</v>
      </c>
      <c r="E486" s="50">
        <v>21838204</v>
      </c>
      <c r="F486" s="50">
        <v>21451264</v>
      </c>
      <c r="G486" s="50">
        <v>21337973</v>
      </c>
      <c r="H486" s="50">
        <v>0</v>
      </c>
      <c r="I486" s="50">
        <v>6408771</v>
      </c>
      <c r="J486" s="50">
        <v>0</v>
      </c>
      <c r="K486" s="50">
        <v>12485191</v>
      </c>
      <c r="L486" s="167">
        <f t="shared" si="0"/>
        <v>0.58202588901054964</v>
      </c>
      <c r="M486" s="166">
        <v>12485191</v>
      </c>
      <c r="N486" s="168">
        <f t="shared" si="1"/>
        <v>0.58202588901054964</v>
      </c>
      <c r="O486" s="166">
        <v>2557302</v>
      </c>
      <c r="P486" s="168">
        <f t="shared" si="2"/>
        <v>0.11921451341981526</v>
      </c>
      <c r="Q486" s="50">
        <v>2444011</v>
      </c>
    </row>
    <row r="487" spans="1:17" hidden="1" x14ac:dyDescent="0.25">
      <c r="A487" s="44" t="s">
        <v>712</v>
      </c>
      <c r="B487" s="44" t="s">
        <v>250</v>
      </c>
      <c r="C487" s="44" t="s">
        <v>251</v>
      </c>
      <c r="D487" s="44" t="s">
        <v>69</v>
      </c>
      <c r="E487" s="50">
        <v>16338204</v>
      </c>
      <c r="F487" s="50">
        <v>15951264</v>
      </c>
      <c r="G487" s="50">
        <v>15837973</v>
      </c>
      <c r="H487" s="50">
        <v>0</v>
      </c>
      <c r="I487" s="50">
        <v>6408771</v>
      </c>
      <c r="J487" s="50">
        <v>0</v>
      </c>
      <c r="K487" s="50">
        <v>9429202</v>
      </c>
      <c r="L487" s="167">
        <f t="shared" si="0"/>
        <v>0.59112569386350822</v>
      </c>
      <c r="M487" s="166">
        <v>9429202</v>
      </c>
      <c r="N487" s="168">
        <f t="shared" si="1"/>
        <v>0.59112569386350822</v>
      </c>
      <c r="O487" s="166">
        <v>113291</v>
      </c>
      <c r="P487" s="168">
        <f t="shared" si="2"/>
        <v>7.1023211702846874E-3</v>
      </c>
      <c r="Q487" s="50">
        <v>0</v>
      </c>
    </row>
    <row r="488" spans="1:17" hidden="1" x14ac:dyDescent="0.25">
      <c r="A488" s="44" t="s">
        <v>712</v>
      </c>
      <c r="B488" s="44" t="s">
        <v>631</v>
      </c>
      <c r="C488" s="44" t="s">
        <v>702</v>
      </c>
      <c r="D488" s="44" t="s">
        <v>69</v>
      </c>
      <c r="E488" s="50">
        <v>13877686</v>
      </c>
      <c r="F488" s="50">
        <v>13549019</v>
      </c>
      <c r="G488" s="50">
        <v>13452790</v>
      </c>
      <c r="H488" s="50">
        <v>0</v>
      </c>
      <c r="I488" s="50">
        <v>5462698</v>
      </c>
      <c r="J488" s="50">
        <v>0</v>
      </c>
      <c r="K488" s="50">
        <v>7990092</v>
      </c>
      <c r="L488" s="167">
        <f t="shared" si="0"/>
        <v>0.58971738101481741</v>
      </c>
      <c r="M488" s="166">
        <v>7990092</v>
      </c>
      <c r="N488" s="168">
        <f t="shared" si="1"/>
        <v>0.58971738101481741</v>
      </c>
      <c r="O488" s="166">
        <v>96229</v>
      </c>
      <c r="P488" s="168">
        <f t="shared" si="2"/>
        <v>7.1022854126929777E-3</v>
      </c>
      <c r="Q488" s="50">
        <v>0</v>
      </c>
    </row>
    <row r="489" spans="1:17" hidden="1" x14ac:dyDescent="0.25">
      <c r="A489" s="44" t="s">
        <v>712</v>
      </c>
      <c r="B489" s="44" t="s">
        <v>646</v>
      </c>
      <c r="C489" s="44" t="s">
        <v>703</v>
      </c>
      <c r="D489" s="44" t="s">
        <v>69</v>
      </c>
      <c r="E489" s="50">
        <v>2460518</v>
      </c>
      <c r="F489" s="50">
        <v>2402245</v>
      </c>
      <c r="G489" s="50">
        <v>2385183</v>
      </c>
      <c r="H489" s="50">
        <v>0</v>
      </c>
      <c r="I489" s="50">
        <v>946073</v>
      </c>
      <c r="J489" s="50">
        <v>0</v>
      </c>
      <c r="K489" s="50">
        <v>1439110</v>
      </c>
      <c r="L489" s="167">
        <f t="shared" si="0"/>
        <v>0.59906878773813665</v>
      </c>
      <c r="M489" s="166">
        <v>1439110</v>
      </c>
      <c r="N489" s="168">
        <f t="shared" si="1"/>
        <v>0.59906878773813665</v>
      </c>
      <c r="O489" s="166">
        <v>17062</v>
      </c>
      <c r="P489" s="168">
        <f t="shared" si="2"/>
        <v>7.1025228484188751E-3</v>
      </c>
      <c r="Q489" s="50">
        <v>0</v>
      </c>
    </row>
    <row r="490" spans="1:17" hidden="1" x14ac:dyDescent="0.25">
      <c r="A490" s="44" t="s">
        <v>712</v>
      </c>
      <c r="B490" s="44" t="s">
        <v>260</v>
      </c>
      <c r="C490" s="44" t="s">
        <v>261</v>
      </c>
      <c r="D490" s="44" t="s">
        <v>69</v>
      </c>
      <c r="E490" s="50">
        <v>5500000</v>
      </c>
      <c r="F490" s="50">
        <v>5500000</v>
      </c>
      <c r="G490" s="50">
        <v>5500000</v>
      </c>
      <c r="H490" s="50">
        <v>0</v>
      </c>
      <c r="I490" s="50">
        <v>0</v>
      </c>
      <c r="J490" s="50">
        <v>0</v>
      </c>
      <c r="K490" s="50">
        <v>3055989</v>
      </c>
      <c r="L490" s="167">
        <f t="shared" si="0"/>
        <v>0.55563436363636365</v>
      </c>
      <c r="M490" s="166">
        <v>3055989</v>
      </c>
      <c r="N490" s="168">
        <f t="shared" si="1"/>
        <v>0.55563436363636365</v>
      </c>
      <c r="O490" s="166">
        <v>2444011</v>
      </c>
      <c r="P490" s="168">
        <f t="shared" si="2"/>
        <v>0.44436563636363635</v>
      </c>
      <c r="Q490" s="50">
        <v>2444011</v>
      </c>
    </row>
    <row r="491" spans="1:17" hidden="1" x14ac:dyDescent="0.25">
      <c r="A491" s="44" t="s">
        <v>712</v>
      </c>
      <c r="B491" s="44" t="s">
        <v>264</v>
      </c>
      <c r="C491" s="44" t="s">
        <v>265</v>
      </c>
      <c r="D491" s="44" t="s">
        <v>69</v>
      </c>
      <c r="E491" s="50">
        <v>5500000</v>
      </c>
      <c r="F491" s="50">
        <v>5500000</v>
      </c>
      <c r="G491" s="50">
        <v>5500000</v>
      </c>
      <c r="H491" s="50">
        <v>0</v>
      </c>
      <c r="I491" s="50">
        <v>0</v>
      </c>
      <c r="J491" s="50">
        <v>0</v>
      </c>
      <c r="K491" s="50">
        <v>3055989</v>
      </c>
      <c r="L491" s="167">
        <f t="shared" si="0"/>
        <v>0.55563436363636365</v>
      </c>
      <c r="M491" s="166">
        <v>3055989</v>
      </c>
      <c r="N491" s="168">
        <f t="shared" si="1"/>
        <v>0.55563436363636365</v>
      </c>
      <c r="O491" s="166">
        <v>2444011</v>
      </c>
      <c r="P491" s="168">
        <f t="shared" si="2"/>
        <v>0.44436563636363635</v>
      </c>
      <c r="Q491" s="50">
        <v>2444011</v>
      </c>
    </row>
    <row r="492" spans="1:17" hidden="1" x14ac:dyDescent="0.25">
      <c r="A492" s="44" t="s">
        <v>713</v>
      </c>
      <c r="B492" s="44"/>
      <c r="C492" s="44"/>
      <c r="D492" s="44" t="s">
        <v>69</v>
      </c>
      <c r="E492" s="50">
        <v>1434240030</v>
      </c>
      <c r="F492" s="50">
        <v>1423727288</v>
      </c>
      <c r="G492" s="50">
        <v>1370126826.4000001</v>
      </c>
      <c r="H492" s="50">
        <v>2421703.19</v>
      </c>
      <c r="I492" s="50">
        <v>131220074.26000001</v>
      </c>
      <c r="J492" s="50">
        <v>12528185.48</v>
      </c>
      <c r="K492" s="50">
        <v>803382240.72000003</v>
      </c>
      <c r="L492" s="167">
        <f t="shared" si="0"/>
        <v>0.56428098800337112</v>
      </c>
      <c r="M492" s="166">
        <v>797756573.72000003</v>
      </c>
      <c r="N492" s="168">
        <f t="shared" si="1"/>
        <v>0.56032962242415063</v>
      </c>
      <c r="O492" s="166">
        <v>474175084.35000002</v>
      </c>
      <c r="P492" s="168">
        <f t="shared" si="2"/>
        <v>0.33305190421411662</v>
      </c>
      <c r="Q492" s="50">
        <v>420574622.75</v>
      </c>
    </row>
    <row r="493" spans="1:17" hidden="1" x14ac:dyDescent="0.25">
      <c r="A493" s="44" t="s">
        <v>713</v>
      </c>
      <c r="B493" s="44" t="s">
        <v>71</v>
      </c>
      <c r="C493" s="44" t="s">
        <v>72</v>
      </c>
      <c r="D493" s="44" t="s">
        <v>69</v>
      </c>
      <c r="E493" s="50">
        <v>1171265212</v>
      </c>
      <c r="F493" s="50">
        <v>1160887237</v>
      </c>
      <c r="G493" s="50">
        <v>1152605746</v>
      </c>
      <c r="H493" s="50">
        <v>0</v>
      </c>
      <c r="I493" s="50">
        <v>77228284</v>
      </c>
      <c r="J493" s="50">
        <v>0</v>
      </c>
      <c r="K493" s="50">
        <v>666254050.17999995</v>
      </c>
      <c r="L493" s="167">
        <f t="shared" si="0"/>
        <v>0.57391797320621241</v>
      </c>
      <c r="M493" s="166">
        <v>666254050.17999995</v>
      </c>
      <c r="N493" s="168">
        <f t="shared" si="1"/>
        <v>0.57391797320621241</v>
      </c>
      <c r="O493" s="166">
        <v>417404902.81999999</v>
      </c>
      <c r="P493" s="168">
        <f t="shared" si="2"/>
        <v>0.35955680234599735</v>
      </c>
      <c r="Q493" s="50">
        <v>409123411.81999999</v>
      </c>
    </row>
    <row r="494" spans="1:17" hidden="1" x14ac:dyDescent="0.25">
      <c r="A494" s="44" t="s">
        <v>713</v>
      </c>
      <c r="B494" s="44" t="s">
        <v>73</v>
      </c>
      <c r="C494" s="44" t="s">
        <v>74</v>
      </c>
      <c r="D494" s="44" t="s">
        <v>69</v>
      </c>
      <c r="E494" s="50">
        <v>419650432</v>
      </c>
      <c r="F494" s="50">
        <v>414102244</v>
      </c>
      <c r="G494" s="50">
        <v>414102244</v>
      </c>
      <c r="H494" s="50">
        <v>0</v>
      </c>
      <c r="I494" s="50">
        <v>0</v>
      </c>
      <c r="J494" s="50">
        <v>0</v>
      </c>
      <c r="K494" s="50">
        <v>262841100.94</v>
      </c>
      <c r="L494" s="167">
        <f t="shared" si="0"/>
        <v>0.63472513068535796</v>
      </c>
      <c r="M494" s="166">
        <v>262841100.94</v>
      </c>
      <c r="N494" s="168">
        <f t="shared" si="1"/>
        <v>0.63472513068535796</v>
      </c>
      <c r="O494" s="166">
        <v>151261143.06</v>
      </c>
      <c r="P494" s="168">
        <f t="shared" si="2"/>
        <v>0.36527486931464204</v>
      </c>
      <c r="Q494" s="50">
        <v>151261143.06</v>
      </c>
    </row>
    <row r="495" spans="1:17" hidden="1" x14ac:dyDescent="0.25">
      <c r="A495" s="44" t="s">
        <v>713</v>
      </c>
      <c r="B495" s="44" t="s">
        <v>75</v>
      </c>
      <c r="C495" s="44" t="s">
        <v>76</v>
      </c>
      <c r="D495" s="44" t="s">
        <v>69</v>
      </c>
      <c r="E495" s="50">
        <v>419650432</v>
      </c>
      <c r="F495" s="50">
        <v>414102244</v>
      </c>
      <c r="G495" s="50">
        <v>414102244</v>
      </c>
      <c r="H495" s="50">
        <v>0</v>
      </c>
      <c r="I495" s="50">
        <v>0</v>
      </c>
      <c r="J495" s="50">
        <v>0</v>
      </c>
      <c r="K495" s="50">
        <v>262841100.94</v>
      </c>
      <c r="L495" s="167">
        <f t="shared" si="0"/>
        <v>0.63472513068535796</v>
      </c>
      <c r="M495" s="166">
        <v>262841100.94</v>
      </c>
      <c r="N495" s="168">
        <f t="shared" si="1"/>
        <v>0.63472513068535796</v>
      </c>
      <c r="O495" s="166">
        <v>151261143.06</v>
      </c>
      <c r="P495" s="168">
        <f t="shared" si="2"/>
        <v>0.36527486931464204</v>
      </c>
      <c r="Q495" s="50">
        <v>151261143.06</v>
      </c>
    </row>
    <row r="496" spans="1:17" hidden="1" x14ac:dyDescent="0.25">
      <c r="A496" s="44" t="s">
        <v>713</v>
      </c>
      <c r="B496" s="44" t="s">
        <v>293</v>
      </c>
      <c r="C496" s="44" t="s">
        <v>294</v>
      </c>
      <c r="D496" s="44" t="s">
        <v>69</v>
      </c>
      <c r="E496" s="50">
        <v>5204100</v>
      </c>
      <c r="F496" s="50">
        <v>5204100</v>
      </c>
      <c r="G496" s="50">
        <v>5204100</v>
      </c>
      <c r="H496" s="50">
        <v>0</v>
      </c>
      <c r="I496" s="50">
        <v>0</v>
      </c>
      <c r="J496" s="50">
        <v>0</v>
      </c>
      <c r="K496" s="50">
        <v>0</v>
      </c>
      <c r="L496" s="167">
        <f t="shared" si="0"/>
        <v>0</v>
      </c>
      <c r="M496" s="166">
        <v>0</v>
      </c>
      <c r="N496" s="168">
        <f t="shared" si="1"/>
        <v>0</v>
      </c>
      <c r="O496" s="166">
        <v>5204100</v>
      </c>
      <c r="P496" s="168">
        <f t="shared" si="2"/>
        <v>1</v>
      </c>
      <c r="Q496" s="50">
        <v>5204100</v>
      </c>
    </row>
    <row r="497" spans="1:17" x14ac:dyDescent="0.25">
      <c r="A497" s="165" t="s">
        <v>713</v>
      </c>
      <c r="B497" s="165" t="s">
        <v>339</v>
      </c>
      <c r="C497" s="165" t="s">
        <v>340</v>
      </c>
      <c r="D497" s="165" t="s">
        <v>69</v>
      </c>
      <c r="E497" s="166">
        <v>5204100</v>
      </c>
      <c r="F497" s="166">
        <v>5204100</v>
      </c>
      <c r="G497" s="166">
        <v>5204100</v>
      </c>
      <c r="H497" s="166">
        <v>0</v>
      </c>
      <c r="I497" s="166">
        <v>0</v>
      </c>
      <c r="J497" s="166">
        <v>0</v>
      </c>
      <c r="K497" s="166">
        <v>0</v>
      </c>
      <c r="L497" s="167">
        <f t="shared" si="0"/>
        <v>0</v>
      </c>
      <c r="M497" s="166">
        <v>0</v>
      </c>
      <c r="N497" s="168">
        <f t="shared" si="1"/>
        <v>0</v>
      </c>
      <c r="O497" s="166">
        <v>5204100</v>
      </c>
      <c r="P497" s="168">
        <f t="shared" si="2"/>
        <v>1</v>
      </c>
      <c r="Q497" s="166">
        <v>5204100</v>
      </c>
    </row>
    <row r="498" spans="1:17" hidden="1" x14ac:dyDescent="0.25">
      <c r="A498" s="165" t="s">
        <v>713</v>
      </c>
      <c r="B498" s="165" t="s">
        <v>77</v>
      </c>
      <c r="C498" s="165" t="s">
        <v>78</v>
      </c>
      <c r="D498" s="165" t="s">
        <v>69</v>
      </c>
      <c r="E498" s="166">
        <v>567738543</v>
      </c>
      <c r="F498" s="166">
        <v>564491876</v>
      </c>
      <c r="G498" s="166">
        <v>557473696</v>
      </c>
      <c r="H498" s="166">
        <v>0</v>
      </c>
      <c r="I498" s="166">
        <v>0</v>
      </c>
      <c r="J498" s="166">
        <v>0</v>
      </c>
      <c r="K498" s="166">
        <v>304815527.24000001</v>
      </c>
      <c r="L498" s="167">
        <f t="shared" si="0"/>
        <v>0.53998213295810127</v>
      </c>
      <c r="M498" s="166">
        <v>304815527.24000001</v>
      </c>
      <c r="N498" s="168">
        <f t="shared" si="1"/>
        <v>0.53998213295810127</v>
      </c>
      <c r="O498" s="166">
        <v>259676348.75999999</v>
      </c>
      <c r="P498" s="168">
        <f t="shared" si="2"/>
        <v>0.46001786704189873</v>
      </c>
      <c r="Q498" s="166">
        <v>252658168.75999999</v>
      </c>
    </row>
    <row r="499" spans="1:17" hidden="1" x14ac:dyDescent="0.25">
      <c r="A499" s="165" t="s">
        <v>713</v>
      </c>
      <c r="B499" s="165" t="s">
        <v>79</v>
      </c>
      <c r="C499" s="165" t="s">
        <v>80</v>
      </c>
      <c r="D499" s="165" t="s">
        <v>69</v>
      </c>
      <c r="E499" s="166">
        <v>176537100</v>
      </c>
      <c r="F499" s="166">
        <v>176537100</v>
      </c>
      <c r="G499" s="166">
        <v>170058581</v>
      </c>
      <c r="H499" s="166">
        <v>0</v>
      </c>
      <c r="I499" s="166">
        <v>0</v>
      </c>
      <c r="J499" s="166">
        <v>0</v>
      </c>
      <c r="K499" s="166">
        <v>97763619.189999998</v>
      </c>
      <c r="L499" s="167">
        <f t="shared" si="0"/>
        <v>0.55378512046476347</v>
      </c>
      <c r="M499" s="166">
        <v>97763619.189999998</v>
      </c>
      <c r="N499" s="168">
        <f t="shared" si="1"/>
        <v>0.55378512046476347</v>
      </c>
      <c r="O499" s="166">
        <v>78773480.810000002</v>
      </c>
      <c r="P499" s="168">
        <f t="shared" si="2"/>
        <v>0.44621487953523653</v>
      </c>
      <c r="Q499" s="166">
        <v>72294961.810000002</v>
      </c>
    </row>
    <row r="500" spans="1:17" hidden="1" x14ac:dyDescent="0.25">
      <c r="A500" s="165" t="s">
        <v>713</v>
      </c>
      <c r="B500" s="165" t="s">
        <v>81</v>
      </c>
      <c r="C500" s="165" t="s">
        <v>82</v>
      </c>
      <c r="D500" s="165" t="s">
        <v>69</v>
      </c>
      <c r="E500" s="166">
        <v>145353690</v>
      </c>
      <c r="F500" s="166">
        <v>142783300</v>
      </c>
      <c r="G500" s="166">
        <v>142783300</v>
      </c>
      <c r="H500" s="166">
        <v>0</v>
      </c>
      <c r="I500" s="166">
        <v>0</v>
      </c>
      <c r="J500" s="166">
        <v>0</v>
      </c>
      <c r="K500" s="166">
        <v>84246114.099999994</v>
      </c>
      <c r="L500" s="167">
        <f t="shared" si="0"/>
        <v>0.59002778406158141</v>
      </c>
      <c r="M500" s="166">
        <v>84246114.099999994</v>
      </c>
      <c r="N500" s="168">
        <f t="shared" si="1"/>
        <v>0.59002778406158141</v>
      </c>
      <c r="O500" s="166">
        <v>58537185.899999999</v>
      </c>
      <c r="P500" s="168">
        <f t="shared" si="2"/>
        <v>0.40997221593841854</v>
      </c>
      <c r="Q500" s="166">
        <v>58537185.899999999</v>
      </c>
    </row>
    <row r="501" spans="1:17" x14ac:dyDescent="0.25">
      <c r="A501" s="165" t="s">
        <v>713</v>
      </c>
      <c r="B501" s="165" t="s">
        <v>83</v>
      </c>
      <c r="C501" s="165" t="s">
        <v>84</v>
      </c>
      <c r="D501" s="165" t="s">
        <v>85</v>
      </c>
      <c r="E501" s="166">
        <v>76324653</v>
      </c>
      <c r="F501" s="166">
        <v>75648376</v>
      </c>
      <c r="G501" s="166">
        <v>75108715</v>
      </c>
      <c r="H501" s="166">
        <v>0</v>
      </c>
      <c r="I501" s="166">
        <v>0</v>
      </c>
      <c r="J501" s="166">
        <v>0</v>
      </c>
      <c r="K501" s="166">
        <v>0</v>
      </c>
      <c r="L501" s="167">
        <f t="shared" si="0"/>
        <v>0</v>
      </c>
      <c r="M501" s="166">
        <v>0</v>
      </c>
      <c r="N501" s="168">
        <f t="shared" si="1"/>
        <v>0</v>
      </c>
      <c r="O501" s="166">
        <v>75648376</v>
      </c>
      <c r="P501" s="168">
        <f t="shared" si="2"/>
        <v>1</v>
      </c>
      <c r="Q501" s="166">
        <v>75108715</v>
      </c>
    </row>
    <row r="502" spans="1:17" hidden="1" x14ac:dyDescent="0.25">
      <c r="A502" s="165" t="s">
        <v>713</v>
      </c>
      <c r="B502" s="165" t="s">
        <v>86</v>
      </c>
      <c r="C502" s="165" t="s">
        <v>87</v>
      </c>
      <c r="D502" s="165" t="s">
        <v>69</v>
      </c>
      <c r="E502" s="166">
        <v>70126000</v>
      </c>
      <c r="F502" s="166">
        <v>70126000</v>
      </c>
      <c r="G502" s="166">
        <v>70126000</v>
      </c>
      <c r="H502" s="166">
        <v>0</v>
      </c>
      <c r="I502" s="166">
        <v>0</v>
      </c>
      <c r="J502" s="166">
        <v>0</v>
      </c>
      <c r="K502" s="166">
        <v>62351269.950000003</v>
      </c>
      <c r="L502" s="167">
        <f t="shared" si="0"/>
        <v>0.88913199027464851</v>
      </c>
      <c r="M502" s="166">
        <v>62351269.950000003</v>
      </c>
      <c r="N502" s="168">
        <f t="shared" si="1"/>
        <v>0.88913199027464851</v>
      </c>
      <c r="O502" s="166">
        <v>7774730.0499999998</v>
      </c>
      <c r="P502" s="168">
        <f t="shared" si="2"/>
        <v>0.1108680097253515</v>
      </c>
      <c r="Q502" s="166">
        <v>7774730.0499999998</v>
      </c>
    </row>
    <row r="503" spans="1:17" hidden="1" x14ac:dyDescent="0.25">
      <c r="A503" s="165" t="s">
        <v>713</v>
      </c>
      <c r="B503" s="165" t="s">
        <v>88</v>
      </c>
      <c r="C503" s="165" t="s">
        <v>89</v>
      </c>
      <c r="D503" s="165" t="s">
        <v>69</v>
      </c>
      <c r="E503" s="166">
        <v>99397100</v>
      </c>
      <c r="F503" s="166">
        <v>99397100</v>
      </c>
      <c r="G503" s="166">
        <v>99397100</v>
      </c>
      <c r="H503" s="166">
        <v>0</v>
      </c>
      <c r="I503" s="166">
        <v>0</v>
      </c>
      <c r="J503" s="166">
        <v>0</v>
      </c>
      <c r="K503" s="166">
        <v>60454524</v>
      </c>
      <c r="L503" s="167">
        <f t="shared" si="0"/>
        <v>0.60821215105873305</v>
      </c>
      <c r="M503" s="166">
        <v>60454524</v>
      </c>
      <c r="N503" s="168">
        <f t="shared" si="1"/>
        <v>0.60821215105873305</v>
      </c>
      <c r="O503" s="166">
        <v>38942576</v>
      </c>
      <c r="P503" s="168">
        <f t="shared" si="2"/>
        <v>0.39178784894126689</v>
      </c>
      <c r="Q503" s="166">
        <v>38942576</v>
      </c>
    </row>
    <row r="504" spans="1:17" hidden="1" x14ac:dyDescent="0.25">
      <c r="A504" s="165" t="s">
        <v>713</v>
      </c>
      <c r="B504" s="165" t="s">
        <v>90</v>
      </c>
      <c r="C504" s="165" t="s">
        <v>91</v>
      </c>
      <c r="D504" s="165" t="s">
        <v>69</v>
      </c>
      <c r="E504" s="166">
        <v>89336069</v>
      </c>
      <c r="F504" s="166">
        <v>88544509</v>
      </c>
      <c r="G504" s="166">
        <v>87912853</v>
      </c>
      <c r="H504" s="166">
        <v>0</v>
      </c>
      <c r="I504" s="166">
        <v>38560301</v>
      </c>
      <c r="J504" s="166">
        <v>0</v>
      </c>
      <c r="K504" s="166">
        <v>49352552</v>
      </c>
      <c r="L504" s="167">
        <f t="shared" si="0"/>
        <v>0.55737563579464877</v>
      </c>
      <c r="M504" s="166">
        <v>49352552</v>
      </c>
      <c r="N504" s="168">
        <f t="shared" si="1"/>
        <v>0.55737563579464877</v>
      </c>
      <c r="O504" s="166">
        <v>631656</v>
      </c>
      <c r="P504" s="168">
        <f t="shared" si="2"/>
        <v>7.1337681707625712E-3</v>
      </c>
      <c r="Q504" s="166">
        <v>0</v>
      </c>
    </row>
    <row r="505" spans="1:17" hidden="1" x14ac:dyDescent="0.25">
      <c r="A505" s="165" t="s">
        <v>713</v>
      </c>
      <c r="B505" s="165" t="s">
        <v>423</v>
      </c>
      <c r="C505" s="165" t="s">
        <v>697</v>
      </c>
      <c r="D505" s="165" t="s">
        <v>69</v>
      </c>
      <c r="E505" s="166">
        <v>84754804</v>
      </c>
      <c r="F505" s="166">
        <v>84003836</v>
      </c>
      <c r="G505" s="166">
        <v>83404573</v>
      </c>
      <c r="H505" s="166">
        <v>0</v>
      </c>
      <c r="I505" s="166">
        <v>36582921</v>
      </c>
      <c r="J505" s="166">
        <v>0</v>
      </c>
      <c r="K505" s="166">
        <v>46821652</v>
      </c>
      <c r="L505" s="167">
        <f t="shared" si="0"/>
        <v>0.55737516558172417</v>
      </c>
      <c r="M505" s="166">
        <v>46821652</v>
      </c>
      <c r="N505" s="168">
        <f t="shared" si="1"/>
        <v>0.55737516558172417</v>
      </c>
      <c r="O505" s="166">
        <v>599263</v>
      </c>
      <c r="P505" s="168">
        <f t="shared" si="2"/>
        <v>7.1337575584048329E-3</v>
      </c>
      <c r="Q505" s="166">
        <v>0</v>
      </c>
    </row>
    <row r="506" spans="1:17" hidden="1" x14ac:dyDescent="0.25">
      <c r="A506" s="165" t="s">
        <v>713</v>
      </c>
      <c r="B506" s="165" t="s">
        <v>440</v>
      </c>
      <c r="C506" s="165" t="s">
        <v>95</v>
      </c>
      <c r="D506" s="165" t="s">
        <v>69</v>
      </c>
      <c r="E506" s="166">
        <v>4581265</v>
      </c>
      <c r="F506" s="166">
        <v>4540673</v>
      </c>
      <c r="G506" s="166">
        <v>4508280</v>
      </c>
      <c r="H506" s="166">
        <v>0</v>
      </c>
      <c r="I506" s="166">
        <v>1977380</v>
      </c>
      <c r="J506" s="166">
        <v>0</v>
      </c>
      <c r="K506" s="166">
        <v>2530900</v>
      </c>
      <c r="L506" s="167">
        <f t="shared" si="0"/>
        <v>0.55738433487723071</v>
      </c>
      <c r="M506" s="166">
        <v>2530900</v>
      </c>
      <c r="N506" s="168">
        <f t="shared" si="1"/>
        <v>0.55738433487723071</v>
      </c>
      <c r="O506" s="166">
        <v>32393</v>
      </c>
      <c r="P506" s="168">
        <f t="shared" si="2"/>
        <v>7.1339645026188853E-3</v>
      </c>
      <c r="Q506" s="166">
        <v>0</v>
      </c>
    </row>
    <row r="507" spans="1:17" hidden="1" x14ac:dyDescent="0.25">
      <c r="A507" s="165" t="s">
        <v>713</v>
      </c>
      <c r="B507" s="165" t="s">
        <v>96</v>
      </c>
      <c r="C507" s="165" t="s">
        <v>97</v>
      </c>
      <c r="D507" s="165" t="s">
        <v>69</v>
      </c>
      <c r="E507" s="166">
        <v>89336068</v>
      </c>
      <c r="F507" s="166">
        <v>88544508</v>
      </c>
      <c r="G507" s="166">
        <v>87912853</v>
      </c>
      <c r="H507" s="166">
        <v>0</v>
      </c>
      <c r="I507" s="166">
        <v>38667983</v>
      </c>
      <c r="J507" s="166">
        <v>0</v>
      </c>
      <c r="K507" s="166">
        <v>49244870</v>
      </c>
      <c r="L507" s="167">
        <f t="shared" si="0"/>
        <v>0.55615950793921631</v>
      </c>
      <c r="M507" s="166">
        <v>49244870</v>
      </c>
      <c r="N507" s="168">
        <f t="shared" si="1"/>
        <v>0.55615950793921631</v>
      </c>
      <c r="O507" s="166">
        <v>631655</v>
      </c>
      <c r="P507" s="168">
        <f t="shared" si="2"/>
        <v>7.1337569575743763E-3</v>
      </c>
      <c r="Q507" s="166">
        <v>0</v>
      </c>
    </row>
    <row r="508" spans="1:17" hidden="1" x14ac:dyDescent="0.25">
      <c r="A508" s="165" t="s">
        <v>713</v>
      </c>
      <c r="B508" s="165" t="s">
        <v>458</v>
      </c>
      <c r="C508" s="165" t="s">
        <v>698</v>
      </c>
      <c r="D508" s="165" t="s">
        <v>69</v>
      </c>
      <c r="E508" s="166">
        <v>48104083</v>
      </c>
      <c r="F508" s="166">
        <v>47677858</v>
      </c>
      <c r="G508" s="166">
        <v>47337736</v>
      </c>
      <c r="H508" s="166">
        <v>0</v>
      </c>
      <c r="I508" s="166">
        <v>20870968</v>
      </c>
      <c r="J508" s="166">
        <v>0</v>
      </c>
      <c r="K508" s="166">
        <v>26466768</v>
      </c>
      <c r="L508" s="167">
        <f t="shared" si="0"/>
        <v>0.5551165490698009</v>
      </c>
      <c r="M508" s="166">
        <v>26466768</v>
      </c>
      <c r="N508" s="168">
        <f t="shared" si="1"/>
        <v>0.5551165490698009</v>
      </c>
      <c r="O508" s="166">
        <v>340122</v>
      </c>
      <c r="P508" s="168">
        <f t="shared" si="2"/>
        <v>7.1337516882574717E-3</v>
      </c>
      <c r="Q508" s="166">
        <v>0</v>
      </c>
    </row>
    <row r="509" spans="1:17" hidden="1" x14ac:dyDescent="0.25">
      <c r="A509" s="165" t="s">
        <v>713</v>
      </c>
      <c r="B509" s="165" t="s">
        <v>475</v>
      </c>
      <c r="C509" s="165" t="s">
        <v>699</v>
      </c>
      <c r="D509" s="165" t="s">
        <v>69</v>
      </c>
      <c r="E509" s="166">
        <v>13743995</v>
      </c>
      <c r="F509" s="166">
        <v>13622217</v>
      </c>
      <c r="G509" s="166">
        <v>13525039</v>
      </c>
      <c r="H509" s="166">
        <v>0</v>
      </c>
      <c r="I509" s="166">
        <v>5932338</v>
      </c>
      <c r="J509" s="166">
        <v>0</v>
      </c>
      <c r="K509" s="166">
        <v>7592701</v>
      </c>
      <c r="L509" s="167">
        <f t="shared" si="0"/>
        <v>0.55737630666139004</v>
      </c>
      <c r="M509" s="166">
        <v>7592701</v>
      </c>
      <c r="N509" s="168">
        <f t="shared" si="1"/>
        <v>0.55737630666139004</v>
      </c>
      <c r="O509" s="166">
        <v>97178</v>
      </c>
      <c r="P509" s="168">
        <f t="shared" si="2"/>
        <v>7.1337874003915809E-3</v>
      </c>
      <c r="Q509" s="166">
        <v>0</v>
      </c>
    </row>
    <row r="510" spans="1:17" hidden="1" x14ac:dyDescent="0.25">
      <c r="A510" s="165" t="s">
        <v>713</v>
      </c>
      <c r="B510" s="165" t="s">
        <v>492</v>
      </c>
      <c r="C510" s="165" t="s">
        <v>700</v>
      </c>
      <c r="D510" s="165" t="s">
        <v>69</v>
      </c>
      <c r="E510" s="166">
        <v>27487990</v>
      </c>
      <c r="F510" s="166">
        <v>27244433</v>
      </c>
      <c r="G510" s="166">
        <v>27050078</v>
      </c>
      <c r="H510" s="166">
        <v>0</v>
      </c>
      <c r="I510" s="166">
        <v>11864677</v>
      </c>
      <c r="J510" s="166">
        <v>0</v>
      </c>
      <c r="K510" s="166">
        <v>15185401</v>
      </c>
      <c r="L510" s="167">
        <f t="shared" si="0"/>
        <v>0.5573762904149997</v>
      </c>
      <c r="M510" s="166">
        <v>15185401</v>
      </c>
      <c r="N510" s="168">
        <f t="shared" si="1"/>
        <v>0.5573762904149997</v>
      </c>
      <c r="O510" s="166">
        <v>194355</v>
      </c>
      <c r="P510" s="168">
        <f t="shared" si="2"/>
        <v>7.1337509574891872E-3</v>
      </c>
      <c r="Q510" s="166">
        <v>0</v>
      </c>
    </row>
    <row r="511" spans="1:17" hidden="1" x14ac:dyDescent="0.25">
      <c r="A511" s="165" t="s">
        <v>713</v>
      </c>
      <c r="B511" s="165" t="s">
        <v>104</v>
      </c>
      <c r="C511" s="165" t="s">
        <v>105</v>
      </c>
      <c r="D511" s="165" t="s">
        <v>69</v>
      </c>
      <c r="E511" s="166">
        <v>92630000</v>
      </c>
      <c r="F511" s="166">
        <v>92630000</v>
      </c>
      <c r="G511" s="166">
        <v>84035512.400000006</v>
      </c>
      <c r="H511" s="166">
        <v>0</v>
      </c>
      <c r="I511" s="166">
        <v>26484069.699999999</v>
      </c>
      <c r="J511" s="166">
        <v>0</v>
      </c>
      <c r="K511" s="166">
        <v>55570256.299999997</v>
      </c>
      <c r="L511" s="167">
        <f t="shared" si="0"/>
        <v>0.59991640181366723</v>
      </c>
      <c r="M511" s="166">
        <v>49944589.299999997</v>
      </c>
      <c r="N511" s="168">
        <f t="shared" si="1"/>
        <v>0.53918373421137855</v>
      </c>
      <c r="O511" s="166">
        <v>10575674</v>
      </c>
      <c r="P511" s="168">
        <f t="shared" si="2"/>
        <v>0.11417115405376228</v>
      </c>
      <c r="Q511" s="166">
        <v>1981186.4</v>
      </c>
    </row>
    <row r="512" spans="1:17" hidden="1" x14ac:dyDescent="0.25">
      <c r="A512" s="165" t="s">
        <v>713</v>
      </c>
      <c r="B512" s="165" t="s">
        <v>112</v>
      </c>
      <c r="C512" s="165" t="s">
        <v>113</v>
      </c>
      <c r="D512" s="165" t="s">
        <v>69</v>
      </c>
      <c r="E512" s="166">
        <v>92630000</v>
      </c>
      <c r="F512" s="166">
        <v>92630000</v>
      </c>
      <c r="G512" s="166">
        <v>84035512.400000006</v>
      </c>
      <c r="H512" s="166">
        <v>0</v>
      </c>
      <c r="I512" s="166">
        <v>26484069.699999999</v>
      </c>
      <c r="J512" s="166">
        <v>0</v>
      </c>
      <c r="K512" s="166">
        <v>55570256.299999997</v>
      </c>
      <c r="L512" s="167">
        <f t="shared" si="0"/>
        <v>0.59991640181366723</v>
      </c>
      <c r="M512" s="166">
        <v>49944589.299999997</v>
      </c>
      <c r="N512" s="168">
        <f t="shared" si="1"/>
        <v>0.53918373421137855</v>
      </c>
      <c r="O512" s="166">
        <v>10575674</v>
      </c>
      <c r="P512" s="168">
        <f t="shared" si="2"/>
        <v>0.11417115405376228</v>
      </c>
      <c r="Q512" s="166">
        <v>1981186.4</v>
      </c>
    </row>
    <row r="513" spans="1:17" hidden="1" x14ac:dyDescent="0.25">
      <c r="A513" s="165" t="s">
        <v>713</v>
      </c>
      <c r="B513" s="165" t="s">
        <v>114</v>
      </c>
      <c r="C513" s="165" t="s">
        <v>115</v>
      </c>
      <c r="D513" s="165" t="s">
        <v>69</v>
      </c>
      <c r="E513" s="166">
        <v>54520000</v>
      </c>
      <c r="F513" s="166">
        <v>54520000</v>
      </c>
      <c r="G513" s="166">
        <v>46503012.399999999</v>
      </c>
      <c r="H513" s="166">
        <v>0</v>
      </c>
      <c r="I513" s="166">
        <v>7391762</v>
      </c>
      <c r="J513" s="166">
        <v>0</v>
      </c>
      <c r="K513" s="166">
        <v>38220474</v>
      </c>
      <c r="L513" s="167">
        <f t="shared" si="0"/>
        <v>0.70103584005869402</v>
      </c>
      <c r="M513" s="166">
        <v>32594807</v>
      </c>
      <c r="N513" s="168">
        <f t="shared" si="1"/>
        <v>0.59785045854732211</v>
      </c>
      <c r="O513" s="166">
        <v>8907764</v>
      </c>
      <c r="P513" s="168">
        <f t="shared" si="2"/>
        <v>0.1633852531181218</v>
      </c>
      <c r="Q513" s="166">
        <v>890776.4</v>
      </c>
    </row>
    <row r="514" spans="1:17" hidden="1" x14ac:dyDescent="0.25">
      <c r="A514" s="165" t="s">
        <v>713</v>
      </c>
      <c r="B514" s="165" t="s">
        <v>116</v>
      </c>
      <c r="C514" s="165" t="s">
        <v>117</v>
      </c>
      <c r="D514" s="165" t="s">
        <v>69</v>
      </c>
      <c r="E514" s="166">
        <v>34800000</v>
      </c>
      <c r="F514" s="166">
        <v>34800000</v>
      </c>
      <c r="G514" s="166">
        <v>34800000</v>
      </c>
      <c r="H514" s="166">
        <v>0</v>
      </c>
      <c r="I514" s="166">
        <v>17937307.699999999</v>
      </c>
      <c r="J514" s="166">
        <v>0</v>
      </c>
      <c r="K514" s="166">
        <v>16862692.300000001</v>
      </c>
      <c r="L514" s="167">
        <f t="shared" si="0"/>
        <v>0.48456012356321843</v>
      </c>
      <c r="M514" s="166">
        <v>16862692.300000001</v>
      </c>
      <c r="N514" s="168">
        <f t="shared" si="1"/>
        <v>0.48456012356321843</v>
      </c>
      <c r="O514" s="166">
        <v>0</v>
      </c>
      <c r="P514" s="168">
        <f t="shared" si="2"/>
        <v>0</v>
      </c>
      <c r="Q514" s="166">
        <v>0</v>
      </c>
    </row>
    <row r="515" spans="1:17" hidden="1" x14ac:dyDescent="0.25">
      <c r="A515" s="165" t="s">
        <v>713</v>
      </c>
      <c r="B515" s="165" t="s">
        <v>120</v>
      </c>
      <c r="C515" s="165" t="s">
        <v>121</v>
      </c>
      <c r="D515" s="165" t="s">
        <v>69</v>
      </c>
      <c r="E515" s="166">
        <v>2310000</v>
      </c>
      <c r="F515" s="166">
        <v>2310000</v>
      </c>
      <c r="G515" s="166">
        <v>1732500</v>
      </c>
      <c r="H515" s="166">
        <v>0</v>
      </c>
      <c r="I515" s="166">
        <v>1155000</v>
      </c>
      <c r="J515" s="166">
        <v>0</v>
      </c>
      <c r="K515" s="166">
        <v>0</v>
      </c>
      <c r="L515" s="167">
        <f t="shared" si="0"/>
        <v>0</v>
      </c>
      <c r="M515" s="166">
        <v>0</v>
      </c>
      <c r="N515" s="168">
        <f t="shared" si="1"/>
        <v>0</v>
      </c>
      <c r="O515" s="166">
        <v>1155000</v>
      </c>
      <c r="P515" s="168">
        <f t="shared" si="2"/>
        <v>0.5</v>
      </c>
      <c r="Q515" s="166">
        <v>577500</v>
      </c>
    </row>
    <row r="516" spans="1:17" hidden="1" x14ac:dyDescent="0.25">
      <c r="A516" s="165" t="s">
        <v>713</v>
      </c>
      <c r="B516" s="165" t="s">
        <v>122</v>
      </c>
      <c r="C516" s="165" t="s">
        <v>123</v>
      </c>
      <c r="D516" s="165" t="s">
        <v>69</v>
      </c>
      <c r="E516" s="166">
        <v>1000000</v>
      </c>
      <c r="F516" s="166">
        <v>1000000</v>
      </c>
      <c r="G516" s="166">
        <v>1000000</v>
      </c>
      <c r="H516" s="166">
        <v>0</v>
      </c>
      <c r="I516" s="166">
        <v>0</v>
      </c>
      <c r="J516" s="166">
        <v>0</v>
      </c>
      <c r="K516" s="166">
        <v>487090</v>
      </c>
      <c r="L516" s="167">
        <f t="shared" si="0"/>
        <v>0.48709000000000002</v>
      </c>
      <c r="M516" s="166">
        <v>487090</v>
      </c>
      <c r="N516" s="168">
        <f t="shared" si="1"/>
        <v>0.48709000000000002</v>
      </c>
      <c r="O516" s="166">
        <v>512910</v>
      </c>
      <c r="P516" s="168">
        <f t="shared" si="2"/>
        <v>0.51290999999999998</v>
      </c>
      <c r="Q516" s="166">
        <v>512910</v>
      </c>
    </row>
    <row r="517" spans="1:17" hidden="1" x14ac:dyDescent="0.25">
      <c r="A517" s="165" t="s">
        <v>713</v>
      </c>
      <c r="B517" s="165" t="s">
        <v>140</v>
      </c>
      <c r="C517" s="165" t="s">
        <v>141</v>
      </c>
      <c r="D517" s="165" t="s">
        <v>69</v>
      </c>
      <c r="E517" s="166">
        <v>0</v>
      </c>
      <c r="F517" s="166">
        <v>0</v>
      </c>
      <c r="G517" s="166">
        <v>0</v>
      </c>
      <c r="H517" s="166">
        <v>0</v>
      </c>
      <c r="I517" s="166">
        <v>0</v>
      </c>
      <c r="J517" s="166">
        <v>0</v>
      </c>
      <c r="K517" s="166">
        <v>0</v>
      </c>
      <c r="L517" s="167" t="e">
        <f t="shared" si="0"/>
        <v>#DIV/0!</v>
      </c>
      <c r="M517" s="166">
        <v>0</v>
      </c>
      <c r="N517" s="168" t="e">
        <f t="shared" si="1"/>
        <v>#DIV/0!</v>
      </c>
      <c r="O517" s="166">
        <v>0</v>
      </c>
      <c r="P517" s="168" t="e">
        <f t="shared" si="2"/>
        <v>#DIV/0!</v>
      </c>
      <c r="Q517" s="166">
        <v>0</v>
      </c>
    </row>
    <row r="518" spans="1:17" hidden="1" x14ac:dyDescent="0.25">
      <c r="A518" s="165" t="s">
        <v>713</v>
      </c>
      <c r="B518" s="165" t="s">
        <v>144</v>
      </c>
      <c r="C518" s="165" t="s">
        <v>145</v>
      </c>
      <c r="D518" s="165" t="s">
        <v>69</v>
      </c>
      <c r="E518" s="166">
        <v>0</v>
      </c>
      <c r="F518" s="166">
        <v>0</v>
      </c>
      <c r="G518" s="166">
        <v>0</v>
      </c>
      <c r="H518" s="166">
        <v>0</v>
      </c>
      <c r="I518" s="166">
        <v>0</v>
      </c>
      <c r="J518" s="166">
        <v>0</v>
      </c>
      <c r="K518" s="166">
        <v>0</v>
      </c>
      <c r="L518" s="167" t="e">
        <f t="shared" si="0"/>
        <v>#DIV/0!</v>
      </c>
      <c r="M518" s="166">
        <v>0</v>
      </c>
      <c r="N518" s="168" t="e">
        <f t="shared" si="1"/>
        <v>#DIV/0!</v>
      </c>
      <c r="O518" s="166">
        <v>0</v>
      </c>
      <c r="P518" s="168" t="e">
        <f t="shared" si="2"/>
        <v>#DIV/0!</v>
      </c>
      <c r="Q518" s="166">
        <v>0</v>
      </c>
    </row>
    <row r="519" spans="1:17" hidden="1" x14ac:dyDescent="0.25">
      <c r="A519" s="165" t="s">
        <v>713</v>
      </c>
      <c r="B519" s="165" t="s">
        <v>184</v>
      </c>
      <c r="C519" s="165" t="s">
        <v>185</v>
      </c>
      <c r="D519" s="165" t="s">
        <v>69</v>
      </c>
      <c r="E519" s="166">
        <v>150099855</v>
      </c>
      <c r="F519" s="166">
        <v>150099855</v>
      </c>
      <c r="G519" s="166">
        <v>113482916</v>
      </c>
      <c r="H519" s="166">
        <v>1889079.03</v>
      </c>
      <c r="I519" s="166">
        <v>20834974.559999999</v>
      </c>
      <c r="J519" s="166">
        <v>12528185.48</v>
      </c>
      <c r="K519" s="166">
        <v>69120347.239999995</v>
      </c>
      <c r="L519" s="167">
        <f t="shared" si="0"/>
        <v>0.46049576290396815</v>
      </c>
      <c r="M519" s="166">
        <v>69120347.239999995</v>
      </c>
      <c r="N519" s="168">
        <f t="shared" si="1"/>
        <v>0.46049576290396815</v>
      </c>
      <c r="O519" s="166">
        <v>45727268.689999998</v>
      </c>
      <c r="P519" s="168">
        <f t="shared" si="2"/>
        <v>0.30464565532058641</v>
      </c>
      <c r="Q519" s="166">
        <v>9110329.6899999995</v>
      </c>
    </row>
    <row r="520" spans="1:17" hidden="1" x14ac:dyDescent="0.25">
      <c r="A520" s="165" t="s">
        <v>713</v>
      </c>
      <c r="B520" s="165" t="s">
        <v>186</v>
      </c>
      <c r="C520" s="165" t="s">
        <v>187</v>
      </c>
      <c r="D520" s="165" t="s">
        <v>69</v>
      </c>
      <c r="E520" s="166">
        <v>568000</v>
      </c>
      <c r="F520" s="166">
        <v>568000</v>
      </c>
      <c r="G520" s="166">
        <v>568000</v>
      </c>
      <c r="H520" s="166">
        <v>559542.84</v>
      </c>
      <c r="I520" s="166">
        <v>0</v>
      </c>
      <c r="J520" s="166">
        <v>0</v>
      </c>
      <c r="K520" s="166">
        <v>0</v>
      </c>
      <c r="L520" s="167">
        <f t="shared" si="0"/>
        <v>0</v>
      </c>
      <c r="M520" s="166">
        <v>0</v>
      </c>
      <c r="N520" s="168">
        <f t="shared" si="1"/>
        <v>0</v>
      </c>
      <c r="O520" s="166">
        <v>8457.16</v>
      </c>
      <c r="P520" s="168">
        <f t="shared" si="2"/>
        <v>1.4889366197183099E-2</v>
      </c>
      <c r="Q520" s="166">
        <v>8457.16</v>
      </c>
    </row>
    <row r="521" spans="1:17" hidden="1" x14ac:dyDescent="0.25">
      <c r="A521" s="165" t="s">
        <v>713</v>
      </c>
      <c r="B521" s="165" t="s">
        <v>188</v>
      </c>
      <c r="C521" s="165" t="s">
        <v>189</v>
      </c>
      <c r="D521" s="165" t="s">
        <v>69</v>
      </c>
      <c r="E521" s="166">
        <v>5500</v>
      </c>
      <c r="F521" s="166">
        <v>5500</v>
      </c>
      <c r="G521" s="166">
        <v>5500</v>
      </c>
      <c r="H521" s="166">
        <v>0</v>
      </c>
      <c r="I521" s="166">
        <v>0</v>
      </c>
      <c r="J521" s="166">
        <v>0</v>
      </c>
      <c r="K521" s="166">
        <v>0</v>
      </c>
      <c r="L521" s="167">
        <f t="shared" si="0"/>
        <v>0</v>
      </c>
      <c r="M521" s="166">
        <v>0</v>
      </c>
      <c r="N521" s="168">
        <f t="shared" si="1"/>
        <v>0</v>
      </c>
      <c r="O521" s="166">
        <v>5500</v>
      </c>
      <c r="P521" s="168">
        <f t="shared" si="2"/>
        <v>1</v>
      </c>
      <c r="Q521" s="166">
        <v>5500</v>
      </c>
    </row>
    <row r="522" spans="1:17" hidden="1" x14ac:dyDescent="0.25">
      <c r="A522" s="44" t="s">
        <v>713</v>
      </c>
      <c r="B522" s="44" t="s">
        <v>190</v>
      </c>
      <c r="C522" s="44" t="s">
        <v>191</v>
      </c>
      <c r="D522" s="44" t="s">
        <v>69</v>
      </c>
      <c r="E522" s="50">
        <v>147500</v>
      </c>
      <c r="F522" s="50">
        <v>562500</v>
      </c>
      <c r="G522" s="50">
        <v>562500</v>
      </c>
      <c r="H522" s="50">
        <v>559542.84</v>
      </c>
      <c r="I522" s="50">
        <v>0</v>
      </c>
      <c r="J522" s="50">
        <v>0</v>
      </c>
      <c r="K522" s="50">
        <v>0</v>
      </c>
      <c r="L522" s="167">
        <f t="shared" si="0"/>
        <v>0</v>
      </c>
      <c r="M522" s="166">
        <v>0</v>
      </c>
      <c r="N522" s="168">
        <f t="shared" si="1"/>
        <v>0</v>
      </c>
      <c r="O522" s="166">
        <v>2957.16</v>
      </c>
      <c r="P522" s="168">
        <f t="shared" si="2"/>
        <v>5.2571733333333327E-3</v>
      </c>
      <c r="Q522" s="50">
        <v>2957.16</v>
      </c>
    </row>
    <row r="523" spans="1:17" hidden="1" x14ac:dyDescent="0.25">
      <c r="A523" s="44" t="s">
        <v>713</v>
      </c>
      <c r="B523" s="44" t="s">
        <v>194</v>
      </c>
      <c r="C523" s="44" t="s">
        <v>195</v>
      </c>
      <c r="D523" s="44" t="s">
        <v>69</v>
      </c>
      <c r="E523" s="50">
        <v>415000</v>
      </c>
      <c r="F523" s="50">
        <v>0</v>
      </c>
      <c r="G523" s="50">
        <v>0</v>
      </c>
      <c r="H523" s="50">
        <v>0</v>
      </c>
      <c r="I523" s="50">
        <v>0</v>
      </c>
      <c r="J523" s="50">
        <v>0</v>
      </c>
      <c r="K523" s="50">
        <v>0</v>
      </c>
      <c r="L523" s="167" t="e">
        <f t="shared" si="0"/>
        <v>#DIV/0!</v>
      </c>
      <c r="M523" s="166">
        <v>0</v>
      </c>
      <c r="N523" s="168" t="e">
        <f t="shared" si="1"/>
        <v>#DIV/0!</v>
      </c>
      <c r="O523" s="166">
        <v>0</v>
      </c>
      <c r="P523" s="168" t="e">
        <f t="shared" si="2"/>
        <v>#DIV/0!</v>
      </c>
      <c r="Q523" s="50">
        <v>0</v>
      </c>
    </row>
    <row r="524" spans="1:17" hidden="1" x14ac:dyDescent="0.25">
      <c r="A524" s="44" t="s">
        <v>713</v>
      </c>
      <c r="B524" s="44" t="s">
        <v>196</v>
      </c>
      <c r="C524" s="44" t="s">
        <v>197</v>
      </c>
      <c r="D524" s="44" t="s">
        <v>69</v>
      </c>
      <c r="E524" s="50">
        <v>148180115</v>
      </c>
      <c r="F524" s="50">
        <v>148180115</v>
      </c>
      <c r="G524" s="50">
        <v>111563176</v>
      </c>
      <c r="H524" s="50">
        <v>0</v>
      </c>
      <c r="I524" s="50">
        <v>20834974.559999999</v>
      </c>
      <c r="J524" s="50">
        <v>12528185.48</v>
      </c>
      <c r="K524" s="50">
        <v>69120347.239999995</v>
      </c>
      <c r="L524" s="167">
        <f t="shared" si="0"/>
        <v>0.46646169251522035</v>
      </c>
      <c r="M524" s="166">
        <v>69120347.239999995</v>
      </c>
      <c r="N524" s="168">
        <f t="shared" si="1"/>
        <v>0.46646169251522035</v>
      </c>
      <c r="O524" s="166">
        <v>45696607.719999999</v>
      </c>
      <c r="P524" s="168">
        <f t="shared" si="2"/>
        <v>0.30838555983034566</v>
      </c>
      <c r="Q524" s="50">
        <v>9079668.7200000007</v>
      </c>
    </row>
    <row r="525" spans="1:17" hidden="1" x14ac:dyDescent="0.25">
      <c r="A525" s="44" t="s">
        <v>713</v>
      </c>
      <c r="B525" s="44" t="s">
        <v>198</v>
      </c>
      <c r="C525" s="44" t="s">
        <v>199</v>
      </c>
      <c r="D525" s="44" t="s">
        <v>69</v>
      </c>
      <c r="E525" s="50">
        <v>148180115</v>
      </c>
      <c r="F525" s="50">
        <v>148180115</v>
      </c>
      <c r="G525" s="50">
        <v>111563176</v>
      </c>
      <c r="H525" s="50">
        <v>0</v>
      </c>
      <c r="I525" s="50">
        <v>20834974.559999999</v>
      </c>
      <c r="J525" s="50">
        <v>12528185.48</v>
      </c>
      <c r="K525" s="50">
        <v>69120347.239999995</v>
      </c>
      <c r="L525" s="167">
        <f t="shared" si="0"/>
        <v>0.46646169251522035</v>
      </c>
      <c r="M525" s="166">
        <v>69120347.239999995</v>
      </c>
      <c r="N525" s="168">
        <f t="shared" si="1"/>
        <v>0.46646169251522035</v>
      </c>
      <c r="O525" s="166">
        <v>45696607.719999999</v>
      </c>
      <c r="P525" s="168">
        <f t="shared" si="2"/>
        <v>0.30838555983034566</v>
      </c>
      <c r="Q525" s="50">
        <v>9079668.7200000007</v>
      </c>
    </row>
    <row r="526" spans="1:17" hidden="1" x14ac:dyDescent="0.25">
      <c r="A526" s="44" t="s">
        <v>713</v>
      </c>
      <c r="B526" s="44" t="s">
        <v>212</v>
      </c>
      <c r="C526" s="44" t="s">
        <v>213</v>
      </c>
      <c r="D526" s="44" t="s">
        <v>69</v>
      </c>
      <c r="E526" s="50">
        <v>1351740</v>
      </c>
      <c r="F526" s="50">
        <v>1351740</v>
      </c>
      <c r="G526" s="50">
        <v>1351740</v>
      </c>
      <c r="H526" s="50">
        <v>1329536.19</v>
      </c>
      <c r="I526" s="50">
        <v>0</v>
      </c>
      <c r="J526" s="50">
        <v>0</v>
      </c>
      <c r="K526" s="50">
        <v>0</v>
      </c>
      <c r="L526" s="167">
        <f t="shared" si="0"/>
        <v>0</v>
      </c>
      <c r="M526" s="166">
        <v>0</v>
      </c>
      <c r="N526" s="168">
        <f t="shared" si="1"/>
        <v>0</v>
      </c>
      <c r="O526" s="166">
        <v>22203.81</v>
      </c>
      <c r="P526" s="168">
        <f t="shared" si="2"/>
        <v>1.6426095255004661E-2</v>
      </c>
      <c r="Q526" s="50">
        <v>22203.81</v>
      </c>
    </row>
    <row r="527" spans="1:17" hidden="1" x14ac:dyDescent="0.25">
      <c r="A527" s="44" t="s">
        <v>713</v>
      </c>
      <c r="B527" s="44" t="s">
        <v>216</v>
      </c>
      <c r="C527" s="44" t="s">
        <v>217</v>
      </c>
      <c r="D527" s="44" t="s">
        <v>69</v>
      </c>
      <c r="E527" s="50">
        <v>708740</v>
      </c>
      <c r="F527" s="50">
        <v>708740</v>
      </c>
      <c r="G527" s="50">
        <v>708740</v>
      </c>
      <c r="H527" s="50">
        <v>694171.65</v>
      </c>
      <c r="I527" s="50">
        <v>0</v>
      </c>
      <c r="J527" s="50">
        <v>0</v>
      </c>
      <c r="K527" s="50">
        <v>0</v>
      </c>
      <c r="L527" s="167">
        <f t="shared" si="0"/>
        <v>0</v>
      </c>
      <c r="M527" s="166">
        <v>0</v>
      </c>
      <c r="N527" s="168">
        <f t="shared" si="1"/>
        <v>0</v>
      </c>
      <c r="O527" s="166">
        <v>14568.35</v>
      </c>
      <c r="P527" s="168">
        <f t="shared" si="2"/>
        <v>2.0555281203262128E-2</v>
      </c>
      <c r="Q527" s="50">
        <v>14568.35</v>
      </c>
    </row>
    <row r="528" spans="1:17" hidden="1" x14ac:dyDescent="0.25">
      <c r="A528" s="44" t="s">
        <v>713</v>
      </c>
      <c r="B528" s="44" t="s">
        <v>218</v>
      </c>
      <c r="C528" s="44" t="s">
        <v>219</v>
      </c>
      <c r="D528" s="44" t="s">
        <v>69</v>
      </c>
      <c r="E528" s="50">
        <v>616000</v>
      </c>
      <c r="F528" s="50">
        <v>616000</v>
      </c>
      <c r="G528" s="50">
        <v>616000</v>
      </c>
      <c r="H528" s="50">
        <v>611778.35</v>
      </c>
      <c r="I528" s="50">
        <v>0</v>
      </c>
      <c r="J528" s="50">
        <v>0</v>
      </c>
      <c r="K528" s="50">
        <v>0</v>
      </c>
      <c r="L528" s="167">
        <f t="shared" si="0"/>
        <v>0</v>
      </c>
      <c r="M528" s="166">
        <v>0</v>
      </c>
      <c r="N528" s="168">
        <f t="shared" si="1"/>
        <v>0</v>
      </c>
      <c r="O528" s="166">
        <v>4221.6499999999996</v>
      </c>
      <c r="P528" s="168">
        <f t="shared" si="2"/>
        <v>6.8533279220779212E-3</v>
      </c>
      <c r="Q528" s="50">
        <v>4221.6499999999996</v>
      </c>
    </row>
    <row r="529" spans="1:17" hidden="1" x14ac:dyDescent="0.25">
      <c r="A529" s="44" t="s">
        <v>713</v>
      </c>
      <c r="B529" s="44" t="s">
        <v>224</v>
      </c>
      <c r="C529" s="44" t="s">
        <v>225</v>
      </c>
      <c r="D529" s="44" t="s">
        <v>69</v>
      </c>
      <c r="E529" s="50">
        <v>27000</v>
      </c>
      <c r="F529" s="50">
        <v>27000</v>
      </c>
      <c r="G529" s="50">
        <v>27000</v>
      </c>
      <c r="H529" s="50">
        <v>23586.19</v>
      </c>
      <c r="I529" s="50">
        <v>0</v>
      </c>
      <c r="J529" s="50">
        <v>0</v>
      </c>
      <c r="K529" s="50">
        <v>0</v>
      </c>
      <c r="L529" s="167">
        <f t="shared" si="0"/>
        <v>0</v>
      </c>
      <c r="M529" s="166">
        <v>0</v>
      </c>
      <c r="N529" s="168">
        <f t="shared" si="1"/>
        <v>0</v>
      </c>
      <c r="O529" s="166">
        <v>3413.81</v>
      </c>
      <c r="P529" s="168">
        <f t="shared" si="2"/>
        <v>0.12643740740740742</v>
      </c>
      <c r="Q529" s="50">
        <v>3413.81</v>
      </c>
    </row>
    <row r="530" spans="1:17" hidden="1" x14ac:dyDescent="0.25">
      <c r="A530" s="44" t="s">
        <v>713</v>
      </c>
      <c r="B530" s="44" t="s">
        <v>230</v>
      </c>
      <c r="C530" s="44" t="s">
        <v>231</v>
      </c>
      <c r="D530" s="44" t="s">
        <v>85</v>
      </c>
      <c r="E530" s="50">
        <v>535000</v>
      </c>
      <c r="F530" s="50">
        <v>535000</v>
      </c>
      <c r="G530" s="50">
        <v>535000</v>
      </c>
      <c r="H530" s="50">
        <v>532624.16</v>
      </c>
      <c r="I530" s="50">
        <v>0</v>
      </c>
      <c r="J530" s="50">
        <v>0</v>
      </c>
      <c r="K530" s="50">
        <v>0</v>
      </c>
      <c r="L530" s="167">
        <f t="shared" si="0"/>
        <v>0</v>
      </c>
      <c r="M530" s="166">
        <v>0</v>
      </c>
      <c r="N530" s="168">
        <f t="shared" si="1"/>
        <v>0</v>
      </c>
      <c r="O530" s="166">
        <v>2375.84</v>
      </c>
      <c r="P530" s="168">
        <f t="shared" si="2"/>
        <v>4.4408224299065423E-3</v>
      </c>
      <c r="Q530" s="50">
        <v>2375.84</v>
      </c>
    </row>
    <row r="531" spans="1:17" hidden="1" x14ac:dyDescent="0.25">
      <c r="A531" s="44" t="s">
        <v>713</v>
      </c>
      <c r="B531" s="44" t="s">
        <v>232</v>
      </c>
      <c r="C531" s="44" t="s">
        <v>233</v>
      </c>
      <c r="D531" s="44" t="s">
        <v>85</v>
      </c>
      <c r="E531" s="50">
        <v>535000</v>
      </c>
      <c r="F531" s="50">
        <v>535000</v>
      </c>
      <c r="G531" s="50">
        <v>535000</v>
      </c>
      <c r="H531" s="50">
        <v>532624.16</v>
      </c>
      <c r="I531" s="50">
        <v>0</v>
      </c>
      <c r="J531" s="50">
        <v>0</v>
      </c>
      <c r="K531" s="50">
        <v>0</v>
      </c>
      <c r="L531" s="167">
        <f t="shared" si="0"/>
        <v>0</v>
      </c>
      <c r="M531" s="166">
        <v>0</v>
      </c>
      <c r="N531" s="168">
        <f t="shared" si="1"/>
        <v>0</v>
      </c>
      <c r="O531" s="166">
        <v>2375.84</v>
      </c>
      <c r="P531" s="168">
        <f t="shared" si="2"/>
        <v>4.4408224299065423E-3</v>
      </c>
      <c r="Q531" s="50">
        <v>2375.84</v>
      </c>
    </row>
    <row r="532" spans="1:17" hidden="1" x14ac:dyDescent="0.25">
      <c r="A532" s="44" t="s">
        <v>713</v>
      </c>
      <c r="B532" s="44" t="s">
        <v>326</v>
      </c>
      <c r="C532" s="44" t="s">
        <v>327</v>
      </c>
      <c r="D532" s="44" t="s">
        <v>85</v>
      </c>
      <c r="E532" s="50">
        <v>535000</v>
      </c>
      <c r="F532" s="50">
        <v>535000</v>
      </c>
      <c r="G532" s="50">
        <v>535000</v>
      </c>
      <c r="H532" s="50">
        <v>532624.16</v>
      </c>
      <c r="I532" s="50">
        <v>0</v>
      </c>
      <c r="J532" s="50">
        <v>0</v>
      </c>
      <c r="K532" s="50">
        <v>0</v>
      </c>
      <c r="L532" s="167">
        <f t="shared" si="0"/>
        <v>0</v>
      </c>
      <c r="M532" s="166">
        <v>0</v>
      </c>
      <c r="N532" s="168">
        <f t="shared" si="1"/>
        <v>0</v>
      </c>
      <c r="O532" s="166">
        <v>2375.84</v>
      </c>
      <c r="P532" s="168">
        <f t="shared" si="2"/>
        <v>4.4408224299065423E-3</v>
      </c>
      <c r="Q532" s="50">
        <v>2375.84</v>
      </c>
    </row>
    <row r="533" spans="1:17" hidden="1" x14ac:dyDescent="0.25">
      <c r="A533" s="44" t="s">
        <v>713</v>
      </c>
      <c r="B533" s="44" t="s">
        <v>248</v>
      </c>
      <c r="C533" s="44" t="s">
        <v>249</v>
      </c>
      <c r="D533" s="44" t="s">
        <v>69</v>
      </c>
      <c r="E533" s="50">
        <v>19709963</v>
      </c>
      <c r="F533" s="50">
        <v>19575196</v>
      </c>
      <c r="G533" s="50">
        <v>19467652</v>
      </c>
      <c r="H533" s="50">
        <v>0</v>
      </c>
      <c r="I533" s="50">
        <v>6672746</v>
      </c>
      <c r="J533" s="50">
        <v>0</v>
      </c>
      <c r="K533" s="50">
        <v>12437587</v>
      </c>
      <c r="L533" s="167">
        <f t="shared" si="0"/>
        <v>0.63537483864784805</v>
      </c>
      <c r="M533" s="166">
        <v>12437587</v>
      </c>
      <c r="N533" s="168">
        <f t="shared" si="1"/>
        <v>0.63537483864784805</v>
      </c>
      <c r="O533" s="166">
        <v>464863</v>
      </c>
      <c r="P533" s="168">
        <f t="shared" si="2"/>
        <v>2.3747552770352849E-2</v>
      </c>
      <c r="Q533" s="50">
        <v>357319</v>
      </c>
    </row>
    <row r="534" spans="1:17" hidden="1" x14ac:dyDescent="0.25">
      <c r="A534" s="44" t="s">
        <v>713</v>
      </c>
      <c r="B534" s="44" t="s">
        <v>250</v>
      </c>
      <c r="C534" s="44" t="s">
        <v>251</v>
      </c>
      <c r="D534" s="44" t="s">
        <v>69</v>
      </c>
      <c r="E534" s="50">
        <v>15209963</v>
      </c>
      <c r="F534" s="50">
        <v>15075196</v>
      </c>
      <c r="G534" s="50">
        <v>14967652</v>
      </c>
      <c r="H534" s="50">
        <v>0</v>
      </c>
      <c r="I534" s="50">
        <v>6672746</v>
      </c>
      <c r="J534" s="50">
        <v>0</v>
      </c>
      <c r="K534" s="50">
        <v>8294906</v>
      </c>
      <c r="L534" s="167">
        <f t="shared" si="0"/>
        <v>0.55023536675742057</v>
      </c>
      <c r="M534" s="166">
        <v>8294906</v>
      </c>
      <c r="N534" s="168">
        <f t="shared" si="1"/>
        <v>0.55023536675742057</v>
      </c>
      <c r="O534" s="166">
        <v>107544</v>
      </c>
      <c r="P534" s="168">
        <f t="shared" si="2"/>
        <v>7.1338375965393748E-3</v>
      </c>
      <c r="Q534" s="50">
        <v>0</v>
      </c>
    </row>
    <row r="535" spans="1:17" hidden="1" x14ac:dyDescent="0.25">
      <c r="A535" s="44" t="s">
        <v>713</v>
      </c>
      <c r="B535" s="44" t="s">
        <v>632</v>
      </c>
      <c r="C535" s="44" t="s">
        <v>702</v>
      </c>
      <c r="D535" s="44" t="s">
        <v>69</v>
      </c>
      <c r="E535" s="50">
        <v>12919331</v>
      </c>
      <c r="F535" s="50">
        <v>12804860</v>
      </c>
      <c r="G535" s="50">
        <v>12713512</v>
      </c>
      <c r="H535" s="50">
        <v>0</v>
      </c>
      <c r="I535" s="50">
        <v>5684056</v>
      </c>
      <c r="J535" s="50">
        <v>0</v>
      </c>
      <c r="K535" s="50">
        <v>7029456</v>
      </c>
      <c r="L535" s="167">
        <f t="shared" si="0"/>
        <v>0.54896781378320414</v>
      </c>
      <c r="M535" s="166">
        <v>7029456</v>
      </c>
      <c r="N535" s="168">
        <f t="shared" si="1"/>
        <v>0.54896781378320414</v>
      </c>
      <c r="O535" s="166">
        <v>91348</v>
      </c>
      <c r="P535" s="168">
        <f t="shared" si="2"/>
        <v>7.1338538648606856E-3</v>
      </c>
      <c r="Q535" s="50">
        <v>0</v>
      </c>
    </row>
    <row r="536" spans="1:17" hidden="1" x14ac:dyDescent="0.25">
      <c r="A536" s="44" t="s">
        <v>713</v>
      </c>
      <c r="B536" s="44" t="s">
        <v>647</v>
      </c>
      <c r="C536" s="44" t="s">
        <v>703</v>
      </c>
      <c r="D536" s="44" t="s">
        <v>69</v>
      </c>
      <c r="E536" s="50">
        <v>2290632</v>
      </c>
      <c r="F536" s="50">
        <v>2270336</v>
      </c>
      <c r="G536" s="50">
        <v>2254140</v>
      </c>
      <c r="H536" s="50">
        <v>0</v>
      </c>
      <c r="I536" s="50">
        <v>988690</v>
      </c>
      <c r="J536" s="50">
        <v>0</v>
      </c>
      <c r="K536" s="50">
        <v>1265450</v>
      </c>
      <c r="L536" s="167">
        <f t="shared" si="0"/>
        <v>0.55738445763094102</v>
      </c>
      <c r="M536" s="166">
        <v>1265450</v>
      </c>
      <c r="N536" s="168">
        <f t="shared" si="1"/>
        <v>0.55738445763094102</v>
      </c>
      <c r="O536" s="166">
        <v>16196</v>
      </c>
      <c r="P536" s="168">
        <f t="shared" si="2"/>
        <v>7.1337458420251453E-3</v>
      </c>
      <c r="Q536" s="50">
        <v>0</v>
      </c>
    </row>
    <row r="537" spans="1:17" hidden="1" x14ac:dyDescent="0.25">
      <c r="A537" s="44" t="s">
        <v>713</v>
      </c>
      <c r="B537" s="44" t="s">
        <v>260</v>
      </c>
      <c r="C537" s="44" t="s">
        <v>261</v>
      </c>
      <c r="D537" s="44" t="s">
        <v>69</v>
      </c>
      <c r="E537" s="50">
        <v>4500000</v>
      </c>
      <c r="F537" s="50">
        <v>4500000</v>
      </c>
      <c r="G537" s="50">
        <v>4500000</v>
      </c>
      <c r="H537" s="50">
        <v>0</v>
      </c>
      <c r="I537" s="50">
        <v>0</v>
      </c>
      <c r="J537" s="50">
        <v>0</v>
      </c>
      <c r="K537" s="50">
        <v>4142681</v>
      </c>
      <c r="L537" s="167">
        <f t="shared" si="0"/>
        <v>0.92059577777777779</v>
      </c>
      <c r="M537" s="166">
        <v>4142681</v>
      </c>
      <c r="N537" s="168">
        <f t="shared" si="1"/>
        <v>0.92059577777777779</v>
      </c>
      <c r="O537" s="166">
        <v>357319</v>
      </c>
      <c r="P537" s="168">
        <f t="shared" si="2"/>
        <v>7.9404222222222223E-2</v>
      </c>
      <c r="Q537" s="50">
        <v>357319</v>
      </c>
    </row>
    <row r="538" spans="1:17" hidden="1" x14ac:dyDescent="0.25">
      <c r="A538" s="44" t="s">
        <v>713</v>
      </c>
      <c r="B538" s="44" t="s">
        <v>264</v>
      </c>
      <c r="C538" s="44" t="s">
        <v>265</v>
      </c>
      <c r="D538" s="44" t="s">
        <v>69</v>
      </c>
      <c r="E538" s="50">
        <v>4500000</v>
      </c>
      <c r="F538" s="50">
        <v>4500000</v>
      </c>
      <c r="G538" s="50">
        <v>4500000</v>
      </c>
      <c r="H538" s="50">
        <v>0</v>
      </c>
      <c r="I538" s="50">
        <v>0</v>
      </c>
      <c r="J538" s="50">
        <v>0</v>
      </c>
      <c r="K538" s="50">
        <v>4142681</v>
      </c>
      <c r="L538" s="167">
        <f t="shared" si="0"/>
        <v>0.92059577777777779</v>
      </c>
      <c r="M538" s="166">
        <v>4142681</v>
      </c>
      <c r="N538" s="168">
        <f t="shared" si="1"/>
        <v>0.92059577777777779</v>
      </c>
      <c r="O538" s="166">
        <v>357319</v>
      </c>
      <c r="P538" s="168">
        <f t="shared" si="2"/>
        <v>7.9404222222222223E-2</v>
      </c>
      <c r="Q538" s="50">
        <v>357319</v>
      </c>
    </row>
    <row r="539" spans="1:17" hidden="1" x14ac:dyDescent="0.25">
      <c r="A539" s="44" t="s">
        <v>714</v>
      </c>
      <c r="B539" s="44"/>
      <c r="C539" s="44"/>
      <c r="D539" s="44" t="s">
        <v>69</v>
      </c>
      <c r="E539" s="50">
        <v>2343912564</v>
      </c>
      <c r="F539" s="50">
        <v>2285498408</v>
      </c>
      <c r="G539" s="50">
        <v>2170637867</v>
      </c>
      <c r="H539" s="50">
        <v>32227075.469999999</v>
      </c>
      <c r="I539" s="50">
        <v>165108410.59999999</v>
      </c>
      <c r="J539" s="50">
        <v>10252327.529999999</v>
      </c>
      <c r="K539" s="50">
        <v>1272117518.7</v>
      </c>
      <c r="L539" s="167">
        <f t="shared" si="0"/>
        <v>0.55660398372939934</v>
      </c>
      <c r="M539" s="166">
        <v>1269950796.54</v>
      </c>
      <c r="N539" s="168">
        <f t="shared" si="1"/>
        <v>0.55565595324623829</v>
      </c>
      <c r="O539" s="166">
        <v>805793075.70000005</v>
      </c>
      <c r="P539" s="168">
        <f t="shared" si="2"/>
        <v>0.35256776941058365</v>
      </c>
      <c r="Q539" s="50">
        <v>690932534.70000005</v>
      </c>
    </row>
    <row r="540" spans="1:17" hidden="1" x14ac:dyDescent="0.25">
      <c r="A540" s="44" t="s">
        <v>714</v>
      </c>
      <c r="B540" s="44" t="s">
        <v>71</v>
      </c>
      <c r="C540" s="44" t="s">
        <v>72</v>
      </c>
      <c r="D540" s="44" t="s">
        <v>69</v>
      </c>
      <c r="E540" s="50">
        <v>1911246104</v>
      </c>
      <c r="F540" s="50">
        <v>1874431575</v>
      </c>
      <c r="G540" s="50">
        <v>1860273235</v>
      </c>
      <c r="H540" s="50">
        <v>0</v>
      </c>
      <c r="I540" s="50">
        <v>116927745</v>
      </c>
      <c r="J540" s="50">
        <v>0</v>
      </c>
      <c r="K540" s="50">
        <v>1118901093.29</v>
      </c>
      <c r="L540" s="167">
        <f t="shared" si="0"/>
        <v>0.59692821451217815</v>
      </c>
      <c r="M540" s="166">
        <v>1118901093.29</v>
      </c>
      <c r="N540" s="168">
        <f t="shared" si="1"/>
        <v>0.59692821451217815</v>
      </c>
      <c r="O540" s="166">
        <v>638602736.71000004</v>
      </c>
      <c r="P540" s="168">
        <f t="shared" si="2"/>
        <v>0.34069141025326571</v>
      </c>
      <c r="Q540" s="50">
        <v>624444396.71000004</v>
      </c>
    </row>
    <row r="541" spans="1:17" hidden="1" x14ac:dyDescent="0.25">
      <c r="A541" s="44" t="s">
        <v>714</v>
      </c>
      <c r="B541" s="44" t="s">
        <v>73</v>
      </c>
      <c r="C541" s="44" t="s">
        <v>74</v>
      </c>
      <c r="D541" s="44" t="s">
        <v>69</v>
      </c>
      <c r="E541" s="50">
        <v>693088616</v>
      </c>
      <c r="F541" s="50">
        <v>672914792</v>
      </c>
      <c r="G541" s="50">
        <v>672914792</v>
      </c>
      <c r="H541" s="50">
        <v>0</v>
      </c>
      <c r="I541" s="50">
        <v>0</v>
      </c>
      <c r="J541" s="50">
        <v>0</v>
      </c>
      <c r="K541" s="50">
        <v>430509771.04000002</v>
      </c>
      <c r="L541" s="167">
        <f t="shared" si="0"/>
        <v>0.63976862473250551</v>
      </c>
      <c r="M541" s="166">
        <v>430509771.04000002</v>
      </c>
      <c r="N541" s="168">
        <f t="shared" si="1"/>
        <v>0.63976862473250551</v>
      </c>
      <c r="O541" s="166">
        <v>242405020.96000001</v>
      </c>
      <c r="P541" s="168">
        <f t="shared" si="2"/>
        <v>0.36023137526749449</v>
      </c>
      <c r="Q541" s="50">
        <v>242405020.96000001</v>
      </c>
    </row>
    <row r="542" spans="1:17" hidden="1" x14ac:dyDescent="0.25">
      <c r="A542" s="44" t="s">
        <v>714</v>
      </c>
      <c r="B542" s="44" t="s">
        <v>75</v>
      </c>
      <c r="C542" s="44" t="s">
        <v>76</v>
      </c>
      <c r="D542" s="44" t="s">
        <v>69</v>
      </c>
      <c r="E542" s="50">
        <v>693088616</v>
      </c>
      <c r="F542" s="50">
        <v>672914792</v>
      </c>
      <c r="G542" s="50">
        <v>672914792</v>
      </c>
      <c r="H542" s="50">
        <v>0</v>
      </c>
      <c r="I542" s="50">
        <v>0</v>
      </c>
      <c r="J542" s="50">
        <v>0</v>
      </c>
      <c r="K542" s="50">
        <v>430509771.04000002</v>
      </c>
      <c r="L542" s="167">
        <f t="shared" si="0"/>
        <v>0.63976862473250551</v>
      </c>
      <c r="M542" s="166">
        <v>430509771.04000002</v>
      </c>
      <c r="N542" s="168">
        <f t="shared" si="1"/>
        <v>0.63976862473250551</v>
      </c>
      <c r="O542" s="166">
        <v>242405020.96000001</v>
      </c>
      <c r="P542" s="168">
        <f t="shared" si="2"/>
        <v>0.36023137526749449</v>
      </c>
      <c r="Q542" s="50">
        <v>242405020.96000001</v>
      </c>
    </row>
    <row r="543" spans="1:17" hidden="1" x14ac:dyDescent="0.25">
      <c r="A543" s="44" t="s">
        <v>714</v>
      </c>
      <c r="B543" s="44" t="s">
        <v>293</v>
      </c>
      <c r="C543" s="44" t="s">
        <v>294</v>
      </c>
      <c r="D543" s="44" t="s">
        <v>69</v>
      </c>
      <c r="E543" s="50">
        <v>2572600</v>
      </c>
      <c r="F543" s="50">
        <v>2572600</v>
      </c>
      <c r="G543" s="50">
        <v>2572600</v>
      </c>
      <c r="H543" s="50">
        <v>0</v>
      </c>
      <c r="I543" s="50">
        <v>0</v>
      </c>
      <c r="J543" s="50">
        <v>0</v>
      </c>
      <c r="K543" s="50">
        <v>1293660</v>
      </c>
      <c r="L543" s="167">
        <f t="shared" si="0"/>
        <v>0.50286091891471663</v>
      </c>
      <c r="M543" s="166">
        <v>1293660</v>
      </c>
      <c r="N543" s="168">
        <f t="shared" si="1"/>
        <v>0.50286091891471663</v>
      </c>
      <c r="O543" s="166">
        <v>1278940</v>
      </c>
      <c r="P543" s="168">
        <f t="shared" si="2"/>
        <v>0.49713908108528337</v>
      </c>
      <c r="Q543" s="50">
        <v>1278940</v>
      </c>
    </row>
    <row r="544" spans="1:17" hidden="1" x14ac:dyDescent="0.25">
      <c r="A544" s="44" t="s">
        <v>714</v>
      </c>
      <c r="B544" s="44" t="s">
        <v>339</v>
      </c>
      <c r="C544" s="44" t="s">
        <v>340</v>
      </c>
      <c r="D544" s="44" t="s">
        <v>69</v>
      </c>
      <c r="E544" s="50">
        <v>2572600</v>
      </c>
      <c r="F544" s="50">
        <v>2572600</v>
      </c>
      <c r="G544" s="50">
        <v>2572600</v>
      </c>
      <c r="H544" s="50">
        <v>0</v>
      </c>
      <c r="I544" s="50">
        <v>0</v>
      </c>
      <c r="J544" s="50">
        <v>0</v>
      </c>
      <c r="K544" s="50">
        <v>1293660</v>
      </c>
      <c r="L544" s="167">
        <f t="shared" si="0"/>
        <v>0.50286091891471663</v>
      </c>
      <c r="M544" s="166">
        <v>1293660</v>
      </c>
      <c r="N544" s="168">
        <f t="shared" si="1"/>
        <v>0.50286091891471663</v>
      </c>
      <c r="O544" s="166">
        <v>1278940</v>
      </c>
      <c r="P544" s="168">
        <f t="shared" si="2"/>
        <v>0.49713908108528337</v>
      </c>
      <c r="Q544" s="50">
        <v>1278940</v>
      </c>
    </row>
    <row r="545" spans="1:17" hidden="1" x14ac:dyDescent="0.25">
      <c r="A545" s="44" t="s">
        <v>714</v>
      </c>
      <c r="B545" s="44" t="s">
        <v>77</v>
      </c>
      <c r="C545" s="44" t="s">
        <v>78</v>
      </c>
      <c r="D545" s="44" t="s">
        <v>69</v>
      </c>
      <c r="E545" s="50">
        <v>924031359</v>
      </c>
      <c r="F545" s="50">
        <v>913006573</v>
      </c>
      <c r="G545" s="50">
        <v>901008037</v>
      </c>
      <c r="H545" s="50">
        <v>0</v>
      </c>
      <c r="I545" s="50">
        <v>0</v>
      </c>
      <c r="J545" s="50">
        <v>0</v>
      </c>
      <c r="K545" s="50">
        <v>520247601.25</v>
      </c>
      <c r="L545" s="167">
        <f t="shared" si="0"/>
        <v>0.56981802391689895</v>
      </c>
      <c r="M545" s="166">
        <v>520247601.25</v>
      </c>
      <c r="N545" s="168">
        <f t="shared" si="1"/>
        <v>0.56981802391689895</v>
      </c>
      <c r="O545" s="166">
        <v>392758971.75</v>
      </c>
      <c r="P545" s="168">
        <f t="shared" si="2"/>
        <v>0.43018197608310099</v>
      </c>
      <c r="Q545" s="50">
        <v>380760435.75</v>
      </c>
    </row>
    <row r="546" spans="1:17" hidden="1" x14ac:dyDescent="0.25">
      <c r="A546" s="44" t="s">
        <v>714</v>
      </c>
      <c r="B546" s="44" t="s">
        <v>79</v>
      </c>
      <c r="C546" s="44" t="s">
        <v>80</v>
      </c>
      <c r="D546" s="44" t="s">
        <v>69</v>
      </c>
      <c r="E546" s="50">
        <v>322806400</v>
      </c>
      <c r="F546" s="50">
        <v>322806400</v>
      </c>
      <c r="G546" s="50">
        <v>311730487</v>
      </c>
      <c r="H546" s="50">
        <v>0</v>
      </c>
      <c r="I546" s="50">
        <v>0</v>
      </c>
      <c r="J546" s="50">
        <v>0</v>
      </c>
      <c r="K546" s="50">
        <v>184213664.91</v>
      </c>
      <c r="L546" s="167">
        <f t="shared" si="0"/>
        <v>0.57066298843517349</v>
      </c>
      <c r="M546" s="166">
        <v>184213664.91</v>
      </c>
      <c r="N546" s="168">
        <f t="shared" si="1"/>
        <v>0.57066298843517349</v>
      </c>
      <c r="O546" s="166">
        <v>138592735.09</v>
      </c>
      <c r="P546" s="168">
        <f t="shared" si="2"/>
        <v>0.42933701156482651</v>
      </c>
      <c r="Q546" s="50">
        <v>127516822.09</v>
      </c>
    </row>
    <row r="547" spans="1:17" hidden="1" x14ac:dyDescent="0.25">
      <c r="A547" s="44" t="s">
        <v>714</v>
      </c>
      <c r="B547" s="44" t="s">
        <v>81</v>
      </c>
      <c r="C547" s="44" t="s">
        <v>82</v>
      </c>
      <c r="D547" s="44" t="s">
        <v>69</v>
      </c>
      <c r="E547" s="50">
        <v>234712205</v>
      </c>
      <c r="F547" s="50">
        <v>227111190</v>
      </c>
      <c r="G547" s="50">
        <v>227111190</v>
      </c>
      <c r="H547" s="50">
        <v>0</v>
      </c>
      <c r="I547" s="50">
        <v>0</v>
      </c>
      <c r="J547" s="50">
        <v>0</v>
      </c>
      <c r="K547" s="50">
        <v>153987525</v>
      </c>
      <c r="L547" s="167">
        <f t="shared" si="0"/>
        <v>0.67802702720196217</v>
      </c>
      <c r="M547" s="166">
        <v>153987525</v>
      </c>
      <c r="N547" s="168">
        <f t="shared" si="1"/>
        <v>0.67802702720196217</v>
      </c>
      <c r="O547" s="166">
        <v>73123665</v>
      </c>
      <c r="P547" s="168">
        <f t="shared" si="2"/>
        <v>0.32197297279803783</v>
      </c>
      <c r="Q547" s="50">
        <v>73123665</v>
      </c>
    </row>
    <row r="548" spans="1:17" hidden="1" x14ac:dyDescent="0.25">
      <c r="A548" s="165" t="s">
        <v>714</v>
      </c>
      <c r="B548" s="165" t="s">
        <v>83</v>
      </c>
      <c r="C548" s="165" t="s">
        <v>84</v>
      </c>
      <c r="D548" s="165" t="s">
        <v>85</v>
      </c>
      <c r="E548" s="166">
        <v>124545654</v>
      </c>
      <c r="F548" s="166">
        <v>122146647</v>
      </c>
      <c r="G548" s="166">
        <v>121224024</v>
      </c>
      <c r="H548" s="166">
        <v>0</v>
      </c>
      <c r="I548" s="166">
        <v>0</v>
      </c>
      <c r="J548" s="166">
        <v>0</v>
      </c>
      <c r="K548" s="166">
        <v>0</v>
      </c>
      <c r="L548" s="167">
        <f t="shared" si="0"/>
        <v>0</v>
      </c>
      <c r="M548" s="166">
        <v>0</v>
      </c>
      <c r="N548" s="168">
        <f t="shared" si="1"/>
        <v>0</v>
      </c>
      <c r="O548" s="166">
        <v>122146647</v>
      </c>
      <c r="P548" s="168">
        <f t="shared" si="2"/>
        <v>1</v>
      </c>
      <c r="Q548" s="166">
        <v>121224024</v>
      </c>
    </row>
    <row r="549" spans="1:17" hidden="1" x14ac:dyDescent="0.25">
      <c r="A549" s="165" t="s">
        <v>714</v>
      </c>
      <c r="B549" s="165" t="s">
        <v>86</v>
      </c>
      <c r="C549" s="165" t="s">
        <v>87</v>
      </c>
      <c r="D549" s="165" t="s">
        <v>69</v>
      </c>
      <c r="E549" s="166">
        <v>114340800</v>
      </c>
      <c r="F549" s="166">
        <v>114340800</v>
      </c>
      <c r="G549" s="166">
        <v>114340800</v>
      </c>
      <c r="H549" s="166">
        <v>0</v>
      </c>
      <c r="I549" s="166">
        <v>0</v>
      </c>
      <c r="J549" s="166">
        <v>0</v>
      </c>
      <c r="K549" s="166">
        <v>100891549.97</v>
      </c>
      <c r="L549" s="167">
        <f t="shared" si="0"/>
        <v>0.88237575712256688</v>
      </c>
      <c r="M549" s="166">
        <v>100891549.97</v>
      </c>
      <c r="N549" s="168">
        <f t="shared" si="1"/>
        <v>0.88237575712256688</v>
      </c>
      <c r="O549" s="166">
        <v>13449250.029999999</v>
      </c>
      <c r="P549" s="168">
        <f t="shared" si="2"/>
        <v>0.11762424287743307</v>
      </c>
      <c r="Q549" s="166">
        <v>13449250.029999999</v>
      </c>
    </row>
    <row r="550" spans="1:17" hidden="1" x14ac:dyDescent="0.25">
      <c r="A550" s="165" t="s">
        <v>714</v>
      </c>
      <c r="B550" s="165" t="s">
        <v>88</v>
      </c>
      <c r="C550" s="165" t="s">
        <v>89</v>
      </c>
      <c r="D550" s="165" t="s">
        <v>69</v>
      </c>
      <c r="E550" s="166">
        <v>127626300</v>
      </c>
      <c r="F550" s="166">
        <v>126601536</v>
      </c>
      <c r="G550" s="166">
        <v>126601536</v>
      </c>
      <c r="H550" s="166">
        <v>0</v>
      </c>
      <c r="I550" s="166">
        <v>0</v>
      </c>
      <c r="J550" s="166">
        <v>0</v>
      </c>
      <c r="K550" s="166">
        <v>81154861.370000005</v>
      </c>
      <c r="L550" s="167">
        <f t="shared" si="0"/>
        <v>0.64102588273494565</v>
      </c>
      <c r="M550" s="166">
        <v>81154861.370000005</v>
      </c>
      <c r="N550" s="168">
        <f t="shared" si="1"/>
        <v>0.64102588273494565</v>
      </c>
      <c r="O550" s="166">
        <v>45446674.630000003</v>
      </c>
      <c r="P550" s="168">
        <f t="shared" si="2"/>
        <v>0.35897411726505435</v>
      </c>
      <c r="Q550" s="166">
        <v>45446674.630000003</v>
      </c>
    </row>
    <row r="551" spans="1:17" hidden="1" x14ac:dyDescent="0.25">
      <c r="A551" s="165" t="s">
        <v>714</v>
      </c>
      <c r="B551" s="165" t="s">
        <v>90</v>
      </c>
      <c r="C551" s="165" t="s">
        <v>91</v>
      </c>
      <c r="D551" s="165" t="s">
        <v>69</v>
      </c>
      <c r="E551" s="166">
        <v>145776815</v>
      </c>
      <c r="F551" s="166">
        <v>142968855</v>
      </c>
      <c r="G551" s="166">
        <v>141888953</v>
      </c>
      <c r="H551" s="166">
        <v>0</v>
      </c>
      <c r="I551" s="166">
        <v>58370370</v>
      </c>
      <c r="J551" s="166">
        <v>0</v>
      </c>
      <c r="K551" s="166">
        <v>83518583</v>
      </c>
      <c r="L551" s="167">
        <f t="shared" si="0"/>
        <v>0.58417326626837718</v>
      </c>
      <c r="M551" s="166">
        <v>83518583</v>
      </c>
      <c r="N551" s="168">
        <f t="shared" si="1"/>
        <v>0.58417326626837718</v>
      </c>
      <c r="O551" s="166">
        <v>1079902</v>
      </c>
      <c r="P551" s="168">
        <f t="shared" si="2"/>
        <v>7.5534073487543846E-3</v>
      </c>
      <c r="Q551" s="166">
        <v>0</v>
      </c>
    </row>
    <row r="552" spans="1:17" hidden="1" x14ac:dyDescent="0.25">
      <c r="A552" s="165" t="s">
        <v>714</v>
      </c>
      <c r="B552" s="165" t="s">
        <v>424</v>
      </c>
      <c r="C552" s="165" t="s">
        <v>697</v>
      </c>
      <c r="D552" s="165" t="s">
        <v>69</v>
      </c>
      <c r="E552" s="166">
        <v>138301084</v>
      </c>
      <c r="F552" s="166">
        <v>135637121</v>
      </c>
      <c r="G552" s="166">
        <v>134612599</v>
      </c>
      <c r="H552" s="166">
        <v>0</v>
      </c>
      <c r="I552" s="166">
        <v>55377021</v>
      </c>
      <c r="J552" s="166">
        <v>0</v>
      </c>
      <c r="K552" s="166">
        <v>79235578</v>
      </c>
      <c r="L552" s="167">
        <f t="shared" si="0"/>
        <v>0.58417325150981347</v>
      </c>
      <c r="M552" s="166">
        <v>79235578</v>
      </c>
      <c r="N552" s="168">
        <f t="shared" si="1"/>
        <v>0.58417325150981347</v>
      </c>
      <c r="O552" s="166">
        <v>1024522</v>
      </c>
      <c r="P552" s="168">
        <f t="shared" si="2"/>
        <v>7.5534042041485085E-3</v>
      </c>
      <c r="Q552" s="166">
        <v>0</v>
      </c>
    </row>
    <row r="553" spans="1:17" hidden="1" x14ac:dyDescent="0.25">
      <c r="A553" s="165" t="s">
        <v>714</v>
      </c>
      <c r="B553" s="165" t="s">
        <v>441</v>
      </c>
      <c r="C553" s="165" t="s">
        <v>95</v>
      </c>
      <c r="D553" s="165" t="s">
        <v>69</v>
      </c>
      <c r="E553" s="166">
        <v>7475731</v>
      </c>
      <c r="F553" s="166">
        <v>7331734</v>
      </c>
      <c r="G553" s="166">
        <v>7276354</v>
      </c>
      <c r="H553" s="166">
        <v>0</v>
      </c>
      <c r="I553" s="166">
        <v>2993349</v>
      </c>
      <c r="J553" s="166">
        <v>0</v>
      </c>
      <c r="K553" s="166">
        <v>4283005</v>
      </c>
      <c r="L553" s="167">
        <f t="shared" si="0"/>
        <v>0.58417353930188953</v>
      </c>
      <c r="M553" s="166">
        <v>4283005</v>
      </c>
      <c r="N553" s="168">
        <f t="shared" si="1"/>
        <v>0.58417353930188953</v>
      </c>
      <c r="O553" s="166">
        <v>55380</v>
      </c>
      <c r="P553" s="168">
        <f t="shared" si="2"/>
        <v>7.5534655239810934E-3</v>
      </c>
      <c r="Q553" s="166">
        <v>0</v>
      </c>
    </row>
    <row r="554" spans="1:17" hidden="1" x14ac:dyDescent="0.25">
      <c r="A554" s="165" t="s">
        <v>714</v>
      </c>
      <c r="B554" s="165" t="s">
        <v>96</v>
      </c>
      <c r="C554" s="165" t="s">
        <v>97</v>
      </c>
      <c r="D554" s="165" t="s">
        <v>69</v>
      </c>
      <c r="E554" s="166">
        <v>145776714</v>
      </c>
      <c r="F554" s="166">
        <v>142968755</v>
      </c>
      <c r="G554" s="166">
        <v>141888853</v>
      </c>
      <c r="H554" s="166">
        <v>0</v>
      </c>
      <c r="I554" s="166">
        <v>58557375</v>
      </c>
      <c r="J554" s="166">
        <v>0</v>
      </c>
      <c r="K554" s="166">
        <v>83331478</v>
      </c>
      <c r="L554" s="167">
        <f t="shared" si="0"/>
        <v>0.58286496234789198</v>
      </c>
      <c r="M554" s="166">
        <v>83331478</v>
      </c>
      <c r="N554" s="168">
        <f t="shared" si="1"/>
        <v>0.58286496234789198</v>
      </c>
      <c r="O554" s="166">
        <v>1079902</v>
      </c>
      <c r="P554" s="168">
        <f t="shared" si="2"/>
        <v>7.5534126320117986E-3</v>
      </c>
      <c r="Q554" s="166">
        <v>0</v>
      </c>
    </row>
    <row r="555" spans="1:17" hidden="1" x14ac:dyDescent="0.25">
      <c r="A555" s="165" t="s">
        <v>714</v>
      </c>
      <c r="B555" s="165" t="s">
        <v>459</v>
      </c>
      <c r="C555" s="165" t="s">
        <v>698</v>
      </c>
      <c r="D555" s="165" t="s">
        <v>69</v>
      </c>
      <c r="E555" s="166">
        <v>78495131</v>
      </c>
      <c r="F555" s="166">
        <v>76983152</v>
      </c>
      <c r="G555" s="166">
        <v>76401667</v>
      </c>
      <c r="H555" s="166">
        <v>0</v>
      </c>
      <c r="I555" s="166">
        <v>31617226</v>
      </c>
      <c r="J555" s="166">
        <v>0</v>
      </c>
      <c r="K555" s="166">
        <v>44784441</v>
      </c>
      <c r="L555" s="167">
        <f t="shared" si="0"/>
        <v>0.58174340536225377</v>
      </c>
      <c r="M555" s="166">
        <v>44784441</v>
      </c>
      <c r="N555" s="168">
        <f t="shared" si="1"/>
        <v>0.58174340536225377</v>
      </c>
      <c r="O555" s="166">
        <v>581485</v>
      </c>
      <c r="P555" s="168">
        <f t="shared" si="2"/>
        <v>7.5534059712182222E-3</v>
      </c>
      <c r="Q555" s="166">
        <v>0</v>
      </c>
    </row>
    <row r="556" spans="1:17" hidden="1" x14ac:dyDescent="0.25">
      <c r="A556" s="165" t="s">
        <v>714</v>
      </c>
      <c r="B556" s="165" t="s">
        <v>476</v>
      </c>
      <c r="C556" s="165" t="s">
        <v>699</v>
      </c>
      <c r="D556" s="165" t="s">
        <v>69</v>
      </c>
      <c r="E556" s="166">
        <v>22427194</v>
      </c>
      <c r="F556" s="166">
        <v>21995201</v>
      </c>
      <c r="G556" s="166">
        <v>21829062</v>
      </c>
      <c r="H556" s="166">
        <v>0</v>
      </c>
      <c r="I556" s="166">
        <v>8980050</v>
      </c>
      <c r="J556" s="166">
        <v>0</v>
      </c>
      <c r="K556" s="166">
        <v>12849012</v>
      </c>
      <c r="L556" s="167">
        <f t="shared" si="0"/>
        <v>0.58417342946763706</v>
      </c>
      <c r="M556" s="166">
        <v>12849012</v>
      </c>
      <c r="N556" s="168">
        <f t="shared" si="1"/>
        <v>0.58417342946763706</v>
      </c>
      <c r="O556" s="166">
        <v>166139</v>
      </c>
      <c r="P556" s="168">
        <f t="shared" si="2"/>
        <v>7.5534204029324399E-3</v>
      </c>
      <c r="Q556" s="166">
        <v>0</v>
      </c>
    </row>
    <row r="557" spans="1:17" hidden="1" x14ac:dyDescent="0.25">
      <c r="A557" s="165" t="s">
        <v>714</v>
      </c>
      <c r="B557" s="165" t="s">
        <v>493</v>
      </c>
      <c r="C557" s="165" t="s">
        <v>700</v>
      </c>
      <c r="D557" s="165" t="s">
        <v>69</v>
      </c>
      <c r="E557" s="166">
        <v>44854389</v>
      </c>
      <c r="F557" s="166">
        <v>43990402</v>
      </c>
      <c r="G557" s="166">
        <v>43658124</v>
      </c>
      <c r="H557" s="166">
        <v>0</v>
      </c>
      <c r="I557" s="166">
        <v>17960099</v>
      </c>
      <c r="J557" s="166">
        <v>0</v>
      </c>
      <c r="K557" s="166">
        <v>25698025</v>
      </c>
      <c r="L557" s="167">
        <f t="shared" si="0"/>
        <v>0.58417345219986849</v>
      </c>
      <c r="M557" s="166">
        <v>25698025</v>
      </c>
      <c r="N557" s="168">
        <f t="shared" si="1"/>
        <v>0.58417345219986849</v>
      </c>
      <c r="O557" s="166">
        <v>332278</v>
      </c>
      <c r="P557" s="168">
        <f t="shared" si="2"/>
        <v>7.5534204029324399E-3</v>
      </c>
      <c r="Q557" s="166">
        <v>0</v>
      </c>
    </row>
    <row r="558" spans="1:17" hidden="1" x14ac:dyDescent="0.25">
      <c r="A558" s="165" t="s">
        <v>714</v>
      </c>
      <c r="B558" s="165" t="s">
        <v>104</v>
      </c>
      <c r="C558" s="165" t="s">
        <v>105</v>
      </c>
      <c r="D558" s="165" t="s">
        <v>69</v>
      </c>
      <c r="E558" s="166">
        <v>93714000</v>
      </c>
      <c r="F558" s="166">
        <v>91126500</v>
      </c>
      <c r="G558" s="166">
        <v>86620000</v>
      </c>
      <c r="H558" s="166">
        <v>0</v>
      </c>
      <c r="I558" s="166">
        <v>28952596.300000001</v>
      </c>
      <c r="J558" s="166">
        <v>0</v>
      </c>
      <c r="K558" s="166">
        <v>48575165.640000001</v>
      </c>
      <c r="L558" s="167">
        <f t="shared" si="0"/>
        <v>0.5330520281147636</v>
      </c>
      <c r="M558" s="166">
        <v>46408443.479999997</v>
      </c>
      <c r="N558" s="168">
        <f t="shared" si="1"/>
        <v>0.50927494724366673</v>
      </c>
      <c r="O558" s="166">
        <v>13598738.060000001</v>
      </c>
      <c r="P558" s="168">
        <f t="shared" si="2"/>
        <v>0.14922923693985835</v>
      </c>
      <c r="Q558" s="166">
        <v>9092238.0600000005</v>
      </c>
    </row>
    <row r="559" spans="1:17" hidden="1" x14ac:dyDescent="0.25">
      <c r="A559" s="165" t="s">
        <v>714</v>
      </c>
      <c r="B559" s="165" t="s">
        <v>112</v>
      </c>
      <c r="C559" s="165" t="s">
        <v>113</v>
      </c>
      <c r="D559" s="165" t="s">
        <v>69</v>
      </c>
      <c r="E559" s="166">
        <v>92804000</v>
      </c>
      <c r="F559" s="166">
        <v>90216500</v>
      </c>
      <c r="G559" s="166">
        <v>85710000</v>
      </c>
      <c r="H559" s="166">
        <v>0</v>
      </c>
      <c r="I559" s="166">
        <v>28952596.300000001</v>
      </c>
      <c r="J559" s="166">
        <v>0</v>
      </c>
      <c r="K559" s="166">
        <v>48575165.640000001</v>
      </c>
      <c r="L559" s="167">
        <f t="shared" si="0"/>
        <v>0.53842884217410336</v>
      </c>
      <c r="M559" s="166">
        <v>46408443.479999997</v>
      </c>
      <c r="N559" s="168">
        <f t="shared" si="1"/>
        <v>0.51441192553468595</v>
      </c>
      <c r="O559" s="166">
        <v>12688738.060000001</v>
      </c>
      <c r="P559" s="168">
        <f t="shared" si="2"/>
        <v>0.14064764272610886</v>
      </c>
      <c r="Q559" s="166">
        <v>8182238.0599999996</v>
      </c>
    </row>
    <row r="560" spans="1:17" hidden="1" x14ac:dyDescent="0.25">
      <c r="A560" s="165" t="s">
        <v>714</v>
      </c>
      <c r="B560" s="165" t="s">
        <v>114</v>
      </c>
      <c r="C560" s="165" t="s">
        <v>115</v>
      </c>
      <c r="D560" s="165" t="s">
        <v>69</v>
      </c>
      <c r="E560" s="166">
        <v>36754000</v>
      </c>
      <c r="F560" s="166">
        <v>36754000</v>
      </c>
      <c r="G560" s="166">
        <v>36754000</v>
      </c>
      <c r="H560" s="166">
        <v>0</v>
      </c>
      <c r="I560" s="166">
        <v>5628724.6100000003</v>
      </c>
      <c r="J560" s="166">
        <v>0</v>
      </c>
      <c r="K560" s="166">
        <v>31125275.390000001</v>
      </c>
      <c r="L560" s="167">
        <f t="shared" si="0"/>
        <v>0.84685409452032434</v>
      </c>
      <c r="M560" s="166">
        <v>29693355.18</v>
      </c>
      <c r="N560" s="168">
        <f t="shared" si="1"/>
        <v>0.80789451978016003</v>
      </c>
      <c r="O560" s="166">
        <v>0</v>
      </c>
      <c r="P560" s="168">
        <f t="shared" si="2"/>
        <v>0</v>
      </c>
      <c r="Q560" s="166">
        <v>0</v>
      </c>
    </row>
    <row r="561" spans="1:17" hidden="1" x14ac:dyDescent="0.25">
      <c r="A561" s="165" t="s">
        <v>714</v>
      </c>
      <c r="B561" s="165" t="s">
        <v>116</v>
      </c>
      <c r="C561" s="165" t="s">
        <v>117</v>
      </c>
      <c r="D561" s="165" t="s">
        <v>69</v>
      </c>
      <c r="E561" s="166">
        <v>43500000</v>
      </c>
      <c r="F561" s="166">
        <v>40922500</v>
      </c>
      <c r="G561" s="166">
        <v>39303500</v>
      </c>
      <c r="H561" s="166">
        <v>0</v>
      </c>
      <c r="I561" s="166">
        <v>17514562.239999998</v>
      </c>
      <c r="J561" s="166">
        <v>0</v>
      </c>
      <c r="K561" s="166">
        <v>17014383.530000001</v>
      </c>
      <c r="L561" s="167">
        <f t="shared" si="0"/>
        <v>0.41577087250290184</v>
      </c>
      <c r="M561" s="166">
        <v>16279581.58</v>
      </c>
      <c r="N561" s="168">
        <f t="shared" si="1"/>
        <v>0.39781493261653122</v>
      </c>
      <c r="O561" s="166">
        <v>6393554.2300000004</v>
      </c>
      <c r="P561" s="168">
        <f t="shared" si="2"/>
        <v>0.15623567059685992</v>
      </c>
      <c r="Q561" s="166">
        <v>4774554.2300000004</v>
      </c>
    </row>
    <row r="562" spans="1:17" hidden="1" x14ac:dyDescent="0.25">
      <c r="A562" s="165" t="s">
        <v>714</v>
      </c>
      <c r="B562" s="165" t="s">
        <v>120</v>
      </c>
      <c r="C562" s="165" t="s">
        <v>121</v>
      </c>
      <c r="D562" s="165" t="s">
        <v>69</v>
      </c>
      <c r="E562" s="166">
        <v>11550000</v>
      </c>
      <c r="F562" s="166">
        <v>11550000</v>
      </c>
      <c r="G562" s="166">
        <v>8662500</v>
      </c>
      <c r="H562" s="166">
        <v>0</v>
      </c>
      <c r="I562" s="166">
        <v>5775000</v>
      </c>
      <c r="J562" s="166">
        <v>0</v>
      </c>
      <c r="K562" s="166">
        <v>0</v>
      </c>
      <c r="L562" s="167">
        <f t="shared" si="0"/>
        <v>0</v>
      </c>
      <c r="M562" s="166">
        <v>0</v>
      </c>
      <c r="N562" s="168">
        <f t="shared" si="1"/>
        <v>0</v>
      </c>
      <c r="O562" s="166">
        <v>5775000</v>
      </c>
      <c r="P562" s="168">
        <f t="shared" si="2"/>
        <v>0.5</v>
      </c>
      <c r="Q562" s="166">
        <v>2887500</v>
      </c>
    </row>
    <row r="563" spans="1:17" hidden="1" x14ac:dyDescent="0.25">
      <c r="A563" s="165" t="s">
        <v>714</v>
      </c>
      <c r="B563" s="165" t="s">
        <v>122</v>
      </c>
      <c r="C563" s="165" t="s">
        <v>123</v>
      </c>
      <c r="D563" s="165" t="s">
        <v>69</v>
      </c>
      <c r="E563" s="166">
        <v>1000000</v>
      </c>
      <c r="F563" s="166">
        <v>990000</v>
      </c>
      <c r="G563" s="166">
        <v>990000</v>
      </c>
      <c r="H563" s="166">
        <v>0</v>
      </c>
      <c r="I563" s="166">
        <v>34309.449999999997</v>
      </c>
      <c r="J563" s="166">
        <v>0</v>
      </c>
      <c r="K563" s="166">
        <v>435506.72</v>
      </c>
      <c r="L563" s="167">
        <f t="shared" si="0"/>
        <v>0.43990577777777773</v>
      </c>
      <c r="M563" s="166">
        <v>435506.72</v>
      </c>
      <c r="N563" s="168">
        <f t="shared" si="1"/>
        <v>0.43990577777777773</v>
      </c>
      <c r="O563" s="166">
        <v>520183.83</v>
      </c>
      <c r="P563" s="168">
        <f t="shared" si="2"/>
        <v>0.52543821212121211</v>
      </c>
      <c r="Q563" s="166">
        <v>520183.83</v>
      </c>
    </row>
    <row r="564" spans="1:17" hidden="1" x14ac:dyDescent="0.25">
      <c r="A564" s="165" t="s">
        <v>714</v>
      </c>
      <c r="B564" s="165" t="s">
        <v>134</v>
      </c>
      <c r="C564" s="165" t="s">
        <v>135</v>
      </c>
      <c r="D564" s="165" t="s">
        <v>69</v>
      </c>
      <c r="E564" s="166">
        <v>410000</v>
      </c>
      <c r="F564" s="166">
        <v>410000</v>
      </c>
      <c r="G564" s="166">
        <v>410000</v>
      </c>
      <c r="H564" s="166">
        <v>0</v>
      </c>
      <c r="I564" s="166">
        <v>0</v>
      </c>
      <c r="J564" s="166">
        <v>0</v>
      </c>
      <c r="K564" s="166">
        <v>0</v>
      </c>
      <c r="L564" s="167">
        <f t="shared" si="0"/>
        <v>0</v>
      </c>
      <c r="M564" s="166">
        <v>0</v>
      </c>
      <c r="N564" s="168">
        <f t="shared" si="1"/>
        <v>0</v>
      </c>
      <c r="O564" s="166">
        <v>410000</v>
      </c>
      <c r="P564" s="168">
        <f t="shared" si="2"/>
        <v>1</v>
      </c>
      <c r="Q564" s="166">
        <v>410000</v>
      </c>
    </row>
    <row r="565" spans="1:17" x14ac:dyDescent="0.25">
      <c r="A565" s="165" t="s">
        <v>714</v>
      </c>
      <c r="B565" s="165" t="s">
        <v>346</v>
      </c>
      <c r="C565" s="165" t="s">
        <v>347</v>
      </c>
      <c r="D565" s="165" t="s">
        <v>69</v>
      </c>
      <c r="E565" s="166">
        <v>20000</v>
      </c>
      <c r="F565" s="166">
        <v>20000</v>
      </c>
      <c r="G565" s="166">
        <v>20000</v>
      </c>
      <c r="H565" s="166">
        <v>0</v>
      </c>
      <c r="I565" s="166">
        <v>0</v>
      </c>
      <c r="J565" s="166">
        <v>0</v>
      </c>
      <c r="K565" s="166">
        <v>0</v>
      </c>
      <c r="L565" s="167">
        <f t="shared" si="0"/>
        <v>0</v>
      </c>
      <c r="M565" s="166">
        <v>0</v>
      </c>
      <c r="N565" s="168">
        <f t="shared" si="1"/>
        <v>0</v>
      </c>
      <c r="O565" s="166">
        <v>20000</v>
      </c>
      <c r="P565" s="168">
        <f t="shared" si="2"/>
        <v>1</v>
      </c>
      <c r="Q565" s="166">
        <v>20000</v>
      </c>
    </row>
    <row r="566" spans="1:17" x14ac:dyDescent="0.25">
      <c r="A566" s="165" t="s">
        <v>714</v>
      </c>
      <c r="B566" s="165" t="s">
        <v>136</v>
      </c>
      <c r="C566" s="165" t="s">
        <v>137</v>
      </c>
      <c r="D566" s="165" t="s">
        <v>69</v>
      </c>
      <c r="E566" s="166">
        <v>350000</v>
      </c>
      <c r="F566" s="166">
        <v>350000</v>
      </c>
      <c r="G566" s="166">
        <v>350000</v>
      </c>
      <c r="H566" s="166">
        <v>0</v>
      </c>
      <c r="I566" s="166">
        <v>0</v>
      </c>
      <c r="J566" s="166">
        <v>0</v>
      </c>
      <c r="K566" s="166">
        <v>0</v>
      </c>
      <c r="L566" s="167">
        <f t="shared" si="0"/>
        <v>0</v>
      </c>
      <c r="M566" s="166">
        <v>0</v>
      </c>
      <c r="N566" s="168">
        <f t="shared" si="1"/>
        <v>0</v>
      </c>
      <c r="O566" s="166">
        <v>350000</v>
      </c>
      <c r="P566" s="168">
        <f t="shared" si="2"/>
        <v>1</v>
      </c>
      <c r="Q566" s="166">
        <v>350000</v>
      </c>
    </row>
    <row r="567" spans="1:17" x14ac:dyDescent="0.25">
      <c r="A567" s="165" t="s">
        <v>714</v>
      </c>
      <c r="B567" s="165" t="s">
        <v>138</v>
      </c>
      <c r="C567" s="165" t="s">
        <v>139</v>
      </c>
      <c r="D567" s="165" t="s">
        <v>69</v>
      </c>
      <c r="E567" s="166">
        <v>40000</v>
      </c>
      <c r="F567" s="166">
        <v>40000</v>
      </c>
      <c r="G567" s="166">
        <v>40000</v>
      </c>
      <c r="H567" s="166">
        <v>0</v>
      </c>
      <c r="I567" s="166">
        <v>0</v>
      </c>
      <c r="J567" s="166">
        <v>0</v>
      </c>
      <c r="K567" s="166">
        <v>0</v>
      </c>
      <c r="L567" s="167">
        <f t="shared" si="0"/>
        <v>0</v>
      </c>
      <c r="M567" s="166">
        <v>0</v>
      </c>
      <c r="N567" s="168">
        <f t="shared" si="1"/>
        <v>0</v>
      </c>
      <c r="O567" s="166">
        <v>40000</v>
      </c>
      <c r="P567" s="168">
        <f t="shared" si="2"/>
        <v>1</v>
      </c>
      <c r="Q567" s="166">
        <v>40000</v>
      </c>
    </row>
    <row r="568" spans="1:17" hidden="1" x14ac:dyDescent="0.25">
      <c r="A568" s="165" t="s">
        <v>714</v>
      </c>
      <c r="B568" s="165" t="s">
        <v>162</v>
      </c>
      <c r="C568" s="165" t="s">
        <v>163</v>
      </c>
      <c r="D568" s="165" t="s">
        <v>69</v>
      </c>
      <c r="E568" s="166">
        <v>500000</v>
      </c>
      <c r="F568" s="166">
        <v>500000</v>
      </c>
      <c r="G568" s="166">
        <v>500000</v>
      </c>
      <c r="H568" s="166">
        <v>0</v>
      </c>
      <c r="I568" s="166">
        <v>0</v>
      </c>
      <c r="J568" s="166">
        <v>0</v>
      </c>
      <c r="K568" s="166">
        <v>0</v>
      </c>
      <c r="L568" s="167">
        <f t="shared" si="0"/>
        <v>0</v>
      </c>
      <c r="M568" s="166">
        <v>0</v>
      </c>
      <c r="N568" s="168">
        <f t="shared" si="1"/>
        <v>0</v>
      </c>
      <c r="O568" s="166">
        <v>500000</v>
      </c>
      <c r="P568" s="168">
        <f t="shared" si="2"/>
        <v>1</v>
      </c>
      <c r="Q568" s="166">
        <v>500000</v>
      </c>
    </row>
    <row r="569" spans="1:17" x14ac:dyDescent="0.25">
      <c r="A569" s="165" t="s">
        <v>714</v>
      </c>
      <c r="B569" s="165" t="s">
        <v>164</v>
      </c>
      <c r="C569" s="165" t="s">
        <v>165</v>
      </c>
      <c r="D569" s="165" t="s">
        <v>69</v>
      </c>
      <c r="E569" s="166">
        <v>100000</v>
      </c>
      <c r="F569" s="166">
        <v>100000</v>
      </c>
      <c r="G569" s="166">
        <v>100000</v>
      </c>
      <c r="H569" s="166">
        <v>0</v>
      </c>
      <c r="I569" s="166">
        <v>0</v>
      </c>
      <c r="J569" s="166">
        <v>0</v>
      </c>
      <c r="K569" s="166">
        <v>0</v>
      </c>
      <c r="L569" s="167">
        <f t="shared" si="0"/>
        <v>0</v>
      </c>
      <c r="M569" s="166">
        <v>0</v>
      </c>
      <c r="N569" s="168">
        <f t="shared" si="1"/>
        <v>0</v>
      </c>
      <c r="O569" s="166">
        <v>100000</v>
      </c>
      <c r="P569" s="168">
        <f t="shared" si="2"/>
        <v>1</v>
      </c>
      <c r="Q569" s="166">
        <v>100000</v>
      </c>
    </row>
    <row r="570" spans="1:17" x14ac:dyDescent="0.25">
      <c r="A570" s="165" t="s">
        <v>714</v>
      </c>
      <c r="B570" s="165" t="s">
        <v>172</v>
      </c>
      <c r="C570" s="165" t="s">
        <v>173</v>
      </c>
      <c r="D570" s="165" t="s">
        <v>69</v>
      </c>
      <c r="E570" s="166">
        <v>400000</v>
      </c>
      <c r="F570" s="166">
        <v>400000</v>
      </c>
      <c r="G570" s="166">
        <v>400000</v>
      </c>
      <c r="H570" s="166">
        <v>0</v>
      </c>
      <c r="I570" s="166">
        <v>0</v>
      </c>
      <c r="J570" s="166">
        <v>0</v>
      </c>
      <c r="K570" s="166">
        <v>0</v>
      </c>
      <c r="L570" s="167">
        <f t="shared" si="0"/>
        <v>0</v>
      </c>
      <c r="M570" s="166">
        <v>0</v>
      </c>
      <c r="N570" s="168">
        <f t="shared" si="1"/>
        <v>0</v>
      </c>
      <c r="O570" s="166">
        <v>400000</v>
      </c>
      <c r="P570" s="168">
        <f t="shared" si="2"/>
        <v>1</v>
      </c>
      <c r="Q570" s="166">
        <v>400000</v>
      </c>
    </row>
    <row r="571" spans="1:17" hidden="1" x14ac:dyDescent="0.25">
      <c r="A571" s="165" t="s">
        <v>714</v>
      </c>
      <c r="B571" s="165" t="s">
        <v>184</v>
      </c>
      <c r="C571" s="165" t="s">
        <v>185</v>
      </c>
      <c r="D571" s="165" t="s">
        <v>69</v>
      </c>
      <c r="E571" s="166">
        <v>301595100</v>
      </c>
      <c r="F571" s="166">
        <v>287370045</v>
      </c>
      <c r="G571" s="166">
        <v>191358205</v>
      </c>
      <c r="H571" s="166">
        <v>32227075.469999999</v>
      </c>
      <c r="I571" s="166">
        <v>9103114.3000000007</v>
      </c>
      <c r="J571" s="166">
        <v>10252327.529999999</v>
      </c>
      <c r="K571" s="166">
        <v>86772099.769999996</v>
      </c>
      <c r="L571" s="167">
        <f t="shared" si="0"/>
        <v>0.30195248697546051</v>
      </c>
      <c r="M571" s="166">
        <v>86772099.769999996</v>
      </c>
      <c r="N571" s="168">
        <f t="shared" si="1"/>
        <v>0.30195248697546051</v>
      </c>
      <c r="O571" s="166">
        <v>149015427.93000001</v>
      </c>
      <c r="P571" s="168">
        <f t="shared" si="2"/>
        <v>0.51854892506280537</v>
      </c>
      <c r="Q571" s="166">
        <v>53003587.93</v>
      </c>
    </row>
    <row r="572" spans="1:17" hidden="1" x14ac:dyDescent="0.25">
      <c r="A572" s="165" t="s">
        <v>714</v>
      </c>
      <c r="B572" s="165" t="s">
        <v>186</v>
      </c>
      <c r="C572" s="165" t="s">
        <v>187</v>
      </c>
      <c r="D572" s="165" t="s">
        <v>69</v>
      </c>
      <c r="E572" s="166">
        <v>6620568</v>
      </c>
      <c r="F572" s="166">
        <v>4620568</v>
      </c>
      <c r="G572" s="166">
        <v>4001497</v>
      </c>
      <c r="H572" s="166">
        <v>0</v>
      </c>
      <c r="I572" s="166">
        <v>0</v>
      </c>
      <c r="J572" s="166">
        <v>0</v>
      </c>
      <c r="K572" s="166">
        <v>0</v>
      </c>
      <c r="L572" s="167">
        <f t="shared" si="0"/>
        <v>0</v>
      </c>
      <c r="M572" s="166">
        <v>0</v>
      </c>
      <c r="N572" s="168">
        <f t="shared" si="1"/>
        <v>0</v>
      </c>
      <c r="O572" s="166">
        <v>4620568</v>
      </c>
      <c r="P572" s="168">
        <f t="shared" si="2"/>
        <v>1</v>
      </c>
      <c r="Q572" s="166">
        <v>4001497</v>
      </c>
    </row>
    <row r="573" spans="1:17" x14ac:dyDescent="0.25">
      <c r="A573" s="165" t="s">
        <v>714</v>
      </c>
      <c r="B573" s="165" t="s">
        <v>188</v>
      </c>
      <c r="C573" s="165" t="s">
        <v>189</v>
      </c>
      <c r="D573" s="165" t="s">
        <v>69</v>
      </c>
      <c r="E573" s="166">
        <v>2413000</v>
      </c>
      <c r="F573" s="166">
        <v>2413000</v>
      </c>
      <c r="G573" s="166">
        <v>1793929</v>
      </c>
      <c r="H573" s="166">
        <v>0</v>
      </c>
      <c r="I573" s="166">
        <v>0</v>
      </c>
      <c r="J573" s="166">
        <v>0</v>
      </c>
      <c r="K573" s="166">
        <v>0</v>
      </c>
      <c r="L573" s="167">
        <f t="shared" si="0"/>
        <v>0</v>
      </c>
      <c r="M573" s="166">
        <v>0</v>
      </c>
      <c r="N573" s="168">
        <f t="shared" si="1"/>
        <v>0</v>
      </c>
      <c r="O573" s="166">
        <v>2413000</v>
      </c>
      <c r="P573" s="168">
        <f t="shared" si="2"/>
        <v>1</v>
      </c>
      <c r="Q573" s="166">
        <v>1793929</v>
      </c>
    </row>
    <row r="574" spans="1:17" x14ac:dyDescent="0.25">
      <c r="A574" s="165" t="s">
        <v>714</v>
      </c>
      <c r="B574" s="165" t="s">
        <v>350</v>
      </c>
      <c r="C574" s="165" t="s">
        <v>351</v>
      </c>
      <c r="D574" s="165" t="s">
        <v>69</v>
      </c>
      <c r="E574" s="166">
        <v>63287</v>
      </c>
      <c r="F574" s="166">
        <v>63287</v>
      </c>
      <c r="G574" s="166">
        <v>63287</v>
      </c>
      <c r="H574" s="166">
        <v>0</v>
      </c>
      <c r="I574" s="166">
        <v>0</v>
      </c>
      <c r="J574" s="166">
        <v>0</v>
      </c>
      <c r="K574" s="166">
        <v>0</v>
      </c>
      <c r="L574" s="167">
        <f t="shared" si="0"/>
        <v>0</v>
      </c>
      <c r="M574" s="166">
        <v>0</v>
      </c>
      <c r="N574" s="168">
        <f t="shared" si="1"/>
        <v>0</v>
      </c>
      <c r="O574" s="166">
        <v>63287</v>
      </c>
      <c r="P574" s="168">
        <f t="shared" si="2"/>
        <v>1</v>
      </c>
      <c r="Q574" s="166">
        <v>63287</v>
      </c>
    </row>
    <row r="575" spans="1:17" x14ac:dyDescent="0.25">
      <c r="A575" s="165" t="s">
        <v>714</v>
      </c>
      <c r="B575" s="165" t="s">
        <v>194</v>
      </c>
      <c r="C575" s="165" t="s">
        <v>195</v>
      </c>
      <c r="D575" s="165" t="s">
        <v>69</v>
      </c>
      <c r="E575" s="166">
        <v>4144281</v>
      </c>
      <c r="F575" s="166">
        <v>2144281</v>
      </c>
      <c r="G575" s="166">
        <v>2144281</v>
      </c>
      <c r="H575" s="166">
        <v>0</v>
      </c>
      <c r="I575" s="166">
        <v>0</v>
      </c>
      <c r="J575" s="166">
        <v>0</v>
      </c>
      <c r="K575" s="166">
        <v>0</v>
      </c>
      <c r="L575" s="167">
        <f t="shared" si="0"/>
        <v>0</v>
      </c>
      <c r="M575" s="166">
        <v>0</v>
      </c>
      <c r="N575" s="168">
        <f t="shared" si="1"/>
        <v>0</v>
      </c>
      <c r="O575" s="166">
        <v>2144281</v>
      </c>
      <c r="P575" s="168">
        <f t="shared" si="2"/>
        <v>1</v>
      </c>
      <c r="Q575" s="166">
        <v>2144281</v>
      </c>
    </row>
    <row r="576" spans="1:17" hidden="1" x14ac:dyDescent="0.25">
      <c r="A576" s="165" t="s">
        <v>714</v>
      </c>
      <c r="B576" s="165" t="s">
        <v>196</v>
      </c>
      <c r="C576" s="165" t="s">
        <v>197</v>
      </c>
      <c r="D576" s="165" t="s">
        <v>69</v>
      </c>
      <c r="E576" s="166">
        <v>280709986</v>
      </c>
      <c r="F576" s="166">
        <v>280086240</v>
      </c>
      <c r="G576" s="166">
        <v>184693471</v>
      </c>
      <c r="H576" s="166">
        <v>32227075.469999999</v>
      </c>
      <c r="I576" s="166">
        <v>8842875.2899999991</v>
      </c>
      <c r="J576" s="166">
        <v>10252327.529999999</v>
      </c>
      <c r="K576" s="166">
        <v>84995976.439999998</v>
      </c>
      <c r="L576" s="167">
        <f t="shared" si="0"/>
        <v>0.3034635919279719</v>
      </c>
      <c r="M576" s="166">
        <v>84995976.439999998</v>
      </c>
      <c r="N576" s="168">
        <f t="shared" si="1"/>
        <v>0.3034635919279719</v>
      </c>
      <c r="O576" s="166">
        <v>143767985.27000001</v>
      </c>
      <c r="P576" s="168">
        <f t="shared" si="2"/>
        <v>0.51329899415979885</v>
      </c>
      <c r="Q576" s="166">
        <v>48375216.270000003</v>
      </c>
    </row>
    <row r="577" spans="1:17" hidden="1" x14ac:dyDescent="0.25">
      <c r="A577" s="165" t="s">
        <v>714</v>
      </c>
      <c r="B577" s="165" t="s">
        <v>579</v>
      </c>
      <c r="C577" s="165" t="s">
        <v>580</v>
      </c>
      <c r="D577" s="165" t="s">
        <v>69</v>
      </c>
      <c r="E577" s="166">
        <v>1988520</v>
      </c>
      <c r="F577" s="166">
        <v>1444180</v>
      </c>
      <c r="G577" s="166">
        <v>1444180</v>
      </c>
      <c r="H577" s="166">
        <v>0</v>
      </c>
      <c r="I577" s="166">
        <v>0</v>
      </c>
      <c r="J577" s="166">
        <v>0</v>
      </c>
      <c r="K577" s="166">
        <v>899840</v>
      </c>
      <c r="L577" s="167">
        <f t="shared" si="0"/>
        <v>0.62308022545666053</v>
      </c>
      <c r="M577" s="166">
        <v>899840</v>
      </c>
      <c r="N577" s="168">
        <f t="shared" si="1"/>
        <v>0.62308022545666053</v>
      </c>
      <c r="O577" s="166">
        <v>544340</v>
      </c>
      <c r="P577" s="168">
        <f t="shared" si="2"/>
        <v>0.37691977454333947</v>
      </c>
      <c r="Q577" s="166">
        <v>544340</v>
      </c>
    </row>
    <row r="578" spans="1:17" hidden="1" x14ac:dyDescent="0.25">
      <c r="A578" s="165" t="s">
        <v>714</v>
      </c>
      <c r="B578" s="165" t="s">
        <v>198</v>
      </c>
      <c r="C578" s="165" t="s">
        <v>199</v>
      </c>
      <c r="D578" s="165" t="s">
        <v>69</v>
      </c>
      <c r="E578" s="166">
        <v>278273098</v>
      </c>
      <c r="F578" s="166">
        <v>278273098</v>
      </c>
      <c r="G578" s="166">
        <v>182880329</v>
      </c>
      <c r="H578" s="166">
        <v>32227075.469999999</v>
      </c>
      <c r="I578" s="166">
        <v>8477566.6999999993</v>
      </c>
      <c r="J578" s="166">
        <v>10252327.529999999</v>
      </c>
      <c r="K578" s="166">
        <v>84096136.439999998</v>
      </c>
      <c r="L578" s="167">
        <f t="shared" si="0"/>
        <v>0.30220720955210695</v>
      </c>
      <c r="M578" s="166">
        <v>84096136.439999998</v>
      </c>
      <c r="N578" s="168">
        <f t="shared" si="1"/>
        <v>0.30220720955210695</v>
      </c>
      <c r="O578" s="166">
        <v>143219991.86000001</v>
      </c>
      <c r="P578" s="168">
        <f t="shared" si="2"/>
        <v>0.51467422790542261</v>
      </c>
      <c r="Q578" s="166">
        <v>47827222.859999999</v>
      </c>
    </row>
    <row r="579" spans="1:17" hidden="1" x14ac:dyDescent="0.25">
      <c r="A579" s="165" t="s">
        <v>714</v>
      </c>
      <c r="B579" s="165" t="s">
        <v>352</v>
      </c>
      <c r="C579" s="165" t="s">
        <v>353</v>
      </c>
      <c r="D579" s="165" t="s">
        <v>69</v>
      </c>
      <c r="E579" s="166">
        <v>448368</v>
      </c>
      <c r="F579" s="166">
        <v>368962</v>
      </c>
      <c r="G579" s="166">
        <v>368962</v>
      </c>
      <c r="H579" s="166">
        <v>0</v>
      </c>
      <c r="I579" s="166">
        <v>365308.59</v>
      </c>
      <c r="J579" s="166">
        <v>0</v>
      </c>
      <c r="K579" s="166">
        <v>0</v>
      </c>
      <c r="L579" s="167">
        <f t="shared" si="0"/>
        <v>0</v>
      </c>
      <c r="M579" s="166">
        <v>0</v>
      </c>
      <c r="N579" s="168">
        <f t="shared" si="1"/>
        <v>0</v>
      </c>
      <c r="O579" s="166">
        <v>3653.41</v>
      </c>
      <c r="P579" s="168">
        <f t="shared" si="2"/>
        <v>9.9018598121215738E-3</v>
      </c>
      <c r="Q579" s="166">
        <v>3653.41</v>
      </c>
    </row>
    <row r="580" spans="1:17" hidden="1" x14ac:dyDescent="0.25">
      <c r="A580" s="165" t="s">
        <v>714</v>
      </c>
      <c r="B580" s="165" t="s">
        <v>200</v>
      </c>
      <c r="C580" s="165" t="s">
        <v>201</v>
      </c>
      <c r="D580" s="165" t="s">
        <v>69</v>
      </c>
      <c r="E580" s="166">
        <v>8117062</v>
      </c>
      <c r="F580" s="166">
        <v>1522387</v>
      </c>
      <c r="G580" s="166">
        <v>1522387</v>
      </c>
      <c r="H580" s="166">
        <v>0</v>
      </c>
      <c r="I580" s="166">
        <v>0</v>
      </c>
      <c r="J580" s="166">
        <v>0</v>
      </c>
      <c r="K580" s="166">
        <v>1110192.48</v>
      </c>
      <c r="L580" s="167">
        <f t="shared" si="0"/>
        <v>0.72924458761142863</v>
      </c>
      <c r="M580" s="166">
        <v>1110192.48</v>
      </c>
      <c r="N580" s="168">
        <f t="shared" si="1"/>
        <v>0.72924458761142863</v>
      </c>
      <c r="O580" s="166">
        <v>412194.52</v>
      </c>
      <c r="P580" s="168">
        <f t="shared" si="2"/>
        <v>0.27075541238857137</v>
      </c>
      <c r="Q580" s="166">
        <v>412194.52</v>
      </c>
    </row>
    <row r="581" spans="1:17" hidden="1" x14ac:dyDescent="0.25">
      <c r="A581" s="165" t="s">
        <v>714</v>
      </c>
      <c r="B581" s="165" t="s">
        <v>314</v>
      </c>
      <c r="C581" s="165" t="s">
        <v>315</v>
      </c>
      <c r="D581" s="165" t="s">
        <v>69</v>
      </c>
      <c r="E581" s="166">
        <v>2959825</v>
      </c>
      <c r="F581" s="166">
        <v>0</v>
      </c>
      <c r="G581" s="166">
        <v>0</v>
      </c>
      <c r="H581" s="166">
        <v>0</v>
      </c>
      <c r="I581" s="166">
        <v>0</v>
      </c>
      <c r="J581" s="166">
        <v>0</v>
      </c>
      <c r="K581" s="166">
        <v>0</v>
      </c>
      <c r="L581" s="167" t="e">
        <f t="shared" si="0"/>
        <v>#DIV/0!</v>
      </c>
      <c r="M581" s="166">
        <v>0</v>
      </c>
      <c r="N581" s="168" t="e">
        <f t="shared" si="1"/>
        <v>#DIV/0!</v>
      </c>
      <c r="O581" s="166">
        <v>0</v>
      </c>
      <c r="P581" s="168" t="e">
        <f t="shared" si="2"/>
        <v>#DIV/0!</v>
      </c>
      <c r="Q581" s="166">
        <v>0</v>
      </c>
    </row>
    <row r="582" spans="1:17" x14ac:dyDescent="0.25">
      <c r="A582" s="165" t="s">
        <v>714</v>
      </c>
      <c r="B582" s="165" t="s">
        <v>202</v>
      </c>
      <c r="C582" s="165" t="s">
        <v>203</v>
      </c>
      <c r="D582" s="165" t="s">
        <v>69</v>
      </c>
      <c r="E582" s="166">
        <v>1322500</v>
      </c>
      <c r="F582" s="166">
        <v>22500</v>
      </c>
      <c r="G582" s="166">
        <v>22500</v>
      </c>
      <c r="H582" s="166">
        <v>0</v>
      </c>
      <c r="I582" s="166">
        <v>0</v>
      </c>
      <c r="J582" s="166">
        <v>0</v>
      </c>
      <c r="K582" s="166">
        <v>0</v>
      </c>
      <c r="L582" s="167">
        <f t="shared" si="0"/>
        <v>0</v>
      </c>
      <c r="M582" s="166">
        <v>0</v>
      </c>
      <c r="N582" s="168">
        <f t="shared" si="1"/>
        <v>0</v>
      </c>
      <c r="O582" s="166">
        <v>22500</v>
      </c>
      <c r="P582" s="168">
        <f t="shared" si="2"/>
        <v>1</v>
      </c>
      <c r="Q582" s="166">
        <v>22500</v>
      </c>
    </row>
    <row r="583" spans="1:17" hidden="1" x14ac:dyDescent="0.25">
      <c r="A583" s="165" t="s">
        <v>714</v>
      </c>
      <c r="B583" s="165" t="s">
        <v>320</v>
      </c>
      <c r="C583" s="165" t="s">
        <v>321</v>
      </c>
      <c r="D583" s="165" t="s">
        <v>69</v>
      </c>
      <c r="E583" s="166">
        <v>220000</v>
      </c>
      <c r="F583" s="166">
        <v>0</v>
      </c>
      <c r="G583" s="166">
        <v>0</v>
      </c>
      <c r="H583" s="166">
        <v>0</v>
      </c>
      <c r="I583" s="166">
        <v>0</v>
      </c>
      <c r="J583" s="166">
        <v>0</v>
      </c>
      <c r="K583" s="166">
        <v>0</v>
      </c>
      <c r="L583" s="167" t="e">
        <f t="shared" si="0"/>
        <v>#DIV/0!</v>
      </c>
      <c r="M583" s="166">
        <v>0</v>
      </c>
      <c r="N583" s="168" t="e">
        <f t="shared" si="1"/>
        <v>#DIV/0!</v>
      </c>
      <c r="O583" s="166">
        <v>0</v>
      </c>
      <c r="P583" s="168" t="e">
        <f t="shared" si="2"/>
        <v>#DIV/0!</v>
      </c>
      <c r="Q583" s="166">
        <v>0</v>
      </c>
    </row>
    <row r="584" spans="1:17" hidden="1" x14ac:dyDescent="0.25">
      <c r="A584" s="165" t="s">
        <v>714</v>
      </c>
      <c r="B584" s="165" t="s">
        <v>204</v>
      </c>
      <c r="C584" s="165" t="s">
        <v>205</v>
      </c>
      <c r="D584" s="165" t="s">
        <v>69</v>
      </c>
      <c r="E584" s="166">
        <v>1532505</v>
      </c>
      <c r="F584" s="166">
        <v>1417655</v>
      </c>
      <c r="G584" s="166">
        <v>1417655</v>
      </c>
      <c r="H584" s="166">
        <v>0</v>
      </c>
      <c r="I584" s="166">
        <v>0</v>
      </c>
      <c r="J584" s="166">
        <v>0</v>
      </c>
      <c r="K584" s="166">
        <v>1110192.48</v>
      </c>
      <c r="L584" s="167">
        <f t="shared" si="0"/>
        <v>0.7831189393752358</v>
      </c>
      <c r="M584" s="166">
        <v>1110192.48</v>
      </c>
      <c r="N584" s="168">
        <f t="shared" si="1"/>
        <v>0.7831189393752358</v>
      </c>
      <c r="O584" s="166">
        <v>307462.52</v>
      </c>
      <c r="P584" s="168">
        <f t="shared" si="2"/>
        <v>0.21688106062476414</v>
      </c>
      <c r="Q584" s="166">
        <v>307462.52</v>
      </c>
    </row>
    <row r="585" spans="1:17" x14ac:dyDescent="0.25">
      <c r="A585" s="165" t="s">
        <v>714</v>
      </c>
      <c r="B585" s="165" t="s">
        <v>322</v>
      </c>
      <c r="C585" s="165" t="s">
        <v>323</v>
      </c>
      <c r="D585" s="165" t="s">
        <v>69</v>
      </c>
      <c r="E585" s="166">
        <v>2082232</v>
      </c>
      <c r="F585" s="166">
        <v>82232</v>
      </c>
      <c r="G585" s="166">
        <v>82232</v>
      </c>
      <c r="H585" s="166">
        <v>0</v>
      </c>
      <c r="I585" s="166">
        <v>0</v>
      </c>
      <c r="J585" s="166">
        <v>0</v>
      </c>
      <c r="K585" s="166">
        <v>0</v>
      </c>
      <c r="L585" s="167">
        <f t="shared" si="0"/>
        <v>0</v>
      </c>
      <c r="M585" s="166">
        <v>0</v>
      </c>
      <c r="N585" s="168">
        <f t="shared" si="1"/>
        <v>0</v>
      </c>
      <c r="O585" s="166">
        <v>82232</v>
      </c>
      <c r="P585" s="168">
        <f t="shared" si="2"/>
        <v>1</v>
      </c>
      <c r="Q585" s="166">
        <v>82232</v>
      </c>
    </row>
    <row r="586" spans="1:17" hidden="1" x14ac:dyDescent="0.25">
      <c r="A586" s="165" t="s">
        <v>714</v>
      </c>
      <c r="B586" s="165" t="s">
        <v>206</v>
      </c>
      <c r="C586" s="165" t="s">
        <v>207</v>
      </c>
      <c r="D586" s="165" t="s">
        <v>69</v>
      </c>
      <c r="E586" s="166">
        <v>1362914</v>
      </c>
      <c r="F586" s="166">
        <v>91500</v>
      </c>
      <c r="G586" s="166">
        <v>91500</v>
      </c>
      <c r="H586" s="166">
        <v>0</v>
      </c>
      <c r="I586" s="166">
        <v>0</v>
      </c>
      <c r="J586" s="166">
        <v>0</v>
      </c>
      <c r="K586" s="166">
        <v>0</v>
      </c>
      <c r="L586" s="167">
        <f t="shared" si="0"/>
        <v>0</v>
      </c>
      <c r="M586" s="166">
        <v>0</v>
      </c>
      <c r="N586" s="168">
        <f t="shared" si="1"/>
        <v>0</v>
      </c>
      <c r="O586" s="166">
        <v>91500</v>
      </c>
      <c r="P586" s="168">
        <f t="shared" si="2"/>
        <v>1</v>
      </c>
      <c r="Q586" s="166">
        <v>91500</v>
      </c>
    </row>
    <row r="587" spans="1:17" hidden="1" x14ac:dyDescent="0.25">
      <c r="A587" s="165" t="s">
        <v>714</v>
      </c>
      <c r="B587" s="165" t="s">
        <v>208</v>
      </c>
      <c r="C587" s="165" t="s">
        <v>209</v>
      </c>
      <c r="D587" s="165" t="s">
        <v>69</v>
      </c>
      <c r="E587" s="166">
        <v>571414</v>
      </c>
      <c r="F587" s="166">
        <v>0</v>
      </c>
      <c r="G587" s="166">
        <v>0</v>
      </c>
      <c r="H587" s="166">
        <v>0</v>
      </c>
      <c r="I587" s="166">
        <v>0</v>
      </c>
      <c r="J587" s="166">
        <v>0</v>
      </c>
      <c r="K587" s="166">
        <v>0</v>
      </c>
      <c r="L587" s="167" t="e">
        <f t="shared" si="0"/>
        <v>#DIV/0!</v>
      </c>
      <c r="M587" s="166">
        <v>0</v>
      </c>
      <c r="N587" s="168" t="e">
        <f t="shared" si="1"/>
        <v>#DIV/0!</v>
      </c>
      <c r="O587" s="166">
        <v>0</v>
      </c>
      <c r="P587" s="168" t="e">
        <f t="shared" si="2"/>
        <v>#DIV/0!</v>
      </c>
      <c r="Q587" s="166">
        <v>0</v>
      </c>
    </row>
    <row r="588" spans="1:17" x14ac:dyDescent="0.25">
      <c r="A588" s="165" t="s">
        <v>714</v>
      </c>
      <c r="B588" s="165" t="s">
        <v>210</v>
      </c>
      <c r="C588" s="165" t="s">
        <v>211</v>
      </c>
      <c r="D588" s="165" t="s">
        <v>69</v>
      </c>
      <c r="E588" s="166">
        <v>791500</v>
      </c>
      <c r="F588" s="166">
        <v>91500</v>
      </c>
      <c r="G588" s="166">
        <v>91500</v>
      </c>
      <c r="H588" s="166">
        <v>0</v>
      </c>
      <c r="I588" s="166">
        <v>0</v>
      </c>
      <c r="J588" s="166">
        <v>0</v>
      </c>
      <c r="K588" s="166">
        <v>0</v>
      </c>
      <c r="L588" s="167">
        <f t="shared" si="0"/>
        <v>0</v>
      </c>
      <c r="M588" s="166">
        <v>0</v>
      </c>
      <c r="N588" s="168">
        <f t="shared" si="1"/>
        <v>0</v>
      </c>
      <c r="O588" s="166">
        <v>91500</v>
      </c>
      <c r="P588" s="168">
        <f t="shared" si="2"/>
        <v>1</v>
      </c>
      <c r="Q588" s="166">
        <v>91500</v>
      </c>
    </row>
    <row r="589" spans="1:17" hidden="1" x14ac:dyDescent="0.25">
      <c r="A589" s="165" t="s">
        <v>714</v>
      </c>
      <c r="B589" s="165" t="s">
        <v>354</v>
      </c>
      <c r="C589" s="165" t="s">
        <v>355</v>
      </c>
      <c r="D589" s="165" t="s">
        <v>69</v>
      </c>
      <c r="E589" s="166">
        <v>585840</v>
      </c>
      <c r="F589" s="166">
        <v>0</v>
      </c>
      <c r="G589" s="166">
        <v>0</v>
      </c>
      <c r="H589" s="166">
        <v>0</v>
      </c>
      <c r="I589" s="166">
        <v>0</v>
      </c>
      <c r="J589" s="166">
        <v>0</v>
      </c>
      <c r="K589" s="166">
        <v>0</v>
      </c>
      <c r="L589" s="167" t="e">
        <f t="shared" si="0"/>
        <v>#DIV/0!</v>
      </c>
      <c r="M589" s="166">
        <v>0</v>
      </c>
      <c r="N589" s="168" t="e">
        <f t="shared" si="1"/>
        <v>#DIV/0!</v>
      </c>
      <c r="O589" s="166">
        <v>0</v>
      </c>
      <c r="P589" s="168" t="e">
        <f t="shared" si="2"/>
        <v>#DIV/0!</v>
      </c>
      <c r="Q589" s="166">
        <v>0</v>
      </c>
    </row>
    <row r="590" spans="1:17" hidden="1" x14ac:dyDescent="0.25">
      <c r="A590" s="165" t="s">
        <v>714</v>
      </c>
      <c r="B590" s="165" t="s">
        <v>356</v>
      </c>
      <c r="C590" s="165" t="s">
        <v>357</v>
      </c>
      <c r="D590" s="165" t="s">
        <v>69</v>
      </c>
      <c r="E590" s="166">
        <v>585840</v>
      </c>
      <c r="F590" s="166">
        <v>0</v>
      </c>
      <c r="G590" s="166">
        <v>0</v>
      </c>
      <c r="H590" s="166">
        <v>0</v>
      </c>
      <c r="I590" s="166">
        <v>0</v>
      </c>
      <c r="J590" s="166">
        <v>0</v>
      </c>
      <c r="K590" s="166">
        <v>0</v>
      </c>
      <c r="L590" s="167" t="e">
        <f t="shared" si="0"/>
        <v>#DIV/0!</v>
      </c>
      <c r="M590" s="166">
        <v>0</v>
      </c>
      <c r="N590" s="168" t="e">
        <f t="shared" si="1"/>
        <v>#DIV/0!</v>
      </c>
      <c r="O590" s="166">
        <v>0</v>
      </c>
      <c r="P590" s="168" t="e">
        <f t="shared" si="2"/>
        <v>#DIV/0!</v>
      </c>
      <c r="Q590" s="166">
        <v>0</v>
      </c>
    </row>
    <row r="591" spans="1:17" hidden="1" x14ac:dyDescent="0.25">
      <c r="A591" s="165" t="s">
        <v>714</v>
      </c>
      <c r="B591" s="165" t="s">
        <v>212</v>
      </c>
      <c r="C591" s="165" t="s">
        <v>213</v>
      </c>
      <c r="D591" s="165" t="s">
        <v>69</v>
      </c>
      <c r="E591" s="166">
        <v>4198730</v>
      </c>
      <c r="F591" s="166">
        <v>1049350</v>
      </c>
      <c r="G591" s="166">
        <v>1049350</v>
      </c>
      <c r="H591" s="166">
        <v>0</v>
      </c>
      <c r="I591" s="166">
        <v>260239.01</v>
      </c>
      <c r="J591" s="166">
        <v>0</v>
      </c>
      <c r="K591" s="166">
        <v>665930.85</v>
      </c>
      <c r="L591" s="167">
        <f t="shared" si="0"/>
        <v>0.63461271263162911</v>
      </c>
      <c r="M591" s="166">
        <v>665930.85</v>
      </c>
      <c r="N591" s="168">
        <f t="shared" si="1"/>
        <v>0.63461271263162911</v>
      </c>
      <c r="O591" s="166">
        <v>123180.14</v>
      </c>
      <c r="P591" s="168">
        <f t="shared" si="2"/>
        <v>0.11738708724448468</v>
      </c>
      <c r="Q591" s="166">
        <v>123180.14</v>
      </c>
    </row>
    <row r="592" spans="1:17" hidden="1" x14ac:dyDescent="0.25">
      <c r="A592" s="165" t="s">
        <v>714</v>
      </c>
      <c r="B592" s="165" t="s">
        <v>220</v>
      </c>
      <c r="C592" s="165" t="s">
        <v>221</v>
      </c>
      <c r="D592" s="165" t="s">
        <v>69</v>
      </c>
      <c r="E592" s="166">
        <v>1076090</v>
      </c>
      <c r="F592" s="166">
        <v>926190</v>
      </c>
      <c r="G592" s="166">
        <v>926190</v>
      </c>
      <c r="H592" s="166">
        <v>0</v>
      </c>
      <c r="I592" s="166">
        <v>260239.01</v>
      </c>
      <c r="J592" s="166">
        <v>0</v>
      </c>
      <c r="K592" s="166">
        <v>665930.85</v>
      </c>
      <c r="L592" s="167">
        <f t="shared" si="0"/>
        <v>0.71900025912609722</v>
      </c>
      <c r="M592" s="166">
        <v>665930.85</v>
      </c>
      <c r="N592" s="168">
        <f t="shared" si="1"/>
        <v>0.71900025912609722</v>
      </c>
      <c r="O592" s="166">
        <v>20.14</v>
      </c>
      <c r="P592" s="168">
        <f t="shared" si="2"/>
        <v>2.174499832647729E-5</v>
      </c>
      <c r="Q592" s="166">
        <v>20.14</v>
      </c>
    </row>
    <row r="593" spans="1:17" x14ac:dyDescent="0.25">
      <c r="A593" s="165" t="s">
        <v>714</v>
      </c>
      <c r="B593" s="165" t="s">
        <v>222</v>
      </c>
      <c r="C593" s="165" t="s">
        <v>223</v>
      </c>
      <c r="D593" s="165" t="s">
        <v>69</v>
      </c>
      <c r="E593" s="166">
        <v>35760</v>
      </c>
      <c r="F593" s="166">
        <v>35760</v>
      </c>
      <c r="G593" s="166">
        <v>35760</v>
      </c>
      <c r="H593" s="166">
        <v>0</v>
      </c>
      <c r="I593" s="166">
        <v>0</v>
      </c>
      <c r="J593" s="166">
        <v>0</v>
      </c>
      <c r="K593" s="166">
        <v>0</v>
      </c>
      <c r="L593" s="167">
        <f t="shared" si="0"/>
        <v>0</v>
      </c>
      <c r="M593" s="166">
        <v>0</v>
      </c>
      <c r="N593" s="168">
        <f t="shared" si="1"/>
        <v>0</v>
      </c>
      <c r="O593" s="166">
        <v>35760</v>
      </c>
      <c r="P593" s="168">
        <f t="shared" si="2"/>
        <v>1</v>
      </c>
      <c r="Q593" s="166">
        <v>35760</v>
      </c>
    </row>
    <row r="594" spans="1:17" x14ac:dyDescent="0.25">
      <c r="A594" s="165" t="s">
        <v>714</v>
      </c>
      <c r="B594" s="165" t="s">
        <v>224</v>
      </c>
      <c r="C594" s="165" t="s">
        <v>225</v>
      </c>
      <c r="D594" s="165" t="s">
        <v>69</v>
      </c>
      <c r="E594" s="166">
        <v>2587400</v>
      </c>
      <c r="F594" s="166">
        <v>87400</v>
      </c>
      <c r="G594" s="166">
        <v>87400</v>
      </c>
      <c r="H594" s="166">
        <v>0</v>
      </c>
      <c r="I594" s="166">
        <v>0</v>
      </c>
      <c r="J594" s="166">
        <v>0</v>
      </c>
      <c r="K594" s="166">
        <v>0</v>
      </c>
      <c r="L594" s="167">
        <f t="shared" si="0"/>
        <v>0</v>
      </c>
      <c r="M594" s="166">
        <v>0</v>
      </c>
      <c r="N594" s="168">
        <f t="shared" si="1"/>
        <v>0</v>
      </c>
      <c r="O594" s="166">
        <v>87400</v>
      </c>
      <c r="P594" s="168">
        <f t="shared" si="2"/>
        <v>1</v>
      </c>
      <c r="Q594" s="166">
        <v>87400</v>
      </c>
    </row>
    <row r="595" spans="1:17" hidden="1" x14ac:dyDescent="0.25">
      <c r="A595" s="165" t="s">
        <v>714</v>
      </c>
      <c r="B595" s="165" t="s">
        <v>228</v>
      </c>
      <c r="C595" s="165" t="s">
        <v>229</v>
      </c>
      <c r="D595" s="165" t="s">
        <v>69</v>
      </c>
      <c r="E595" s="166">
        <v>499480</v>
      </c>
      <c r="F595" s="166">
        <v>0</v>
      </c>
      <c r="G595" s="166">
        <v>0</v>
      </c>
      <c r="H595" s="166">
        <v>0</v>
      </c>
      <c r="I595" s="166">
        <v>0</v>
      </c>
      <c r="J595" s="166">
        <v>0</v>
      </c>
      <c r="K595" s="166">
        <v>0</v>
      </c>
      <c r="L595" s="167" t="e">
        <f t="shared" si="0"/>
        <v>#DIV/0!</v>
      </c>
      <c r="M595" s="166">
        <v>0</v>
      </c>
      <c r="N595" s="168" t="e">
        <f t="shared" si="1"/>
        <v>#DIV/0!</v>
      </c>
      <c r="O595" s="166">
        <v>0</v>
      </c>
      <c r="P595" s="168" t="e">
        <f t="shared" si="2"/>
        <v>#DIV/0!</v>
      </c>
      <c r="Q595" s="166">
        <v>0</v>
      </c>
    </row>
    <row r="596" spans="1:17" hidden="1" x14ac:dyDescent="0.25">
      <c r="A596" s="165" t="s">
        <v>714</v>
      </c>
      <c r="B596" s="165" t="s">
        <v>230</v>
      </c>
      <c r="C596" s="165" t="s">
        <v>231</v>
      </c>
      <c r="D596" s="165" t="s">
        <v>85</v>
      </c>
      <c r="E596" s="166">
        <v>5038000</v>
      </c>
      <c r="F596" s="166">
        <v>729000</v>
      </c>
      <c r="G596" s="166">
        <v>729000</v>
      </c>
      <c r="H596" s="166">
        <v>0</v>
      </c>
      <c r="I596" s="166">
        <v>0</v>
      </c>
      <c r="J596" s="166">
        <v>0</v>
      </c>
      <c r="K596" s="166">
        <v>75000</v>
      </c>
      <c r="L596" s="167">
        <f t="shared" si="0"/>
        <v>0.102880658436214</v>
      </c>
      <c r="M596" s="166">
        <v>75000</v>
      </c>
      <c r="N596" s="168">
        <f t="shared" si="1"/>
        <v>0.102880658436214</v>
      </c>
      <c r="O596" s="166">
        <v>654000</v>
      </c>
      <c r="P596" s="168">
        <f t="shared" si="2"/>
        <v>0.89711934156378603</v>
      </c>
      <c r="Q596" s="166">
        <v>654000</v>
      </c>
    </row>
    <row r="597" spans="1:17" hidden="1" x14ac:dyDescent="0.25">
      <c r="A597" s="165" t="s">
        <v>714</v>
      </c>
      <c r="B597" s="165" t="s">
        <v>232</v>
      </c>
      <c r="C597" s="165" t="s">
        <v>233</v>
      </c>
      <c r="D597" s="165" t="s">
        <v>85</v>
      </c>
      <c r="E597" s="166">
        <v>4954000</v>
      </c>
      <c r="F597" s="166">
        <v>654000</v>
      </c>
      <c r="G597" s="166">
        <v>654000</v>
      </c>
      <c r="H597" s="166">
        <v>0</v>
      </c>
      <c r="I597" s="166">
        <v>0</v>
      </c>
      <c r="J597" s="166">
        <v>0</v>
      </c>
      <c r="K597" s="166">
        <v>0</v>
      </c>
      <c r="L597" s="167">
        <f t="shared" si="0"/>
        <v>0</v>
      </c>
      <c r="M597" s="166">
        <v>0</v>
      </c>
      <c r="N597" s="168">
        <f t="shared" si="1"/>
        <v>0</v>
      </c>
      <c r="O597" s="166">
        <v>654000</v>
      </c>
      <c r="P597" s="168">
        <f t="shared" si="2"/>
        <v>1</v>
      </c>
      <c r="Q597" s="166">
        <v>654000</v>
      </c>
    </row>
    <row r="598" spans="1:17" x14ac:dyDescent="0.25">
      <c r="A598" s="165" t="s">
        <v>714</v>
      </c>
      <c r="B598" s="165" t="s">
        <v>234</v>
      </c>
      <c r="C598" s="165" t="s">
        <v>235</v>
      </c>
      <c r="D598" s="165" t="s">
        <v>85</v>
      </c>
      <c r="E598" s="166">
        <v>3565000</v>
      </c>
      <c r="F598" s="166">
        <v>565000</v>
      </c>
      <c r="G598" s="166">
        <v>565000</v>
      </c>
      <c r="H598" s="166">
        <v>0</v>
      </c>
      <c r="I598" s="166">
        <v>0</v>
      </c>
      <c r="J598" s="166">
        <v>0</v>
      </c>
      <c r="K598" s="166">
        <v>0</v>
      </c>
      <c r="L598" s="167">
        <f t="shared" si="0"/>
        <v>0</v>
      </c>
      <c r="M598" s="166">
        <v>0</v>
      </c>
      <c r="N598" s="168">
        <f t="shared" si="1"/>
        <v>0</v>
      </c>
      <c r="O598" s="166">
        <v>565000</v>
      </c>
      <c r="P598" s="168">
        <f t="shared" si="2"/>
        <v>1</v>
      </c>
      <c r="Q598" s="166">
        <v>565000</v>
      </c>
    </row>
    <row r="599" spans="1:17" x14ac:dyDescent="0.25">
      <c r="A599" s="165" t="s">
        <v>714</v>
      </c>
      <c r="B599" s="165" t="s">
        <v>242</v>
      </c>
      <c r="C599" s="165" t="s">
        <v>243</v>
      </c>
      <c r="D599" s="165" t="s">
        <v>85</v>
      </c>
      <c r="E599" s="166">
        <v>1389000</v>
      </c>
      <c r="F599" s="166">
        <v>89000</v>
      </c>
      <c r="G599" s="166">
        <v>89000</v>
      </c>
      <c r="H599" s="166">
        <v>0</v>
      </c>
      <c r="I599" s="166">
        <v>0</v>
      </c>
      <c r="J599" s="166">
        <v>0</v>
      </c>
      <c r="K599" s="166">
        <v>0</v>
      </c>
      <c r="L599" s="167">
        <f t="shared" si="0"/>
        <v>0</v>
      </c>
      <c r="M599" s="166">
        <v>0</v>
      </c>
      <c r="N599" s="168">
        <f t="shared" si="1"/>
        <v>0</v>
      </c>
      <c r="O599" s="166">
        <v>89000</v>
      </c>
      <c r="P599" s="168">
        <f t="shared" si="2"/>
        <v>1</v>
      </c>
      <c r="Q599" s="166">
        <v>89000</v>
      </c>
    </row>
    <row r="600" spans="1:17" hidden="1" x14ac:dyDescent="0.25">
      <c r="A600" s="44" t="s">
        <v>714</v>
      </c>
      <c r="B600" s="44" t="s">
        <v>244</v>
      </c>
      <c r="C600" s="44" t="s">
        <v>245</v>
      </c>
      <c r="D600" s="44" t="s">
        <v>85</v>
      </c>
      <c r="E600" s="50">
        <v>84000</v>
      </c>
      <c r="F600" s="50">
        <v>75000</v>
      </c>
      <c r="G600" s="50">
        <v>75000</v>
      </c>
      <c r="H600" s="50">
        <v>0</v>
      </c>
      <c r="I600" s="50">
        <v>0</v>
      </c>
      <c r="J600" s="50">
        <v>0</v>
      </c>
      <c r="K600" s="50">
        <v>75000</v>
      </c>
      <c r="L600" s="167">
        <f t="shared" si="0"/>
        <v>1</v>
      </c>
      <c r="M600" s="166">
        <v>75000</v>
      </c>
      <c r="N600" s="168">
        <f t="shared" si="1"/>
        <v>1</v>
      </c>
      <c r="O600" s="166">
        <v>0</v>
      </c>
      <c r="P600" s="168">
        <f t="shared" si="2"/>
        <v>0</v>
      </c>
      <c r="Q600" s="50">
        <v>0</v>
      </c>
    </row>
    <row r="601" spans="1:17" hidden="1" x14ac:dyDescent="0.25">
      <c r="A601" s="44" t="s">
        <v>714</v>
      </c>
      <c r="B601" s="44" t="s">
        <v>611</v>
      </c>
      <c r="C601" s="44" t="s">
        <v>612</v>
      </c>
      <c r="D601" s="44" t="s">
        <v>85</v>
      </c>
      <c r="E601" s="50">
        <v>84000</v>
      </c>
      <c r="F601" s="50">
        <v>75000</v>
      </c>
      <c r="G601" s="50">
        <v>75000</v>
      </c>
      <c r="H601" s="50">
        <v>0</v>
      </c>
      <c r="I601" s="50">
        <v>0</v>
      </c>
      <c r="J601" s="50">
        <v>0</v>
      </c>
      <c r="K601" s="50">
        <v>75000</v>
      </c>
      <c r="L601" s="167">
        <f t="shared" si="0"/>
        <v>1</v>
      </c>
      <c r="M601" s="166">
        <v>75000</v>
      </c>
      <c r="N601" s="168">
        <f t="shared" si="1"/>
        <v>1</v>
      </c>
      <c r="O601" s="166">
        <v>0</v>
      </c>
      <c r="P601" s="168">
        <f t="shared" si="2"/>
        <v>0</v>
      </c>
      <c r="Q601" s="50">
        <v>0</v>
      </c>
    </row>
    <row r="602" spans="1:17" hidden="1" x14ac:dyDescent="0.25">
      <c r="A602" s="44" t="s">
        <v>714</v>
      </c>
      <c r="B602" s="44" t="s">
        <v>248</v>
      </c>
      <c r="C602" s="44" t="s">
        <v>249</v>
      </c>
      <c r="D602" s="44" t="s">
        <v>69</v>
      </c>
      <c r="E602" s="50">
        <v>32319360</v>
      </c>
      <c r="F602" s="50">
        <v>31841288</v>
      </c>
      <c r="G602" s="50">
        <v>31657427</v>
      </c>
      <c r="H602" s="50">
        <v>0</v>
      </c>
      <c r="I602" s="50">
        <v>10124955</v>
      </c>
      <c r="J602" s="50">
        <v>0</v>
      </c>
      <c r="K602" s="50">
        <v>17794160</v>
      </c>
      <c r="L602" s="167">
        <f t="shared" si="0"/>
        <v>0.5588392027357687</v>
      </c>
      <c r="M602" s="166">
        <v>17794160</v>
      </c>
      <c r="N602" s="168">
        <f t="shared" si="1"/>
        <v>0.5588392027357687</v>
      </c>
      <c r="O602" s="166">
        <v>3922173</v>
      </c>
      <c r="P602" s="168">
        <f t="shared" si="2"/>
        <v>0.1231788425141596</v>
      </c>
      <c r="Q602" s="50">
        <v>3738312</v>
      </c>
    </row>
    <row r="603" spans="1:17" hidden="1" x14ac:dyDescent="0.25">
      <c r="A603" s="44" t="s">
        <v>714</v>
      </c>
      <c r="B603" s="44" t="s">
        <v>250</v>
      </c>
      <c r="C603" s="44" t="s">
        <v>251</v>
      </c>
      <c r="D603" s="44" t="s">
        <v>69</v>
      </c>
      <c r="E603" s="50">
        <v>24819360</v>
      </c>
      <c r="F603" s="50">
        <v>24341288</v>
      </c>
      <c r="G603" s="50">
        <v>24157427</v>
      </c>
      <c r="H603" s="50">
        <v>0</v>
      </c>
      <c r="I603" s="50">
        <v>10124955</v>
      </c>
      <c r="J603" s="50">
        <v>0</v>
      </c>
      <c r="K603" s="50">
        <v>14032472</v>
      </c>
      <c r="L603" s="167">
        <f t="shared" si="0"/>
        <v>0.57648847505522305</v>
      </c>
      <c r="M603" s="166">
        <v>14032472</v>
      </c>
      <c r="N603" s="168">
        <f t="shared" si="1"/>
        <v>0.57648847505522305</v>
      </c>
      <c r="O603" s="166">
        <v>183861</v>
      </c>
      <c r="P603" s="168">
        <f t="shared" si="2"/>
        <v>7.5534622489984915E-3</v>
      </c>
      <c r="Q603" s="50">
        <v>0</v>
      </c>
    </row>
    <row r="604" spans="1:17" hidden="1" x14ac:dyDescent="0.25">
      <c r="A604" s="44" t="s">
        <v>714</v>
      </c>
      <c r="B604" s="44" t="s">
        <v>633</v>
      </c>
      <c r="C604" s="44" t="s">
        <v>702</v>
      </c>
      <c r="D604" s="44" t="s">
        <v>69</v>
      </c>
      <c r="E604" s="50">
        <v>21081545</v>
      </c>
      <c r="F604" s="50">
        <v>20675471</v>
      </c>
      <c r="G604" s="50">
        <v>20519300</v>
      </c>
      <c r="H604" s="50">
        <v>0</v>
      </c>
      <c r="I604" s="50">
        <v>8628329</v>
      </c>
      <c r="J604" s="50">
        <v>0</v>
      </c>
      <c r="K604" s="50">
        <v>11890971</v>
      </c>
      <c r="L604" s="167">
        <f t="shared" si="0"/>
        <v>0.57512455218069758</v>
      </c>
      <c r="M604" s="166">
        <v>11890971</v>
      </c>
      <c r="N604" s="168">
        <f t="shared" si="1"/>
        <v>0.57512455218069758</v>
      </c>
      <c r="O604" s="166">
        <v>156171</v>
      </c>
      <c r="P604" s="168">
        <f t="shared" si="2"/>
        <v>7.553443401603765E-3</v>
      </c>
      <c r="Q604" s="50">
        <v>0</v>
      </c>
    </row>
    <row r="605" spans="1:17" hidden="1" x14ac:dyDescent="0.25">
      <c r="A605" s="44" t="s">
        <v>714</v>
      </c>
      <c r="B605" s="44" t="s">
        <v>648</v>
      </c>
      <c r="C605" s="44" t="s">
        <v>703</v>
      </c>
      <c r="D605" s="44" t="s">
        <v>69</v>
      </c>
      <c r="E605" s="50">
        <v>3737815</v>
      </c>
      <c r="F605" s="50">
        <v>3665817</v>
      </c>
      <c r="G605" s="50">
        <v>3638127</v>
      </c>
      <c r="H605" s="50">
        <v>0</v>
      </c>
      <c r="I605" s="50">
        <v>1496626</v>
      </c>
      <c r="J605" s="50">
        <v>0</v>
      </c>
      <c r="K605" s="50">
        <v>2141501</v>
      </c>
      <c r="L605" s="167">
        <f t="shared" si="0"/>
        <v>0.58418109796533757</v>
      </c>
      <c r="M605" s="166">
        <v>2141501</v>
      </c>
      <c r="N605" s="168">
        <f t="shared" si="1"/>
        <v>0.58418109796533757</v>
      </c>
      <c r="O605" s="166">
        <v>27690</v>
      </c>
      <c r="P605" s="168">
        <f t="shared" si="2"/>
        <v>7.5535685496575522E-3</v>
      </c>
      <c r="Q605" s="50">
        <v>0</v>
      </c>
    </row>
    <row r="606" spans="1:17" hidden="1" x14ac:dyDescent="0.25">
      <c r="A606" s="44" t="s">
        <v>714</v>
      </c>
      <c r="B606" s="44" t="s">
        <v>260</v>
      </c>
      <c r="C606" s="44" t="s">
        <v>261</v>
      </c>
      <c r="D606" s="44" t="s">
        <v>69</v>
      </c>
      <c r="E606" s="50">
        <v>7500000</v>
      </c>
      <c r="F606" s="50">
        <v>7500000</v>
      </c>
      <c r="G606" s="50">
        <v>7500000</v>
      </c>
      <c r="H606" s="50">
        <v>0</v>
      </c>
      <c r="I606" s="50">
        <v>0</v>
      </c>
      <c r="J606" s="50">
        <v>0</v>
      </c>
      <c r="K606" s="50">
        <v>3761688</v>
      </c>
      <c r="L606" s="167">
        <f t="shared" si="0"/>
        <v>0.50155839999999996</v>
      </c>
      <c r="M606" s="166">
        <v>3761688</v>
      </c>
      <c r="N606" s="168">
        <f t="shared" si="1"/>
        <v>0.50155839999999996</v>
      </c>
      <c r="O606" s="166">
        <v>3738312</v>
      </c>
      <c r="P606" s="168">
        <f t="shared" si="2"/>
        <v>0.49844159999999998</v>
      </c>
      <c r="Q606" s="50">
        <v>3738312</v>
      </c>
    </row>
    <row r="607" spans="1:17" hidden="1" x14ac:dyDescent="0.25">
      <c r="A607" s="44" t="s">
        <v>714</v>
      </c>
      <c r="B607" s="44" t="s">
        <v>264</v>
      </c>
      <c r="C607" s="44" t="s">
        <v>265</v>
      </c>
      <c r="D607" s="44" t="s">
        <v>69</v>
      </c>
      <c r="E607" s="50">
        <v>7500000</v>
      </c>
      <c r="F607" s="50">
        <v>7500000</v>
      </c>
      <c r="G607" s="50">
        <v>7500000</v>
      </c>
      <c r="H607" s="50">
        <v>0</v>
      </c>
      <c r="I607" s="50">
        <v>0</v>
      </c>
      <c r="J607" s="50">
        <v>0</v>
      </c>
      <c r="K607" s="50">
        <v>3761688</v>
      </c>
      <c r="L607" s="167">
        <f t="shared" si="0"/>
        <v>0.50155839999999996</v>
      </c>
      <c r="M607" s="166">
        <v>3761688</v>
      </c>
      <c r="N607" s="168">
        <f t="shared" si="1"/>
        <v>0.50155839999999996</v>
      </c>
      <c r="O607" s="166">
        <v>3738312</v>
      </c>
      <c r="P607" s="168">
        <f t="shared" si="2"/>
        <v>0.49844159999999998</v>
      </c>
      <c r="Q607" s="50">
        <v>3738312</v>
      </c>
    </row>
    <row r="608" spans="1:17" hidden="1" x14ac:dyDescent="0.25">
      <c r="A608" s="44" t="s">
        <v>715</v>
      </c>
      <c r="B608" s="44"/>
      <c r="C608" s="44"/>
      <c r="D608" s="44" t="s">
        <v>69</v>
      </c>
      <c r="E608" s="50">
        <v>1188120522</v>
      </c>
      <c r="F608" s="50">
        <v>1159548072</v>
      </c>
      <c r="G608" s="50">
        <v>1144783892</v>
      </c>
      <c r="H608" s="50">
        <v>0</v>
      </c>
      <c r="I608" s="50">
        <v>88545866.400000006</v>
      </c>
      <c r="J608" s="50">
        <v>0</v>
      </c>
      <c r="K608" s="50">
        <v>655915629.82000005</v>
      </c>
      <c r="L608" s="167">
        <f t="shared" si="0"/>
        <v>0.56566488760459088</v>
      </c>
      <c r="M608" s="166">
        <v>655602224.46000004</v>
      </c>
      <c r="N608" s="168">
        <f t="shared" si="1"/>
        <v>0.56539460526997454</v>
      </c>
      <c r="O608" s="166">
        <v>415086575.77999997</v>
      </c>
      <c r="P608" s="168">
        <f t="shared" si="2"/>
        <v>0.35797271868518099</v>
      </c>
      <c r="Q608" s="50">
        <v>400322395.77999997</v>
      </c>
    </row>
    <row r="609" spans="1:17" hidden="1" x14ac:dyDescent="0.25">
      <c r="A609" s="44" t="s">
        <v>715</v>
      </c>
      <c r="B609" s="44" t="s">
        <v>71</v>
      </c>
      <c r="C609" s="44" t="s">
        <v>72</v>
      </c>
      <c r="D609" s="44" t="s">
        <v>69</v>
      </c>
      <c r="E609" s="50">
        <v>1139557000</v>
      </c>
      <c r="F609" s="50">
        <v>1115820185</v>
      </c>
      <c r="G609" s="50">
        <v>1107863284</v>
      </c>
      <c r="H609" s="50">
        <v>0</v>
      </c>
      <c r="I609" s="50">
        <v>74971901</v>
      </c>
      <c r="J609" s="50">
        <v>0</v>
      </c>
      <c r="K609" s="50">
        <v>636823074.82000005</v>
      </c>
      <c r="L609" s="167">
        <f t="shared" si="0"/>
        <v>0.57072195267734838</v>
      </c>
      <c r="M609" s="166">
        <v>636823074.82000005</v>
      </c>
      <c r="N609" s="168">
        <f t="shared" si="1"/>
        <v>0.57072195267734838</v>
      </c>
      <c r="O609" s="166">
        <v>404025209.18000001</v>
      </c>
      <c r="P609" s="168">
        <f t="shared" si="2"/>
        <v>0.3620880986124122</v>
      </c>
      <c r="Q609" s="50">
        <v>396068308.18000001</v>
      </c>
    </row>
    <row r="610" spans="1:17" hidden="1" x14ac:dyDescent="0.25">
      <c r="A610" s="44" t="s">
        <v>715</v>
      </c>
      <c r="B610" s="44" t="s">
        <v>73</v>
      </c>
      <c r="C610" s="44" t="s">
        <v>74</v>
      </c>
      <c r="D610" s="44" t="s">
        <v>69</v>
      </c>
      <c r="E610" s="50">
        <v>400867000</v>
      </c>
      <c r="F610" s="50">
        <v>388692700</v>
      </c>
      <c r="G610" s="50">
        <v>388692700</v>
      </c>
      <c r="H610" s="50">
        <v>0</v>
      </c>
      <c r="I610" s="50">
        <v>0</v>
      </c>
      <c r="J610" s="50">
        <v>0</v>
      </c>
      <c r="K610" s="50">
        <v>244306150.86000001</v>
      </c>
      <c r="L610" s="167">
        <f t="shared" si="0"/>
        <v>0.62853290236734571</v>
      </c>
      <c r="M610" s="166">
        <v>244306150.86000001</v>
      </c>
      <c r="N610" s="168">
        <f t="shared" si="1"/>
        <v>0.62853290236734571</v>
      </c>
      <c r="O610" s="166">
        <v>144386549.13999999</v>
      </c>
      <c r="P610" s="168">
        <f t="shared" si="2"/>
        <v>0.37146709763265423</v>
      </c>
      <c r="Q610" s="50">
        <v>144386549.13999999</v>
      </c>
    </row>
    <row r="611" spans="1:17" hidden="1" x14ac:dyDescent="0.25">
      <c r="A611" s="44" t="s">
        <v>715</v>
      </c>
      <c r="B611" s="44" t="s">
        <v>75</v>
      </c>
      <c r="C611" s="44" t="s">
        <v>76</v>
      </c>
      <c r="D611" s="44" t="s">
        <v>69</v>
      </c>
      <c r="E611" s="50">
        <v>400867000</v>
      </c>
      <c r="F611" s="50">
        <v>388692700</v>
      </c>
      <c r="G611" s="50">
        <v>388692700</v>
      </c>
      <c r="H611" s="50">
        <v>0</v>
      </c>
      <c r="I611" s="50">
        <v>0</v>
      </c>
      <c r="J611" s="50">
        <v>0</v>
      </c>
      <c r="K611" s="50">
        <v>244306150.86000001</v>
      </c>
      <c r="L611" s="167">
        <f t="shared" si="0"/>
        <v>0.62853290236734571</v>
      </c>
      <c r="M611" s="166">
        <v>244306150.86000001</v>
      </c>
      <c r="N611" s="168">
        <f t="shared" si="1"/>
        <v>0.62853290236734571</v>
      </c>
      <c r="O611" s="166">
        <v>144386549.13999999</v>
      </c>
      <c r="P611" s="168">
        <f t="shared" si="2"/>
        <v>0.37146709763265423</v>
      </c>
      <c r="Q611" s="50">
        <v>144386549.13999999</v>
      </c>
    </row>
    <row r="612" spans="1:17" hidden="1" x14ac:dyDescent="0.25">
      <c r="A612" s="44" t="s">
        <v>715</v>
      </c>
      <c r="B612" s="44" t="s">
        <v>77</v>
      </c>
      <c r="C612" s="44" t="s">
        <v>78</v>
      </c>
      <c r="D612" s="44" t="s">
        <v>69</v>
      </c>
      <c r="E612" s="50">
        <v>564855020</v>
      </c>
      <c r="F612" s="50">
        <v>556913468</v>
      </c>
      <c r="G612" s="50">
        <v>550170363</v>
      </c>
      <c r="H612" s="50">
        <v>0</v>
      </c>
      <c r="I612" s="50">
        <v>0</v>
      </c>
      <c r="J612" s="50">
        <v>0</v>
      </c>
      <c r="K612" s="50">
        <v>298488603.95999998</v>
      </c>
      <c r="L612" s="167">
        <f t="shared" si="0"/>
        <v>0.53596944787839096</v>
      </c>
      <c r="M612" s="166">
        <v>298488603.95999998</v>
      </c>
      <c r="N612" s="168">
        <f t="shared" si="1"/>
        <v>0.53596944787839096</v>
      </c>
      <c r="O612" s="166">
        <v>258424864.03999999</v>
      </c>
      <c r="P612" s="168">
        <f t="shared" si="2"/>
        <v>0.46403055212160893</v>
      </c>
      <c r="Q612" s="50">
        <v>251681759.03999999</v>
      </c>
    </row>
    <row r="613" spans="1:17" hidden="1" x14ac:dyDescent="0.25">
      <c r="A613" s="44" t="s">
        <v>715</v>
      </c>
      <c r="B613" s="44" t="s">
        <v>79</v>
      </c>
      <c r="C613" s="44" t="s">
        <v>80</v>
      </c>
      <c r="D613" s="44" t="s">
        <v>69</v>
      </c>
      <c r="E613" s="50">
        <v>153608900</v>
      </c>
      <c r="F613" s="50">
        <v>153608900</v>
      </c>
      <c r="G613" s="50">
        <v>147384303</v>
      </c>
      <c r="H613" s="50">
        <v>0</v>
      </c>
      <c r="I613" s="50">
        <v>0</v>
      </c>
      <c r="J613" s="50">
        <v>0</v>
      </c>
      <c r="K613" s="50">
        <v>79292223.230000004</v>
      </c>
      <c r="L613" s="167">
        <f t="shared" si="0"/>
        <v>0.51619550188823693</v>
      </c>
      <c r="M613" s="166">
        <v>79292223.230000004</v>
      </c>
      <c r="N613" s="168">
        <f t="shared" si="1"/>
        <v>0.51619550188823693</v>
      </c>
      <c r="O613" s="166">
        <v>74316676.769999996</v>
      </c>
      <c r="P613" s="168">
        <f t="shared" si="2"/>
        <v>0.48380449811176302</v>
      </c>
      <c r="Q613" s="50">
        <v>68092079.769999996</v>
      </c>
    </row>
    <row r="614" spans="1:17" hidden="1" x14ac:dyDescent="0.25">
      <c r="A614" s="44" t="s">
        <v>715</v>
      </c>
      <c r="B614" s="44" t="s">
        <v>81</v>
      </c>
      <c r="C614" s="44" t="s">
        <v>82</v>
      </c>
      <c r="D614" s="44" t="s">
        <v>69</v>
      </c>
      <c r="E614" s="50">
        <v>194052109</v>
      </c>
      <c r="F614" s="50">
        <v>188799681</v>
      </c>
      <c r="G614" s="50">
        <v>188799681</v>
      </c>
      <c r="H614" s="50">
        <v>0</v>
      </c>
      <c r="I614" s="50">
        <v>0</v>
      </c>
      <c r="J614" s="50">
        <v>0</v>
      </c>
      <c r="K614" s="50">
        <v>115779951.68000001</v>
      </c>
      <c r="L614" s="167">
        <f t="shared" si="0"/>
        <v>0.61324230563715842</v>
      </c>
      <c r="M614" s="166">
        <v>115779951.68000001</v>
      </c>
      <c r="N614" s="168">
        <f t="shared" si="1"/>
        <v>0.61324230563715842</v>
      </c>
      <c r="O614" s="166">
        <v>73019729.319999993</v>
      </c>
      <c r="P614" s="168">
        <f t="shared" si="2"/>
        <v>0.38675769436284158</v>
      </c>
      <c r="Q614" s="50">
        <v>73019729.319999993</v>
      </c>
    </row>
    <row r="615" spans="1:17" x14ac:dyDescent="0.25">
      <c r="A615" s="165" t="s">
        <v>715</v>
      </c>
      <c r="B615" s="165" t="s">
        <v>83</v>
      </c>
      <c r="C615" s="165" t="s">
        <v>84</v>
      </c>
      <c r="D615" s="165" t="s">
        <v>85</v>
      </c>
      <c r="E615" s="166">
        <v>74258811</v>
      </c>
      <c r="F615" s="166">
        <v>72712009</v>
      </c>
      <c r="G615" s="166">
        <v>72193501</v>
      </c>
      <c r="H615" s="166">
        <v>0</v>
      </c>
      <c r="I615" s="166">
        <v>0</v>
      </c>
      <c r="J615" s="166">
        <v>0</v>
      </c>
      <c r="K615" s="166">
        <v>0</v>
      </c>
      <c r="L615" s="167">
        <f t="shared" si="0"/>
        <v>0</v>
      </c>
      <c r="M615" s="166">
        <v>0</v>
      </c>
      <c r="N615" s="168">
        <f t="shared" si="1"/>
        <v>0</v>
      </c>
      <c r="O615" s="166">
        <v>72712009</v>
      </c>
      <c r="P615" s="168">
        <f t="shared" si="2"/>
        <v>1</v>
      </c>
      <c r="Q615" s="166">
        <v>72193501</v>
      </c>
    </row>
    <row r="616" spans="1:17" x14ac:dyDescent="0.25">
      <c r="A616" s="165" t="s">
        <v>715</v>
      </c>
      <c r="B616" s="165" t="s">
        <v>86</v>
      </c>
      <c r="C616" s="165" t="s">
        <v>87</v>
      </c>
      <c r="D616" s="165" t="s">
        <v>69</v>
      </c>
      <c r="E616" s="166">
        <v>68267000</v>
      </c>
      <c r="F616" s="166">
        <v>68267000</v>
      </c>
      <c r="G616" s="166">
        <v>68267000</v>
      </c>
      <c r="H616" s="166">
        <v>0</v>
      </c>
      <c r="I616" s="166">
        <v>0</v>
      </c>
      <c r="J616" s="166">
        <v>0</v>
      </c>
      <c r="K616" s="166">
        <v>61310698.509999998</v>
      </c>
      <c r="L616" s="167">
        <f t="shared" si="0"/>
        <v>0.89810154994360381</v>
      </c>
      <c r="M616" s="166">
        <v>61310698.509999998</v>
      </c>
      <c r="N616" s="168">
        <f t="shared" si="1"/>
        <v>0.89810154994360381</v>
      </c>
      <c r="O616" s="166">
        <v>6956301.4900000002</v>
      </c>
      <c r="P616" s="168">
        <f t="shared" si="2"/>
        <v>0.10189845005639621</v>
      </c>
      <c r="Q616" s="166">
        <v>6956301.4900000002</v>
      </c>
    </row>
    <row r="617" spans="1:17" hidden="1" x14ac:dyDescent="0.25">
      <c r="A617" s="165" t="s">
        <v>715</v>
      </c>
      <c r="B617" s="165" t="s">
        <v>88</v>
      </c>
      <c r="C617" s="165" t="s">
        <v>89</v>
      </c>
      <c r="D617" s="165" t="s">
        <v>69</v>
      </c>
      <c r="E617" s="166">
        <v>74668200</v>
      </c>
      <c r="F617" s="166">
        <v>73525878</v>
      </c>
      <c r="G617" s="166">
        <v>73525878</v>
      </c>
      <c r="H617" s="166">
        <v>0</v>
      </c>
      <c r="I617" s="166">
        <v>0</v>
      </c>
      <c r="J617" s="166">
        <v>0</v>
      </c>
      <c r="K617" s="166">
        <v>42105730.539999999</v>
      </c>
      <c r="L617" s="167">
        <f t="shared" si="0"/>
        <v>0.57266545718774009</v>
      </c>
      <c r="M617" s="166">
        <v>42105730.539999999</v>
      </c>
      <c r="N617" s="168">
        <f t="shared" si="1"/>
        <v>0.57266545718774009</v>
      </c>
      <c r="O617" s="166">
        <v>31420147.460000001</v>
      </c>
      <c r="P617" s="168">
        <f t="shared" si="2"/>
        <v>0.42733454281225991</v>
      </c>
      <c r="Q617" s="166">
        <v>31420147.460000001</v>
      </c>
    </row>
    <row r="618" spans="1:17" hidden="1" x14ac:dyDescent="0.25">
      <c r="A618" s="165" t="s">
        <v>715</v>
      </c>
      <c r="B618" s="165" t="s">
        <v>90</v>
      </c>
      <c r="C618" s="165" t="s">
        <v>91</v>
      </c>
      <c r="D618" s="165" t="s">
        <v>69</v>
      </c>
      <c r="E618" s="166">
        <v>86917540</v>
      </c>
      <c r="F618" s="166">
        <v>85107058</v>
      </c>
      <c r="G618" s="166">
        <v>84500160</v>
      </c>
      <c r="H618" s="166">
        <v>0</v>
      </c>
      <c r="I618" s="166">
        <v>37430648</v>
      </c>
      <c r="J618" s="166">
        <v>0</v>
      </c>
      <c r="K618" s="166">
        <v>47069512</v>
      </c>
      <c r="L618" s="167">
        <f t="shared" si="0"/>
        <v>0.55306237938573788</v>
      </c>
      <c r="M618" s="166">
        <v>47069512</v>
      </c>
      <c r="N618" s="168">
        <f t="shared" si="1"/>
        <v>0.55306237938573788</v>
      </c>
      <c r="O618" s="166">
        <v>606898</v>
      </c>
      <c r="P618" s="168">
        <f t="shared" si="2"/>
        <v>7.1309949405136295E-3</v>
      </c>
      <c r="Q618" s="166">
        <v>0</v>
      </c>
    </row>
    <row r="619" spans="1:17" hidden="1" x14ac:dyDescent="0.25">
      <c r="A619" s="165" t="s">
        <v>715</v>
      </c>
      <c r="B619" s="165" t="s">
        <v>425</v>
      </c>
      <c r="C619" s="165" t="s">
        <v>697</v>
      </c>
      <c r="D619" s="165" t="s">
        <v>69</v>
      </c>
      <c r="E619" s="166">
        <v>82460320</v>
      </c>
      <c r="F619" s="166">
        <v>80742683</v>
      </c>
      <c r="G619" s="166">
        <v>80166908</v>
      </c>
      <c r="H619" s="166">
        <v>0</v>
      </c>
      <c r="I619" s="166">
        <v>35511218</v>
      </c>
      <c r="J619" s="166">
        <v>0</v>
      </c>
      <c r="K619" s="166">
        <v>44655690</v>
      </c>
      <c r="L619" s="167">
        <f t="shared" si="0"/>
        <v>0.55306175545343228</v>
      </c>
      <c r="M619" s="166">
        <v>44655690</v>
      </c>
      <c r="N619" s="168">
        <f t="shared" si="1"/>
        <v>0.55306175545343228</v>
      </c>
      <c r="O619" s="166">
        <v>575775</v>
      </c>
      <c r="P619" s="168">
        <f t="shared" si="2"/>
        <v>7.1309867173970426E-3</v>
      </c>
      <c r="Q619" s="166">
        <v>0</v>
      </c>
    </row>
    <row r="620" spans="1:17" hidden="1" x14ac:dyDescent="0.25">
      <c r="A620" s="165" t="s">
        <v>715</v>
      </c>
      <c r="B620" s="165" t="s">
        <v>442</v>
      </c>
      <c r="C620" s="165" t="s">
        <v>95</v>
      </c>
      <c r="D620" s="165" t="s">
        <v>69</v>
      </c>
      <c r="E620" s="166">
        <v>4457220</v>
      </c>
      <c r="F620" s="166">
        <v>4364375</v>
      </c>
      <c r="G620" s="166">
        <v>4333252</v>
      </c>
      <c r="H620" s="166">
        <v>0</v>
      </c>
      <c r="I620" s="166">
        <v>1919430</v>
      </c>
      <c r="J620" s="166">
        <v>0</v>
      </c>
      <c r="K620" s="166">
        <v>2413822</v>
      </c>
      <c r="L620" s="167">
        <f t="shared" si="0"/>
        <v>0.55307392238292996</v>
      </c>
      <c r="M620" s="166">
        <v>2413822</v>
      </c>
      <c r="N620" s="168">
        <f t="shared" si="1"/>
        <v>0.55307392238292996</v>
      </c>
      <c r="O620" s="166">
        <v>31123</v>
      </c>
      <c r="P620" s="168">
        <f t="shared" si="2"/>
        <v>7.1311470714592578E-3</v>
      </c>
      <c r="Q620" s="166">
        <v>0</v>
      </c>
    </row>
    <row r="621" spans="1:17" hidden="1" x14ac:dyDescent="0.25">
      <c r="A621" s="165" t="s">
        <v>715</v>
      </c>
      <c r="B621" s="165" t="s">
        <v>96</v>
      </c>
      <c r="C621" s="165" t="s">
        <v>97</v>
      </c>
      <c r="D621" s="165" t="s">
        <v>69</v>
      </c>
      <c r="E621" s="166">
        <v>86917440</v>
      </c>
      <c r="F621" s="166">
        <v>85106959</v>
      </c>
      <c r="G621" s="166">
        <v>84500061</v>
      </c>
      <c r="H621" s="166">
        <v>0</v>
      </c>
      <c r="I621" s="166">
        <v>37541253</v>
      </c>
      <c r="J621" s="166">
        <v>0</v>
      </c>
      <c r="K621" s="166">
        <v>46958808</v>
      </c>
      <c r="L621" s="167">
        <f t="shared" si="0"/>
        <v>0.55176225953508695</v>
      </c>
      <c r="M621" s="166">
        <v>46958808</v>
      </c>
      <c r="N621" s="168">
        <f t="shared" si="1"/>
        <v>0.55176225953508695</v>
      </c>
      <c r="O621" s="166">
        <v>606898</v>
      </c>
      <c r="P621" s="168">
        <f t="shared" si="2"/>
        <v>7.1310032355873503E-3</v>
      </c>
      <c r="Q621" s="166">
        <v>0</v>
      </c>
    </row>
    <row r="622" spans="1:17" hidden="1" x14ac:dyDescent="0.25">
      <c r="A622" s="165" t="s">
        <v>715</v>
      </c>
      <c r="B622" s="165" t="s">
        <v>460</v>
      </c>
      <c r="C622" s="165" t="s">
        <v>698</v>
      </c>
      <c r="D622" s="165" t="s">
        <v>69</v>
      </c>
      <c r="E622" s="166">
        <v>46801760</v>
      </c>
      <c r="F622" s="166">
        <v>45826885</v>
      </c>
      <c r="G622" s="166">
        <v>45500094</v>
      </c>
      <c r="H622" s="166">
        <v>0</v>
      </c>
      <c r="I622" s="166">
        <v>20265676</v>
      </c>
      <c r="J622" s="166">
        <v>0</v>
      </c>
      <c r="K622" s="166">
        <v>25234418</v>
      </c>
      <c r="L622" s="167">
        <f t="shared" si="0"/>
        <v>0.55064659096947133</v>
      </c>
      <c r="M622" s="166">
        <v>25234418</v>
      </c>
      <c r="N622" s="168">
        <f t="shared" si="1"/>
        <v>0.55064659096947133</v>
      </c>
      <c r="O622" s="166">
        <v>326791</v>
      </c>
      <c r="P622" s="168">
        <f t="shared" si="2"/>
        <v>7.1309887198311647E-3</v>
      </c>
      <c r="Q622" s="166">
        <v>0</v>
      </c>
    </row>
    <row r="623" spans="1:17" hidden="1" x14ac:dyDescent="0.25">
      <c r="A623" s="165" t="s">
        <v>715</v>
      </c>
      <c r="B623" s="165" t="s">
        <v>477</v>
      </c>
      <c r="C623" s="165" t="s">
        <v>699</v>
      </c>
      <c r="D623" s="165" t="s">
        <v>69</v>
      </c>
      <c r="E623" s="166">
        <v>13371860</v>
      </c>
      <c r="F623" s="166">
        <v>13093325</v>
      </c>
      <c r="G623" s="166">
        <v>12999956</v>
      </c>
      <c r="H623" s="166">
        <v>0</v>
      </c>
      <c r="I623" s="166">
        <v>5758492</v>
      </c>
      <c r="J623" s="166">
        <v>0</v>
      </c>
      <c r="K623" s="166">
        <v>7241464</v>
      </c>
      <c r="L623" s="167">
        <f t="shared" si="0"/>
        <v>0.55306532145196119</v>
      </c>
      <c r="M623" s="166">
        <v>7241464</v>
      </c>
      <c r="N623" s="168">
        <f t="shared" si="1"/>
        <v>0.55306532145196119</v>
      </c>
      <c r="O623" s="166">
        <v>93369</v>
      </c>
      <c r="P623" s="168">
        <f t="shared" si="2"/>
        <v>7.1310381434815072E-3</v>
      </c>
      <c r="Q623" s="166">
        <v>0</v>
      </c>
    </row>
    <row r="624" spans="1:17" hidden="1" x14ac:dyDescent="0.25">
      <c r="A624" s="165" t="s">
        <v>715</v>
      </c>
      <c r="B624" s="165" t="s">
        <v>494</v>
      </c>
      <c r="C624" s="165" t="s">
        <v>700</v>
      </c>
      <c r="D624" s="165" t="s">
        <v>69</v>
      </c>
      <c r="E624" s="166">
        <v>26743820</v>
      </c>
      <c r="F624" s="166">
        <v>26186749</v>
      </c>
      <c r="G624" s="166">
        <v>26000011</v>
      </c>
      <c r="H624" s="166">
        <v>0</v>
      </c>
      <c r="I624" s="166">
        <v>11517085</v>
      </c>
      <c r="J624" s="166">
        <v>0</v>
      </c>
      <c r="K624" s="166">
        <v>14482926</v>
      </c>
      <c r="L624" s="167">
        <f t="shared" si="0"/>
        <v>0.55306315419298513</v>
      </c>
      <c r="M624" s="166">
        <v>14482926</v>
      </c>
      <c r="N624" s="168">
        <f t="shared" si="1"/>
        <v>0.55306315419298513</v>
      </c>
      <c r="O624" s="166">
        <v>186738</v>
      </c>
      <c r="P624" s="168">
        <f t="shared" si="2"/>
        <v>7.1310111843207414E-3</v>
      </c>
      <c r="Q624" s="166">
        <v>0</v>
      </c>
    </row>
    <row r="625" spans="1:17" hidden="1" x14ac:dyDescent="0.25">
      <c r="A625" s="165" t="s">
        <v>715</v>
      </c>
      <c r="B625" s="165" t="s">
        <v>104</v>
      </c>
      <c r="C625" s="165" t="s">
        <v>105</v>
      </c>
      <c r="D625" s="165" t="s">
        <v>69</v>
      </c>
      <c r="E625" s="166">
        <v>30265400</v>
      </c>
      <c r="F625" s="166">
        <v>25738010</v>
      </c>
      <c r="G625" s="166">
        <v>19034060</v>
      </c>
      <c r="H625" s="166">
        <v>0</v>
      </c>
      <c r="I625" s="166">
        <v>7090600.4000000004</v>
      </c>
      <c r="J625" s="166">
        <v>0</v>
      </c>
      <c r="K625" s="166">
        <v>7773935</v>
      </c>
      <c r="L625" s="167">
        <f t="shared" si="0"/>
        <v>0.30204102803596705</v>
      </c>
      <c r="M625" s="166">
        <v>7460529.6399999997</v>
      </c>
      <c r="N625" s="168">
        <f t="shared" si="1"/>
        <v>0.28986427622026723</v>
      </c>
      <c r="O625" s="166">
        <v>10873474.6</v>
      </c>
      <c r="P625" s="168">
        <f t="shared" si="2"/>
        <v>0.42246757227928655</v>
      </c>
      <c r="Q625" s="166">
        <v>4169524.6</v>
      </c>
    </row>
    <row r="626" spans="1:17" hidden="1" x14ac:dyDescent="0.25">
      <c r="A626" s="165" t="s">
        <v>715</v>
      </c>
      <c r="B626" s="165" t="s">
        <v>112</v>
      </c>
      <c r="C626" s="165" t="s">
        <v>113</v>
      </c>
      <c r="D626" s="165" t="s">
        <v>69</v>
      </c>
      <c r="E626" s="166">
        <v>30265400</v>
      </c>
      <c r="F626" s="166">
        <v>25738010</v>
      </c>
      <c r="G626" s="166">
        <v>19034060</v>
      </c>
      <c r="H626" s="166">
        <v>0</v>
      </c>
      <c r="I626" s="166">
        <v>7090600.4000000004</v>
      </c>
      <c r="J626" s="166">
        <v>0</v>
      </c>
      <c r="K626" s="166">
        <v>7773935</v>
      </c>
      <c r="L626" s="167">
        <f t="shared" si="0"/>
        <v>0.30204102803596705</v>
      </c>
      <c r="M626" s="166">
        <v>7460529.6399999997</v>
      </c>
      <c r="N626" s="168">
        <f t="shared" si="1"/>
        <v>0.28986427622026723</v>
      </c>
      <c r="O626" s="166">
        <v>10873474.6</v>
      </c>
      <c r="P626" s="168">
        <f t="shared" si="2"/>
        <v>0.42246757227928655</v>
      </c>
      <c r="Q626" s="166">
        <v>4169524.6</v>
      </c>
    </row>
    <row r="627" spans="1:17" hidden="1" x14ac:dyDescent="0.25">
      <c r="A627" s="165" t="s">
        <v>715</v>
      </c>
      <c r="B627" s="165" t="s">
        <v>114</v>
      </c>
      <c r="C627" s="165" t="s">
        <v>115</v>
      </c>
      <c r="D627" s="165" t="s">
        <v>69</v>
      </c>
      <c r="E627" s="166">
        <v>3196000</v>
      </c>
      <c r="F627" s="166">
        <v>3196000</v>
      </c>
      <c r="G627" s="166">
        <v>3084400</v>
      </c>
      <c r="H627" s="166">
        <v>0</v>
      </c>
      <c r="I627" s="166">
        <v>1093203</v>
      </c>
      <c r="J627" s="166">
        <v>0</v>
      </c>
      <c r="K627" s="166">
        <v>1978797</v>
      </c>
      <c r="L627" s="167">
        <f t="shared" si="0"/>
        <v>0.61914799749687111</v>
      </c>
      <c r="M627" s="166">
        <v>1853548</v>
      </c>
      <c r="N627" s="168">
        <f t="shared" si="1"/>
        <v>0.57995869837296621</v>
      </c>
      <c r="O627" s="166">
        <v>124000</v>
      </c>
      <c r="P627" s="168">
        <f t="shared" si="2"/>
        <v>3.8798498122653319E-2</v>
      </c>
      <c r="Q627" s="166">
        <v>12400</v>
      </c>
    </row>
    <row r="628" spans="1:17" hidden="1" x14ac:dyDescent="0.25">
      <c r="A628" s="165" t="s">
        <v>715</v>
      </c>
      <c r="B628" s="165" t="s">
        <v>116</v>
      </c>
      <c r="C628" s="165" t="s">
        <v>117</v>
      </c>
      <c r="D628" s="165" t="s">
        <v>69</v>
      </c>
      <c r="E628" s="166">
        <v>21749400</v>
      </c>
      <c r="F628" s="166">
        <v>17222010</v>
      </c>
      <c r="G628" s="166">
        <v>11784660</v>
      </c>
      <c r="H628" s="166">
        <v>0</v>
      </c>
      <c r="I628" s="166">
        <v>3499541.84</v>
      </c>
      <c r="J628" s="166">
        <v>0</v>
      </c>
      <c r="K628" s="166">
        <v>5592383.5599999996</v>
      </c>
      <c r="L628" s="167">
        <f t="shared" si="0"/>
        <v>0.32472304684528691</v>
      </c>
      <c r="M628" s="166">
        <v>5404227.2000000002</v>
      </c>
      <c r="N628" s="168">
        <f t="shared" si="1"/>
        <v>0.31379770421687131</v>
      </c>
      <c r="O628" s="166">
        <v>8130084.5999999996</v>
      </c>
      <c r="P628" s="168">
        <f t="shared" si="2"/>
        <v>0.4720752455723809</v>
      </c>
      <c r="Q628" s="166">
        <v>2692734.6</v>
      </c>
    </row>
    <row r="629" spans="1:17" hidden="1" x14ac:dyDescent="0.25">
      <c r="A629" s="165" t="s">
        <v>715</v>
      </c>
      <c r="B629" s="165" t="s">
        <v>120</v>
      </c>
      <c r="C629" s="165" t="s">
        <v>121</v>
      </c>
      <c r="D629" s="165" t="s">
        <v>69</v>
      </c>
      <c r="E629" s="166">
        <v>4620000</v>
      </c>
      <c r="F629" s="166">
        <v>4620000</v>
      </c>
      <c r="G629" s="166">
        <v>3465000</v>
      </c>
      <c r="H629" s="166">
        <v>0</v>
      </c>
      <c r="I629" s="166">
        <v>2310000</v>
      </c>
      <c r="J629" s="166">
        <v>0</v>
      </c>
      <c r="K629" s="166">
        <v>0</v>
      </c>
      <c r="L629" s="167">
        <f t="shared" si="0"/>
        <v>0</v>
      </c>
      <c r="M629" s="166">
        <v>0</v>
      </c>
      <c r="N629" s="168">
        <f t="shared" si="1"/>
        <v>0</v>
      </c>
      <c r="O629" s="166">
        <v>2310000</v>
      </c>
      <c r="P629" s="168">
        <f t="shared" si="2"/>
        <v>0.5</v>
      </c>
      <c r="Q629" s="166">
        <v>1155000</v>
      </c>
    </row>
    <row r="630" spans="1:17" hidden="1" x14ac:dyDescent="0.25">
      <c r="A630" s="165" t="s">
        <v>715</v>
      </c>
      <c r="B630" s="165" t="s">
        <v>122</v>
      </c>
      <c r="C630" s="165" t="s">
        <v>123</v>
      </c>
      <c r="D630" s="165" t="s">
        <v>69</v>
      </c>
      <c r="E630" s="166">
        <v>700000</v>
      </c>
      <c r="F630" s="166">
        <v>700000</v>
      </c>
      <c r="G630" s="166">
        <v>700000</v>
      </c>
      <c r="H630" s="166">
        <v>0</v>
      </c>
      <c r="I630" s="166">
        <v>187855.56</v>
      </c>
      <c r="J630" s="166">
        <v>0</v>
      </c>
      <c r="K630" s="166">
        <v>202754.44</v>
      </c>
      <c r="L630" s="167">
        <f t="shared" si="0"/>
        <v>0.2896492</v>
      </c>
      <c r="M630" s="166">
        <v>202754.44</v>
      </c>
      <c r="N630" s="168">
        <f t="shared" si="1"/>
        <v>0.2896492</v>
      </c>
      <c r="O630" s="166">
        <v>309390</v>
      </c>
      <c r="P630" s="168">
        <f t="shared" si="2"/>
        <v>0.44198571428571426</v>
      </c>
      <c r="Q630" s="166">
        <v>309390</v>
      </c>
    </row>
    <row r="631" spans="1:17" hidden="1" x14ac:dyDescent="0.25">
      <c r="A631" s="165" t="s">
        <v>715</v>
      </c>
      <c r="B631" s="165" t="s">
        <v>140</v>
      </c>
      <c r="C631" s="165" t="s">
        <v>141</v>
      </c>
      <c r="D631" s="165" t="s">
        <v>69</v>
      </c>
      <c r="E631" s="166">
        <v>0</v>
      </c>
      <c r="F631" s="166">
        <v>0</v>
      </c>
      <c r="G631" s="166">
        <v>0</v>
      </c>
      <c r="H631" s="166">
        <v>0</v>
      </c>
      <c r="I631" s="166">
        <v>0</v>
      </c>
      <c r="J631" s="166">
        <v>0</v>
      </c>
      <c r="K631" s="166">
        <v>0</v>
      </c>
      <c r="L631" s="167" t="e">
        <f t="shared" si="0"/>
        <v>#DIV/0!</v>
      </c>
      <c r="M631" s="166">
        <v>0</v>
      </c>
      <c r="N631" s="168" t="e">
        <f t="shared" si="1"/>
        <v>#DIV/0!</v>
      </c>
      <c r="O631" s="166">
        <v>0</v>
      </c>
      <c r="P631" s="168" t="e">
        <f t="shared" si="2"/>
        <v>#DIV/0!</v>
      </c>
      <c r="Q631" s="166">
        <v>0</v>
      </c>
    </row>
    <row r="632" spans="1:17" hidden="1" x14ac:dyDescent="0.25">
      <c r="A632" s="165" t="s">
        <v>715</v>
      </c>
      <c r="B632" s="165" t="s">
        <v>144</v>
      </c>
      <c r="C632" s="165" t="s">
        <v>145</v>
      </c>
      <c r="D632" s="165" t="s">
        <v>69</v>
      </c>
      <c r="E632" s="166">
        <v>0</v>
      </c>
      <c r="F632" s="166">
        <v>0</v>
      </c>
      <c r="G632" s="166">
        <v>0</v>
      </c>
      <c r="H632" s="166">
        <v>0</v>
      </c>
      <c r="I632" s="166">
        <v>0</v>
      </c>
      <c r="J632" s="166">
        <v>0</v>
      </c>
      <c r="K632" s="166">
        <v>0</v>
      </c>
      <c r="L632" s="167" t="e">
        <f t="shared" si="0"/>
        <v>#DIV/0!</v>
      </c>
      <c r="M632" s="166">
        <v>0</v>
      </c>
      <c r="N632" s="168" t="e">
        <f t="shared" si="1"/>
        <v>#DIV/0!</v>
      </c>
      <c r="O632" s="166">
        <v>0</v>
      </c>
      <c r="P632" s="168" t="e">
        <f t="shared" si="2"/>
        <v>#DIV/0!</v>
      </c>
      <c r="Q632" s="166">
        <v>0</v>
      </c>
    </row>
    <row r="633" spans="1:17" hidden="1" x14ac:dyDescent="0.25">
      <c r="A633" s="165" t="s">
        <v>715</v>
      </c>
      <c r="B633" s="165" t="s">
        <v>248</v>
      </c>
      <c r="C633" s="165" t="s">
        <v>249</v>
      </c>
      <c r="D633" s="165" t="s">
        <v>69</v>
      </c>
      <c r="E633" s="166">
        <v>18298122</v>
      </c>
      <c r="F633" s="166">
        <v>17989877</v>
      </c>
      <c r="G633" s="166">
        <v>17886548</v>
      </c>
      <c r="H633" s="166">
        <v>0</v>
      </c>
      <c r="I633" s="166">
        <v>6483365</v>
      </c>
      <c r="J633" s="166">
        <v>0</v>
      </c>
      <c r="K633" s="166">
        <v>11318620</v>
      </c>
      <c r="L633" s="167">
        <f t="shared" si="0"/>
        <v>0.62916605822263261</v>
      </c>
      <c r="M633" s="166">
        <v>11318620</v>
      </c>
      <c r="N633" s="168">
        <f t="shared" si="1"/>
        <v>0.62916605822263261</v>
      </c>
      <c r="O633" s="166">
        <v>187892</v>
      </c>
      <c r="P633" s="168">
        <f t="shared" si="2"/>
        <v>1.0444318212959432E-2</v>
      </c>
      <c r="Q633" s="166">
        <v>84563</v>
      </c>
    </row>
    <row r="634" spans="1:17" hidden="1" x14ac:dyDescent="0.25">
      <c r="A634" s="165" t="s">
        <v>715</v>
      </c>
      <c r="B634" s="165" t="s">
        <v>250</v>
      </c>
      <c r="C634" s="165" t="s">
        <v>251</v>
      </c>
      <c r="D634" s="165" t="s">
        <v>69</v>
      </c>
      <c r="E634" s="166">
        <v>14798122</v>
      </c>
      <c r="F634" s="166">
        <v>14489877</v>
      </c>
      <c r="G634" s="166">
        <v>14386548</v>
      </c>
      <c r="H634" s="166">
        <v>0</v>
      </c>
      <c r="I634" s="166">
        <v>6483365</v>
      </c>
      <c r="J634" s="166">
        <v>0</v>
      </c>
      <c r="K634" s="166">
        <v>7903183</v>
      </c>
      <c r="L634" s="167">
        <f t="shared" si="0"/>
        <v>0.54542788734507541</v>
      </c>
      <c r="M634" s="166">
        <v>7903183</v>
      </c>
      <c r="N634" s="168">
        <f t="shared" si="1"/>
        <v>0.54542788734507541</v>
      </c>
      <c r="O634" s="166">
        <v>103329</v>
      </c>
      <c r="P634" s="168">
        <f t="shared" si="2"/>
        <v>7.1311164339076171E-3</v>
      </c>
      <c r="Q634" s="166">
        <v>0</v>
      </c>
    </row>
    <row r="635" spans="1:17" hidden="1" x14ac:dyDescent="0.25">
      <c r="A635" s="165" t="s">
        <v>715</v>
      </c>
      <c r="B635" s="165" t="s">
        <v>634</v>
      </c>
      <c r="C635" s="165" t="s">
        <v>702</v>
      </c>
      <c r="D635" s="165" t="s">
        <v>69</v>
      </c>
      <c r="E635" s="166">
        <v>12569562</v>
      </c>
      <c r="F635" s="166">
        <v>12307739</v>
      </c>
      <c r="G635" s="166">
        <v>12219972</v>
      </c>
      <c r="H635" s="166">
        <v>0</v>
      </c>
      <c r="I635" s="166">
        <v>5523698</v>
      </c>
      <c r="J635" s="166">
        <v>0</v>
      </c>
      <c r="K635" s="166">
        <v>6696274</v>
      </c>
      <c r="L635" s="167">
        <f t="shared" si="0"/>
        <v>0.54407019843368465</v>
      </c>
      <c r="M635" s="166">
        <v>6696274</v>
      </c>
      <c r="N635" s="168">
        <f t="shared" si="1"/>
        <v>0.54407019843368465</v>
      </c>
      <c r="O635" s="166">
        <v>87767</v>
      </c>
      <c r="P635" s="168">
        <f t="shared" si="2"/>
        <v>7.1310416966105638E-3</v>
      </c>
      <c r="Q635" s="166">
        <v>0</v>
      </c>
    </row>
    <row r="636" spans="1:17" hidden="1" x14ac:dyDescent="0.25">
      <c r="A636" s="165" t="s">
        <v>715</v>
      </c>
      <c r="B636" s="165" t="s">
        <v>649</v>
      </c>
      <c r="C636" s="165" t="s">
        <v>703</v>
      </c>
      <c r="D636" s="165" t="s">
        <v>69</v>
      </c>
      <c r="E636" s="166">
        <v>2228560</v>
      </c>
      <c r="F636" s="166">
        <v>2182138</v>
      </c>
      <c r="G636" s="166">
        <v>2166576</v>
      </c>
      <c r="H636" s="166">
        <v>0</v>
      </c>
      <c r="I636" s="166">
        <v>959667</v>
      </c>
      <c r="J636" s="166">
        <v>0</v>
      </c>
      <c r="K636" s="166">
        <v>1206909</v>
      </c>
      <c r="L636" s="167">
        <f t="shared" si="0"/>
        <v>0.55308555187618746</v>
      </c>
      <c r="M636" s="166">
        <v>1206909</v>
      </c>
      <c r="N636" s="168">
        <f t="shared" si="1"/>
        <v>0.55308555187618746</v>
      </c>
      <c r="O636" s="166">
        <v>15562</v>
      </c>
      <c r="P636" s="168">
        <f t="shared" si="2"/>
        <v>7.131537968726084E-3</v>
      </c>
      <c r="Q636" s="166">
        <v>0</v>
      </c>
    </row>
    <row r="637" spans="1:17" hidden="1" x14ac:dyDescent="0.25">
      <c r="A637" s="165" t="s">
        <v>715</v>
      </c>
      <c r="B637" s="165" t="s">
        <v>260</v>
      </c>
      <c r="C637" s="165" t="s">
        <v>261</v>
      </c>
      <c r="D637" s="165" t="s">
        <v>69</v>
      </c>
      <c r="E637" s="166">
        <v>3500000</v>
      </c>
      <c r="F637" s="166">
        <v>3500000</v>
      </c>
      <c r="G637" s="166">
        <v>3500000</v>
      </c>
      <c r="H637" s="166">
        <v>0</v>
      </c>
      <c r="I637" s="166">
        <v>0</v>
      </c>
      <c r="J637" s="166">
        <v>0</v>
      </c>
      <c r="K637" s="166">
        <v>3415437</v>
      </c>
      <c r="L637" s="167">
        <f t="shared" si="0"/>
        <v>0.9758391428571429</v>
      </c>
      <c r="M637" s="166">
        <v>3415437</v>
      </c>
      <c r="N637" s="168">
        <f t="shared" si="1"/>
        <v>0.9758391428571429</v>
      </c>
      <c r="O637" s="166">
        <v>84563</v>
      </c>
      <c r="P637" s="168">
        <f t="shared" si="2"/>
        <v>2.4160857142857144E-2</v>
      </c>
      <c r="Q637" s="166">
        <v>84563</v>
      </c>
    </row>
    <row r="638" spans="1:17" hidden="1" x14ac:dyDescent="0.25">
      <c r="A638" s="165" t="s">
        <v>715</v>
      </c>
      <c r="B638" s="165" t="s">
        <v>264</v>
      </c>
      <c r="C638" s="165" t="s">
        <v>265</v>
      </c>
      <c r="D638" s="165" t="s">
        <v>69</v>
      </c>
      <c r="E638" s="166">
        <v>3500000</v>
      </c>
      <c r="F638" s="166">
        <v>3500000</v>
      </c>
      <c r="G638" s="166">
        <v>3500000</v>
      </c>
      <c r="H638" s="166">
        <v>0</v>
      </c>
      <c r="I638" s="166">
        <v>0</v>
      </c>
      <c r="J638" s="166">
        <v>0</v>
      </c>
      <c r="K638" s="166">
        <v>3415437</v>
      </c>
      <c r="L638" s="167">
        <f t="shared" si="0"/>
        <v>0.9758391428571429</v>
      </c>
      <c r="M638" s="166">
        <v>3415437</v>
      </c>
      <c r="N638" s="168">
        <f t="shared" si="1"/>
        <v>0.9758391428571429</v>
      </c>
      <c r="O638" s="166">
        <v>84563</v>
      </c>
      <c r="P638" s="168">
        <f t="shared" si="2"/>
        <v>2.4160857142857144E-2</v>
      </c>
      <c r="Q638" s="166">
        <v>84563</v>
      </c>
    </row>
    <row r="639" spans="1:17" hidden="1" x14ac:dyDescent="0.25">
      <c r="A639" s="165" t="s">
        <v>716</v>
      </c>
      <c r="B639" s="165"/>
      <c r="C639" s="165"/>
      <c r="D639" s="165" t="s">
        <v>69</v>
      </c>
      <c r="E639" s="166">
        <v>7207746597</v>
      </c>
      <c r="F639" s="166">
        <v>6961566789</v>
      </c>
      <c r="G639" s="166">
        <v>5227468039</v>
      </c>
      <c r="H639" s="166">
        <v>0</v>
      </c>
      <c r="I639" s="166">
        <v>19637952</v>
      </c>
      <c r="J639" s="166">
        <v>0</v>
      </c>
      <c r="K639" s="166">
        <v>3505437527.5500002</v>
      </c>
      <c r="L639" s="167">
        <f t="shared" si="0"/>
        <v>0.5035414632649875</v>
      </c>
      <c r="M639" s="166">
        <v>2626816579.1500001</v>
      </c>
      <c r="N639" s="168">
        <f t="shared" si="1"/>
        <v>0.37733123286278653</v>
      </c>
      <c r="O639" s="166">
        <v>3436491309.4499998</v>
      </c>
      <c r="P639" s="168">
        <f t="shared" si="2"/>
        <v>0.49363762693191621</v>
      </c>
      <c r="Q639" s="166">
        <v>1702392559.45</v>
      </c>
    </row>
    <row r="640" spans="1:17" hidden="1" x14ac:dyDescent="0.25">
      <c r="A640" s="165" t="s">
        <v>716</v>
      </c>
      <c r="B640" s="165" t="s">
        <v>71</v>
      </c>
      <c r="C640" s="165" t="s">
        <v>72</v>
      </c>
      <c r="D640" s="165" t="s">
        <v>69</v>
      </c>
      <c r="E640" s="166">
        <v>273249937</v>
      </c>
      <c r="F640" s="166">
        <v>271537368</v>
      </c>
      <c r="G640" s="166">
        <v>269822981</v>
      </c>
      <c r="H640" s="166">
        <v>0</v>
      </c>
      <c r="I640" s="166">
        <v>17365493</v>
      </c>
      <c r="J640" s="166">
        <v>0</v>
      </c>
      <c r="K640" s="166">
        <v>155342184.72999999</v>
      </c>
      <c r="L640" s="167">
        <f t="shared" si="0"/>
        <v>0.57208400403291815</v>
      </c>
      <c r="M640" s="166">
        <v>155342184.72999999</v>
      </c>
      <c r="N640" s="168">
        <f t="shared" si="1"/>
        <v>0.57208400403291815</v>
      </c>
      <c r="O640" s="166">
        <v>98829690.269999996</v>
      </c>
      <c r="P640" s="168">
        <f t="shared" si="2"/>
        <v>0.36396349790795646</v>
      </c>
      <c r="Q640" s="166">
        <v>97115303.269999996</v>
      </c>
    </row>
    <row r="641" spans="1:17" hidden="1" x14ac:dyDescent="0.25">
      <c r="A641" s="165" t="s">
        <v>716</v>
      </c>
      <c r="B641" s="165" t="s">
        <v>73</v>
      </c>
      <c r="C641" s="165" t="s">
        <v>74</v>
      </c>
      <c r="D641" s="165" t="s">
        <v>69</v>
      </c>
      <c r="E641" s="166">
        <v>97637632</v>
      </c>
      <c r="F641" s="166">
        <v>96661384</v>
      </c>
      <c r="G641" s="166">
        <v>96661384</v>
      </c>
      <c r="H641" s="166">
        <v>0</v>
      </c>
      <c r="I641" s="166">
        <v>0</v>
      </c>
      <c r="J641" s="166">
        <v>0</v>
      </c>
      <c r="K641" s="166">
        <v>61527124.939999998</v>
      </c>
      <c r="L641" s="167">
        <f t="shared" si="0"/>
        <v>0.63652228422469104</v>
      </c>
      <c r="M641" s="166">
        <v>61527124.939999998</v>
      </c>
      <c r="N641" s="168">
        <f t="shared" si="1"/>
        <v>0.63652228422469104</v>
      </c>
      <c r="O641" s="166">
        <v>35134259.060000002</v>
      </c>
      <c r="P641" s="168">
        <f t="shared" si="2"/>
        <v>0.36347771577530902</v>
      </c>
      <c r="Q641" s="166">
        <v>35134259.060000002</v>
      </c>
    </row>
    <row r="642" spans="1:17" hidden="1" x14ac:dyDescent="0.25">
      <c r="A642" s="165" t="s">
        <v>716</v>
      </c>
      <c r="B642" s="165" t="s">
        <v>75</v>
      </c>
      <c r="C642" s="165" t="s">
        <v>76</v>
      </c>
      <c r="D642" s="165" t="s">
        <v>69</v>
      </c>
      <c r="E642" s="166">
        <v>97637632</v>
      </c>
      <c r="F642" s="166">
        <v>96661384</v>
      </c>
      <c r="G642" s="166">
        <v>96661384</v>
      </c>
      <c r="H642" s="166">
        <v>0</v>
      </c>
      <c r="I642" s="166">
        <v>0</v>
      </c>
      <c r="J642" s="166">
        <v>0</v>
      </c>
      <c r="K642" s="166">
        <v>61527124.939999998</v>
      </c>
      <c r="L642" s="167">
        <f t="shared" si="0"/>
        <v>0.63652228422469104</v>
      </c>
      <c r="M642" s="166">
        <v>61527124.939999998</v>
      </c>
      <c r="N642" s="168">
        <f t="shared" si="1"/>
        <v>0.63652228422469104</v>
      </c>
      <c r="O642" s="166">
        <v>35134259.060000002</v>
      </c>
      <c r="P642" s="168">
        <f t="shared" si="2"/>
        <v>0.36347771577530902</v>
      </c>
      <c r="Q642" s="166">
        <v>35134259.060000002</v>
      </c>
    </row>
    <row r="643" spans="1:17" hidden="1" x14ac:dyDescent="0.25">
      <c r="A643" s="165" t="s">
        <v>716</v>
      </c>
      <c r="B643" s="165" t="s">
        <v>77</v>
      </c>
      <c r="C643" s="165" t="s">
        <v>78</v>
      </c>
      <c r="D643" s="165" t="s">
        <v>69</v>
      </c>
      <c r="E643" s="166">
        <v>133929275</v>
      </c>
      <c r="F643" s="166">
        <v>133454197</v>
      </c>
      <c r="G643" s="166">
        <v>132001335</v>
      </c>
      <c r="H643" s="166">
        <v>0</v>
      </c>
      <c r="I643" s="166">
        <v>0</v>
      </c>
      <c r="J643" s="166">
        <v>0</v>
      </c>
      <c r="K643" s="166">
        <v>70020290.790000007</v>
      </c>
      <c r="L643" s="167">
        <f t="shared" si="0"/>
        <v>0.52467657341642093</v>
      </c>
      <c r="M643" s="166">
        <v>70020290.790000007</v>
      </c>
      <c r="N643" s="168">
        <f t="shared" si="1"/>
        <v>0.52467657341642093</v>
      </c>
      <c r="O643" s="166">
        <v>63433906.210000001</v>
      </c>
      <c r="P643" s="168">
        <f t="shared" si="2"/>
        <v>0.47532342658357907</v>
      </c>
      <c r="Q643" s="166">
        <v>61981044.210000001</v>
      </c>
    </row>
    <row r="644" spans="1:17" hidden="1" x14ac:dyDescent="0.25">
      <c r="A644" s="165" t="s">
        <v>716</v>
      </c>
      <c r="B644" s="165" t="s">
        <v>79</v>
      </c>
      <c r="C644" s="165" t="s">
        <v>80</v>
      </c>
      <c r="D644" s="165" t="s">
        <v>69</v>
      </c>
      <c r="E644" s="166">
        <v>34862400</v>
      </c>
      <c r="F644" s="166">
        <v>34862400</v>
      </c>
      <c r="G644" s="166">
        <v>33521255</v>
      </c>
      <c r="H644" s="166">
        <v>0</v>
      </c>
      <c r="I644" s="166">
        <v>0</v>
      </c>
      <c r="J644" s="166">
        <v>0</v>
      </c>
      <c r="K644" s="166">
        <v>21766194.039999999</v>
      </c>
      <c r="L644" s="167">
        <f t="shared" si="0"/>
        <v>0.62434582931754556</v>
      </c>
      <c r="M644" s="166">
        <v>21766194.039999999</v>
      </c>
      <c r="N644" s="168">
        <f t="shared" si="1"/>
        <v>0.62434582931754556</v>
      </c>
      <c r="O644" s="166">
        <v>13096205.960000001</v>
      </c>
      <c r="P644" s="168">
        <f t="shared" si="2"/>
        <v>0.37565417068245449</v>
      </c>
      <c r="Q644" s="166">
        <v>11755060.960000001</v>
      </c>
    </row>
    <row r="645" spans="1:17" hidden="1" x14ac:dyDescent="0.25">
      <c r="A645" s="165" t="s">
        <v>716</v>
      </c>
      <c r="B645" s="165" t="s">
        <v>81</v>
      </c>
      <c r="C645" s="165" t="s">
        <v>82</v>
      </c>
      <c r="D645" s="165" t="s">
        <v>69</v>
      </c>
      <c r="E645" s="166">
        <v>32733979</v>
      </c>
      <c r="F645" s="166">
        <v>32370500</v>
      </c>
      <c r="G645" s="166">
        <v>32370500</v>
      </c>
      <c r="H645" s="166">
        <v>0</v>
      </c>
      <c r="I645" s="166">
        <v>0</v>
      </c>
      <c r="J645" s="166">
        <v>0</v>
      </c>
      <c r="K645" s="166">
        <v>18262574.66</v>
      </c>
      <c r="L645" s="167">
        <f t="shared" si="0"/>
        <v>0.56417338811572271</v>
      </c>
      <c r="M645" s="166">
        <v>18262574.66</v>
      </c>
      <c r="N645" s="168">
        <f t="shared" si="1"/>
        <v>0.56417338811572271</v>
      </c>
      <c r="O645" s="166">
        <v>14107925.34</v>
      </c>
      <c r="P645" s="168">
        <f t="shared" si="2"/>
        <v>0.43582661188427735</v>
      </c>
      <c r="Q645" s="166">
        <v>14107925.34</v>
      </c>
    </row>
    <row r="646" spans="1:17" x14ac:dyDescent="0.25">
      <c r="A646" s="165" t="s">
        <v>716</v>
      </c>
      <c r="B646" s="165" t="s">
        <v>83</v>
      </c>
      <c r="C646" s="165" t="s">
        <v>84</v>
      </c>
      <c r="D646" s="165" t="s">
        <v>85</v>
      </c>
      <c r="E646" s="166">
        <v>17806196</v>
      </c>
      <c r="F646" s="166">
        <v>17694597</v>
      </c>
      <c r="G646" s="166">
        <v>17582880</v>
      </c>
      <c r="H646" s="166">
        <v>0</v>
      </c>
      <c r="I646" s="166">
        <v>0</v>
      </c>
      <c r="J646" s="166">
        <v>0</v>
      </c>
      <c r="K646" s="166">
        <v>0</v>
      </c>
      <c r="L646" s="167">
        <f t="shared" si="0"/>
        <v>0</v>
      </c>
      <c r="M646" s="166">
        <v>0</v>
      </c>
      <c r="N646" s="168">
        <f t="shared" si="1"/>
        <v>0</v>
      </c>
      <c r="O646" s="166">
        <v>17694597</v>
      </c>
      <c r="P646" s="168">
        <f t="shared" si="2"/>
        <v>1</v>
      </c>
      <c r="Q646" s="166">
        <v>17582880</v>
      </c>
    </row>
    <row r="647" spans="1:17" x14ac:dyDescent="0.25">
      <c r="A647" s="165" t="s">
        <v>716</v>
      </c>
      <c r="B647" s="165" t="s">
        <v>86</v>
      </c>
      <c r="C647" s="165" t="s">
        <v>87</v>
      </c>
      <c r="D647" s="165" t="s">
        <v>69</v>
      </c>
      <c r="E647" s="166">
        <v>16387600</v>
      </c>
      <c r="F647" s="166">
        <v>16387600</v>
      </c>
      <c r="G647" s="166">
        <v>16387600</v>
      </c>
      <c r="H647" s="166">
        <v>0</v>
      </c>
      <c r="I647" s="166">
        <v>0</v>
      </c>
      <c r="J647" s="166">
        <v>0</v>
      </c>
      <c r="K647" s="166">
        <v>9494365.5</v>
      </c>
      <c r="L647" s="167">
        <f t="shared" si="0"/>
        <v>0.57936278039493272</v>
      </c>
      <c r="M647" s="166">
        <v>9494365.5</v>
      </c>
      <c r="N647" s="168">
        <f t="shared" si="1"/>
        <v>0.57936278039493272</v>
      </c>
      <c r="O647" s="166">
        <v>6893234.5</v>
      </c>
      <c r="P647" s="168">
        <f t="shared" si="2"/>
        <v>0.42063721960506723</v>
      </c>
      <c r="Q647" s="166">
        <v>6893234.5</v>
      </c>
    </row>
    <row r="648" spans="1:17" hidden="1" x14ac:dyDescent="0.25">
      <c r="A648" s="165" t="s">
        <v>716</v>
      </c>
      <c r="B648" s="165" t="s">
        <v>88</v>
      </c>
      <c r="C648" s="165" t="s">
        <v>89</v>
      </c>
      <c r="D648" s="165" t="s">
        <v>69</v>
      </c>
      <c r="E648" s="166">
        <v>32139100</v>
      </c>
      <c r="F648" s="166">
        <v>32139100</v>
      </c>
      <c r="G648" s="166">
        <v>32139100</v>
      </c>
      <c r="H648" s="166">
        <v>0</v>
      </c>
      <c r="I648" s="166">
        <v>0</v>
      </c>
      <c r="J648" s="166">
        <v>0</v>
      </c>
      <c r="K648" s="166">
        <v>20497156.59</v>
      </c>
      <c r="L648" s="167">
        <f t="shared" si="0"/>
        <v>0.63776386364272797</v>
      </c>
      <c r="M648" s="166">
        <v>20497156.59</v>
      </c>
      <c r="N648" s="168">
        <f t="shared" si="1"/>
        <v>0.63776386364272797</v>
      </c>
      <c r="O648" s="166">
        <v>11641943.41</v>
      </c>
      <c r="P648" s="168">
        <f t="shared" si="2"/>
        <v>0.36223613635727198</v>
      </c>
      <c r="Q648" s="166">
        <v>11641943.41</v>
      </c>
    </row>
    <row r="649" spans="1:17" hidden="1" x14ac:dyDescent="0.25">
      <c r="A649" s="165" t="s">
        <v>716</v>
      </c>
      <c r="B649" s="165" t="s">
        <v>90</v>
      </c>
      <c r="C649" s="165" t="s">
        <v>91</v>
      </c>
      <c r="D649" s="165" t="s">
        <v>69</v>
      </c>
      <c r="E649" s="166">
        <v>20841515</v>
      </c>
      <c r="F649" s="166">
        <v>20710893</v>
      </c>
      <c r="G649" s="166">
        <v>20580131</v>
      </c>
      <c r="H649" s="166">
        <v>0</v>
      </c>
      <c r="I649" s="166">
        <v>8669335</v>
      </c>
      <c r="J649" s="166">
        <v>0</v>
      </c>
      <c r="K649" s="166">
        <v>11910796</v>
      </c>
      <c r="L649" s="167">
        <f t="shared" si="0"/>
        <v>0.5750981379701976</v>
      </c>
      <c r="M649" s="166">
        <v>11910796</v>
      </c>
      <c r="N649" s="168">
        <f t="shared" si="1"/>
        <v>0.5750981379701976</v>
      </c>
      <c r="O649" s="166">
        <v>130762</v>
      </c>
      <c r="P649" s="168">
        <f t="shared" si="2"/>
        <v>6.3136823699489926E-3</v>
      </c>
      <c r="Q649" s="166">
        <v>0</v>
      </c>
    </row>
    <row r="650" spans="1:17" hidden="1" x14ac:dyDescent="0.25">
      <c r="A650" s="165" t="s">
        <v>716</v>
      </c>
      <c r="B650" s="165" t="s">
        <v>426</v>
      </c>
      <c r="C650" s="165" t="s">
        <v>697</v>
      </c>
      <c r="D650" s="165" t="s">
        <v>69</v>
      </c>
      <c r="E650" s="166">
        <v>19772804</v>
      </c>
      <c r="F650" s="166">
        <v>19648880</v>
      </c>
      <c r="G650" s="166">
        <v>19524824</v>
      </c>
      <c r="H650" s="166">
        <v>0</v>
      </c>
      <c r="I650" s="166">
        <v>8224837</v>
      </c>
      <c r="J650" s="166">
        <v>0</v>
      </c>
      <c r="K650" s="166">
        <v>11299987</v>
      </c>
      <c r="L650" s="167">
        <f t="shared" si="0"/>
        <v>0.57509573064724295</v>
      </c>
      <c r="M650" s="166">
        <v>11299987</v>
      </c>
      <c r="N650" s="168">
        <f t="shared" si="1"/>
        <v>0.57509573064724295</v>
      </c>
      <c r="O650" s="166">
        <v>124056</v>
      </c>
      <c r="P650" s="168">
        <f t="shared" si="2"/>
        <v>6.3136423042941892E-3</v>
      </c>
      <c r="Q650" s="166">
        <v>0</v>
      </c>
    </row>
    <row r="651" spans="1:17" hidden="1" x14ac:dyDescent="0.25">
      <c r="A651" s="165" t="s">
        <v>716</v>
      </c>
      <c r="B651" s="165" t="s">
        <v>443</v>
      </c>
      <c r="C651" s="165" t="s">
        <v>95</v>
      </c>
      <c r="D651" s="165" t="s">
        <v>69</v>
      </c>
      <c r="E651" s="166">
        <v>1068711</v>
      </c>
      <c r="F651" s="166">
        <v>1062013</v>
      </c>
      <c r="G651" s="166">
        <v>1055307</v>
      </c>
      <c r="H651" s="166">
        <v>0</v>
      </c>
      <c r="I651" s="166">
        <v>444498</v>
      </c>
      <c r="J651" s="166">
        <v>0</v>
      </c>
      <c r="K651" s="166">
        <v>610809</v>
      </c>
      <c r="L651" s="167">
        <f t="shared" si="0"/>
        <v>0.57514267716120238</v>
      </c>
      <c r="M651" s="166">
        <v>610809</v>
      </c>
      <c r="N651" s="168">
        <f t="shared" si="1"/>
        <v>0.57514267716120238</v>
      </c>
      <c r="O651" s="166">
        <v>6706</v>
      </c>
      <c r="P651" s="168">
        <f t="shared" si="2"/>
        <v>6.3144236464148743E-3</v>
      </c>
      <c r="Q651" s="166">
        <v>0</v>
      </c>
    </row>
    <row r="652" spans="1:17" hidden="1" x14ac:dyDescent="0.25">
      <c r="A652" s="165" t="s">
        <v>716</v>
      </c>
      <c r="B652" s="165" t="s">
        <v>96</v>
      </c>
      <c r="C652" s="165" t="s">
        <v>97</v>
      </c>
      <c r="D652" s="165" t="s">
        <v>69</v>
      </c>
      <c r="E652" s="166">
        <v>20841515</v>
      </c>
      <c r="F652" s="166">
        <v>20710894</v>
      </c>
      <c r="G652" s="166">
        <v>20580131</v>
      </c>
      <c r="H652" s="166">
        <v>0</v>
      </c>
      <c r="I652" s="166">
        <v>8696158</v>
      </c>
      <c r="J652" s="166">
        <v>0</v>
      </c>
      <c r="K652" s="166">
        <v>11883973</v>
      </c>
      <c r="L652" s="167">
        <f t="shared" si="0"/>
        <v>0.57380299469448304</v>
      </c>
      <c r="M652" s="166">
        <v>11883973</v>
      </c>
      <c r="N652" s="168">
        <f t="shared" si="1"/>
        <v>0.57380299469448304</v>
      </c>
      <c r="O652" s="166">
        <v>130763</v>
      </c>
      <c r="P652" s="168">
        <f t="shared" si="2"/>
        <v>6.3137303488685712E-3</v>
      </c>
      <c r="Q652" s="166">
        <v>0</v>
      </c>
    </row>
    <row r="653" spans="1:17" hidden="1" x14ac:dyDescent="0.25">
      <c r="A653" s="165" t="s">
        <v>716</v>
      </c>
      <c r="B653" s="165" t="s">
        <v>461</v>
      </c>
      <c r="C653" s="165" t="s">
        <v>698</v>
      </c>
      <c r="D653" s="165" t="s">
        <v>69</v>
      </c>
      <c r="E653" s="166">
        <v>11222416</v>
      </c>
      <c r="F653" s="166">
        <v>11152081</v>
      </c>
      <c r="G653" s="166">
        <v>11081671</v>
      </c>
      <c r="H653" s="166">
        <v>0</v>
      </c>
      <c r="I653" s="166">
        <v>4694990</v>
      </c>
      <c r="J653" s="166">
        <v>0</v>
      </c>
      <c r="K653" s="166">
        <v>6386681</v>
      </c>
      <c r="L653" s="167">
        <f t="shared" si="0"/>
        <v>0.57268961730102208</v>
      </c>
      <c r="M653" s="166">
        <v>6386681</v>
      </c>
      <c r="N653" s="168">
        <f t="shared" si="1"/>
        <v>0.57268961730102208</v>
      </c>
      <c r="O653" s="166">
        <v>70410</v>
      </c>
      <c r="P653" s="168">
        <f t="shared" si="2"/>
        <v>6.3136198526535089E-3</v>
      </c>
      <c r="Q653" s="166">
        <v>0</v>
      </c>
    </row>
    <row r="654" spans="1:17" hidden="1" x14ac:dyDescent="0.25">
      <c r="A654" s="165" t="s">
        <v>716</v>
      </c>
      <c r="B654" s="165" t="s">
        <v>478</v>
      </c>
      <c r="C654" s="165" t="s">
        <v>699</v>
      </c>
      <c r="D654" s="165" t="s">
        <v>69</v>
      </c>
      <c r="E654" s="166">
        <v>3206333</v>
      </c>
      <c r="F654" s="166">
        <v>3186238</v>
      </c>
      <c r="G654" s="166">
        <v>3166120</v>
      </c>
      <c r="H654" s="166">
        <v>0</v>
      </c>
      <c r="I654" s="166">
        <v>1333690</v>
      </c>
      <c r="J654" s="166">
        <v>0</v>
      </c>
      <c r="K654" s="166">
        <v>1832430</v>
      </c>
      <c r="L654" s="167">
        <f t="shared" si="0"/>
        <v>0.5751076975417404</v>
      </c>
      <c r="M654" s="166">
        <v>1832430</v>
      </c>
      <c r="N654" s="168">
        <f t="shared" si="1"/>
        <v>0.5751076975417404</v>
      </c>
      <c r="O654" s="166">
        <v>20118</v>
      </c>
      <c r="P654" s="168">
        <f t="shared" si="2"/>
        <v>6.3140292721384902E-3</v>
      </c>
      <c r="Q654" s="166">
        <v>0</v>
      </c>
    </row>
    <row r="655" spans="1:17" hidden="1" x14ac:dyDescent="0.25">
      <c r="A655" s="165" t="s">
        <v>716</v>
      </c>
      <c r="B655" s="165" t="s">
        <v>495</v>
      </c>
      <c r="C655" s="165" t="s">
        <v>700</v>
      </c>
      <c r="D655" s="165" t="s">
        <v>69</v>
      </c>
      <c r="E655" s="166">
        <v>6412766</v>
      </c>
      <c r="F655" s="166">
        <v>6372575</v>
      </c>
      <c r="G655" s="166">
        <v>6332340</v>
      </c>
      <c r="H655" s="166">
        <v>0</v>
      </c>
      <c r="I655" s="166">
        <v>2667478</v>
      </c>
      <c r="J655" s="166">
        <v>0</v>
      </c>
      <c r="K655" s="166">
        <v>3664862</v>
      </c>
      <c r="L655" s="167">
        <f t="shared" si="0"/>
        <v>0.57509907690376338</v>
      </c>
      <c r="M655" s="166">
        <v>3664862</v>
      </c>
      <c r="N655" s="168">
        <f t="shared" si="1"/>
        <v>0.57509907690376338</v>
      </c>
      <c r="O655" s="166">
        <v>40235</v>
      </c>
      <c r="P655" s="168">
        <f t="shared" si="2"/>
        <v>6.3137742592280204E-3</v>
      </c>
      <c r="Q655" s="166">
        <v>0</v>
      </c>
    </row>
    <row r="656" spans="1:17" hidden="1" x14ac:dyDescent="0.25">
      <c r="A656" s="165" t="s">
        <v>716</v>
      </c>
      <c r="B656" s="165" t="s">
        <v>104</v>
      </c>
      <c r="C656" s="165" t="s">
        <v>105</v>
      </c>
      <c r="D656" s="165" t="s">
        <v>69</v>
      </c>
      <c r="E656" s="166">
        <v>6929448400</v>
      </c>
      <c r="F656" s="166">
        <v>6685003400</v>
      </c>
      <c r="G656" s="166">
        <v>4952641300</v>
      </c>
      <c r="H656" s="166">
        <v>0</v>
      </c>
      <c r="I656" s="166">
        <v>769764</v>
      </c>
      <c r="J656" s="166">
        <v>0</v>
      </c>
      <c r="K656" s="166">
        <v>3348072895.8200002</v>
      </c>
      <c r="L656" s="167">
        <f t="shared" si="0"/>
        <v>0.5008333871333559</v>
      </c>
      <c r="M656" s="166">
        <v>2469451947.4200001</v>
      </c>
      <c r="N656" s="168">
        <f t="shared" si="1"/>
        <v>0.36940174890860938</v>
      </c>
      <c r="O656" s="166">
        <v>3336160740.1799998</v>
      </c>
      <c r="P656" s="168">
        <f t="shared" si="2"/>
        <v>0.49905146498205222</v>
      </c>
      <c r="Q656" s="166">
        <v>1603798640.1800001</v>
      </c>
    </row>
    <row r="657" spans="1:17" hidden="1" x14ac:dyDescent="0.25">
      <c r="A657" s="165" t="s">
        <v>716</v>
      </c>
      <c r="B657" s="165" t="s">
        <v>106</v>
      </c>
      <c r="C657" s="165" t="s">
        <v>107</v>
      </c>
      <c r="D657" s="165" t="s">
        <v>69</v>
      </c>
      <c r="E657" s="166">
        <v>6927908871</v>
      </c>
      <c r="F657" s="166">
        <v>6677908871</v>
      </c>
      <c r="G657" s="166">
        <v>4945546771</v>
      </c>
      <c r="H657" s="166">
        <v>0</v>
      </c>
      <c r="I657" s="166">
        <v>0</v>
      </c>
      <c r="J657" s="166">
        <v>0</v>
      </c>
      <c r="K657" s="166">
        <v>3348072895.8200002</v>
      </c>
      <c r="L657" s="167">
        <f t="shared" si="0"/>
        <v>0.50136546642012425</v>
      </c>
      <c r="M657" s="166">
        <v>2469451947.4200001</v>
      </c>
      <c r="N657" s="168">
        <f t="shared" si="1"/>
        <v>0.36979419682470238</v>
      </c>
      <c r="O657" s="166">
        <v>3329835975.1799998</v>
      </c>
      <c r="P657" s="168">
        <f t="shared" si="2"/>
        <v>0.49863453357987575</v>
      </c>
      <c r="Q657" s="166">
        <v>1597473875.1800001</v>
      </c>
    </row>
    <row r="658" spans="1:17" x14ac:dyDescent="0.25">
      <c r="A658" s="165" t="s">
        <v>716</v>
      </c>
      <c r="B658" s="165" t="s">
        <v>110</v>
      </c>
      <c r="C658" s="165" t="s">
        <v>111</v>
      </c>
      <c r="D658" s="165" t="s">
        <v>69</v>
      </c>
      <c r="E658" s="166">
        <v>6927908871</v>
      </c>
      <c r="F658" s="166">
        <v>6677908871</v>
      </c>
      <c r="G658" s="166">
        <v>4945546771</v>
      </c>
      <c r="H658" s="166">
        <v>0</v>
      </c>
      <c r="I658" s="166">
        <v>0</v>
      </c>
      <c r="J658" s="166">
        <v>0</v>
      </c>
      <c r="K658" s="166">
        <v>3348072895.8200002</v>
      </c>
      <c r="L658" s="167">
        <f t="shared" si="0"/>
        <v>0.50136546642012425</v>
      </c>
      <c r="M658" s="166">
        <v>2469451947.4200001</v>
      </c>
      <c r="N658" s="168">
        <f t="shared" si="1"/>
        <v>0.36979419682470238</v>
      </c>
      <c r="O658" s="166">
        <v>3329835975.1799998</v>
      </c>
      <c r="P658" s="168">
        <f t="shared" si="2"/>
        <v>0.49863453357987575</v>
      </c>
      <c r="Q658" s="166">
        <v>1597473875.1800001</v>
      </c>
    </row>
    <row r="659" spans="1:17" hidden="1" x14ac:dyDescent="0.25">
      <c r="A659" s="165" t="s">
        <v>716</v>
      </c>
      <c r="B659" s="165" t="s">
        <v>112</v>
      </c>
      <c r="C659" s="165" t="s">
        <v>113</v>
      </c>
      <c r="D659" s="165" t="s">
        <v>69</v>
      </c>
      <c r="E659" s="166">
        <v>1539529</v>
      </c>
      <c r="F659" s="166">
        <v>1539529</v>
      </c>
      <c r="G659" s="166">
        <v>1539529</v>
      </c>
      <c r="H659" s="166">
        <v>0</v>
      </c>
      <c r="I659" s="166">
        <v>769764</v>
      </c>
      <c r="J659" s="166">
        <v>0</v>
      </c>
      <c r="K659" s="166">
        <v>0</v>
      </c>
      <c r="L659" s="167">
        <f t="shared" si="0"/>
        <v>0</v>
      </c>
      <c r="M659" s="166">
        <v>0</v>
      </c>
      <c r="N659" s="168">
        <f t="shared" si="1"/>
        <v>0</v>
      </c>
      <c r="O659" s="166">
        <v>769765</v>
      </c>
      <c r="P659" s="168">
        <f t="shared" si="2"/>
        <v>0.50000032477465506</v>
      </c>
      <c r="Q659" s="166">
        <v>769765</v>
      </c>
    </row>
    <row r="660" spans="1:17" hidden="1" x14ac:dyDescent="0.25">
      <c r="A660" s="165" t="s">
        <v>716</v>
      </c>
      <c r="B660" s="165" t="s">
        <v>120</v>
      </c>
      <c r="C660" s="165" t="s">
        <v>121</v>
      </c>
      <c r="D660" s="165" t="s">
        <v>69</v>
      </c>
      <c r="E660" s="166">
        <v>1539529</v>
      </c>
      <c r="F660" s="166">
        <v>1539529</v>
      </c>
      <c r="G660" s="166">
        <v>1539529</v>
      </c>
      <c r="H660" s="166">
        <v>0</v>
      </c>
      <c r="I660" s="166">
        <v>769764</v>
      </c>
      <c r="J660" s="166">
        <v>0</v>
      </c>
      <c r="K660" s="166">
        <v>0</v>
      </c>
      <c r="L660" s="167">
        <f t="shared" si="0"/>
        <v>0</v>
      </c>
      <c r="M660" s="166">
        <v>0</v>
      </c>
      <c r="N660" s="168">
        <f t="shared" si="1"/>
        <v>0</v>
      </c>
      <c r="O660" s="166">
        <v>769765</v>
      </c>
      <c r="P660" s="168">
        <f t="shared" si="2"/>
        <v>0.50000032477465506</v>
      </c>
      <c r="Q660" s="166">
        <v>769765</v>
      </c>
    </row>
    <row r="661" spans="1:17" hidden="1" x14ac:dyDescent="0.25">
      <c r="A661" s="165" t="s">
        <v>716</v>
      </c>
      <c r="B661" s="165" t="s">
        <v>178</v>
      </c>
      <c r="C661" s="165" t="s">
        <v>179</v>
      </c>
      <c r="D661" s="165" t="s">
        <v>69</v>
      </c>
      <c r="E661" s="166">
        <v>0</v>
      </c>
      <c r="F661" s="166">
        <v>5555000</v>
      </c>
      <c r="G661" s="166">
        <v>5555000</v>
      </c>
      <c r="H661" s="166">
        <v>0</v>
      </c>
      <c r="I661" s="166">
        <v>0</v>
      </c>
      <c r="J661" s="166">
        <v>0</v>
      </c>
      <c r="K661" s="166">
        <v>0</v>
      </c>
      <c r="L661" s="167">
        <f t="shared" si="0"/>
        <v>0</v>
      </c>
      <c r="M661" s="166">
        <v>0</v>
      </c>
      <c r="N661" s="168">
        <f t="shared" si="1"/>
        <v>0</v>
      </c>
      <c r="O661" s="166">
        <v>5555000</v>
      </c>
      <c r="P661" s="168">
        <f t="shared" si="2"/>
        <v>1</v>
      </c>
      <c r="Q661" s="166">
        <v>5555000</v>
      </c>
    </row>
    <row r="662" spans="1:17" x14ac:dyDescent="0.25">
      <c r="A662" s="165" t="s">
        <v>716</v>
      </c>
      <c r="B662" s="165" t="s">
        <v>180</v>
      </c>
      <c r="C662" s="165" t="s">
        <v>181</v>
      </c>
      <c r="D662" s="165" t="s">
        <v>69</v>
      </c>
      <c r="E662" s="166">
        <v>0</v>
      </c>
      <c r="F662" s="166">
        <v>5555000</v>
      </c>
      <c r="G662" s="166">
        <v>5555000</v>
      </c>
      <c r="H662" s="166">
        <v>0</v>
      </c>
      <c r="I662" s="166">
        <v>0</v>
      </c>
      <c r="J662" s="166">
        <v>0</v>
      </c>
      <c r="K662" s="166">
        <v>0</v>
      </c>
      <c r="L662" s="167">
        <f t="shared" si="0"/>
        <v>0</v>
      </c>
      <c r="M662" s="166">
        <v>0</v>
      </c>
      <c r="N662" s="168">
        <f t="shared" si="1"/>
        <v>0</v>
      </c>
      <c r="O662" s="166">
        <v>5555000</v>
      </c>
      <c r="P662" s="168">
        <f t="shared" si="2"/>
        <v>1</v>
      </c>
      <c r="Q662" s="166">
        <v>5555000</v>
      </c>
    </row>
    <row r="663" spans="1:17" hidden="1" x14ac:dyDescent="0.25">
      <c r="A663" s="165" t="s">
        <v>716</v>
      </c>
      <c r="B663" s="165" t="s">
        <v>248</v>
      </c>
      <c r="C663" s="165" t="s">
        <v>249</v>
      </c>
      <c r="D663" s="165" t="s">
        <v>69</v>
      </c>
      <c r="E663" s="166">
        <v>5048260</v>
      </c>
      <c r="F663" s="166">
        <v>5026021</v>
      </c>
      <c r="G663" s="166">
        <v>5003758</v>
      </c>
      <c r="H663" s="166">
        <v>0</v>
      </c>
      <c r="I663" s="166">
        <v>1502695</v>
      </c>
      <c r="J663" s="166">
        <v>0</v>
      </c>
      <c r="K663" s="166">
        <v>2022447</v>
      </c>
      <c r="L663" s="167">
        <f t="shared" si="0"/>
        <v>0.40239525461592779</v>
      </c>
      <c r="M663" s="166">
        <v>2022447</v>
      </c>
      <c r="N663" s="168">
        <f t="shared" si="1"/>
        <v>0.40239525461592779</v>
      </c>
      <c r="O663" s="166">
        <v>1500879</v>
      </c>
      <c r="P663" s="168">
        <f t="shared" si="2"/>
        <v>0.29862171288182043</v>
      </c>
      <c r="Q663" s="166">
        <v>1478616</v>
      </c>
    </row>
    <row r="664" spans="1:17" hidden="1" x14ac:dyDescent="0.25">
      <c r="A664" s="165" t="s">
        <v>716</v>
      </c>
      <c r="B664" s="165" t="s">
        <v>250</v>
      </c>
      <c r="C664" s="165" t="s">
        <v>251</v>
      </c>
      <c r="D664" s="165" t="s">
        <v>69</v>
      </c>
      <c r="E664" s="166">
        <v>3548260</v>
      </c>
      <c r="F664" s="166">
        <v>3526021</v>
      </c>
      <c r="G664" s="166">
        <v>3503758</v>
      </c>
      <c r="H664" s="166">
        <v>0</v>
      </c>
      <c r="I664" s="166">
        <v>1502695</v>
      </c>
      <c r="J664" s="166">
        <v>0</v>
      </c>
      <c r="K664" s="166">
        <v>2001063</v>
      </c>
      <c r="L664" s="167">
        <f t="shared" si="0"/>
        <v>0.56751306926419331</v>
      </c>
      <c r="M664" s="166">
        <v>2001063</v>
      </c>
      <c r="N664" s="168">
        <f t="shared" si="1"/>
        <v>0.56751306926419331</v>
      </c>
      <c r="O664" s="166">
        <v>22263</v>
      </c>
      <c r="P664" s="168">
        <f t="shared" si="2"/>
        <v>6.313915884221903E-3</v>
      </c>
      <c r="Q664" s="166">
        <v>0</v>
      </c>
    </row>
    <row r="665" spans="1:17" hidden="1" x14ac:dyDescent="0.25">
      <c r="A665" s="165" t="s">
        <v>716</v>
      </c>
      <c r="B665" s="165" t="s">
        <v>635</v>
      </c>
      <c r="C665" s="165" t="s">
        <v>702</v>
      </c>
      <c r="D665" s="165" t="s">
        <v>69</v>
      </c>
      <c r="E665" s="166">
        <v>3013955</v>
      </c>
      <c r="F665" s="166">
        <v>2995065</v>
      </c>
      <c r="G665" s="166">
        <v>2976155</v>
      </c>
      <c r="H665" s="166">
        <v>0</v>
      </c>
      <c r="I665" s="166">
        <v>1280496</v>
      </c>
      <c r="J665" s="166">
        <v>0</v>
      </c>
      <c r="K665" s="166">
        <v>1695659</v>
      </c>
      <c r="L665" s="167">
        <f t="shared" si="0"/>
        <v>0.56615098503705263</v>
      </c>
      <c r="M665" s="166">
        <v>1695659</v>
      </c>
      <c r="N665" s="168">
        <f t="shared" si="1"/>
        <v>0.56615098503705263</v>
      </c>
      <c r="O665" s="166">
        <v>18910</v>
      </c>
      <c r="P665" s="168">
        <f t="shared" si="2"/>
        <v>6.3137194017492109E-3</v>
      </c>
      <c r="Q665" s="166">
        <v>0</v>
      </c>
    </row>
    <row r="666" spans="1:17" hidden="1" x14ac:dyDescent="0.25">
      <c r="A666" s="165" t="s">
        <v>716</v>
      </c>
      <c r="B666" s="165" t="s">
        <v>650</v>
      </c>
      <c r="C666" s="165" t="s">
        <v>703</v>
      </c>
      <c r="D666" s="165" t="s">
        <v>69</v>
      </c>
      <c r="E666" s="166">
        <v>534305</v>
      </c>
      <c r="F666" s="166">
        <v>530956</v>
      </c>
      <c r="G666" s="166">
        <v>527603</v>
      </c>
      <c r="H666" s="166">
        <v>0</v>
      </c>
      <c r="I666" s="166">
        <v>222199</v>
      </c>
      <c r="J666" s="166">
        <v>0</v>
      </c>
      <c r="K666" s="166">
        <v>305404</v>
      </c>
      <c r="L666" s="167">
        <f t="shared" si="0"/>
        <v>0.57519643812293297</v>
      </c>
      <c r="M666" s="166">
        <v>305404</v>
      </c>
      <c r="N666" s="168">
        <f t="shared" si="1"/>
        <v>0.57519643812293297</v>
      </c>
      <c r="O666" s="166">
        <v>3353</v>
      </c>
      <c r="P666" s="168">
        <f t="shared" si="2"/>
        <v>6.3150242204627121E-3</v>
      </c>
      <c r="Q666" s="166">
        <v>0</v>
      </c>
    </row>
    <row r="667" spans="1:17" hidden="1" x14ac:dyDescent="0.25">
      <c r="A667" s="165" t="s">
        <v>716</v>
      </c>
      <c r="B667" s="165" t="s">
        <v>260</v>
      </c>
      <c r="C667" s="165" t="s">
        <v>261</v>
      </c>
      <c r="D667" s="165" t="s">
        <v>69</v>
      </c>
      <c r="E667" s="166">
        <v>1500000</v>
      </c>
      <c r="F667" s="166">
        <v>1500000</v>
      </c>
      <c r="G667" s="166">
        <v>1500000</v>
      </c>
      <c r="H667" s="166">
        <v>0</v>
      </c>
      <c r="I667" s="166">
        <v>0</v>
      </c>
      <c r="J667" s="166">
        <v>0</v>
      </c>
      <c r="K667" s="166">
        <v>21384</v>
      </c>
      <c r="L667" s="167">
        <f t="shared" si="0"/>
        <v>1.4256E-2</v>
      </c>
      <c r="M667" s="166">
        <v>21384</v>
      </c>
      <c r="N667" s="168">
        <f t="shared" si="1"/>
        <v>1.4256E-2</v>
      </c>
      <c r="O667" s="166">
        <v>1478616</v>
      </c>
      <c r="P667" s="168">
        <f t="shared" si="2"/>
        <v>0.98574399999999995</v>
      </c>
      <c r="Q667" s="166">
        <v>1478616</v>
      </c>
    </row>
    <row r="668" spans="1:17" x14ac:dyDescent="0.25">
      <c r="A668" s="165" t="s">
        <v>716</v>
      </c>
      <c r="B668" s="165" t="s">
        <v>264</v>
      </c>
      <c r="C668" s="165" t="s">
        <v>265</v>
      </c>
      <c r="D668" s="165" t="s">
        <v>69</v>
      </c>
      <c r="E668" s="166">
        <v>1500000</v>
      </c>
      <c r="F668" s="166">
        <v>1500000</v>
      </c>
      <c r="G668" s="166">
        <v>1500000</v>
      </c>
      <c r="H668" s="166">
        <v>0</v>
      </c>
      <c r="I668" s="166">
        <v>0</v>
      </c>
      <c r="J668" s="166">
        <v>0</v>
      </c>
      <c r="K668" s="166">
        <v>21384</v>
      </c>
      <c r="L668" s="167">
        <f t="shared" si="0"/>
        <v>1.4256E-2</v>
      </c>
      <c r="M668" s="166">
        <v>21384</v>
      </c>
      <c r="N668" s="168">
        <f t="shared" si="1"/>
        <v>1.4256E-2</v>
      </c>
      <c r="O668" s="166">
        <v>1478616</v>
      </c>
      <c r="P668" s="168">
        <f t="shared" si="2"/>
        <v>0.98574399999999995</v>
      </c>
      <c r="Q668" s="166">
        <v>1478616</v>
      </c>
    </row>
    <row r="669" spans="1:17" hidden="1" x14ac:dyDescent="0.25">
      <c r="A669" s="44">
        <v>214790</v>
      </c>
      <c r="B669" s="44"/>
      <c r="C669" s="44"/>
      <c r="D669" s="44" t="s">
        <v>69</v>
      </c>
      <c r="E669" s="50">
        <v>1417740073</v>
      </c>
      <c r="F669" s="50">
        <v>1271491809</v>
      </c>
      <c r="G669" s="50">
        <v>1212983448.0799999</v>
      </c>
      <c r="H669" s="50">
        <v>12227115.85</v>
      </c>
      <c r="I669" s="50">
        <v>105937378.67</v>
      </c>
      <c r="J669" s="50">
        <v>3315235.54</v>
      </c>
      <c r="K669" s="50">
        <v>679350352.16999996</v>
      </c>
      <c r="L669" s="151">
        <f t="shared" si="0"/>
        <v>0.53429392730755687</v>
      </c>
      <c r="M669" s="50">
        <v>678127171.54999995</v>
      </c>
      <c r="N669" s="152">
        <f t="shared" si="1"/>
        <v>0.53333192298213217</v>
      </c>
      <c r="O669" s="50">
        <v>470661726.76999998</v>
      </c>
      <c r="P669" s="152">
        <f t="shared" si="2"/>
        <v>0.3701649695566383</v>
      </c>
      <c r="Q669" s="50">
        <v>412153365.85000002</v>
      </c>
    </row>
    <row r="670" spans="1:17" hidden="1" x14ac:dyDescent="0.25">
      <c r="A670" s="44" t="s">
        <v>717</v>
      </c>
      <c r="B670" s="44" t="s">
        <v>71</v>
      </c>
      <c r="C670" s="44" t="s">
        <v>72</v>
      </c>
      <c r="D670" s="44" t="s">
        <v>69</v>
      </c>
      <c r="E670" s="50">
        <v>1125132721</v>
      </c>
      <c r="F670" s="50">
        <v>1096513206</v>
      </c>
      <c r="G670" s="50">
        <v>1085946735</v>
      </c>
      <c r="H670" s="50">
        <v>0</v>
      </c>
      <c r="I670" s="50">
        <v>61971278</v>
      </c>
      <c r="J670" s="50">
        <v>0</v>
      </c>
      <c r="K670" s="50">
        <v>635532554.89999998</v>
      </c>
      <c r="L670" s="151">
        <f t="shared" si="0"/>
        <v>0.57959407275939367</v>
      </c>
      <c r="M670" s="50">
        <v>635532554.89999998</v>
      </c>
      <c r="N670" s="152">
        <f t="shared" si="1"/>
        <v>0.57959407275939367</v>
      </c>
      <c r="O670" s="50">
        <v>399009373.10000002</v>
      </c>
      <c r="P670" s="152">
        <f t="shared" si="2"/>
        <v>0.36388925451756032</v>
      </c>
      <c r="Q670" s="50">
        <v>388442902.10000002</v>
      </c>
    </row>
    <row r="671" spans="1:17" hidden="1" x14ac:dyDescent="0.25">
      <c r="A671" s="44" t="s">
        <v>717</v>
      </c>
      <c r="B671" s="44" t="s">
        <v>73</v>
      </c>
      <c r="C671" s="44" t="s">
        <v>74</v>
      </c>
      <c r="D671" s="44" t="s">
        <v>69</v>
      </c>
      <c r="E671" s="50">
        <v>456307400</v>
      </c>
      <c r="F671" s="50">
        <v>441766100</v>
      </c>
      <c r="G671" s="50">
        <v>441766100</v>
      </c>
      <c r="H671" s="50">
        <v>0</v>
      </c>
      <c r="I671" s="50">
        <v>0</v>
      </c>
      <c r="J671" s="50">
        <v>0</v>
      </c>
      <c r="K671" s="50">
        <v>273570332.88999999</v>
      </c>
      <c r="L671" s="151">
        <f t="shared" si="0"/>
        <v>0.61926511085843838</v>
      </c>
      <c r="M671" s="50">
        <v>273570332.88999999</v>
      </c>
      <c r="N671" s="152">
        <f t="shared" si="1"/>
        <v>0.61926511085843838</v>
      </c>
      <c r="O671" s="50">
        <v>168195767.11000001</v>
      </c>
      <c r="P671" s="152">
        <f t="shared" si="2"/>
        <v>0.38073488914156162</v>
      </c>
      <c r="Q671" s="50">
        <v>168195767.11000001</v>
      </c>
    </row>
    <row r="672" spans="1:17" hidden="1" x14ac:dyDescent="0.25">
      <c r="A672" s="44" t="s">
        <v>717</v>
      </c>
      <c r="B672" s="44" t="s">
        <v>75</v>
      </c>
      <c r="C672" s="44" t="s">
        <v>76</v>
      </c>
      <c r="D672" s="44" t="s">
        <v>69</v>
      </c>
      <c r="E672" s="50">
        <v>456307400</v>
      </c>
      <c r="F672" s="50">
        <v>441766100</v>
      </c>
      <c r="G672" s="50">
        <v>441766100</v>
      </c>
      <c r="H672" s="50">
        <v>0</v>
      </c>
      <c r="I672" s="50">
        <v>0</v>
      </c>
      <c r="J672" s="50">
        <v>0</v>
      </c>
      <c r="K672" s="50">
        <v>273570332.88999999</v>
      </c>
      <c r="L672" s="151">
        <f t="shared" si="0"/>
        <v>0.61926511085843838</v>
      </c>
      <c r="M672" s="50">
        <v>273570332.88999999</v>
      </c>
      <c r="N672" s="152">
        <f t="shared" si="1"/>
        <v>0.61926511085843838</v>
      </c>
      <c r="O672" s="50">
        <v>168195767.11000001</v>
      </c>
      <c r="P672" s="152">
        <f t="shared" si="2"/>
        <v>0.38073488914156162</v>
      </c>
      <c r="Q672" s="50">
        <v>168195767.11000001</v>
      </c>
    </row>
    <row r="673" spans="1:17" hidden="1" x14ac:dyDescent="0.25">
      <c r="A673" s="44" t="s">
        <v>717</v>
      </c>
      <c r="B673" s="44" t="s">
        <v>77</v>
      </c>
      <c r="C673" s="44" t="s">
        <v>78</v>
      </c>
      <c r="D673" s="44" t="s">
        <v>69</v>
      </c>
      <c r="E673" s="50">
        <v>497190642</v>
      </c>
      <c r="F673" s="50">
        <v>488516531</v>
      </c>
      <c r="G673" s="50">
        <v>477950060</v>
      </c>
      <c r="H673" s="50">
        <v>0</v>
      </c>
      <c r="I673" s="50">
        <v>0</v>
      </c>
      <c r="J673" s="50">
        <v>0</v>
      </c>
      <c r="K673" s="50">
        <v>258632841.00999999</v>
      </c>
      <c r="L673" s="151">
        <f t="shared" si="0"/>
        <v>0.52942495206984097</v>
      </c>
      <c r="M673" s="50">
        <v>258632841.00999999</v>
      </c>
      <c r="N673" s="152">
        <f t="shared" si="1"/>
        <v>0.52942495206984097</v>
      </c>
      <c r="O673" s="50">
        <v>229883689.99000001</v>
      </c>
      <c r="P673" s="152">
        <f t="shared" si="2"/>
        <v>0.47057504793015903</v>
      </c>
      <c r="Q673" s="50">
        <v>219317218.99000001</v>
      </c>
    </row>
    <row r="674" spans="1:17" hidden="1" x14ac:dyDescent="0.25">
      <c r="A674" s="44" t="s">
        <v>717</v>
      </c>
      <c r="B674" s="44" t="s">
        <v>79</v>
      </c>
      <c r="C674" s="44" t="s">
        <v>80</v>
      </c>
      <c r="D674" s="44" t="s">
        <v>69</v>
      </c>
      <c r="E674" s="50">
        <v>91313600</v>
      </c>
      <c r="F674" s="50">
        <v>91313600</v>
      </c>
      <c r="G674" s="50">
        <v>84507129</v>
      </c>
      <c r="H674" s="50">
        <v>0</v>
      </c>
      <c r="I674" s="50">
        <v>0</v>
      </c>
      <c r="J674" s="50">
        <v>0</v>
      </c>
      <c r="K674" s="50">
        <v>56266925.729999997</v>
      </c>
      <c r="L674" s="151">
        <f t="shared" si="0"/>
        <v>0.61619436458534105</v>
      </c>
      <c r="M674" s="50">
        <v>56266925.729999997</v>
      </c>
      <c r="N674" s="152">
        <f t="shared" si="1"/>
        <v>0.61619436458534105</v>
      </c>
      <c r="O674" s="50">
        <v>35046674.270000003</v>
      </c>
      <c r="P674" s="152">
        <f t="shared" si="2"/>
        <v>0.38380563541465895</v>
      </c>
      <c r="Q674" s="50">
        <v>28240203.27</v>
      </c>
    </row>
    <row r="675" spans="1:17" hidden="1" x14ac:dyDescent="0.25">
      <c r="A675" s="44" t="s">
        <v>717</v>
      </c>
      <c r="B675" s="44" t="s">
        <v>81</v>
      </c>
      <c r="C675" s="44" t="s">
        <v>82</v>
      </c>
      <c r="D675" s="44" t="s">
        <v>69</v>
      </c>
      <c r="E675" s="50">
        <v>214869984</v>
      </c>
      <c r="F675" s="50">
        <v>209049915</v>
      </c>
      <c r="G675" s="50">
        <v>209049915</v>
      </c>
      <c r="H675" s="50">
        <v>0</v>
      </c>
      <c r="I675" s="50">
        <v>0</v>
      </c>
      <c r="J675" s="50">
        <v>0</v>
      </c>
      <c r="K675" s="50">
        <v>125191399.19</v>
      </c>
      <c r="L675" s="151">
        <f t="shared" si="0"/>
        <v>0.59885888587900171</v>
      </c>
      <c r="M675" s="50">
        <v>125191399.19</v>
      </c>
      <c r="N675" s="152">
        <f t="shared" si="1"/>
        <v>0.59885888587900171</v>
      </c>
      <c r="O675" s="50">
        <v>83858515.810000002</v>
      </c>
      <c r="P675" s="152">
        <f t="shared" si="2"/>
        <v>0.40114111412099834</v>
      </c>
      <c r="Q675" s="50">
        <v>83858515.810000002</v>
      </c>
    </row>
    <row r="676" spans="1:17" x14ac:dyDescent="0.25">
      <c r="A676" s="155" t="s">
        <v>717</v>
      </c>
      <c r="B676" s="155" t="s">
        <v>83</v>
      </c>
      <c r="C676" s="155" t="s">
        <v>84</v>
      </c>
      <c r="D676" s="155" t="s">
        <v>85</v>
      </c>
      <c r="E676" s="156">
        <v>73318858</v>
      </c>
      <c r="F676" s="156">
        <v>71010336</v>
      </c>
      <c r="G676" s="156">
        <v>67250336</v>
      </c>
      <c r="H676" s="156">
        <v>0</v>
      </c>
      <c r="I676" s="156">
        <v>0</v>
      </c>
      <c r="J676" s="156">
        <v>0</v>
      </c>
      <c r="K676" s="156">
        <v>33397.65</v>
      </c>
      <c r="L676" s="157">
        <f t="shared" si="0"/>
        <v>4.7032096848548922E-4</v>
      </c>
      <c r="M676" s="156">
        <v>33397.65</v>
      </c>
      <c r="N676" s="158">
        <f t="shared" si="1"/>
        <v>4.7032096848548922E-4</v>
      </c>
      <c r="O676" s="156">
        <v>70976938.349999994</v>
      </c>
      <c r="P676" s="158">
        <f t="shared" si="2"/>
        <v>0.99952967903151446</v>
      </c>
      <c r="Q676" s="156">
        <v>67216938.349999994</v>
      </c>
    </row>
    <row r="677" spans="1:17" x14ac:dyDescent="0.25">
      <c r="A677" s="155" t="s">
        <v>717</v>
      </c>
      <c r="B677" s="155" t="s">
        <v>86</v>
      </c>
      <c r="C677" s="155" t="s">
        <v>87</v>
      </c>
      <c r="D677" s="155" t="s">
        <v>69</v>
      </c>
      <c r="E677" s="156">
        <v>67452900</v>
      </c>
      <c r="F677" s="156">
        <v>67452900</v>
      </c>
      <c r="G677" s="156">
        <v>67452900</v>
      </c>
      <c r="H677" s="156">
        <v>0</v>
      </c>
      <c r="I677" s="156">
        <v>0</v>
      </c>
      <c r="J677" s="156">
        <v>0</v>
      </c>
      <c r="K677" s="156">
        <v>49770797.770000003</v>
      </c>
      <c r="L677" s="157">
        <f t="shared" si="0"/>
        <v>0.73786001446935567</v>
      </c>
      <c r="M677" s="156">
        <v>49770797.770000003</v>
      </c>
      <c r="N677" s="158">
        <f t="shared" si="1"/>
        <v>0.73786001446935567</v>
      </c>
      <c r="O677" s="156">
        <v>17682102.23</v>
      </c>
      <c r="P677" s="158">
        <f t="shared" si="2"/>
        <v>0.26213998553064433</v>
      </c>
      <c r="Q677" s="156">
        <v>17682102.23</v>
      </c>
    </row>
    <row r="678" spans="1:17" hidden="1" x14ac:dyDescent="0.25">
      <c r="A678" s="155" t="s">
        <v>717</v>
      </c>
      <c r="B678" s="155" t="s">
        <v>88</v>
      </c>
      <c r="C678" s="155" t="s">
        <v>89</v>
      </c>
      <c r="D678" s="155" t="s">
        <v>69</v>
      </c>
      <c r="E678" s="156">
        <v>50235300</v>
      </c>
      <c r="F678" s="156">
        <v>49689780</v>
      </c>
      <c r="G678" s="156">
        <v>49689780</v>
      </c>
      <c r="H678" s="156">
        <v>0</v>
      </c>
      <c r="I678" s="156">
        <v>0</v>
      </c>
      <c r="J678" s="156">
        <v>0</v>
      </c>
      <c r="K678" s="156">
        <v>27370320.670000002</v>
      </c>
      <c r="L678" s="157">
        <f t="shared" si="0"/>
        <v>0.55082394548738189</v>
      </c>
      <c r="M678" s="156">
        <v>27370320.670000002</v>
      </c>
      <c r="N678" s="158">
        <f t="shared" si="1"/>
        <v>0.55082394548738189</v>
      </c>
      <c r="O678" s="156">
        <v>22319459.329999998</v>
      </c>
      <c r="P678" s="158">
        <f t="shared" si="2"/>
        <v>0.44917605451261805</v>
      </c>
      <c r="Q678" s="156">
        <v>22319459.329999998</v>
      </c>
    </row>
    <row r="679" spans="1:17" hidden="1" x14ac:dyDescent="0.25">
      <c r="A679" s="155" t="s">
        <v>717</v>
      </c>
      <c r="B679" s="155" t="s">
        <v>90</v>
      </c>
      <c r="C679" s="155" t="s">
        <v>91</v>
      </c>
      <c r="D679" s="155" t="s">
        <v>69</v>
      </c>
      <c r="E679" s="156">
        <v>85817390</v>
      </c>
      <c r="F679" s="156">
        <v>83115337</v>
      </c>
      <c r="G679" s="156">
        <v>83115337</v>
      </c>
      <c r="H679" s="156">
        <v>0</v>
      </c>
      <c r="I679" s="156">
        <v>30893226</v>
      </c>
      <c r="J679" s="156">
        <v>0</v>
      </c>
      <c r="K679" s="156">
        <v>51757153</v>
      </c>
      <c r="L679" s="157">
        <f t="shared" si="0"/>
        <v>0.62271483059739019</v>
      </c>
      <c r="M679" s="156">
        <v>51757153</v>
      </c>
      <c r="N679" s="158">
        <f t="shared" si="1"/>
        <v>0.62271483059739019</v>
      </c>
      <c r="O679" s="156">
        <v>464958</v>
      </c>
      <c r="P679" s="158">
        <f t="shared" si="2"/>
        <v>5.5941299979328724E-3</v>
      </c>
      <c r="Q679" s="156">
        <v>464958</v>
      </c>
    </row>
    <row r="680" spans="1:17" hidden="1" x14ac:dyDescent="0.25">
      <c r="A680" s="155" t="s">
        <v>717</v>
      </c>
      <c r="B680" s="155" t="s">
        <v>427</v>
      </c>
      <c r="C680" s="155" t="s">
        <v>697</v>
      </c>
      <c r="D680" s="155" t="s">
        <v>69</v>
      </c>
      <c r="E680" s="156">
        <v>81416555</v>
      </c>
      <c r="F680" s="156">
        <v>78853069</v>
      </c>
      <c r="G680" s="156">
        <v>78853069</v>
      </c>
      <c r="H680" s="156">
        <v>0</v>
      </c>
      <c r="I680" s="156">
        <v>29309039</v>
      </c>
      <c r="J680" s="156">
        <v>0</v>
      </c>
      <c r="K680" s="156">
        <v>49102916</v>
      </c>
      <c r="L680" s="157">
        <f t="shared" si="0"/>
        <v>0.6227140759733778</v>
      </c>
      <c r="M680" s="156">
        <v>49102916</v>
      </c>
      <c r="N680" s="158">
        <f t="shared" si="1"/>
        <v>0.6227140759733778</v>
      </c>
      <c r="O680" s="156">
        <v>441114</v>
      </c>
      <c r="P680" s="158">
        <f t="shared" si="2"/>
        <v>5.594125955959939E-3</v>
      </c>
      <c r="Q680" s="156">
        <v>441114</v>
      </c>
    </row>
    <row r="681" spans="1:17" hidden="1" x14ac:dyDescent="0.25">
      <c r="A681" s="155" t="s">
        <v>717</v>
      </c>
      <c r="B681" s="155" t="s">
        <v>444</v>
      </c>
      <c r="C681" s="155" t="s">
        <v>95</v>
      </c>
      <c r="D681" s="155" t="s">
        <v>69</v>
      </c>
      <c r="E681" s="156">
        <v>4400835</v>
      </c>
      <c r="F681" s="156">
        <v>4262268</v>
      </c>
      <c r="G681" s="156">
        <v>4262268</v>
      </c>
      <c r="H681" s="156">
        <v>0</v>
      </c>
      <c r="I681" s="156">
        <v>1584187</v>
      </c>
      <c r="J681" s="156">
        <v>0</v>
      </c>
      <c r="K681" s="156">
        <v>2654237</v>
      </c>
      <c r="L681" s="157">
        <f t="shared" si="0"/>
        <v>0.62272879133832038</v>
      </c>
      <c r="M681" s="156">
        <v>2654237</v>
      </c>
      <c r="N681" s="158">
        <f t="shared" si="1"/>
        <v>0.62272879133832038</v>
      </c>
      <c r="O681" s="156">
        <v>23844</v>
      </c>
      <c r="P681" s="158">
        <f t="shared" si="2"/>
        <v>5.594204775485727E-3</v>
      </c>
      <c r="Q681" s="156">
        <v>23844</v>
      </c>
    </row>
    <row r="682" spans="1:17" hidden="1" x14ac:dyDescent="0.25">
      <c r="A682" s="155" t="s">
        <v>717</v>
      </c>
      <c r="B682" s="155" t="s">
        <v>96</v>
      </c>
      <c r="C682" s="155" t="s">
        <v>97</v>
      </c>
      <c r="D682" s="155" t="s">
        <v>69</v>
      </c>
      <c r="E682" s="156">
        <v>85817289</v>
      </c>
      <c r="F682" s="156">
        <v>83115238</v>
      </c>
      <c r="G682" s="156">
        <v>83115238</v>
      </c>
      <c r="H682" s="156">
        <v>0</v>
      </c>
      <c r="I682" s="156">
        <v>31078052</v>
      </c>
      <c r="J682" s="156">
        <v>0</v>
      </c>
      <c r="K682" s="156">
        <v>51572228</v>
      </c>
      <c r="L682" s="157">
        <f t="shared" si="0"/>
        <v>0.62049064938008114</v>
      </c>
      <c r="M682" s="156">
        <v>51572228</v>
      </c>
      <c r="N682" s="158">
        <f t="shared" si="1"/>
        <v>0.62049064938008114</v>
      </c>
      <c r="O682" s="156">
        <v>464958</v>
      </c>
      <c r="P682" s="158">
        <f t="shared" si="2"/>
        <v>5.5941366611980342E-3</v>
      </c>
      <c r="Q682" s="156">
        <v>464958</v>
      </c>
    </row>
    <row r="683" spans="1:17" hidden="1" x14ac:dyDescent="0.25">
      <c r="A683" s="155" t="s">
        <v>717</v>
      </c>
      <c r="B683" s="155" t="s">
        <v>462</v>
      </c>
      <c r="C683" s="155" t="s">
        <v>698</v>
      </c>
      <c r="D683" s="155" t="s">
        <v>69</v>
      </c>
      <c r="E683" s="156">
        <v>46209371</v>
      </c>
      <c r="F683" s="156">
        <v>44754420</v>
      </c>
      <c r="G683" s="156">
        <v>44754420</v>
      </c>
      <c r="H683" s="156">
        <v>0</v>
      </c>
      <c r="I683" s="156">
        <v>16819711</v>
      </c>
      <c r="J683" s="156">
        <v>0</v>
      </c>
      <c r="K683" s="156">
        <v>27684347</v>
      </c>
      <c r="L683" s="157">
        <f t="shared" si="0"/>
        <v>0.61858352761581981</v>
      </c>
      <c r="M683" s="156">
        <v>27684347</v>
      </c>
      <c r="N683" s="158">
        <f t="shared" si="1"/>
        <v>0.61858352761581981</v>
      </c>
      <c r="O683" s="156">
        <v>250362</v>
      </c>
      <c r="P683" s="158">
        <f t="shared" si="2"/>
        <v>5.5941290268089723E-3</v>
      </c>
      <c r="Q683" s="156">
        <v>250362</v>
      </c>
    </row>
    <row r="684" spans="1:17" hidden="1" x14ac:dyDescent="0.25">
      <c r="A684" s="155" t="s">
        <v>717</v>
      </c>
      <c r="B684" s="155" t="s">
        <v>479</v>
      </c>
      <c r="C684" s="155" t="s">
        <v>699</v>
      </c>
      <c r="D684" s="155" t="s">
        <v>69</v>
      </c>
      <c r="E684" s="156">
        <v>13202606</v>
      </c>
      <c r="F684" s="156">
        <v>12786906</v>
      </c>
      <c r="G684" s="156">
        <v>12786906</v>
      </c>
      <c r="H684" s="156">
        <v>0</v>
      </c>
      <c r="I684" s="156">
        <v>4752764</v>
      </c>
      <c r="J684" s="156">
        <v>0</v>
      </c>
      <c r="K684" s="156">
        <v>7962610</v>
      </c>
      <c r="L684" s="157">
        <f t="shared" si="0"/>
        <v>0.62271592518158814</v>
      </c>
      <c r="M684" s="156">
        <v>7962610</v>
      </c>
      <c r="N684" s="158">
        <f t="shared" si="1"/>
        <v>0.62271592518158814</v>
      </c>
      <c r="O684" s="156">
        <v>71532</v>
      </c>
      <c r="P684" s="158">
        <f t="shared" si="2"/>
        <v>5.5941601510169853E-3</v>
      </c>
      <c r="Q684" s="156">
        <v>71532</v>
      </c>
    </row>
    <row r="685" spans="1:17" hidden="1" x14ac:dyDescent="0.25">
      <c r="A685" s="155" t="s">
        <v>717</v>
      </c>
      <c r="B685" s="155" t="s">
        <v>496</v>
      </c>
      <c r="C685" s="155" t="s">
        <v>700</v>
      </c>
      <c r="D685" s="155" t="s">
        <v>69</v>
      </c>
      <c r="E685" s="156">
        <v>26405312</v>
      </c>
      <c r="F685" s="156">
        <v>25573912</v>
      </c>
      <c r="G685" s="156">
        <v>25573912</v>
      </c>
      <c r="H685" s="156">
        <v>0</v>
      </c>
      <c r="I685" s="156">
        <v>9505577</v>
      </c>
      <c r="J685" s="156">
        <v>0</v>
      </c>
      <c r="K685" s="156">
        <v>15925271</v>
      </c>
      <c r="L685" s="157">
        <f t="shared" si="0"/>
        <v>0.62271548443585789</v>
      </c>
      <c r="M685" s="156">
        <v>15925271</v>
      </c>
      <c r="N685" s="158">
        <f t="shared" si="1"/>
        <v>0.62271548443585789</v>
      </c>
      <c r="O685" s="156">
        <v>143064</v>
      </c>
      <c r="P685" s="158">
        <f t="shared" si="2"/>
        <v>5.5941382765374338E-3</v>
      </c>
      <c r="Q685" s="156">
        <v>143064</v>
      </c>
    </row>
    <row r="686" spans="1:17" hidden="1" x14ac:dyDescent="0.25">
      <c r="A686" s="155" t="s">
        <v>717</v>
      </c>
      <c r="B686" s="155" t="s">
        <v>104</v>
      </c>
      <c r="C686" s="155" t="s">
        <v>105</v>
      </c>
      <c r="D686" s="155" t="s">
        <v>69</v>
      </c>
      <c r="E686" s="156">
        <v>143937951</v>
      </c>
      <c r="F686" s="156">
        <v>91784695</v>
      </c>
      <c r="G686" s="156">
        <v>68367155</v>
      </c>
      <c r="H686" s="156">
        <v>0</v>
      </c>
      <c r="I686" s="156">
        <v>29389059.66</v>
      </c>
      <c r="J686" s="156">
        <v>3315235.54</v>
      </c>
      <c r="K686" s="156">
        <v>20366929.120000001</v>
      </c>
      <c r="L686" s="157">
        <f t="shared" si="0"/>
        <v>0.22189896823212193</v>
      </c>
      <c r="M686" s="156">
        <v>19143748.5</v>
      </c>
      <c r="N686" s="158">
        <f t="shared" si="1"/>
        <v>0.20857233877608897</v>
      </c>
      <c r="O686" s="156">
        <v>38713470.68</v>
      </c>
      <c r="P686" s="158">
        <f t="shared" si="2"/>
        <v>0.42178568747218692</v>
      </c>
      <c r="Q686" s="156">
        <v>15295930.68</v>
      </c>
    </row>
    <row r="687" spans="1:17" hidden="1" x14ac:dyDescent="0.25">
      <c r="A687" s="155" t="s">
        <v>717</v>
      </c>
      <c r="B687" s="155" t="s">
        <v>106</v>
      </c>
      <c r="C687" s="155" t="s">
        <v>107</v>
      </c>
      <c r="D687" s="155" t="s">
        <v>69</v>
      </c>
      <c r="E687" s="156">
        <v>60469231</v>
      </c>
      <c r="F687" s="156">
        <v>50315823</v>
      </c>
      <c r="G687" s="156">
        <v>30201065</v>
      </c>
      <c r="H687" s="156">
        <v>0</v>
      </c>
      <c r="I687" s="156">
        <v>15731168.18</v>
      </c>
      <c r="J687" s="156">
        <v>3290135.54</v>
      </c>
      <c r="K687" s="156">
        <v>11179760.390000001</v>
      </c>
      <c r="L687" s="157">
        <f t="shared" si="0"/>
        <v>0.22219174254587867</v>
      </c>
      <c r="M687" s="156">
        <v>9980579.7699999996</v>
      </c>
      <c r="N687" s="158">
        <f t="shared" si="1"/>
        <v>0.1983586707902999</v>
      </c>
      <c r="O687" s="156">
        <v>20114758.890000001</v>
      </c>
      <c r="P687" s="158">
        <f t="shared" si="2"/>
        <v>0.39977004629338969</v>
      </c>
      <c r="Q687" s="156">
        <v>0.89</v>
      </c>
    </row>
    <row r="688" spans="1:17" hidden="1" x14ac:dyDescent="0.25">
      <c r="A688" s="155" t="s">
        <v>717</v>
      </c>
      <c r="B688" s="155" t="s">
        <v>108</v>
      </c>
      <c r="C688" s="155" t="s">
        <v>109</v>
      </c>
      <c r="D688" s="155" t="s">
        <v>69</v>
      </c>
      <c r="E688" s="156">
        <v>60469231</v>
      </c>
      <c r="F688" s="156">
        <v>50315823</v>
      </c>
      <c r="G688" s="156">
        <v>30201065</v>
      </c>
      <c r="H688" s="156">
        <v>0</v>
      </c>
      <c r="I688" s="156">
        <v>15731168.18</v>
      </c>
      <c r="J688" s="156">
        <v>3290135.54</v>
      </c>
      <c r="K688" s="156">
        <v>11179760.390000001</v>
      </c>
      <c r="L688" s="157">
        <f t="shared" si="0"/>
        <v>0.22219174254587867</v>
      </c>
      <c r="M688" s="156">
        <v>9980579.7699999996</v>
      </c>
      <c r="N688" s="158">
        <f t="shared" si="1"/>
        <v>0.1983586707902999</v>
      </c>
      <c r="O688" s="156">
        <v>20114758.890000001</v>
      </c>
      <c r="P688" s="158">
        <f t="shared" si="2"/>
        <v>0.39977004629338969</v>
      </c>
      <c r="Q688" s="156">
        <v>0.89</v>
      </c>
    </row>
    <row r="689" spans="1:17" hidden="1" x14ac:dyDescent="0.25">
      <c r="A689" s="155" t="s">
        <v>717</v>
      </c>
      <c r="B689" s="155" t="s">
        <v>112</v>
      </c>
      <c r="C689" s="155" t="s">
        <v>113</v>
      </c>
      <c r="D689" s="155" t="s">
        <v>69</v>
      </c>
      <c r="E689" s="156">
        <v>12862800</v>
      </c>
      <c r="F689" s="156">
        <v>13016208</v>
      </c>
      <c r="G689" s="156">
        <v>10105158</v>
      </c>
      <c r="H689" s="156">
        <v>0</v>
      </c>
      <c r="I689" s="156">
        <v>4482200.03</v>
      </c>
      <c r="J689" s="156">
        <v>0</v>
      </c>
      <c r="K689" s="156">
        <v>3208303.38</v>
      </c>
      <c r="L689" s="157">
        <f t="shared" si="0"/>
        <v>0.24648525745747146</v>
      </c>
      <c r="M689" s="156">
        <v>3208303.38</v>
      </c>
      <c r="N689" s="158">
        <f t="shared" si="1"/>
        <v>0.24648525745747146</v>
      </c>
      <c r="O689" s="156">
        <v>5325704.59</v>
      </c>
      <c r="P689" s="158">
        <f t="shared" si="2"/>
        <v>0.40915945642540436</v>
      </c>
      <c r="Q689" s="156">
        <v>2414654.59</v>
      </c>
    </row>
    <row r="690" spans="1:17" hidden="1" x14ac:dyDescent="0.25">
      <c r="A690" s="155" t="s">
        <v>717</v>
      </c>
      <c r="B690" s="155" t="s">
        <v>114</v>
      </c>
      <c r="C690" s="155" t="s">
        <v>115</v>
      </c>
      <c r="D690" s="155" t="s">
        <v>69</v>
      </c>
      <c r="E690" s="156">
        <v>0</v>
      </c>
      <c r="F690" s="156">
        <v>153408</v>
      </c>
      <c r="G690" s="156">
        <v>153408</v>
      </c>
      <c r="H690" s="156">
        <v>0</v>
      </c>
      <c r="I690" s="156">
        <v>0</v>
      </c>
      <c r="J690" s="156">
        <v>0</v>
      </c>
      <c r="K690" s="156">
        <v>89146</v>
      </c>
      <c r="L690" s="157">
        <f t="shared" si="0"/>
        <v>0.58110398414685027</v>
      </c>
      <c r="M690" s="156">
        <v>89146</v>
      </c>
      <c r="N690" s="158">
        <f t="shared" si="1"/>
        <v>0.58110398414685027</v>
      </c>
      <c r="O690" s="156">
        <v>64262</v>
      </c>
      <c r="P690" s="158">
        <f t="shared" si="2"/>
        <v>0.41889601585314978</v>
      </c>
      <c r="Q690" s="156">
        <v>64262</v>
      </c>
    </row>
    <row r="691" spans="1:17" hidden="1" x14ac:dyDescent="0.25">
      <c r="A691" s="155" t="s">
        <v>717</v>
      </c>
      <c r="B691" s="155" t="s">
        <v>116</v>
      </c>
      <c r="C691" s="155" t="s">
        <v>117</v>
      </c>
      <c r="D691" s="155" t="s">
        <v>69</v>
      </c>
      <c r="E691" s="156">
        <v>500000</v>
      </c>
      <c r="F691" s="156">
        <v>500000</v>
      </c>
      <c r="G691" s="156">
        <v>500000</v>
      </c>
      <c r="H691" s="156">
        <v>0</v>
      </c>
      <c r="I691" s="156">
        <v>103422</v>
      </c>
      <c r="J691" s="156">
        <v>0</v>
      </c>
      <c r="K691" s="156">
        <v>395986.75</v>
      </c>
      <c r="L691" s="157">
        <f t="shared" si="0"/>
        <v>0.7919735</v>
      </c>
      <c r="M691" s="156">
        <v>395986.75</v>
      </c>
      <c r="N691" s="158">
        <f t="shared" si="1"/>
        <v>0.7919735</v>
      </c>
      <c r="O691" s="156">
        <v>591.25</v>
      </c>
      <c r="P691" s="158">
        <f t="shared" si="2"/>
        <v>1.1825E-3</v>
      </c>
      <c r="Q691" s="156">
        <v>591.25</v>
      </c>
    </row>
    <row r="692" spans="1:17" hidden="1" x14ac:dyDescent="0.25">
      <c r="A692" s="155" t="s">
        <v>717</v>
      </c>
      <c r="B692" s="155" t="s">
        <v>120</v>
      </c>
      <c r="C692" s="155" t="s">
        <v>121</v>
      </c>
      <c r="D692" s="155" t="s">
        <v>69</v>
      </c>
      <c r="E692" s="156">
        <v>12362800</v>
      </c>
      <c r="F692" s="156">
        <v>12362800</v>
      </c>
      <c r="G692" s="156">
        <v>9451750</v>
      </c>
      <c r="H692" s="156">
        <v>0</v>
      </c>
      <c r="I692" s="156">
        <v>4378778.03</v>
      </c>
      <c r="J692" s="156">
        <v>0</v>
      </c>
      <c r="K692" s="156">
        <v>2723170.63</v>
      </c>
      <c r="L692" s="157">
        <f t="shared" si="0"/>
        <v>0.22027134872359011</v>
      </c>
      <c r="M692" s="156">
        <v>2723170.63</v>
      </c>
      <c r="N692" s="158">
        <f t="shared" si="1"/>
        <v>0.22027134872359011</v>
      </c>
      <c r="O692" s="156">
        <v>5260851.34</v>
      </c>
      <c r="P692" s="158">
        <f t="shared" si="2"/>
        <v>0.4255388213026175</v>
      </c>
      <c r="Q692" s="156">
        <v>2349801.34</v>
      </c>
    </row>
    <row r="693" spans="1:17" hidden="1" x14ac:dyDescent="0.25">
      <c r="A693" s="155" t="s">
        <v>717</v>
      </c>
      <c r="B693" s="155" t="s">
        <v>124</v>
      </c>
      <c r="C693" s="155" t="s">
        <v>125</v>
      </c>
      <c r="D693" s="155" t="s">
        <v>69</v>
      </c>
      <c r="E693" s="156">
        <v>4286000</v>
      </c>
      <c r="F693" s="156">
        <v>1559050</v>
      </c>
      <c r="G693" s="156">
        <v>1391550</v>
      </c>
      <c r="H693" s="156">
        <v>0</v>
      </c>
      <c r="I693" s="156">
        <v>1076551.8</v>
      </c>
      <c r="J693" s="156">
        <v>25100</v>
      </c>
      <c r="K693" s="156">
        <v>209050</v>
      </c>
      <c r="L693" s="157">
        <f t="shared" si="0"/>
        <v>0.13408806645072319</v>
      </c>
      <c r="M693" s="156">
        <v>209050</v>
      </c>
      <c r="N693" s="158">
        <f t="shared" si="1"/>
        <v>0.13408806645072319</v>
      </c>
      <c r="O693" s="156">
        <v>248348.2</v>
      </c>
      <c r="P693" s="158">
        <f t="shared" si="2"/>
        <v>0.15929457041146852</v>
      </c>
      <c r="Q693" s="156">
        <v>80848.2</v>
      </c>
    </row>
    <row r="694" spans="1:17" hidden="1" x14ac:dyDescent="0.25">
      <c r="A694" s="155" t="s">
        <v>717</v>
      </c>
      <c r="B694" s="155" t="s">
        <v>126</v>
      </c>
      <c r="C694" s="155" t="s">
        <v>127</v>
      </c>
      <c r="D694" s="155" t="s">
        <v>69</v>
      </c>
      <c r="E694" s="156">
        <v>450000</v>
      </c>
      <c r="F694" s="156">
        <v>350000</v>
      </c>
      <c r="G694" s="156">
        <v>182500</v>
      </c>
      <c r="H694" s="156">
        <v>0</v>
      </c>
      <c r="I694" s="156">
        <v>153500</v>
      </c>
      <c r="J694" s="156">
        <v>25100</v>
      </c>
      <c r="K694" s="156">
        <v>0</v>
      </c>
      <c r="L694" s="157">
        <f t="shared" si="0"/>
        <v>0</v>
      </c>
      <c r="M694" s="156">
        <v>0</v>
      </c>
      <c r="N694" s="158">
        <f t="shared" si="1"/>
        <v>0</v>
      </c>
      <c r="O694" s="156">
        <v>171400</v>
      </c>
      <c r="P694" s="158">
        <f t="shared" si="2"/>
        <v>0.48971428571428571</v>
      </c>
      <c r="Q694" s="156">
        <v>3900</v>
      </c>
    </row>
    <row r="695" spans="1:17" hidden="1" x14ac:dyDescent="0.25">
      <c r="A695" s="155" t="s">
        <v>717</v>
      </c>
      <c r="B695" s="155" t="s">
        <v>532</v>
      </c>
      <c r="C695" s="155" t="s">
        <v>718</v>
      </c>
      <c r="D695" s="155" t="s">
        <v>69</v>
      </c>
      <c r="E695" s="156">
        <v>1336000</v>
      </c>
      <c r="F695" s="156">
        <v>209050</v>
      </c>
      <c r="G695" s="156">
        <v>209050</v>
      </c>
      <c r="H695" s="156">
        <v>0</v>
      </c>
      <c r="I695" s="156">
        <v>0</v>
      </c>
      <c r="J695" s="156">
        <v>0</v>
      </c>
      <c r="K695" s="156">
        <v>209050</v>
      </c>
      <c r="L695" s="157">
        <f t="shared" si="0"/>
        <v>1</v>
      </c>
      <c r="M695" s="156">
        <v>209050</v>
      </c>
      <c r="N695" s="158">
        <f t="shared" si="1"/>
        <v>1</v>
      </c>
      <c r="O695" s="156">
        <v>0</v>
      </c>
      <c r="P695" s="158">
        <f t="shared" si="2"/>
        <v>0</v>
      </c>
      <c r="Q695" s="156">
        <v>0</v>
      </c>
    </row>
    <row r="696" spans="1:17" hidden="1" x14ac:dyDescent="0.25">
      <c r="A696" s="155" t="s">
        <v>717</v>
      </c>
      <c r="B696" s="155" t="s">
        <v>128</v>
      </c>
      <c r="C696" s="155" t="s">
        <v>129</v>
      </c>
      <c r="D696" s="155" t="s">
        <v>69</v>
      </c>
      <c r="E696" s="156">
        <v>2500000</v>
      </c>
      <c r="F696" s="156">
        <v>1000000</v>
      </c>
      <c r="G696" s="156">
        <v>1000000</v>
      </c>
      <c r="H696" s="156">
        <v>0</v>
      </c>
      <c r="I696" s="156">
        <v>923051.8</v>
      </c>
      <c r="J696" s="156">
        <v>0</v>
      </c>
      <c r="K696" s="156">
        <v>0</v>
      </c>
      <c r="L696" s="157">
        <f t="shared" si="0"/>
        <v>0</v>
      </c>
      <c r="M696" s="156">
        <v>0</v>
      </c>
      <c r="N696" s="158">
        <f t="shared" si="1"/>
        <v>0</v>
      </c>
      <c r="O696" s="156">
        <v>76948.2</v>
      </c>
      <c r="P696" s="158">
        <f t="shared" si="2"/>
        <v>7.6948199999999994E-2</v>
      </c>
      <c r="Q696" s="156">
        <v>76948.2</v>
      </c>
    </row>
    <row r="697" spans="1:17" hidden="1" x14ac:dyDescent="0.25">
      <c r="A697" s="155" t="s">
        <v>717</v>
      </c>
      <c r="B697" s="155" t="s">
        <v>134</v>
      </c>
      <c r="C697" s="155" t="s">
        <v>135</v>
      </c>
      <c r="D697" s="155" t="s">
        <v>69</v>
      </c>
      <c r="E697" s="156">
        <v>3625200</v>
      </c>
      <c r="F697" s="156">
        <v>75000</v>
      </c>
      <c r="G697" s="156">
        <v>66300</v>
      </c>
      <c r="H697" s="156">
        <v>0</v>
      </c>
      <c r="I697" s="156">
        <v>49072.65</v>
      </c>
      <c r="J697" s="156">
        <v>0</v>
      </c>
      <c r="K697" s="156">
        <v>15927.35</v>
      </c>
      <c r="L697" s="157">
        <f t="shared" si="0"/>
        <v>0.21236466666666667</v>
      </c>
      <c r="M697" s="156">
        <v>15927.35</v>
      </c>
      <c r="N697" s="158">
        <f t="shared" si="1"/>
        <v>0.21236466666666667</v>
      </c>
      <c r="O697" s="156">
        <v>10000</v>
      </c>
      <c r="P697" s="158">
        <f t="shared" si="2"/>
        <v>0.13333333333333333</v>
      </c>
      <c r="Q697" s="156">
        <v>1300</v>
      </c>
    </row>
    <row r="698" spans="1:17" hidden="1" x14ac:dyDescent="0.25">
      <c r="A698" s="155" t="s">
        <v>717</v>
      </c>
      <c r="B698" s="155" t="s">
        <v>138</v>
      </c>
      <c r="C698" s="155" t="s">
        <v>139</v>
      </c>
      <c r="D698" s="155" t="s">
        <v>69</v>
      </c>
      <c r="E698" s="156">
        <v>3625200</v>
      </c>
      <c r="F698" s="156">
        <v>75000</v>
      </c>
      <c r="G698" s="156">
        <v>66300</v>
      </c>
      <c r="H698" s="156">
        <v>0</v>
      </c>
      <c r="I698" s="156">
        <v>49072.65</v>
      </c>
      <c r="J698" s="156">
        <v>0</v>
      </c>
      <c r="K698" s="156">
        <v>15927.35</v>
      </c>
      <c r="L698" s="157">
        <f t="shared" si="0"/>
        <v>0.21236466666666667</v>
      </c>
      <c r="M698" s="156">
        <v>15927.35</v>
      </c>
      <c r="N698" s="158">
        <f t="shared" si="1"/>
        <v>0.21236466666666667</v>
      </c>
      <c r="O698" s="156">
        <v>10000</v>
      </c>
      <c r="P698" s="158">
        <f t="shared" si="2"/>
        <v>0.13333333333333333</v>
      </c>
      <c r="Q698" s="156">
        <v>1300</v>
      </c>
    </row>
    <row r="699" spans="1:17" hidden="1" x14ac:dyDescent="0.25">
      <c r="A699" s="155" t="s">
        <v>717</v>
      </c>
      <c r="B699" s="155" t="s">
        <v>140</v>
      </c>
      <c r="C699" s="155" t="s">
        <v>141</v>
      </c>
      <c r="D699" s="155" t="s">
        <v>69</v>
      </c>
      <c r="E699" s="156">
        <v>18004720</v>
      </c>
      <c r="F699" s="156">
        <v>9119755</v>
      </c>
      <c r="G699" s="156">
        <v>8904223</v>
      </c>
      <c r="H699" s="156">
        <v>0</v>
      </c>
      <c r="I699" s="156">
        <v>2238670</v>
      </c>
      <c r="J699" s="156">
        <v>0</v>
      </c>
      <c r="K699" s="156">
        <v>2139650</v>
      </c>
      <c r="L699" s="157">
        <f t="shared" si="0"/>
        <v>0.2346170483746548</v>
      </c>
      <c r="M699" s="156">
        <v>2115650</v>
      </c>
      <c r="N699" s="158">
        <f t="shared" si="1"/>
        <v>0.23198539873055801</v>
      </c>
      <c r="O699" s="156">
        <v>4741435</v>
      </c>
      <c r="P699" s="158">
        <f t="shared" si="2"/>
        <v>0.51990815542742097</v>
      </c>
      <c r="Q699" s="156">
        <v>4525903</v>
      </c>
    </row>
    <row r="700" spans="1:17" hidden="1" x14ac:dyDescent="0.25">
      <c r="A700" s="155" t="s">
        <v>717</v>
      </c>
      <c r="B700" s="155" t="s">
        <v>142</v>
      </c>
      <c r="C700" s="155" t="s">
        <v>143</v>
      </c>
      <c r="D700" s="155" t="s">
        <v>69</v>
      </c>
      <c r="E700" s="156">
        <v>1560220</v>
      </c>
      <c r="F700" s="156">
        <v>394680</v>
      </c>
      <c r="G700" s="156">
        <v>394680</v>
      </c>
      <c r="H700" s="156">
        <v>0</v>
      </c>
      <c r="I700" s="156">
        <v>238670</v>
      </c>
      <c r="J700" s="156">
        <v>0</v>
      </c>
      <c r="K700" s="156">
        <v>155850</v>
      </c>
      <c r="L700" s="157">
        <f t="shared" si="0"/>
        <v>0.3948768622681666</v>
      </c>
      <c r="M700" s="156">
        <v>155850</v>
      </c>
      <c r="N700" s="158">
        <f t="shared" si="1"/>
        <v>0.3948768622681666</v>
      </c>
      <c r="O700" s="156">
        <v>160</v>
      </c>
      <c r="P700" s="158">
        <f t="shared" si="2"/>
        <v>4.0539170973953581E-4</v>
      </c>
      <c r="Q700" s="156">
        <v>160</v>
      </c>
    </row>
    <row r="701" spans="1:17" hidden="1" x14ac:dyDescent="0.25">
      <c r="A701" s="155" t="s">
        <v>717</v>
      </c>
      <c r="B701" s="155" t="s">
        <v>144</v>
      </c>
      <c r="C701" s="155" t="s">
        <v>145</v>
      </c>
      <c r="D701" s="155" t="s">
        <v>69</v>
      </c>
      <c r="E701" s="156">
        <v>16444500</v>
      </c>
      <c r="F701" s="156">
        <v>8725075</v>
      </c>
      <c r="G701" s="156">
        <v>8509543</v>
      </c>
      <c r="H701" s="156">
        <v>0</v>
      </c>
      <c r="I701" s="156">
        <v>2000000</v>
      </c>
      <c r="J701" s="156">
        <v>0</v>
      </c>
      <c r="K701" s="156">
        <v>1983800</v>
      </c>
      <c r="L701" s="157">
        <f t="shared" si="0"/>
        <v>0.22736767305725167</v>
      </c>
      <c r="M701" s="156">
        <v>1959800</v>
      </c>
      <c r="N701" s="158">
        <f t="shared" si="1"/>
        <v>0.22461698036979624</v>
      </c>
      <c r="O701" s="156">
        <v>4741275</v>
      </c>
      <c r="P701" s="158">
        <f t="shared" si="2"/>
        <v>0.54340793632146434</v>
      </c>
      <c r="Q701" s="156">
        <v>4525743</v>
      </c>
    </row>
    <row r="702" spans="1:17" hidden="1" x14ac:dyDescent="0.25">
      <c r="A702" s="155" t="s">
        <v>717</v>
      </c>
      <c r="B702" s="155" t="s">
        <v>150</v>
      </c>
      <c r="C702" s="155" t="s">
        <v>151</v>
      </c>
      <c r="D702" s="155" t="s">
        <v>69</v>
      </c>
      <c r="E702" s="156">
        <v>6000000</v>
      </c>
      <c r="F702" s="156">
        <v>5900000</v>
      </c>
      <c r="G702" s="156">
        <v>5900000</v>
      </c>
      <c r="H702" s="156">
        <v>0</v>
      </c>
      <c r="I702" s="156">
        <v>2398652</v>
      </c>
      <c r="J702" s="156">
        <v>0</v>
      </c>
      <c r="K702" s="156">
        <v>3001348</v>
      </c>
      <c r="L702" s="157">
        <f t="shared" si="0"/>
        <v>0.50870305084745759</v>
      </c>
      <c r="M702" s="156">
        <v>3001348</v>
      </c>
      <c r="N702" s="158">
        <f t="shared" si="1"/>
        <v>0.50870305084745759</v>
      </c>
      <c r="O702" s="156">
        <v>500000</v>
      </c>
      <c r="P702" s="158">
        <f t="shared" si="2"/>
        <v>8.4745762711864403E-2</v>
      </c>
      <c r="Q702" s="156">
        <v>500000</v>
      </c>
    </row>
    <row r="703" spans="1:17" hidden="1" x14ac:dyDescent="0.25">
      <c r="A703" s="155" t="s">
        <v>717</v>
      </c>
      <c r="B703" s="155" t="s">
        <v>152</v>
      </c>
      <c r="C703" s="155" t="s">
        <v>153</v>
      </c>
      <c r="D703" s="155" t="s">
        <v>69</v>
      </c>
      <c r="E703" s="156">
        <v>6000000</v>
      </c>
      <c r="F703" s="156">
        <v>5900000</v>
      </c>
      <c r="G703" s="156">
        <v>5900000</v>
      </c>
      <c r="H703" s="156">
        <v>0</v>
      </c>
      <c r="I703" s="156">
        <v>2398652</v>
      </c>
      <c r="J703" s="156">
        <v>0</v>
      </c>
      <c r="K703" s="156">
        <v>3001348</v>
      </c>
      <c r="L703" s="157">
        <f t="shared" si="0"/>
        <v>0.50870305084745759</v>
      </c>
      <c r="M703" s="156">
        <v>3001348</v>
      </c>
      <c r="N703" s="158">
        <f t="shared" si="1"/>
        <v>0.50870305084745759</v>
      </c>
      <c r="O703" s="156">
        <v>500000</v>
      </c>
      <c r="P703" s="158">
        <f t="shared" si="2"/>
        <v>8.4745762711864403E-2</v>
      </c>
      <c r="Q703" s="156">
        <v>500000</v>
      </c>
    </row>
    <row r="704" spans="1:17" hidden="1" x14ac:dyDescent="0.25">
      <c r="A704" s="155" t="s">
        <v>717</v>
      </c>
      <c r="B704" s="155" t="s">
        <v>154</v>
      </c>
      <c r="C704" s="155" t="s">
        <v>155</v>
      </c>
      <c r="D704" s="155" t="s">
        <v>69</v>
      </c>
      <c r="E704" s="156">
        <v>27190000</v>
      </c>
      <c r="F704" s="156">
        <v>3418859</v>
      </c>
      <c r="G704" s="156">
        <v>3418859</v>
      </c>
      <c r="H704" s="156">
        <v>0</v>
      </c>
      <c r="I704" s="156">
        <v>0</v>
      </c>
      <c r="J704" s="156">
        <v>0</v>
      </c>
      <c r="K704" s="156">
        <v>350300</v>
      </c>
      <c r="L704" s="157">
        <f t="shared" si="0"/>
        <v>0.10246108423892299</v>
      </c>
      <c r="M704" s="156">
        <v>350300</v>
      </c>
      <c r="N704" s="158">
        <f t="shared" si="1"/>
        <v>0.10246108423892299</v>
      </c>
      <c r="O704" s="156">
        <v>3068559</v>
      </c>
      <c r="P704" s="158">
        <f t="shared" si="2"/>
        <v>0.89753891576107703</v>
      </c>
      <c r="Q704" s="156">
        <v>3068559</v>
      </c>
    </row>
    <row r="705" spans="1:17" x14ac:dyDescent="0.25">
      <c r="A705" s="155" t="s">
        <v>717</v>
      </c>
      <c r="B705" s="155" t="s">
        <v>156</v>
      </c>
      <c r="C705" s="155" t="s">
        <v>157</v>
      </c>
      <c r="D705" s="155" t="s">
        <v>69</v>
      </c>
      <c r="E705" s="156">
        <v>27190000</v>
      </c>
      <c r="F705" s="156">
        <v>3418859</v>
      </c>
      <c r="G705" s="156">
        <v>3418859</v>
      </c>
      <c r="H705" s="156">
        <v>0</v>
      </c>
      <c r="I705" s="156">
        <v>0</v>
      </c>
      <c r="J705" s="156">
        <v>0</v>
      </c>
      <c r="K705" s="156">
        <v>350300</v>
      </c>
      <c r="L705" s="157">
        <f t="shared" si="0"/>
        <v>0.10246108423892299</v>
      </c>
      <c r="M705" s="156">
        <v>350300</v>
      </c>
      <c r="N705" s="158">
        <f t="shared" si="1"/>
        <v>0.10246108423892299</v>
      </c>
      <c r="O705" s="156">
        <v>3068559</v>
      </c>
      <c r="P705" s="158">
        <f t="shared" si="2"/>
        <v>0.89753891576107703</v>
      </c>
      <c r="Q705" s="156">
        <v>3068559</v>
      </c>
    </row>
    <row r="706" spans="1:17" hidden="1" x14ac:dyDescent="0.25">
      <c r="A706" s="155" t="s">
        <v>717</v>
      </c>
      <c r="B706" s="155" t="s">
        <v>162</v>
      </c>
      <c r="C706" s="155" t="s">
        <v>163</v>
      </c>
      <c r="D706" s="155" t="s">
        <v>69</v>
      </c>
      <c r="E706" s="156">
        <v>9500000</v>
      </c>
      <c r="F706" s="156">
        <v>7000000</v>
      </c>
      <c r="G706" s="156">
        <v>7000000</v>
      </c>
      <c r="H706" s="156">
        <v>0</v>
      </c>
      <c r="I706" s="156">
        <v>3112745</v>
      </c>
      <c r="J706" s="156">
        <v>0</v>
      </c>
      <c r="K706" s="156">
        <v>16505</v>
      </c>
      <c r="L706" s="157">
        <f t="shared" si="0"/>
        <v>2.3578571428571429E-3</v>
      </c>
      <c r="M706" s="156">
        <v>16505</v>
      </c>
      <c r="N706" s="158">
        <f t="shared" si="1"/>
        <v>2.3578571428571429E-3</v>
      </c>
      <c r="O706" s="156">
        <v>3870750</v>
      </c>
      <c r="P706" s="158">
        <f t="shared" si="2"/>
        <v>0.55296428571428569</v>
      </c>
      <c r="Q706" s="156">
        <v>3870750</v>
      </c>
    </row>
    <row r="707" spans="1:17" x14ac:dyDescent="0.25">
      <c r="A707" s="155" t="s">
        <v>717</v>
      </c>
      <c r="B707" s="155" t="s">
        <v>166</v>
      </c>
      <c r="C707" s="155" t="s">
        <v>167</v>
      </c>
      <c r="D707" s="155" t="s">
        <v>69</v>
      </c>
      <c r="E707" s="156">
        <v>4500000</v>
      </c>
      <c r="F707" s="156">
        <v>2000000</v>
      </c>
      <c r="G707" s="156">
        <v>2000000</v>
      </c>
      <c r="H707" s="156">
        <v>0</v>
      </c>
      <c r="I707" s="156">
        <v>1982745</v>
      </c>
      <c r="J707" s="156">
        <v>0</v>
      </c>
      <c r="K707" s="156">
        <v>16505</v>
      </c>
      <c r="L707" s="157">
        <f t="shared" si="0"/>
        <v>8.2524999999999994E-3</v>
      </c>
      <c r="M707" s="156">
        <v>16505</v>
      </c>
      <c r="N707" s="158">
        <f t="shared" si="1"/>
        <v>8.2524999999999994E-3</v>
      </c>
      <c r="O707" s="156">
        <v>750</v>
      </c>
      <c r="P707" s="158">
        <f t="shared" si="2"/>
        <v>3.7500000000000001E-4</v>
      </c>
      <c r="Q707" s="156">
        <v>750</v>
      </c>
    </row>
    <row r="708" spans="1:17" x14ac:dyDescent="0.25">
      <c r="A708" s="155" t="s">
        <v>717</v>
      </c>
      <c r="B708" s="155" t="s">
        <v>170</v>
      </c>
      <c r="C708" s="155" t="s">
        <v>171</v>
      </c>
      <c r="D708" s="155" t="s">
        <v>69</v>
      </c>
      <c r="E708" s="156">
        <v>5000000</v>
      </c>
      <c r="F708" s="156">
        <v>5000000</v>
      </c>
      <c r="G708" s="156">
        <v>5000000</v>
      </c>
      <c r="H708" s="156">
        <v>0</v>
      </c>
      <c r="I708" s="156">
        <v>1130000</v>
      </c>
      <c r="J708" s="156">
        <v>0</v>
      </c>
      <c r="K708" s="156">
        <v>0</v>
      </c>
      <c r="L708" s="157">
        <f t="shared" si="0"/>
        <v>0</v>
      </c>
      <c r="M708" s="156">
        <v>0</v>
      </c>
      <c r="N708" s="158">
        <f t="shared" si="1"/>
        <v>0</v>
      </c>
      <c r="O708" s="156">
        <v>3870000</v>
      </c>
      <c r="P708" s="158">
        <f t="shared" si="2"/>
        <v>0.77400000000000002</v>
      </c>
      <c r="Q708" s="156">
        <v>3870000</v>
      </c>
    </row>
    <row r="709" spans="1:17" hidden="1" x14ac:dyDescent="0.25">
      <c r="A709" s="155" t="s">
        <v>717</v>
      </c>
      <c r="B709" s="155" t="s">
        <v>174</v>
      </c>
      <c r="C709" s="155" t="s">
        <v>175</v>
      </c>
      <c r="D709" s="155" t="s">
        <v>69</v>
      </c>
      <c r="E709" s="156">
        <v>500000</v>
      </c>
      <c r="F709" s="156">
        <v>380000</v>
      </c>
      <c r="G709" s="156">
        <v>380000</v>
      </c>
      <c r="H709" s="156">
        <v>0</v>
      </c>
      <c r="I709" s="156">
        <v>0</v>
      </c>
      <c r="J709" s="156">
        <v>0</v>
      </c>
      <c r="K709" s="156">
        <v>46085</v>
      </c>
      <c r="L709" s="157">
        <f t="shared" si="0"/>
        <v>0.12127631578947369</v>
      </c>
      <c r="M709" s="156">
        <v>46085</v>
      </c>
      <c r="N709" s="158">
        <f t="shared" si="1"/>
        <v>0.12127631578947369</v>
      </c>
      <c r="O709" s="156">
        <v>333915</v>
      </c>
      <c r="P709" s="158">
        <f t="shared" si="2"/>
        <v>0.87872368421052627</v>
      </c>
      <c r="Q709" s="156">
        <v>333915</v>
      </c>
    </row>
    <row r="710" spans="1:17" hidden="1" x14ac:dyDescent="0.25">
      <c r="A710" s="155" t="s">
        <v>717</v>
      </c>
      <c r="B710" s="155" t="s">
        <v>176</v>
      </c>
      <c r="C710" s="155" t="s">
        <v>177</v>
      </c>
      <c r="D710" s="155" t="s">
        <v>69</v>
      </c>
      <c r="E710" s="156">
        <v>500000</v>
      </c>
      <c r="F710" s="156">
        <v>380000</v>
      </c>
      <c r="G710" s="156">
        <v>380000</v>
      </c>
      <c r="H710" s="156">
        <v>0</v>
      </c>
      <c r="I710" s="156">
        <v>0</v>
      </c>
      <c r="J710" s="156">
        <v>0</v>
      </c>
      <c r="K710" s="156">
        <v>46085</v>
      </c>
      <c r="L710" s="157">
        <f t="shared" si="0"/>
        <v>0.12127631578947369</v>
      </c>
      <c r="M710" s="156">
        <v>46085</v>
      </c>
      <c r="N710" s="158">
        <f t="shared" si="1"/>
        <v>0.12127631578947369</v>
      </c>
      <c r="O710" s="156">
        <v>333915</v>
      </c>
      <c r="P710" s="158">
        <f t="shared" si="2"/>
        <v>0.87872368421052627</v>
      </c>
      <c r="Q710" s="156">
        <v>333915</v>
      </c>
    </row>
    <row r="711" spans="1:17" hidden="1" x14ac:dyDescent="0.25">
      <c r="A711" s="155" t="s">
        <v>717</v>
      </c>
      <c r="B711" s="155" t="s">
        <v>178</v>
      </c>
      <c r="C711" s="155" t="s">
        <v>179</v>
      </c>
      <c r="D711" s="155" t="s">
        <v>69</v>
      </c>
      <c r="E711" s="156">
        <v>1500000</v>
      </c>
      <c r="F711" s="156">
        <v>1000000</v>
      </c>
      <c r="G711" s="156">
        <v>1000000</v>
      </c>
      <c r="H711" s="156">
        <v>0</v>
      </c>
      <c r="I711" s="156">
        <v>300000</v>
      </c>
      <c r="J711" s="156">
        <v>0</v>
      </c>
      <c r="K711" s="156">
        <v>200000</v>
      </c>
      <c r="L711" s="157">
        <f t="shared" si="0"/>
        <v>0.2</v>
      </c>
      <c r="M711" s="156">
        <v>200000</v>
      </c>
      <c r="N711" s="158">
        <f t="shared" si="1"/>
        <v>0.2</v>
      </c>
      <c r="O711" s="156">
        <v>500000</v>
      </c>
      <c r="P711" s="158">
        <f t="shared" si="2"/>
        <v>0.5</v>
      </c>
      <c r="Q711" s="156">
        <v>500000</v>
      </c>
    </row>
    <row r="712" spans="1:17" hidden="1" x14ac:dyDescent="0.25">
      <c r="A712" s="155" t="s">
        <v>717</v>
      </c>
      <c r="B712" s="155" t="s">
        <v>182</v>
      </c>
      <c r="C712" s="155" t="s">
        <v>183</v>
      </c>
      <c r="D712" s="155" t="s">
        <v>69</v>
      </c>
      <c r="E712" s="156">
        <v>1500000</v>
      </c>
      <c r="F712" s="156">
        <v>1000000</v>
      </c>
      <c r="G712" s="156">
        <v>1000000</v>
      </c>
      <c r="H712" s="156">
        <v>0</v>
      </c>
      <c r="I712" s="156">
        <v>300000</v>
      </c>
      <c r="J712" s="156">
        <v>0</v>
      </c>
      <c r="K712" s="156">
        <v>200000</v>
      </c>
      <c r="L712" s="157">
        <f t="shared" si="0"/>
        <v>0.2</v>
      </c>
      <c r="M712" s="156">
        <v>200000</v>
      </c>
      <c r="N712" s="158">
        <f t="shared" si="1"/>
        <v>0.2</v>
      </c>
      <c r="O712" s="156">
        <v>500000</v>
      </c>
      <c r="P712" s="158">
        <f t="shared" si="2"/>
        <v>0.5</v>
      </c>
      <c r="Q712" s="156">
        <v>500000</v>
      </c>
    </row>
    <row r="713" spans="1:17" hidden="1" x14ac:dyDescent="0.25">
      <c r="A713" s="155" t="s">
        <v>717</v>
      </c>
      <c r="B713" s="155" t="s">
        <v>184</v>
      </c>
      <c r="C713" s="155" t="s">
        <v>185</v>
      </c>
      <c r="D713" s="155" t="s">
        <v>69</v>
      </c>
      <c r="E713" s="156">
        <v>52884335</v>
      </c>
      <c r="F713" s="156">
        <v>30715753</v>
      </c>
      <c r="G713" s="156">
        <v>27202857.079999998</v>
      </c>
      <c r="H713" s="156">
        <v>4238015.8499999996</v>
      </c>
      <c r="I713" s="156">
        <v>9047152.6400000006</v>
      </c>
      <c r="J713" s="156">
        <v>0</v>
      </c>
      <c r="K713" s="156">
        <v>8970532.9000000004</v>
      </c>
      <c r="L713" s="157">
        <f t="shared" si="0"/>
        <v>0.29204991002499597</v>
      </c>
      <c r="M713" s="156">
        <v>8970532.9000000004</v>
      </c>
      <c r="N713" s="158">
        <f t="shared" si="1"/>
        <v>0.29204991002499597</v>
      </c>
      <c r="O713" s="156">
        <v>8460051.6099999994</v>
      </c>
      <c r="P713" s="158">
        <f t="shared" si="2"/>
        <v>0.27543038290482408</v>
      </c>
      <c r="Q713" s="156">
        <v>4947155.6900000004</v>
      </c>
    </row>
    <row r="714" spans="1:17" hidden="1" x14ac:dyDescent="0.25">
      <c r="A714" s="155" t="s">
        <v>717</v>
      </c>
      <c r="B714" s="155" t="s">
        <v>186</v>
      </c>
      <c r="C714" s="155" t="s">
        <v>187</v>
      </c>
      <c r="D714" s="155" t="s">
        <v>69</v>
      </c>
      <c r="E714" s="156">
        <v>21308004</v>
      </c>
      <c r="F714" s="156">
        <v>10787684</v>
      </c>
      <c r="G714" s="156">
        <v>7279315</v>
      </c>
      <c r="H714" s="156">
        <v>1140640</v>
      </c>
      <c r="I714" s="156">
        <v>2463766.1</v>
      </c>
      <c r="J714" s="156">
        <v>0</v>
      </c>
      <c r="K714" s="156">
        <v>3674203.3</v>
      </c>
      <c r="L714" s="157">
        <f t="shared" si="0"/>
        <v>0.34059241075285479</v>
      </c>
      <c r="M714" s="156">
        <v>3674203.3</v>
      </c>
      <c r="N714" s="158">
        <f t="shared" si="1"/>
        <v>0.34059241075285479</v>
      </c>
      <c r="O714" s="156">
        <v>3509074.6</v>
      </c>
      <c r="P714" s="158">
        <f t="shared" si="2"/>
        <v>0.32528526048779333</v>
      </c>
      <c r="Q714" s="156">
        <v>705.6</v>
      </c>
    </row>
    <row r="715" spans="1:17" hidden="1" x14ac:dyDescent="0.25">
      <c r="A715" s="155" t="s">
        <v>717</v>
      </c>
      <c r="B715" s="155" t="s">
        <v>188</v>
      </c>
      <c r="C715" s="155" t="s">
        <v>189</v>
      </c>
      <c r="D715" s="155" t="s">
        <v>69</v>
      </c>
      <c r="E715" s="156">
        <v>9500000</v>
      </c>
      <c r="F715" s="156">
        <v>5710000</v>
      </c>
      <c r="G715" s="156">
        <v>2201631</v>
      </c>
      <c r="H715" s="156">
        <v>0</v>
      </c>
      <c r="I715" s="156">
        <v>821520.98</v>
      </c>
      <c r="J715" s="156">
        <v>0</v>
      </c>
      <c r="K715" s="156">
        <v>1380110.02</v>
      </c>
      <c r="L715" s="157">
        <f t="shared" si="0"/>
        <v>0.24170052889667251</v>
      </c>
      <c r="M715" s="156">
        <v>1380110.02</v>
      </c>
      <c r="N715" s="158">
        <f t="shared" si="1"/>
        <v>0.24170052889667251</v>
      </c>
      <c r="O715" s="156">
        <v>3508369</v>
      </c>
      <c r="P715" s="158">
        <f t="shared" si="2"/>
        <v>0.6144253940455342</v>
      </c>
      <c r="Q715" s="156">
        <v>0</v>
      </c>
    </row>
    <row r="716" spans="1:17" hidden="1" x14ac:dyDescent="0.25">
      <c r="A716" s="155" t="s">
        <v>717</v>
      </c>
      <c r="B716" s="155" t="s">
        <v>192</v>
      </c>
      <c r="C716" s="155" t="s">
        <v>193</v>
      </c>
      <c r="D716" s="155" t="s">
        <v>69</v>
      </c>
      <c r="E716" s="156">
        <v>11808004</v>
      </c>
      <c r="F716" s="156">
        <v>5077684</v>
      </c>
      <c r="G716" s="156">
        <v>5077684</v>
      </c>
      <c r="H716" s="156">
        <v>1140640</v>
      </c>
      <c r="I716" s="156">
        <v>1642245.1200000001</v>
      </c>
      <c r="J716" s="156">
        <v>0</v>
      </c>
      <c r="K716" s="156">
        <v>2294093.2799999998</v>
      </c>
      <c r="L716" s="157">
        <f t="shared" si="0"/>
        <v>0.45179914307388958</v>
      </c>
      <c r="M716" s="156">
        <v>2294093.2799999998</v>
      </c>
      <c r="N716" s="158">
        <f t="shared" si="1"/>
        <v>0.45179914307388958</v>
      </c>
      <c r="O716" s="156">
        <v>705.6</v>
      </c>
      <c r="P716" s="158">
        <f t="shared" si="2"/>
        <v>1.3896099087694312E-4</v>
      </c>
      <c r="Q716" s="156">
        <v>705.6</v>
      </c>
    </row>
    <row r="717" spans="1:17" hidden="1" x14ac:dyDescent="0.25">
      <c r="A717" s="155" t="s">
        <v>717</v>
      </c>
      <c r="B717" s="155" t="s">
        <v>196</v>
      </c>
      <c r="C717" s="155" t="s">
        <v>197</v>
      </c>
      <c r="D717" s="155" t="s">
        <v>69</v>
      </c>
      <c r="E717" s="156">
        <v>7008325</v>
      </c>
      <c r="F717" s="156">
        <v>6008325</v>
      </c>
      <c r="G717" s="156">
        <v>6008325</v>
      </c>
      <c r="H717" s="156">
        <v>0</v>
      </c>
      <c r="I717" s="156">
        <v>393773.7</v>
      </c>
      <c r="J717" s="156">
        <v>0</v>
      </c>
      <c r="K717" s="156">
        <v>2255383</v>
      </c>
      <c r="L717" s="157">
        <f t="shared" si="0"/>
        <v>0.37537633200600834</v>
      </c>
      <c r="M717" s="156">
        <v>2255383</v>
      </c>
      <c r="N717" s="158">
        <f t="shared" si="1"/>
        <v>0.37537633200600834</v>
      </c>
      <c r="O717" s="156">
        <v>3359168.3</v>
      </c>
      <c r="P717" s="158">
        <f t="shared" si="2"/>
        <v>0.55908565199119553</v>
      </c>
      <c r="Q717" s="156">
        <v>3359168.3</v>
      </c>
    </row>
    <row r="718" spans="1:17" hidden="1" x14ac:dyDescent="0.25">
      <c r="A718" s="155" t="s">
        <v>717</v>
      </c>
      <c r="B718" s="155" t="s">
        <v>198</v>
      </c>
      <c r="C718" s="155" t="s">
        <v>199</v>
      </c>
      <c r="D718" s="155" t="s">
        <v>69</v>
      </c>
      <c r="E718" s="156">
        <v>7008325</v>
      </c>
      <c r="F718" s="156">
        <v>6008325</v>
      </c>
      <c r="G718" s="156">
        <v>6008325</v>
      </c>
      <c r="H718" s="156">
        <v>0</v>
      </c>
      <c r="I718" s="156">
        <v>393773.7</v>
      </c>
      <c r="J718" s="156">
        <v>0</v>
      </c>
      <c r="K718" s="156">
        <v>2255383</v>
      </c>
      <c r="L718" s="157">
        <f t="shared" si="0"/>
        <v>0.37537633200600834</v>
      </c>
      <c r="M718" s="156">
        <v>2255383</v>
      </c>
      <c r="N718" s="158">
        <f t="shared" si="1"/>
        <v>0.37537633200600834</v>
      </c>
      <c r="O718" s="156">
        <v>3359168.3</v>
      </c>
      <c r="P718" s="158">
        <f t="shared" si="2"/>
        <v>0.55908565199119553</v>
      </c>
      <c r="Q718" s="156">
        <v>3359168.3</v>
      </c>
    </row>
    <row r="719" spans="1:17" hidden="1" x14ac:dyDescent="0.25">
      <c r="A719" s="155" t="s">
        <v>717</v>
      </c>
      <c r="B719" s="155" t="s">
        <v>200</v>
      </c>
      <c r="C719" s="155" t="s">
        <v>201</v>
      </c>
      <c r="D719" s="155" t="s">
        <v>69</v>
      </c>
      <c r="E719" s="156">
        <v>900000</v>
      </c>
      <c r="F719" s="156">
        <v>152954</v>
      </c>
      <c r="G719" s="156">
        <v>152000.01</v>
      </c>
      <c r="H719" s="156">
        <v>0</v>
      </c>
      <c r="I719" s="156">
        <v>132953.99</v>
      </c>
      <c r="J719" s="156">
        <v>0</v>
      </c>
      <c r="K719" s="156">
        <v>0</v>
      </c>
      <c r="L719" s="157">
        <f t="shared" si="0"/>
        <v>0</v>
      </c>
      <c r="M719" s="156">
        <v>0</v>
      </c>
      <c r="N719" s="158">
        <f t="shared" si="1"/>
        <v>0</v>
      </c>
      <c r="O719" s="156">
        <v>20000.009999999998</v>
      </c>
      <c r="P719" s="158">
        <f t="shared" si="2"/>
        <v>0.13075833257057676</v>
      </c>
      <c r="Q719" s="156">
        <v>19046.02</v>
      </c>
    </row>
    <row r="720" spans="1:17" x14ac:dyDescent="0.25">
      <c r="A720" s="155" t="s">
        <v>717</v>
      </c>
      <c r="B720" s="155" t="s">
        <v>316</v>
      </c>
      <c r="C720" s="155" t="s">
        <v>317</v>
      </c>
      <c r="D720" s="155" t="s">
        <v>69</v>
      </c>
      <c r="E720" s="156">
        <v>420000</v>
      </c>
      <c r="F720" s="156">
        <v>20000</v>
      </c>
      <c r="G720" s="156">
        <v>19046.009999999998</v>
      </c>
      <c r="H720" s="156">
        <v>0</v>
      </c>
      <c r="I720" s="156">
        <v>0</v>
      </c>
      <c r="J720" s="156">
        <v>0</v>
      </c>
      <c r="K720" s="156">
        <v>0</v>
      </c>
      <c r="L720" s="157">
        <f t="shared" si="0"/>
        <v>0</v>
      </c>
      <c r="M720" s="156">
        <v>0</v>
      </c>
      <c r="N720" s="158">
        <f t="shared" si="1"/>
        <v>0</v>
      </c>
      <c r="O720" s="156">
        <v>20000</v>
      </c>
      <c r="P720" s="158">
        <f t="shared" si="2"/>
        <v>1</v>
      </c>
      <c r="Q720" s="156">
        <v>19046.009999999998</v>
      </c>
    </row>
    <row r="721" spans="1:17" hidden="1" x14ac:dyDescent="0.25">
      <c r="A721" s="155" t="s">
        <v>717</v>
      </c>
      <c r="B721" s="155" t="s">
        <v>202</v>
      </c>
      <c r="C721" s="155" t="s">
        <v>203</v>
      </c>
      <c r="D721" s="155" t="s">
        <v>69</v>
      </c>
      <c r="E721" s="156">
        <v>480000</v>
      </c>
      <c r="F721" s="156">
        <v>132954</v>
      </c>
      <c r="G721" s="156">
        <v>132954</v>
      </c>
      <c r="H721" s="156">
        <v>0</v>
      </c>
      <c r="I721" s="156">
        <v>132953.99</v>
      </c>
      <c r="J721" s="156">
        <v>0</v>
      </c>
      <c r="K721" s="156">
        <v>0</v>
      </c>
      <c r="L721" s="157">
        <f t="shared" si="0"/>
        <v>0</v>
      </c>
      <c r="M721" s="156">
        <v>0</v>
      </c>
      <c r="N721" s="158">
        <f t="shared" si="1"/>
        <v>0</v>
      </c>
      <c r="O721" s="156">
        <v>0.01</v>
      </c>
      <c r="P721" s="158">
        <f t="shared" si="2"/>
        <v>7.52139837838651E-8</v>
      </c>
      <c r="Q721" s="156">
        <v>0.01</v>
      </c>
    </row>
    <row r="722" spans="1:17" hidden="1" x14ac:dyDescent="0.25">
      <c r="A722" s="155" t="s">
        <v>717</v>
      </c>
      <c r="B722" s="155" t="s">
        <v>206</v>
      </c>
      <c r="C722" s="155" t="s">
        <v>207</v>
      </c>
      <c r="D722" s="155" t="s">
        <v>69</v>
      </c>
      <c r="E722" s="156">
        <v>3052196</v>
      </c>
      <c r="F722" s="156">
        <v>0</v>
      </c>
      <c r="G722" s="156">
        <v>0</v>
      </c>
      <c r="H722" s="156">
        <v>0</v>
      </c>
      <c r="I722" s="156">
        <v>0</v>
      </c>
      <c r="J722" s="156">
        <v>0</v>
      </c>
      <c r="K722" s="156">
        <v>0</v>
      </c>
      <c r="L722" s="157" t="e">
        <f t="shared" si="0"/>
        <v>#DIV/0!</v>
      </c>
      <c r="M722" s="156">
        <v>0</v>
      </c>
      <c r="N722" s="158" t="e">
        <f t="shared" si="1"/>
        <v>#DIV/0!</v>
      </c>
      <c r="O722" s="156">
        <v>0</v>
      </c>
      <c r="P722" s="158" t="e">
        <f t="shared" si="2"/>
        <v>#DIV/0!</v>
      </c>
      <c r="Q722" s="156">
        <v>0</v>
      </c>
    </row>
    <row r="723" spans="1:17" hidden="1" x14ac:dyDescent="0.25">
      <c r="A723" s="155" t="s">
        <v>717</v>
      </c>
      <c r="B723" s="155" t="s">
        <v>208</v>
      </c>
      <c r="C723" s="155" t="s">
        <v>209</v>
      </c>
      <c r="D723" s="155" t="s">
        <v>69</v>
      </c>
      <c r="E723" s="156">
        <v>885321</v>
      </c>
      <c r="F723" s="156">
        <v>0</v>
      </c>
      <c r="G723" s="156">
        <v>0</v>
      </c>
      <c r="H723" s="156">
        <v>0</v>
      </c>
      <c r="I723" s="156">
        <v>0</v>
      </c>
      <c r="J723" s="156">
        <v>0</v>
      </c>
      <c r="K723" s="156">
        <v>0</v>
      </c>
      <c r="L723" s="157" t="e">
        <f t="shared" si="0"/>
        <v>#DIV/0!</v>
      </c>
      <c r="M723" s="156">
        <v>0</v>
      </c>
      <c r="N723" s="158" t="e">
        <f t="shared" si="1"/>
        <v>#DIV/0!</v>
      </c>
      <c r="O723" s="156">
        <v>0</v>
      </c>
      <c r="P723" s="158" t="e">
        <f t="shared" si="2"/>
        <v>#DIV/0!</v>
      </c>
      <c r="Q723" s="156">
        <v>0</v>
      </c>
    </row>
    <row r="724" spans="1:17" hidden="1" x14ac:dyDescent="0.25">
      <c r="A724" s="155" t="s">
        <v>717</v>
      </c>
      <c r="B724" s="155" t="s">
        <v>210</v>
      </c>
      <c r="C724" s="155" t="s">
        <v>211</v>
      </c>
      <c r="D724" s="155" t="s">
        <v>69</v>
      </c>
      <c r="E724" s="156">
        <v>2166875</v>
      </c>
      <c r="F724" s="156">
        <v>0</v>
      </c>
      <c r="G724" s="156">
        <v>0</v>
      </c>
      <c r="H724" s="156">
        <v>0</v>
      </c>
      <c r="I724" s="156">
        <v>0</v>
      </c>
      <c r="J724" s="156">
        <v>0</v>
      </c>
      <c r="K724" s="156">
        <v>0</v>
      </c>
      <c r="L724" s="157" t="e">
        <f t="shared" si="0"/>
        <v>#DIV/0!</v>
      </c>
      <c r="M724" s="156">
        <v>0</v>
      </c>
      <c r="N724" s="158" t="e">
        <f t="shared" si="1"/>
        <v>#DIV/0!</v>
      </c>
      <c r="O724" s="156">
        <v>0</v>
      </c>
      <c r="P724" s="158" t="e">
        <f t="shared" si="2"/>
        <v>#DIV/0!</v>
      </c>
      <c r="Q724" s="156">
        <v>0</v>
      </c>
    </row>
    <row r="725" spans="1:17" hidden="1" x14ac:dyDescent="0.25">
      <c r="A725" s="155" t="s">
        <v>717</v>
      </c>
      <c r="B725" s="155" t="s">
        <v>212</v>
      </c>
      <c r="C725" s="155" t="s">
        <v>213</v>
      </c>
      <c r="D725" s="155" t="s">
        <v>69</v>
      </c>
      <c r="E725" s="156">
        <v>20615810</v>
      </c>
      <c r="F725" s="156">
        <v>13766790</v>
      </c>
      <c r="G725" s="156">
        <v>13763217.07</v>
      </c>
      <c r="H725" s="156">
        <v>3097375.85</v>
      </c>
      <c r="I725" s="156">
        <v>6056658.8499999996</v>
      </c>
      <c r="J725" s="156">
        <v>0</v>
      </c>
      <c r="K725" s="156">
        <v>3040946.6</v>
      </c>
      <c r="L725" s="157">
        <f t="shared" si="0"/>
        <v>0.22089002592470722</v>
      </c>
      <c r="M725" s="156">
        <v>3040946.6</v>
      </c>
      <c r="N725" s="158">
        <f t="shared" si="1"/>
        <v>0.22089002592470722</v>
      </c>
      <c r="O725" s="156">
        <v>1571808.7</v>
      </c>
      <c r="P725" s="158">
        <f t="shared" si="2"/>
        <v>0.11417394323585962</v>
      </c>
      <c r="Q725" s="156">
        <v>1568235.77</v>
      </c>
    </row>
    <row r="726" spans="1:17" x14ac:dyDescent="0.25">
      <c r="A726" s="155" t="s">
        <v>717</v>
      </c>
      <c r="B726" s="155" t="s">
        <v>214</v>
      </c>
      <c r="C726" s="155" t="s">
        <v>215</v>
      </c>
      <c r="D726" s="155" t="s">
        <v>69</v>
      </c>
      <c r="E726" s="156">
        <v>8014742</v>
      </c>
      <c r="F726" s="156">
        <v>5474742</v>
      </c>
      <c r="G726" s="156">
        <v>5474742</v>
      </c>
      <c r="H726" s="156">
        <v>430237</v>
      </c>
      <c r="I726" s="156">
        <v>4288178.1100000003</v>
      </c>
      <c r="J726" s="156">
        <v>0</v>
      </c>
      <c r="K726" s="156">
        <v>493107</v>
      </c>
      <c r="L726" s="157">
        <f t="shared" si="0"/>
        <v>9.0069449848047628E-2</v>
      </c>
      <c r="M726" s="156">
        <v>493107</v>
      </c>
      <c r="N726" s="158">
        <f t="shared" si="1"/>
        <v>9.0069449848047628E-2</v>
      </c>
      <c r="O726" s="156">
        <v>263219.89</v>
      </c>
      <c r="P726" s="158">
        <f t="shared" si="2"/>
        <v>4.807895787600585E-2</v>
      </c>
      <c r="Q726" s="156">
        <v>263219.89</v>
      </c>
    </row>
    <row r="727" spans="1:17" x14ac:dyDescent="0.25">
      <c r="A727" s="155" t="s">
        <v>717</v>
      </c>
      <c r="B727" s="155" t="s">
        <v>218</v>
      </c>
      <c r="C727" s="155" t="s">
        <v>219</v>
      </c>
      <c r="D727" s="155" t="s">
        <v>69</v>
      </c>
      <c r="E727" s="156">
        <v>5268045</v>
      </c>
      <c r="F727" s="156">
        <v>3698045</v>
      </c>
      <c r="G727" s="156">
        <v>3698044.47</v>
      </c>
      <c r="H727" s="156">
        <v>657750.5</v>
      </c>
      <c r="I727" s="156">
        <v>1484535.86</v>
      </c>
      <c r="J727" s="156">
        <v>0</v>
      </c>
      <c r="K727" s="156">
        <v>259408.45</v>
      </c>
      <c r="L727" s="157">
        <f t="shared" si="0"/>
        <v>7.0147456291094354E-2</v>
      </c>
      <c r="M727" s="156">
        <v>259408.45</v>
      </c>
      <c r="N727" s="158">
        <f t="shared" si="1"/>
        <v>7.0147456291094354E-2</v>
      </c>
      <c r="O727" s="156">
        <v>1296350.19</v>
      </c>
      <c r="P727" s="158">
        <f t="shared" si="2"/>
        <v>0.35055013933037588</v>
      </c>
      <c r="Q727" s="156">
        <v>1296349.6599999999</v>
      </c>
    </row>
    <row r="728" spans="1:17" x14ac:dyDescent="0.25">
      <c r="A728" s="155" t="s">
        <v>717</v>
      </c>
      <c r="B728" s="155" t="s">
        <v>220</v>
      </c>
      <c r="C728" s="155" t="s">
        <v>221</v>
      </c>
      <c r="D728" s="155" t="s">
        <v>69</v>
      </c>
      <c r="E728" s="156">
        <v>3038980</v>
      </c>
      <c r="F728" s="156">
        <v>3980</v>
      </c>
      <c r="G728" s="156">
        <v>407.6</v>
      </c>
      <c r="H728" s="156">
        <v>0</v>
      </c>
      <c r="I728" s="156">
        <v>0</v>
      </c>
      <c r="J728" s="156">
        <v>0</v>
      </c>
      <c r="K728" s="156">
        <v>0</v>
      </c>
      <c r="L728" s="157">
        <f t="shared" si="0"/>
        <v>0</v>
      </c>
      <c r="M728" s="156">
        <v>0</v>
      </c>
      <c r="N728" s="158">
        <f t="shared" si="1"/>
        <v>0</v>
      </c>
      <c r="O728" s="156">
        <v>3980</v>
      </c>
      <c r="P728" s="158">
        <f t="shared" si="2"/>
        <v>1</v>
      </c>
      <c r="Q728" s="156">
        <v>407.6</v>
      </c>
    </row>
    <row r="729" spans="1:17" hidden="1" x14ac:dyDescent="0.25">
      <c r="A729" s="155" t="s">
        <v>717</v>
      </c>
      <c r="B729" s="155" t="s">
        <v>222</v>
      </c>
      <c r="C729" s="155" t="s">
        <v>223</v>
      </c>
      <c r="D729" s="155" t="s">
        <v>69</v>
      </c>
      <c r="E729" s="156">
        <v>2590023</v>
      </c>
      <c r="F729" s="156">
        <v>4590023</v>
      </c>
      <c r="G729" s="156">
        <v>4590023</v>
      </c>
      <c r="H729" s="156">
        <v>2009388.35</v>
      </c>
      <c r="I729" s="156">
        <v>283944.88</v>
      </c>
      <c r="J729" s="156">
        <v>0</v>
      </c>
      <c r="K729" s="156">
        <v>2288431.15</v>
      </c>
      <c r="L729" s="157">
        <f t="shared" si="0"/>
        <v>0.49856637973273771</v>
      </c>
      <c r="M729" s="156">
        <v>2288431.15</v>
      </c>
      <c r="N729" s="158">
        <f t="shared" si="1"/>
        <v>0.49856637973273771</v>
      </c>
      <c r="O729" s="156">
        <v>8258.6200000000008</v>
      </c>
      <c r="P729" s="158">
        <f t="shared" si="2"/>
        <v>1.7992546006850077E-3</v>
      </c>
      <c r="Q729" s="156">
        <v>8258.6200000000008</v>
      </c>
    </row>
    <row r="730" spans="1:17" hidden="1" x14ac:dyDescent="0.25">
      <c r="A730" s="155" t="s">
        <v>717</v>
      </c>
      <c r="B730" s="155" t="s">
        <v>226</v>
      </c>
      <c r="C730" s="155" t="s">
        <v>227</v>
      </c>
      <c r="D730" s="155" t="s">
        <v>69</v>
      </c>
      <c r="E730" s="156">
        <v>774300</v>
      </c>
      <c r="F730" s="156">
        <v>0</v>
      </c>
      <c r="G730" s="156">
        <v>0</v>
      </c>
      <c r="H730" s="156">
        <v>0</v>
      </c>
      <c r="I730" s="156">
        <v>0</v>
      </c>
      <c r="J730" s="156">
        <v>0</v>
      </c>
      <c r="K730" s="156">
        <v>0</v>
      </c>
      <c r="L730" s="157" t="e">
        <f t="shared" si="0"/>
        <v>#DIV/0!</v>
      </c>
      <c r="M730" s="156">
        <v>0</v>
      </c>
      <c r="N730" s="158" t="e">
        <f t="shared" si="1"/>
        <v>#DIV/0!</v>
      </c>
      <c r="O730" s="156">
        <v>0</v>
      </c>
      <c r="P730" s="158" t="e">
        <f t="shared" si="2"/>
        <v>#DIV/0!</v>
      </c>
      <c r="Q730" s="156">
        <v>0</v>
      </c>
    </row>
    <row r="731" spans="1:17" hidden="1" x14ac:dyDescent="0.25">
      <c r="A731" s="155" t="s">
        <v>717</v>
      </c>
      <c r="B731" s="155" t="s">
        <v>228</v>
      </c>
      <c r="C731" s="155" t="s">
        <v>229</v>
      </c>
      <c r="D731" s="155" t="s">
        <v>69</v>
      </c>
      <c r="E731" s="156">
        <v>929720</v>
      </c>
      <c r="F731" s="156">
        <v>0</v>
      </c>
      <c r="G731" s="156">
        <v>0</v>
      </c>
      <c r="H731" s="156">
        <v>0</v>
      </c>
      <c r="I731" s="156">
        <v>0</v>
      </c>
      <c r="J731" s="156">
        <v>0</v>
      </c>
      <c r="K731" s="156">
        <v>0</v>
      </c>
      <c r="L731" s="157" t="e">
        <f t="shared" si="0"/>
        <v>#DIV/0!</v>
      </c>
      <c r="M731" s="156">
        <v>0</v>
      </c>
      <c r="N731" s="158" t="e">
        <f t="shared" si="1"/>
        <v>#DIV/0!</v>
      </c>
      <c r="O731" s="156">
        <v>0</v>
      </c>
      <c r="P731" s="158" t="e">
        <f t="shared" si="2"/>
        <v>#DIV/0!</v>
      </c>
      <c r="Q731" s="156">
        <v>0</v>
      </c>
    </row>
    <row r="732" spans="1:17" hidden="1" x14ac:dyDescent="0.25">
      <c r="A732" s="155" t="s">
        <v>717</v>
      </c>
      <c r="B732" s="155" t="s">
        <v>230</v>
      </c>
      <c r="C732" s="155" t="s">
        <v>231</v>
      </c>
      <c r="D732" s="155" t="s">
        <v>85</v>
      </c>
      <c r="E732" s="156">
        <v>45174214</v>
      </c>
      <c r="F732" s="156">
        <v>9327344</v>
      </c>
      <c r="G732" s="156">
        <v>9315890</v>
      </c>
      <c r="H732" s="156">
        <v>7989100</v>
      </c>
      <c r="I732" s="156">
        <v>85270.37</v>
      </c>
      <c r="J732" s="156">
        <v>0</v>
      </c>
      <c r="K732" s="156">
        <v>1215366.75</v>
      </c>
      <c r="L732" s="157">
        <f t="shared" si="0"/>
        <v>0.13030148239413064</v>
      </c>
      <c r="M732" s="156">
        <v>1215366.75</v>
      </c>
      <c r="N732" s="158">
        <f t="shared" si="1"/>
        <v>0.13030148239413064</v>
      </c>
      <c r="O732" s="156">
        <v>37606.879999999997</v>
      </c>
      <c r="P732" s="158">
        <f t="shared" si="2"/>
        <v>4.0318958966239476E-3</v>
      </c>
      <c r="Q732" s="156">
        <v>26152.880000000001</v>
      </c>
    </row>
    <row r="733" spans="1:17" hidden="1" x14ac:dyDescent="0.25">
      <c r="A733" s="155" t="s">
        <v>717</v>
      </c>
      <c r="B733" s="155" t="s">
        <v>232</v>
      </c>
      <c r="C733" s="155" t="s">
        <v>233</v>
      </c>
      <c r="D733" s="155" t="s">
        <v>85</v>
      </c>
      <c r="E733" s="156">
        <v>45174214</v>
      </c>
      <c r="F733" s="156">
        <v>9327344</v>
      </c>
      <c r="G733" s="156">
        <v>9315890</v>
      </c>
      <c r="H733" s="156">
        <v>7989100</v>
      </c>
      <c r="I733" s="156">
        <v>85270.37</v>
      </c>
      <c r="J733" s="156">
        <v>0</v>
      </c>
      <c r="K733" s="156">
        <v>1215366.75</v>
      </c>
      <c r="L733" s="157">
        <f t="shared" si="0"/>
        <v>0.13030148239413064</v>
      </c>
      <c r="M733" s="156">
        <v>1215366.75</v>
      </c>
      <c r="N733" s="158">
        <f t="shared" si="1"/>
        <v>0.13030148239413064</v>
      </c>
      <c r="O733" s="156">
        <v>37606.879999999997</v>
      </c>
      <c r="P733" s="158">
        <f t="shared" si="2"/>
        <v>4.0318958966239476E-3</v>
      </c>
      <c r="Q733" s="156">
        <v>26152.880000000001</v>
      </c>
    </row>
    <row r="734" spans="1:17" hidden="1" x14ac:dyDescent="0.25">
      <c r="A734" s="155" t="s">
        <v>717</v>
      </c>
      <c r="B734" s="155" t="s">
        <v>324</v>
      </c>
      <c r="C734" s="155" t="s">
        <v>325</v>
      </c>
      <c r="D734" s="155" t="s">
        <v>85</v>
      </c>
      <c r="E734" s="156">
        <v>400000</v>
      </c>
      <c r="F734" s="156">
        <v>0</v>
      </c>
      <c r="G734" s="156">
        <v>0</v>
      </c>
      <c r="H734" s="156">
        <v>0</v>
      </c>
      <c r="I734" s="156">
        <v>0</v>
      </c>
      <c r="J734" s="156">
        <v>0</v>
      </c>
      <c r="K734" s="156">
        <v>0</v>
      </c>
      <c r="L734" s="157" t="e">
        <f t="shared" si="0"/>
        <v>#DIV/0!</v>
      </c>
      <c r="M734" s="156">
        <v>0</v>
      </c>
      <c r="N734" s="158" t="e">
        <f t="shared" si="1"/>
        <v>#DIV/0!</v>
      </c>
      <c r="O734" s="156">
        <v>0</v>
      </c>
      <c r="P734" s="158" t="e">
        <f t="shared" si="2"/>
        <v>#DIV/0!</v>
      </c>
      <c r="Q734" s="156">
        <v>0</v>
      </c>
    </row>
    <row r="735" spans="1:17" hidden="1" x14ac:dyDescent="0.25">
      <c r="A735" s="155" t="s">
        <v>717</v>
      </c>
      <c r="B735" s="155" t="s">
        <v>236</v>
      </c>
      <c r="C735" s="155" t="s">
        <v>237</v>
      </c>
      <c r="D735" s="155" t="s">
        <v>85</v>
      </c>
      <c r="E735" s="156">
        <v>10235014</v>
      </c>
      <c r="F735" s="156">
        <v>1010184</v>
      </c>
      <c r="G735" s="156">
        <v>1010184</v>
      </c>
      <c r="H735" s="156">
        <v>0</v>
      </c>
      <c r="I735" s="156">
        <v>0</v>
      </c>
      <c r="J735" s="156">
        <v>0</v>
      </c>
      <c r="K735" s="156">
        <v>1010183.4</v>
      </c>
      <c r="L735" s="157">
        <f t="shared" si="0"/>
        <v>0.999999406048799</v>
      </c>
      <c r="M735" s="156">
        <v>1010183.4</v>
      </c>
      <c r="N735" s="158">
        <f t="shared" si="1"/>
        <v>0.999999406048799</v>
      </c>
      <c r="O735" s="156">
        <v>0.60000000000000009</v>
      </c>
      <c r="P735" s="158">
        <f t="shared" si="2"/>
        <v>5.9395120096932847E-7</v>
      </c>
      <c r="Q735" s="156">
        <v>0.60000000000000009</v>
      </c>
    </row>
    <row r="736" spans="1:17" hidden="1" x14ac:dyDescent="0.25">
      <c r="A736" s="155" t="s">
        <v>717</v>
      </c>
      <c r="B736" s="155" t="s">
        <v>238</v>
      </c>
      <c r="C736" s="155" t="s">
        <v>239</v>
      </c>
      <c r="D736" s="155" t="s">
        <v>85</v>
      </c>
      <c r="E736" s="156">
        <v>3243620</v>
      </c>
      <c r="F736" s="156">
        <v>243620</v>
      </c>
      <c r="G736" s="156">
        <v>243620</v>
      </c>
      <c r="H736" s="156">
        <v>0</v>
      </c>
      <c r="I736" s="156">
        <v>22870.37</v>
      </c>
      <c r="J736" s="156">
        <v>0</v>
      </c>
      <c r="K736" s="156">
        <v>205183.35</v>
      </c>
      <c r="L736" s="157">
        <f t="shared" si="0"/>
        <v>0.84222703390526232</v>
      </c>
      <c r="M736" s="156">
        <v>205183.35</v>
      </c>
      <c r="N736" s="158">
        <f t="shared" si="1"/>
        <v>0.84222703390526232</v>
      </c>
      <c r="O736" s="156">
        <v>15566.28</v>
      </c>
      <c r="P736" s="158">
        <f t="shared" si="2"/>
        <v>6.3895739266070117E-2</v>
      </c>
      <c r="Q736" s="156">
        <v>15566.28</v>
      </c>
    </row>
    <row r="737" spans="1:17" x14ac:dyDescent="0.25">
      <c r="A737" s="155" t="s">
        <v>717</v>
      </c>
      <c r="B737" s="155" t="s">
        <v>282</v>
      </c>
      <c r="C737" s="155" t="s">
        <v>283</v>
      </c>
      <c r="D737" s="155" t="s">
        <v>85</v>
      </c>
      <c r="E737" s="156">
        <v>414480</v>
      </c>
      <c r="F737" s="156">
        <v>480</v>
      </c>
      <c r="G737" s="156">
        <v>480</v>
      </c>
      <c r="H737" s="156">
        <v>0</v>
      </c>
      <c r="I737" s="156">
        <v>0</v>
      </c>
      <c r="J737" s="156">
        <v>0</v>
      </c>
      <c r="K737" s="156">
        <v>0</v>
      </c>
      <c r="L737" s="157">
        <f t="shared" si="0"/>
        <v>0</v>
      </c>
      <c r="M737" s="156">
        <v>0</v>
      </c>
      <c r="N737" s="158">
        <f t="shared" si="1"/>
        <v>0</v>
      </c>
      <c r="O737" s="156">
        <v>480</v>
      </c>
      <c r="P737" s="158">
        <f t="shared" si="2"/>
        <v>1</v>
      </c>
      <c r="Q737" s="156">
        <v>480</v>
      </c>
    </row>
    <row r="738" spans="1:17" hidden="1" x14ac:dyDescent="0.25">
      <c r="A738" s="155" t="s">
        <v>717</v>
      </c>
      <c r="B738" s="155" t="s">
        <v>240</v>
      </c>
      <c r="C738" s="155" t="s">
        <v>241</v>
      </c>
      <c r="D738" s="155" t="s">
        <v>85</v>
      </c>
      <c r="E738" s="156">
        <v>27531100</v>
      </c>
      <c r="F738" s="156">
        <v>8010660</v>
      </c>
      <c r="G738" s="156">
        <v>7999206</v>
      </c>
      <c r="H738" s="156">
        <v>7989100</v>
      </c>
      <c r="I738" s="156">
        <v>0</v>
      </c>
      <c r="J738" s="156">
        <v>0</v>
      </c>
      <c r="K738" s="156">
        <v>0</v>
      </c>
      <c r="L738" s="157">
        <f t="shared" si="0"/>
        <v>0</v>
      </c>
      <c r="M738" s="156">
        <v>0</v>
      </c>
      <c r="N738" s="158">
        <f t="shared" si="1"/>
        <v>0</v>
      </c>
      <c r="O738" s="156">
        <v>21560</v>
      </c>
      <c r="P738" s="158">
        <f t="shared" si="2"/>
        <v>2.6914136912564008E-3</v>
      </c>
      <c r="Q738" s="156">
        <v>10106</v>
      </c>
    </row>
    <row r="739" spans="1:17" hidden="1" x14ac:dyDescent="0.25">
      <c r="A739" s="155" t="s">
        <v>717</v>
      </c>
      <c r="B739" s="155" t="s">
        <v>242</v>
      </c>
      <c r="C739" s="155" t="s">
        <v>243</v>
      </c>
      <c r="D739" s="155" t="s">
        <v>85</v>
      </c>
      <c r="E739" s="156">
        <v>3350000</v>
      </c>
      <c r="F739" s="156">
        <v>62400</v>
      </c>
      <c r="G739" s="156">
        <v>62400</v>
      </c>
      <c r="H739" s="156">
        <v>0</v>
      </c>
      <c r="I739" s="156">
        <v>62400</v>
      </c>
      <c r="J739" s="156">
        <v>0</v>
      </c>
      <c r="K739" s="156">
        <v>0</v>
      </c>
      <c r="L739" s="157">
        <f t="shared" si="0"/>
        <v>0</v>
      </c>
      <c r="M739" s="156">
        <v>0</v>
      </c>
      <c r="N739" s="158">
        <f t="shared" si="1"/>
        <v>0</v>
      </c>
      <c r="O739" s="156">
        <v>0</v>
      </c>
      <c r="P739" s="158">
        <f t="shared" si="2"/>
        <v>0</v>
      </c>
      <c r="Q739" s="156">
        <v>0</v>
      </c>
    </row>
    <row r="740" spans="1:17" hidden="1" x14ac:dyDescent="0.25">
      <c r="A740" s="155" t="s">
        <v>717</v>
      </c>
      <c r="B740" s="155" t="s">
        <v>248</v>
      </c>
      <c r="C740" s="155" t="s">
        <v>249</v>
      </c>
      <c r="D740" s="155" t="s">
        <v>69</v>
      </c>
      <c r="E740" s="156">
        <v>50610852</v>
      </c>
      <c r="F740" s="156">
        <v>43150811</v>
      </c>
      <c r="G740" s="156">
        <v>22150811</v>
      </c>
      <c r="H740" s="156">
        <v>0</v>
      </c>
      <c r="I740" s="156">
        <v>5444618</v>
      </c>
      <c r="J740" s="156">
        <v>0</v>
      </c>
      <c r="K740" s="156">
        <v>13264968.5</v>
      </c>
      <c r="L740" s="157">
        <f t="shared" si="0"/>
        <v>0.30740948298746923</v>
      </c>
      <c r="M740" s="156">
        <v>13264968.5</v>
      </c>
      <c r="N740" s="158">
        <f t="shared" si="1"/>
        <v>0.30740948298746923</v>
      </c>
      <c r="O740" s="156">
        <v>24441224.5</v>
      </c>
      <c r="P740" s="158">
        <f t="shared" si="2"/>
        <v>0.56641402406086871</v>
      </c>
      <c r="Q740" s="156">
        <v>3441224.5</v>
      </c>
    </row>
    <row r="741" spans="1:17" hidden="1" x14ac:dyDescent="0.25">
      <c r="A741" s="155" t="s">
        <v>717</v>
      </c>
      <c r="B741" s="155" t="s">
        <v>250</v>
      </c>
      <c r="C741" s="155" t="s">
        <v>251</v>
      </c>
      <c r="D741" s="155" t="s">
        <v>69</v>
      </c>
      <c r="E741" s="156">
        <v>14610852</v>
      </c>
      <c r="F741" s="156">
        <v>14150811</v>
      </c>
      <c r="G741" s="156">
        <v>14150811</v>
      </c>
      <c r="H741" s="156">
        <v>0</v>
      </c>
      <c r="I741" s="156">
        <v>5444618</v>
      </c>
      <c r="J741" s="156">
        <v>0</v>
      </c>
      <c r="K741" s="156">
        <v>8627029</v>
      </c>
      <c r="L741" s="157">
        <f t="shared" si="0"/>
        <v>0.60964908654352035</v>
      </c>
      <c r="M741" s="156">
        <v>8627029</v>
      </c>
      <c r="N741" s="158">
        <f t="shared" si="1"/>
        <v>0.60964908654352035</v>
      </c>
      <c r="O741" s="156">
        <v>79164</v>
      </c>
      <c r="P741" s="158">
        <f t="shared" si="2"/>
        <v>5.5943083403488325E-3</v>
      </c>
      <c r="Q741" s="156">
        <v>79164</v>
      </c>
    </row>
    <row r="742" spans="1:17" hidden="1" x14ac:dyDescent="0.25">
      <c r="A742" s="155" t="s">
        <v>717</v>
      </c>
      <c r="B742" s="155" t="s">
        <v>636</v>
      </c>
      <c r="C742" s="155" t="s">
        <v>702</v>
      </c>
      <c r="D742" s="155" t="s">
        <v>69</v>
      </c>
      <c r="E742" s="156">
        <v>12410435</v>
      </c>
      <c r="F742" s="156">
        <v>12019677</v>
      </c>
      <c r="G742" s="156">
        <v>12019677</v>
      </c>
      <c r="H742" s="156">
        <v>0</v>
      </c>
      <c r="I742" s="156">
        <v>4652513</v>
      </c>
      <c r="J742" s="156">
        <v>0</v>
      </c>
      <c r="K742" s="156">
        <v>7299922</v>
      </c>
      <c r="L742" s="157">
        <f t="shared" si="0"/>
        <v>0.60733096238775797</v>
      </c>
      <c r="M742" s="156">
        <v>7299922</v>
      </c>
      <c r="N742" s="158">
        <f t="shared" si="1"/>
        <v>0.60733096238775797</v>
      </c>
      <c r="O742" s="156">
        <v>67242</v>
      </c>
      <c r="P742" s="158">
        <f t="shared" si="2"/>
        <v>5.5943267027891014E-3</v>
      </c>
      <c r="Q742" s="156">
        <v>67242</v>
      </c>
    </row>
    <row r="743" spans="1:17" hidden="1" x14ac:dyDescent="0.25">
      <c r="A743" s="155" t="s">
        <v>717</v>
      </c>
      <c r="B743" s="155" t="s">
        <v>651</v>
      </c>
      <c r="C743" s="155" t="s">
        <v>703</v>
      </c>
      <c r="D743" s="155" t="s">
        <v>69</v>
      </c>
      <c r="E743" s="156">
        <v>2200417</v>
      </c>
      <c r="F743" s="156">
        <v>2131134</v>
      </c>
      <c r="G743" s="156">
        <v>2131134</v>
      </c>
      <c r="H743" s="156">
        <v>0</v>
      </c>
      <c r="I743" s="156">
        <v>792105</v>
      </c>
      <c r="J743" s="156">
        <v>0</v>
      </c>
      <c r="K743" s="156">
        <v>1327107</v>
      </c>
      <c r="L743" s="157">
        <f t="shared" si="0"/>
        <v>0.6227233951501876</v>
      </c>
      <c r="M743" s="156">
        <v>1327107</v>
      </c>
      <c r="N743" s="158">
        <f t="shared" si="1"/>
        <v>0.6227233951501876</v>
      </c>
      <c r="O743" s="156">
        <v>11922</v>
      </c>
      <c r="P743" s="158">
        <f t="shared" si="2"/>
        <v>5.594204775485727E-3</v>
      </c>
      <c r="Q743" s="156">
        <v>11922</v>
      </c>
    </row>
    <row r="744" spans="1:17" x14ac:dyDescent="0.25">
      <c r="A744" s="155" t="s">
        <v>717</v>
      </c>
      <c r="B744" s="155" t="s">
        <v>260</v>
      </c>
      <c r="C744" s="155" t="s">
        <v>261</v>
      </c>
      <c r="D744" s="155" t="s">
        <v>69</v>
      </c>
      <c r="E744" s="156">
        <v>26000000</v>
      </c>
      <c r="F744" s="156">
        <v>21500000</v>
      </c>
      <c r="G744" s="156">
        <v>8000000</v>
      </c>
      <c r="H744" s="156">
        <v>0</v>
      </c>
      <c r="I744" s="156">
        <v>0</v>
      </c>
      <c r="J744" s="156">
        <v>0</v>
      </c>
      <c r="K744" s="156">
        <v>4637939.5</v>
      </c>
      <c r="L744" s="157">
        <f t="shared" si="0"/>
        <v>0.21571811627906975</v>
      </c>
      <c r="M744" s="156">
        <v>4637939.5</v>
      </c>
      <c r="N744" s="158">
        <f t="shared" si="1"/>
        <v>0.21571811627906975</v>
      </c>
      <c r="O744" s="156">
        <v>16862060.5</v>
      </c>
      <c r="P744" s="158">
        <f t="shared" si="2"/>
        <v>0.78428188372093022</v>
      </c>
      <c r="Q744" s="156">
        <v>3362060.5</v>
      </c>
    </row>
    <row r="745" spans="1:17" x14ac:dyDescent="0.25">
      <c r="A745" s="155" t="s">
        <v>717</v>
      </c>
      <c r="B745" s="155" t="s">
        <v>262</v>
      </c>
      <c r="C745" s="155" t="s">
        <v>263</v>
      </c>
      <c r="D745" s="155" t="s">
        <v>69</v>
      </c>
      <c r="E745" s="156">
        <v>18000000</v>
      </c>
      <c r="F745" s="156">
        <v>13500000</v>
      </c>
      <c r="G745" s="156">
        <v>0</v>
      </c>
      <c r="H745" s="156">
        <v>0</v>
      </c>
      <c r="I745" s="156">
        <v>0</v>
      </c>
      <c r="J745" s="156">
        <v>0</v>
      </c>
      <c r="K745" s="156">
        <v>0</v>
      </c>
      <c r="L745" s="157">
        <f t="shared" si="0"/>
        <v>0</v>
      </c>
      <c r="M745" s="156">
        <v>0</v>
      </c>
      <c r="N745" s="158">
        <f t="shared" si="1"/>
        <v>0</v>
      </c>
      <c r="O745" s="156">
        <v>13500000</v>
      </c>
      <c r="P745" s="158">
        <f t="shared" si="2"/>
        <v>1</v>
      </c>
      <c r="Q745" s="156">
        <v>0</v>
      </c>
    </row>
    <row r="746" spans="1:17" hidden="1" x14ac:dyDescent="0.25">
      <c r="A746" s="155" t="s">
        <v>717</v>
      </c>
      <c r="B746" s="155" t="s">
        <v>264</v>
      </c>
      <c r="C746" s="155" t="s">
        <v>265</v>
      </c>
      <c r="D746" s="155" t="s">
        <v>69</v>
      </c>
      <c r="E746" s="156">
        <v>8000000</v>
      </c>
      <c r="F746" s="156">
        <v>8000000</v>
      </c>
      <c r="G746" s="156">
        <v>8000000</v>
      </c>
      <c r="H746" s="156">
        <v>0</v>
      </c>
      <c r="I746" s="156">
        <v>0</v>
      </c>
      <c r="J746" s="156">
        <v>0</v>
      </c>
      <c r="K746" s="156">
        <v>4637939.5</v>
      </c>
      <c r="L746" s="157">
        <f t="shared" si="0"/>
        <v>0.57974243749999999</v>
      </c>
      <c r="M746" s="156">
        <v>4637939.5</v>
      </c>
      <c r="N746" s="158">
        <f t="shared" si="1"/>
        <v>0.57974243749999999</v>
      </c>
      <c r="O746" s="156">
        <v>3362060.5</v>
      </c>
      <c r="P746" s="158">
        <f t="shared" si="2"/>
        <v>0.42025756250000001</v>
      </c>
      <c r="Q746" s="156">
        <v>3362060.5</v>
      </c>
    </row>
    <row r="747" spans="1:17" hidden="1" x14ac:dyDescent="0.25">
      <c r="A747" s="155" t="s">
        <v>717</v>
      </c>
      <c r="B747" s="155" t="s">
        <v>286</v>
      </c>
      <c r="C747" s="155" t="s">
        <v>287</v>
      </c>
      <c r="D747" s="155" t="s">
        <v>69</v>
      </c>
      <c r="E747" s="156">
        <v>10000000</v>
      </c>
      <c r="F747" s="156">
        <v>7500000</v>
      </c>
      <c r="G747" s="156">
        <v>0</v>
      </c>
      <c r="H747" s="156">
        <v>0</v>
      </c>
      <c r="I747" s="156">
        <v>0</v>
      </c>
      <c r="J747" s="156">
        <v>0</v>
      </c>
      <c r="K747" s="156">
        <v>0</v>
      </c>
      <c r="L747" s="157">
        <f t="shared" si="0"/>
        <v>0</v>
      </c>
      <c r="M747" s="156">
        <v>0</v>
      </c>
      <c r="N747" s="158">
        <f t="shared" si="1"/>
        <v>0</v>
      </c>
      <c r="O747" s="156">
        <v>7500000</v>
      </c>
      <c r="P747" s="158">
        <f t="shared" si="2"/>
        <v>1</v>
      </c>
      <c r="Q747" s="156">
        <v>0</v>
      </c>
    </row>
    <row r="748" spans="1:17" x14ac:dyDescent="0.25">
      <c r="A748" s="155" t="s">
        <v>717</v>
      </c>
      <c r="B748" s="155" t="s">
        <v>288</v>
      </c>
      <c r="C748" s="155" t="s">
        <v>289</v>
      </c>
      <c r="D748" s="155" t="s">
        <v>69</v>
      </c>
      <c r="E748" s="156">
        <v>10000000</v>
      </c>
      <c r="F748" s="156">
        <v>7500000</v>
      </c>
      <c r="G748" s="156">
        <v>0</v>
      </c>
      <c r="H748" s="156">
        <v>0</v>
      </c>
      <c r="I748" s="156">
        <v>0</v>
      </c>
      <c r="J748" s="156">
        <v>0</v>
      </c>
      <c r="K748" s="156">
        <v>0</v>
      </c>
      <c r="L748" s="157">
        <f t="shared" si="0"/>
        <v>0</v>
      </c>
      <c r="M748" s="156">
        <v>0</v>
      </c>
      <c r="N748" s="158">
        <f t="shared" si="1"/>
        <v>0</v>
      </c>
      <c r="O748" s="156">
        <v>7500000</v>
      </c>
      <c r="P748" s="158">
        <f t="shared" si="2"/>
        <v>1</v>
      </c>
      <c r="Q748" s="156">
        <v>0</v>
      </c>
    </row>
    <row r="749" spans="1:17" hidden="1" x14ac:dyDescent="0.25">
      <c r="A749" s="44">
        <v>214791</v>
      </c>
      <c r="B749" s="44"/>
      <c r="C749" s="44"/>
      <c r="D749" s="44" t="s">
        <v>69</v>
      </c>
      <c r="E749" s="50">
        <v>7826709762</v>
      </c>
      <c r="F749" s="50">
        <v>7640097492</v>
      </c>
      <c r="G749" s="50">
        <v>7545280632</v>
      </c>
      <c r="H749" s="50">
        <v>0</v>
      </c>
      <c r="I749" s="50">
        <v>428675554.91000003</v>
      </c>
      <c r="J749" s="50">
        <v>0</v>
      </c>
      <c r="K749" s="50">
        <v>4652217455.2700005</v>
      </c>
      <c r="L749" s="151">
        <f t="shared" si="0"/>
        <v>0.60892121601083893</v>
      </c>
      <c r="M749" s="50">
        <v>4652217455.2700005</v>
      </c>
      <c r="N749" s="152">
        <f t="shared" si="1"/>
        <v>0.60892121601083893</v>
      </c>
      <c r="O749" s="50">
        <v>2559204481.8200002</v>
      </c>
      <c r="P749" s="152">
        <f t="shared" si="2"/>
        <v>0.33497013415074367</v>
      </c>
      <c r="Q749" s="50">
        <v>2464387621.8200002</v>
      </c>
    </row>
    <row r="750" spans="1:17" hidden="1" x14ac:dyDescent="0.25">
      <c r="A750" s="44" t="s">
        <v>719</v>
      </c>
      <c r="B750" s="44" t="s">
        <v>71</v>
      </c>
      <c r="C750" s="44" t="s">
        <v>72</v>
      </c>
      <c r="D750" s="44" t="s">
        <v>69</v>
      </c>
      <c r="E750" s="50">
        <v>7726375169</v>
      </c>
      <c r="F750" s="50">
        <v>7475052781</v>
      </c>
      <c r="G750" s="50">
        <v>7380878001</v>
      </c>
      <c r="H750" s="50">
        <v>0</v>
      </c>
      <c r="I750" s="50">
        <v>394060009.11000001</v>
      </c>
      <c r="J750" s="50">
        <v>0</v>
      </c>
      <c r="K750" s="50">
        <v>4552515237.75</v>
      </c>
      <c r="L750" s="151">
        <f t="shared" si="0"/>
        <v>0.60902783848182707</v>
      </c>
      <c r="M750" s="50">
        <v>4552515237.75</v>
      </c>
      <c r="N750" s="152">
        <f t="shared" si="1"/>
        <v>0.60902783848182707</v>
      </c>
      <c r="O750" s="50">
        <v>2528477534.1399999</v>
      </c>
      <c r="P750" s="152">
        <f t="shared" si="2"/>
        <v>0.3382554756759516</v>
      </c>
      <c r="Q750" s="50">
        <v>2434302754.1399999</v>
      </c>
    </row>
    <row r="751" spans="1:17" hidden="1" x14ac:dyDescent="0.25">
      <c r="A751" s="44" t="s">
        <v>719</v>
      </c>
      <c r="B751" s="44" t="s">
        <v>73</v>
      </c>
      <c r="C751" s="44" t="s">
        <v>74</v>
      </c>
      <c r="D751" s="44" t="s">
        <v>69</v>
      </c>
      <c r="E751" s="50">
        <v>2598911346</v>
      </c>
      <c r="F751" s="50">
        <v>2502453188</v>
      </c>
      <c r="G751" s="50">
        <v>2482450977</v>
      </c>
      <c r="H751" s="50">
        <v>0</v>
      </c>
      <c r="I751" s="50">
        <v>0</v>
      </c>
      <c r="J751" s="50">
        <v>0</v>
      </c>
      <c r="K751" s="50">
        <v>1608706673.3599999</v>
      </c>
      <c r="L751" s="151">
        <f t="shared" si="0"/>
        <v>0.6428518547616483</v>
      </c>
      <c r="M751" s="50">
        <v>1608706673.3599999</v>
      </c>
      <c r="N751" s="152">
        <f t="shared" si="1"/>
        <v>0.6428518547616483</v>
      </c>
      <c r="O751" s="50">
        <v>893746514.63999999</v>
      </c>
      <c r="P751" s="152">
        <f t="shared" si="2"/>
        <v>0.35714814523835159</v>
      </c>
      <c r="Q751" s="50">
        <v>873744303.63999999</v>
      </c>
    </row>
    <row r="752" spans="1:17" hidden="1" x14ac:dyDescent="0.25">
      <c r="A752" s="44" t="s">
        <v>719</v>
      </c>
      <c r="B752" s="44" t="s">
        <v>75</v>
      </c>
      <c r="C752" s="44" t="s">
        <v>76</v>
      </c>
      <c r="D752" s="44" t="s">
        <v>69</v>
      </c>
      <c r="E752" s="50">
        <v>2598911346</v>
      </c>
      <c r="F752" s="50">
        <v>2498453188</v>
      </c>
      <c r="G752" s="50">
        <v>2478450977</v>
      </c>
      <c r="H752" s="50">
        <v>0</v>
      </c>
      <c r="I752" s="50">
        <v>0</v>
      </c>
      <c r="J752" s="50">
        <v>0</v>
      </c>
      <c r="K752" s="50">
        <v>1608706673.3599999</v>
      </c>
      <c r="L752" s="151">
        <f t="shared" si="0"/>
        <v>0.64388105452068201</v>
      </c>
      <c r="M752" s="50">
        <v>1608706673.3599999</v>
      </c>
      <c r="N752" s="152">
        <f t="shared" si="1"/>
        <v>0.64388105452068201</v>
      </c>
      <c r="O752" s="50">
        <v>889746514.63999999</v>
      </c>
      <c r="P752" s="152">
        <f t="shared" si="2"/>
        <v>0.35611894547931788</v>
      </c>
      <c r="Q752" s="50">
        <v>869744303.63999999</v>
      </c>
    </row>
    <row r="753" spans="1:17" x14ac:dyDescent="0.25">
      <c r="A753" s="187" t="s">
        <v>719</v>
      </c>
      <c r="B753" s="187" t="s">
        <v>291</v>
      </c>
      <c r="C753" s="187" t="s">
        <v>292</v>
      </c>
      <c r="D753" s="187" t="s">
        <v>69</v>
      </c>
      <c r="E753" s="188">
        <v>0</v>
      </c>
      <c r="F753" s="188">
        <v>4000000</v>
      </c>
      <c r="G753" s="188">
        <v>4000000</v>
      </c>
      <c r="H753" s="188">
        <v>0</v>
      </c>
      <c r="I753" s="188">
        <v>0</v>
      </c>
      <c r="J753" s="188">
        <v>0</v>
      </c>
      <c r="K753" s="188">
        <v>0</v>
      </c>
      <c r="L753" s="189">
        <f t="shared" si="0"/>
        <v>0</v>
      </c>
      <c r="M753" s="188">
        <v>0</v>
      </c>
      <c r="N753" s="190">
        <f t="shared" si="1"/>
        <v>0</v>
      </c>
      <c r="O753" s="188">
        <v>4000000</v>
      </c>
      <c r="P753" s="190">
        <f t="shared" si="2"/>
        <v>1</v>
      </c>
      <c r="Q753" s="188">
        <v>4000000</v>
      </c>
    </row>
    <row r="754" spans="1:17" hidden="1" x14ac:dyDescent="0.25">
      <c r="A754" s="187" t="s">
        <v>719</v>
      </c>
      <c r="B754" s="187" t="s">
        <v>77</v>
      </c>
      <c r="C754" s="187" t="s">
        <v>78</v>
      </c>
      <c r="D754" s="187" t="s">
        <v>69</v>
      </c>
      <c r="E754" s="188">
        <v>3948833757</v>
      </c>
      <c r="F754" s="188">
        <v>3832615733</v>
      </c>
      <c r="G754" s="188">
        <v>3765985672</v>
      </c>
      <c r="H754" s="188">
        <v>0</v>
      </c>
      <c r="I754" s="188">
        <v>0</v>
      </c>
      <c r="J754" s="188">
        <v>0</v>
      </c>
      <c r="K754" s="188">
        <v>2205427221.5</v>
      </c>
      <c r="L754" s="189">
        <f t="shared" si="0"/>
        <v>0.57543656216577976</v>
      </c>
      <c r="M754" s="188">
        <v>2205427221.5</v>
      </c>
      <c r="N754" s="190">
        <f t="shared" si="1"/>
        <v>0.57543656216577976</v>
      </c>
      <c r="O754" s="188">
        <v>1627188511.5</v>
      </c>
      <c r="P754" s="190">
        <f t="shared" si="2"/>
        <v>0.42456343783422024</v>
      </c>
      <c r="Q754" s="188">
        <v>1560558450.5</v>
      </c>
    </row>
    <row r="755" spans="1:17" hidden="1" x14ac:dyDescent="0.25">
      <c r="A755" s="187" t="s">
        <v>719</v>
      </c>
      <c r="B755" s="187" t="s">
        <v>79</v>
      </c>
      <c r="C755" s="187" t="s">
        <v>80</v>
      </c>
      <c r="D755" s="187" t="s">
        <v>69</v>
      </c>
      <c r="E755" s="188">
        <v>655368000</v>
      </c>
      <c r="F755" s="188">
        <v>650465123</v>
      </c>
      <c r="G755" s="188">
        <v>618346014</v>
      </c>
      <c r="H755" s="188">
        <v>0</v>
      </c>
      <c r="I755" s="188">
        <v>0</v>
      </c>
      <c r="J755" s="188">
        <v>0</v>
      </c>
      <c r="K755" s="188">
        <v>390243854.98000002</v>
      </c>
      <c r="L755" s="189">
        <f t="shared" si="0"/>
        <v>0.59994585594407035</v>
      </c>
      <c r="M755" s="188">
        <v>390243854.98000002</v>
      </c>
      <c r="N755" s="190">
        <f t="shared" si="1"/>
        <v>0.59994585594407035</v>
      </c>
      <c r="O755" s="188">
        <v>260221268.02000001</v>
      </c>
      <c r="P755" s="190">
        <f t="shared" si="2"/>
        <v>0.40005414405592965</v>
      </c>
      <c r="Q755" s="188">
        <v>228102159.02000001</v>
      </c>
    </row>
    <row r="756" spans="1:17" hidden="1" x14ac:dyDescent="0.25">
      <c r="A756" s="187" t="s">
        <v>719</v>
      </c>
      <c r="B756" s="187" t="s">
        <v>81</v>
      </c>
      <c r="C756" s="187" t="s">
        <v>82</v>
      </c>
      <c r="D756" s="187" t="s">
        <v>69</v>
      </c>
      <c r="E756" s="188">
        <v>1818533000</v>
      </c>
      <c r="F756" s="188">
        <v>1762721460</v>
      </c>
      <c r="G756" s="188">
        <v>1751449014</v>
      </c>
      <c r="H756" s="188">
        <v>0</v>
      </c>
      <c r="I756" s="188">
        <v>0</v>
      </c>
      <c r="J756" s="188">
        <v>0</v>
      </c>
      <c r="K756" s="188">
        <v>1097927728.3099999</v>
      </c>
      <c r="L756" s="189">
        <f t="shared" si="0"/>
        <v>0.62285945523690389</v>
      </c>
      <c r="M756" s="188">
        <v>1097927728.3099999</v>
      </c>
      <c r="N756" s="190">
        <f t="shared" si="1"/>
        <v>0.62285945523690389</v>
      </c>
      <c r="O756" s="188">
        <v>664793731.69000006</v>
      </c>
      <c r="P756" s="190">
        <f t="shared" si="2"/>
        <v>0.37714054476309605</v>
      </c>
      <c r="Q756" s="188">
        <v>653521285.69000006</v>
      </c>
    </row>
    <row r="757" spans="1:17" x14ac:dyDescent="0.25">
      <c r="A757" s="187" t="s">
        <v>719</v>
      </c>
      <c r="B757" s="187" t="s">
        <v>83</v>
      </c>
      <c r="C757" s="187" t="s">
        <v>84</v>
      </c>
      <c r="D757" s="187" t="s">
        <v>85</v>
      </c>
      <c r="E757" s="188">
        <v>503486357</v>
      </c>
      <c r="F757" s="188">
        <v>486977489</v>
      </c>
      <c r="G757" s="188">
        <v>466043101</v>
      </c>
      <c r="H757" s="188">
        <v>0</v>
      </c>
      <c r="I757" s="188">
        <v>0</v>
      </c>
      <c r="J757" s="188">
        <v>0</v>
      </c>
      <c r="K757" s="188">
        <v>0</v>
      </c>
      <c r="L757" s="189">
        <f t="shared" si="0"/>
        <v>0</v>
      </c>
      <c r="M757" s="188">
        <v>0</v>
      </c>
      <c r="N757" s="190">
        <f t="shared" si="1"/>
        <v>0</v>
      </c>
      <c r="O757" s="188">
        <v>486977489</v>
      </c>
      <c r="P757" s="190">
        <f t="shared" si="2"/>
        <v>1</v>
      </c>
      <c r="Q757" s="188">
        <v>466043101</v>
      </c>
    </row>
    <row r="758" spans="1:17" x14ac:dyDescent="0.25">
      <c r="A758" s="187" t="s">
        <v>719</v>
      </c>
      <c r="B758" s="187" t="s">
        <v>86</v>
      </c>
      <c r="C758" s="187" t="s">
        <v>87</v>
      </c>
      <c r="D758" s="187" t="s">
        <v>69</v>
      </c>
      <c r="E758" s="188">
        <v>463338500</v>
      </c>
      <c r="F758" s="188">
        <v>434338500</v>
      </c>
      <c r="G758" s="188">
        <v>434338500</v>
      </c>
      <c r="H758" s="188">
        <v>0</v>
      </c>
      <c r="I758" s="188">
        <v>0</v>
      </c>
      <c r="J758" s="188">
        <v>0</v>
      </c>
      <c r="K758" s="188">
        <v>408845203.83999997</v>
      </c>
      <c r="L758" s="189">
        <f t="shared" si="0"/>
        <v>0.94130546529953019</v>
      </c>
      <c r="M758" s="188">
        <v>408845203.83999997</v>
      </c>
      <c r="N758" s="190">
        <f t="shared" si="1"/>
        <v>0.94130546529953019</v>
      </c>
      <c r="O758" s="188">
        <v>25493296.16</v>
      </c>
      <c r="P758" s="190">
        <f t="shared" si="2"/>
        <v>5.8694534700469793E-2</v>
      </c>
      <c r="Q758" s="188">
        <v>25493296.16</v>
      </c>
    </row>
    <row r="759" spans="1:17" hidden="1" x14ac:dyDescent="0.25">
      <c r="A759" s="44" t="s">
        <v>719</v>
      </c>
      <c r="B759" s="44" t="s">
        <v>88</v>
      </c>
      <c r="C759" s="44" t="s">
        <v>89</v>
      </c>
      <c r="D759" s="44" t="s">
        <v>69</v>
      </c>
      <c r="E759" s="50">
        <v>508107900</v>
      </c>
      <c r="F759" s="50">
        <v>498113161</v>
      </c>
      <c r="G759" s="50">
        <v>495809043</v>
      </c>
      <c r="H759" s="50">
        <v>0</v>
      </c>
      <c r="I759" s="50">
        <v>0</v>
      </c>
      <c r="J759" s="50">
        <v>0</v>
      </c>
      <c r="K759" s="50">
        <v>308410434.37</v>
      </c>
      <c r="L759" s="151">
        <f t="shared" si="0"/>
        <v>0.61915736928300114</v>
      </c>
      <c r="M759" s="50">
        <v>308410434.37</v>
      </c>
      <c r="N759" s="152">
        <f t="shared" si="1"/>
        <v>0.61915736928300114</v>
      </c>
      <c r="O759" s="50">
        <v>189702726.63</v>
      </c>
      <c r="P759" s="152">
        <f t="shared" si="2"/>
        <v>0.38084263071699886</v>
      </c>
      <c r="Q759" s="50">
        <v>187398608.63</v>
      </c>
    </row>
    <row r="760" spans="1:17" hidden="1" x14ac:dyDescent="0.25">
      <c r="A760" s="44" t="s">
        <v>719</v>
      </c>
      <c r="B760" s="44" t="s">
        <v>90</v>
      </c>
      <c r="C760" s="44" t="s">
        <v>91</v>
      </c>
      <c r="D760" s="44" t="s">
        <v>69</v>
      </c>
      <c r="E760" s="50">
        <v>589315133</v>
      </c>
      <c r="F760" s="50">
        <v>569992030</v>
      </c>
      <c r="G760" s="50">
        <v>566220775</v>
      </c>
      <c r="H760" s="50">
        <v>0</v>
      </c>
      <c r="I760" s="50">
        <v>195026235.46000001</v>
      </c>
      <c r="J760" s="50">
        <v>0</v>
      </c>
      <c r="K760" s="50">
        <v>371194539.54000002</v>
      </c>
      <c r="L760" s="151">
        <f t="shared" si="0"/>
        <v>0.65122759618235371</v>
      </c>
      <c r="M760" s="50">
        <v>371194539.54000002</v>
      </c>
      <c r="N760" s="152">
        <f t="shared" si="1"/>
        <v>0.65122759618235371</v>
      </c>
      <c r="O760" s="50">
        <v>3771255</v>
      </c>
      <c r="P760" s="152">
        <f t="shared" si="2"/>
        <v>6.6163293546402744E-3</v>
      </c>
      <c r="Q760" s="50">
        <v>0</v>
      </c>
    </row>
    <row r="761" spans="1:17" hidden="1" x14ac:dyDescent="0.25">
      <c r="A761" s="44" t="s">
        <v>719</v>
      </c>
      <c r="B761" s="44" t="s">
        <v>428</v>
      </c>
      <c r="C761" s="44" t="s">
        <v>697</v>
      </c>
      <c r="D761" s="44" t="s">
        <v>69</v>
      </c>
      <c r="E761" s="50">
        <v>559093873</v>
      </c>
      <c r="F761" s="50">
        <v>540761697</v>
      </c>
      <c r="G761" s="50">
        <v>537183840</v>
      </c>
      <c r="H761" s="50">
        <v>0</v>
      </c>
      <c r="I761" s="50">
        <v>185024350.90000001</v>
      </c>
      <c r="J761" s="50">
        <v>0</v>
      </c>
      <c r="K761" s="50">
        <v>352159489.10000002</v>
      </c>
      <c r="L761" s="151">
        <f t="shared" si="0"/>
        <v>0.65122861151905886</v>
      </c>
      <c r="M761" s="50">
        <v>352159489.10000002</v>
      </c>
      <c r="N761" s="152">
        <f t="shared" si="1"/>
        <v>0.65122861151905886</v>
      </c>
      <c r="O761" s="50">
        <v>3577857</v>
      </c>
      <c r="P761" s="152">
        <f t="shared" si="2"/>
        <v>6.6163284490173497E-3</v>
      </c>
      <c r="Q761" s="50">
        <v>0</v>
      </c>
    </row>
    <row r="762" spans="1:17" hidden="1" x14ac:dyDescent="0.25">
      <c r="A762" s="44" t="s">
        <v>719</v>
      </c>
      <c r="B762" s="44" t="s">
        <v>445</v>
      </c>
      <c r="C762" s="44" t="s">
        <v>95</v>
      </c>
      <c r="D762" s="44" t="s">
        <v>69</v>
      </c>
      <c r="E762" s="50">
        <v>30221260</v>
      </c>
      <c r="F762" s="50">
        <v>29230333</v>
      </c>
      <c r="G762" s="50">
        <v>29036935</v>
      </c>
      <c r="H762" s="50">
        <v>0</v>
      </c>
      <c r="I762" s="50">
        <v>10001884.560000001</v>
      </c>
      <c r="J762" s="50">
        <v>0</v>
      </c>
      <c r="K762" s="50">
        <v>19035050.440000001</v>
      </c>
      <c r="L762" s="151">
        <f t="shared" si="0"/>
        <v>0.65120881243467188</v>
      </c>
      <c r="M762" s="50">
        <v>19035050.440000001</v>
      </c>
      <c r="N762" s="152">
        <f t="shared" si="1"/>
        <v>0.65120881243467188</v>
      </c>
      <c r="O762" s="50">
        <v>193398</v>
      </c>
      <c r="P762" s="152">
        <f t="shared" si="2"/>
        <v>6.6163461086810064E-3</v>
      </c>
      <c r="Q762" s="50">
        <v>0</v>
      </c>
    </row>
    <row r="763" spans="1:17" hidden="1" x14ac:dyDescent="0.25">
      <c r="A763" s="44" t="s">
        <v>719</v>
      </c>
      <c r="B763" s="44" t="s">
        <v>96</v>
      </c>
      <c r="C763" s="44" t="s">
        <v>97</v>
      </c>
      <c r="D763" s="44" t="s">
        <v>69</v>
      </c>
      <c r="E763" s="50">
        <v>589314933</v>
      </c>
      <c r="F763" s="50">
        <v>569991830</v>
      </c>
      <c r="G763" s="50">
        <v>566220577</v>
      </c>
      <c r="H763" s="50">
        <v>0</v>
      </c>
      <c r="I763" s="50">
        <v>199033773.65000001</v>
      </c>
      <c r="J763" s="50">
        <v>0</v>
      </c>
      <c r="K763" s="50">
        <v>367186803.35000002</v>
      </c>
      <c r="L763" s="151">
        <f t="shared" si="0"/>
        <v>0.64419660778295718</v>
      </c>
      <c r="M763" s="50">
        <v>367186803.35000002</v>
      </c>
      <c r="N763" s="152">
        <f t="shared" si="1"/>
        <v>0.64419660778295718</v>
      </c>
      <c r="O763" s="50">
        <v>3771253</v>
      </c>
      <c r="P763" s="152">
        <f t="shared" si="2"/>
        <v>6.6163281673703991E-3</v>
      </c>
      <c r="Q763" s="50">
        <v>0</v>
      </c>
    </row>
    <row r="764" spans="1:17" hidden="1" x14ac:dyDescent="0.25">
      <c r="A764" s="44" t="s">
        <v>719</v>
      </c>
      <c r="B764" s="44" t="s">
        <v>463</v>
      </c>
      <c r="C764" s="44" t="s">
        <v>698</v>
      </c>
      <c r="D764" s="44" t="s">
        <v>69</v>
      </c>
      <c r="E764" s="50">
        <v>317323487</v>
      </c>
      <c r="F764" s="50">
        <v>306918739</v>
      </c>
      <c r="G764" s="50">
        <v>304888065</v>
      </c>
      <c r="H764" s="50">
        <v>0</v>
      </c>
      <c r="I764" s="50">
        <v>109017111.91</v>
      </c>
      <c r="J764" s="50">
        <v>0</v>
      </c>
      <c r="K764" s="50">
        <v>195870953.09</v>
      </c>
      <c r="L764" s="151">
        <f t="shared" si="0"/>
        <v>0.63818505747868337</v>
      </c>
      <c r="M764" s="50">
        <v>195870953.09</v>
      </c>
      <c r="N764" s="152">
        <f t="shared" si="1"/>
        <v>0.63818505747868337</v>
      </c>
      <c r="O764" s="50">
        <v>2030674</v>
      </c>
      <c r="P764" s="152">
        <f t="shared" si="2"/>
        <v>6.6163245900733355E-3</v>
      </c>
      <c r="Q764" s="50">
        <v>0</v>
      </c>
    </row>
    <row r="765" spans="1:17" hidden="1" x14ac:dyDescent="0.25">
      <c r="A765" s="44" t="s">
        <v>719</v>
      </c>
      <c r="B765" s="44" t="s">
        <v>480</v>
      </c>
      <c r="C765" s="44" t="s">
        <v>699</v>
      </c>
      <c r="D765" s="44" t="s">
        <v>69</v>
      </c>
      <c r="E765" s="50">
        <v>90663782</v>
      </c>
      <c r="F765" s="50">
        <v>87690997</v>
      </c>
      <c r="G765" s="50">
        <v>87110804</v>
      </c>
      <c r="H765" s="50">
        <v>0</v>
      </c>
      <c r="I765" s="50">
        <v>30005466.670000002</v>
      </c>
      <c r="J765" s="50">
        <v>0</v>
      </c>
      <c r="K765" s="50">
        <v>57105337.329999998</v>
      </c>
      <c r="L765" s="151">
        <f t="shared" si="0"/>
        <v>0.65121094848539585</v>
      </c>
      <c r="M765" s="50">
        <v>57105337.329999998</v>
      </c>
      <c r="N765" s="152">
        <f t="shared" si="1"/>
        <v>0.65121094848539585</v>
      </c>
      <c r="O765" s="50">
        <v>580193</v>
      </c>
      <c r="P765" s="152">
        <f t="shared" si="2"/>
        <v>6.6163348559031667E-3</v>
      </c>
      <c r="Q765" s="50">
        <v>0</v>
      </c>
    </row>
    <row r="766" spans="1:17" hidden="1" x14ac:dyDescent="0.25">
      <c r="A766" s="44" t="s">
        <v>719</v>
      </c>
      <c r="B766" s="44" t="s">
        <v>497</v>
      </c>
      <c r="C766" s="44" t="s">
        <v>700</v>
      </c>
      <c r="D766" s="44" t="s">
        <v>69</v>
      </c>
      <c r="E766" s="50">
        <v>181327664</v>
      </c>
      <c r="F766" s="50">
        <v>175382094</v>
      </c>
      <c r="G766" s="50">
        <v>174221708</v>
      </c>
      <c r="H766" s="50">
        <v>0</v>
      </c>
      <c r="I766" s="50">
        <v>60011195.07</v>
      </c>
      <c r="J766" s="50">
        <v>0</v>
      </c>
      <c r="K766" s="50">
        <v>114210512.93000001</v>
      </c>
      <c r="L766" s="151">
        <f t="shared" si="0"/>
        <v>0.65120965501757555</v>
      </c>
      <c r="M766" s="50">
        <v>114210512.93000001</v>
      </c>
      <c r="N766" s="152">
        <f t="shared" si="1"/>
        <v>0.65120965501757555</v>
      </c>
      <c r="O766" s="50">
        <v>1160386</v>
      </c>
      <c r="P766" s="152">
        <f t="shared" si="2"/>
        <v>6.6163310833773029E-3</v>
      </c>
      <c r="Q766" s="50">
        <v>0</v>
      </c>
    </row>
    <row r="767" spans="1:17" hidden="1" x14ac:dyDescent="0.25">
      <c r="A767" s="44" t="s">
        <v>719</v>
      </c>
      <c r="B767" s="44" t="s">
        <v>248</v>
      </c>
      <c r="C767" s="44" t="s">
        <v>249</v>
      </c>
      <c r="D767" s="44" t="s">
        <v>69</v>
      </c>
      <c r="E767" s="50">
        <v>100334593</v>
      </c>
      <c r="F767" s="50">
        <v>165044711</v>
      </c>
      <c r="G767" s="50">
        <v>164402631</v>
      </c>
      <c r="H767" s="50">
        <v>0</v>
      </c>
      <c r="I767" s="50">
        <v>34615545.799999997</v>
      </c>
      <c r="J767" s="50">
        <v>0</v>
      </c>
      <c r="K767" s="50">
        <v>99702217.519999996</v>
      </c>
      <c r="L767" s="151">
        <f t="shared" si="0"/>
        <v>0.60409216942432042</v>
      </c>
      <c r="M767" s="50">
        <v>99702217.519999996</v>
      </c>
      <c r="N767" s="152">
        <f t="shared" si="1"/>
        <v>0.60409216942432042</v>
      </c>
      <c r="O767" s="50">
        <v>30726947.68</v>
      </c>
      <c r="P767" s="152">
        <f t="shared" si="2"/>
        <v>0.1861734768344076</v>
      </c>
      <c r="Q767" s="50">
        <v>30084867.68</v>
      </c>
    </row>
    <row r="768" spans="1:17" hidden="1" x14ac:dyDescent="0.25">
      <c r="A768" s="44" t="s">
        <v>719</v>
      </c>
      <c r="B768" s="44" t="s">
        <v>250</v>
      </c>
      <c r="C768" s="44" t="s">
        <v>251</v>
      </c>
      <c r="D768" s="44" t="s">
        <v>69</v>
      </c>
      <c r="E768" s="50">
        <v>100334593</v>
      </c>
      <c r="F768" s="50">
        <v>97044711</v>
      </c>
      <c r="G768" s="50">
        <v>96402631</v>
      </c>
      <c r="H768" s="50">
        <v>0</v>
      </c>
      <c r="I768" s="50">
        <v>34615545.799999997</v>
      </c>
      <c r="J768" s="50">
        <v>0</v>
      </c>
      <c r="K768" s="50">
        <v>61787085.200000003</v>
      </c>
      <c r="L768" s="151">
        <f t="shared" si="0"/>
        <v>0.63668678656789446</v>
      </c>
      <c r="M768" s="50">
        <v>61787085.200000003</v>
      </c>
      <c r="N768" s="152">
        <f t="shared" si="1"/>
        <v>0.63668678656789446</v>
      </c>
      <c r="O768" s="50">
        <v>642080</v>
      </c>
      <c r="P768" s="152">
        <f t="shared" si="2"/>
        <v>6.6163317236320072E-3</v>
      </c>
      <c r="Q768" s="50">
        <v>0</v>
      </c>
    </row>
    <row r="769" spans="1:17" hidden="1" x14ac:dyDescent="0.25">
      <c r="A769" s="44" t="s">
        <v>719</v>
      </c>
      <c r="B769" s="44" t="s">
        <v>637</v>
      </c>
      <c r="C769" s="44" t="s">
        <v>702</v>
      </c>
      <c r="D769" s="44" t="s">
        <v>69</v>
      </c>
      <c r="E769" s="50">
        <v>85224013</v>
      </c>
      <c r="F769" s="50">
        <v>82429595</v>
      </c>
      <c r="G769" s="50">
        <v>81884214</v>
      </c>
      <c r="H769" s="50">
        <v>0</v>
      </c>
      <c r="I769" s="50">
        <v>29614712.5</v>
      </c>
      <c r="J769" s="50">
        <v>0</v>
      </c>
      <c r="K769" s="50">
        <v>52269501.5</v>
      </c>
      <c r="L769" s="151">
        <f t="shared" si="0"/>
        <v>0.63411086151763818</v>
      </c>
      <c r="M769" s="50">
        <v>52269501.5</v>
      </c>
      <c r="N769" s="152">
        <f t="shared" si="1"/>
        <v>0.63411086151763818</v>
      </c>
      <c r="O769" s="50">
        <v>545381</v>
      </c>
      <c r="P769" s="152">
        <f t="shared" si="2"/>
        <v>6.6163251196369463E-3</v>
      </c>
      <c r="Q769" s="50">
        <v>0</v>
      </c>
    </row>
    <row r="770" spans="1:17" hidden="1" x14ac:dyDescent="0.25">
      <c r="A770" s="44" t="s">
        <v>719</v>
      </c>
      <c r="B770" s="44" t="s">
        <v>652</v>
      </c>
      <c r="C770" s="44" t="s">
        <v>703</v>
      </c>
      <c r="D770" s="44" t="s">
        <v>69</v>
      </c>
      <c r="E770" s="50">
        <v>15110580</v>
      </c>
      <c r="F770" s="50">
        <v>14615116</v>
      </c>
      <c r="G770" s="50">
        <v>14518417</v>
      </c>
      <c r="H770" s="50">
        <v>0</v>
      </c>
      <c r="I770" s="50">
        <v>5000833.3</v>
      </c>
      <c r="J770" s="50">
        <v>0</v>
      </c>
      <c r="K770" s="50">
        <v>9517583.6999999993</v>
      </c>
      <c r="L770" s="151">
        <f t="shared" si="0"/>
        <v>0.65121506391054296</v>
      </c>
      <c r="M770" s="50">
        <v>9517583.6999999993</v>
      </c>
      <c r="N770" s="152">
        <f t="shared" si="1"/>
        <v>0.65121506391054296</v>
      </c>
      <c r="O770" s="50">
        <v>96699</v>
      </c>
      <c r="P770" s="152">
        <f t="shared" si="2"/>
        <v>6.616368970318128E-3</v>
      </c>
      <c r="Q770" s="50">
        <v>0</v>
      </c>
    </row>
    <row r="771" spans="1:17" hidden="1" x14ac:dyDescent="0.25">
      <c r="A771" s="44" t="s">
        <v>719</v>
      </c>
      <c r="B771" s="44" t="s">
        <v>260</v>
      </c>
      <c r="C771" s="44" t="s">
        <v>261</v>
      </c>
      <c r="D771" s="44" t="s">
        <v>69</v>
      </c>
      <c r="E771" s="50">
        <v>0</v>
      </c>
      <c r="F771" s="50">
        <v>68000000</v>
      </c>
      <c r="G771" s="50">
        <v>68000000</v>
      </c>
      <c r="H771" s="50">
        <v>0</v>
      </c>
      <c r="I771" s="50">
        <v>0</v>
      </c>
      <c r="J771" s="50">
        <v>0</v>
      </c>
      <c r="K771" s="50">
        <v>37915132.32</v>
      </c>
      <c r="L771" s="151">
        <f t="shared" si="0"/>
        <v>0.55757547529411766</v>
      </c>
      <c r="M771" s="50">
        <v>37915132.32</v>
      </c>
      <c r="N771" s="152">
        <f t="shared" si="1"/>
        <v>0.55757547529411766</v>
      </c>
      <c r="O771" s="50">
        <v>30084867.68</v>
      </c>
      <c r="P771" s="152">
        <f t="shared" si="2"/>
        <v>0.44242452470588234</v>
      </c>
      <c r="Q771" s="50">
        <v>30084867.68</v>
      </c>
    </row>
    <row r="772" spans="1:17" hidden="1" x14ac:dyDescent="0.25">
      <c r="A772" s="44" t="s">
        <v>719</v>
      </c>
      <c r="B772" s="44" t="s">
        <v>262</v>
      </c>
      <c r="C772" s="44" t="s">
        <v>263</v>
      </c>
      <c r="D772" s="44" t="s">
        <v>69</v>
      </c>
      <c r="E772" s="50">
        <v>0</v>
      </c>
      <c r="F772" s="50">
        <v>43000000</v>
      </c>
      <c r="G772" s="50">
        <v>43000000</v>
      </c>
      <c r="H772" s="50">
        <v>0</v>
      </c>
      <c r="I772" s="50">
        <v>0</v>
      </c>
      <c r="J772" s="50">
        <v>0</v>
      </c>
      <c r="K772" s="50">
        <v>26489294.82</v>
      </c>
      <c r="L772" s="151">
        <f t="shared" si="0"/>
        <v>0.61603011209302327</v>
      </c>
      <c r="M772" s="50">
        <v>26489294.82</v>
      </c>
      <c r="N772" s="152">
        <f t="shared" si="1"/>
        <v>0.61603011209302327</v>
      </c>
      <c r="O772" s="50">
        <v>16510705.18</v>
      </c>
      <c r="P772" s="152">
        <f t="shared" si="2"/>
        <v>0.38396988790697673</v>
      </c>
      <c r="Q772" s="50">
        <v>16510705.18</v>
      </c>
    </row>
    <row r="773" spans="1:17" hidden="1" x14ac:dyDescent="0.25">
      <c r="A773" s="44" t="s">
        <v>719</v>
      </c>
      <c r="B773" s="44" t="s">
        <v>264</v>
      </c>
      <c r="C773" s="44" t="s">
        <v>265</v>
      </c>
      <c r="D773" s="44" t="s">
        <v>69</v>
      </c>
      <c r="E773" s="50">
        <v>0</v>
      </c>
      <c r="F773" s="50">
        <v>25000000</v>
      </c>
      <c r="G773" s="50">
        <v>25000000</v>
      </c>
      <c r="H773" s="50">
        <v>0</v>
      </c>
      <c r="I773" s="50">
        <v>0</v>
      </c>
      <c r="J773" s="50">
        <v>0</v>
      </c>
      <c r="K773" s="50">
        <v>11425837.5</v>
      </c>
      <c r="L773" s="151">
        <f t="shared" si="0"/>
        <v>0.45703349999999998</v>
      </c>
      <c r="M773" s="50">
        <v>11425837.5</v>
      </c>
      <c r="N773" s="152">
        <f t="shared" si="1"/>
        <v>0.45703349999999998</v>
      </c>
      <c r="O773" s="50">
        <v>13574162.5</v>
      </c>
      <c r="P773" s="152">
        <f t="shared" si="2"/>
        <v>0.54296650000000002</v>
      </c>
      <c r="Q773" s="50">
        <v>13574162.5</v>
      </c>
    </row>
    <row r="774" spans="1:17" hidden="1" x14ac:dyDescent="0.25">
      <c r="A774" s="44">
        <v>214793</v>
      </c>
      <c r="B774" s="44"/>
      <c r="C774" s="44"/>
      <c r="D774" s="44" t="s">
        <v>69</v>
      </c>
      <c r="E774" s="50">
        <v>918243709</v>
      </c>
      <c r="F774" s="50">
        <v>895550765</v>
      </c>
      <c r="G774" s="50">
        <v>892057008</v>
      </c>
      <c r="H774" s="50">
        <v>0</v>
      </c>
      <c r="I774" s="50">
        <v>45612876.18</v>
      </c>
      <c r="J774" s="50">
        <v>0</v>
      </c>
      <c r="K774" s="50">
        <v>568011622.03999996</v>
      </c>
      <c r="L774" s="151">
        <f t="shared" si="0"/>
        <v>0.63425954645909988</v>
      </c>
      <c r="M774" s="50">
        <v>568011622.03999996</v>
      </c>
      <c r="N774" s="152">
        <f t="shared" si="1"/>
        <v>0.63425954645909988</v>
      </c>
      <c r="O774" s="50">
        <v>281926266.77999997</v>
      </c>
      <c r="P774" s="152">
        <f t="shared" si="2"/>
        <v>0.31480768907611839</v>
      </c>
      <c r="Q774" s="50">
        <v>278432509.77999997</v>
      </c>
    </row>
    <row r="775" spans="1:17" hidden="1" x14ac:dyDescent="0.25">
      <c r="A775" s="44" t="s">
        <v>720</v>
      </c>
      <c r="B775" s="44" t="s">
        <v>71</v>
      </c>
      <c r="C775" s="44" t="s">
        <v>72</v>
      </c>
      <c r="D775" s="44" t="s">
        <v>69</v>
      </c>
      <c r="E775" s="50">
        <v>899027714</v>
      </c>
      <c r="F775" s="50">
        <v>878789381</v>
      </c>
      <c r="G775" s="50">
        <v>875295624</v>
      </c>
      <c r="H775" s="50">
        <v>0</v>
      </c>
      <c r="I775" s="50">
        <v>41854717.960000001</v>
      </c>
      <c r="J775" s="50">
        <v>0</v>
      </c>
      <c r="K775" s="50">
        <v>558257754.53999996</v>
      </c>
      <c r="L775" s="151">
        <f t="shared" si="0"/>
        <v>0.63525773821338427</v>
      </c>
      <c r="M775" s="50">
        <v>558257754.53999996</v>
      </c>
      <c r="N775" s="152">
        <f t="shared" si="1"/>
        <v>0.63525773821338427</v>
      </c>
      <c r="O775" s="50">
        <v>278676908.5</v>
      </c>
      <c r="P775" s="152">
        <f t="shared" si="2"/>
        <v>0.31711456069585803</v>
      </c>
      <c r="Q775" s="50">
        <v>275183151.5</v>
      </c>
    </row>
    <row r="776" spans="1:17" hidden="1" x14ac:dyDescent="0.25">
      <c r="A776" s="44" t="s">
        <v>720</v>
      </c>
      <c r="B776" s="44" t="s">
        <v>73</v>
      </c>
      <c r="C776" s="44" t="s">
        <v>74</v>
      </c>
      <c r="D776" s="44" t="s">
        <v>69</v>
      </c>
      <c r="E776" s="50">
        <v>305726500</v>
      </c>
      <c r="F776" s="50">
        <v>299696000</v>
      </c>
      <c r="G776" s="50">
        <v>299696000</v>
      </c>
      <c r="H776" s="50">
        <v>0</v>
      </c>
      <c r="I776" s="50">
        <v>0</v>
      </c>
      <c r="J776" s="50">
        <v>0</v>
      </c>
      <c r="K776" s="50">
        <v>196819678.63</v>
      </c>
      <c r="L776" s="151">
        <f t="shared" si="0"/>
        <v>0.65673108293070315</v>
      </c>
      <c r="M776" s="50">
        <v>196819678.63</v>
      </c>
      <c r="N776" s="152">
        <f t="shared" si="1"/>
        <v>0.65673108293070315</v>
      </c>
      <c r="O776" s="50">
        <v>102876321.37</v>
      </c>
      <c r="P776" s="152">
        <f t="shared" si="2"/>
        <v>0.34326891706929691</v>
      </c>
      <c r="Q776" s="50">
        <v>102876321.37</v>
      </c>
    </row>
    <row r="777" spans="1:17" hidden="1" x14ac:dyDescent="0.25">
      <c r="A777" s="44" t="s">
        <v>720</v>
      </c>
      <c r="B777" s="44" t="s">
        <v>75</v>
      </c>
      <c r="C777" s="44" t="s">
        <v>76</v>
      </c>
      <c r="D777" s="44" t="s">
        <v>69</v>
      </c>
      <c r="E777" s="50">
        <v>305726500</v>
      </c>
      <c r="F777" s="50">
        <v>298196000</v>
      </c>
      <c r="G777" s="50">
        <v>298196000</v>
      </c>
      <c r="H777" s="50">
        <v>0</v>
      </c>
      <c r="I777" s="50">
        <v>0</v>
      </c>
      <c r="J777" s="50">
        <v>0</v>
      </c>
      <c r="K777" s="50">
        <v>196819678.63</v>
      </c>
      <c r="L777" s="151">
        <f t="shared" si="0"/>
        <v>0.66003460351580834</v>
      </c>
      <c r="M777" s="50">
        <v>196819678.63</v>
      </c>
      <c r="N777" s="152">
        <f t="shared" si="1"/>
        <v>0.66003460351580834</v>
      </c>
      <c r="O777" s="50">
        <v>101376321.37</v>
      </c>
      <c r="P777" s="152">
        <f t="shared" si="2"/>
        <v>0.33996539648419161</v>
      </c>
      <c r="Q777" s="50">
        <v>101376321.37</v>
      </c>
    </row>
    <row r="778" spans="1:17" x14ac:dyDescent="0.25">
      <c r="A778" s="181" t="s">
        <v>720</v>
      </c>
      <c r="B778" s="181" t="s">
        <v>291</v>
      </c>
      <c r="C778" s="181" t="s">
        <v>292</v>
      </c>
      <c r="D778" s="181" t="s">
        <v>69</v>
      </c>
      <c r="E778" s="182">
        <v>0</v>
      </c>
      <c r="F778" s="182">
        <v>1500000</v>
      </c>
      <c r="G778" s="182">
        <v>1500000</v>
      </c>
      <c r="H778" s="182">
        <v>0</v>
      </c>
      <c r="I778" s="182">
        <v>0</v>
      </c>
      <c r="J778" s="182">
        <v>0</v>
      </c>
      <c r="K778" s="182">
        <v>0</v>
      </c>
      <c r="L778" s="183">
        <f t="shared" si="0"/>
        <v>0</v>
      </c>
      <c r="M778" s="182">
        <v>0</v>
      </c>
      <c r="N778" s="184">
        <f t="shared" si="1"/>
        <v>0</v>
      </c>
      <c r="O778" s="182">
        <v>1500000</v>
      </c>
      <c r="P778" s="184">
        <f t="shared" si="2"/>
        <v>1</v>
      </c>
      <c r="Q778" s="182">
        <v>1500000</v>
      </c>
    </row>
    <row r="779" spans="1:17" hidden="1" x14ac:dyDescent="0.25">
      <c r="A779" s="181" t="s">
        <v>720</v>
      </c>
      <c r="B779" s="181" t="s">
        <v>77</v>
      </c>
      <c r="C779" s="181" t="s">
        <v>78</v>
      </c>
      <c r="D779" s="181" t="s">
        <v>69</v>
      </c>
      <c r="E779" s="182">
        <v>456157950</v>
      </c>
      <c r="F779" s="182">
        <v>444960170</v>
      </c>
      <c r="G779" s="182">
        <v>441466413</v>
      </c>
      <c r="H779" s="182">
        <v>0</v>
      </c>
      <c r="I779" s="182">
        <v>0</v>
      </c>
      <c r="J779" s="182">
        <v>0</v>
      </c>
      <c r="K779" s="182">
        <v>269159582.87</v>
      </c>
      <c r="L779" s="183">
        <f t="shared" si="0"/>
        <v>0.60490713780067107</v>
      </c>
      <c r="M779" s="182">
        <v>269159582.87</v>
      </c>
      <c r="N779" s="184">
        <f t="shared" si="1"/>
        <v>0.60490713780067107</v>
      </c>
      <c r="O779" s="182">
        <v>175800587.13</v>
      </c>
      <c r="P779" s="184">
        <f t="shared" si="2"/>
        <v>0.39509286219932899</v>
      </c>
      <c r="Q779" s="182">
        <v>172306830.13</v>
      </c>
    </row>
    <row r="780" spans="1:17" hidden="1" x14ac:dyDescent="0.25">
      <c r="A780" s="181" t="s">
        <v>720</v>
      </c>
      <c r="B780" s="181" t="s">
        <v>79</v>
      </c>
      <c r="C780" s="181" t="s">
        <v>80</v>
      </c>
      <c r="D780" s="181" t="s">
        <v>69</v>
      </c>
      <c r="E780" s="182">
        <v>79360300</v>
      </c>
      <c r="F780" s="182">
        <v>79213355</v>
      </c>
      <c r="G780" s="182">
        <v>75719598</v>
      </c>
      <c r="H780" s="182">
        <v>0</v>
      </c>
      <c r="I780" s="182">
        <v>0</v>
      </c>
      <c r="J780" s="182">
        <v>0</v>
      </c>
      <c r="K780" s="182">
        <v>49453273.25</v>
      </c>
      <c r="L780" s="183">
        <f t="shared" si="0"/>
        <v>0.62430474318377249</v>
      </c>
      <c r="M780" s="182">
        <v>49453273.25</v>
      </c>
      <c r="N780" s="184">
        <f t="shared" si="1"/>
        <v>0.62430474318377249</v>
      </c>
      <c r="O780" s="182">
        <v>29760081.75</v>
      </c>
      <c r="P780" s="184">
        <f t="shared" si="2"/>
        <v>0.37569525681622751</v>
      </c>
      <c r="Q780" s="182">
        <v>26266324.75</v>
      </c>
    </row>
    <row r="781" spans="1:17" hidden="1" x14ac:dyDescent="0.25">
      <c r="A781" s="181" t="s">
        <v>720</v>
      </c>
      <c r="B781" s="181" t="s">
        <v>81</v>
      </c>
      <c r="C781" s="181" t="s">
        <v>82</v>
      </c>
      <c r="D781" s="181" t="s">
        <v>69</v>
      </c>
      <c r="E781" s="182">
        <v>203715000</v>
      </c>
      <c r="F781" s="182">
        <v>199884143</v>
      </c>
      <c r="G781" s="182">
        <v>199884143</v>
      </c>
      <c r="H781" s="182">
        <v>0</v>
      </c>
      <c r="I781" s="182">
        <v>0</v>
      </c>
      <c r="J781" s="182">
        <v>0</v>
      </c>
      <c r="K781" s="182">
        <v>133208081.93000001</v>
      </c>
      <c r="L781" s="183">
        <f t="shared" si="0"/>
        <v>0.66642646050217202</v>
      </c>
      <c r="M781" s="182">
        <v>133208081.93000001</v>
      </c>
      <c r="N781" s="184">
        <f t="shared" si="1"/>
        <v>0.66642646050217202</v>
      </c>
      <c r="O781" s="182">
        <v>66676061.07</v>
      </c>
      <c r="P781" s="184">
        <f t="shared" si="2"/>
        <v>0.33357353949782798</v>
      </c>
      <c r="Q781" s="182">
        <v>66676061.07</v>
      </c>
    </row>
    <row r="782" spans="1:17" x14ac:dyDescent="0.25">
      <c r="A782" s="181" t="s">
        <v>720</v>
      </c>
      <c r="B782" s="181" t="s">
        <v>83</v>
      </c>
      <c r="C782" s="181" t="s">
        <v>84</v>
      </c>
      <c r="D782" s="181" t="s">
        <v>85</v>
      </c>
      <c r="E782" s="182">
        <v>58584550</v>
      </c>
      <c r="F782" s="182">
        <v>57298715</v>
      </c>
      <c r="G782" s="182">
        <v>57298715</v>
      </c>
      <c r="H782" s="182">
        <v>0</v>
      </c>
      <c r="I782" s="182">
        <v>0</v>
      </c>
      <c r="J782" s="182">
        <v>0</v>
      </c>
      <c r="K782" s="182">
        <v>0</v>
      </c>
      <c r="L782" s="183">
        <f t="shared" si="0"/>
        <v>0</v>
      </c>
      <c r="M782" s="182">
        <v>0</v>
      </c>
      <c r="N782" s="184">
        <f t="shared" si="1"/>
        <v>0</v>
      </c>
      <c r="O782" s="182">
        <v>57298715</v>
      </c>
      <c r="P782" s="184">
        <f t="shared" si="2"/>
        <v>1</v>
      </c>
      <c r="Q782" s="182">
        <v>57298715</v>
      </c>
    </row>
    <row r="783" spans="1:17" x14ac:dyDescent="0.25">
      <c r="A783" s="181" t="s">
        <v>720</v>
      </c>
      <c r="B783" s="181" t="s">
        <v>86</v>
      </c>
      <c r="C783" s="181" t="s">
        <v>87</v>
      </c>
      <c r="D783" s="181" t="s">
        <v>69</v>
      </c>
      <c r="E783" s="182">
        <v>53908100</v>
      </c>
      <c r="F783" s="182">
        <v>48408100</v>
      </c>
      <c r="G783" s="182">
        <v>48408100</v>
      </c>
      <c r="H783" s="182">
        <v>0</v>
      </c>
      <c r="I783" s="182">
        <v>0</v>
      </c>
      <c r="J783" s="182">
        <v>0</v>
      </c>
      <c r="K783" s="182">
        <v>47507997.909999996</v>
      </c>
      <c r="L783" s="183">
        <f t="shared" si="0"/>
        <v>0.98140596119244494</v>
      </c>
      <c r="M783" s="182">
        <v>47507997.909999996</v>
      </c>
      <c r="N783" s="184">
        <f t="shared" si="1"/>
        <v>0.98140596119244494</v>
      </c>
      <c r="O783" s="182">
        <v>900102.09</v>
      </c>
      <c r="P783" s="184">
        <f t="shared" si="2"/>
        <v>1.8594038807554933E-2</v>
      </c>
      <c r="Q783" s="182">
        <v>900102.09</v>
      </c>
    </row>
    <row r="784" spans="1:17" hidden="1" x14ac:dyDescent="0.25">
      <c r="A784" s="44" t="s">
        <v>720</v>
      </c>
      <c r="B784" s="44" t="s">
        <v>88</v>
      </c>
      <c r="C784" s="44" t="s">
        <v>89</v>
      </c>
      <c r="D784" s="44" t="s">
        <v>69</v>
      </c>
      <c r="E784" s="50">
        <v>60590000</v>
      </c>
      <c r="F784" s="50">
        <v>60155857</v>
      </c>
      <c r="G784" s="50">
        <v>60155857</v>
      </c>
      <c r="H784" s="50">
        <v>0</v>
      </c>
      <c r="I784" s="50">
        <v>0</v>
      </c>
      <c r="J784" s="50">
        <v>0</v>
      </c>
      <c r="K784" s="50">
        <v>38990229.780000001</v>
      </c>
      <c r="L784" s="151">
        <f t="shared" si="0"/>
        <v>0.6481535086433895</v>
      </c>
      <c r="M784" s="50">
        <v>38990229.780000001</v>
      </c>
      <c r="N784" s="152">
        <f t="shared" si="1"/>
        <v>0.6481535086433895</v>
      </c>
      <c r="O784" s="50">
        <v>21165627.219999999</v>
      </c>
      <c r="P784" s="152">
        <f t="shared" si="2"/>
        <v>0.3518464913566105</v>
      </c>
      <c r="Q784" s="50">
        <v>21165627.219999999</v>
      </c>
    </row>
    <row r="785" spans="1:17" hidden="1" x14ac:dyDescent="0.25">
      <c r="A785" s="44" t="s">
        <v>720</v>
      </c>
      <c r="B785" s="44" t="s">
        <v>90</v>
      </c>
      <c r="C785" s="44" t="s">
        <v>91</v>
      </c>
      <c r="D785" s="44" t="s">
        <v>69</v>
      </c>
      <c r="E785" s="50">
        <v>68571682</v>
      </c>
      <c r="F785" s="50">
        <v>67066655</v>
      </c>
      <c r="G785" s="50">
        <v>67066655</v>
      </c>
      <c r="H785" s="50">
        <v>0</v>
      </c>
      <c r="I785" s="50">
        <v>20672808.530000001</v>
      </c>
      <c r="J785" s="50">
        <v>0</v>
      </c>
      <c r="K785" s="50">
        <v>46393846.469999999</v>
      </c>
      <c r="L785" s="151">
        <f t="shared" si="0"/>
        <v>0.69175727446075841</v>
      </c>
      <c r="M785" s="50">
        <v>46393846.469999999</v>
      </c>
      <c r="N785" s="152">
        <f t="shared" si="1"/>
        <v>0.69175727446075841</v>
      </c>
      <c r="O785" s="50">
        <v>0</v>
      </c>
      <c r="P785" s="152">
        <f t="shared" si="2"/>
        <v>0</v>
      </c>
      <c r="Q785" s="50">
        <v>0</v>
      </c>
    </row>
    <row r="786" spans="1:17" hidden="1" x14ac:dyDescent="0.25">
      <c r="A786" s="44" t="s">
        <v>720</v>
      </c>
      <c r="B786" s="44" t="s">
        <v>429</v>
      </c>
      <c r="C786" s="44" t="s">
        <v>697</v>
      </c>
      <c r="D786" s="44" t="s">
        <v>69</v>
      </c>
      <c r="E786" s="50">
        <v>65055209</v>
      </c>
      <c r="F786" s="50">
        <v>63627362</v>
      </c>
      <c r="G786" s="50">
        <v>63627362</v>
      </c>
      <c r="H786" s="50">
        <v>0</v>
      </c>
      <c r="I786" s="50">
        <v>19613560.059999999</v>
      </c>
      <c r="J786" s="50">
        <v>0</v>
      </c>
      <c r="K786" s="50">
        <v>44013801.939999998</v>
      </c>
      <c r="L786" s="151">
        <f t="shared" si="0"/>
        <v>0.691743309112831</v>
      </c>
      <c r="M786" s="50">
        <v>44013801.939999998</v>
      </c>
      <c r="N786" s="152">
        <f t="shared" si="1"/>
        <v>0.691743309112831</v>
      </c>
      <c r="O786" s="50">
        <v>0</v>
      </c>
      <c r="P786" s="152">
        <f t="shared" si="2"/>
        <v>0</v>
      </c>
      <c r="Q786" s="50">
        <v>0</v>
      </c>
    </row>
    <row r="787" spans="1:17" hidden="1" x14ac:dyDescent="0.25">
      <c r="A787" s="44" t="s">
        <v>720</v>
      </c>
      <c r="B787" s="44" t="s">
        <v>446</v>
      </c>
      <c r="C787" s="44" t="s">
        <v>95</v>
      </c>
      <c r="D787" s="44" t="s">
        <v>69</v>
      </c>
      <c r="E787" s="50">
        <v>3516473</v>
      </c>
      <c r="F787" s="50">
        <v>3439293</v>
      </c>
      <c r="G787" s="50">
        <v>3439293</v>
      </c>
      <c r="H787" s="50">
        <v>0</v>
      </c>
      <c r="I787" s="50">
        <v>1059248.47</v>
      </c>
      <c r="J787" s="50">
        <v>0</v>
      </c>
      <c r="K787" s="50">
        <v>2380044.5299999998</v>
      </c>
      <c r="L787" s="151">
        <f t="shared" si="0"/>
        <v>0.69201563519013931</v>
      </c>
      <c r="M787" s="50">
        <v>2380044.5299999998</v>
      </c>
      <c r="N787" s="152">
        <f t="shared" si="1"/>
        <v>0.69201563519013931</v>
      </c>
      <c r="O787" s="50">
        <v>0</v>
      </c>
      <c r="P787" s="152">
        <f t="shared" si="2"/>
        <v>0</v>
      </c>
      <c r="Q787" s="50">
        <v>0</v>
      </c>
    </row>
    <row r="788" spans="1:17" hidden="1" x14ac:dyDescent="0.25">
      <c r="A788" s="44" t="s">
        <v>720</v>
      </c>
      <c r="B788" s="44" t="s">
        <v>96</v>
      </c>
      <c r="C788" s="44" t="s">
        <v>97</v>
      </c>
      <c r="D788" s="44" t="s">
        <v>69</v>
      </c>
      <c r="E788" s="50">
        <v>68571582</v>
      </c>
      <c r="F788" s="50">
        <v>67066556</v>
      </c>
      <c r="G788" s="50">
        <v>67066556</v>
      </c>
      <c r="H788" s="50">
        <v>0</v>
      </c>
      <c r="I788" s="50">
        <v>21181909.43</v>
      </c>
      <c r="J788" s="50">
        <v>0</v>
      </c>
      <c r="K788" s="50">
        <v>45884646.57</v>
      </c>
      <c r="L788" s="151">
        <f t="shared" si="0"/>
        <v>0.6841658392299137</v>
      </c>
      <c r="M788" s="50">
        <v>45884646.57</v>
      </c>
      <c r="N788" s="152">
        <f t="shared" si="1"/>
        <v>0.6841658392299137</v>
      </c>
      <c r="O788" s="50">
        <v>0</v>
      </c>
      <c r="P788" s="152">
        <f t="shared" si="2"/>
        <v>0</v>
      </c>
      <c r="Q788" s="50">
        <v>0</v>
      </c>
    </row>
    <row r="789" spans="1:17" hidden="1" x14ac:dyDescent="0.25">
      <c r="A789" s="44" t="s">
        <v>720</v>
      </c>
      <c r="B789" s="44" t="s">
        <v>464</v>
      </c>
      <c r="C789" s="44" t="s">
        <v>698</v>
      </c>
      <c r="D789" s="44" t="s">
        <v>69</v>
      </c>
      <c r="E789" s="50">
        <v>36923221</v>
      </c>
      <c r="F789" s="50">
        <v>36112821</v>
      </c>
      <c r="G789" s="50">
        <v>36112821</v>
      </c>
      <c r="H789" s="50">
        <v>0</v>
      </c>
      <c r="I789" s="50">
        <v>11639653.210000001</v>
      </c>
      <c r="J789" s="50">
        <v>0</v>
      </c>
      <c r="K789" s="50">
        <v>24473167.789999999</v>
      </c>
      <c r="L789" s="151">
        <f t="shared" si="0"/>
        <v>0.67768640367364263</v>
      </c>
      <c r="M789" s="50">
        <v>24473167.789999999</v>
      </c>
      <c r="N789" s="152">
        <f t="shared" si="1"/>
        <v>0.67768640367364263</v>
      </c>
      <c r="O789" s="50">
        <v>0</v>
      </c>
      <c r="P789" s="152">
        <f t="shared" si="2"/>
        <v>0</v>
      </c>
      <c r="Q789" s="50">
        <v>0</v>
      </c>
    </row>
    <row r="790" spans="1:17" hidden="1" x14ac:dyDescent="0.25">
      <c r="A790" s="44" t="s">
        <v>720</v>
      </c>
      <c r="B790" s="44" t="s">
        <v>481</v>
      </c>
      <c r="C790" s="44" t="s">
        <v>699</v>
      </c>
      <c r="D790" s="44" t="s">
        <v>69</v>
      </c>
      <c r="E790" s="50">
        <v>10549420</v>
      </c>
      <c r="F790" s="50">
        <v>10317878</v>
      </c>
      <c r="G790" s="50">
        <v>10317878</v>
      </c>
      <c r="H790" s="50">
        <v>0</v>
      </c>
      <c r="I790" s="50">
        <v>3180711.25</v>
      </c>
      <c r="J790" s="50">
        <v>0</v>
      </c>
      <c r="K790" s="50">
        <v>7137166.75</v>
      </c>
      <c r="L790" s="151">
        <f t="shared" si="0"/>
        <v>0.69172815863882087</v>
      </c>
      <c r="M790" s="50">
        <v>7137166.75</v>
      </c>
      <c r="N790" s="152">
        <f t="shared" si="1"/>
        <v>0.69172815863882087</v>
      </c>
      <c r="O790" s="50">
        <v>0</v>
      </c>
      <c r="P790" s="152">
        <f t="shared" si="2"/>
        <v>0</v>
      </c>
      <c r="Q790" s="50">
        <v>0</v>
      </c>
    </row>
    <row r="791" spans="1:17" hidden="1" x14ac:dyDescent="0.25">
      <c r="A791" s="44" t="s">
        <v>720</v>
      </c>
      <c r="B791" s="44" t="s">
        <v>498</v>
      </c>
      <c r="C791" s="44" t="s">
        <v>700</v>
      </c>
      <c r="D791" s="44" t="s">
        <v>69</v>
      </c>
      <c r="E791" s="50">
        <v>21098941</v>
      </c>
      <c r="F791" s="50">
        <v>20635857</v>
      </c>
      <c r="G791" s="50">
        <v>20635857</v>
      </c>
      <c r="H791" s="50">
        <v>0</v>
      </c>
      <c r="I791" s="50">
        <v>6361544.9699999997</v>
      </c>
      <c r="J791" s="50">
        <v>0</v>
      </c>
      <c r="K791" s="50">
        <v>14274312.029999999</v>
      </c>
      <c r="L791" s="151">
        <f t="shared" si="0"/>
        <v>0.69172373262714504</v>
      </c>
      <c r="M791" s="50">
        <v>14274312.029999999</v>
      </c>
      <c r="N791" s="152">
        <f t="shared" si="1"/>
        <v>0.69172373262714504</v>
      </c>
      <c r="O791" s="50">
        <v>0</v>
      </c>
      <c r="P791" s="152">
        <f t="shared" si="2"/>
        <v>0</v>
      </c>
      <c r="Q791" s="50">
        <v>0</v>
      </c>
    </row>
    <row r="792" spans="1:17" hidden="1" x14ac:dyDescent="0.25">
      <c r="A792" s="44" t="s">
        <v>720</v>
      </c>
      <c r="B792" s="44" t="s">
        <v>104</v>
      </c>
      <c r="C792" s="44" t="s">
        <v>105</v>
      </c>
      <c r="D792" s="44" t="s">
        <v>69</v>
      </c>
      <c r="E792" s="50">
        <v>7541300</v>
      </c>
      <c r="F792" s="50">
        <v>1342928</v>
      </c>
      <c r="G792" s="50">
        <v>1342928</v>
      </c>
      <c r="H792" s="50">
        <v>0</v>
      </c>
      <c r="I792" s="50">
        <v>0</v>
      </c>
      <c r="J792" s="50">
        <v>0</v>
      </c>
      <c r="K792" s="50">
        <v>1342926.72</v>
      </c>
      <c r="L792" s="151">
        <f t="shared" si="0"/>
        <v>0.99999904685880403</v>
      </c>
      <c r="M792" s="50">
        <v>1342926.72</v>
      </c>
      <c r="N792" s="152">
        <f t="shared" si="1"/>
        <v>0.99999904685880403</v>
      </c>
      <c r="O792" s="50">
        <v>1.28</v>
      </c>
      <c r="P792" s="152">
        <f t="shared" si="2"/>
        <v>9.5314119595391566E-7</v>
      </c>
      <c r="Q792" s="50">
        <v>1.28</v>
      </c>
    </row>
    <row r="793" spans="1:17" hidden="1" x14ac:dyDescent="0.25">
      <c r="A793" s="44" t="s">
        <v>720</v>
      </c>
      <c r="B793" s="44" t="s">
        <v>140</v>
      </c>
      <c r="C793" s="44" t="s">
        <v>141</v>
      </c>
      <c r="D793" s="44" t="s">
        <v>69</v>
      </c>
      <c r="E793" s="50">
        <v>7541300</v>
      </c>
      <c r="F793" s="50">
        <v>1342928</v>
      </c>
      <c r="G793" s="50">
        <v>1342928</v>
      </c>
      <c r="H793" s="50">
        <v>0</v>
      </c>
      <c r="I793" s="50">
        <v>0</v>
      </c>
      <c r="J793" s="50">
        <v>0</v>
      </c>
      <c r="K793" s="50">
        <v>1342926.72</v>
      </c>
      <c r="L793" s="151">
        <f t="shared" si="0"/>
        <v>0.99999904685880403</v>
      </c>
      <c r="M793" s="50">
        <v>1342926.72</v>
      </c>
      <c r="N793" s="152">
        <f t="shared" si="1"/>
        <v>0.99999904685880403</v>
      </c>
      <c r="O793" s="50">
        <v>1.28</v>
      </c>
      <c r="P793" s="152">
        <f t="shared" si="2"/>
        <v>9.5314119595391566E-7</v>
      </c>
      <c r="Q793" s="50">
        <v>1.28</v>
      </c>
    </row>
    <row r="794" spans="1:17" hidden="1" x14ac:dyDescent="0.25">
      <c r="A794" s="44" t="s">
        <v>720</v>
      </c>
      <c r="B794" s="44" t="s">
        <v>146</v>
      </c>
      <c r="C794" s="44" t="s">
        <v>147</v>
      </c>
      <c r="D794" s="44" t="s">
        <v>69</v>
      </c>
      <c r="E794" s="50">
        <v>2513800</v>
      </c>
      <c r="F794" s="50">
        <v>434386</v>
      </c>
      <c r="G794" s="50">
        <v>434386</v>
      </c>
      <c r="H794" s="50">
        <v>0</v>
      </c>
      <c r="I794" s="50">
        <v>0</v>
      </c>
      <c r="J794" s="50">
        <v>0</v>
      </c>
      <c r="K794" s="50">
        <v>434385.63</v>
      </c>
      <c r="L794" s="151">
        <f t="shared" si="0"/>
        <v>0.99999914822300906</v>
      </c>
      <c r="M794" s="50">
        <v>434385.63</v>
      </c>
      <c r="N794" s="152">
        <f t="shared" si="1"/>
        <v>0.99999914822300906</v>
      </c>
      <c r="O794" s="50">
        <v>0.37</v>
      </c>
      <c r="P794" s="152">
        <f t="shared" si="2"/>
        <v>8.5177699097116383E-7</v>
      </c>
      <c r="Q794" s="50">
        <v>0.37</v>
      </c>
    </row>
    <row r="795" spans="1:17" hidden="1" x14ac:dyDescent="0.25">
      <c r="A795" s="44" t="s">
        <v>720</v>
      </c>
      <c r="B795" s="44" t="s">
        <v>148</v>
      </c>
      <c r="C795" s="44" t="s">
        <v>149</v>
      </c>
      <c r="D795" s="44" t="s">
        <v>69</v>
      </c>
      <c r="E795" s="50">
        <v>5027500</v>
      </c>
      <c r="F795" s="50">
        <v>908542</v>
      </c>
      <c r="G795" s="50">
        <v>908542</v>
      </c>
      <c r="H795" s="50">
        <v>0</v>
      </c>
      <c r="I795" s="50">
        <v>0</v>
      </c>
      <c r="J795" s="50">
        <v>0</v>
      </c>
      <c r="K795" s="50">
        <v>908541.09</v>
      </c>
      <c r="L795" s="151">
        <f t="shared" si="0"/>
        <v>0.99999899839523099</v>
      </c>
      <c r="M795" s="50">
        <v>908541.09</v>
      </c>
      <c r="N795" s="152">
        <f t="shared" si="1"/>
        <v>0.99999899839523099</v>
      </c>
      <c r="O795" s="50">
        <v>0.91</v>
      </c>
      <c r="P795" s="152">
        <f t="shared" si="2"/>
        <v>1.0016047689594978E-6</v>
      </c>
      <c r="Q795" s="50">
        <v>0.91</v>
      </c>
    </row>
    <row r="796" spans="1:17" hidden="1" x14ac:dyDescent="0.25">
      <c r="A796" s="44" t="s">
        <v>720</v>
      </c>
      <c r="B796" s="44" t="s">
        <v>248</v>
      </c>
      <c r="C796" s="44" t="s">
        <v>249</v>
      </c>
      <c r="D796" s="44" t="s">
        <v>69</v>
      </c>
      <c r="E796" s="50">
        <v>11674695</v>
      </c>
      <c r="F796" s="50">
        <v>15418456</v>
      </c>
      <c r="G796" s="50">
        <v>15418456</v>
      </c>
      <c r="H796" s="50">
        <v>0</v>
      </c>
      <c r="I796" s="50">
        <v>3758158.22</v>
      </c>
      <c r="J796" s="50">
        <v>0</v>
      </c>
      <c r="K796" s="50">
        <v>8410940.7799999993</v>
      </c>
      <c r="L796" s="151">
        <f t="shared" si="0"/>
        <v>0.54551122239477157</v>
      </c>
      <c r="M796" s="50">
        <v>8410940.7799999993</v>
      </c>
      <c r="N796" s="152">
        <f t="shared" si="1"/>
        <v>0.54551122239477157</v>
      </c>
      <c r="O796" s="50">
        <v>3249357</v>
      </c>
      <c r="P796" s="152">
        <f t="shared" si="2"/>
        <v>0.21074464265423204</v>
      </c>
      <c r="Q796" s="50">
        <v>3249357</v>
      </c>
    </row>
    <row r="797" spans="1:17" hidden="1" x14ac:dyDescent="0.25">
      <c r="A797" s="44" t="s">
        <v>720</v>
      </c>
      <c r="B797" s="44" t="s">
        <v>250</v>
      </c>
      <c r="C797" s="44" t="s">
        <v>251</v>
      </c>
      <c r="D797" s="44" t="s">
        <v>69</v>
      </c>
      <c r="E797" s="50">
        <v>11674695</v>
      </c>
      <c r="F797" s="50">
        <v>11418456</v>
      </c>
      <c r="G797" s="50">
        <v>11418456</v>
      </c>
      <c r="H797" s="50">
        <v>0</v>
      </c>
      <c r="I797" s="50">
        <v>3758158.22</v>
      </c>
      <c r="J797" s="50">
        <v>0</v>
      </c>
      <c r="K797" s="50">
        <v>7660297.7800000003</v>
      </c>
      <c r="L797" s="151">
        <f t="shared" si="0"/>
        <v>0.67086984264772753</v>
      </c>
      <c r="M797" s="50">
        <v>7660297.7800000003</v>
      </c>
      <c r="N797" s="152">
        <f t="shared" si="1"/>
        <v>0.67086984264772753</v>
      </c>
      <c r="O797" s="50">
        <v>0</v>
      </c>
      <c r="P797" s="152">
        <f t="shared" si="2"/>
        <v>0</v>
      </c>
      <c r="Q797" s="50">
        <v>0</v>
      </c>
    </row>
    <row r="798" spans="1:17" hidden="1" x14ac:dyDescent="0.25">
      <c r="A798" s="44" t="s">
        <v>720</v>
      </c>
      <c r="B798" s="44" t="s">
        <v>638</v>
      </c>
      <c r="C798" s="44" t="s">
        <v>702</v>
      </c>
      <c r="D798" s="44" t="s">
        <v>69</v>
      </c>
      <c r="E798" s="50">
        <v>9916509</v>
      </c>
      <c r="F798" s="50">
        <v>9698859</v>
      </c>
      <c r="G798" s="50">
        <v>9698859</v>
      </c>
      <c r="H798" s="50">
        <v>0</v>
      </c>
      <c r="I798" s="50">
        <v>3219140.91</v>
      </c>
      <c r="J798" s="50">
        <v>0</v>
      </c>
      <c r="K798" s="50">
        <v>6479718.0899999999</v>
      </c>
      <c r="L798" s="151">
        <f t="shared" si="0"/>
        <v>0.66809076098539011</v>
      </c>
      <c r="M798" s="50">
        <v>6479718.0899999999</v>
      </c>
      <c r="N798" s="152">
        <f t="shared" si="1"/>
        <v>0.66809076098539011</v>
      </c>
      <c r="O798" s="50">
        <v>0</v>
      </c>
      <c r="P798" s="152">
        <f t="shared" si="2"/>
        <v>0</v>
      </c>
      <c r="Q798" s="50">
        <v>0</v>
      </c>
    </row>
    <row r="799" spans="1:17" hidden="1" x14ac:dyDescent="0.25">
      <c r="A799" s="44" t="s">
        <v>720</v>
      </c>
      <c r="B799" s="44" t="s">
        <v>653</v>
      </c>
      <c r="C799" s="44" t="s">
        <v>703</v>
      </c>
      <c r="D799" s="44" t="s">
        <v>69</v>
      </c>
      <c r="E799" s="50">
        <v>1758186</v>
      </c>
      <c r="F799" s="50">
        <v>1719597</v>
      </c>
      <c r="G799" s="50">
        <v>1719597</v>
      </c>
      <c r="H799" s="50">
        <v>0</v>
      </c>
      <c r="I799" s="50">
        <v>539017.31000000006</v>
      </c>
      <c r="J799" s="50">
        <v>0</v>
      </c>
      <c r="K799" s="50">
        <v>1180579.69</v>
      </c>
      <c r="L799" s="151">
        <f t="shared" si="0"/>
        <v>0.68654439964712655</v>
      </c>
      <c r="M799" s="50">
        <v>1180579.69</v>
      </c>
      <c r="N799" s="152">
        <f t="shared" si="1"/>
        <v>0.68654439964712655</v>
      </c>
      <c r="O799" s="50">
        <v>0</v>
      </c>
      <c r="P799" s="152">
        <f t="shared" si="2"/>
        <v>0</v>
      </c>
      <c r="Q799" s="50">
        <v>0</v>
      </c>
    </row>
    <row r="800" spans="1:17" hidden="1" x14ac:dyDescent="0.25">
      <c r="A800" s="44" t="s">
        <v>720</v>
      </c>
      <c r="B800" s="44" t="s">
        <v>260</v>
      </c>
      <c r="C800" s="44" t="s">
        <v>261</v>
      </c>
      <c r="D800" s="44" t="s">
        <v>69</v>
      </c>
      <c r="E800" s="50">
        <v>0</v>
      </c>
      <c r="F800" s="50">
        <v>4000000</v>
      </c>
      <c r="G800" s="50">
        <v>4000000</v>
      </c>
      <c r="H800" s="50">
        <v>0</v>
      </c>
      <c r="I800" s="50">
        <v>0</v>
      </c>
      <c r="J800" s="50">
        <v>0</v>
      </c>
      <c r="K800" s="50">
        <v>750643</v>
      </c>
      <c r="L800" s="151">
        <f t="shared" si="0"/>
        <v>0.18766074999999999</v>
      </c>
      <c r="M800" s="50">
        <v>750643</v>
      </c>
      <c r="N800" s="152">
        <f t="shared" si="1"/>
        <v>0.18766074999999999</v>
      </c>
      <c r="O800" s="50">
        <v>3249357</v>
      </c>
      <c r="P800" s="152">
        <f t="shared" si="2"/>
        <v>0.81233924999999996</v>
      </c>
      <c r="Q800" s="50">
        <v>3249357</v>
      </c>
    </row>
    <row r="801" spans="1:17" hidden="1" x14ac:dyDescent="0.25">
      <c r="A801" s="44" t="s">
        <v>720</v>
      </c>
      <c r="B801" s="44" t="s">
        <v>264</v>
      </c>
      <c r="C801" s="44" t="s">
        <v>265</v>
      </c>
      <c r="D801" s="44" t="s">
        <v>69</v>
      </c>
      <c r="E801" s="50">
        <v>0</v>
      </c>
      <c r="F801" s="50">
        <v>4000000</v>
      </c>
      <c r="G801" s="50">
        <v>4000000</v>
      </c>
      <c r="H801" s="50">
        <v>0</v>
      </c>
      <c r="I801" s="50">
        <v>0</v>
      </c>
      <c r="J801" s="50">
        <v>0</v>
      </c>
      <c r="K801" s="50">
        <v>750643</v>
      </c>
      <c r="L801" s="151">
        <f t="shared" si="0"/>
        <v>0.18766074999999999</v>
      </c>
      <c r="M801" s="50">
        <v>750643</v>
      </c>
      <c r="N801" s="152">
        <f t="shared" si="1"/>
        <v>0.18766074999999999</v>
      </c>
      <c r="O801" s="50">
        <v>3249357</v>
      </c>
      <c r="P801" s="152">
        <f t="shared" si="2"/>
        <v>0.81233924999999996</v>
      </c>
      <c r="Q801" s="50">
        <v>3249357</v>
      </c>
    </row>
    <row r="802" spans="1:17" hidden="1" x14ac:dyDescent="0.25">
      <c r="A802" s="44">
        <v>214794</v>
      </c>
      <c r="B802" s="44"/>
      <c r="C802" s="44"/>
      <c r="D802" s="44" t="s">
        <v>69</v>
      </c>
      <c r="E802" s="50">
        <v>13895221022</v>
      </c>
      <c r="F802" s="50">
        <v>12934636749</v>
      </c>
      <c r="G802" s="50">
        <v>12714075685.4</v>
      </c>
      <c r="H802" s="50">
        <v>0</v>
      </c>
      <c r="I802" s="50">
        <v>850919454.63</v>
      </c>
      <c r="J802" s="50">
        <v>0</v>
      </c>
      <c r="K802" s="50">
        <v>7743562887.1800003</v>
      </c>
      <c r="L802" s="151">
        <f t="shared" si="0"/>
        <v>0.59866875564005839</v>
      </c>
      <c r="M802" s="50">
        <v>7743384464.5900002</v>
      </c>
      <c r="N802" s="152">
        <f t="shared" si="1"/>
        <v>0.59865496146914643</v>
      </c>
      <c r="O802" s="50">
        <v>4340154407.1899996</v>
      </c>
      <c r="P802" s="152">
        <f t="shared" si="2"/>
        <v>0.33554513291805776</v>
      </c>
      <c r="Q802" s="50">
        <v>4119593343.5900002</v>
      </c>
    </row>
    <row r="803" spans="1:17" hidden="1" x14ac:dyDescent="0.25">
      <c r="A803" s="44" t="s">
        <v>721</v>
      </c>
      <c r="B803" s="44" t="s">
        <v>71</v>
      </c>
      <c r="C803" s="44" t="s">
        <v>72</v>
      </c>
      <c r="D803" s="44" t="s">
        <v>69</v>
      </c>
      <c r="E803" s="50">
        <v>13427888280</v>
      </c>
      <c r="F803" s="50">
        <v>12413006668</v>
      </c>
      <c r="G803" s="50">
        <v>12237529365</v>
      </c>
      <c r="H803" s="50">
        <v>0</v>
      </c>
      <c r="I803" s="50">
        <v>713135753.45000005</v>
      </c>
      <c r="J803" s="50">
        <v>0</v>
      </c>
      <c r="K803" s="50">
        <v>7450427786.8599997</v>
      </c>
      <c r="L803" s="151">
        <f t="shared" si="0"/>
        <v>0.60021137393462964</v>
      </c>
      <c r="M803" s="50">
        <v>7450427786.8599997</v>
      </c>
      <c r="N803" s="152">
        <f t="shared" si="1"/>
        <v>0.60021137393462964</v>
      </c>
      <c r="O803" s="50">
        <v>4249443127.6900001</v>
      </c>
      <c r="P803" s="152">
        <f t="shared" si="2"/>
        <v>0.34233793965847242</v>
      </c>
      <c r="Q803" s="50">
        <v>4073965824.6900001</v>
      </c>
    </row>
    <row r="804" spans="1:17" hidden="1" x14ac:dyDescent="0.25">
      <c r="A804" s="44" t="s">
        <v>721</v>
      </c>
      <c r="B804" s="44" t="s">
        <v>73</v>
      </c>
      <c r="C804" s="44" t="s">
        <v>74</v>
      </c>
      <c r="D804" s="44" t="s">
        <v>69</v>
      </c>
      <c r="E804" s="50">
        <v>4501527400</v>
      </c>
      <c r="F804" s="50">
        <v>4029440306</v>
      </c>
      <c r="G804" s="50">
        <v>3994866202</v>
      </c>
      <c r="H804" s="50">
        <v>0</v>
      </c>
      <c r="I804" s="50">
        <v>0</v>
      </c>
      <c r="J804" s="50">
        <v>0</v>
      </c>
      <c r="K804" s="50">
        <v>2510288894.6900001</v>
      </c>
      <c r="L804" s="151">
        <f t="shared" si="0"/>
        <v>0.62298699175468064</v>
      </c>
      <c r="M804" s="50">
        <v>2510288894.6900001</v>
      </c>
      <c r="N804" s="152">
        <f t="shared" si="1"/>
        <v>0.62298699175468064</v>
      </c>
      <c r="O804" s="50">
        <v>1519151411.3099999</v>
      </c>
      <c r="P804" s="152">
        <f t="shared" si="2"/>
        <v>0.3770130082453193</v>
      </c>
      <c r="Q804" s="50">
        <v>1484577307.3099999</v>
      </c>
    </row>
    <row r="805" spans="1:17" hidden="1" x14ac:dyDescent="0.25">
      <c r="A805" s="44" t="s">
        <v>721</v>
      </c>
      <c r="B805" s="44" t="s">
        <v>75</v>
      </c>
      <c r="C805" s="44" t="s">
        <v>76</v>
      </c>
      <c r="D805" s="44" t="s">
        <v>69</v>
      </c>
      <c r="E805" s="50">
        <v>4501527400</v>
      </c>
      <c r="F805" s="50">
        <v>4029440306</v>
      </c>
      <c r="G805" s="50">
        <v>3994866202</v>
      </c>
      <c r="H805" s="50">
        <v>0</v>
      </c>
      <c r="I805" s="50">
        <v>0</v>
      </c>
      <c r="J805" s="50">
        <v>0</v>
      </c>
      <c r="K805" s="50">
        <v>2510288894.6900001</v>
      </c>
      <c r="L805" s="151">
        <f t="shared" si="0"/>
        <v>0.62298699175468064</v>
      </c>
      <c r="M805" s="50">
        <v>2510288894.6900001</v>
      </c>
      <c r="N805" s="152">
        <f t="shared" si="1"/>
        <v>0.62298699175468064</v>
      </c>
      <c r="O805" s="50">
        <v>1519151411.3099999</v>
      </c>
      <c r="P805" s="152">
        <f t="shared" si="2"/>
        <v>0.3770130082453193</v>
      </c>
      <c r="Q805" s="50">
        <v>1484577307.3099999</v>
      </c>
    </row>
    <row r="806" spans="1:17" hidden="1" x14ac:dyDescent="0.25">
      <c r="A806" s="44" t="s">
        <v>721</v>
      </c>
      <c r="B806" s="44" t="s">
        <v>77</v>
      </c>
      <c r="C806" s="44" t="s">
        <v>78</v>
      </c>
      <c r="D806" s="44" t="s">
        <v>69</v>
      </c>
      <c r="E806" s="50">
        <v>6803353044</v>
      </c>
      <c r="F806" s="50">
        <v>6417455879</v>
      </c>
      <c r="G806" s="50">
        <v>6290670570</v>
      </c>
      <c r="H806" s="50">
        <v>0</v>
      </c>
      <c r="I806" s="50">
        <v>107712.74</v>
      </c>
      <c r="J806" s="50">
        <v>0</v>
      </c>
      <c r="K806" s="50">
        <v>3701892689.8800001</v>
      </c>
      <c r="L806" s="151">
        <f t="shared" si="0"/>
        <v>0.57684739243689942</v>
      </c>
      <c r="M806" s="50">
        <v>3701892689.8800001</v>
      </c>
      <c r="N806" s="152">
        <f t="shared" si="1"/>
        <v>0.57684739243689942</v>
      </c>
      <c r="O806" s="50">
        <v>2715455476.3800001</v>
      </c>
      <c r="P806" s="152">
        <f t="shared" si="2"/>
        <v>0.42313582322643656</v>
      </c>
      <c r="Q806" s="50">
        <v>2588670167.3800001</v>
      </c>
    </row>
    <row r="807" spans="1:17" hidden="1" x14ac:dyDescent="0.25">
      <c r="A807" s="44" t="s">
        <v>721</v>
      </c>
      <c r="B807" s="44" t="s">
        <v>79</v>
      </c>
      <c r="C807" s="44" t="s">
        <v>80</v>
      </c>
      <c r="D807" s="44" t="s">
        <v>69</v>
      </c>
      <c r="E807" s="50">
        <v>1381150100</v>
      </c>
      <c r="F807" s="50">
        <v>1294704804</v>
      </c>
      <c r="G807" s="50">
        <v>1282376890</v>
      </c>
      <c r="H807" s="50">
        <v>0</v>
      </c>
      <c r="I807" s="50">
        <v>0</v>
      </c>
      <c r="J807" s="50">
        <v>0</v>
      </c>
      <c r="K807" s="50">
        <v>820870002.23000002</v>
      </c>
      <c r="L807" s="151">
        <f t="shared" si="0"/>
        <v>0.63402097504691113</v>
      </c>
      <c r="M807" s="50">
        <v>820870002.23000002</v>
      </c>
      <c r="N807" s="152">
        <f t="shared" si="1"/>
        <v>0.63402097504691113</v>
      </c>
      <c r="O807" s="50">
        <v>473834801.76999998</v>
      </c>
      <c r="P807" s="152">
        <f t="shared" si="2"/>
        <v>0.36597902495308882</v>
      </c>
      <c r="Q807" s="50">
        <v>461506887.76999998</v>
      </c>
    </row>
    <row r="808" spans="1:17" hidden="1" x14ac:dyDescent="0.25">
      <c r="A808" s="44" t="s">
        <v>721</v>
      </c>
      <c r="B808" s="44" t="s">
        <v>81</v>
      </c>
      <c r="C808" s="44" t="s">
        <v>82</v>
      </c>
      <c r="D808" s="44" t="s">
        <v>69</v>
      </c>
      <c r="E808" s="50">
        <v>2537511300</v>
      </c>
      <c r="F808" s="50">
        <v>2358775473</v>
      </c>
      <c r="G808" s="50">
        <v>2318975183</v>
      </c>
      <c r="H808" s="50">
        <v>0</v>
      </c>
      <c r="I808" s="50">
        <v>0</v>
      </c>
      <c r="J808" s="50">
        <v>0</v>
      </c>
      <c r="K808" s="50">
        <v>1461550599.6099999</v>
      </c>
      <c r="L808" s="151">
        <f t="shared" si="0"/>
        <v>0.61962260348210763</v>
      </c>
      <c r="M808" s="50">
        <v>1461550599.6099999</v>
      </c>
      <c r="N808" s="152">
        <f t="shared" si="1"/>
        <v>0.61962260348210763</v>
      </c>
      <c r="O808" s="50">
        <v>897224873.38999999</v>
      </c>
      <c r="P808" s="152">
        <f t="shared" si="2"/>
        <v>0.38037739651789232</v>
      </c>
      <c r="Q808" s="50">
        <v>857424583.38999999</v>
      </c>
    </row>
    <row r="809" spans="1:17" x14ac:dyDescent="0.25">
      <c r="A809" s="169" t="s">
        <v>721</v>
      </c>
      <c r="B809" s="169" t="s">
        <v>83</v>
      </c>
      <c r="C809" s="169" t="s">
        <v>84</v>
      </c>
      <c r="D809" s="169" t="s">
        <v>85</v>
      </c>
      <c r="E809" s="170">
        <v>869285044</v>
      </c>
      <c r="F809" s="170">
        <v>826833696</v>
      </c>
      <c r="G809" s="170">
        <v>820800416</v>
      </c>
      <c r="H809" s="170">
        <v>0</v>
      </c>
      <c r="I809" s="170">
        <v>0</v>
      </c>
      <c r="J809" s="170">
        <v>0</v>
      </c>
      <c r="K809" s="170">
        <v>12311.7</v>
      </c>
      <c r="L809" s="171">
        <f t="shared" si="0"/>
        <v>1.4890176899611988E-5</v>
      </c>
      <c r="M809" s="170">
        <v>12311.7</v>
      </c>
      <c r="N809" s="172">
        <f t="shared" si="1"/>
        <v>1.4890176899611988E-5</v>
      </c>
      <c r="O809" s="170">
        <v>826821384.29999995</v>
      </c>
      <c r="P809" s="172">
        <f t="shared" si="2"/>
        <v>0.99998510982310029</v>
      </c>
      <c r="Q809" s="170">
        <v>820788104.29999995</v>
      </c>
    </row>
    <row r="810" spans="1:17" x14ac:dyDescent="0.25">
      <c r="A810" s="169" t="s">
        <v>721</v>
      </c>
      <c r="B810" s="169" t="s">
        <v>86</v>
      </c>
      <c r="C810" s="169" t="s">
        <v>87</v>
      </c>
      <c r="D810" s="169" t="s">
        <v>69</v>
      </c>
      <c r="E810" s="170">
        <v>799025700</v>
      </c>
      <c r="F810" s="170">
        <v>799025700</v>
      </c>
      <c r="G810" s="170">
        <v>799025700</v>
      </c>
      <c r="H810" s="170">
        <v>0</v>
      </c>
      <c r="I810" s="170">
        <v>107712.74</v>
      </c>
      <c r="J810" s="170">
        <v>0</v>
      </c>
      <c r="K810" s="170">
        <v>720614044.97000003</v>
      </c>
      <c r="L810" s="171">
        <f t="shared" si="0"/>
        <v>0.90186591616514966</v>
      </c>
      <c r="M810" s="170">
        <v>720614044.97000003</v>
      </c>
      <c r="N810" s="172">
        <f t="shared" si="1"/>
        <v>0.90186591616514966</v>
      </c>
      <c r="O810" s="170">
        <v>78303942.290000007</v>
      </c>
      <c r="P810" s="172">
        <f t="shared" si="2"/>
        <v>9.7999278734088285E-2</v>
      </c>
      <c r="Q810" s="170">
        <v>78303942.290000007</v>
      </c>
    </row>
    <row r="811" spans="1:17" hidden="1" x14ac:dyDescent="0.25">
      <c r="A811" s="44" t="s">
        <v>721</v>
      </c>
      <c r="B811" s="44" t="s">
        <v>88</v>
      </c>
      <c r="C811" s="44" t="s">
        <v>89</v>
      </c>
      <c r="D811" s="44" t="s">
        <v>69</v>
      </c>
      <c r="E811" s="50">
        <v>1216380900</v>
      </c>
      <c r="F811" s="50">
        <v>1138116206</v>
      </c>
      <c r="G811" s="50">
        <v>1069492381</v>
      </c>
      <c r="H811" s="50">
        <v>0</v>
      </c>
      <c r="I811" s="50">
        <v>0</v>
      </c>
      <c r="J811" s="50">
        <v>0</v>
      </c>
      <c r="K811" s="50">
        <v>698845731.37</v>
      </c>
      <c r="L811" s="151">
        <f t="shared" si="0"/>
        <v>0.61403723774934105</v>
      </c>
      <c r="M811" s="50">
        <v>698845731.37</v>
      </c>
      <c r="N811" s="152">
        <f t="shared" si="1"/>
        <v>0.61403723774934105</v>
      </c>
      <c r="O811" s="50">
        <v>439270474.63</v>
      </c>
      <c r="P811" s="152">
        <f t="shared" si="2"/>
        <v>0.38596276225065895</v>
      </c>
      <c r="Q811" s="50">
        <v>370646649.63</v>
      </c>
    </row>
    <row r="812" spans="1:17" hidden="1" x14ac:dyDescent="0.25">
      <c r="A812" s="44" t="s">
        <v>721</v>
      </c>
      <c r="B812" s="44" t="s">
        <v>90</v>
      </c>
      <c r="C812" s="44" t="s">
        <v>91</v>
      </c>
      <c r="D812" s="44" t="s">
        <v>69</v>
      </c>
      <c r="E812" s="50">
        <v>1017470468</v>
      </c>
      <c r="F812" s="50">
        <v>939021791</v>
      </c>
      <c r="G812" s="50">
        <v>931962841</v>
      </c>
      <c r="H812" s="50">
        <v>0</v>
      </c>
      <c r="I812" s="50">
        <v>325291164</v>
      </c>
      <c r="J812" s="50">
        <v>0</v>
      </c>
      <c r="K812" s="50">
        <v>606671677</v>
      </c>
      <c r="L812" s="151">
        <f t="shared" si="0"/>
        <v>0.64606773007251761</v>
      </c>
      <c r="M812" s="50">
        <v>606671677</v>
      </c>
      <c r="N812" s="152">
        <f t="shared" si="1"/>
        <v>0.64606773007251761</v>
      </c>
      <c r="O812" s="50">
        <v>7058950</v>
      </c>
      <c r="P812" s="152">
        <f t="shared" si="2"/>
        <v>7.5173441848273362E-3</v>
      </c>
      <c r="Q812" s="50">
        <v>0</v>
      </c>
    </row>
    <row r="813" spans="1:17" hidden="1" x14ac:dyDescent="0.25">
      <c r="A813" s="44" t="s">
        <v>721</v>
      </c>
      <c r="B813" s="44" t="s">
        <v>430</v>
      </c>
      <c r="C813" s="44" t="s">
        <v>697</v>
      </c>
      <c r="D813" s="44" t="s">
        <v>69</v>
      </c>
      <c r="E813" s="50">
        <v>965292547</v>
      </c>
      <c r="F813" s="50">
        <v>890867212</v>
      </c>
      <c r="G813" s="50">
        <v>884170262</v>
      </c>
      <c r="H813" s="50">
        <v>0</v>
      </c>
      <c r="I813" s="50">
        <v>308609972</v>
      </c>
      <c r="J813" s="50">
        <v>0</v>
      </c>
      <c r="K813" s="50">
        <v>575560290</v>
      </c>
      <c r="L813" s="151">
        <f t="shared" si="0"/>
        <v>0.64606742985620169</v>
      </c>
      <c r="M813" s="50">
        <v>575560290</v>
      </c>
      <c r="N813" s="152">
        <f t="shared" si="1"/>
        <v>0.64606742985620169</v>
      </c>
      <c r="O813" s="50">
        <v>6696950</v>
      </c>
      <c r="P813" s="152">
        <f t="shared" si="2"/>
        <v>7.5173380609275357E-3</v>
      </c>
      <c r="Q813" s="50">
        <v>0</v>
      </c>
    </row>
    <row r="814" spans="1:17" hidden="1" x14ac:dyDescent="0.25">
      <c r="A814" s="44" t="s">
        <v>721</v>
      </c>
      <c r="B814" s="44" t="s">
        <v>447</v>
      </c>
      <c r="C814" s="44" t="s">
        <v>95</v>
      </c>
      <c r="D814" s="44" t="s">
        <v>69</v>
      </c>
      <c r="E814" s="50">
        <v>52177921</v>
      </c>
      <c r="F814" s="50">
        <v>48154579</v>
      </c>
      <c r="G814" s="50">
        <v>47792579</v>
      </c>
      <c r="H814" s="50">
        <v>0</v>
      </c>
      <c r="I814" s="50">
        <v>16681192</v>
      </c>
      <c r="J814" s="50">
        <v>0</v>
      </c>
      <c r="K814" s="50">
        <v>31111387</v>
      </c>
      <c r="L814" s="151">
        <f t="shared" si="0"/>
        <v>0.64607328412112164</v>
      </c>
      <c r="M814" s="50">
        <v>31111387</v>
      </c>
      <c r="N814" s="152">
        <f t="shared" si="1"/>
        <v>0.64607328412112164</v>
      </c>
      <c r="O814" s="50">
        <v>362000</v>
      </c>
      <c r="P814" s="152">
        <f t="shared" si="2"/>
        <v>7.5174574779274883E-3</v>
      </c>
      <c r="Q814" s="50">
        <v>0</v>
      </c>
    </row>
    <row r="815" spans="1:17" hidden="1" x14ac:dyDescent="0.25">
      <c r="A815" s="44" t="s">
        <v>721</v>
      </c>
      <c r="B815" s="44" t="s">
        <v>96</v>
      </c>
      <c r="C815" s="44" t="s">
        <v>97</v>
      </c>
      <c r="D815" s="44" t="s">
        <v>69</v>
      </c>
      <c r="E815" s="50">
        <v>1105537368</v>
      </c>
      <c r="F815" s="50">
        <v>1027088692</v>
      </c>
      <c r="G815" s="50">
        <v>1020029752</v>
      </c>
      <c r="H815" s="50">
        <v>0</v>
      </c>
      <c r="I815" s="50">
        <v>387736876.70999998</v>
      </c>
      <c r="J815" s="50">
        <v>0</v>
      </c>
      <c r="K815" s="50">
        <v>631574525.28999996</v>
      </c>
      <c r="L815" s="151">
        <f t="shared" si="0"/>
        <v>0.61491722205622334</v>
      </c>
      <c r="M815" s="50">
        <v>631574525.28999996</v>
      </c>
      <c r="N815" s="152">
        <f t="shared" si="1"/>
        <v>0.61491722205622334</v>
      </c>
      <c r="O815" s="50">
        <v>7777290</v>
      </c>
      <c r="P815" s="152">
        <f t="shared" si="2"/>
        <v>7.5721698238695049E-3</v>
      </c>
      <c r="Q815" s="50">
        <v>718350</v>
      </c>
    </row>
    <row r="816" spans="1:17" hidden="1" x14ac:dyDescent="0.25">
      <c r="A816" s="44" t="s">
        <v>721</v>
      </c>
      <c r="B816" s="44" t="s">
        <v>465</v>
      </c>
      <c r="C816" s="44" t="s">
        <v>698</v>
      </c>
      <c r="D816" s="44" t="s">
        <v>69</v>
      </c>
      <c r="E816" s="50">
        <v>547868675</v>
      </c>
      <c r="F816" s="50">
        <v>505627080</v>
      </c>
      <c r="G816" s="50">
        <v>501826110</v>
      </c>
      <c r="H816" s="50">
        <v>0</v>
      </c>
      <c r="I816" s="50">
        <v>205783521</v>
      </c>
      <c r="J816" s="50">
        <v>0</v>
      </c>
      <c r="K816" s="50">
        <v>296042589</v>
      </c>
      <c r="L816" s="151">
        <f t="shared" si="0"/>
        <v>0.58549591331223794</v>
      </c>
      <c r="M816" s="50">
        <v>296042589</v>
      </c>
      <c r="N816" s="152">
        <f t="shared" si="1"/>
        <v>0.58549591331223794</v>
      </c>
      <c r="O816" s="50">
        <v>3800970</v>
      </c>
      <c r="P816" s="152">
        <f t="shared" si="2"/>
        <v>7.5173386678577423E-3</v>
      </c>
      <c r="Q816" s="50">
        <v>0</v>
      </c>
    </row>
    <row r="817" spans="1:17" hidden="1" x14ac:dyDescent="0.25">
      <c r="A817" s="44" t="s">
        <v>721</v>
      </c>
      <c r="B817" s="44" t="s">
        <v>482</v>
      </c>
      <c r="C817" s="44" t="s">
        <v>699</v>
      </c>
      <c r="D817" s="44" t="s">
        <v>69</v>
      </c>
      <c r="E817" s="50">
        <v>156533864</v>
      </c>
      <c r="F817" s="50">
        <v>144464837</v>
      </c>
      <c r="G817" s="50">
        <v>143378847</v>
      </c>
      <c r="H817" s="50">
        <v>0</v>
      </c>
      <c r="I817" s="50">
        <v>50044770</v>
      </c>
      <c r="J817" s="50">
        <v>0</v>
      </c>
      <c r="K817" s="50">
        <v>93334077</v>
      </c>
      <c r="L817" s="151">
        <f t="shared" si="0"/>
        <v>0.64606778326271885</v>
      </c>
      <c r="M817" s="50">
        <v>93334077</v>
      </c>
      <c r="N817" s="152">
        <f t="shared" si="1"/>
        <v>0.64606778326271885</v>
      </c>
      <c r="O817" s="50">
        <v>1085990</v>
      </c>
      <c r="P817" s="152">
        <f t="shared" si="2"/>
        <v>7.5173310166819348E-3</v>
      </c>
      <c r="Q817" s="50">
        <v>0</v>
      </c>
    </row>
    <row r="818" spans="1:17" hidden="1" x14ac:dyDescent="0.25">
      <c r="A818" s="44" t="s">
        <v>721</v>
      </c>
      <c r="B818" s="44" t="s">
        <v>499</v>
      </c>
      <c r="C818" s="44" t="s">
        <v>700</v>
      </c>
      <c r="D818" s="44" t="s">
        <v>69</v>
      </c>
      <c r="E818" s="50">
        <v>313067829</v>
      </c>
      <c r="F818" s="50">
        <v>288929775</v>
      </c>
      <c r="G818" s="50">
        <v>286757795</v>
      </c>
      <c r="H818" s="50">
        <v>0</v>
      </c>
      <c r="I818" s="50">
        <v>100089534</v>
      </c>
      <c r="J818" s="50">
        <v>0</v>
      </c>
      <c r="K818" s="50">
        <v>186668261</v>
      </c>
      <c r="L818" s="151">
        <f t="shared" si="0"/>
        <v>0.64606792775164834</v>
      </c>
      <c r="M818" s="50">
        <v>186668261</v>
      </c>
      <c r="N818" s="152">
        <f t="shared" si="1"/>
        <v>0.64606792775164834</v>
      </c>
      <c r="O818" s="50">
        <v>2171980</v>
      </c>
      <c r="P818" s="152">
        <f t="shared" si="2"/>
        <v>7.5173283888792701E-3</v>
      </c>
      <c r="Q818" s="50">
        <v>0</v>
      </c>
    </row>
    <row r="819" spans="1:17" hidden="1" x14ac:dyDescent="0.25">
      <c r="A819" s="44" t="s">
        <v>721</v>
      </c>
      <c r="B819" s="44" t="s">
        <v>516</v>
      </c>
      <c r="C819" s="44" t="s">
        <v>722</v>
      </c>
      <c r="D819" s="44" t="s">
        <v>69</v>
      </c>
      <c r="E819" s="50">
        <v>88067000</v>
      </c>
      <c r="F819" s="50">
        <v>88067000</v>
      </c>
      <c r="G819" s="50">
        <v>88067000</v>
      </c>
      <c r="H819" s="50">
        <v>0</v>
      </c>
      <c r="I819" s="50">
        <v>31819051.710000001</v>
      </c>
      <c r="J819" s="50">
        <v>0</v>
      </c>
      <c r="K819" s="50">
        <v>55529598.289999999</v>
      </c>
      <c r="L819" s="151">
        <f t="shared" si="0"/>
        <v>0.63053809361054647</v>
      </c>
      <c r="M819" s="50">
        <v>55529598.289999999</v>
      </c>
      <c r="N819" s="152">
        <f t="shared" si="1"/>
        <v>0.63053809361054647</v>
      </c>
      <c r="O819" s="50">
        <v>718350</v>
      </c>
      <c r="P819" s="152">
        <f t="shared" si="2"/>
        <v>8.1568578468665907E-3</v>
      </c>
      <c r="Q819" s="50">
        <v>718350</v>
      </c>
    </row>
    <row r="820" spans="1:17" hidden="1" x14ac:dyDescent="0.25">
      <c r="A820" s="44" t="s">
        <v>721</v>
      </c>
      <c r="B820" s="44" t="s">
        <v>104</v>
      </c>
      <c r="C820" s="44" t="s">
        <v>105</v>
      </c>
      <c r="D820" s="44" t="s">
        <v>69</v>
      </c>
      <c r="E820" s="50">
        <v>45500000</v>
      </c>
      <c r="F820" s="50">
        <v>44866179</v>
      </c>
      <c r="G820" s="50">
        <v>44866179</v>
      </c>
      <c r="H820" s="50">
        <v>0</v>
      </c>
      <c r="I820" s="50">
        <v>886800</v>
      </c>
      <c r="J820" s="50">
        <v>0</v>
      </c>
      <c r="K820" s="50">
        <v>43979379</v>
      </c>
      <c r="L820" s="151">
        <f t="shared" si="0"/>
        <v>0.98023455485255384</v>
      </c>
      <c r="M820" s="50">
        <v>43979379</v>
      </c>
      <c r="N820" s="152">
        <f t="shared" si="1"/>
        <v>0.98023455485255384</v>
      </c>
      <c r="O820" s="50">
        <v>0</v>
      </c>
      <c r="P820" s="152">
        <f t="shared" si="2"/>
        <v>0</v>
      </c>
      <c r="Q820" s="50">
        <v>0</v>
      </c>
    </row>
    <row r="821" spans="1:17" hidden="1" x14ac:dyDescent="0.25">
      <c r="A821" s="44" t="s">
        <v>721</v>
      </c>
      <c r="B821" s="44" t="s">
        <v>150</v>
      </c>
      <c r="C821" s="44" t="s">
        <v>151</v>
      </c>
      <c r="D821" s="44" t="s">
        <v>69</v>
      </c>
      <c r="E821" s="50">
        <v>45500000</v>
      </c>
      <c r="F821" s="50">
        <v>44866179</v>
      </c>
      <c r="G821" s="50">
        <v>44866179</v>
      </c>
      <c r="H821" s="50">
        <v>0</v>
      </c>
      <c r="I821" s="50">
        <v>886800</v>
      </c>
      <c r="J821" s="50">
        <v>0</v>
      </c>
      <c r="K821" s="50">
        <v>43979379</v>
      </c>
      <c r="L821" s="151">
        <f t="shared" si="0"/>
        <v>0.98023455485255384</v>
      </c>
      <c r="M821" s="50">
        <v>43979379</v>
      </c>
      <c r="N821" s="152">
        <f t="shared" si="1"/>
        <v>0.98023455485255384</v>
      </c>
      <c r="O821" s="50">
        <v>0</v>
      </c>
      <c r="P821" s="152">
        <f t="shared" si="2"/>
        <v>0</v>
      </c>
      <c r="Q821" s="50">
        <v>0</v>
      </c>
    </row>
    <row r="822" spans="1:17" hidden="1" x14ac:dyDescent="0.25">
      <c r="A822" s="44" t="s">
        <v>721</v>
      </c>
      <c r="B822" s="44" t="s">
        <v>152</v>
      </c>
      <c r="C822" s="44" t="s">
        <v>153</v>
      </c>
      <c r="D822" s="44" t="s">
        <v>69</v>
      </c>
      <c r="E822" s="50">
        <v>45500000</v>
      </c>
      <c r="F822" s="50">
        <v>44866179</v>
      </c>
      <c r="G822" s="50">
        <v>44866179</v>
      </c>
      <c r="H822" s="50">
        <v>0</v>
      </c>
      <c r="I822" s="50">
        <v>886800</v>
      </c>
      <c r="J822" s="50">
        <v>0</v>
      </c>
      <c r="K822" s="50">
        <v>43979379</v>
      </c>
      <c r="L822" s="151">
        <f t="shared" si="0"/>
        <v>0.98023455485255384</v>
      </c>
      <c r="M822" s="50">
        <v>43979379</v>
      </c>
      <c r="N822" s="152">
        <f t="shared" si="1"/>
        <v>0.98023455485255384</v>
      </c>
      <c r="O822" s="50">
        <v>0</v>
      </c>
      <c r="P822" s="152">
        <f t="shared" si="2"/>
        <v>0</v>
      </c>
      <c r="Q822" s="50">
        <v>0</v>
      </c>
    </row>
    <row r="823" spans="1:17" hidden="1" x14ac:dyDescent="0.25">
      <c r="A823" s="44" t="s">
        <v>721</v>
      </c>
      <c r="B823" s="44" t="s">
        <v>248</v>
      </c>
      <c r="C823" s="44" t="s">
        <v>249</v>
      </c>
      <c r="D823" s="44" t="s">
        <v>69</v>
      </c>
      <c r="E823" s="50">
        <v>421832742</v>
      </c>
      <c r="F823" s="50">
        <v>476763902</v>
      </c>
      <c r="G823" s="50">
        <v>431680141.39999998</v>
      </c>
      <c r="H823" s="50">
        <v>0</v>
      </c>
      <c r="I823" s="50">
        <v>136896901.18000001</v>
      </c>
      <c r="J823" s="50">
        <v>0</v>
      </c>
      <c r="K823" s="50">
        <v>249155721.31999999</v>
      </c>
      <c r="L823" s="151">
        <f t="shared" si="0"/>
        <v>0.52259770564592789</v>
      </c>
      <c r="M823" s="50">
        <v>248977298.72999999</v>
      </c>
      <c r="N823" s="152">
        <f t="shared" si="1"/>
        <v>0.52222346886069404</v>
      </c>
      <c r="O823" s="50">
        <v>90711279.5</v>
      </c>
      <c r="P823" s="152">
        <f t="shared" si="2"/>
        <v>0.19026457145658648</v>
      </c>
      <c r="Q823" s="50">
        <v>45627518.899999999</v>
      </c>
    </row>
    <row r="824" spans="1:17" hidden="1" x14ac:dyDescent="0.25">
      <c r="A824" s="44" t="s">
        <v>721</v>
      </c>
      <c r="B824" s="44" t="s">
        <v>250</v>
      </c>
      <c r="C824" s="44" t="s">
        <v>251</v>
      </c>
      <c r="D824" s="44" t="s">
        <v>69</v>
      </c>
      <c r="E824" s="50">
        <v>173230842</v>
      </c>
      <c r="F824" s="50">
        <v>159875033</v>
      </c>
      <c r="G824" s="50">
        <v>158673203</v>
      </c>
      <c r="H824" s="50">
        <v>0</v>
      </c>
      <c r="I824" s="50">
        <v>57805884.649999999</v>
      </c>
      <c r="J824" s="50">
        <v>0</v>
      </c>
      <c r="K824" s="50">
        <v>100867318.34999999</v>
      </c>
      <c r="L824" s="151">
        <f t="shared" si="0"/>
        <v>0.63091351074185542</v>
      </c>
      <c r="M824" s="50">
        <v>100867318.34999999</v>
      </c>
      <c r="N824" s="152">
        <f t="shared" si="1"/>
        <v>0.63091351074185542</v>
      </c>
      <c r="O824" s="50">
        <v>1201830</v>
      </c>
      <c r="P824" s="152">
        <f t="shared" si="2"/>
        <v>7.5173088470918406E-3</v>
      </c>
      <c r="Q824" s="50">
        <v>0</v>
      </c>
    </row>
    <row r="825" spans="1:17" hidden="1" x14ac:dyDescent="0.25">
      <c r="A825" s="44" t="s">
        <v>721</v>
      </c>
      <c r="B825" s="44" t="s">
        <v>639</v>
      </c>
      <c r="C825" s="44" t="s">
        <v>702</v>
      </c>
      <c r="D825" s="44" t="s">
        <v>69</v>
      </c>
      <c r="E825" s="50">
        <v>147141882</v>
      </c>
      <c r="F825" s="50">
        <v>135797244</v>
      </c>
      <c r="G825" s="50">
        <v>134776414</v>
      </c>
      <c r="H825" s="50">
        <v>0</v>
      </c>
      <c r="I825" s="50">
        <v>49464779.119999997</v>
      </c>
      <c r="J825" s="50">
        <v>0</v>
      </c>
      <c r="K825" s="50">
        <v>85311634.879999995</v>
      </c>
      <c r="L825" s="151">
        <f t="shared" si="0"/>
        <v>0.62822802854526261</v>
      </c>
      <c r="M825" s="50">
        <v>85311634.879999995</v>
      </c>
      <c r="N825" s="152">
        <f t="shared" si="1"/>
        <v>0.62822802854526261</v>
      </c>
      <c r="O825" s="50">
        <v>1020830</v>
      </c>
      <c r="P825" s="152">
        <f t="shared" si="2"/>
        <v>7.517310145116053E-3</v>
      </c>
      <c r="Q825" s="50">
        <v>0</v>
      </c>
    </row>
    <row r="826" spans="1:17" hidden="1" x14ac:dyDescent="0.25">
      <c r="A826" s="44" t="s">
        <v>721</v>
      </c>
      <c r="B826" s="44" t="s">
        <v>654</v>
      </c>
      <c r="C826" s="44" t="s">
        <v>703</v>
      </c>
      <c r="D826" s="44" t="s">
        <v>69</v>
      </c>
      <c r="E826" s="50">
        <v>26088960</v>
      </c>
      <c r="F826" s="50">
        <v>24077789</v>
      </c>
      <c r="G826" s="50">
        <v>23896789</v>
      </c>
      <c r="H826" s="50">
        <v>0</v>
      </c>
      <c r="I826" s="50">
        <v>8341105.5300000003</v>
      </c>
      <c r="J826" s="50">
        <v>0</v>
      </c>
      <c r="K826" s="50">
        <v>15555683.470000001</v>
      </c>
      <c r="L826" s="151">
        <f t="shared" si="0"/>
        <v>0.64605946459618868</v>
      </c>
      <c r="M826" s="50">
        <v>15555683.470000001</v>
      </c>
      <c r="N826" s="152">
        <f t="shared" si="1"/>
        <v>0.64605946459618868</v>
      </c>
      <c r="O826" s="50">
        <v>181000</v>
      </c>
      <c r="P826" s="152">
        <f t="shared" si="2"/>
        <v>7.5173015263153937E-3</v>
      </c>
      <c r="Q826" s="50">
        <v>0</v>
      </c>
    </row>
    <row r="827" spans="1:17" hidden="1" x14ac:dyDescent="0.25">
      <c r="A827" s="44" t="s">
        <v>721</v>
      </c>
      <c r="B827" s="44" t="s">
        <v>260</v>
      </c>
      <c r="C827" s="44" t="s">
        <v>261</v>
      </c>
      <c r="D827" s="44" t="s">
        <v>69</v>
      </c>
      <c r="E827" s="50">
        <v>223601900</v>
      </c>
      <c r="F827" s="50">
        <v>291888869</v>
      </c>
      <c r="G827" s="50">
        <v>258506938.40000001</v>
      </c>
      <c r="H827" s="50">
        <v>0</v>
      </c>
      <c r="I827" s="50">
        <v>76622441.870000005</v>
      </c>
      <c r="J827" s="50">
        <v>0</v>
      </c>
      <c r="K827" s="50">
        <v>137306977.63</v>
      </c>
      <c r="L827" s="151">
        <f t="shared" si="0"/>
        <v>0.47040840611842583</v>
      </c>
      <c r="M827" s="50">
        <v>137306977.63</v>
      </c>
      <c r="N827" s="152">
        <f t="shared" si="1"/>
        <v>0.47040840611842583</v>
      </c>
      <c r="O827" s="50">
        <v>77959449.5</v>
      </c>
      <c r="P827" s="152">
        <f t="shared" si="2"/>
        <v>0.26708606521066069</v>
      </c>
      <c r="Q827" s="50">
        <v>44577518.899999999</v>
      </c>
    </row>
    <row r="828" spans="1:17" hidden="1" x14ac:dyDescent="0.25">
      <c r="A828" s="44" t="s">
        <v>721</v>
      </c>
      <c r="B828" s="44" t="s">
        <v>262</v>
      </c>
      <c r="C828" s="44" t="s">
        <v>263</v>
      </c>
      <c r="D828" s="44" t="s">
        <v>69</v>
      </c>
      <c r="E828" s="50">
        <v>150213900</v>
      </c>
      <c r="F828" s="50">
        <v>218500869</v>
      </c>
      <c r="G828" s="50">
        <v>185118938.40000001</v>
      </c>
      <c r="H828" s="50">
        <v>0</v>
      </c>
      <c r="I828" s="50">
        <v>76622441.870000005</v>
      </c>
      <c r="J828" s="50">
        <v>0</v>
      </c>
      <c r="K828" s="50">
        <v>97199956.129999995</v>
      </c>
      <c r="L828" s="151">
        <f t="shared" si="0"/>
        <v>0.44484928858566686</v>
      </c>
      <c r="M828" s="50">
        <v>97199956.129999995</v>
      </c>
      <c r="N828" s="152">
        <f t="shared" si="1"/>
        <v>0.44484928858566686</v>
      </c>
      <c r="O828" s="50">
        <v>44678471</v>
      </c>
      <c r="P828" s="152">
        <f t="shared" si="2"/>
        <v>0.20447731491630819</v>
      </c>
      <c r="Q828" s="50">
        <v>11296540.4</v>
      </c>
    </row>
    <row r="829" spans="1:17" hidden="1" x14ac:dyDescent="0.25">
      <c r="A829" s="44" t="s">
        <v>721</v>
      </c>
      <c r="B829" s="44" t="s">
        <v>264</v>
      </c>
      <c r="C829" s="44" t="s">
        <v>265</v>
      </c>
      <c r="D829" s="44" t="s">
        <v>69</v>
      </c>
      <c r="E829" s="50">
        <v>73388000</v>
      </c>
      <c r="F829" s="50">
        <v>73388000</v>
      </c>
      <c r="G829" s="50">
        <v>73388000</v>
      </c>
      <c r="H829" s="50">
        <v>0</v>
      </c>
      <c r="I829" s="50">
        <v>0</v>
      </c>
      <c r="J829" s="50">
        <v>0</v>
      </c>
      <c r="K829" s="50">
        <v>40107021.5</v>
      </c>
      <c r="L829" s="151">
        <f t="shared" si="0"/>
        <v>0.54650653376573832</v>
      </c>
      <c r="M829" s="50">
        <v>40107021.5</v>
      </c>
      <c r="N829" s="152">
        <f t="shared" si="1"/>
        <v>0.54650653376573832</v>
      </c>
      <c r="O829" s="50">
        <v>33280978.5</v>
      </c>
      <c r="P829" s="152">
        <f t="shared" si="2"/>
        <v>0.45349346623426173</v>
      </c>
      <c r="Q829" s="50">
        <v>33280978.5</v>
      </c>
    </row>
    <row r="830" spans="1:17" hidden="1" x14ac:dyDescent="0.25">
      <c r="A830" s="44" t="s">
        <v>721</v>
      </c>
      <c r="B830" s="44" t="s">
        <v>286</v>
      </c>
      <c r="C830" s="44" t="s">
        <v>287</v>
      </c>
      <c r="D830" s="44" t="s">
        <v>69</v>
      </c>
      <c r="E830" s="50">
        <v>25000000</v>
      </c>
      <c r="F830" s="50">
        <v>25000000</v>
      </c>
      <c r="G830" s="50">
        <v>14500000</v>
      </c>
      <c r="H830" s="50">
        <v>0</v>
      </c>
      <c r="I830" s="50">
        <v>2468574.66</v>
      </c>
      <c r="J830" s="50">
        <v>0</v>
      </c>
      <c r="K830" s="50">
        <v>10981425.34</v>
      </c>
      <c r="L830" s="151">
        <f t="shared" si="0"/>
        <v>0.43925701359999997</v>
      </c>
      <c r="M830" s="50">
        <v>10803002.75</v>
      </c>
      <c r="N830" s="152">
        <f t="shared" si="1"/>
        <v>0.43212011</v>
      </c>
      <c r="O830" s="50">
        <v>11550000</v>
      </c>
      <c r="P830" s="152">
        <f t="shared" si="2"/>
        <v>0.46200000000000002</v>
      </c>
      <c r="Q830" s="50">
        <v>1050000</v>
      </c>
    </row>
    <row r="831" spans="1:17" hidden="1" x14ac:dyDescent="0.25">
      <c r="A831" s="44" t="s">
        <v>721</v>
      </c>
      <c r="B831" s="44" t="s">
        <v>288</v>
      </c>
      <c r="C831" s="44" t="s">
        <v>289</v>
      </c>
      <c r="D831" s="44" t="s">
        <v>69</v>
      </c>
      <c r="E831" s="50">
        <v>10000000</v>
      </c>
      <c r="F831" s="50">
        <v>10000000</v>
      </c>
      <c r="G831" s="50">
        <v>7000000</v>
      </c>
      <c r="H831" s="50">
        <v>0</v>
      </c>
      <c r="I831" s="50">
        <v>2343181.66</v>
      </c>
      <c r="J831" s="50">
        <v>0</v>
      </c>
      <c r="K831" s="50">
        <v>4356818.34</v>
      </c>
      <c r="L831" s="151">
        <f t="shared" si="0"/>
        <v>0.43568183399999999</v>
      </c>
      <c r="M831" s="50">
        <v>4356818.34</v>
      </c>
      <c r="N831" s="152">
        <f t="shared" si="1"/>
        <v>0.43568183399999999</v>
      </c>
      <c r="O831" s="50">
        <v>3300000</v>
      </c>
      <c r="P831" s="152">
        <f t="shared" si="2"/>
        <v>0.33</v>
      </c>
      <c r="Q831" s="50">
        <v>300000</v>
      </c>
    </row>
    <row r="832" spans="1:17" hidden="1" x14ac:dyDescent="0.25">
      <c r="A832" s="44" t="s">
        <v>721</v>
      </c>
      <c r="B832" s="44" t="s">
        <v>370</v>
      </c>
      <c r="C832" s="44" t="s">
        <v>371</v>
      </c>
      <c r="D832" s="44" t="s">
        <v>69</v>
      </c>
      <c r="E832" s="50">
        <v>15000000</v>
      </c>
      <c r="F832" s="50">
        <v>15000000</v>
      </c>
      <c r="G832" s="50">
        <v>7500000</v>
      </c>
      <c r="H832" s="50">
        <v>0</v>
      </c>
      <c r="I832" s="50">
        <v>125393</v>
      </c>
      <c r="J832" s="50">
        <v>0</v>
      </c>
      <c r="K832" s="50">
        <v>6624607</v>
      </c>
      <c r="L832" s="151">
        <f t="shared" si="0"/>
        <v>0.44164046666666668</v>
      </c>
      <c r="M832" s="50">
        <v>6446184.4100000001</v>
      </c>
      <c r="N832" s="152">
        <f t="shared" si="1"/>
        <v>0.42974562733333332</v>
      </c>
      <c r="O832" s="50">
        <v>8250000</v>
      </c>
      <c r="P832" s="152">
        <f t="shared" si="2"/>
        <v>0.55000000000000004</v>
      </c>
      <c r="Q832" s="50">
        <v>750000</v>
      </c>
    </row>
    <row r="833" spans="1:17" x14ac:dyDescent="0.25">
      <c r="A833" s="49"/>
      <c r="B833" s="49"/>
      <c r="C833" s="49"/>
      <c r="D833" s="49"/>
      <c r="E833" s="50">
        <v>765104920000</v>
      </c>
      <c r="F833" s="50">
        <v>743069209900</v>
      </c>
      <c r="G833" s="50">
        <v>684899466830.44995</v>
      </c>
      <c r="H833" s="50">
        <v>3439387990.6500001</v>
      </c>
      <c r="I833" s="50">
        <v>83926350409.300003</v>
      </c>
      <c r="J833" s="50">
        <v>6570001888</v>
      </c>
      <c r="K833" s="50">
        <v>415460294302.34998</v>
      </c>
      <c r="L833" s="50"/>
      <c r="M833" s="50">
        <v>404489862464.04999</v>
      </c>
      <c r="N833" s="50"/>
      <c r="O833" s="50">
        <v>233673175309.70001</v>
      </c>
      <c r="P833" s="50"/>
      <c r="Q833" s="50">
        <v>175503432240.14999</v>
      </c>
    </row>
  </sheetData>
  <sheetProtection selectLockedCells="1" selectUnlockedCells="1"/>
  <autoFilter ref="A1:Q833"/>
  <conditionalFormatting sqref="K2:L2 K3:K446 L2:L832 N2:N832">
    <cfRule type="cellIs" dxfId="34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50"/>
  <sheetViews>
    <sheetView zoomScaleNormal="100" workbookViewId="0"/>
  </sheetViews>
  <sheetFormatPr baseColWidth="10" defaultColWidth="9.140625" defaultRowHeight="15" x14ac:dyDescent="0.25"/>
  <cols>
    <col min="1" max="1" width="15" style="143" customWidth="1"/>
    <col min="2" max="2" width="16" style="143" customWidth="1"/>
    <col min="3" max="3" width="63.140625" style="143" customWidth="1"/>
    <col min="4" max="4" width="7" style="143" customWidth="1"/>
    <col min="5" max="6" width="20" style="143" customWidth="1"/>
    <col min="7" max="7" width="18" style="143" customWidth="1"/>
    <col min="8" max="8" width="20.42578125" style="143" customWidth="1"/>
    <col min="9" max="9" width="23.7109375" style="143" customWidth="1"/>
    <col min="10" max="10" width="21" style="143" customWidth="1"/>
    <col min="11" max="12" width="20.28515625" style="143" customWidth="1"/>
    <col min="13" max="14" width="18.5703125" style="143" customWidth="1"/>
    <col min="15" max="16" width="24" style="143" customWidth="1"/>
    <col min="17" max="17" width="21" style="143" customWidth="1"/>
    <col min="18" max="16384" width="9.140625" style="143"/>
  </cols>
  <sheetData>
    <row r="1" spans="1:17" x14ac:dyDescent="0.25">
      <c r="A1" s="144" t="s">
        <v>52</v>
      </c>
      <c r="B1" s="144" t="s">
        <v>691</v>
      </c>
      <c r="C1" s="144" t="s">
        <v>54</v>
      </c>
      <c r="D1" s="144" t="s">
        <v>55</v>
      </c>
      <c r="E1" s="144" t="s">
        <v>56</v>
      </c>
      <c r="F1" s="144" t="s">
        <v>57</v>
      </c>
      <c r="G1" s="144" t="s">
        <v>58</v>
      </c>
      <c r="H1" s="144" t="s">
        <v>59</v>
      </c>
      <c r="I1" s="144" t="s">
        <v>60</v>
      </c>
      <c r="J1" s="144" t="s">
        <v>61</v>
      </c>
      <c r="K1" s="144" t="s">
        <v>12</v>
      </c>
      <c r="L1" s="144" t="s">
        <v>12</v>
      </c>
      <c r="M1" s="144" t="s">
        <v>62</v>
      </c>
      <c r="N1" s="144" t="s">
        <v>63</v>
      </c>
      <c r="O1" s="144" t="s">
        <v>64</v>
      </c>
      <c r="P1" s="144" t="s">
        <v>65</v>
      </c>
      <c r="Q1" s="144" t="s">
        <v>66</v>
      </c>
    </row>
    <row r="2" spans="1:17" x14ac:dyDescent="0.25">
      <c r="A2" s="49" t="s">
        <v>68</v>
      </c>
      <c r="B2" s="49"/>
      <c r="C2" s="49"/>
      <c r="D2" s="49" t="s">
        <v>69</v>
      </c>
      <c r="E2" s="50">
        <v>153020984000</v>
      </c>
      <c r="F2" s="50">
        <v>148398411720</v>
      </c>
      <c r="G2" s="50">
        <v>148398411720</v>
      </c>
      <c r="H2" s="50">
        <v>0</v>
      </c>
      <c r="I2" s="50">
        <v>2231171633.8499999</v>
      </c>
      <c r="J2" s="50">
        <v>0</v>
      </c>
      <c r="K2" s="50">
        <v>136630086152.53</v>
      </c>
      <c r="L2" s="50"/>
      <c r="M2" s="50">
        <v>132483980382.73</v>
      </c>
      <c r="N2" s="50"/>
      <c r="O2" s="50">
        <v>9537153933.6200008</v>
      </c>
      <c r="P2" s="50"/>
      <c r="Q2" s="50">
        <v>9537153933.6200008</v>
      </c>
    </row>
    <row r="3" spans="1:17" x14ac:dyDescent="0.25">
      <c r="A3" s="49">
        <v>214786</v>
      </c>
      <c r="B3" s="49"/>
      <c r="C3" s="49"/>
      <c r="D3" s="49" t="s">
        <v>69</v>
      </c>
      <c r="E3" s="50">
        <v>2252563898</v>
      </c>
      <c r="F3" s="50">
        <v>2081037982</v>
      </c>
      <c r="G3" s="50">
        <v>2081037982</v>
      </c>
      <c r="H3" s="50">
        <v>0</v>
      </c>
      <c r="I3" s="50">
        <v>2427295.7400000002</v>
      </c>
      <c r="J3" s="50">
        <v>0</v>
      </c>
      <c r="K3" s="50">
        <v>1801767250</v>
      </c>
      <c r="L3" s="50"/>
      <c r="M3" s="50">
        <v>1796467439.1099999</v>
      </c>
      <c r="N3" s="50"/>
      <c r="O3" s="50">
        <v>276843436.25999999</v>
      </c>
      <c r="P3" s="50"/>
      <c r="Q3" s="50">
        <v>276843436.25999999</v>
      </c>
    </row>
    <row r="4" spans="1:17" x14ac:dyDescent="0.25">
      <c r="A4" s="49" t="s">
        <v>696</v>
      </c>
      <c r="B4" s="49" t="s">
        <v>71</v>
      </c>
      <c r="C4" s="49" t="s">
        <v>72</v>
      </c>
      <c r="D4" s="49" t="s">
        <v>69</v>
      </c>
      <c r="E4" s="50">
        <v>1845529688</v>
      </c>
      <c r="F4" s="50">
        <v>1685713432</v>
      </c>
      <c r="G4" s="50">
        <v>1685713432</v>
      </c>
      <c r="H4" s="50">
        <v>0</v>
      </c>
      <c r="I4" s="50">
        <v>0</v>
      </c>
      <c r="J4" s="50">
        <v>0</v>
      </c>
      <c r="K4" s="50">
        <v>1437662083.1300001</v>
      </c>
      <c r="L4" s="50"/>
      <c r="M4" s="50">
        <v>1437662083.1300001</v>
      </c>
      <c r="N4" s="50"/>
      <c r="O4" s="50">
        <v>248051348.87</v>
      </c>
      <c r="P4" s="50"/>
      <c r="Q4" s="50">
        <v>248051348.87</v>
      </c>
    </row>
    <row r="5" spans="1:17" x14ac:dyDescent="0.25">
      <c r="A5" s="49" t="s">
        <v>696</v>
      </c>
      <c r="B5" s="49" t="s">
        <v>73</v>
      </c>
      <c r="C5" s="49" t="s">
        <v>74</v>
      </c>
      <c r="D5" s="49" t="s">
        <v>69</v>
      </c>
      <c r="E5" s="50">
        <v>712211400</v>
      </c>
      <c r="F5" s="50">
        <v>676833600</v>
      </c>
      <c r="G5" s="50">
        <v>676833600</v>
      </c>
      <c r="H5" s="50">
        <v>0</v>
      </c>
      <c r="I5" s="50">
        <v>0</v>
      </c>
      <c r="J5" s="50">
        <v>0</v>
      </c>
      <c r="K5" s="50">
        <v>601608326.17999995</v>
      </c>
      <c r="L5" s="50"/>
      <c r="M5" s="50">
        <v>601608326.17999995</v>
      </c>
      <c r="N5" s="50"/>
      <c r="O5" s="50">
        <v>75225273.819999993</v>
      </c>
      <c r="P5" s="50"/>
      <c r="Q5" s="50">
        <v>75225273.819999993</v>
      </c>
    </row>
    <row r="6" spans="1:17" x14ac:dyDescent="0.25">
      <c r="A6" s="49" t="s">
        <v>696</v>
      </c>
      <c r="B6" s="49" t="s">
        <v>75</v>
      </c>
      <c r="C6" s="49" t="s">
        <v>76</v>
      </c>
      <c r="D6" s="49" t="s">
        <v>69</v>
      </c>
      <c r="E6" s="50">
        <v>712211400</v>
      </c>
      <c r="F6" s="50">
        <v>676833600</v>
      </c>
      <c r="G6" s="50">
        <v>676833600</v>
      </c>
      <c r="H6" s="50">
        <v>0</v>
      </c>
      <c r="I6" s="50">
        <v>0</v>
      </c>
      <c r="J6" s="50">
        <v>0</v>
      </c>
      <c r="K6" s="50">
        <v>601608326.17999995</v>
      </c>
      <c r="L6" s="50"/>
      <c r="M6" s="50">
        <v>601608326.17999995</v>
      </c>
      <c r="N6" s="50"/>
      <c r="O6" s="50">
        <v>75225273.819999993</v>
      </c>
      <c r="P6" s="50"/>
      <c r="Q6" s="50">
        <v>75225273.819999993</v>
      </c>
    </row>
    <row r="7" spans="1:17" x14ac:dyDescent="0.25">
      <c r="A7" s="49" t="s">
        <v>696</v>
      </c>
      <c r="B7" s="49" t="s">
        <v>77</v>
      </c>
      <c r="C7" s="49" t="s">
        <v>78</v>
      </c>
      <c r="D7" s="49" t="s">
        <v>69</v>
      </c>
      <c r="E7" s="50">
        <v>851789535</v>
      </c>
      <c r="F7" s="50">
        <v>741062753</v>
      </c>
      <c r="G7" s="50">
        <v>741062753</v>
      </c>
      <c r="H7" s="50">
        <v>0</v>
      </c>
      <c r="I7" s="50">
        <v>0</v>
      </c>
      <c r="J7" s="50">
        <v>0</v>
      </c>
      <c r="K7" s="50">
        <v>621649184.95000005</v>
      </c>
      <c r="L7" s="50"/>
      <c r="M7" s="50">
        <v>621649184.95000005</v>
      </c>
      <c r="N7" s="50"/>
      <c r="O7" s="50">
        <v>119413568.05</v>
      </c>
      <c r="P7" s="50"/>
      <c r="Q7" s="50">
        <v>119413568.05</v>
      </c>
    </row>
    <row r="8" spans="1:17" x14ac:dyDescent="0.25">
      <c r="A8" s="49" t="s">
        <v>696</v>
      </c>
      <c r="B8" s="49" t="s">
        <v>79</v>
      </c>
      <c r="C8" s="49" t="s">
        <v>80</v>
      </c>
      <c r="D8" s="49" t="s">
        <v>69</v>
      </c>
      <c r="E8" s="50">
        <v>171630900</v>
      </c>
      <c r="F8" s="50">
        <v>166370155</v>
      </c>
      <c r="G8" s="50">
        <v>166370155</v>
      </c>
      <c r="H8" s="50">
        <v>0</v>
      </c>
      <c r="I8" s="50">
        <v>0</v>
      </c>
      <c r="J8" s="50">
        <v>0</v>
      </c>
      <c r="K8" s="50">
        <v>146366643.22999999</v>
      </c>
      <c r="L8" s="50"/>
      <c r="M8" s="50">
        <v>146366643.22999999</v>
      </c>
      <c r="N8" s="50"/>
      <c r="O8" s="50">
        <v>20003511.77</v>
      </c>
      <c r="P8" s="50"/>
      <c r="Q8" s="50">
        <v>20003511.77</v>
      </c>
    </row>
    <row r="9" spans="1:17" x14ac:dyDescent="0.25">
      <c r="A9" s="49" t="s">
        <v>696</v>
      </c>
      <c r="B9" s="49" t="s">
        <v>81</v>
      </c>
      <c r="C9" s="49" t="s">
        <v>82</v>
      </c>
      <c r="D9" s="49" t="s">
        <v>69</v>
      </c>
      <c r="E9" s="50">
        <v>362005040</v>
      </c>
      <c r="F9" s="50">
        <v>338637370</v>
      </c>
      <c r="G9" s="50">
        <v>338637370</v>
      </c>
      <c r="H9" s="50">
        <v>0</v>
      </c>
      <c r="I9" s="50">
        <v>0</v>
      </c>
      <c r="J9" s="50">
        <v>0</v>
      </c>
      <c r="K9" s="50">
        <v>281226237.57999998</v>
      </c>
      <c r="L9" s="50"/>
      <c r="M9" s="50">
        <v>281226237.57999998</v>
      </c>
      <c r="N9" s="50"/>
      <c r="O9" s="50">
        <v>57411132.420000002</v>
      </c>
      <c r="P9" s="50"/>
      <c r="Q9" s="50">
        <v>57411132.420000002</v>
      </c>
    </row>
    <row r="10" spans="1:17" x14ac:dyDescent="0.25">
      <c r="A10" s="49" t="s">
        <v>696</v>
      </c>
      <c r="B10" s="49" t="s">
        <v>86</v>
      </c>
      <c r="C10" s="49" t="s">
        <v>87</v>
      </c>
      <c r="D10" s="49" t="s">
        <v>69</v>
      </c>
      <c r="E10" s="50">
        <v>110671900</v>
      </c>
      <c r="F10" s="50">
        <v>36177498</v>
      </c>
      <c r="G10" s="50">
        <v>36177498</v>
      </c>
      <c r="H10" s="50">
        <v>0</v>
      </c>
      <c r="I10" s="50">
        <v>0</v>
      </c>
      <c r="J10" s="50">
        <v>0</v>
      </c>
      <c r="K10" s="50">
        <v>27110411.350000001</v>
      </c>
      <c r="L10" s="50"/>
      <c r="M10" s="50">
        <v>27110411.350000001</v>
      </c>
      <c r="N10" s="50"/>
      <c r="O10" s="50">
        <v>9067086.6500000004</v>
      </c>
      <c r="P10" s="50"/>
      <c r="Q10" s="50">
        <v>9067086.6500000004</v>
      </c>
    </row>
    <row r="11" spans="1:17" x14ac:dyDescent="0.25">
      <c r="A11" s="49" t="s">
        <v>696</v>
      </c>
      <c r="B11" s="49" t="s">
        <v>88</v>
      </c>
      <c r="C11" s="49" t="s">
        <v>89</v>
      </c>
      <c r="D11" s="49" t="s">
        <v>69</v>
      </c>
      <c r="E11" s="50">
        <v>87218400</v>
      </c>
      <c r="F11" s="50">
        <v>85471779</v>
      </c>
      <c r="G11" s="50">
        <v>85471779</v>
      </c>
      <c r="H11" s="50">
        <v>0</v>
      </c>
      <c r="I11" s="50">
        <v>0</v>
      </c>
      <c r="J11" s="50">
        <v>0</v>
      </c>
      <c r="K11" s="50">
        <v>68787564.25</v>
      </c>
      <c r="L11" s="50"/>
      <c r="M11" s="50">
        <v>68787564.25</v>
      </c>
      <c r="N11" s="50"/>
      <c r="O11" s="50">
        <v>16684214.75</v>
      </c>
      <c r="P11" s="50"/>
      <c r="Q11" s="50">
        <v>16684214.75</v>
      </c>
    </row>
    <row r="12" spans="1:17" x14ac:dyDescent="0.25">
      <c r="A12" s="49" t="s">
        <v>696</v>
      </c>
      <c r="B12" s="49" t="s">
        <v>83</v>
      </c>
      <c r="C12" s="49" t="s">
        <v>84</v>
      </c>
      <c r="D12" s="49" t="s">
        <v>85</v>
      </c>
      <c r="E12" s="50">
        <v>120263295</v>
      </c>
      <c r="F12" s="50">
        <v>114405951</v>
      </c>
      <c r="G12" s="50">
        <v>114405951</v>
      </c>
      <c r="H12" s="50">
        <v>0</v>
      </c>
      <c r="I12" s="50">
        <v>0</v>
      </c>
      <c r="J12" s="50">
        <v>0</v>
      </c>
      <c r="K12" s="50">
        <v>98158328.540000007</v>
      </c>
      <c r="L12" s="50"/>
      <c r="M12" s="50">
        <v>98158328.540000007</v>
      </c>
      <c r="N12" s="50"/>
      <c r="O12" s="50">
        <v>16247622.460000001</v>
      </c>
      <c r="P12" s="50"/>
      <c r="Q12" s="50">
        <v>16247622.460000001</v>
      </c>
    </row>
    <row r="13" spans="1:17" x14ac:dyDescent="0.25">
      <c r="A13" s="49" t="s">
        <v>696</v>
      </c>
      <c r="B13" s="49" t="s">
        <v>90</v>
      </c>
      <c r="C13" s="49" t="s">
        <v>91</v>
      </c>
      <c r="D13" s="49" t="s">
        <v>69</v>
      </c>
      <c r="E13" s="50">
        <v>140764376</v>
      </c>
      <c r="F13" s="50">
        <v>133908533</v>
      </c>
      <c r="G13" s="50">
        <v>133908533</v>
      </c>
      <c r="H13" s="50">
        <v>0</v>
      </c>
      <c r="I13" s="50">
        <v>0</v>
      </c>
      <c r="J13" s="50">
        <v>0</v>
      </c>
      <c r="K13" s="50">
        <v>107282943</v>
      </c>
      <c r="L13" s="50"/>
      <c r="M13" s="50">
        <v>107282943</v>
      </c>
      <c r="N13" s="50"/>
      <c r="O13" s="50">
        <v>26625590</v>
      </c>
      <c r="P13" s="50"/>
      <c r="Q13" s="50">
        <v>26625590</v>
      </c>
    </row>
    <row r="14" spans="1:17" x14ac:dyDescent="0.25">
      <c r="A14" s="49" t="s">
        <v>696</v>
      </c>
      <c r="B14" s="49" t="s">
        <v>416</v>
      </c>
      <c r="C14" s="49" t="s">
        <v>697</v>
      </c>
      <c r="D14" s="49" t="s">
        <v>69</v>
      </c>
      <c r="E14" s="50">
        <v>133545724</v>
      </c>
      <c r="F14" s="50">
        <v>127041476</v>
      </c>
      <c r="G14" s="50">
        <v>127041476</v>
      </c>
      <c r="H14" s="50">
        <v>0</v>
      </c>
      <c r="I14" s="50">
        <v>0</v>
      </c>
      <c r="J14" s="50">
        <v>0</v>
      </c>
      <c r="K14" s="50">
        <v>101781285</v>
      </c>
      <c r="L14" s="50"/>
      <c r="M14" s="50">
        <v>101781285</v>
      </c>
      <c r="N14" s="50"/>
      <c r="O14" s="50">
        <v>25260191</v>
      </c>
      <c r="P14" s="50"/>
      <c r="Q14" s="50">
        <v>25260191</v>
      </c>
    </row>
    <row r="15" spans="1:17" x14ac:dyDescent="0.25">
      <c r="A15" s="49" t="s">
        <v>696</v>
      </c>
      <c r="B15" s="49" t="s">
        <v>433</v>
      </c>
      <c r="C15" s="49" t="s">
        <v>95</v>
      </c>
      <c r="D15" s="49" t="s">
        <v>69</v>
      </c>
      <c r="E15" s="50">
        <v>7218652</v>
      </c>
      <c r="F15" s="50">
        <v>6867057</v>
      </c>
      <c r="G15" s="50">
        <v>6867057</v>
      </c>
      <c r="H15" s="50">
        <v>0</v>
      </c>
      <c r="I15" s="50">
        <v>0</v>
      </c>
      <c r="J15" s="50">
        <v>0</v>
      </c>
      <c r="K15" s="50">
        <v>5501658</v>
      </c>
      <c r="L15" s="50"/>
      <c r="M15" s="50">
        <v>5501658</v>
      </c>
      <c r="N15" s="50"/>
      <c r="O15" s="50">
        <v>1365399</v>
      </c>
      <c r="P15" s="50"/>
      <c r="Q15" s="50">
        <v>1365399</v>
      </c>
    </row>
    <row r="16" spans="1:17" x14ac:dyDescent="0.25">
      <c r="A16" s="49" t="s">
        <v>696</v>
      </c>
      <c r="B16" s="49" t="s">
        <v>96</v>
      </c>
      <c r="C16" s="49" t="s">
        <v>97</v>
      </c>
      <c r="D16" s="49" t="s">
        <v>69</v>
      </c>
      <c r="E16" s="50">
        <v>140764377</v>
      </c>
      <c r="F16" s="50">
        <v>133908546</v>
      </c>
      <c r="G16" s="50">
        <v>133908546</v>
      </c>
      <c r="H16" s="50">
        <v>0</v>
      </c>
      <c r="I16" s="50">
        <v>0</v>
      </c>
      <c r="J16" s="50">
        <v>0</v>
      </c>
      <c r="K16" s="50">
        <v>107121629</v>
      </c>
      <c r="L16" s="50"/>
      <c r="M16" s="50">
        <v>107121629</v>
      </c>
      <c r="N16" s="50"/>
      <c r="O16" s="50">
        <v>26786917</v>
      </c>
      <c r="P16" s="50"/>
      <c r="Q16" s="50">
        <v>26786917</v>
      </c>
    </row>
    <row r="17" spans="1:17" x14ac:dyDescent="0.25">
      <c r="A17" s="49" t="s">
        <v>696</v>
      </c>
      <c r="B17" s="49" t="s">
        <v>451</v>
      </c>
      <c r="C17" s="49" t="s">
        <v>698</v>
      </c>
      <c r="D17" s="49" t="s">
        <v>69</v>
      </c>
      <c r="E17" s="50">
        <v>75796203</v>
      </c>
      <c r="F17" s="50">
        <v>72104601</v>
      </c>
      <c r="G17" s="50">
        <v>72104601</v>
      </c>
      <c r="H17" s="50">
        <v>0</v>
      </c>
      <c r="I17" s="50">
        <v>0</v>
      </c>
      <c r="J17" s="50">
        <v>0</v>
      </c>
      <c r="K17" s="50">
        <v>57606396</v>
      </c>
      <c r="L17" s="50"/>
      <c r="M17" s="50">
        <v>57606396</v>
      </c>
      <c r="N17" s="50"/>
      <c r="O17" s="50">
        <v>14498205</v>
      </c>
      <c r="P17" s="50"/>
      <c r="Q17" s="50">
        <v>14498205</v>
      </c>
    </row>
    <row r="18" spans="1:17" x14ac:dyDescent="0.25">
      <c r="A18" s="49" t="s">
        <v>696</v>
      </c>
      <c r="B18" s="49" t="s">
        <v>468</v>
      </c>
      <c r="C18" s="49" t="s">
        <v>699</v>
      </c>
      <c r="D18" s="49" t="s">
        <v>69</v>
      </c>
      <c r="E18" s="50">
        <v>21656058</v>
      </c>
      <c r="F18" s="50">
        <v>24201312</v>
      </c>
      <c r="G18" s="50">
        <v>24201312</v>
      </c>
      <c r="H18" s="50">
        <v>0</v>
      </c>
      <c r="I18" s="50">
        <v>0</v>
      </c>
      <c r="J18" s="50">
        <v>0</v>
      </c>
      <c r="K18" s="50">
        <v>19235760</v>
      </c>
      <c r="L18" s="50"/>
      <c r="M18" s="50">
        <v>19235760</v>
      </c>
      <c r="N18" s="50"/>
      <c r="O18" s="50">
        <v>4965552</v>
      </c>
      <c r="P18" s="50"/>
      <c r="Q18" s="50">
        <v>4965552</v>
      </c>
    </row>
    <row r="19" spans="1:17" x14ac:dyDescent="0.25">
      <c r="A19" s="49" t="s">
        <v>696</v>
      </c>
      <c r="B19" s="49" t="s">
        <v>485</v>
      </c>
      <c r="C19" s="49" t="s">
        <v>700</v>
      </c>
      <c r="D19" s="49" t="s">
        <v>69</v>
      </c>
      <c r="E19" s="50">
        <v>43312116</v>
      </c>
      <c r="F19" s="50">
        <v>37602633</v>
      </c>
      <c r="G19" s="50">
        <v>37602633</v>
      </c>
      <c r="H19" s="50">
        <v>0</v>
      </c>
      <c r="I19" s="50">
        <v>0</v>
      </c>
      <c r="J19" s="50">
        <v>0</v>
      </c>
      <c r="K19" s="50">
        <v>30279473</v>
      </c>
      <c r="L19" s="50"/>
      <c r="M19" s="50">
        <v>30279473</v>
      </c>
      <c r="N19" s="50"/>
      <c r="O19" s="50">
        <v>7323160</v>
      </c>
      <c r="P19" s="50"/>
      <c r="Q19" s="50">
        <v>7323160</v>
      </c>
    </row>
    <row r="20" spans="1:17" x14ac:dyDescent="0.25">
      <c r="A20" s="49" t="s">
        <v>696</v>
      </c>
      <c r="B20" s="49" t="s">
        <v>104</v>
      </c>
      <c r="C20" s="49" t="s">
        <v>105</v>
      </c>
      <c r="D20" s="49" t="s">
        <v>69</v>
      </c>
      <c r="E20" s="50">
        <v>83371900</v>
      </c>
      <c r="F20" s="50">
        <v>66099608</v>
      </c>
      <c r="G20" s="50">
        <v>66099608</v>
      </c>
      <c r="H20" s="50">
        <v>0</v>
      </c>
      <c r="I20" s="50">
        <v>2250261.73</v>
      </c>
      <c r="J20" s="50">
        <v>0</v>
      </c>
      <c r="K20" s="50">
        <v>50470332.799999997</v>
      </c>
      <c r="L20" s="50"/>
      <c r="M20" s="50">
        <v>45170521.909999996</v>
      </c>
      <c r="N20" s="50"/>
      <c r="O20" s="50">
        <v>13379013.470000001</v>
      </c>
      <c r="P20" s="50"/>
      <c r="Q20" s="50">
        <v>13379013.470000001</v>
      </c>
    </row>
    <row r="21" spans="1:17" x14ac:dyDescent="0.25">
      <c r="A21" s="49" t="s">
        <v>696</v>
      </c>
      <c r="B21" s="49" t="s">
        <v>106</v>
      </c>
      <c r="C21" s="49" t="s">
        <v>107</v>
      </c>
      <c r="D21" s="49" t="s">
        <v>69</v>
      </c>
      <c r="E21" s="50">
        <v>55749325</v>
      </c>
      <c r="F21" s="50">
        <v>54664325</v>
      </c>
      <c r="G21" s="50">
        <v>54664325</v>
      </c>
      <c r="H21" s="50">
        <v>0</v>
      </c>
      <c r="I21" s="50">
        <v>1453333.89</v>
      </c>
      <c r="J21" s="50">
        <v>0</v>
      </c>
      <c r="K21" s="50">
        <v>43087279.969999999</v>
      </c>
      <c r="L21" s="50"/>
      <c r="M21" s="50">
        <v>38152326.869999997</v>
      </c>
      <c r="N21" s="50"/>
      <c r="O21" s="50">
        <v>10123711.140000001</v>
      </c>
      <c r="P21" s="50"/>
      <c r="Q21" s="50">
        <v>10123711.140000001</v>
      </c>
    </row>
    <row r="22" spans="1:17" x14ac:dyDescent="0.25">
      <c r="A22" s="49" t="s">
        <v>696</v>
      </c>
      <c r="B22" s="49" t="s">
        <v>108</v>
      </c>
      <c r="C22" s="49" t="s">
        <v>109</v>
      </c>
      <c r="D22" s="49" t="s">
        <v>69</v>
      </c>
      <c r="E22" s="50">
        <v>55664325</v>
      </c>
      <c r="F22" s="50">
        <v>54664325</v>
      </c>
      <c r="G22" s="50">
        <v>54664325</v>
      </c>
      <c r="H22" s="50">
        <v>0</v>
      </c>
      <c r="I22" s="50">
        <v>1453333.89</v>
      </c>
      <c r="J22" s="50">
        <v>0</v>
      </c>
      <c r="K22" s="50">
        <v>43087279.969999999</v>
      </c>
      <c r="L22" s="50"/>
      <c r="M22" s="50">
        <v>38152326.869999997</v>
      </c>
      <c r="N22" s="50"/>
      <c r="O22" s="50">
        <v>10123711.140000001</v>
      </c>
      <c r="P22" s="50"/>
      <c r="Q22" s="50">
        <v>10123711.140000001</v>
      </c>
    </row>
    <row r="23" spans="1:17" x14ac:dyDescent="0.25">
      <c r="A23" s="49" t="s">
        <v>696</v>
      </c>
      <c r="B23" s="49" t="s">
        <v>110</v>
      </c>
      <c r="C23" s="49" t="s">
        <v>111</v>
      </c>
      <c r="D23" s="49" t="s">
        <v>69</v>
      </c>
      <c r="E23" s="50">
        <v>85000</v>
      </c>
      <c r="F23" s="50">
        <v>0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50"/>
      <c r="M23" s="50">
        <v>0</v>
      </c>
      <c r="N23" s="50"/>
      <c r="O23" s="50">
        <v>0</v>
      </c>
      <c r="P23" s="50"/>
      <c r="Q23" s="50">
        <v>0</v>
      </c>
    </row>
    <row r="24" spans="1:17" x14ac:dyDescent="0.25">
      <c r="A24" s="49" t="s">
        <v>696</v>
      </c>
      <c r="B24" s="49" t="s">
        <v>124</v>
      </c>
      <c r="C24" s="49" t="s">
        <v>125</v>
      </c>
      <c r="D24" s="49" t="s">
        <v>69</v>
      </c>
      <c r="E24" s="50">
        <v>1900000</v>
      </c>
      <c r="F24" s="50">
        <v>680000</v>
      </c>
      <c r="G24" s="50">
        <v>680000</v>
      </c>
      <c r="H24" s="50">
        <v>0</v>
      </c>
      <c r="I24" s="50">
        <v>296927.84000000003</v>
      </c>
      <c r="J24" s="50">
        <v>0</v>
      </c>
      <c r="K24" s="50">
        <v>196882.16</v>
      </c>
      <c r="L24" s="50"/>
      <c r="M24" s="50">
        <v>196534.12</v>
      </c>
      <c r="N24" s="50"/>
      <c r="O24" s="50">
        <v>186190</v>
      </c>
      <c r="P24" s="50"/>
      <c r="Q24" s="50">
        <v>186190</v>
      </c>
    </row>
    <row r="25" spans="1:17" x14ac:dyDescent="0.25">
      <c r="A25" s="49" t="s">
        <v>696</v>
      </c>
      <c r="B25" s="49" t="s">
        <v>128</v>
      </c>
      <c r="C25" s="49" t="s">
        <v>129</v>
      </c>
      <c r="D25" s="49" t="s">
        <v>69</v>
      </c>
      <c r="E25" s="50">
        <v>1250000</v>
      </c>
      <c r="F25" s="50">
        <v>380000</v>
      </c>
      <c r="G25" s="50">
        <v>380000</v>
      </c>
      <c r="H25" s="50">
        <v>0</v>
      </c>
      <c r="I25" s="50">
        <v>0</v>
      </c>
      <c r="J25" s="50">
        <v>0</v>
      </c>
      <c r="K25" s="50">
        <v>195490</v>
      </c>
      <c r="L25" s="50"/>
      <c r="M25" s="50">
        <v>195490</v>
      </c>
      <c r="N25" s="50"/>
      <c r="O25" s="50">
        <v>184510</v>
      </c>
      <c r="P25" s="50"/>
      <c r="Q25" s="50">
        <v>184510</v>
      </c>
    </row>
    <row r="26" spans="1:17" x14ac:dyDescent="0.25">
      <c r="A26" s="49" t="s">
        <v>696</v>
      </c>
      <c r="B26" s="49" t="s">
        <v>130</v>
      </c>
      <c r="C26" s="49" t="s">
        <v>131</v>
      </c>
      <c r="D26" s="49" t="s">
        <v>69</v>
      </c>
      <c r="E26" s="50">
        <v>50000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0</v>
      </c>
      <c r="L26" s="50"/>
      <c r="M26" s="50">
        <v>0</v>
      </c>
      <c r="N26" s="50"/>
      <c r="O26" s="50">
        <v>0</v>
      </c>
      <c r="P26" s="50"/>
      <c r="Q26" s="50">
        <v>0</v>
      </c>
    </row>
    <row r="27" spans="1:17" x14ac:dyDescent="0.25">
      <c r="A27" s="49" t="s">
        <v>696</v>
      </c>
      <c r="B27" s="49" t="s">
        <v>132</v>
      </c>
      <c r="C27" s="49" t="s">
        <v>133</v>
      </c>
      <c r="D27" s="49" t="s">
        <v>69</v>
      </c>
      <c r="E27" s="50">
        <v>600000</v>
      </c>
      <c r="F27" s="50">
        <v>300000</v>
      </c>
      <c r="G27" s="50">
        <v>300000</v>
      </c>
      <c r="H27" s="50">
        <v>0</v>
      </c>
      <c r="I27" s="50">
        <v>296927.84000000003</v>
      </c>
      <c r="J27" s="50">
        <v>0</v>
      </c>
      <c r="K27" s="50">
        <v>1392.16</v>
      </c>
      <c r="L27" s="50"/>
      <c r="M27" s="50">
        <v>1044.1199999999999</v>
      </c>
      <c r="N27" s="50"/>
      <c r="O27" s="50">
        <v>1680</v>
      </c>
      <c r="P27" s="50"/>
      <c r="Q27" s="50">
        <v>1680</v>
      </c>
    </row>
    <row r="28" spans="1:17" x14ac:dyDescent="0.25">
      <c r="A28" s="49" t="s">
        <v>696</v>
      </c>
      <c r="B28" s="49" t="s">
        <v>140</v>
      </c>
      <c r="C28" s="49" t="s">
        <v>141</v>
      </c>
      <c r="D28" s="49" t="s">
        <v>69</v>
      </c>
      <c r="E28" s="50">
        <v>25000000</v>
      </c>
      <c r="F28" s="50">
        <v>10387708</v>
      </c>
      <c r="G28" s="50">
        <v>10387708</v>
      </c>
      <c r="H28" s="50">
        <v>0</v>
      </c>
      <c r="I28" s="50">
        <v>500000</v>
      </c>
      <c r="J28" s="50">
        <v>0</v>
      </c>
      <c r="K28" s="50">
        <v>6821660.9199999999</v>
      </c>
      <c r="L28" s="50"/>
      <c r="M28" s="50">
        <v>6821660.9199999999</v>
      </c>
      <c r="N28" s="50"/>
      <c r="O28" s="50">
        <v>3066047.08</v>
      </c>
      <c r="P28" s="50"/>
      <c r="Q28" s="50">
        <v>3066047.08</v>
      </c>
    </row>
    <row r="29" spans="1:17" x14ac:dyDescent="0.25">
      <c r="A29" s="49" t="s">
        <v>696</v>
      </c>
      <c r="B29" s="49" t="s">
        <v>142</v>
      </c>
      <c r="C29" s="49" t="s">
        <v>143</v>
      </c>
      <c r="D29" s="49" t="s">
        <v>69</v>
      </c>
      <c r="E29" s="50">
        <v>100000</v>
      </c>
      <c r="F29" s="50">
        <v>65000</v>
      </c>
      <c r="G29" s="50">
        <v>65000</v>
      </c>
      <c r="H29" s="50">
        <v>0</v>
      </c>
      <c r="I29" s="50">
        <v>0</v>
      </c>
      <c r="J29" s="50">
        <v>0</v>
      </c>
      <c r="K29" s="50">
        <v>35660</v>
      </c>
      <c r="L29" s="50"/>
      <c r="M29" s="50">
        <v>35660</v>
      </c>
      <c r="N29" s="50"/>
      <c r="O29" s="50">
        <v>29340</v>
      </c>
      <c r="P29" s="50"/>
      <c r="Q29" s="50">
        <v>29340</v>
      </c>
    </row>
    <row r="30" spans="1:17" x14ac:dyDescent="0.25">
      <c r="A30" s="49" t="s">
        <v>696</v>
      </c>
      <c r="B30" s="49" t="s">
        <v>144</v>
      </c>
      <c r="C30" s="49" t="s">
        <v>145</v>
      </c>
      <c r="D30" s="49" t="s">
        <v>69</v>
      </c>
      <c r="E30" s="50">
        <v>8085000</v>
      </c>
      <c r="F30" s="50">
        <v>4853850</v>
      </c>
      <c r="G30" s="50">
        <v>4853850</v>
      </c>
      <c r="H30" s="50">
        <v>0</v>
      </c>
      <c r="I30" s="50">
        <v>500000</v>
      </c>
      <c r="J30" s="50">
        <v>0</v>
      </c>
      <c r="K30" s="50">
        <v>1323800</v>
      </c>
      <c r="L30" s="50"/>
      <c r="M30" s="50">
        <v>1323800</v>
      </c>
      <c r="N30" s="50"/>
      <c r="O30" s="50">
        <v>3030050</v>
      </c>
      <c r="P30" s="50"/>
      <c r="Q30" s="50">
        <v>3030050</v>
      </c>
    </row>
    <row r="31" spans="1:17" x14ac:dyDescent="0.25">
      <c r="A31" s="49" t="s">
        <v>696</v>
      </c>
      <c r="B31" s="49" t="s">
        <v>146</v>
      </c>
      <c r="C31" s="49" t="s">
        <v>147</v>
      </c>
      <c r="D31" s="49" t="s">
        <v>69</v>
      </c>
      <c r="E31" s="50">
        <v>8295000</v>
      </c>
      <c r="F31" s="50">
        <v>1585000</v>
      </c>
      <c r="G31" s="50">
        <v>1585000</v>
      </c>
      <c r="H31" s="50">
        <v>0</v>
      </c>
      <c r="I31" s="50">
        <v>0</v>
      </c>
      <c r="J31" s="50">
        <v>0</v>
      </c>
      <c r="K31" s="50">
        <v>1578343.2</v>
      </c>
      <c r="L31" s="50"/>
      <c r="M31" s="50">
        <v>1578343.2</v>
      </c>
      <c r="N31" s="50"/>
      <c r="O31" s="50">
        <v>6656.8</v>
      </c>
      <c r="P31" s="50"/>
      <c r="Q31" s="50">
        <v>6656.8</v>
      </c>
    </row>
    <row r="32" spans="1:17" x14ac:dyDescent="0.25">
      <c r="A32" s="49" t="s">
        <v>696</v>
      </c>
      <c r="B32" s="49" t="s">
        <v>148</v>
      </c>
      <c r="C32" s="49" t="s">
        <v>149</v>
      </c>
      <c r="D32" s="49" t="s">
        <v>69</v>
      </c>
      <c r="E32" s="50">
        <v>8520000</v>
      </c>
      <c r="F32" s="50">
        <v>3883858</v>
      </c>
      <c r="G32" s="50">
        <v>3883858</v>
      </c>
      <c r="H32" s="50">
        <v>0</v>
      </c>
      <c r="I32" s="50">
        <v>0</v>
      </c>
      <c r="J32" s="50">
        <v>0</v>
      </c>
      <c r="K32" s="50">
        <v>3883857.72</v>
      </c>
      <c r="L32" s="50"/>
      <c r="M32" s="50">
        <v>3883857.72</v>
      </c>
      <c r="N32" s="50"/>
      <c r="O32" s="50">
        <v>0.28000000000000003</v>
      </c>
      <c r="P32" s="50"/>
      <c r="Q32" s="50">
        <v>0.28000000000000003</v>
      </c>
    </row>
    <row r="33" spans="1:17" x14ac:dyDescent="0.25">
      <c r="A33" s="49" t="s">
        <v>696</v>
      </c>
      <c r="B33" s="49" t="s">
        <v>154</v>
      </c>
      <c r="C33" s="49" t="s">
        <v>155</v>
      </c>
      <c r="D33" s="49" t="s">
        <v>69</v>
      </c>
      <c r="E33" s="50">
        <v>400000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/>
      <c r="M33" s="50">
        <v>0</v>
      </c>
      <c r="N33" s="50"/>
      <c r="O33" s="50">
        <v>0</v>
      </c>
      <c r="P33" s="50"/>
      <c r="Q33" s="50">
        <v>0</v>
      </c>
    </row>
    <row r="34" spans="1:17" x14ac:dyDescent="0.25">
      <c r="A34" s="49" t="s">
        <v>696</v>
      </c>
      <c r="B34" s="49" t="s">
        <v>160</v>
      </c>
      <c r="C34" s="49" t="s">
        <v>161</v>
      </c>
      <c r="D34" s="49" t="s">
        <v>69</v>
      </c>
      <c r="E34" s="50">
        <v>400000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/>
      <c r="M34" s="50">
        <v>0</v>
      </c>
      <c r="N34" s="50"/>
      <c r="O34" s="50">
        <v>0</v>
      </c>
      <c r="P34" s="50"/>
      <c r="Q34" s="50">
        <v>0</v>
      </c>
    </row>
    <row r="35" spans="1:17" x14ac:dyDescent="0.25">
      <c r="A35" s="49" t="s">
        <v>696</v>
      </c>
      <c r="B35" s="49" t="s">
        <v>162</v>
      </c>
      <c r="C35" s="49" t="s">
        <v>163</v>
      </c>
      <c r="D35" s="49" t="s">
        <v>69</v>
      </c>
      <c r="E35" s="50">
        <v>322575</v>
      </c>
      <c r="F35" s="50">
        <v>367575</v>
      </c>
      <c r="G35" s="50">
        <v>367575</v>
      </c>
      <c r="H35" s="50">
        <v>0</v>
      </c>
      <c r="I35" s="50">
        <v>0</v>
      </c>
      <c r="J35" s="50">
        <v>0</v>
      </c>
      <c r="K35" s="50">
        <v>364509.75</v>
      </c>
      <c r="L35" s="50"/>
      <c r="M35" s="50">
        <v>0</v>
      </c>
      <c r="N35" s="50"/>
      <c r="O35" s="50">
        <v>3065.25</v>
      </c>
      <c r="P35" s="50"/>
      <c r="Q35" s="50">
        <v>3065.25</v>
      </c>
    </row>
    <row r="36" spans="1:17" x14ac:dyDescent="0.25">
      <c r="A36" s="49" t="s">
        <v>696</v>
      </c>
      <c r="B36" s="49" t="s">
        <v>170</v>
      </c>
      <c r="C36" s="49" t="s">
        <v>171</v>
      </c>
      <c r="D36" s="49" t="s">
        <v>69</v>
      </c>
      <c r="E36" s="50">
        <v>322575</v>
      </c>
      <c r="F36" s="50">
        <v>367575</v>
      </c>
      <c r="G36" s="50">
        <v>367575</v>
      </c>
      <c r="H36" s="50">
        <v>0</v>
      </c>
      <c r="I36" s="50">
        <v>0</v>
      </c>
      <c r="J36" s="50">
        <v>0</v>
      </c>
      <c r="K36" s="50">
        <v>364509.75</v>
      </c>
      <c r="L36" s="50"/>
      <c r="M36" s="50">
        <v>0</v>
      </c>
      <c r="N36" s="50"/>
      <c r="O36" s="50">
        <v>3065.25</v>
      </c>
      <c r="P36" s="50"/>
      <c r="Q36" s="50">
        <v>3065.25</v>
      </c>
    </row>
    <row r="37" spans="1:17" x14ac:dyDescent="0.25">
      <c r="A37" s="49" t="s">
        <v>696</v>
      </c>
      <c r="B37" s="49" t="s">
        <v>184</v>
      </c>
      <c r="C37" s="49" t="s">
        <v>185</v>
      </c>
      <c r="D37" s="49" t="s">
        <v>69</v>
      </c>
      <c r="E37" s="50">
        <v>4976400</v>
      </c>
      <c r="F37" s="50">
        <v>3876300</v>
      </c>
      <c r="G37" s="50">
        <v>3876300</v>
      </c>
      <c r="H37" s="50">
        <v>0</v>
      </c>
      <c r="I37" s="50">
        <v>177034.01</v>
      </c>
      <c r="J37" s="50">
        <v>0</v>
      </c>
      <c r="K37" s="50">
        <v>3305057.3</v>
      </c>
      <c r="L37" s="50"/>
      <c r="M37" s="50">
        <v>3305057.3</v>
      </c>
      <c r="N37" s="50"/>
      <c r="O37" s="50">
        <v>394208.69</v>
      </c>
      <c r="P37" s="50"/>
      <c r="Q37" s="50">
        <v>394208.69</v>
      </c>
    </row>
    <row r="38" spans="1:17" x14ac:dyDescent="0.25">
      <c r="A38" s="49" t="s">
        <v>696</v>
      </c>
      <c r="B38" s="49" t="s">
        <v>186</v>
      </c>
      <c r="C38" s="49" t="s">
        <v>187</v>
      </c>
      <c r="D38" s="49" t="s">
        <v>69</v>
      </c>
      <c r="E38" s="50">
        <v>43000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/>
      <c r="M38" s="50">
        <v>0</v>
      </c>
      <c r="N38" s="50"/>
      <c r="O38" s="50">
        <v>0</v>
      </c>
      <c r="P38" s="50"/>
      <c r="Q38" s="50">
        <v>0</v>
      </c>
    </row>
    <row r="39" spans="1:17" x14ac:dyDescent="0.25">
      <c r="A39" s="49" t="s">
        <v>696</v>
      </c>
      <c r="B39" s="49" t="s">
        <v>192</v>
      </c>
      <c r="C39" s="49" t="s">
        <v>193</v>
      </c>
      <c r="D39" s="49" t="s">
        <v>69</v>
      </c>
      <c r="E39" s="50">
        <v>43000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/>
      <c r="M39" s="50">
        <v>0</v>
      </c>
      <c r="N39" s="50"/>
      <c r="O39" s="50">
        <v>0</v>
      </c>
      <c r="P39" s="50"/>
      <c r="Q39" s="50">
        <v>0</v>
      </c>
    </row>
    <row r="40" spans="1:17" x14ac:dyDescent="0.25">
      <c r="A40" s="49" t="s">
        <v>696</v>
      </c>
      <c r="B40" s="49" t="s">
        <v>206</v>
      </c>
      <c r="C40" s="49" t="s">
        <v>207</v>
      </c>
      <c r="D40" s="49" t="s">
        <v>69</v>
      </c>
      <c r="E40" s="50">
        <v>49000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/>
      <c r="M40" s="50">
        <v>0</v>
      </c>
      <c r="N40" s="50"/>
      <c r="O40" s="50">
        <v>0</v>
      </c>
      <c r="P40" s="50"/>
      <c r="Q40" s="50">
        <v>0</v>
      </c>
    </row>
    <row r="41" spans="1:17" x14ac:dyDescent="0.25">
      <c r="A41" s="49" t="s">
        <v>696</v>
      </c>
      <c r="B41" s="49" t="s">
        <v>208</v>
      </c>
      <c r="C41" s="49" t="s">
        <v>209</v>
      </c>
      <c r="D41" s="49" t="s">
        <v>69</v>
      </c>
      <c r="E41" s="50">
        <v>49000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/>
      <c r="M41" s="50">
        <v>0</v>
      </c>
      <c r="N41" s="50"/>
      <c r="O41" s="50">
        <v>0</v>
      </c>
      <c r="P41" s="50"/>
      <c r="Q41" s="50">
        <v>0</v>
      </c>
    </row>
    <row r="42" spans="1:17" x14ac:dyDescent="0.25">
      <c r="A42" s="49" t="s">
        <v>696</v>
      </c>
      <c r="B42" s="49" t="s">
        <v>212</v>
      </c>
      <c r="C42" s="49" t="s">
        <v>213</v>
      </c>
      <c r="D42" s="49" t="s">
        <v>69</v>
      </c>
      <c r="E42" s="50">
        <v>4884400</v>
      </c>
      <c r="F42" s="50">
        <v>3876300</v>
      </c>
      <c r="G42" s="50">
        <v>3876300</v>
      </c>
      <c r="H42" s="50">
        <v>0</v>
      </c>
      <c r="I42" s="50">
        <v>177034.01</v>
      </c>
      <c r="J42" s="50">
        <v>0</v>
      </c>
      <c r="K42" s="50">
        <v>3305057.3</v>
      </c>
      <c r="L42" s="50"/>
      <c r="M42" s="50">
        <v>3305057.3</v>
      </c>
      <c r="N42" s="50"/>
      <c r="O42" s="50">
        <v>394208.69</v>
      </c>
      <c r="P42" s="50"/>
      <c r="Q42" s="50">
        <v>394208.69</v>
      </c>
    </row>
    <row r="43" spans="1:17" x14ac:dyDescent="0.25">
      <c r="A43" s="49" t="s">
        <v>696</v>
      </c>
      <c r="B43" s="49" t="s">
        <v>214</v>
      </c>
      <c r="C43" s="49" t="s">
        <v>215</v>
      </c>
      <c r="D43" s="49" t="s">
        <v>69</v>
      </c>
      <c r="E43" s="50">
        <v>2500000</v>
      </c>
      <c r="F43" s="50">
        <v>1950000</v>
      </c>
      <c r="G43" s="50">
        <v>1950000</v>
      </c>
      <c r="H43" s="50">
        <v>0</v>
      </c>
      <c r="I43" s="50">
        <v>177034.01</v>
      </c>
      <c r="J43" s="50">
        <v>0</v>
      </c>
      <c r="K43" s="50">
        <v>1561704.51</v>
      </c>
      <c r="L43" s="50"/>
      <c r="M43" s="50">
        <v>1561704.51</v>
      </c>
      <c r="N43" s="50"/>
      <c r="O43" s="50">
        <v>211261.48</v>
      </c>
      <c r="P43" s="50"/>
      <c r="Q43" s="50">
        <v>211261.48</v>
      </c>
    </row>
    <row r="44" spans="1:17" x14ac:dyDescent="0.25">
      <c r="A44" s="49" t="s">
        <v>696</v>
      </c>
      <c r="B44" s="49" t="s">
        <v>218</v>
      </c>
      <c r="C44" s="49" t="s">
        <v>219</v>
      </c>
      <c r="D44" s="49" t="s">
        <v>69</v>
      </c>
      <c r="E44" s="50">
        <v>1800000</v>
      </c>
      <c r="F44" s="50">
        <v>1476300</v>
      </c>
      <c r="G44" s="50">
        <v>1476300</v>
      </c>
      <c r="H44" s="50">
        <v>0</v>
      </c>
      <c r="I44" s="50">
        <v>0</v>
      </c>
      <c r="J44" s="50">
        <v>0</v>
      </c>
      <c r="K44" s="50">
        <v>1430237.18</v>
      </c>
      <c r="L44" s="50"/>
      <c r="M44" s="50">
        <v>1430237.18</v>
      </c>
      <c r="N44" s="50"/>
      <c r="O44" s="50">
        <v>46062.82</v>
      </c>
      <c r="P44" s="50"/>
      <c r="Q44" s="50">
        <v>46062.82</v>
      </c>
    </row>
    <row r="45" spans="1:17" x14ac:dyDescent="0.25">
      <c r="A45" s="49" t="s">
        <v>696</v>
      </c>
      <c r="B45" s="49" t="s">
        <v>222</v>
      </c>
      <c r="C45" s="49" t="s">
        <v>223</v>
      </c>
      <c r="D45" s="49" t="s">
        <v>69</v>
      </c>
      <c r="E45" s="50">
        <v>500000</v>
      </c>
      <c r="F45" s="50">
        <v>450000</v>
      </c>
      <c r="G45" s="50">
        <v>450000</v>
      </c>
      <c r="H45" s="50">
        <v>0</v>
      </c>
      <c r="I45" s="50">
        <v>0</v>
      </c>
      <c r="J45" s="50">
        <v>0</v>
      </c>
      <c r="K45" s="50">
        <v>313115.61</v>
      </c>
      <c r="L45" s="50"/>
      <c r="M45" s="50">
        <v>313115.61</v>
      </c>
      <c r="N45" s="50"/>
      <c r="O45" s="50">
        <v>136884.39000000001</v>
      </c>
      <c r="P45" s="50"/>
      <c r="Q45" s="50">
        <v>136884.39000000001</v>
      </c>
    </row>
    <row r="46" spans="1:17" x14ac:dyDescent="0.25">
      <c r="A46" s="49" t="s">
        <v>696</v>
      </c>
      <c r="B46" s="49" t="s">
        <v>226</v>
      </c>
      <c r="C46" s="49" t="s">
        <v>227</v>
      </c>
      <c r="D46" s="49" t="s">
        <v>69</v>
      </c>
      <c r="E46" s="50">
        <v>37400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/>
      <c r="M46" s="50">
        <v>0</v>
      </c>
      <c r="N46" s="50"/>
      <c r="O46" s="50">
        <v>0</v>
      </c>
      <c r="P46" s="50"/>
      <c r="Q46" s="50">
        <v>0</v>
      </c>
    </row>
    <row r="47" spans="1:17" x14ac:dyDescent="0.25">
      <c r="A47" s="49" t="s">
        <v>696</v>
      </c>
      <c r="B47" s="49" t="s">
        <v>228</v>
      </c>
      <c r="C47" s="49" t="s">
        <v>229</v>
      </c>
      <c r="D47" s="49" t="s">
        <v>69</v>
      </c>
      <c r="E47" s="50">
        <v>47000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/>
      <c r="M47" s="50">
        <v>0</v>
      </c>
      <c r="N47" s="50"/>
      <c r="O47" s="50">
        <v>0</v>
      </c>
      <c r="P47" s="50"/>
      <c r="Q47" s="50">
        <v>0</v>
      </c>
    </row>
    <row r="48" spans="1:17" x14ac:dyDescent="0.25">
      <c r="A48" s="49" t="s">
        <v>696</v>
      </c>
      <c r="B48" s="49" t="s">
        <v>248</v>
      </c>
      <c r="C48" s="49" t="s">
        <v>249</v>
      </c>
      <c r="D48" s="49" t="s">
        <v>69</v>
      </c>
      <c r="E48" s="50">
        <v>314465910</v>
      </c>
      <c r="F48" s="50">
        <v>322298642</v>
      </c>
      <c r="G48" s="50">
        <v>322298642</v>
      </c>
      <c r="H48" s="50">
        <v>0</v>
      </c>
      <c r="I48" s="50">
        <v>0</v>
      </c>
      <c r="J48" s="50">
        <v>0</v>
      </c>
      <c r="K48" s="50">
        <v>307985784.74000001</v>
      </c>
      <c r="L48" s="50"/>
      <c r="M48" s="50">
        <v>307985784.74000001</v>
      </c>
      <c r="N48" s="50"/>
      <c r="O48" s="50">
        <v>14312857.26</v>
      </c>
      <c r="P48" s="50"/>
      <c r="Q48" s="50">
        <v>14312857.26</v>
      </c>
    </row>
    <row r="49" spans="1:17" x14ac:dyDescent="0.25">
      <c r="A49" s="49" t="s">
        <v>696</v>
      </c>
      <c r="B49" s="49" t="s">
        <v>250</v>
      </c>
      <c r="C49" s="49" t="s">
        <v>251</v>
      </c>
      <c r="D49" s="49" t="s">
        <v>69</v>
      </c>
      <c r="E49" s="50">
        <v>281465910</v>
      </c>
      <c r="F49" s="50">
        <v>280298642</v>
      </c>
      <c r="G49" s="50">
        <v>280298642</v>
      </c>
      <c r="H49" s="50">
        <v>0</v>
      </c>
      <c r="I49" s="50">
        <v>0</v>
      </c>
      <c r="J49" s="50">
        <v>0</v>
      </c>
      <c r="K49" s="50">
        <v>274613391.94</v>
      </c>
      <c r="L49" s="50"/>
      <c r="M49" s="50">
        <v>274613391.94</v>
      </c>
      <c r="N49" s="50"/>
      <c r="O49" s="50">
        <v>5685250.0599999996</v>
      </c>
      <c r="P49" s="50"/>
      <c r="Q49" s="50">
        <v>5685250.0599999996</v>
      </c>
    </row>
    <row r="50" spans="1:17" x14ac:dyDescent="0.25">
      <c r="A50" s="49" t="s">
        <v>696</v>
      </c>
      <c r="B50" s="49" t="s">
        <v>619</v>
      </c>
      <c r="C50" s="49" t="s">
        <v>701</v>
      </c>
      <c r="D50" s="49" t="s">
        <v>69</v>
      </c>
      <c r="E50" s="50">
        <v>257500000</v>
      </c>
      <c r="F50" s="50">
        <v>257500000</v>
      </c>
      <c r="G50" s="50">
        <v>257500000</v>
      </c>
      <c r="H50" s="50">
        <v>0</v>
      </c>
      <c r="I50" s="50">
        <v>0</v>
      </c>
      <c r="J50" s="50">
        <v>0</v>
      </c>
      <c r="K50" s="50">
        <v>256509137.94</v>
      </c>
      <c r="L50" s="50"/>
      <c r="M50" s="50">
        <v>256509137.94</v>
      </c>
      <c r="N50" s="50"/>
      <c r="O50" s="50">
        <v>990862.06</v>
      </c>
      <c r="P50" s="50"/>
      <c r="Q50" s="50">
        <v>990862.06</v>
      </c>
    </row>
    <row r="51" spans="1:17" x14ac:dyDescent="0.25">
      <c r="A51" s="49" t="s">
        <v>696</v>
      </c>
      <c r="B51" s="49" t="s">
        <v>625</v>
      </c>
      <c r="C51" s="49" t="s">
        <v>702</v>
      </c>
      <c r="D51" s="49" t="s">
        <v>69</v>
      </c>
      <c r="E51" s="50">
        <v>20356634</v>
      </c>
      <c r="F51" s="50">
        <v>19365163</v>
      </c>
      <c r="G51" s="50">
        <v>19365163</v>
      </c>
      <c r="H51" s="50">
        <v>0</v>
      </c>
      <c r="I51" s="50">
        <v>0</v>
      </c>
      <c r="J51" s="50">
        <v>0</v>
      </c>
      <c r="K51" s="50">
        <v>15353408</v>
      </c>
      <c r="L51" s="50"/>
      <c r="M51" s="50">
        <v>15353408</v>
      </c>
      <c r="N51" s="50"/>
      <c r="O51" s="50">
        <v>4011755</v>
      </c>
      <c r="P51" s="50"/>
      <c r="Q51" s="50">
        <v>4011755</v>
      </c>
    </row>
    <row r="52" spans="1:17" x14ac:dyDescent="0.25">
      <c r="A52" s="49" t="s">
        <v>696</v>
      </c>
      <c r="B52" s="49" t="s">
        <v>640</v>
      </c>
      <c r="C52" s="49" t="s">
        <v>703</v>
      </c>
      <c r="D52" s="49" t="s">
        <v>69</v>
      </c>
      <c r="E52" s="50">
        <v>3609276</v>
      </c>
      <c r="F52" s="50">
        <v>3433479</v>
      </c>
      <c r="G52" s="50">
        <v>3433479</v>
      </c>
      <c r="H52" s="50">
        <v>0</v>
      </c>
      <c r="I52" s="50">
        <v>0</v>
      </c>
      <c r="J52" s="50">
        <v>0</v>
      </c>
      <c r="K52" s="50">
        <v>2750846</v>
      </c>
      <c r="L52" s="50"/>
      <c r="M52" s="50">
        <v>2750846</v>
      </c>
      <c r="N52" s="50"/>
      <c r="O52" s="50">
        <v>682633</v>
      </c>
      <c r="P52" s="50"/>
      <c r="Q52" s="50">
        <v>682633</v>
      </c>
    </row>
    <row r="53" spans="1:17" x14ac:dyDescent="0.25">
      <c r="A53" s="49" t="s">
        <v>696</v>
      </c>
      <c r="B53" s="49" t="s">
        <v>260</v>
      </c>
      <c r="C53" s="49" t="s">
        <v>261</v>
      </c>
      <c r="D53" s="49" t="s">
        <v>69</v>
      </c>
      <c r="E53" s="50">
        <v>33000000</v>
      </c>
      <c r="F53" s="50">
        <v>42000000</v>
      </c>
      <c r="G53" s="50">
        <v>42000000</v>
      </c>
      <c r="H53" s="50">
        <v>0</v>
      </c>
      <c r="I53" s="50">
        <v>0</v>
      </c>
      <c r="J53" s="50">
        <v>0</v>
      </c>
      <c r="K53" s="50">
        <v>33372392.800000001</v>
      </c>
      <c r="L53" s="50"/>
      <c r="M53" s="50">
        <v>33372392.800000001</v>
      </c>
      <c r="N53" s="50"/>
      <c r="O53" s="50">
        <v>8627607.1999999993</v>
      </c>
      <c r="P53" s="50"/>
      <c r="Q53" s="50">
        <v>8627607.1999999993</v>
      </c>
    </row>
    <row r="54" spans="1:17" x14ac:dyDescent="0.25">
      <c r="A54" s="49" t="s">
        <v>696</v>
      </c>
      <c r="B54" s="49" t="s">
        <v>262</v>
      </c>
      <c r="C54" s="49" t="s">
        <v>263</v>
      </c>
      <c r="D54" s="49" t="s">
        <v>69</v>
      </c>
      <c r="E54" s="50">
        <v>23000000</v>
      </c>
      <c r="F54" s="50">
        <v>23000000</v>
      </c>
      <c r="G54" s="50">
        <v>23000000</v>
      </c>
      <c r="H54" s="50">
        <v>0</v>
      </c>
      <c r="I54" s="50">
        <v>0</v>
      </c>
      <c r="J54" s="50">
        <v>0</v>
      </c>
      <c r="K54" s="50">
        <v>17919703.300000001</v>
      </c>
      <c r="L54" s="50"/>
      <c r="M54" s="50">
        <v>17919703.300000001</v>
      </c>
      <c r="N54" s="50"/>
      <c r="O54" s="50">
        <v>5080296.7</v>
      </c>
      <c r="P54" s="50"/>
      <c r="Q54" s="50">
        <v>5080296.7</v>
      </c>
    </row>
    <row r="55" spans="1:17" x14ac:dyDescent="0.25">
      <c r="A55" s="49" t="s">
        <v>696</v>
      </c>
      <c r="B55" s="49" t="s">
        <v>264</v>
      </c>
      <c r="C55" s="49" t="s">
        <v>265</v>
      </c>
      <c r="D55" s="49" t="s">
        <v>69</v>
      </c>
      <c r="E55" s="50">
        <v>10000000</v>
      </c>
      <c r="F55" s="50">
        <v>19000000</v>
      </c>
      <c r="G55" s="50">
        <v>19000000</v>
      </c>
      <c r="H55" s="50">
        <v>0</v>
      </c>
      <c r="I55" s="50">
        <v>0</v>
      </c>
      <c r="J55" s="50">
        <v>0</v>
      </c>
      <c r="K55" s="50">
        <v>15452689.5</v>
      </c>
      <c r="L55" s="50"/>
      <c r="M55" s="50">
        <v>15452689.5</v>
      </c>
      <c r="N55" s="50"/>
      <c r="O55" s="50">
        <v>3547310.5</v>
      </c>
      <c r="P55" s="50"/>
      <c r="Q55" s="50">
        <v>3547310.5</v>
      </c>
    </row>
    <row r="56" spans="1:17" x14ac:dyDescent="0.25">
      <c r="A56" s="49" t="s">
        <v>696</v>
      </c>
      <c r="B56" s="49" t="s">
        <v>230</v>
      </c>
      <c r="C56" s="49" t="s">
        <v>231</v>
      </c>
      <c r="D56" s="49" t="s">
        <v>85</v>
      </c>
      <c r="E56" s="50">
        <v>4220000</v>
      </c>
      <c r="F56" s="50">
        <v>3050000</v>
      </c>
      <c r="G56" s="50">
        <v>3050000</v>
      </c>
      <c r="H56" s="50">
        <v>0</v>
      </c>
      <c r="I56" s="50">
        <v>0</v>
      </c>
      <c r="J56" s="50">
        <v>0</v>
      </c>
      <c r="K56" s="50">
        <v>2343992.0299999998</v>
      </c>
      <c r="L56" s="50"/>
      <c r="M56" s="50">
        <v>2343992.0299999998</v>
      </c>
      <c r="N56" s="50"/>
      <c r="O56" s="50">
        <v>706007.97</v>
      </c>
      <c r="P56" s="50"/>
      <c r="Q56" s="50">
        <v>706007.97</v>
      </c>
    </row>
    <row r="57" spans="1:17" x14ac:dyDescent="0.25">
      <c r="A57" s="49" t="s">
        <v>696</v>
      </c>
      <c r="B57" s="49" t="s">
        <v>232</v>
      </c>
      <c r="C57" s="49" t="s">
        <v>233</v>
      </c>
      <c r="D57" s="49" t="s">
        <v>85</v>
      </c>
      <c r="E57" s="50">
        <v>3320000</v>
      </c>
      <c r="F57" s="50">
        <v>3050000</v>
      </c>
      <c r="G57" s="50">
        <v>3050000</v>
      </c>
      <c r="H57" s="50">
        <v>0</v>
      </c>
      <c r="I57" s="50">
        <v>0</v>
      </c>
      <c r="J57" s="50">
        <v>0</v>
      </c>
      <c r="K57" s="50">
        <v>2343992.0299999998</v>
      </c>
      <c r="L57" s="50"/>
      <c r="M57" s="50">
        <v>2343992.0299999998</v>
      </c>
      <c r="N57" s="50"/>
      <c r="O57" s="50">
        <v>706007.97</v>
      </c>
      <c r="P57" s="50"/>
      <c r="Q57" s="50">
        <v>706007.97</v>
      </c>
    </row>
    <row r="58" spans="1:17" x14ac:dyDescent="0.25">
      <c r="A58" s="49" t="s">
        <v>696</v>
      </c>
      <c r="B58" s="49" t="s">
        <v>236</v>
      </c>
      <c r="C58" s="49" t="s">
        <v>237</v>
      </c>
      <c r="D58" s="49" t="s">
        <v>85</v>
      </c>
      <c r="E58" s="50">
        <v>120000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/>
      <c r="M58" s="50">
        <v>0</v>
      </c>
      <c r="N58" s="50"/>
      <c r="O58" s="50">
        <v>0</v>
      </c>
      <c r="P58" s="50"/>
      <c r="Q58" s="50">
        <v>0</v>
      </c>
    </row>
    <row r="59" spans="1:17" x14ac:dyDescent="0.25">
      <c r="A59" s="49" t="s">
        <v>696</v>
      </c>
      <c r="B59" s="49" t="s">
        <v>238</v>
      </c>
      <c r="C59" s="49" t="s">
        <v>239</v>
      </c>
      <c r="D59" s="49" t="s">
        <v>85</v>
      </c>
      <c r="E59" s="50">
        <v>3200000</v>
      </c>
      <c r="F59" s="50">
        <v>3050000</v>
      </c>
      <c r="G59" s="50">
        <v>3050000</v>
      </c>
      <c r="H59" s="50">
        <v>0</v>
      </c>
      <c r="I59" s="50">
        <v>0</v>
      </c>
      <c r="J59" s="50">
        <v>0</v>
      </c>
      <c r="K59" s="50">
        <v>2343992.0299999998</v>
      </c>
      <c r="L59" s="50"/>
      <c r="M59" s="50">
        <v>2343992.0299999998</v>
      </c>
      <c r="N59" s="50"/>
      <c r="O59" s="50">
        <v>706007.97</v>
      </c>
      <c r="P59" s="50"/>
      <c r="Q59" s="50">
        <v>706007.97</v>
      </c>
    </row>
    <row r="60" spans="1:17" x14ac:dyDescent="0.25">
      <c r="A60" s="49" t="s">
        <v>696</v>
      </c>
      <c r="B60" s="49" t="s">
        <v>244</v>
      </c>
      <c r="C60" s="49" t="s">
        <v>245</v>
      </c>
      <c r="D60" s="49" t="s">
        <v>85</v>
      </c>
      <c r="E60" s="50">
        <v>900000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/>
      <c r="M60" s="50">
        <v>0</v>
      </c>
      <c r="N60" s="50"/>
      <c r="O60" s="50">
        <v>0</v>
      </c>
      <c r="P60" s="50"/>
      <c r="Q60" s="50">
        <v>0</v>
      </c>
    </row>
    <row r="61" spans="1:17" x14ac:dyDescent="0.25">
      <c r="A61" s="49" t="s">
        <v>696</v>
      </c>
      <c r="B61" s="49" t="s">
        <v>246</v>
      </c>
      <c r="C61" s="49" t="s">
        <v>247</v>
      </c>
      <c r="D61" s="49" t="s">
        <v>85</v>
      </c>
      <c r="E61" s="50">
        <v>900000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/>
      <c r="M61" s="50">
        <v>0</v>
      </c>
      <c r="N61" s="50"/>
      <c r="O61" s="50">
        <v>0</v>
      </c>
      <c r="P61" s="50"/>
      <c r="Q61" s="50">
        <v>0</v>
      </c>
    </row>
    <row r="62" spans="1:17" x14ac:dyDescent="0.25">
      <c r="A62" s="49">
        <v>214787</v>
      </c>
      <c r="B62" s="49"/>
      <c r="C62" s="49"/>
      <c r="D62" s="49" t="s">
        <v>69</v>
      </c>
      <c r="E62" s="50">
        <v>3672713874</v>
      </c>
      <c r="F62" s="50">
        <v>3467509456</v>
      </c>
      <c r="G62" s="50">
        <v>3467509456</v>
      </c>
      <c r="H62" s="50">
        <v>0</v>
      </c>
      <c r="I62" s="50">
        <v>26742682.59</v>
      </c>
      <c r="J62" s="50">
        <v>0</v>
      </c>
      <c r="K62" s="50">
        <v>3222776445.5100002</v>
      </c>
      <c r="L62" s="50"/>
      <c r="M62" s="50">
        <v>3198209481.3499999</v>
      </c>
      <c r="N62" s="50"/>
      <c r="O62" s="50">
        <v>217990327.90000001</v>
      </c>
      <c r="P62" s="50"/>
      <c r="Q62" s="50">
        <v>217990327.90000001</v>
      </c>
    </row>
    <row r="63" spans="1:17" x14ac:dyDescent="0.25">
      <c r="A63" s="49" t="s">
        <v>704</v>
      </c>
      <c r="B63" s="49" t="s">
        <v>71</v>
      </c>
      <c r="C63" s="49" t="s">
        <v>72</v>
      </c>
      <c r="D63" s="49" t="s">
        <v>69</v>
      </c>
      <c r="E63" s="50">
        <v>2848782596</v>
      </c>
      <c r="F63" s="50">
        <v>2664967424</v>
      </c>
      <c r="G63" s="50">
        <v>2664967424</v>
      </c>
      <c r="H63" s="50">
        <v>0</v>
      </c>
      <c r="I63" s="50">
        <v>1404.6</v>
      </c>
      <c r="J63" s="50">
        <v>0</v>
      </c>
      <c r="K63" s="50">
        <v>2481779239.6599998</v>
      </c>
      <c r="L63" s="50"/>
      <c r="M63" s="50">
        <v>2481779239.6599998</v>
      </c>
      <c r="N63" s="50"/>
      <c r="O63" s="50">
        <v>183186779.74000001</v>
      </c>
      <c r="P63" s="50"/>
      <c r="Q63" s="50">
        <v>183186779.74000001</v>
      </c>
    </row>
    <row r="64" spans="1:17" x14ac:dyDescent="0.25">
      <c r="A64" s="49" t="s">
        <v>704</v>
      </c>
      <c r="B64" s="49" t="s">
        <v>73</v>
      </c>
      <c r="C64" s="49" t="s">
        <v>74</v>
      </c>
      <c r="D64" s="49" t="s">
        <v>69</v>
      </c>
      <c r="E64" s="50">
        <v>1118901696</v>
      </c>
      <c r="F64" s="50">
        <v>1085616270</v>
      </c>
      <c r="G64" s="50">
        <v>1085616270</v>
      </c>
      <c r="H64" s="50">
        <v>0</v>
      </c>
      <c r="I64" s="50">
        <v>0</v>
      </c>
      <c r="J64" s="50">
        <v>0</v>
      </c>
      <c r="K64" s="50">
        <v>1025229752.76</v>
      </c>
      <c r="L64" s="50"/>
      <c r="M64" s="50">
        <v>1025229752.76</v>
      </c>
      <c r="N64" s="50"/>
      <c r="O64" s="50">
        <v>60386517.240000002</v>
      </c>
      <c r="P64" s="50"/>
      <c r="Q64" s="50">
        <v>60386517.240000002</v>
      </c>
    </row>
    <row r="65" spans="1:17" x14ac:dyDescent="0.25">
      <c r="A65" s="49" t="s">
        <v>704</v>
      </c>
      <c r="B65" s="49" t="s">
        <v>75</v>
      </c>
      <c r="C65" s="49" t="s">
        <v>76</v>
      </c>
      <c r="D65" s="49" t="s">
        <v>69</v>
      </c>
      <c r="E65" s="50">
        <v>1118901696</v>
      </c>
      <c r="F65" s="50">
        <v>1085616270</v>
      </c>
      <c r="G65" s="50">
        <v>1085616270</v>
      </c>
      <c r="H65" s="50">
        <v>0</v>
      </c>
      <c r="I65" s="50">
        <v>0</v>
      </c>
      <c r="J65" s="50">
        <v>0</v>
      </c>
      <c r="K65" s="50">
        <v>1025229752.76</v>
      </c>
      <c r="L65" s="50"/>
      <c r="M65" s="50">
        <v>1025229752.76</v>
      </c>
      <c r="N65" s="50"/>
      <c r="O65" s="50">
        <v>60386517.240000002</v>
      </c>
      <c r="P65" s="50"/>
      <c r="Q65" s="50">
        <v>60386517.240000002</v>
      </c>
    </row>
    <row r="66" spans="1:17" x14ac:dyDescent="0.25">
      <c r="A66" s="49" t="s">
        <v>704</v>
      </c>
      <c r="B66" s="49" t="s">
        <v>77</v>
      </c>
      <c r="C66" s="49" t="s">
        <v>78</v>
      </c>
      <c r="D66" s="49" t="s">
        <v>69</v>
      </c>
      <c r="E66" s="50">
        <v>1295309720</v>
      </c>
      <c r="F66" s="50">
        <v>1157356394</v>
      </c>
      <c r="G66" s="50">
        <v>1157356394</v>
      </c>
      <c r="H66" s="50">
        <v>0</v>
      </c>
      <c r="I66" s="50">
        <v>1404.6</v>
      </c>
      <c r="J66" s="50">
        <v>0</v>
      </c>
      <c r="K66" s="50">
        <v>1075906120.9000001</v>
      </c>
      <c r="L66" s="50"/>
      <c r="M66" s="50">
        <v>1075906120.9000001</v>
      </c>
      <c r="N66" s="50"/>
      <c r="O66" s="50">
        <v>81448868.5</v>
      </c>
      <c r="P66" s="50"/>
      <c r="Q66" s="50">
        <v>81448868.5</v>
      </c>
    </row>
    <row r="67" spans="1:17" x14ac:dyDescent="0.25">
      <c r="A67" s="49" t="s">
        <v>704</v>
      </c>
      <c r="B67" s="49" t="s">
        <v>79</v>
      </c>
      <c r="C67" s="49" t="s">
        <v>80</v>
      </c>
      <c r="D67" s="49" t="s">
        <v>69</v>
      </c>
      <c r="E67" s="50">
        <v>329734600</v>
      </c>
      <c r="F67" s="50">
        <v>328933600</v>
      </c>
      <c r="G67" s="50">
        <v>328933600</v>
      </c>
      <c r="H67" s="50">
        <v>0</v>
      </c>
      <c r="I67" s="50">
        <v>0</v>
      </c>
      <c r="J67" s="50">
        <v>0</v>
      </c>
      <c r="K67" s="50">
        <v>313405494.18000001</v>
      </c>
      <c r="L67" s="50"/>
      <c r="M67" s="50">
        <v>313405494.18000001</v>
      </c>
      <c r="N67" s="50"/>
      <c r="O67" s="50">
        <v>15528105.82</v>
      </c>
      <c r="P67" s="50"/>
      <c r="Q67" s="50">
        <v>15528105.82</v>
      </c>
    </row>
    <row r="68" spans="1:17" x14ac:dyDescent="0.25">
      <c r="A68" s="49" t="s">
        <v>704</v>
      </c>
      <c r="B68" s="49" t="s">
        <v>81</v>
      </c>
      <c r="C68" s="49" t="s">
        <v>82</v>
      </c>
      <c r="D68" s="49" t="s">
        <v>69</v>
      </c>
      <c r="E68" s="50">
        <v>442514922</v>
      </c>
      <c r="F68" s="50">
        <v>428653782</v>
      </c>
      <c r="G68" s="50">
        <v>428653782</v>
      </c>
      <c r="H68" s="50">
        <v>0</v>
      </c>
      <c r="I68" s="50">
        <v>0</v>
      </c>
      <c r="J68" s="50">
        <v>0</v>
      </c>
      <c r="K68" s="50">
        <v>398914896.32999998</v>
      </c>
      <c r="L68" s="50"/>
      <c r="M68" s="50">
        <v>398914896.32999998</v>
      </c>
      <c r="N68" s="50"/>
      <c r="O68" s="50">
        <v>29738885.670000002</v>
      </c>
      <c r="P68" s="50"/>
      <c r="Q68" s="50">
        <v>29738885.670000002</v>
      </c>
    </row>
    <row r="69" spans="1:17" x14ac:dyDescent="0.25">
      <c r="A69" s="49" t="s">
        <v>704</v>
      </c>
      <c r="B69" s="49" t="s">
        <v>86</v>
      </c>
      <c r="C69" s="49" t="s">
        <v>87</v>
      </c>
      <c r="D69" s="49" t="s">
        <v>69</v>
      </c>
      <c r="E69" s="50">
        <v>170646400</v>
      </c>
      <c r="F69" s="50">
        <v>55646400</v>
      </c>
      <c r="G69" s="50">
        <v>55646400</v>
      </c>
      <c r="H69" s="50">
        <v>0</v>
      </c>
      <c r="I69" s="50">
        <v>1404.6</v>
      </c>
      <c r="J69" s="50">
        <v>0</v>
      </c>
      <c r="K69" s="50">
        <v>45161024.82</v>
      </c>
      <c r="L69" s="50"/>
      <c r="M69" s="50">
        <v>45161024.82</v>
      </c>
      <c r="N69" s="50"/>
      <c r="O69" s="50">
        <v>10483970.58</v>
      </c>
      <c r="P69" s="50"/>
      <c r="Q69" s="50">
        <v>10483970.58</v>
      </c>
    </row>
    <row r="70" spans="1:17" x14ac:dyDescent="0.25">
      <c r="A70" s="49" t="s">
        <v>704</v>
      </c>
      <c r="B70" s="49" t="s">
        <v>88</v>
      </c>
      <c r="C70" s="49" t="s">
        <v>89</v>
      </c>
      <c r="D70" s="49" t="s">
        <v>69</v>
      </c>
      <c r="E70" s="50">
        <v>166773800</v>
      </c>
      <c r="F70" s="50">
        <v>163855000</v>
      </c>
      <c r="G70" s="50">
        <v>163855000</v>
      </c>
      <c r="H70" s="50">
        <v>0</v>
      </c>
      <c r="I70" s="50">
        <v>0</v>
      </c>
      <c r="J70" s="50">
        <v>0</v>
      </c>
      <c r="K70" s="50">
        <v>153200726.34999999</v>
      </c>
      <c r="L70" s="50"/>
      <c r="M70" s="50">
        <v>153200726.34999999</v>
      </c>
      <c r="N70" s="50"/>
      <c r="O70" s="50">
        <v>10654273.65</v>
      </c>
      <c r="P70" s="50"/>
      <c r="Q70" s="50">
        <v>10654273.65</v>
      </c>
    </row>
    <row r="71" spans="1:17" x14ac:dyDescent="0.25">
      <c r="A71" s="49" t="s">
        <v>704</v>
      </c>
      <c r="B71" s="49" t="s">
        <v>83</v>
      </c>
      <c r="C71" s="49" t="s">
        <v>84</v>
      </c>
      <c r="D71" s="49" t="s">
        <v>85</v>
      </c>
      <c r="E71" s="50">
        <v>185639998</v>
      </c>
      <c r="F71" s="50">
        <v>180267612</v>
      </c>
      <c r="G71" s="50">
        <v>180267612</v>
      </c>
      <c r="H71" s="50">
        <v>0</v>
      </c>
      <c r="I71" s="50">
        <v>0</v>
      </c>
      <c r="J71" s="50">
        <v>0</v>
      </c>
      <c r="K71" s="50">
        <v>165223979.22</v>
      </c>
      <c r="L71" s="50"/>
      <c r="M71" s="50">
        <v>165223979.22</v>
      </c>
      <c r="N71" s="50"/>
      <c r="O71" s="50">
        <v>15043632.779999999</v>
      </c>
      <c r="P71" s="50"/>
      <c r="Q71" s="50">
        <v>15043632.779999999</v>
      </c>
    </row>
    <row r="72" spans="1:17" x14ac:dyDescent="0.25">
      <c r="A72" s="49" t="s">
        <v>704</v>
      </c>
      <c r="B72" s="49" t="s">
        <v>90</v>
      </c>
      <c r="C72" s="49" t="s">
        <v>91</v>
      </c>
      <c r="D72" s="49" t="s">
        <v>69</v>
      </c>
      <c r="E72" s="50">
        <v>217285640</v>
      </c>
      <c r="F72" s="50">
        <v>210997433</v>
      </c>
      <c r="G72" s="50">
        <v>210997433</v>
      </c>
      <c r="H72" s="50">
        <v>0</v>
      </c>
      <c r="I72" s="50">
        <v>0</v>
      </c>
      <c r="J72" s="50">
        <v>0</v>
      </c>
      <c r="K72" s="50">
        <v>190510766</v>
      </c>
      <c r="L72" s="50"/>
      <c r="M72" s="50">
        <v>190510766</v>
      </c>
      <c r="N72" s="50"/>
      <c r="O72" s="50">
        <v>20486667</v>
      </c>
      <c r="P72" s="50"/>
      <c r="Q72" s="50">
        <v>20486667</v>
      </c>
    </row>
    <row r="73" spans="1:17" x14ac:dyDescent="0.25">
      <c r="A73" s="49" t="s">
        <v>704</v>
      </c>
      <c r="B73" s="49" t="s">
        <v>418</v>
      </c>
      <c r="C73" s="49" t="s">
        <v>697</v>
      </c>
      <c r="D73" s="49" t="s">
        <v>69</v>
      </c>
      <c r="E73" s="50">
        <v>206142800</v>
      </c>
      <c r="F73" s="50">
        <v>200177066</v>
      </c>
      <c r="G73" s="50">
        <v>200177066</v>
      </c>
      <c r="H73" s="50">
        <v>0</v>
      </c>
      <c r="I73" s="50">
        <v>0</v>
      </c>
      <c r="J73" s="50">
        <v>0</v>
      </c>
      <c r="K73" s="50">
        <v>180741199</v>
      </c>
      <c r="L73" s="50"/>
      <c r="M73" s="50">
        <v>180741199</v>
      </c>
      <c r="N73" s="50"/>
      <c r="O73" s="50">
        <v>19435867</v>
      </c>
      <c r="P73" s="50"/>
      <c r="Q73" s="50">
        <v>19435867</v>
      </c>
    </row>
    <row r="74" spans="1:17" x14ac:dyDescent="0.25">
      <c r="A74" s="49" t="s">
        <v>704</v>
      </c>
      <c r="B74" s="49" t="s">
        <v>435</v>
      </c>
      <c r="C74" s="49" t="s">
        <v>95</v>
      </c>
      <c r="D74" s="49" t="s">
        <v>69</v>
      </c>
      <c r="E74" s="50">
        <v>11142840</v>
      </c>
      <c r="F74" s="50">
        <v>10820367</v>
      </c>
      <c r="G74" s="50">
        <v>10820367</v>
      </c>
      <c r="H74" s="50">
        <v>0</v>
      </c>
      <c r="I74" s="50">
        <v>0</v>
      </c>
      <c r="J74" s="50">
        <v>0</v>
      </c>
      <c r="K74" s="50">
        <v>9769567</v>
      </c>
      <c r="L74" s="50"/>
      <c r="M74" s="50">
        <v>9769567</v>
      </c>
      <c r="N74" s="50"/>
      <c r="O74" s="50">
        <v>1050800</v>
      </c>
      <c r="P74" s="50"/>
      <c r="Q74" s="50">
        <v>1050800</v>
      </c>
    </row>
    <row r="75" spans="1:17" x14ac:dyDescent="0.25">
      <c r="A75" s="49" t="s">
        <v>704</v>
      </c>
      <c r="B75" s="49" t="s">
        <v>96</v>
      </c>
      <c r="C75" s="49" t="s">
        <v>97</v>
      </c>
      <c r="D75" s="49" t="s">
        <v>69</v>
      </c>
      <c r="E75" s="50">
        <v>217285540</v>
      </c>
      <c r="F75" s="50">
        <v>210997327</v>
      </c>
      <c r="G75" s="50">
        <v>210997327</v>
      </c>
      <c r="H75" s="50">
        <v>0</v>
      </c>
      <c r="I75" s="50">
        <v>0</v>
      </c>
      <c r="J75" s="50">
        <v>0</v>
      </c>
      <c r="K75" s="50">
        <v>190132600</v>
      </c>
      <c r="L75" s="50"/>
      <c r="M75" s="50">
        <v>190132600</v>
      </c>
      <c r="N75" s="50"/>
      <c r="O75" s="50">
        <v>20864727</v>
      </c>
      <c r="P75" s="50"/>
      <c r="Q75" s="50">
        <v>20864727</v>
      </c>
    </row>
    <row r="76" spans="1:17" x14ac:dyDescent="0.25">
      <c r="A76" s="49" t="s">
        <v>704</v>
      </c>
      <c r="B76" s="49" t="s">
        <v>453</v>
      </c>
      <c r="C76" s="49" t="s">
        <v>698</v>
      </c>
      <c r="D76" s="49" t="s">
        <v>69</v>
      </c>
      <c r="E76" s="50">
        <v>116999976</v>
      </c>
      <c r="F76" s="50">
        <v>113614017</v>
      </c>
      <c r="G76" s="50">
        <v>113614017</v>
      </c>
      <c r="H76" s="50">
        <v>0</v>
      </c>
      <c r="I76" s="50">
        <v>0</v>
      </c>
      <c r="J76" s="50">
        <v>0</v>
      </c>
      <c r="K76" s="50">
        <v>102206275</v>
      </c>
      <c r="L76" s="50"/>
      <c r="M76" s="50">
        <v>102206275</v>
      </c>
      <c r="N76" s="50"/>
      <c r="O76" s="50">
        <v>11407742</v>
      </c>
      <c r="P76" s="50"/>
      <c r="Q76" s="50">
        <v>11407742</v>
      </c>
    </row>
    <row r="77" spans="1:17" x14ac:dyDescent="0.25">
      <c r="A77" s="49" t="s">
        <v>704</v>
      </c>
      <c r="B77" s="49" t="s">
        <v>470</v>
      </c>
      <c r="C77" s="49" t="s">
        <v>699</v>
      </c>
      <c r="D77" s="49" t="s">
        <v>69</v>
      </c>
      <c r="E77" s="50">
        <v>33428521</v>
      </c>
      <c r="F77" s="50">
        <v>37661103</v>
      </c>
      <c r="G77" s="50">
        <v>37661103</v>
      </c>
      <c r="H77" s="50">
        <v>0</v>
      </c>
      <c r="I77" s="50">
        <v>0</v>
      </c>
      <c r="J77" s="50">
        <v>0</v>
      </c>
      <c r="K77" s="50">
        <v>34060283</v>
      </c>
      <c r="L77" s="50"/>
      <c r="M77" s="50">
        <v>34060283</v>
      </c>
      <c r="N77" s="50"/>
      <c r="O77" s="50">
        <v>3600820</v>
      </c>
      <c r="P77" s="50"/>
      <c r="Q77" s="50">
        <v>3600820</v>
      </c>
    </row>
    <row r="78" spans="1:17" x14ac:dyDescent="0.25">
      <c r="A78" s="49" t="s">
        <v>704</v>
      </c>
      <c r="B78" s="49" t="s">
        <v>487</v>
      </c>
      <c r="C78" s="49" t="s">
        <v>700</v>
      </c>
      <c r="D78" s="49" t="s">
        <v>69</v>
      </c>
      <c r="E78" s="50">
        <v>66857043</v>
      </c>
      <c r="F78" s="50">
        <v>59722207</v>
      </c>
      <c r="G78" s="50">
        <v>59722207</v>
      </c>
      <c r="H78" s="50">
        <v>0</v>
      </c>
      <c r="I78" s="50">
        <v>0</v>
      </c>
      <c r="J78" s="50">
        <v>0</v>
      </c>
      <c r="K78" s="50">
        <v>53866042</v>
      </c>
      <c r="L78" s="50"/>
      <c r="M78" s="50">
        <v>53866042</v>
      </c>
      <c r="N78" s="50"/>
      <c r="O78" s="50">
        <v>5856165</v>
      </c>
      <c r="P78" s="50"/>
      <c r="Q78" s="50">
        <v>5856165</v>
      </c>
    </row>
    <row r="79" spans="1:17" x14ac:dyDescent="0.25">
      <c r="A79" s="49" t="s">
        <v>704</v>
      </c>
      <c r="B79" s="49" t="s">
        <v>104</v>
      </c>
      <c r="C79" s="49" t="s">
        <v>105</v>
      </c>
      <c r="D79" s="49" t="s">
        <v>69</v>
      </c>
      <c r="E79" s="50">
        <v>261541565</v>
      </c>
      <c r="F79" s="50">
        <v>249886315</v>
      </c>
      <c r="G79" s="50">
        <v>249886315</v>
      </c>
      <c r="H79" s="50">
        <v>0</v>
      </c>
      <c r="I79" s="50">
        <v>21546564.91</v>
      </c>
      <c r="J79" s="50">
        <v>0</v>
      </c>
      <c r="K79" s="50">
        <v>211377413.59</v>
      </c>
      <c r="L79" s="50"/>
      <c r="M79" s="50">
        <v>186967519.43000001</v>
      </c>
      <c r="N79" s="50"/>
      <c r="O79" s="50">
        <v>16962336.5</v>
      </c>
      <c r="P79" s="50"/>
      <c r="Q79" s="50">
        <v>16962336.5</v>
      </c>
    </row>
    <row r="80" spans="1:17" x14ac:dyDescent="0.25">
      <c r="A80" s="49" t="s">
        <v>704</v>
      </c>
      <c r="B80" s="49" t="s">
        <v>106</v>
      </c>
      <c r="C80" s="49" t="s">
        <v>107</v>
      </c>
      <c r="D80" s="49" t="s">
        <v>69</v>
      </c>
      <c r="E80" s="50">
        <v>90013380</v>
      </c>
      <c r="F80" s="50">
        <v>90013380</v>
      </c>
      <c r="G80" s="50">
        <v>90013380</v>
      </c>
      <c r="H80" s="50">
        <v>0</v>
      </c>
      <c r="I80" s="50">
        <v>593437.46</v>
      </c>
      <c r="J80" s="50">
        <v>0</v>
      </c>
      <c r="K80" s="50">
        <v>76251609.890000001</v>
      </c>
      <c r="L80" s="50"/>
      <c r="M80" s="50">
        <v>66788454.259999998</v>
      </c>
      <c r="N80" s="50"/>
      <c r="O80" s="50">
        <v>13168332.65</v>
      </c>
      <c r="P80" s="50"/>
      <c r="Q80" s="50">
        <v>13168332.65</v>
      </c>
    </row>
    <row r="81" spans="1:17" x14ac:dyDescent="0.25">
      <c r="A81" s="49" t="s">
        <v>704</v>
      </c>
      <c r="B81" s="49" t="s">
        <v>108</v>
      </c>
      <c r="C81" s="49" t="s">
        <v>109</v>
      </c>
      <c r="D81" s="49" t="s">
        <v>69</v>
      </c>
      <c r="E81" s="50">
        <v>0</v>
      </c>
      <c r="F81" s="50">
        <v>90013379.840000004</v>
      </c>
      <c r="G81" s="50">
        <v>90013379.840000004</v>
      </c>
      <c r="H81" s="50">
        <v>0</v>
      </c>
      <c r="I81" s="50">
        <v>593437.46</v>
      </c>
      <c r="J81" s="50">
        <v>0</v>
      </c>
      <c r="K81" s="50">
        <v>76251609.890000001</v>
      </c>
      <c r="L81" s="50"/>
      <c r="M81" s="50">
        <v>66788454.259999998</v>
      </c>
      <c r="N81" s="50"/>
      <c r="O81" s="50">
        <v>13168332.49</v>
      </c>
      <c r="P81" s="50"/>
      <c r="Q81" s="50">
        <v>13168332.49</v>
      </c>
    </row>
    <row r="82" spans="1:17" x14ac:dyDescent="0.25">
      <c r="A82" s="49" t="s">
        <v>704</v>
      </c>
      <c r="B82" s="49" t="s">
        <v>304</v>
      </c>
      <c r="C82" s="49" t="s">
        <v>305</v>
      </c>
      <c r="D82" s="49" t="s">
        <v>69</v>
      </c>
      <c r="E82" s="50">
        <v>90013380</v>
      </c>
      <c r="F82" s="50">
        <v>0.16</v>
      </c>
      <c r="G82" s="50">
        <v>0.16</v>
      </c>
      <c r="H82" s="50">
        <v>0</v>
      </c>
      <c r="I82" s="50">
        <v>0</v>
      </c>
      <c r="J82" s="50">
        <v>0</v>
      </c>
      <c r="K82" s="50">
        <v>0</v>
      </c>
      <c r="L82" s="50"/>
      <c r="M82" s="50">
        <v>0</v>
      </c>
      <c r="N82" s="50"/>
      <c r="O82" s="50">
        <v>0.16</v>
      </c>
      <c r="P82" s="50"/>
      <c r="Q82" s="50">
        <v>0.16</v>
      </c>
    </row>
    <row r="83" spans="1:17" x14ac:dyDescent="0.25">
      <c r="A83" s="49" t="s">
        <v>704</v>
      </c>
      <c r="B83" s="49" t="s">
        <v>112</v>
      </c>
      <c r="C83" s="49" t="s">
        <v>113</v>
      </c>
      <c r="D83" s="49" t="s">
        <v>69</v>
      </c>
      <c r="E83" s="50">
        <v>105953785</v>
      </c>
      <c r="F83" s="50">
        <v>102953785</v>
      </c>
      <c r="G83" s="50">
        <v>102953785</v>
      </c>
      <c r="H83" s="50">
        <v>0</v>
      </c>
      <c r="I83" s="50">
        <v>14988040.550000001</v>
      </c>
      <c r="J83" s="50">
        <v>0</v>
      </c>
      <c r="K83" s="50">
        <v>86781208.840000004</v>
      </c>
      <c r="L83" s="50"/>
      <c r="M83" s="50">
        <v>79741641.459999993</v>
      </c>
      <c r="N83" s="50"/>
      <c r="O83" s="50">
        <v>1184535.6100000001</v>
      </c>
      <c r="P83" s="50"/>
      <c r="Q83" s="50">
        <v>1184535.6100000001</v>
      </c>
    </row>
    <row r="84" spans="1:17" x14ac:dyDescent="0.25">
      <c r="A84" s="49" t="s">
        <v>704</v>
      </c>
      <c r="B84" s="49" t="s">
        <v>114</v>
      </c>
      <c r="C84" s="49" t="s">
        <v>115</v>
      </c>
      <c r="D84" s="49" t="s">
        <v>69</v>
      </c>
      <c r="E84" s="50">
        <v>8169861</v>
      </c>
      <c r="F84" s="50">
        <v>6169861</v>
      </c>
      <c r="G84" s="50">
        <v>6169861</v>
      </c>
      <c r="H84" s="50">
        <v>0</v>
      </c>
      <c r="I84" s="50">
        <v>1002697</v>
      </c>
      <c r="J84" s="50">
        <v>0</v>
      </c>
      <c r="K84" s="50">
        <v>4012758</v>
      </c>
      <c r="L84" s="50"/>
      <c r="M84" s="50">
        <v>4012758</v>
      </c>
      <c r="N84" s="50"/>
      <c r="O84" s="50">
        <v>1154406</v>
      </c>
      <c r="P84" s="50"/>
      <c r="Q84" s="50">
        <v>1154406</v>
      </c>
    </row>
    <row r="85" spans="1:17" x14ac:dyDescent="0.25">
      <c r="A85" s="49" t="s">
        <v>704</v>
      </c>
      <c r="B85" s="49" t="s">
        <v>116</v>
      </c>
      <c r="C85" s="49" t="s">
        <v>117</v>
      </c>
      <c r="D85" s="49" t="s">
        <v>69</v>
      </c>
      <c r="E85" s="50">
        <v>49884000</v>
      </c>
      <c r="F85" s="50">
        <v>49884000</v>
      </c>
      <c r="G85" s="50">
        <v>49884000</v>
      </c>
      <c r="H85" s="50">
        <v>0</v>
      </c>
      <c r="I85" s="50">
        <v>8032155.5999999996</v>
      </c>
      <c r="J85" s="50">
        <v>0</v>
      </c>
      <c r="K85" s="50">
        <v>41851844.399999999</v>
      </c>
      <c r="L85" s="50"/>
      <c r="M85" s="50">
        <v>41851844.399999999</v>
      </c>
      <c r="N85" s="50"/>
      <c r="O85" s="50">
        <v>0</v>
      </c>
      <c r="P85" s="50"/>
      <c r="Q85" s="50">
        <v>0</v>
      </c>
    </row>
    <row r="86" spans="1:17" x14ac:dyDescent="0.25">
      <c r="A86" s="49" t="s">
        <v>704</v>
      </c>
      <c r="B86" s="49" t="s">
        <v>118</v>
      </c>
      <c r="C86" s="49" t="s">
        <v>119</v>
      </c>
      <c r="D86" s="49" t="s">
        <v>69</v>
      </c>
      <c r="E86" s="50">
        <v>19924</v>
      </c>
      <c r="F86" s="50">
        <v>19924</v>
      </c>
      <c r="G86" s="50">
        <v>19924</v>
      </c>
      <c r="H86" s="50">
        <v>0</v>
      </c>
      <c r="I86" s="50">
        <v>0</v>
      </c>
      <c r="J86" s="50">
        <v>0</v>
      </c>
      <c r="K86" s="50">
        <v>18925</v>
      </c>
      <c r="L86" s="50"/>
      <c r="M86" s="50">
        <v>18925</v>
      </c>
      <c r="N86" s="50"/>
      <c r="O86" s="50">
        <v>999</v>
      </c>
      <c r="P86" s="50"/>
      <c r="Q86" s="50">
        <v>999</v>
      </c>
    </row>
    <row r="87" spans="1:17" x14ac:dyDescent="0.25">
      <c r="A87" s="49" t="s">
        <v>704</v>
      </c>
      <c r="B87" s="49" t="s">
        <v>120</v>
      </c>
      <c r="C87" s="49" t="s">
        <v>121</v>
      </c>
      <c r="D87" s="49" t="s">
        <v>69</v>
      </c>
      <c r="E87" s="50">
        <v>47460000</v>
      </c>
      <c r="F87" s="50">
        <v>46460000</v>
      </c>
      <c r="G87" s="50">
        <v>46460000</v>
      </c>
      <c r="H87" s="50">
        <v>0</v>
      </c>
      <c r="I87" s="50">
        <v>5690123.9500000002</v>
      </c>
      <c r="J87" s="50">
        <v>0</v>
      </c>
      <c r="K87" s="50">
        <v>40769875.609999999</v>
      </c>
      <c r="L87" s="50"/>
      <c r="M87" s="50">
        <v>33752230.229999997</v>
      </c>
      <c r="N87" s="50"/>
      <c r="O87" s="50">
        <v>0.44</v>
      </c>
      <c r="P87" s="50"/>
      <c r="Q87" s="50">
        <v>0.44</v>
      </c>
    </row>
    <row r="88" spans="1:17" x14ac:dyDescent="0.25">
      <c r="A88" s="49" t="s">
        <v>704</v>
      </c>
      <c r="B88" s="49" t="s">
        <v>122</v>
      </c>
      <c r="C88" s="49" t="s">
        <v>123</v>
      </c>
      <c r="D88" s="49" t="s">
        <v>69</v>
      </c>
      <c r="E88" s="50">
        <v>420000</v>
      </c>
      <c r="F88" s="50">
        <v>420000</v>
      </c>
      <c r="G88" s="50">
        <v>420000</v>
      </c>
      <c r="H88" s="50">
        <v>0</v>
      </c>
      <c r="I88" s="50">
        <v>263064</v>
      </c>
      <c r="J88" s="50">
        <v>0</v>
      </c>
      <c r="K88" s="50">
        <v>127805.83</v>
      </c>
      <c r="L88" s="50"/>
      <c r="M88" s="50">
        <v>105883.83</v>
      </c>
      <c r="N88" s="50"/>
      <c r="O88" s="50">
        <v>29130.17</v>
      </c>
      <c r="P88" s="50"/>
      <c r="Q88" s="50">
        <v>29130.17</v>
      </c>
    </row>
    <row r="89" spans="1:17" x14ac:dyDescent="0.25">
      <c r="A89" s="49" t="s">
        <v>704</v>
      </c>
      <c r="B89" s="49" t="s">
        <v>124</v>
      </c>
      <c r="C89" s="49" t="s">
        <v>125</v>
      </c>
      <c r="D89" s="49" t="s">
        <v>69</v>
      </c>
      <c r="E89" s="50">
        <v>8000000</v>
      </c>
      <c r="F89" s="50">
        <v>10750000</v>
      </c>
      <c r="G89" s="50">
        <v>10750000</v>
      </c>
      <c r="H89" s="50">
        <v>0</v>
      </c>
      <c r="I89" s="50">
        <v>1266744.5</v>
      </c>
      <c r="J89" s="50">
        <v>0</v>
      </c>
      <c r="K89" s="50">
        <v>9157455.9800000004</v>
      </c>
      <c r="L89" s="50"/>
      <c r="M89" s="50">
        <v>7854616</v>
      </c>
      <c r="N89" s="50"/>
      <c r="O89" s="50">
        <v>325799.52</v>
      </c>
      <c r="P89" s="50"/>
      <c r="Q89" s="50">
        <v>325799.52</v>
      </c>
    </row>
    <row r="90" spans="1:17" x14ac:dyDescent="0.25">
      <c r="A90" s="49" t="s">
        <v>704</v>
      </c>
      <c r="B90" s="49" t="s">
        <v>126</v>
      </c>
      <c r="C90" s="49" t="s">
        <v>127</v>
      </c>
      <c r="D90" s="49" t="s">
        <v>69</v>
      </c>
      <c r="E90" s="50">
        <v>7000000</v>
      </c>
      <c r="F90" s="50">
        <v>10450000</v>
      </c>
      <c r="G90" s="50">
        <v>10450000</v>
      </c>
      <c r="H90" s="50">
        <v>0</v>
      </c>
      <c r="I90" s="50">
        <v>1266744.5</v>
      </c>
      <c r="J90" s="50">
        <v>0</v>
      </c>
      <c r="K90" s="50">
        <v>9118809.9800000004</v>
      </c>
      <c r="L90" s="50"/>
      <c r="M90" s="50">
        <v>7815970</v>
      </c>
      <c r="N90" s="50"/>
      <c r="O90" s="50">
        <v>64445.52</v>
      </c>
      <c r="P90" s="50"/>
      <c r="Q90" s="50">
        <v>64445.52</v>
      </c>
    </row>
    <row r="91" spans="1:17" x14ac:dyDescent="0.25">
      <c r="A91" s="49" t="s">
        <v>704</v>
      </c>
      <c r="B91" s="49" t="s">
        <v>132</v>
      </c>
      <c r="C91" s="49" t="s">
        <v>133</v>
      </c>
      <c r="D91" s="49" t="s">
        <v>69</v>
      </c>
      <c r="E91" s="50">
        <v>1000000</v>
      </c>
      <c r="F91" s="50">
        <v>300000</v>
      </c>
      <c r="G91" s="50">
        <v>300000</v>
      </c>
      <c r="H91" s="50">
        <v>0</v>
      </c>
      <c r="I91" s="50">
        <v>0</v>
      </c>
      <c r="J91" s="50">
        <v>0</v>
      </c>
      <c r="K91" s="50">
        <v>38646</v>
      </c>
      <c r="L91" s="50"/>
      <c r="M91" s="50">
        <v>38646</v>
      </c>
      <c r="N91" s="50"/>
      <c r="O91" s="50">
        <v>261354</v>
      </c>
      <c r="P91" s="50"/>
      <c r="Q91" s="50">
        <v>261354</v>
      </c>
    </row>
    <row r="92" spans="1:17" x14ac:dyDescent="0.25">
      <c r="A92" s="49" t="s">
        <v>704</v>
      </c>
      <c r="B92" s="49" t="s">
        <v>134</v>
      </c>
      <c r="C92" s="49" t="s">
        <v>135</v>
      </c>
      <c r="D92" s="49" t="s">
        <v>69</v>
      </c>
      <c r="E92" s="50">
        <v>3480000</v>
      </c>
      <c r="F92" s="50">
        <v>1480000</v>
      </c>
      <c r="G92" s="50">
        <v>1480000</v>
      </c>
      <c r="H92" s="50">
        <v>0</v>
      </c>
      <c r="I92" s="50">
        <v>130987.82</v>
      </c>
      <c r="J92" s="50">
        <v>0</v>
      </c>
      <c r="K92" s="50">
        <v>1348692.86</v>
      </c>
      <c r="L92" s="50"/>
      <c r="M92" s="50">
        <v>1030022.69</v>
      </c>
      <c r="N92" s="50"/>
      <c r="O92" s="50">
        <v>319.32</v>
      </c>
      <c r="P92" s="50"/>
      <c r="Q92" s="50">
        <v>319.32</v>
      </c>
    </row>
    <row r="93" spans="1:17" x14ac:dyDescent="0.25">
      <c r="A93" s="49" t="s">
        <v>704</v>
      </c>
      <c r="B93" s="49" t="s">
        <v>136</v>
      </c>
      <c r="C93" s="49" t="s">
        <v>137</v>
      </c>
      <c r="D93" s="49" t="s">
        <v>69</v>
      </c>
      <c r="E93" s="50">
        <v>2000000</v>
      </c>
      <c r="F93" s="50">
        <v>0</v>
      </c>
      <c r="G93" s="50">
        <v>0</v>
      </c>
      <c r="H93" s="50">
        <v>0</v>
      </c>
      <c r="I93" s="50">
        <v>0</v>
      </c>
      <c r="J93" s="50">
        <v>0</v>
      </c>
      <c r="K93" s="50">
        <v>0</v>
      </c>
      <c r="L93" s="50"/>
      <c r="M93" s="50">
        <v>0</v>
      </c>
      <c r="N93" s="50"/>
      <c r="O93" s="50">
        <v>0</v>
      </c>
      <c r="P93" s="50"/>
      <c r="Q93" s="50">
        <v>0</v>
      </c>
    </row>
    <row r="94" spans="1:17" x14ac:dyDescent="0.25">
      <c r="A94" s="49" t="s">
        <v>704</v>
      </c>
      <c r="B94" s="49" t="s">
        <v>138</v>
      </c>
      <c r="C94" s="49" t="s">
        <v>139</v>
      </c>
      <c r="D94" s="49" t="s">
        <v>69</v>
      </c>
      <c r="E94" s="50">
        <v>1480000</v>
      </c>
      <c r="F94" s="50">
        <v>1480000</v>
      </c>
      <c r="G94" s="50">
        <v>1480000</v>
      </c>
      <c r="H94" s="50">
        <v>0</v>
      </c>
      <c r="I94" s="50">
        <v>130987.82</v>
      </c>
      <c r="J94" s="50">
        <v>0</v>
      </c>
      <c r="K94" s="50">
        <v>1348692.86</v>
      </c>
      <c r="L94" s="50"/>
      <c r="M94" s="50">
        <v>1030022.69</v>
      </c>
      <c r="N94" s="50"/>
      <c r="O94" s="50">
        <v>319.32</v>
      </c>
      <c r="P94" s="50"/>
      <c r="Q94" s="50">
        <v>319.32</v>
      </c>
    </row>
    <row r="95" spans="1:17" x14ac:dyDescent="0.25">
      <c r="A95" s="49" t="s">
        <v>704</v>
      </c>
      <c r="B95" s="49" t="s">
        <v>140</v>
      </c>
      <c r="C95" s="49" t="s">
        <v>141</v>
      </c>
      <c r="D95" s="49" t="s">
        <v>69</v>
      </c>
      <c r="E95" s="50">
        <v>1500000</v>
      </c>
      <c r="F95" s="50">
        <v>791650</v>
      </c>
      <c r="G95" s="50">
        <v>791650</v>
      </c>
      <c r="H95" s="50">
        <v>0</v>
      </c>
      <c r="I95" s="50">
        <v>208350</v>
      </c>
      <c r="J95" s="50">
        <v>0</v>
      </c>
      <c r="K95" s="50">
        <v>389500</v>
      </c>
      <c r="L95" s="50"/>
      <c r="M95" s="50">
        <v>389500</v>
      </c>
      <c r="N95" s="50"/>
      <c r="O95" s="50">
        <v>193800</v>
      </c>
      <c r="P95" s="50"/>
      <c r="Q95" s="50">
        <v>193800</v>
      </c>
    </row>
    <row r="96" spans="1:17" x14ac:dyDescent="0.25">
      <c r="A96" s="49" t="s">
        <v>704</v>
      </c>
      <c r="B96" s="49" t="s">
        <v>144</v>
      </c>
      <c r="C96" s="49" t="s">
        <v>145</v>
      </c>
      <c r="D96" s="49" t="s">
        <v>69</v>
      </c>
      <c r="E96" s="50">
        <v>1500000</v>
      </c>
      <c r="F96" s="50">
        <v>791650</v>
      </c>
      <c r="G96" s="50">
        <v>791650</v>
      </c>
      <c r="H96" s="50">
        <v>0</v>
      </c>
      <c r="I96" s="50">
        <v>208350</v>
      </c>
      <c r="J96" s="50">
        <v>0</v>
      </c>
      <c r="K96" s="50">
        <v>389500</v>
      </c>
      <c r="L96" s="50"/>
      <c r="M96" s="50">
        <v>389500</v>
      </c>
      <c r="N96" s="50"/>
      <c r="O96" s="50">
        <v>193800</v>
      </c>
      <c r="P96" s="50"/>
      <c r="Q96" s="50">
        <v>193800</v>
      </c>
    </row>
    <row r="97" spans="1:17" x14ac:dyDescent="0.25">
      <c r="A97" s="49" t="s">
        <v>704</v>
      </c>
      <c r="B97" s="49" t="s">
        <v>150</v>
      </c>
      <c r="C97" s="49" t="s">
        <v>151</v>
      </c>
      <c r="D97" s="49" t="s">
        <v>69</v>
      </c>
      <c r="E97" s="50">
        <v>29000000</v>
      </c>
      <c r="F97" s="50">
        <v>24000000</v>
      </c>
      <c r="G97" s="50">
        <v>24000000</v>
      </c>
      <c r="H97" s="50">
        <v>0</v>
      </c>
      <c r="I97" s="50">
        <v>0</v>
      </c>
      <c r="J97" s="50">
        <v>0</v>
      </c>
      <c r="K97" s="50">
        <v>23906599</v>
      </c>
      <c r="L97" s="50"/>
      <c r="M97" s="50">
        <v>23906599</v>
      </c>
      <c r="N97" s="50"/>
      <c r="O97" s="50">
        <v>93401</v>
      </c>
      <c r="P97" s="50"/>
      <c r="Q97" s="50">
        <v>93401</v>
      </c>
    </row>
    <row r="98" spans="1:17" x14ac:dyDescent="0.25">
      <c r="A98" s="49" t="s">
        <v>704</v>
      </c>
      <c r="B98" s="49" t="s">
        <v>152</v>
      </c>
      <c r="C98" s="49" t="s">
        <v>153</v>
      </c>
      <c r="D98" s="49" t="s">
        <v>69</v>
      </c>
      <c r="E98" s="50">
        <v>29000000</v>
      </c>
      <c r="F98" s="50">
        <v>24000000</v>
      </c>
      <c r="G98" s="50">
        <v>24000000</v>
      </c>
      <c r="H98" s="50">
        <v>0</v>
      </c>
      <c r="I98" s="50">
        <v>0</v>
      </c>
      <c r="J98" s="50">
        <v>0</v>
      </c>
      <c r="K98" s="50">
        <v>23906599</v>
      </c>
      <c r="L98" s="50"/>
      <c r="M98" s="50">
        <v>23906599</v>
      </c>
      <c r="N98" s="50"/>
      <c r="O98" s="50">
        <v>93401</v>
      </c>
      <c r="P98" s="50"/>
      <c r="Q98" s="50">
        <v>93401</v>
      </c>
    </row>
    <row r="99" spans="1:17" x14ac:dyDescent="0.25">
      <c r="A99" s="49" t="s">
        <v>704</v>
      </c>
      <c r="B99" s="49" t="s">
        <v>154</v>
      </c>
      <c r="C99" s="49" t="s">
        <v>155</v>
      </c>
      <c r="D99" s="49" t="s">
        <v>69</v>
      </c>
      <c r="E99" s="50">
        <v>200000</v>
      </c>
      <c r="F99" s="50">
        <v>0</v>
      </c>
      <c r="G99" s="50">
        <v>0</v>
      </c>
      <c r="H99" s="50">
        <v>0</v>
      </c>
      <c r="I99" s="50">
        <v>0</v>
      </c>
      <c r="J99" s="50">
        <v>0</v>
      </c>
      <c r="K99" s="50">
        <v>0</v>
      </c>
      <c r="L99" s="50"/>
      <c r="M99" s="50">
        <v>0</v>
      </c>
      <c r="N99" s="50"/>
      <c r="O99" s="50">
        <v>0</v>
      </c>
      <c r="P99" s="50"/>
      <c r="Q99" s="50">
        <v>0</v>
      </c>
    </row>
    <row r="100" spans="1:17" x14ac:dyDescent="0.25">
      <c r="A100" s="49" t="s">
        <v>704</v>
      </c>
      <c r="B100" s="49" t="s">
        <v>160</v>
      </c>
      <c r="C100" s="49" t="s">
        <v>161</v>
      </c>
      <c r="D100" s="49" t="s">
        <v>69</v>
      </c>
      <c r="E100" s="50">
        <v>200000</v>
      </c>
      <c r="F100" s="50">
        <v>0</v>
      </c>
      <c r="G100" s="50">
        <v>0</v>
      </c>
      <c r="H100" s="50">
        <v>0</v>
      </c>
      <c r="I100" s="50">
        <v>0</v>
      </c>
      <c r="J100" s="50">
        <v>0</v>
      </c>
      <c r="K100" s="50">
        <v>0</v>
      </c>
      <c r="L100" s="50"/>
      <c r="M100" s="50">
        <v>0</v>
      </c>
      <c r="N100" s="50"/>
      <c r="O100" s="50">
        <v>0</v>
      </c>
      <c r="P100" s="50"/>
      <c r="Q100" s="50">
        <v>0</v>
      </c>
    </row>
    <row r="101" spans="1:17" x14ac:dyDescent="0.25">
      <c r="A101" s="49" t="s">
        <v>704</v>
      </c>
      <c r="B101" s="49" t="s">
        <v>162</v>
      </c>
      <c r="C101" s="49" t="s">
        <v>163</v>
      </c>
      <c r="D101" s="49" t="s">
        <v>69</v>
      </c>
      <c r="E101" s="50">
        <v>21394400</v>
      </c>
      <c r="F101" s="50">
        <v>17897500</v>
      </c>
      <c r="G101" s="50">
        <v>17897500</v>
      </c>
      <c r="H101" s="50">
        <v>0</v>
      </c>
      <c r="I101" s="50">
        <v>3334096.58</v>
      </c>
      <c r="J101" s="50">
        <v>0</v>
      </c>
      <c r="K101" s="50">
        <v>12567255.02</v>
      </c>
      <c r="L101" s="50"/>
      <c r="M101" s="50">
        <v>6928555.0199999996</v>
      </c>
      <c r="N101" s="50"/>
      <c r="O101" s="50">
        <v>1996148.4</v>
      </c>
      <c r="P101" s="50"/>
      <c r="Q101" s="50">
        <v>1996148.4</v>
      </c>
    </row>
    <row r="102" spans="1:17" x14ac:dyDescent="0.25">
      <c r="A102" s="49" t="s">
        <v>704</v>
      </c>
      <c r="B102" s="49" t="s">
        <v>166</v>
      </c>
      <c r="C102" s="49" t="s">
        <v>167</v>
      </c>
      <c r="D102" s="49" t="s">
        <v>69</v>
      </c>
      <c r="E102" s="50">
        <v>13000000</v>
      </c>
      <c r="F102" s="50">
        <v>12988100</v>
      </c>
      <c r="G102" s="50">
        <v>12988100</v>
      </c>
      <c r="H102" s="50">
        <v>0</v>
      </c>
      <c r="I102" s="50">
        <v>2378281.2599999998</v>
      </c>
      <c r="J102" s="50">
        <v>0</v>
      </c>
      <c r="K102" s="50">
        <v>9948591.1899999995</v>
      </c>
      <c r="L102" s="50"/>
      <c r="M102" s="50">
        <v>4309891.1900000004</v>
      </c>
      <c r="N102" s="50"/>
      <c r="O102" s="50">
        <v>661227.55000000005</v>
      </c>
      <c r="P102" s="50"/>
      <c r="Q102" s="50">
        <v>661227.55000000005</v>
      </c>
    </row>
    <row r="103" spans="1:17" x14ac:dyDescent="0.25">
      <c r="A103" s="49" t="s">
        <v>704</v>
      </c>
      <c r="B103" s="49" t="s">
        <v>168</v>
      </c>
      <c r="C103" s="49" t="s">
        <v>169</v>
      </c>
      <c r="D103" s="49" t="s">
        <v>69</v>
      </c>
      <c r="E103" s="50">
        <v>6194400</v>
      </c>
      <c r="F103" s="50">
        <v>3194400</v>
      </c>
      <c r="G103" s="50">
        <v>3194400</v>
      </c>
      <c r="H103" s="50">
        <v>0</v>
      </c>
      <c r="I103" s="50">
        <v>272400</v>
      </c>
      <c r="J103" s="50">
        <v>0</v>
      </c>
      <c r="K103" s="50">
        <v>1708334</v>
      </c>
      <c r="L103" s="50"/>
      <c r="M103" s="50">
        <v>1708334</v>
      </c>
      <c r="N103" s="50"/>
      <c r="O103" s="50">
        <v>1213666</v>
      </c>
      <c r="P103" s="50"/>
      <c r="Q103" s="50">
        <v>1213666</v>
      </c>
    </row>
    <row r="104" spans="1:17" x14ac:dyDescent="0.25">
      <c r="A104" s="49" t="s">
        <v>704</v>
      </c>
      <c r="B104" s="49" t="s">
        <v>172</v>
      </c>
      <c r="C104" s="49" t="s">
        <v>173</v>
      </c>
      <c r="D104" s="49" t="s">
        <v>69</v>
      </c>
      <c r="E104" s="50">
        <v>2200000</v>
      </c>
      <c r="F104" s="50">
        <v>1715000</v>
      </c>
      <c r="G104" s="50">
        <v>1715000</v>
      </c>
      <c r="H104" s="50">
        <v>0</v>
      </c>
      <c r="I104" s="50">
        <v>683415.32</v>
      </c>
      <c r="J104" s="50">
        <v>0</v>
      </c>
      <c r="K104" s="50">
        <v>910329.83</v>
      </c>
      <c r="L104" s="50"/>
      <c r="M104" s="50">
        <v>910329.83</v>
      </c>
      <c r="N104" s="50"/>
      <c r="O104" s="50">
        <v>121254.85</v>
      </c>
      <c r="P104" s="50"/>
      <c r="Q104" s="50">
        <v>121254.85</v>
      </c>
    </row>
    <row r="105" spans="1:17" x14ac:dyDescent="0.25">
      <c r="A105" s="49" t="s">
        <v>704</v>
      </c>
      <c r="B105" s="49" t="s">
        <v>174</v>
      </c>
      <c r="C105" s="49" t="s">
        <v>175</v>
      </c>
      <c r="D105" s="49" t="s">
        <v>69</v>
      </c>
      <c r="E105" s="50">
        <v>1000000</v>
      </c>
      <c r="F105" s="50">
        <v>1000000</v>
      </c>
      <c r="G105" s="50">
        <v>1000000</v>
      </c>
      <c r="H105" s="50">
        <v>0</v>
      </c>
      <c r="I105" s="50">
        <v>424908</v>
      </c>
      <c r="J105" s="50">
        <v>0</v>
      </c>
      <c r="K105" s="50">
        <v>575092</v>
      </c>
      <c r="L105" s="50"/>
      <c r="M105" s="50">
        <v>128131</v>
      </c>
      <c r="N105" s="50"/>
      <c r="O105" s="50">
        <v>0</v>
      </c>
      <c r="P105" s="50"/>
      <c r="Q105" s="50">
        <v>0</v>
      </c>
    </row>
    <row r="106" spans="1:17" x14ac:dyDescent="0.25">
      <c r="A106" s="49" t="s">
        <v>704</v>
      </c>
      <c r="B106" s="49" t="s">
        <v>176</v>
      </c>
      <c r="C106" s="49" t="s">
        <v>177</v>
      </c>
      <c r="D106" s="49" t="s">
        <v>69</v>
      </c>
      <c r="E106" s="50">
        <v>1000000</v>
      </c>
      <c r="F106" s="50">
        <v>1000000</v>
      </c>
      <c r="G106" s="50">
        <v>1000000</v>
      </c>
      <c r="H106" s="50">
        <v>0</v>
      </c>
      <c r="I106" s="50">
        <v>424908</v>
      </c>
      <c r="J106" s="50">
        <v>0</v>
      </c>
      <c r="K106" s="50">
        <v>575092</v>
      </c>
      <c r="L106" s="50"/>
      <c r="M106" s="50">
        <v>128131</v>
      </c>
      <c r="N106" s="50"/>
      <c r="O106" s="50">
        <v>0</v>
      </c>
      <c r="P106" s="50"/>
      <c r="Q106" s="50">
        <v>0</v>
      </c>
    </row>
    <row r="107" spans="1:17" x14ac:dyDescent="0.25">
      <c r="A107" s="49" t="s">
        <v>704</v>
      </c>
      <c r="B107" s="49" t="s">
        <v>178</v>
      </c>
      <c r="C107" s="49" t="s">
        <v>179</v>
      </c>
      <c r="D107" s="49" t="s">
        <v>69</v>
      </c>
      <c r="E107" s="50">
        <v>1000000</v>
      </c>
      <c r="F107" s="50">
        <v>1000000</v>
      </c>
      <c r="G107" s="50">
        <v>1000000</v>
      </c>
      <c r="H107" s="50">
        <v>0</v>
      </c>
      <c r="I107" s="50">
        <v>600000</v>
      </c>
      <c r="J107" s="50">
        <v>0</v>
      </c>
      <c r="K107" s="50">
        <v>400000</v>
      </c>
      <c r="L107" s="50"/>
      <c r="M107" s="50">
        <v>200000</v>
      </c>
      <c r="N107" s="50"/>
      <c r="O107" s="50">
        <v>0</v>
      </c>
      <c r="P107" s="50"/>
      <c r="Q107" s="50">
        <v>0</v>
      </c>
    </row>
    <row r="108" spans="1:17" x14ac:dyDescent="0.25">
      <c r="A108" s="49" t="s">
        <v>704</v>
      </c>
      <c r="B108" s="49" t="s">
        <v>182</v>
      </c>
      <c r="C108" s="49" t="s">
        <v>183</v>
      </c>
      <c r="D108" s="49" t="s">
        <v>69</v>
      </c>
      <c r="E108" s="50">
        <v>1000000</v>
      </c>
      <c r="F108" s="50">
        <v>1000000</v>
      </c>
      <c r="G108" s="50">
        <v>1000000</v>
      </c>
      <c r="H108" s="50">
        <v>0</v>
      </c>
      <c r="I108" s="50">
        <v>600000</v>
      </c>
      <c r="J108" s="50">
        <v>0</v>
      </c>
      <c r="K108" s="50">
        <v>400000</v>
      </c>
      <c r="L108" s="50"/>
      <c r="M108" s="50">
        <v>200000</v>
      </c>
      <c r="N108" s="50"/>
      <c r="O108" s="50">
        <v>0</v>
      </c>
      <c r="P108" s="50"/>
      <c r="Q108" s="50">
        <v>0</v>
      </c>
    </row>
    <row r="109" spans="1:17" x14ac:dyDescent="0.25">
      <c r="A109" s="49" t="s">
        <v>704</v>
      </c>
      <c r="B109" s="49" t="s">
        <v>184</v>
      </c>
      <c r="C109" s="49" t="s">
        <v>185</v>
      </c>
      <c r="D109" s="49" t="s">
        <v>69</v>
      </c>
      <c r="E109" s="50">
        <v>40981500</v>
      </c>
      <c r="F109" s="50">
        <v>33070115</v>
      </c>
      <c r="G109" s="50">
        <v>33070115</v>
      </c>
      <c r="H109" s="50">
        <v>0</v>
      </c>
      <c r="I109" s="50">
        <v>3090160.42</v>
      </c>
      <c r="J109" s="50">
        <v>0</v>
      </c>
      <c r="K109" s="50">
        <v>28552435.609999999</v>
      </c>
      <c r="L109" s="50"/>
      <c r="M109" s="50">
        <v>28395365.609999999</v>
      </c>
      <c r="N109" s="50"/>
      <c r="O109" s="50">
        <v>1427518.97</v>
      </c>
      <c r="P109" s="50"/>
      <c r="Q109" s="50">
        <v>1427518.97</v>
      </c>
    </row>
    <row r="110" spans="1:17" x14ac:dyDescent="0.25">
      <c r="A110" s="49" t="s">
        <v>704</v>
      </c>
      <c r="B110" s="49" t="s">
        <v>186</v>
      </c>
      <c r="C110" s="49" t="s">
        <v>187</v>
      </c>
      <c r="D110" s="49" t="s">
        <v>69</v>
      </c>
      <c r="E110" s="50">
        <v>14621000</v>
      </c>
      <c r="F110" s="50">
        <v>9600000</v>
      </c>
      <c r="G110" s="50">
        <v>9600000</v>
      </c>
      <c r="H110" s="50">
        <v>0</v>
      </c>
      <c r="I110" s="50">
        <v>2861072.6</v>
      </c>
      <c r="J110" s="50">
        <v>0</v>
      </c>
      <c r="K110" s="50">
        <v>6738927.4000000004</v>
      </c>
      <c r="L110" s="50"/>
      <c r="M110" s="50">
        <v>6738927.4000000004</v>
      </c>
      <c r="N110" s="50"/>
      <c r="O110" s="50">
        <v>0</v>
      </c>
      <c r="P110" s="50"/>
      <c r="Q110" s="50">
        <v>0</v>
      </c>
    </row>
    <row r="111" spans="1:17" x14ac:dyDescent="0.25">
      <c r="A111" s="49" t="s">
        <v>704</v>
      </c>
      <c r="B111" s="49" t="s">
        <v>188</v>
      </c>
      <c r="C111" s="49" t="s">
        <v>189</v>
      </c>
      <c r="D111" s="49" t="s">
        <v>69</v>
      </c>
      <c r="E111" s="50">
        <v>9600000</v>
      </c>
      <c r="F111" s="50">
        <v>9600000</v>
      </c>
      <c r="G111" s="50">
        <v>9600000</v>
      </c>
      <c r="H111" s="50">
        <v>0</v>
      </c>
      <c r="I111" s="50">
        <v>2861072.6</v>
      </c>
      <c r="J111" s="50">
        <v>0</v>
      </c>
      <c r="K111" s="50">
        <v>6738927.4000000004</v>
      </c>
      <c r="L111" s="50"/>
      <c r="M111" s="50">
        <v>6738927.4000000004</v>
      </c>
      <c r="N111" s="50"/>
      <c r="O111" s="50">
        <v>0</v>
      </c>
      <c r="P111" s="50"/>
      <c r="Q111" s="50">
        <v>0</v>
      </c>
    </row>
    <row r="112" spans="1:17" x14ac:dyDescent="0.25">
      <c r="A112" s="49" t="s">
        <v>704</v>
      </c>
      <c r="B112" s="49" t="s">
        <v>190</v>
      </c>
      <c r="C112" s="49" t="s">
        <v>191</v>
      </c>
      <c r="D112" s="49" t="s">
        <v>69</v>
      </c>
      <c r="E112" s="50">
        <v>5000000</v>
      </c>
      <c r="F112" s="50">
        <v>0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/>
      <c r="M112" s="50">
        <v>0</v>
      </c>
      <c r="N112" s="50"/>
      <c r="O112" s="50">
        <v>0</v>
      </c>
      <c r="P112" s="50"/>
      <c r="Q112" s="50">
        <v>0</v>
      </c>
    </row>
    <row r="113" spans="1:17" x14ac:dyDescent="0.25">
      <c r="A113" s="49" t="s">
        <v>704</v>
      </c>
      <c r="B113" s="49" t="s">
        <v>192</v>
      </c>
      <c r="C113" s="49" t="s">
        <v>193</v>
      </c>
      <c r="D113" s="49" t="s">
        <v>69</v>
      </c>
      <c r="E113" s="50">
        <v>21000</v>
      </c>
      <c r="F113" s="50">
        <v>0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/>
      <c r="M113" s="50">
        <v>0</v>
      </c>
      <c r="N113" s="50"/>
      <c r="O113" s="50">
        <v>0</v>
      </c>
      <c r="P113" s="50"/>
      <c r="Q113" s="50">
        <v>0</v>
      </c>
    </row>
    <row r="114" spans="1:17" x14ac:dyDescent="0.25">
      <c r="A114" s="49" t="s">
        <v>704</v>
      </c>
      <c r="B114" s="49" t="s">
        <v>196</v>
      </c>
      <c r="C114" s="49" t="s">
        <v>197</v>
      </c>
      <c r="D114" s="49" t="s">
        <v>69</v>
      </c>
      <c r="E114" s="50">
        <v>3000000</v>
      </c>
      <c r="F114" s="50">
        <v>2755000</v>
      </c>
      <c r="G114" s="50">
        <v>2755000</v>
      </c>
      <c r="H114" s="50">
        <v>0</v>
      </c>
      <c r="I114" s="50">
        <v>0</v>
      </c>
      <c r="J114" s="50">
        <v>0</v>
      </c>
      <c r="K114" s="50">
        <v>2210568</v>
      </c>
      <c r="L114" s="50"/>
      <c r="M114" s="50">
        <v>2210568</v>
      </c>
      <c r="N114" s="50"/>
      <c r="O114" s="50">
        <v>544432</v>
      </c>
      <c r="P114" s="50"/>
      <c r="Q114" s="50">
        <v>544432</v>
      </c>
    </row>
    <row r="115" spans="1:17" x14ac:dyDescent="0.25">
      <c r="A115" s="49" t="s">
        <v>704</v>
      </c>
      <c r="B115" s="49" t="s">
        <v>198</v>
      </c>
      <c r="C115" s="49" t="s">
        <v>199</v>
      </c>
      <c r="D115" s="49" t="s">
        <v>69</v>
      </c>
      <c r="E115" s="50">
        <v>3000000</v>
      </c>
      <c r="F115" s="50">
        <v>2755000</v>
      </c>
      <c r="G115" s="50">
        <v>2755000</v>
      </c>
      <c r="H115" s="50">
        <v>0</v>
      </c>
      <c r="I115" s="50">
        <v>0</v>
      </c>
      <c r="J115" s="50">
        <v>0</v>
      </c>
      <c r="K115" s="50">
        <v>2210568</v>
      </c>
      <c r="L115" s="50"/>
      <c r="M115" s="50">
        <v>2210568</v>
      </c>
      <c r="N115" s="50"/>
      <c r="O115" s="50">
        <v>544432</v>
      </c>
      <c r="P115" s="50"/>
      <c r="Q115" s="50">
        <v>544432</v>
      </c>
    </row>
    <row r="116" spans="1:17" x14ac:dyDescent="0.25">
      <c r="A116" s="49" t="s">
        <v>704</v>
      </c>
      <c r="B116" s="49" t="s">
        <v>206</v>
      </c>
      <c r="C116" s="49" t="s">
        <v>207</v>
      </c>
      <c r="D116" s="49" t="s">
        <v>69</v>
      </c>
      <c r="E116" s="50">
        <v>355000</v>
      </c>
      <c r="F116" s="50">
        <v>12615</v>
      </c>
      <c r="G116" s="50">
        <v>12615</v>
      </c>
      <c r="H116" s="50">
        <v>0</v>
      </c>
      <c r="I116" s="50">
        <v>0</v>
      </c>
      <c r="J116" s="50">
        <v>0</v>
      </c>
      <c r="K116" s="50">
        <v>12615</v>
      </c>
      <c r="L116" s="50"/>
      <c r="M116" s="50">
        <v>12615</v>
      </c>
      <c r="N116" s="50"/>
      <c r="O116" s="50">
        <v>0</v>
      </c>
      <c r="P116" s="50"/>
      <c r="Q116" s="50">
        <v>0</v>
      </c>
    </row>
    <row r="117" spans="1:17" x14ac:dyDescent="0.25">
      <c r="A117" s="49" t="s">
        <v>704</v>
      </c>
      <c r="B117" s="49" t="s">
        <v>208</v>
      </c>
      <c r="C117" s="49" t="s">
        <v>209</v>
      </c>
      <c r="D117" s="49" t="s">
        <v>69</v>
      </c>
      <c r="E117" s="50">
        <v>130000</v>
      </c>
      <c r="F117" s="50">
        <v>12615</v>
      </c>
      <c r="G117" s="50">
        <v>12615</v>
      </c>
      <c r="H117" s="50">
        <v>0</v>
      </c>
      <c r="I117" s="50">
        <v>0</v>
      </c>
      <c r="J117" s="50">
        <v>0</v>
      </c>
      <c r="K117" s="50">
        <v>12615</v>
      </c>
      <c r="L117" s="50"/>
      <c r="M117" s="50">
        <v>12615</v>
      </c>
      <c r="N117" s="50"/>
      <c r="O117" s="50">
        <v>0</v>
      </c>
      <c r="P117" s="50"/>
      <c r="Q117" s="50">
        <v>0</v>
      </c>
    </row>
    <row r="118" spans="1:17" x14ac:dyDescent="0.25">
      <c r="A118" s="49" t="s">
        <v>704</v>
      </c>
      <c r="B118" s="49" t="s">
        <v>210</v>
      </c>
      <c r="C118" s="49" t="s">
        <v>211</v>
      </c>
      <c r="D118" s="49" t="s">
        <v>69</v>
      </c>
      <c r="E118" s="50">
        <v>225000</v>
      </c>
      <c r="F118" s="50">
        <v>0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50"/>
      <c r="M118" s="50">
        <v>0</v>
      </c>
      <c r="N118" s="50"/>
      <c r="O118" s="50">
        <v>0</v>
      </c>
      <c r="P118" s="50"/>
      <c r="Q118" s="50">
        <v>0</v>
      </c>
    </row>
    <row r="119" spans="1:17" x14ac:dyDescent="0.25">
      <c r="A119" s="49" t="s">
        <v>704</v>
      </c>
      <c r="B119" s="49" t="s">
        <v>212</v>
      </c>
      <c r="C119" s="49" t="s">
        <v>213</v>
      </c>
      <c r="D119" s="49" t="s">
        <v>69</v>
      </c>
      <c r="E119" s="50">
        <v>23005500</v>
      </c>
      <c r="F119" s="50">
        <v>20702500</v>
      </c>
      <c r="G119" s="50">
        <v>20702500</v>
      </c>
      <c r="H119" s="50">
        <v>0</v>
      </c>
      <c r="I119" s="50">
        <v>229087.82</v>
      </c>
      <c r="J119" s="50">
        <v>0</v>
      </c>
      <c r="K119" s="50">
        <v>19590325.210000001</v>
      </c>
      <c r="L119" s="50"/>
      <c r="M119" s="50">
        <v>19433255.210000001</v>
      </c>
      <c r="N119" s="50"/>
      <c r="O119" s="50">
        <v>883086.97</v>
      </c>
      <c r="P119" s="50"/>
      <c r="Q119" s="50">
        <v>883086.97</v>
      </c>
    </row>
    <row r="120" spans="1:17" x14ac:dyDescent="0.25">
      <c r="A120" s="49" t="s">
        <v>704</v>
      </c>
      <c r="B120" s="49" t="s">
        <v>214</v>
      </c>
      <c r="C120" s="49" t="s">
        <v>215</v>
      </c>
      <c r="D120" s="49" t="s">
        <v>69</v>
      </c>
      <c r="E120" s="50">
        <v>2600000</v>
      </c>
      <c r="F120" s="50">
        <v>2050000</v>
      </c>
      <c r="G120" s="50">
        <v>2050000</v>
      </c>
      <c r="H120" s="50">
        <v>0</v>
      </c>
      <c r="I120" s="50">
        <v>229087.82</v>
      </c>
      <c r="J120" s="50">
        <v>0</v>
      </c>
      <c r="K120" s="50">
        <v>1516154.61</v>
      </c>
      <c r="L120" s="50"/>
      <c r="M120" s="50">
        <v>1516154.61</v>
      </c>
      <c r="N120" s="50"/>
      <c r="O120" s="50">
        <v>304757.57</v>
      </c>
      <c r="P120" s="50"/>
      <c r="Q120" s="50">
        <v>304757.57</v>
      </c>
    </row>
    <row r="121" spans="1:17" x14ac:dyDescent="0.25">
      <c r="A121" s="49" t="s">
        <v>704</v>
      </c>
      <c r="B121" s="49" t="s">
        <v>216</v>
      </c>
      <c r="C121" s="49" t="s">
        <v>217</v>
      </c>
      <c r="D121" s="49" t="s">
        <v>69</v>
      </c>
      <c r="E121" s="50">
        <v>562500</v>
      </c>
      <c r="F121" s="50">
        <v>502500</v>
      </c>
      <c r="G121" s="50">
        <v>502500</v>
      </c>
      <c r="H121" s="50">
        <v>0</v>
      </c>
      <c r="I121" s="50">
        <v>0</v>
      </c>
      <c r="J121" s="50">
        <v>0</v>
      </c>
      <c r="K121" s="50">
        <v>495000</v>
      </c>
      <c r="L121" s="50"/>
      <c r="M121" s="50">
        <v>495000</v>
      </c>
      <c r="N121" s="50"/>
      <c r="O121" s="50">
        <v>7500</v>
      </c>
      <c r="P121" s="50"/>
      <c r="Q121" s="50">
        <v>7500</v>
      </c>
    </row>
    <row r="122" spans="1:17" x14ac:dyDescent="0.25">
      <c r="A122" s="49" t="s">
        <v>704</v>
      </c>
      <c r="B122" s="49" t="s">
        <v>218</v>
      </c>
      <c r="C122" s="49" t="s">
        <v>219</v>
      </c>
      <c r="D122" s="49" t="s">
        <v>69</v>
      </c>
      <c r="E122" s="50">
        <v>8000000</v>
      </c>
      <c r="F122" s="50">
        <v>6450000</v>
      </c>
      <c r="G122" s="50">
        <v>6450000</v>
      </c>
      <c r="H122" s="50">
        <v>0</v>
      </c>
      <c r="I122" s="50">
        <v>0</v>
      </c>
      <c r="J122" s="50">
        <v>0</v>
      </c>
      <c r="K122" s="50">
        <v>5910316</v>
      </c>
      <c r="L122" s="50"/>
      <c r="M122" s="50">
        <v>5753246</v>
      </c>
      <c r="N122" s="50"/>
      <c r="O122" s="50">
        <v>539684</v>
      </c>
      <c r="P122" s="50"/>
      <c r="Q122" s="50">
        <v>539684</v>
      </c>
    </row>
    <row r="123" spans="1:17" x14ac:dyDescent="0.25">
      <c r="A123" s="49" t="s">
        <v>704</v>
      </c>
      <c r="B123" s="49" t="s">
        <v>222</v>
      </c>
      <c r="C123" s="49" t="s">
        <v>223</v>
      </c>
      <c r="D123" s="49" t="s">
        <v>69</v>
      </c>
      <c r="E123" s="50">
        <v>11000000</v>
      </c>
      <c r="F123" s="50">
        <v>11000000</v>
      </c>
      <c r="G123" s="50">
        <v>11000000</v>
      </c>
      <c r="H123" s="50">
        <v>0</v>
      </c>
      <c r="I123" s="50">
        <v>0</v>
      </c>
      <c r="J123" s="50">
        <v>0</v>
      </c>
      <c r="K123" s="50">
        <v>10987125.6</v>
      </c>
      <c r="L123" s="50"/>
      <c r="M123" s="50">
        <v>10987125.6</v>
      </c>
      <c r="N123" s="50"/>
      <c r="O123" s="50">
        <v>12874.4</v>
      </c>
      <c r="P123" s="50"/>
      <c r="Q123" s="50">
        <v>12874.4</v>
      </c>
    </row>
    <row r="124" spans="1:17" x14ac:dyDescent="0.25">
      <c r="A124" s="49" t="s">
        <v>704</v>
      </c>
      <c r="B124" s="49" t="s">
        <v>224</v>
      </c>
      <c r="C124" s="49" t="s">
        <v>225</v>
      </c>
      <c r="D124" s="49" t="s">
        <v>69</v>
      </c>
      <c r="E124" s="50">
        <v>800000</v>
      </c>
      <c r="F124" s="50">
        <v>700000</v>
      </c>
      <c r="G124" s="50">
        <v>700000</v>
      </c>
      <c r="H124" s="50">
        <v>0</v>
      </c>
      <c r="I124" s="50">
        <v>0</v>
      </c>
      <c r="J124" s="50">
        <v>0</v>
      </c>
      <c r="K124" s="50">
        <v>681729</v>
      </c>
      <c r="L124" s="50"/>
      <c r="M124" s="50">
        <v>681729</v>
      </c>
      <c r="N124" s="50"/>
      <c r="O124" s="50">
        <v>18271</v>
      </c>
      <c r="P124" s="50"/>
      <c r="Q124" s="50">
        <v>18271</v>
      </c>
    </row>
    <row r="125" spans="1:17" x14ac:dyDescent="0.25">
      <c r="A125" s="49" t="s">
        <v>704</v>
      </c>
      <c r="B125" s="49" t="s">
        <v>226</v>
      </c>
      <c r="C125" s="49" t="s">
        <v>227</v>
      </c>
      <c r="D125" s="49" t="s">
        <v>69</v>
      </c>
      <c r="E125" s="50">
        <v>10000</v>
      </c>
      <c r="F125" s="50">
        <v>0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/>
      <c r="M125" s="50">
        <v>0</v>
      </c>
      <c r="N125" s="50"/>
      <c r="O125" s="50">
        <v>0</v>
      </c>
      <c r="P125" s="50"/>
      <c r="Q125" s="50">
        <v>0</v>
      </c>
    </row>
    <row r="126" spans="1:17" x14ac:dyDescent="0.25">
      <c r="A126" s="49" t="s">
        <v>704</v>
      </c>
      <c r="B126" s="49" t="s">
        <v>228</v>
      </c>
      <c r="C126" s="49" t="s">
        <v>229</v>
      </c>
      <c r="D126" s="49" t="s">
        <v>69</v>
      </c>
      <c r="E126" s="50">
        <v>33000</v>
      </c>
      <c r="F126" s="50">
        <v>0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/>
      <c r="M126" s="50">
        <v>0</v>
      </c>
      <c r="N126" s="50"/>
      <c r="O126" s="50">
        <v>0</v>
      </c>
      <c r="P126" s="50"/>
      <c r="Q126" s="50">
        <v>0</v>
      </c>
    </row>
    <row r="127" spans="1:17" x14ac:dyDescent="0.25">
      <c r="A127" s="49" t="s">
        <v>704</v>
      </c>
      <c r="B127" s="49" t="s">
        <v>248</v>
      </c>
      <c r="C127" s="49" t="s">
        <v>249</v>
      </c>
      <c r="D127" s="49" t="s">
        <v>69</v>
      </c>
      <c r="E127" s="50">
        <v>509299073</v>
      </c>
      <c r="F127" s="50">
        <v>511116462</v>
      </c>
      <c r="G127" s="50">
        <v>511116462</v>
      </c>
      <c r="H127" s="50">
        <v>0</v>
      </c>
      <c r="I127" s="50">
        <v>2104552.66</v>
      </c>
      <c r="J127" s="50">
        <v>0</v>
      </c>
      <c r="K127" s="50">
        <v>501067356.64999998</v>
      </c>
      <c r="L127" s="50"/>
      <c r="M127" s="50">
        <v>501067356.64999998</v>
      </c>
      <c r="N127" s="50"/>
      <c r="O127" s="50">
        <v>7944552.6900000004</v>
      </c>
      <c r="P127" s="50"/>
      <c r="Q127" s="50">
        <v>7944552.6900000004</v>
      </c>
    </row>
    <row r="128" spans="1:17" x14ac:dyDescent="0.25">
      <c r="A128" s="49" t="s">
        <v>704</v>
      </c>
      <c r="B128" s="49" t="s">
        <v>250</v>
      </c>
      <c r="C128" s="49" t="s">
        <v>251</v>
      </c>
      <c r="D128" s="49" t="s">
        <v>69</v>
      </c>
      <c r="E128" s="50">
        <v>38994178</v>
      </c>
      <c r="F128" s="50">
        <v>37923567</v>
      </c>
      <c r="G128" s="50">
        <v>37923567</v>
      </c>
      <c r="H128" s="50">
        <v>0</v>
      </c>
      <c r="I128" s="50">
        <v>0</v>
      </c>
      <c r="J128" s="50">
        <v>0</v>
      </c>
      <c r="K128" s="50">
        <v>34059460</v>
      </c>
      <c r="L128" s="50"/>
      <c r="M128" s="50">
        <v>34059460</v>
      </c>
      <c r="N128" s="50"/>
      <c r="O128" s="50">
        <v>3864107</v>
      </c>
      <c r="P128" s="50"/>
      <c r="Q128" s="50">
        <v>3864107</v>
      </c>
    </row>
    <row r="129" spans="1:17" x14ac:dyDescent="0.25">
      <c r="A129" s="49" t="s">
        <v>704</v>
      </c>
      <c r="B129" s="49" t="s">
        <v>617</v>
      </c>
      <c r="C129" s="49" t="s">
        <v>253</v>
      </c>
      <c r="D129" s="49" t="s">
        <v>69</v>
      </c>
      <c r="E129" s="50">
        <v>2000000</v>
      </c>
      <c r="F129" s="50">
        <v>2000000</v>
      </c>
      <c r="G129" s="50">
        <v>2000000</v>
      </c>
      <c r="H129" s="50">
        <v>0</v>
      </c>
      <c r="I129" s="50">
        <v>0</v>
      </c>
      <c r="J129" s="50">
        <v>0</v>
      </c>
      <c r="K129" s="50">
        <v>2000000</v>
      </c>
      <c r="L129" s="50"/>
      <c r="M129" s="50">
        <v>2000000</v>
      </c>
      <c r="N129" s="50"/>
      <c r="O129" s="50">
        <v>0</v>
      </c>
      <c r="P129" s="50"/>
      <c r="Q129" s="50">
        <v>0</v>
      </c>
    </row>
    <row r="130" spans="1:17" x14ac:dyDescent="0.25">
      <c r="A130" s="49" t="s">
        <v>704</v>
      </c>
      <c r="B130" s="49" t="s">
        <v>627</v>
      </c>
      <c r="C130" s="49" t="s">
        <v>702</v>
      </c>
      <c r="D130" s="49" t="s">
        <v>69</v>
      </c>
      <c r="E130" s="50">
        <v>31422808</v>
      </c>
      <c r="F130" s="50">
        <v>30513436</v>
      </c>
      <c r="G130" s="50">
        <v>30513436</v>
      </c>
      <c r="H130" s="50">
        <v>0</v>
      </c>
      <c r="I130" s="50">
        <v>0</v>
      </c>
      <c r="J130" s="50">
        <v>0</v>
      </c>
      <c r="K130" s="50">
        <v>27174665</v>
      </c>
      <c r="L130" s="50"/>
      <c r="M130" s="50">
        <v>27174665</v>
      </c>
      <c r="N130" s="50"/>
      <c r="O130" s="50">
        <v>3338771</v>
      </c>
      <c r="P130" s="50"/>
      <c r="Q130" s="50">
        <v>3338771</v>
      </c>
    </row>
    <row r="131" spans="1:17" x14ac:dyDescent="0.25">
      <c r="A131" s="49" t="s">
        <v>704</v>
      </c>
      <c r="B131" s="49" t="s">
        <v>642</v>
      </c>
      <c r="C131" s="49" t="s">
        <v>703</v>
      </c>
      <c r="D131" s="49" t="s">
        <v>69</v>
      </c>
      <c r="E131" s="50">
        <v>5571370</v>
      </c>
      <c r="F131" s="50">
        <v>5410131</v>
      </c>
      <c r="G131" s="50">
        <v>5410131</v>
      </c>
      <c r="H131" s="50">
        <v>0</v>
      </c>
      <c r="I131" s="50">
        <v>0</v>
      </c>
      <c r="J131" s="50">
        <v>0</v>
      </c>
      <c r="K131" s="50">
        <v>4884795</v>
      </c>
      <c r="L131" s="50"/>
      <c r="M131" s="50">
        <v>4884795</v>
      </c>
      <c r="N131" s="50"/>
      <c r="O131" s="50">
        <v>525336</v>
      </c>
      <c r="P131" s="50"/>
      <c r="Q131" s="50">
        <v>525336</v>
      </c>
    </row>
    <row r="132" spans="1:17" x14ac:dyDescent="0.25">
      <c r="A132" s="49" t="s">
        <v>704</v>
      </c>
      <c r="B132" s="49" t="s">
        <v>260</v>
      </c>
      <c r="C132" s="49" t="s">
        <v>261</v>
      </c>
      <c r="D132" s="49" t="s">
        <v>69</v>
      </c>
      <c r="E132" s="50">
        <v>47000000</v>
      </c>
      <c r="F132" s="50">
        <v>50498000</v>
      </c>
      <c r="G132" s="50">
        <v>50498000</v>
      </c>
      <c r="H132" s="50">
        <v>0</v>
      </c>
      <c r="I132" s="50">
        <v>1658649.9</v>
      </c>
      <c r="J132" s="50">
        <v>0</v>
      </c>
      <c r="K132" s="50">
        <v>44766324.310000002</v>
      </c>
      <c r="L132" s="50"/>
      <c r="M132" s="50">
        <v>44766324.310000002</v>
      </c>
      <c r="N132" s="50"/>
      <c r="O132" s="50">
        <v>4073025.79</v>
      </c>
      <c r="P132" s="50"/>
      <c r="Q132" s="50">
        <v>4073025.79</v>
      </c>
    </row>
    <row r="133" spans="1:17" x14ac:dyDescent="0.25">
      <c r="A133" s="49" t="s">
        <v>704</v>
      </c>
      <c r="B133" s="49" t="s">
        <v>262</v>
      </c>
      <c r="C133" s="49" t="s">
        <v>263</v>
      </c>
      <c r="D133" s="49" t="s">
        <v>69</v>
      </c>
      <c r="E133" s="50">
        <v>22000000</v>
      </c>
      <c r="F133" s="50">
        <v>43498000</v>
      </c>
      <c r="G133" s="50">
        <v>43498000</v>
      </c>
      <c r="H133" s="50">
        <v>0</v>
      </c>
      <c r="I133" s="50">
        <v>1658649.9</v>
      </c>
      <c r="J133" s="50">
        <v>0</v>
      </c>
      <c r="K133" s="50">
        <v>40798623.310000002</v>
      </c>
      <c r="L133" s="50"/>
      <c r="M133" s="50">
        <v>40798623.310000002</v>
      </c>
      <c r="N133" s="50"/>
      <c r="O133" s="50">
        <v>1040726.79</v>
      </c>
      <c r="P133" s="50"/>
      <c r="Q133" s="50">
        <v>1040726.79</v>
      </c>
    </row>
    <row r="134" spans="1:17" x14ac:dyDescent="0.25">
      <c r="A134" s="49" t="s">
        <v>704</v>
      </c>
      <c r="B134" s="49" t="s">
        <v>264</v>
      </c>
      <c r="C134" s="49" t="s">
        <v>265</v>
      </c>
      <c r="D134" s="49" t="s">
        <v>69</v>
      </c>
      <c r="E134" s="50">
        <v>25000000</v>
      </c>
      <c r="F134" s="50">
        <v>7000000</v>
      </c>
      <c r="G134" s="50">
        <v>7000000</v>
      </c>
      <c r="H134" s="50">
        <v>0</v>
      </c>
      <c r="I134" s="50">
        <v>0</v>
      </c>
      <c r="J134" s="50">
        <v>0</v>
      </c>
      <c r="K134" s="50">
        <v>3967701</v>
      </c>
      <c r="L134" s="50"/>
      <c r="M134" s="50">
        <v>3967701</v>
      </c>
      <c r="N134" s="50"/>
      <c r="O134" s="50">
        <v>3032299</v>
      </c>
      <c r="P134" s="50"/>
      <c r="Q134" s="50">
        <v>3032299</v>
      </c>
    </row>
    <row r="135" spans="1:17" x14ac:dyDescent="0.25">
      <c r="A135" s="49" t="s">
        <v>704</v>
      </c>
      <c r="B135" s="49" t="s">
        <v>266</v>
      </c>
      <c r="C135" s="49" t="s">
        <v>267</v>
      </c>
      <c r="D135" s="49" t="s">
        <v>69</v>
      </c>
      <c r="E135" s="50">
        <v>423304895</v>
      </c>
      <c r="F135" s="50">
        <v>422694895</v>
      </c>
      <c r="G135" s="50">
        <v>422694895</v>
      </c>
      <c r="H135" s="50">
        <v>0</v>
      </c>
      <c r="I135" s="50">
        <v>445902.76</v>
      </c>
      <c r="J135" s="50">
        <v>0</v>
      </c>
      <c r="K135" s="50">
        <v>422241572.33999997</v>
      </c>
      <c r="L135" s="50"/>
      <c r="M135" s="50">
        <v>422241572.33999997</v>
      </c>
      <c r="N135" s="50"/>
      <c r="O135" s="50">
        <v>7419.9</v>
      </c>
      <c r="P135" s="50"/>
      <c r="Q135" s="50">
        <v>7419.9</v>
      </c>
    </row>
    <row r="136" spans="1:17" x14ac:dyDescent="0.25">
      <c r="A136" s="49" t="s">
        <v>704</v>
      </c>
      <c r="B136" s="49" t="s">
        <v>664</v>
      </c>
      <c r="C136" s="49" t="s">
        <v>269</v>
      </c>
      <c r="D136" s="49" t="s">
        <v>69</v>
      </c>
      <c r="E136" s="50">
        <v>406300000</v>
      </c>
      <c r="F136" s="50">
        <v>406300000</v>
      </c>
      <c r="G136" s="50">
        <v>406300000</v>
      </c>
      <c r="H136" s="50">
        <v>0</v>
      </c>
      <c r="I136" s="50">
        <v>0</v>
      </c>
      <c r="J136" s="50">
        <v>0</v>
      </c>
      <c r="K136" s="50">
        <v>406300000</v>
      </c>
      <c r="L136" s="50"/>
      <c r="M136" s="50">
        <v>406300000</v>
      </c>
      <c r="N136" s="50"/>
      <c r="O136" s="50">
        <v>0</v>
      </c>
      <c r="P136" s="50"/>
      <c r="Q136" s="50">
        <v>0</v>
      </c>
    </row>
    <row r="137" spans="1:17" x14ac:dyDescent="0.25">
      <c r="A137" s="49" t="s">
        <v>704</v>
      </c>
      <c r="B137" s="49" t="s">
        <v>666</v>
      </c>
      <c r="C137" s="49" t="s">
        <v>705</v>
      </c>
      <c r="D137" s="49" t="s">
        <v>69</v>
      </c>
      <c r="E137" s="50">
        <v>13007200</v>
      </c>
      <c r="F137" s="50">
        <v>13007200</v>
      </c>
      <c r="G137" s="50">
        <v>13007200</v>
      </c>
      <c r="H137" s="50">
        <v>0</v>
      </c>
      <c r="I137" s="50">
        <v>445902.76</v>
      </c>
      <c r="J137" s="50">
        <v>0</v>
      </c>
      <c r="K137" s="50">
        <v>12561297.24</v>
      </c>
      <c r="L137" s="50"/>
      <c r="M137" s="50">
        <v>12561297.24</v>
      </c>
      <c r="N137" s="50"/>
      <c r="O137" s="50">
        <v>0</v>
      </c>
      <c r="P137" s="50"/>
      <c r="Q137" s="50">
        <v>0</v>
      </c>
    </row>
    <row r="138" spans="1:17" x14ac:dyDescent="0.25">
      <c r="A138" s="49" t="s">
        <v>704</v>
      </c>
      <c r="B138" s="49" t="s">
        <v>668</v>
      </c>
      <c r="C138" s="49" t="s">
        <v>273</v>
      </c>
      <c r="D138" s="49" t="s">
        <v>69</v>
      </c>
      <c r="E138" s="50">
        <v>3997695</v>
      </c>
      <c r="F138" s="50">
        <v>3387695</v>
      </c>
      <c r="G138" s="50">
        <v>3387695</v>
      </c>
      <c r="H138" s="50">
        <v>0</v>
      </c>
      <c r="I138" s="50">
        <v>0</v>
      </c>
      <c r="J138" s="50">
        <v>0</v>
      </c>
      <c r="K138" s="50">
        <v>3380275.1</v>
      </c>
      <c r="L138" s="50"/>
      <c r="M138" s="50">
        <v>3380275.1</v>
      </c>
      <c r="N138" s="50"/>
      <c r="O138" s="50">
        <v>7419.9</v>
      </c>
      <c r="P138" s="50"/>
      <c r="Q138" s="50">
        <v>7419.9</v>
      </c>
    </row>
    <row r="139" spans="1:17" x14ac:dyDescent="0.25">
      <c r="A139" s="49" t="s">
        <v>704</v>
      </c>
      <c r="B139" s="49" t="s">
        <v>230</v>
      </c>
      <c r="C139" s="49" t="s">
        <v>231</v>
      </c>
      <c r="D139" s="49" t="s">
        <v>85</v>
      </c>
      <c r="E139" s="50">
        <v>12109140</v>
      </c>
      <c r="F139" s="50">
        <v>8469140</v>
      </c>
      <c r="G139" s="50">
        <v>8469140</v>
      </c>
      <c r="H139" s="50">
        <v>0</v>
      </c>
      <c r="I139" s="50">
        <v>0</v>
      </c>
      <c r="J139" s="50">
        <v>0</v>
      </c>
      <c r="K139" s="50">
        <v>0</v>
      </c>
      <c r="L139" s="50"/>
      <c r="M139" s="50">
        <v>0</v>
      </c>
      <c r="N139" s="50"/>
      <c r="O139" s="50">
        <v>8469140</v>
      </c>
      <c r="P139" s="50"/>
      <c r="Q139" s="50">
        <v>8469140</v>
      </c>
    </row>
    <row r="140" spans="1:17" x14ac:dyDescent="0.25">
      <c r="A140" s="49" t="s">
        <v>704</v>
      </c>
      <c r="B140" s="49" t="s">
        <v>232</v>
      </c>
      <c r="C140" s="49" t="s">
        <v>233</v>
      </c>
      <c r="D140" s="49" t="s">
        <v>85</v>
      </c>
      <c r="E140" s="50">
        <v>12109140</v>
      </c>
      <c r="F140" s="50">
        <v>8469140</v>
      </c>
      <c r="G140" s="50">
        <v>8469140</v>
      </c>
      <c r="H140" s="50">
        <v>0</v>
      </c>
      <c r="I140" s="50">
        <v>0</v>
      </c>
      <c r="J140" s="50">
        <v>0</v>
      </c>
      <c r="K140" s="50">
        <v>0</v>
      </c>
      <c r="L140" s="50"/>
      <c r="M140" s="50">
        <v>0</v>
      </c>
      <c r="N140" s="50"/>
      <c r="O140" s="50">
        <v>8469140</v>
      </c>
      <c r="P140" s="50"/>
      <c r="Q140" s="50">
        <v>8469140</v>
      </c>
    </row>
    <row r="141" spans="1:17" x14ac:dyDescent="0.25">
      <c r="A141" s="49" t="s">
        <v>704</v>
      </c>
      <c r="B141" s="49" t="s">
        <v>234</v>
      </c>
      <c r="C141" s="49" t="s">
        <v>235</v>
      </c>
      <c r="D141" s="49" t="s">
        <v>85</v>
      </c>
      <c r="E141" s="50">
        <v>120000</v>
      </c>
      <c r="F141" s="50">
        <v>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/>
      <c r="M141" s="50">
        <v>0</v>
      </c>
      <c r="N141" s="50"/>
      <c r="O141" s="50">
        <v>0</v>
      </c>
      <c r="P141" s="50"/>
      <c r="Q141" s="50">
        <v>0</v>
      </c>
    </row>
    <row r="142" spans="1:17" x14ac:dyDescent="0.25">
      <c r="A142" s="49" t="s">
        <v>704</v>
      </c>
      <c r="B142" s="49" t="s">
        <v>236</v>
      </c>
      <c r="C142" s="49" t="s">
        <v>237</v>
      </c>
      <c r="D142" s="49" t="s">
        <v>85</v>
      </c>
      <c r="E142" s="50">
        <v>620000</v>
      </c>
      <c r="F142" s="50">
        <v>0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/>
      <c r="M142" s="50">
        <v>0</v>
      </c>
      <c r="N142" s="50"/>
      <c r="O142" s="50">
        <v>0</v>
      </c>
      <c r="P142" s="50"/>
      <c r="Q142" s="50">
        <v>0</v>
      </c>
    </row>
    <row r="143" spans="1:17" x14ac:dyDescent="0.25">
      <c r="A143" s="49" t="s">
        <v>704</v>
      </c>
      <c r="B143" s="49" t="s">
        <v>238</v>
      </c>
      <c r="C143" s="49" t="s">
        <v>239</v>
      </c>
      <c r="D143" s="49" t="s">
        <v>85</v>
      </c>
      <c r="E143" s="50">
        <v>11369140</v>
      </c>
      <c r="F143" s="50">
        <v>8469140</v>
      </c>
      <c r="G143" s="50">
        <v>8469140</v>
      </c>
      <c r="H143" s="50">
        <v>0</v>
      </c>
      <c r="I143" s="50">
        <v>0</v>
      </c>
      <c r="J143" s="50">
        <v>0</v>
      </c>
      <c r="K143" s="50">
        <v>0</v>
      </c>
      <c r="L143" s="50"/>
      <c r="M143" s="50">
        <v>0</v>
      </c>
      <c r="N143" s="50"/>
      <c r="O143" s="50">
        <v>8469140</v>
      </c>
      <c r="P143" s="50"/>
      <c r="Q143" s="50">
        <v>8469140</v>
      </c>
    </row>
    <row r="144" spans="1:17" x14ac:dyDescent="0.25">
      <c r="A144" s="49">
        <v>214788</v>
      </c>
      <c r="B144" s="49"/>
      <c r="C144" s="49"/>
      <c r="D144" s="49" t="s">
        <v>69</v>
      </c>
      <c r="E144" s="50">
        <v>3537393833</v>
      </c>
      <c r="F144" s="50">
        <v>2849531919</v>
      </c>
      <c r="G144" s="50">
        <v>2849531919</v>
      </c>
      <c r="H144" s="50">
        <v>0</v>
      </c>
      <c r="I144" s="50">
        <v>35732290.530000001</v>
      </c>
      <c r="J144" s="50">
        <v>0</v>
      </c>
      <c r="K144" s="50">
        <v>2376037696.3600001</v>
      </c>
      <c r="L144" s="50"/>
      <c r="M144" s="50">
        <v>2207078233.6900001</v>
      </c>
      <c r="N144" s="50"/>
      <c r="O144" s="50">
        <v>437761932.11000001</v>
      </c>
      <c r="P144" s="50"/>
      <c r="Q144" s="50">
        <v>437761932.11000001</v>
      </c>
    </row>
    <row r="145" spans="1:17" x14ac:dyDescent="0.25">
      <c r="A145" s="49" t="s">
        <v>706</v>
      </c>
      <c r="B145" s="49" t="s">
        <v>71</v>
      </c>
      <c r="C145" s="49" t="s">
        <v>72</v>
      </c>
      <c r="D145" s="49" t="s">
        <v>69</v>
      </c>
      <c r="E145" s="50">
        <v>1329087181</v>
      </c>
      <c r="F145" s="50">
        <v>1295200816</v>
      </c>
      <c r="G145" s="50">
        <v>1295200816</v>
      </c>
      <c r="H145" s="50">
        <v>0</v>
      </c>
      <c r="I145" s="50">
        <v>0</v>
      </c>
      <c r="J145" s="50">
        <v>0</v>
      </c>
      <c r="K145" s="50">
        <v>1138225649.3399999</v>
      </c>
      <c r="L145" s="50"/>
      <c r="M145" s="50">
        <v>1138225649.3399999</v>
      </c>
      <c r="N145" s="50"/>
      <c r="O145" s="50">
        <v>156975166.66</v>
      </c>
      <c r="P145" s="50"/>
      <c r="Q145" s="50">
        <v>156975166.66</v>
      </c>
    </row>
    <row r="146" spans="1:17" x14ac:dyDescent="0.25">
      <c r="A146" s="49" t="s">
        <v>706</v>
      </c>
      <c r="B146" s="49" t="s">
        <v>73</v>
      </c>
      <c r="C146" s="49" t="s">
        <v>74</v>
      </c>
      <c r="D146" s="49" t="s">
        <v>69</v>
      </c>
      <c r="E146" s="50">
        <v>512821400</v>
      </c>
      <c r="F146" s="50">
        <v>494422100</v>
      </c>
      <c r="G146" s="50">
        <v>494422100</v>
      </c>
      <c r="H146" s="50">
        <v>0</v>
      </c>
      <c r="I146" s="50">
        <v>0</v>
      </c>
      <c r="J146" s="50">
        <v>0</v>
      </c>
      <c r="K146" s="50">
        <v>457483205.43000001</v>
      </c>
      <c r="L146" s="50"/>
      <c r="M146" s="50">
        <v>457483205.43000001</v>
      </c>
      <c r="N146" s="50"/>
      <c r="O146" s="50">
        <v>36938894.57</v>
      </c>
      <c r="P146" s="50"/>
      <c r="Q146" s="50">
        <v>36938894.57</v>
      </c>
    </row>
    <row r="147" spans="1:17" x14ac:dyDescent="0.25">
      <c r="A147" s="49" t="s">
        <v>706</v>
      </c>
      <c r="B147" s="49" t="s">
        <v>75</v>
      </c>
      <c r="C147" s="49" t="s">
        <v>76</v>
      </c>
      <c r="D147" s="49" t="s">
        <v>69</v>
      </c>
      <c r="E147" s="50">
        <v>507821400</v>
      </c>
      <c r="F147" s="50">
        <v>493222100</v>
      </c>
      <c r="G147" s="50">
        <v>493222100</v>
      </c>
      <c r="H147" s="50">
        <v>0</v>
      </c>
      <c r="I147" s="50">
        <v>0</v>
      </c>
      <c r="J147" s="50">
        <v>0</v>
      </c>
      <c r="K147" s="50">
        <v>457483205.43000001</v>
      </c>
      <c r="L147" s="50"/>
      <c r="M147" s="50">
        <v>457483205.43000001</v>
      </c>
      <c r="N147" s="50"/>
      <c r="O147" s="50">
        <v>35738894.57</v>
      </c>
      <c r="P147" s="50"/>
      <c r="Q147" s="50">
        <v>35738894.57</v>
      </c>
    </row>
    <row r="148" spans="1:17" x14ac:dyDescent="0.25">
      <c r="A148" s="49" t="s">
        <v>706</v>
      </c>
      <c r="B148" s="49" t="s">
        <v>291</v>
      </c>
      <c r="C148" s="49" t="s">
        <v>292</v>
      </c>
      <c r="D148" s="49" t="s">
        <v>69</v>
      </c>
      <c r="E148" s="50">
        <v>5000000</v>
      </c>
      <c r="F148" s="50">
        <v>1200000</v>
      </c>
      <c r="G148" s="50">
        <v>1200000</v>
      </c>
      <c r="H148" s="50">
        <v>0</v>
      </c>
      <c r="I148" s="50">
        <v>0</v>
      </c>
      <c r="J148" s="50">
        <v>0</v>
      </c>
      <c r="K148" s="50">
        <v>0</v>
      </c>
      <c r="L148" s="50"/>
      <c r="M148" s="50">
        <v>0</v>
      </c>
      <c r="N148" s="50"/>
      <c r="O148" s="50">
        <v>1200000</v>
      </c>
      <c r="P148" s="50"/>
      <c r="Q148" s="50">
        <v>1200000</v>
      </c>
    </row>
    <row r="149" spans="1:17" x14ac:dyDescent="0.25">
      <c r="A149" s="49" t="s">
        <v>706</v>
      </c>
      <c r="B149" s="49" t="s">
        <v>293</v>
      </c>
      <c r="C149" s="49" t="s">
        <v>294</v>
      </c>
      <c r="D149" s="49" t="s">
        <v>69</v>
      </c>
      <c r="E149" s="50">
        <v>11000000</v>
      </c>
      <c r="F149" s="50">
        <v>11000000</v>
      </c>
      <c r="G149" s="50">
        <v>11000000</v>
      </c>
      <c r="H149" s="50">
        <v>0</v>
      </c>
      <c r="I149" s="50">
        <v>0</v>
      </c>
      <c r="J149" s="50">
        <v>0</v>
      </c>
      <c r="K149" s="50">
        <v>3455720.24</v>
      </c>
      <c r="L149" s="50"/>
      <c r="M149" s="50">
        <v>3455720.24</v>
      </c>
      <c r="N149" s="50"/>
      <c r="O149" s="50">
        <v>7544279.7599999998</v>
      </c>
      <c r="P149" s="50"/>
      <c r="Q149" s="50">
        <v>7544279.7599999998</v>
      </c>
    </row>
    <row r="150" spans="1:17" x14ac:dyDescent="0.25">
      <c r="A150" s="49" t="s">
        <v>706</v>
      </c>
      <c r="B150" s="49" t="s">
        <v>295</v>
      </c>
      <c r="C150" s="49" t="s">
        <v>296</v>
      </c>
      <c r="D150" s="49" t="s">
        <v>69</v>
      </c>
      <c r="E150" s="50">
        <v>11000000</v>
      </c>
      <c r="F150" s="50">
        <v>11000000</v>
      </c>
      <c r="G150" s="50">
        <v>11000000</v>
      </c>
      <c r="H150" s="50">
        <v>0</v>
      </c>
      <c r="I150" s="50">
        <v>0</v>
      </c>
      <c r="J150" s="50">
        <v>0</v>
      </c>
      <c r="K150" s="50">
        <v>3455720.24</v>
      </c>
      <c r="L150" s="50"/>
      <c r="M150" s="50">
        <v>3455720.24</v>
      </c>
      <c r="N150" s="50"/>
      <c r="O150" s="50">
        <v>7544279.7599999998</v>
      </c>
      <c r="P150" s="50"/>
      <c r="Q150" s="50">
        <v>7544279.7599999998</v>
      </c>
    </row>
    <row r="151" spans="1:17" x14ac:dyDescent="0.25">
      <c r="A151" s="49" t="s">
        <v>706</v>
      </c>
      <c r="B151" s="49" t="s">
        <v>77</v>
      </c>
      <c r="C151" s="49" t="s">
        <v>78</v>
      </c>
      <c r="D151" s="49" t="s">
        <v>69</v>
      </c>
      <c r="E151" s="50">
        <v>602518513</v>
      </c>
      <c r="F151" s="50">
        <v>592617728</v>
      </c>
      <c r="G151" s="50">
        <v>592617728</v>
      </c>
      <c r="H151" s="50">
        <v>0</v>
      </c>
      <c r="I151" s="50">
        <v>0</v>
      </c>
      <c r="J151" s="50">
        <v>0</v>
      </c>
      <c r="K151" s="50">
        <v>507013931.48000002</v>
      </c>
      <c r="L151" s="50"/>
      <c r="M151" s="50">
        <v>507013931.48000002</v>
      </c>
      <c r="N151" s="50"/>
      <c r="O151" s="50">
        <v>85603796.519999996</v>
      </c>
      <c r="P151" s="50"/>
      <c r="Q151" s="50">
        <v>85603796.519999996</v>
      </c>
    </row>
    <row r="152" spans="1:17" x14ac:dyDescent="0.25">
      <c r="A152" s="49" t="s">
        <v>706</v>
      </c>
      <c r="B152" s="49" t="s">
        <v>79</v>
      </c>
      <c r="C152" s="49" t="s">
        <v>80</v>
      </c>
      <c r="D152" s="49" t="s">
        <v>69</v>
      </c>
      <c r="E152" s="50">
        <v>160994500</v>
      </c>
      <c r="F152" s="50">
        <v>160412072</v>
      </c>
      <c r="G152" s="50">
        <v>160412072</v>
      </c>
      <c r="H152" s="50">
        <v>0</v>
      </c>
      <c r="I152" s="50">
        <v>0</v>
      </c>
      <c r="J152" s="50">
        <v>0</v>
      </c>
      <c r="K152" s="50">
        <v>136427403.59</v>
      </c>
      <c r="L152" s="50"/>
      <c r="M152" s="50">
        <v>136427403.59</v>
      </c>
      <c r="N152" s="50"/>
      <c r="O152" s="50">
        <v>23984668.41</v>
      </c>
      <c r="P152" s="50"/>
      <c r="Q152" s="50">
        <v>23984668.41</v>
      </c>
    </row>
    <row r="153" spans="1:17" x14ac:dyDescent="0.25">
      <c r="A153" s="49" t="s">
        <v>706</v>
      </c>
      <c r="B153" s="49" t="s">
        <v>81</v>
      </c>
      <c r="C153" s="49" t="s">
        <v>82</v>
      </c>
      <c r="D153" s="49" t="s">
        <v>69</v>
      </c>
      <c r="E153" s="50">
        <v>218799248</v>
      </c>
      <c r="F153" s="50">
        <v>212368846</v>
      </c>
      <c r="G153" s="50">
        <v>212368846</v>
      </c>
      <c r="H153" s="50">
        <v>0</v>
      </c>
      <c r="I153" s="50">
        <v>0</v>
      </c>
      <c r="J153" s="50">
        <v>0</v>
      </c>
      <c r="K153" s="50">
        <v>177997963.12</v>
      </c>
      <c r="L153" s="50"/>
      <c r="M153" s="50">
        <v>177997963.12</v>
      </c>
      <c r="N153" s="50"/>
      <c r="O153" s="50">
        <v>34370882.880000003</v>
      </c>
      <c r="P153" s="50"/>
      <c r="Q153" s="50">
        <v>34370882.880000003</v>
      </c>
    </row>
    <row r="154" spans="1:17" x14ac:dyDescent="0.25">
      <c r="A154" s="49" t="s">
        <v>706</v>
      </c>
      <c r="B154" s="49" t="s">
        <v>86</v>
      </c>
      <c r="C154" s="49" t="s">
        <v>87</v>
      </c>
      <c r="D154" s="49" t="s">
        <v>69</v>
      </c>
      <c r="E154" s="50">
        <v>79437600</v>
      </c>
      <c r="F154" s="50">
        <v>79437600</v>
      </c>
      <c r="G154" s="50">
        <v>79437600</v>
      </c>
      <c r="H154" s="50">
        <v>0</v>
      </c>
      <c r="I154" s="50">
        <v>0</v>
      </c>
      <c r="J154" s="50">
        <v>0</v>
      </c>
      <c r="K154" s="50">
        <v>71093754.890000001</v>
      </c>
      <c r="L154" s="50"/>
      <c r="M154" s="50">
        <v>71093754.890000001</v>
      </c>
      <c r="N154" s="50"/>
      <c r="O154" s="50">
        <v>8343845.1100000003</v>
      </c>
      <c r="P154" s="50"/>
      <c r="Q154" s="50">
        <v>8343845.1100000003</v>
      </c>
    </row>
    <row r="155" spans="1:17" x14ac:dyDescent="0.25">
      <c r="A155" s="49" t="s">
        <v>706</v>
      </c>
      <c r="B155" s="49" t="s">
        <v>88</v>
      </c>
      <c r="C155" s="49" t="s">
        <v>89</v>
      </c>
      <c r="D155" s="49" t="s">
        <v>69</v>
      </c>
      <c r="E155" s="50">
        <v>56677700</v>
      </c>
      <c r="F155" s="50">
        <v>56181050</v>
      </c>
      <c r="G155" s="50">
        <v>56181050</v>
      </c>
      <c r="H155" s="50">
        <v>0</v>
      </c>
      <c r="I155" s="50">
        <v>0</v>
      </c>
      <c r="J155" s="50">
        <v>0</v>
      </c>
      <c r="K155" s="50">
        <v>48325446.439999998</v>
      </c>
      <c r="L155" s="50"/>
      <c r="M155" s="50">
        <v>48325446.439999998</v>
      </c>
      <c r="N155" s="50"/>
      <c r="O155" s="50">
        <v>7855603.5599999996</v>
      </c>
      <c r="P155" s="50"/>
      <c r="Q155" s="50">
        <v>7855603.5599999996</v>
      </c>
    </row>
    <row r="156" spans="1:17" x14ac:dyDescent="0.25">
      <c r="A156" s="49" t="s">
        <v>706</v>
      </c>
      <c r="B156" s="49" t="s">
        <v>83</v>
      </c>
      <c r="C156" s="49" t="s">
        <v>84</v>
      </c>
      <c r="D156" s="49" t="s">
        <v>85</v>
      </c>
      <c r="E156" s="50">
        <v>86609465</v>
      </c>
      <c r="F156" s="50">
        <v>84218160</v>
      </c>
      <c r="G156" s="50">
        <v>84218160</v>
      </c>
      <c r="H156" s="50">
        <v>0</v>
      </c>
      <c r="I156" s="50">
        <v>0</v>
      </c>
      <c r="J156" s="50">
        <v>0</v>
      </c>
      <c r="K156" s="50">
        <v>73169363.439999998</v>
      </c>
      <c r="L156" s="50"/>
      <c r="M156" s="50">
        <v>73169363.439999998</v>
      </c>
      <c r="N156" s="50"/>
      <c r="O156" s="50">
        <v>11048796.560000001</v>
      </c>
      <c r="P156" s="50"/>
      <c r="Q156" s="50">
        <v>11048796.560000001</v>
      </c>
    </row>
    <row r="157" spans="1:17" x14ac:dyDescent="0.25">
      <c r="A157" s="49" t="s">
        <v>706</v>
      </c>
      <c r="B157" s="49" t="s">
        <v>90</v>
      </c>
      <c r="C157" s="49" t="s">
        <v>91</v>
      </c>
      <c r="D157" s="49" t="s">
        <v>69</v>
      </c>
      <c r="E157" s="50">
        <v>101373634</v>
      </c>
      <c r="F157" s="50">
        <v>98580493</v>
      </c>
      <c r="G157" s="50">
        <v>98580493</v>
      </c>
      <c r="H157" s="50">
        <v>0</v>
      </c>
      <c r="I157" s="50">
        <v>0</v>
      </c>
      <c r="J157" s="50">
        <v>0</v>
      </c>
      <c r="K157" s="50">
        <v>85448994.060000002</v>
      </c>
      <c r="L157" s="50"/>
      <c r="M157" s="50">
        <v>85448994.060000002</v>
      </c>
      <c r="N157" s="50"/>
      <c r="O157" s="50">
        <v>13131498.939999999</v>
      </c>
      <c r="P157" s="50"/>
      <c r="Q157" s="50">
        <v>13131498.939999999</v>
      </c>
    </row>
    <row r="158" spans="1:17" x14ac:dyDescent="0.25">
      <c r="A158" s="49" t="s">
        <v>706</v>
      </c>
      <c r="B158" s="49" t="s">
        <v>419</v>
      </c>
      <c r="C158" s="49" t="s">
        <v>697</v>
      </c>
      <c r="D158" s="49" t="s">
        <v>69</v>
      </c>
      <c r="E158" s="50">
        <v>96175035</v>
      </c>
      <c r="F158" s="50">
        <v>93525131</v>
      </c>
      <c r="G158" s="50">
        <v>93525131</v>
      </c>
      <c r="H158" s="50">
        <v>0</v>
      </c>
      <c r="I158" s="50">
        <v>0</v>
      </c>
      <c r="J158" s="50">
        <v>0</v>
      </c>
      <c r="K158" s="50">
        <v>81067356.950000003</v>
      </c>
      <c r="L158" s="50"/>
      <c r="M158" s="50">
        <v>81067356.950000003</v>
      </c>
      <c r="N158" s="50"/>
      <c r="O158" s="50">
        <v>12457774.050000001</v>
      </c>
      <c r="P158" s="50"/>
      <c r="Q158" s="50">
        <v>12457774.050000001</v>
      </c>
    </row>
    <row r="159" spans="1:17" x14ac:dyDescent="0.25">
      <c r="A159" s="49" t="s">
        <v>706</v>
      </c>
      <c r="B159" s="49" t="s">
        <v>436</v>
      </c>
      <c r="C159" s="49" t="s">
        <v>95</v>
      </c>
      <c r="D159" s="49" t="s">
        <v>69</v>
      </c>
      <c r="E159" s="50">
        <v>5198599</v>
      </c>
      <c r="F159" s="50">
        <v>5055362</v>
      </c>
      <c r="G159" s="50">
        <v>5055362</v>
      </c>
      <c r="H159" s="50">
        <v>0</v>
      </c>
      <c r="I159" s="50">
        <v>0</v>
      </c>
      <c r="J159" s="50">
        <v>0</v>
      </c>
      <c r="K159" s="50">
        <v>4381637.1100000003</v>
      </c>
      <c r="L159" s="50"/>
      <c r="M159" s="50">
        <v>4381637.1100000003</v>
      </c>
      <c r="N159" s="50"/>
      <c r="O159" s="50">
        <v>673724.89</v>
      </c>
      <c r="P159" s="50"/>
      <c r="Q159" s="50">
        <v>673724.89</v>
      </c>
    </row>
    <row r="160" spans="1:17" x14ac:dyDescent="0.25">
      <c r="A160" s="49" t="s">
        <v>706</v>
      </c>
      <c r="B160" s="49" t="s">
        <v>96</v>
      </c>
      <c r="C160" s="49" t="s">
        <v>97</v>
      </c>
      <c r="D160" s="49" t="s">
        <v>69</v>
      </c>
      <c r="E160" s="50">
        <v>101373634</v>
      </c>
      <c r="F160" s="50">
        <v>98580495</v>
      </c>
      <c r="G160" s="50">
        <v>98580495</v>
      </c>
      <c r="H160" s="50">
        <v>0</v>
      </c>
      <c r="I160" s="50">
        <v>0</v>
      </c>
      <c r="J160" s="50">
        <v>0</v>
      </c>
      <c r="K160" s="50">
        <v>84823798.129999995</v>
      </c>
      <c r="L160" s="50"/>
      <c r="M160" s="50">
        <v>84823798.129999995</v>
      </c>
      <c r="N160" s="50"/>
      <c r="O160" s="50">
        <v>13756696.869999999</v>
      </c>
      <c r="P160" s="50"/>
      <c r="Q160" s="50">
        <v>13756696.869999999</v>
      </c>
    </row>
    <row r="161" spans="1:17" x14ac:dyDescent="0.25">
      <c r="A161" s="49" t="s">
        <v>706</v>
      </c>
      <c r="B161" s="49" t="s">
        <v>454</v>
      </c>
      <c r="C161" s="49" t="s">
        <v>698</v>
      </c>
      <c r="D161" s="49" t="s">
        <v>69</v>
      </c>
      <c r="E161" s="50">
        <v>54585842</v>
      </c>
      <c r="F161" s="50">
        <v>53081843</v>
      </c>
      <c r="G161" s="50">
        <v>53081843</v>
      </c>
      <c r="H161" s="50">
        <v>0</v>
      </c>
      <c r="I161" s="50">
        <v>0</v>
      </c>
      <c r="J161" s="50">
        <v>0</v>
      </c>
      <c r="K161" s="50">
        <v>45389041.450000003</v>
      </c>
      <c r="L161" s="50"/>
      <c r="M161" s="50">
        <v>45389041.450000003</v>
      </c>
      <c r="N161" s="50"/>
      <c r="O161" s="50">
        <v>7692801.5499999998</v>
      </c>
      <c r="P161" s="50"/>
      <c r="Q161" s="50">
        <v>7692801.5499999998</v>
      </c>
    </row>
    <row r="162" spans="1:17" x14ac:dyDescent="0.25">
      <c r="A162" s="49" t="s">
        <v>706</v>
      </c>
      <c r="B162" s="49" t="s">
        <v>471</v>
      </c>
      <c r="C162" s="49" t="s">
        <v>699</v>
      </c>
      <c r="D162" s="49" t="s">
        <v>69</v>
      </c>
      <c r="E162" s="50">
        <v>15595897</v>
      </c>
      <c r="F162" s="50">
        <v>19276084</v>
      </c>
      <c r="G162" s="50">
        <v>19276084</v>
      </c>
      <c r="H162" s="50">
        <v>0</v>
      </c>
      <c r="I162" s="50">
        <v>0</v>
      </c>
      <c r="J162" s="50">
        <v>0</v>
      </c>
      <c r="K162" s="50">
        <v>15233565.4</v>
      </c>
      <c r="L162" s="50"/>
      <c r="M162" s="50">
        <v>15233565.4</v>
      </c>
      <c r="N162" s="50"/>
      <c r="O162" s="50">
        <v>4042518.6</v>
      </c>
      <c r="P162" s="50"/>
      <c r="Q162" s="50">
        <v>4042518.6</v>
      </c>
    </row>
    <row r="163" spans="1:17" x14ac:dyDescent="0.25">
      <c r="A163" s="49" t="s">
        <v>706</v>
      </c>
      <c r="B163" s="49" t="s">
        <v>488</v>
      </c>
      <c r="C163" s="49" t="s">
        <v>700</v>
      </c>
      <c r="D163" s="49" t="s">
        <v>69</v>
      </c>
      <c r="E163" s="50">
        <v>31191895</v>
      </c>
      <c r="F163" s="50">
        <v>26222568</v>
      </c>
      <c r="G163" s="50">
        <v>26222568</v>
      </c>
      <c r="H163" s="50">
        <v>0</v>
      </c>
      <c r="I163" s="50">
        <v>0</v>
      </c>
      <c r="J163" s="50">
        <v>0</v>
      </c>
      <c r="K163" s="50">
        <v>24201191.280000001</v>
      </c>
      <c r="L163" s="50"/>
      <c r="M163" s="50">
        <v>24201191.280000001</v>
      </c>
      <c r="N163" s="50"/>
      <c r="O163" s="50">
        <v>2021376.72</v>
      </c>
      <c r="P163" s="50"/>
      <c r="Q163" s="50">
        <v>2021376.72</v>
      </c>
    </row>
    <row r="164" spans="1:17" x14ac:dyDescent="0.25">
      <c r="A164" s="49" t="s">
        <v>706</v>
      </c>
      <c r="B164" s="49" t="s">
        <v>104</v>
      </c>
      <c r="C164" s="49" t="s">
        <v>105</v>
      </c>
      <c r="D164" s="49" t="s">
        <v>69</v>
      </c>
      <c r="E164" s="50">
        <v>1188545520</v>
      </c>
      <c r="F164" s="50">
        <v>1240795520</v>
      </c>
      <c r="G164" s="50">
        <v>1240795520</v>
      </c>
      <c r="H164" s="50">
        <v>0</v>
      </c>
      <c r="I164" s="50">
        <v>34657616.369999997</v>
      </c>
      <c r="J164" s="50">
        <v>0</v>
      </c>
      <c r="K164" s="50">
        <v>1053322462.23</v>
      </c>
      <c r="L164" s="50"/>
      <c r="M164" s="50">
        <v>912273919.82000005</v>
      </c>
      <c r="N164" s="50"/>
      <c r="O164" s="50">
        <v>152815441.40000001</v>
      </c>
      <c r="P164" s="50"/>
      <c r="Q164" s="50">
        <v>152815441.40000001</v>
      </c>
    </row>
    <row r="165" spans="1:17" x14ac:dyDescent="0.25">
      <c r="A165" s="49" t="s">
        <v>706</v>
      </c>
      <c r="B165" s="49" t="s">
        <v>106</v>
      </c>
      <c r="C165" s="49" t="s">
        <v>107</v>
      </c>
      <c r="D165" s="49" t="s">
        <v>69</v>
      </c>
      <c r="E165" s="50">
        <v>411755980</v>
      </c>
      <c r="F165" s="50">
        <v>429555497.89999998</v>
      </c>
      <c r="G165" s="50">
        <v>429555497.89999998</v>
      </c>
      <c r="H165" s="50">
        <v>0</v>
      </c>
      <c r="I165" s="50">
        <v>138286.91</v>
      </c>
      <c r="J165" s="50">
        <v>0</v>
      </c>
      <c r="K165" s="50">
        <v>382026412.48000002</v>
      </c>
      <c r="L165" s="50"/>
      <c r="M165" s="50">
        <v>347113180.13999999</v>
      </c>
      <c r="N165" s="50"/>
      <c r="O165" s="50">
        <v>47390798.509999998</v>
      </c>
      <c r="P165" s="50"/>
      <c r="Q165" s="50">
        <v>47390798.509999998</v>
      </c>
    </row>
    <row r="166" spans="1:17" x14ac:dyDescent="0.25">
      <c r="A166" s="49" t="s">
        <v>706</v>
      </c>
      <c r="B166" s="49" t="s">
        <v>280</v>
      </c>
      <c r="C166" s="49" t="s">
        <v>281</v>
      </c>
      <c r="D166" s="49" t="s">
        <v>69</v>
      </c>
      <c r="E166" s="50">
        <v>168555500</v>
      </c>
      <c r="F166" s="50">
        <v>186505500</v>
      </c>
      <c r="G166" s="50">
        <v>186505500</v>
      </c>
      <c r="H166" s="50">
        <v>0</v>
      </c>
      <c r="I166" s="50">
        <v>0</v>
      </c>
      <c r="J166" s="50">
        <v>0</v>
      </c>
      <c r="K166" s="50">
        <v>180250163.13999999</v>
      </c>
      <c r="L166" s="50"/>
      <c r="M166" s="50">
        <v>180250163.13999999</v>
      </c>
      <c r="N166" s="50"/>
      <c r="O166" s="50">
        <v>6255336.8600000003</v>
      </c>
      <c r="P166" s="50"/>
      <c r="Q166" s="50">
        <v>6255336.8600000003</v>
      </c>
    </row>
    <row r="167" spans="1:17" x14ac:dyDescent="0.25">
      <c r="A167" s="49" t="s">
        <v>706</v>
      </c>
      <c r="B167" s="49" t="s">
        <v>302</v>
      </c>
      <c r="C167" s="49" t="s">
        <v>303</v>
      </c>
      <c r="D167" s="49" t="s">
        <v>69</v>
      </c>
      <c r="E167" s="50">
        <v>3869560</v>
      </c>
      <c r="F167" s="50">
        <v>3869560</v>
      </c>
      <c r="G167" s="50">
        <v>3869560</v>
      </c>
      <c r="H167" s="50">
        <v>0</v>
      </c>
      <c r="I167" s="50">
        <v>0</v>
      </c>
      <c r="J167" s="50">
        <v>0</v>
      </c>
      <c r="K167" s="50">
        <v>2450327.0699999998</v>
      </c>
      <c r="L167" s="50"/>
      <c r="M167" s="50">
        <v>1999233.69</v>
      </c>
      <c r="N167" s="50"/>
      <c r="O167" s="50">
        <v>1419232.93</v>
      </c>
      <c r="P167" s="50"/>
      <c r="Q167" s="50">
        <v>1419232.93</v>
      </c>
    </row>
    <row r="168" spans="1:17" x14ac:dyDescent="0.25">
      <c r="A168" s="49" t="s">
        <v>706</v>
      </c>
      <c r="B168" s="49" t="s">
        <v>108</v>
      </c>
      <c r="C168" s="49" t="s">
        <v>109</v>
      </c>
      <c r="D168" s="49" t="s">
        <v>69</v>
      </c>
      <c r="E168" s="50">
        <v>194561670</v>
      </c>
      <c r="F168" s="50">
        <v>189561670</v>
      </c>
      <c r="G168" s="50">
        <v>189561670</v>
      </c>
      <c r="H168" s="50">
        <v>0</v>
      </c>
      <c r="I168" s="50">
        <v>0</v>
      </c>
      <c r="J168" s="50">
        <v>0</v>
      </c>
      <c r="K168" s="50">
        <v>154854117.68000001</v>
      </c>
      <c r="L168" s="50"/>
      <c r="M168" s="50">
        <v>125961712.38</v>
      </c>
      <c r="N168" s="50"/>
      <c r="O168" s="50">
        <v>34707552.32</v>
      </c>
      <c r="P168" s="50"/>
      <c r="Q168" s="50">
        <v>34707552.32</v>
      </c>
    </row>
    <row r="169" spans="1:17" x14ac:dyDescent="0.25">
      <c r="A169" s="49" t="s">
        <v>706</v>
      </c>
      <c r="B169" s="49" t="s">
        <v>304</v>
      </c>
      <c r="C169" s="49" t="s">
        <v>305</v>
      </c>
      <c r="D169" s="49" t="s">
        <v>69</v>
      </c>
      <c r="E169" s="50">
        <v>1649720</v>
      </c>
      <c r="F169" s="50">
        <v>1999237.9</v>
      </c>
      <c r="G169" s="50">
        <v>1999237.9</v>
      </c>
      <c r="H169" s="50">
        <v>0</v>
      </c>
      <c r="I169" s="50">
        <v>138286.91</v>
      </c>
      <c r="J169" s="50">
        <v>0</v>
      </c>
      <c r="K169" s="50">
        <v>1622377.21</v>
      </c>
      <c r="L169" s="50"/>
      <c r="M169" s="50">
        <v>1622377.21</v>
      </c>
      <c r="N169" s="50"/>
      <c r="O169" s="50">
        <v>238573.78</v>
      </c>
      <c r="P169" s="50"/>
      <c r="Q169" s="50">
        <v>238573.78</v>
      </c>
    </row>
    <row r="170" spans="1:17" x14ac:dyDescent="0.25">
      <c r="A170" s="49" t="s">
        <v>706</v>
      </c>
      <c r="B170" s="49" t="s">
        <v>110</v>
      </c>
      <c r="C170" s="49" t="s">
        <v>111</v>
      </c>
      <c r="D170" s="49" t="s">
        <v>69</v>
      </c>
      <c r="E170" s="50">
        <v>43119530</v>
      </c>
      <c r="F170" s="50">
        <v>47619530</v>
      </c>
      <c r="G170" s="50">
        <v>47619530</v>
      </c>
      <c r="H170" s="50">
        <v>0</v>
      </c>
      <c r="I170" s="50">
        <v>0</v>
      </c>
      <c r="J170" s="50">
        <v>0</v>
      </c>
      <c r="K170" s="50">
        <v>42849427.380000003</v>
      </c>
      <c r="L170" s="50"/>
      <c r="M170" s="50">
        <v>37279693.719999999</v>
      </c>
      <c r="N170" s="50"/>
      <c r="O170" s="50">
        <v>4770102.62</v>
      </c>
      <c r="P170" s="50"/>
      <c r="Q170" s="50">
        <v>4770102.62</v>
      </c>
    </row>
    <row r="171" spans="1:17" x14ac:dyDescent="0.25">
      <c r="A171" s="49" t="s">
        <v>706</v>
      </c>
      <c r="B171" s="49" t="s">
        <v>112</v>
      </c>
      <c r="C171" s="49" t="s">
        <v>113</v>
      </c>
      <c r="D171" s="49" t="s">
        <v>69</v>
      </c>
      <c r="E171" s="50">
        <v>114662680</v>
      </c>
      <c r="F171" s="50">
        <v>130162680</v>
      </c>
      <c r="G171" s="50">
        <v>130162680</v>
      </c>
      <c r="H171" s="50">
        <v>0</v>
      </c>
      <c r="I171" s="50">
        <v>14244346.699999999</v>
      </c>
      <c r="J171" s="50">
        <v>0</v>
      </c>
      <c r="K171" s="50">
        <v>107577298.65000001</v>
      </c>
      <c r="L171" s="50"/>
      <c r="M171" s="50">
        <v>100638060.59999999</v>
      </c>
      <c r="N171" s="50"/>
      <c r="O171" s="50">
        <v>8341034.6500000004</v>
      </c>
      <c r="P171" s="50"/>
      <c r="Q171" s="50">
        <v>8341034.6500000004</v>
      </c>
    </row>
    <row r="172" spans="1:17" x14ac:dyDescent="0.25">
      <c r="A172" s="49" t="s">
        <v>706</v>
      </c>
      <c r="B172" s="49" t="s">
        <v>114</v>
      </c>
      <c r="C172" s="49" t="s">
        <v>115</v>
      </c>
      <c r="D172" s="49" t="s">
        <v>69</v>
      </c>
      <c r="E172" s="50">
        <v>19200000</v>
      </c>
      <c r="F172" s="50">
        <v>23200000</v>
      </c>
      <c r="G172" s="50">
        <v>23200000</v>
      </c>
      <c r="H172" s="50">
        <v>0</v>
      </c>
      <c r="I172" s="50">
        <v>5806728.0099999998</v>
      </c>
      <c r="J172" s="50">
        <v>0</v>
      </c>
      <c r="K172" s="50">
        <v>17393271</v>
      </c>
      <c r="L172" s="50"/>
      <c r="M172" s="50">
        <v>17393271</v>
      </c>
      <c r="N172" s="50"/>
      <c r="O172" s="50">
        <v>0.99</v>
      </c>
      <c r="P172" s="50"/>
      <c r="Q172" s="50">
        <v>0.99</v>
      </c>
    </row>
    <row r="173" spans="1:17" x14ac:dyDescent="0.25">
      <c r="A173" s="49" t="s">
        <v>706</v>
      </c>
      <c r="B173" s="49" t="s">
        <v>116</v>
      </c>
      <c r="C173" s="49" t="s">
        <v>117</v>
      </c>
      <c r="D173" s="49" t="s">
        <v>69</v>
      </c>
      <c r="E173" s="50">
        <v>37800000</v>
      </c>
      <c r="F173" s="50">
        <v>41300000</v>
      </c>
      <c r="G173" s="50">
        <v>41300000</v>
      </c>
      <c r="H173" s="50">
        <v>0</v>
      </c>
      <c r="I173" s="50">
        <v>2687557</v>
      </c>
      <c r="J173" s="50">
        <v>0</v>
      </c>
      <c r="K173" s="50">
        <v>38612443</v>
      </c>
      <c r="L173" s="50"/>
      <c r="M173" s="50">
        <v>38612443</v>
      </c>
      <c r="N173" s="50"/>
      <c r="O173" s="50">
        <v>0</v>
      </c>
      <c r="P173" s="50"/>
      <c r="Q173" s="50">
        <v>0</v>
      </c>
    </row>
    <row r="174" spans="1:17" x14ac:dyDescent="0.25">
      <c r="A174" s="49" t="s">
        <v>706</v>
      </c>
      <c r="B174" s="49" t="s">
        <v>118</v>
      </c>
      <c r="C174" s="49" t="s">
        <v>119</v>
      </c>
      <c r="D174" s="49" t="s">
        <v>69</v>
      </c>
      <c r="E174" s="50">
        <v>7200000</v>
      </c>
      <c r="F174" s="50">
        <v>7200000</v>
      </c>
      <c r="G174" s="50">
        <v>7200000</v>
      </c>
      <c r="H174" s="50">
        <v>0</v>
      </c>
      <c r="I174" s="50">
        <v>651318.4</v>
      </c>
      <c r="J174" s="50">
        <v>0</v>
      </c>
      <c r="K174" s="50">
        <v>1398681.6000000001</v>
      </c>
      <c r="L174" s="50"/>
      <c r="M174" s="50">
        <v>1332237.6000000001</v>
      </c>
      <c r="N174" s="50"/>
      <c r="O174" s="50">
        <v>5150000</v>
      </c>
      <c r="P174" s="50"/>
      <c r="Q174" s="50">
        <v>5150000</v>
      </c>
    </row>
    <row r="175" spans="1:17" x14ac:dyDescent="0.25">
      <c r="A175" s="49" t="s">
        <v>706</v>
      </c>
      <c r="B175" s="49" t="s">
        <v>120</v>
      </c>
      <c r="C175" s="49" t="s">
        <v>121</v>
      </c>
      <c r="D175" s="49" t="s">
        <v>69</v>
      </c>
      <c r="E175" s="50">
        <v>45662680</v>
      </c>
      <c r="F175" s="50">
        <v>53662680</v>
      </c>
      <c r="G175" s="50">
        <v>53662680</v>
      </c>
      <c r="H175" s="50">
        <v>0</v>
      </c>
      <c r="I175" s="50">
        <v>5098743.29</v>
      </c>
      <c r="J175" s="50">
        <v>0</v>
      </c>
      <c r="K175" s="50">
        <v>48430322.149999999</v>
      </c>
      <c r="L175" s="50"/>
      <c r="M175" s="50">
        <v>41557528.100000001</v>
      </c>
      <c r="N175" s="50"/>
      <c r="O175" s="50">
        <v>133614.56</v>
      </c>
      <c r="P175" s="50"/>
      <c r="Q175" s="50">
        <v>133614.56</v>
      </c>
    </row>
    <row r="176" spans="1:17" x14ac:dyDescent="0.25">
      <c r="A176" s="49" t="s">
        <v>706</v>
      </c>
      <c r="B176" s="49" t="s">
        <v>122</v>
      </c>
      <c r="C176" s="49" t="s">
        <v>123</v>
      </c>
      <c r="D176" s="49" t="s">
        <v>69</v>
      </c>
      <c r="E176" s="50">
        <v>4800000</v>
      </c>
      <c r="F176" s="50">
        <v>4800000</v>
      </c>
      <c r="G176" s="50">
        <v>4800000</v>
      </c>
      <c r="H176" s="50">
        <v>0</v>
      </c>
      <c r="I176" s="50">
        <v>0</v>
      </c>
      <c r="J176" s="50">
        <v>0</v>
      </c>
      <c r="K176" s="50">
        <v>1742580.9</v>
      </c>
      <c r="L176" s="50"/>
      <c r="M176" s="50">
        <v>1742580.9</v>
      </c>
      <c r="N176" s="50"/>
      <c r="O176" s="50">
        <v>3057419.1</v>
      </c>
      <c r="P176" s="50"/>
      <c r="Q176" s="50">
        <v>3057419.1</v>
      </c>
    </row>
    <row r="177" spans="1:17" x14ac:dyDescent="0.25">
      <c r="A177" s="49" t="s">
        <v>706</v>
      </c>
      <c r="B177" s="49" t="s">
        <v>124</v>
      </c>
      <c r="C177" s="49" t="s">
        <v>125</v>
      </c>
      <c r="D177" s="49" t="s">
        <v>69</v>
      </c>
      <c r="E177" s="50">
        <v>5424230</v>
      </c>
      <c r="F177" s="50">
        <v>6924230</v>
      </c>
      <c r="G177" s="50">
        <v>6924230</v>
      </c>
      <c r="H177" s="50">
        <v>0</v>
      </c>
      <c r="I177" s="50">
        <v>115655.15</v>
      </c>
      <c r="J177" s="50">
        <v>0</v>
      </c>
      <c r="K177" s="50">
        <v>2645491.94</v>
      </c>
      <c r="L177" s="50"/>
      <c r="M177" s="50">
        <v>2116192.8199999998</v>
      </c>
      <c r="N177" s="50"/>
      <c r="O177" s="50">
        <v>4163082.91</v>
      </c>
      <c r="P177" s="50"/>
      <c r="Q177" s="50">
        <v>4163082.91</v>
      </c>
    </row>
    <row r="178" spans="1:17" x14ac:dyDescent="0.25">
      <c r="A178" s="49" t="s">
        <v>706</v>
      </c>
      <c r="B178" s="49" t="s">
        <v>126</v>
      </c>
      <c r="C178" s="49" t="s">
        <v>127</v>
      </c>
      <c r="D178" s="49" t="s">
        <v>69</v>
      </c>
      <c r="E178" s="50">
        <v>500000</v>
      </c>
      <c r="F178" s="50">
        <v>2000000</v>
      </c>
      <c r="G178" s="50">
        <v>2000000</v>
      </c>
      <c r="H178" s="50">
        <v>0</v>
      </c>
      <c r="I178" s="50">
        <v>26475.9</v>
      </c>
      <c r="J178" s="50">
        <v>0</v>
      </c>
      <c r="K178" s="50">
        <v>855143.5</v>
      </c>
      <c r="L178" s="50"/>
      <c r="M178" s="50">
        <v>840227.5</v>
      </c>
      <c r="N178" s="50"/>
      <c r="O178" s="50">
        <v>1118380.6000000001</v>
      </c>
      <c r="P178" s="50"/>
      <c r="Q178" s="50">
        <v>1118380.6000000001</v>
      </c>
    </row>
    <row r="179" spans="1:17" x14ac:dyDescent="0.25">
      <c r="A179" s="49" t="s">
        <v>706</v>
      </c>
      <c r="B179" s="49" t="s">
        <v>128</v>
      </c>
      <c r="C179" s="49" t="s">
        <v>129</v>
      </c>
      <c r="D179" s="49" t="s">
        <v>69</v>
      </c>
      <c r="E179" s="50">
        <v>1000000</v>
      </c>
      <c r="F179" s="50">
        <v>1000000</v>
      </c>
      <c r="G179" s="50">
        <v>1000000</v>
      </c>
      <c r="H179" s="50">
        <v>0</v>
      </c>
      <c r="I179" s="50">
        <v>50000</v>
      </c>
      <c r="J179" s="50">
        <v>0</v>
      </c>
      <c r="K179" s="50">
        <v>57415.61</v>
      </c>
      <c r="L179" s="50"/>
      <c r="M179" s="50">
        <v>57415.61</v>
      </c>
      <c r="N179" s="50"/>
      <c r="O179" s="50">
        <v>892584.39</v>
      </c>
      <c r="P179" s="50"/>
      <c r="Q179" s="50">
        <v>892584.39</v>
      </c>
    </row>
    <row r="180" spans="1:17" x14ac:dyDescent="0.25">
      <c r="A180" s="49" t="s">
        <v>706</v>
      </c>
      <c r="B180" s="49" t="s">
        <v>130</v>
      </c>
      <c r="C180" s="49" t="s">
        <v>131</v>
      </c>
      <c r="D180" s="49" t="s">
        <v>69</v>
      </c>
      <c r="E180" s="50">
        <v>138100</v>
      </c>
      <c r="F180" s="50">
        <v>138100</v>
      </c>
      <c r="G180" s="50">
        <v>138100</v>
      </c>
      <c r="H180" s="50">
        <v>0</v>
      </c>
      <c r="I180" s="50">
        <v>17206.64</v>
      </c>
      <c r="J180" s="50">
        <v>0</v>
      </c>
      <c r="K180" s="50">
        <v>90793.36</v>
      </c>
      <c r="L180" s="50"/>
      <c r="M180" s="50">
        <v>90793.36</v>
      </c>
      <c r="N180" s="50"/>
      <c r="O180" s="50">
        <v>30100</v>
      </c>
      <c r="P180" s="50"/>
      <c r="Q180" s="50">
        <v>30100</v>
      </c>
    </row>
    <row r="181" spans="1:17" x14ac:dyDescent="0.25">
      <c r="A181" s="49" t="s">
        <v>706</v>
      </c>
      <c r="B181" s="49" t="s">
        <v>132</v>
      </c>
      <c r="C181" s="49" t="s">
        <v>133</v>
      </c>
      <c r="D181" s="49" t="s">
        <v>69</v>
      </c>
      <c r="E181" s="50">
        <v>3786130</v>
      </c>
      <c r="F181" s="50">
        <v>3786130</v>
      </c>
      <c r="G181" s="50">
        <v>3786130</v>
      </c>
      <c r="H181" s="50">
        <v>0</v>
      </c>
      <c r="I181" s="50">
        <v>21972.61</v>
      </c>
      <c r="J181" s="50">
        <v>0</v>
      </c>
      <c r="K181" s="50">
        <v>1642139.47</v>
      </c>
      <c r="L181" s="50"/>
      <c r="M181" s="50">
        <v>1127756.3500000001</v>
      </c>
      <c r="N181" s="50"/>
      <c r="O181" s="50">
        <v>2122017.92</v>
      </c>
      <c r="P181" s="50"/>
      <c r="Q181" s="50">
        <v>2122017.92</v>
      </c>
    </row>
    <row r="182" spans="1:17" x14ac:dyDescent="0.25">
      <c r="A182" s="49" t="s">
        <v>706</v>
      </c>
      <c r="B182" s="49" t="s">
        <v>134</v>
      </c>
      <c r="C182" s="49" t="s">
        <v>135</v>
      </c>
      <c r="D182" s="49" t="s">
        <v>69</v>
      </c>
      <c r="E182" s="50">
        <v>385113260</v>
      </c>
      <c r="F182" s="50">
        <v>425413260</v>
      </c>
      <c r="G182" s="50">
        <v>425413260</v>
      </c>
      <c r="H182" s="50">
        <v>0</v>
      </c>
      <c r="I182" s="50">
        <v>113000</v>
      </c>
      <c r="J182" s="50">
        <v>0</v>
      </c>
      <c r="K182" s="50">
        <v>403378651.38999999</v>
      </c>
      <c r="L182" s="50"/>
      <c r="M182" s="50">
        <v>342440945.89999998</v>
      </c>
      <c r="N182" s="50"/>
      <c r="O182" s="50">
        <v>21921608.609999999</v>
      </c>
      <c r="P182" s="50"/>
      <c r="Q182" s="50">
        <v>21921608.609999999</v>
      </c>
    </row>
    <row r="183" spans="1:17" x14ac:dyDescent="0.25">
      <c r="A183" s="49" t="s">
        <v>706</v>
      </c>
      <c r="B183" s="49" t="s">
        <v>306</v>
      </c>
      <c r="C183" s="49" t="s">
        <v>307</v>
      </c>
      <c r="D183" s="49" t="s">
        <v>69</v>
      </c>
      <c r="E183" s="50">
        <v>2000000</v>
      </c>
      <c r="F183" s="50">
        <v>2000000</v>
      </c>
      <c r="G183" s="50">
        <v>2000000</v>
      </c>
      <c r="H183" s="50">
        <v>0</v>
      </c>
      <c r="I183" s="50">
        <v>0</v>
      </c>
      <c r="J183" s="50">
        <v>0</v>
      </c>
      <c r="K183" s="50">
        <v>0</v>
      </c>
      <c r="L183" s="50"/>
      <c r="M183" s="50">
        <v>0</v>
      </c>
      <c r="N183" s="50"/>
      <c r="O183" s="50">
        <v>2000000</v>
      </c>
      <c r="P183" s="50"/>
      <c r="Q183" s="50">
        <v>2000000</v>
      </c>
    </row>
    <row r="184" spans="1:17" x14ac:dyDescent="0.25">
      <c r="A184" s="49" t="s">
        <v>706</v>
      </c>
      <c r="B184" s="49" t="s">
        <v>136</v>
      </c>
      <c r="C184" s="49" t="s">
        <v>137</v>
      </c>
      <c r="D184" s="49" t="s">
        <v>69</v>
      </c>
      <c r="E184" s="50">
        <v>373281100</v>
      </c>
      <c r="F184" s="50">
        <v>407581100</v>
      </c>
      <c r="G184" s="50">
        <v>407581100</v>
      </c>
      <c r="H184" s="50">
        <v>0</v>
      </c>
      <c r="I184" s="50">
        <v>113000</v>
      </c>
      <c r="J184" s="50">
        <v>0</v>
      </c>
      <c r="K184" s="50">
        <v>392905140.12</v>
      </c>
      <c r="L184" s="50"/>
      <c r="M184" s="50">
        <v>333453100.42000002</v>
      </c>
      <c r="N184" s="50"/>
      <c r="O184" s="50">
        <v>14562959.880000001</v>
      </c>
      <c r="P184" s="50"/>
      <c r="Q184" s="50">
        <v>14562959.880000001</v>
      </c>
    </row>
    <row r="185" spans="1:17" x14ac:dyDescent="0.25">
      <c r="A185" s="49" t="s">
        <v>706</v>
      </c>
      <c r="B185" s="49" t="s">
        <v>138</v>
      </c>
      <c r="C185" s="49" t="s">
        <v>139</v>
      </c>
      <c r="D185" s="49" t="s">
        <v>69</v>
      </c>
      <c r="E185" s="50">
        <v>9832160</v>
      </c>
      <c r="F185" s="50">
        <v>15832160</v>
      </c>
      <c r="G185" s="50">
        <v>15832160</v>
      </c>
      <c r="H185" s="50">
        <v>0</v>
      </c>
      <c r="I185" s="50">
        <v>0</v>
      </c>
      <c r="J185" s="50">
        <v>0</v>
      </c>
      <c r="K185" s="50">
        <v>10473511.27</v>
      </c>
      <c r="L185" s="50"/>
      <c r="M185" s="50">
        <v>8987845.4800000004</v>
      </c>
      <c r="N185" s="50"/>
      <c r="O185" s="50">
        <v>5358648.7300000004</v>
      </c>
      <c r="P185" s="50"/>
      <c r="Q185" s="50">
        <v>5358648.7300000004</v>
      </c>
    </row>
    <row r="186" spans="1:17" x14ac:dyDescent="0.25">
      <c r="A186" s="49" t="s">
        <v>706</v>
      </c>
      <c r="B186" s="49" t="s">
        <v>140</v>
      </c>
      <c r="C186" s="49" t="s">
        <v>141</v>
      </c>
      <c r="D186" s="49" t="s">
        <v>69</v>
      </c>
      <c r="E186" s="50">
        <v>35800000</v>
      </c>
      <c r="F186" s="50">
        <v>35800000</v>
      </c>
      <c r="G186" s="50">
        <v>35800000</v>
      </c>
      <c r="H186" s="50">
        <v>0</v>
      </c>
      <c r="I186" s="50">
        <v>2432160</v>
      </c>
      <c r="J186" s="50">
        <v>0</v>
      </c>
      <c r="K186" s="50">
        <v>9370523.7300000004</v>
      </c>
      <c r="L186" s="50"/>
      <c r="M186" s="50">
        <v>9370523.7300000004</v>
      </c>
      <c r="N186" s="50"/>
      <c r="O186" s="50">
        <v>23997316.27</v>
      </c>
      <c r="P186" s="50"/>
      <c r="Q186" s="50">
        <v>23997316.27</v>
      </c>
    </row>
    <row r="187" spans="1:17" x14ac:dyDescent="0.25">
      <c r="A187" s="49" t="s">
        <v>706</v>
      </c>
      <c r="B187" s="49" t="s">
        <v>142</v>
      </c>
      <c r="C187" s="49" t="s">
        <v>143</v>
      </c>
      <c r="D187" s="49" t="s">
        <v>69</v>
      </c>
      <c r="E187" s="50">
        <v>1800000</v>
      </c>
      <c r="F187" s="50">
        <v>1800000</v>
      </c>
      <c r="G187" s="50">
        <v>1800000</v>
      </c>
      <c r="H187" s="50">
        <v>0</v>
      </c>
      <c r="I187" s="50">
        <v>432160</v>
      </c>
      <c r="J187" s="50">
        <v>0</v>
      </c>
      <c r="K187" s="50">
        <v>534423.73</v>
      </c>
      <c r="L187" s="50"/>
      <c r="M187" s="50">
        <v>534423.73</v>
      </c>
      <c r="N187" s="50"/>
      <c r="O187" s="50">
        <v>833416.27</v>
      </c>
      <c r="P187" s="50"/>
      <c r="Q187" s="50">
        <v>833416.27</v>
      </c>
    </row>
    <row r="188" spans="1:17" x14ac:dyDescent="0.25">
      <c r="A188" s="49" t="s">
        <v>706</v>
      </c>
      <c r="B188" s="49" t="s">
        <v>144</v>
      </c>
      <c r="C188" s="49" t="s">
        <v>145</v>
      </c>
      <c r="D188" s="49" t="s">
        <v>69</v>
      </c>
      <c r="E188" s="50">
        <v>34000000</v>
      </c>
      <c r="F188" s="50">
        <v>34000000</v>
      </c>
      <c r="G188" s="50">
        <v>34000000</v>
      </c>
      <c r="H188" s="50">
        <v>0</v>
      </c>
      <c r="I188" s="50">
        <v>2000000</v>
      </c>
      <c r="J188" s="50">
        <v>0</v>
      </c>
      <c r="K188" s="50">
        <v>8836100</v>
      </c>
      <c r="L188" s="50"/>
      <c r="M188" s="50">
        <v>8836100</v>
      </c>
      <c r="N188" s="50"/>
      <c r="O188" s="50">
        <v>23163900</v>
      </c>
      <c r="P188" s="50"/>
      <c r="Q188" s="50">
        <v>23163900</v>
      </c>
    </row>
    <row r="189" spans="1:17" x14ac:dyDescent="0.25">
      <c r="A189" s="49" t="s">
        <v>706</v>
      </c>
      <c r="B189" s="49" t="s">
        <v>150</v>
      </c>
      <c r="C189" s="49" t="s">
        <v>151</v>
      </c>
      <c r="D189" s="49" t="s">
        <v>69</v>
      </c>
      <c r="E189" s="50">
        <v>113000000</v>
      </c>
      <c r="F189" s="50">
        <v>113000000</v>
      </c>
      <c r="G189" s="50">
        <v>113000000</v>
      </c>
      <c r="H189" s="50">
        <v>0</v>
      </c>
      <c r="I189" s="50">
        <v>15443550</v>
      </c>
      <c r="J189" s="50">
        <v>0</v>
      </c>
      <c r="K189" s="50">
        <v>84044686.819999993</v>
      </c>
      <c r="L189" s="50"/>
      <c r="M189" s="50">
        <v>70392536.819999993</v>
      </c>
      <c r="N189" s="50"/>
      <c r="O189" s="50">
        <v>13511763.18</v>
      </c>
      <c r="P189" s="50"/>
      <c r="Q189" s="50">
        <v>13511763.18</v>
      </c>
    </row>
    <row r="190" spans="1:17" x14ac:dyDescent="0.25">
      <c r="A190" s="49" t="s">
        <v>706</v>
      </c>
      <c r="B190" s="49" t="s">
        <v>152</v>
      </c>
      <c r="C190" s="49" t="s">
        <v>153</v>
      </c>
      <c r="D190" s="49" t="s">
        <v>69</v>
      </c>
      <c r="E190" s="50">
        <v>113000000</v>
      </c>
      <c r="F190" s="50">
        <v>113000000</v>
      </c>
      <c r="G190" s="50">
        <v>113000000</v>
      </c>
      <c r="H190" s="50">
        <v>0</v>
      </c>
      <c r="I190" s="50">
        <v>15443550</v>
      </c>
      <c r="J190" s="50">
        <v>0</v>
      </c>
      <c r="K190" s="50">
        <v>84044686.819999993</v>
      </c>
      <c r="L190" s="50"/>
      <c r="M190" s="50">
        <v>70392536.819999993</v>
      </c>
      <c r="N190" s="50"/>
      <c r="O190" s="50">
        <v>13511763.18</v>
      </c>
      <c r="P190" s="50"/>
      <c r="Q190" s="50">
        <v>13511763.18</v>
      </c>
    </row>
    <row r="191" spans="1:17" x14ac:dyDescent="0.25">
      <c r="A191" s="49" t="s">
        <v>706</v>
      </c>
      <c r="B191" s="49" t="s">
        <v>162</v>
      </c>
      <c r="C191" s="49" t="s">
        <v>163</v>
      </c>
      <c r="D191" s="49" t="s">
        <v>69</v>
      </c>
      <c r="E191" s="50">
        <v>119064370</v>
      </c>
      <c r="F191" s="50">
        <v>96214852.099999994</v>
      </c>
      <c r="G191" s="50">
        <v>96214852.099999994</v>
      </c>
      <c r="H191" s="50">
        <v>0</v>
      </c>
      <c r="I191" s="50">
        <v>2139867.61</v>
      </c>
      <c r="J191" s="50">
        <v>0</v>
      </c>
      <c r="K191" s="50">
        <v>63147215.219999999</v>
      </c>
      <c r="L191" s="50"/>
      <c r="M191" s="50">
        <v>40004554.810000002</v>
      </c>
      <c r="N191" s="50"/>
      <c r="O191" s="50">
        <v>30927769.27</v>
      </c>
      <c r="P191" s="50"/>
      <c r="Q191" s="50">
        <v>30927769.27</v>
      </c>
    </row>
    <row r="192" spans="1:17" x14ac:dyDescent="0.25">
      <c r="A192" s="49" t="s">
        <v>706</v>
      </c>
      <c r="B192" s="49" t="s">
        <v>310</v>
      </c>
      <c r="C192" s="49" t="s">
        <v>311</v>
      </c>
      <c r="D192" s="49" t="s">
        <v>69</v>
      </c>
      <c r="E192" s="50">
        <v>25816590</v>
      </c>
      <c r="F192" s="50">
        <v>20816590</v>
      </c>
      <c r="G192" s="50">
        <v>20816590</v>
      </c>
      <c r="H192" s="50">
        <v>0</v>
      </c>
      <c r="I192" s="50">
        <v>0</v>
      </c>
      <c r="J192" s="50">
        <v>0</v>
      </c>
      <c r="K192" s="50">
        <v>19261577.300000001</v>
      </c>
      <c r="L192" s="50"/>
      <c r="M192" s="50">
        <v>5152476.0599999996</v>
      </c>
      <c r="N192" s="50"/>
      <c r="O192" s="50">
        <v>1555012.7</v>
      </c>
      <c r="P192" s="50"/>
      <c r="Q192" s="50">
        <v>1555012.7</v>
      </c>
    </row>
    <row r="193" spans="1:17" x14ac:dyDescent="0.25">
      <c r="A193" s="49" t="s">
        <v>706</v>
      </c>
      <c r="B193" s="49" t="s">
        <v>164</v>
      </c>
      <c r="C193" s="49" t="s">
        <v>165</v>
      </c>
      <c r="D193" s="49" t="s">
        <v>69</v>
      </c>
      <c r="E193" s="50">
        <v>4358000</v>
      </c>
      <c r="F193" s="50">
        <v>4358000</v>
      </c>
      <c r="G193" s="50">
        <v>4358000</v>
      </c>
      <c r="H193" s="50">
        <v>0</v>
      </c>
      <c r="I193" s="50">
        <v>0</v>
      </c>
      <c r="J193" s="50">
        <v>0</v>
      </c>
      <c r="K193" s="50">
        <v>1684667.57</v>
      </c>
      <c r="L193" s="50"/>
      <c r="M193" s="50">
        <v>1254490.69</v>
      </c>
      <c r="N193" s="50"/>
      <c r="O193" s="50">
        <v>2673332.4300000002</v>
      </c>
      <c r="P193" s="50"/>
      <c r="Q193" s="50">
        <v>2673332.4300000002</v>
      </c>
    </row>
    <row r="194" spans="1:17" x14ac:dyDescent="0.25">
      <c r="A194" s="49" t="s">
        <v>706</v>
      </c>
      <c r="B194" s="49" t="s">
        <v>166</v>
      </c>
      <c r="C194" s="49" t="s">
        <v>167</v>
      </c>
      <c r="D194" s="49" t="s">
        <v>69</v>
      </c>
      <c r="E194" s="50">
        <v>28300000</v>
      </c>
      <c r="F194" s="50">
        <v>15150482.1</v>
      </c>
      <c r="G194" s="50">
        <v>15150482.1</v>
      </c>
      <c r="H194" s="50">
        <v>0</v>
      </c>
      <c r="I194" s="50">
        <v>2139867.61</v>
      </c>
      <c r="J194" s="50">
        <v>0</v>
      </c>
      <c r="K194" s="50">
        <v>7598027.8099999996</v>
      </c>
      <c r="L194" s="50"/>
      <c r="M194" s="50">
        <v>6956058.71</v>
      </c>
      <c r="N194" s="50"/>
      <c r="O194" s="50">
        <v>5412586.6799999997</v>
      </c>
      <c r="P194" s="50"/>
      <c r="Q194" s="50">
        <v>5412586.6799999997</v>
      </c>
    </row>
    <row r="195" spans="1:17" x14ac:dyDescent="0.25">
      <c r="A195" s="49" t="s">
        <v>706</v>
      </c>
      <c r="B195" s="49" t="s">
        <v>312</v>
      </c>
      <c r="C195" s="49" t="s">
        <v>313</v>
      </c>
      <c r="D195" s="49" t="s">
        <v>69</v>
      </c>
      <c r="E195" s="50">
        <v>8695420</v>
      </c>
      <c r="F195" s="50">
        <v>8695420</v>
      </c>
      <c r="G195" s="50">
        <v>8695420</v>
      </c>
      <c r="H195" s="50">
        <v>0</v>
      </c>
      <c r="I195" s="50">
        <v>0</v>
      </c>
      <c r="J195" s="50">
        <v>0</v>
      </c>
      <c r="K195" s="50">
        <v>4118016.49</v>
      </c>
      <c r="L195" s="50"/>
      <c r="M195" s="50">
        <v>3787201.31</v>
      </c>
      <c r="N195" s="50"/>
      <c r="O195" s="50">
        <v>4577403.51</v>
      </c>
      <c r="P195" s="50"/>
      <c r="Q195" s="50">
        <v>4577403.51</v>
      </c>
    </row>
    <row r="196" spans="1:17" x14ac:dyDescent="0.25">
      <c r="A196" s="49" t="s">
        <v>706</v>
      </c>
      <c r="B196" s="49" t="s">
        <v>168</v>
      </c>
      <c r="C196" s="49" t="s">
        <v>169</v>
      </c>
      <c r="D196" s="49" t="s">
        <v>69</v>
      </c>
      <c r="E196" s="50">
        <v>19689160</v>
      </c>
      <c r="F196" s="50">
        <v>16989160</v>
      </c>
      <c r="G196" s="50">
        <v>16989160</v>
      </c>
      <c r="H196" s="50">
        <v>0</v>
      </c>
      <c r="I196" s="50">
        <v>0</v>
      </c>
      <c r="J196" s="50">
        <v>0</v>
      </c>
      <c r="K196" s="50">
        <v>9054320.5</v>
      </c>
      <c r="L196" s="50"/>
      <c r="M196" s="50">
        <v>6486975.6399999997</v>
      </c>
      <c r="N196" s="50"/>
      <c r="O196" s="50">
        <v>7934839.5</v>
      </c>
      <c r="P196" s="50"/>
      <c r="Q196" s="50">
        <v>7934839.5</v>
      </c>
    </row>
    <row r="197" spans="1:17" x14ac:dyDescent="0.25">
      <c r="A197" s="49" t="s">
        <v>706</v>
      </c>
      <c r="B197" s="49" t="s">
        <v>170</v>
      </c>
      <c r="C197" s="49" t="s">
        <v>171</v>
      </c>
      <c r="D197" s="49" t="s">
        <v>69</v>
      </c>
      <c r="E197" s="50">
        <v>26663380</v>
      </c>
      <c r="F197" s="50">
        <v>24663380</v>
      </c>
      <c r="G197" s="50">
        <v>24663380</v>
      </c>
      <c r="H197" s="50">
        <v>0</v>
      </c>
      <c r="I197" s="50">
        <v>0</v>
      </c>
      <c r="J197" s="50">
        <v>0</v>
      </c>
      <c r="K197" s="50">
        <v>18913423.489999998</v>
      </c>
      <c r="L197" s="50"/>
      <c r="M197" s="50">
        <v>14528527.689999999</v>
      </c>
      <c r="N197" s="50"/>
      <c r="O197" s="50">
        <v>5749956.5099999998</v>
      </c>
      <c r="P197" s="50"/>
      <c r="Q197" s="50">
        <v>5749956.5099999998</v>
      </c>
    </row>
    <row r="198" spans="1:17" x14ac:dyDescent="0.25">
      <c r="A198" s="49" t="s">
        <v>706</v>
      </c>
      <c r="B198" s="49" t="s">
        <v>172</v>
      </c>
      <c r="C198" s="49" t="s">
        <v>173</v>
      </c>
      <c r="D198" s="49" t="s">
        <v>69</v>
      </c>
      <c r="E198" s="50">
        <v>5541820</v>
      </c>
      <c r="F198" s="50">
        <v>5541820</v>
      </c>
      <c r="G198" s="50">
        <v>5541820</v>
      </c>
      <c r="H198" s="50">
        <v>0</v>
      </c>
      <c r="I198" s="50">
        <v>0</v>
      </c>
      <c r="J198" s="50">
        <v>0</v>
      </c>
      <c r="K198" s="50">
        <v>2517182.06</v>
      </c>
      <c r="L198" s="50"/>
      <c r="M198" s="50">
        <v>1838824.71</v>
      </c>
      <c r="N198" s="50"/>
      <c r="O198" s="50">
        <v>3024637.94</v>
      </c>
      <c r="P198" s="50"/>
      <c r="Q198" s="50">
        <v>3024637.94</v>
      </c>
    </row>
    <row r="199" spans="1:17" x14ac:dyDescent="0.25">
      <c r="A199" s="49" t="s">
        <v>706</v>
      </c>
      <c r="B199" s="49" t="s">
        <v>174</v>
      </c>
      <c r="C199" s="49" t="s">
        <v>175</v>
      </c>
      <c r="D199" s="49" t="s">
        <v>69</v>
      </c>
      <c r="E199" s="50">
        <v>1525000</v>
      </c>
      <c r="F199" s="50">
        <v>1525000</v>
      </c>
      <c r="G199" s="50">
        <v>1525000</v>
      </c>
      <c r="H199" s="50">
        <v>0</v>
      </c>
      <c r="I199" s="50">
        <v>30750</v>
      </c>
      <c r="J199" s="50">
        <v>0</v>
      </c>
      <c r="K199" s="50">
        <v>832182</v>
      </c>
      <c r="L199" s="50"/>
      <c r="M199" s="50">
        <v>47925</v>
      </c>
      <c r="N199" s="50"/>
      <c r="O199" s="50">
        <v>662068</v>
      </c>
      <c r="P199" s="50"/>
      <c r="Q199" s="50">
        <v>662068</v>
      </c>
    </row>
    <row r="200" spans="1:17" x14ac:dyDescent="0.25">
      <c r="A200" s="49" t="s">
        <v>706</v>
      </c>
      <c r="B200" s="49" t="s">
        <v>176</v>
      </c>
      <c r="C200" s="49" t="s">
        <v>177</v>
      </c>
      <c r="D200" s="49" t="s">
        <v>69</v>
      </c>
      <c r="E200" s="50">
        <v>1525000</v>
      </c>
      <c r="F200" s="50">
        <v>1525000</v>
      </c>
      <c r="G200" s="50">
        <v>1525000</v>
      </c>
      <c r="H200" s="50">
        <v>0</v>
      </c>
      <c r="I200" s="50">
        <v>30750</v>
      </c>
      <c r="J200" s="50">
        <v>0</v>
      </c>
      <c r="K200" s="50">
        <v>832182</v>
      </c>
      <c r="L200" s="50"/>
      <c r="M200" s="50">
        <v>47925</v>
      </c>
      <c r="N200" s="50"/>
      <c r="O200" s="50">
        <v>662068</v>
      </c>
      <c r="P200" s="50"/>
      <c r="Q200" s="50">
        <v>662068</v>
      </c>
    </row>
    <row r="201" spans="1:17" x14ac:dyDescent="0.25">
      <c r="A201" s="49" t="s">
        <v>706</v>
      </c>
      <c r="B201" s="49" t="s">
        <v>178</v>
      </c>
      <c r="C201" s="49" t="s">
        <v>179</v>
      </c>
      <c r="D201" s="49" t="s">
        <v>69</v>
      </c>
      <c r="E201" s="50">
        <v>2200000</v>
      </c>
      <c r="F201" s="50">
        <v>2200000</v>
      </c>
      <c r="G201" s="50">
        <v>2200000</v>
      </c>
      <c r="H201" s="50">
        <v>0</v>
      </c>
      <c r="I201" s="50">
        <v>0</v>
      </c>
      <c r="J201" s="50">
        <v>0</v>
      </c>
      <c r="K201" s="50">
        <v>300000</v>
      </c>
      <c r="L201" s="50"/>
      <c r="M201" s="50">
        <v>150000</v>
      </c>
      <c r="N201" s="50"/>
      <c r="O201" s="50">
        <v>1900000</v>
      </c>
      <c r="P201" s="50"/>
      <c r="Q201" s="50">
        <v>1900000</v>
      </c>
    </row>
    <row r="202" spans="1:17" x14ac:dyDescent="0.25">
      <c r="A202" s="49" t="s">
        <v>706</v>
      </c>
      <c r="B202" s="49" t="s">
        <v>180</v>
      </c>
      <c r="C202" s="49" t="s">
        <v>181</v>
      </c>
      <c r="D202" s="49" t="s">
        <v>69</v>
      </c>
      <c r="E202" s="50">
        <v>200000</v>
      </c>
      <c r="F202" s="50">
        <v>200000</v>
      </c>
      <c r="G202" s="50">
        <v>200000</v>
      </c>
      <c r="H202" s="50">
        <v>0</v>
      </c>
      <c r="I202" s="50">
        <v>0</v>
      </c>
      <c r="J202" s="50">
        <v>0</v>
      </c>
      <c r="K202" s="50">
        <v>0</v>
      </c>
      <c r="L202" s="50"/>
      <c r="M202" s="50">
        <v>0</v>
      </c>
      <c r="N202" s="50"/>
      <c r="O202" s="50">
        <v>200000</v>
      </c>
      <c r="P202" s="50"/>
      <c r="Q202" s="50">
        <v>200000</v>
      </c>
    </row>
    <row r="203" spans="1:17" x14ac:dyDescent="0.25">
      <c r="A203" s="49" t="s">
        <v>706</v>
      </c>
      <c r="B203" s="49" t="s">
        <v>182</v>
      </c>
      <c r="C203" s="49" t="s">
        <v>183</v>
      </c>
      <c r="D203" s="49" t="s">
        <v>69</v>
      </c>
      <c r="E203" s="50">
        <v>2000000</v>
      </c>
      <c r="F203" s="50">
        <v>2000000</v>
      </c>
      <c r="G203" s="50">
        <v>2000000</v>
      </c>
      <c r="H203" s="50">
        <v>0</v>
      </c>
      <c r="I203" s="50">
        <v>0</v>
      </c>
      <c r="J203" s="50">
        <v>0</v>
      </c>
      <c r="K203" s="50">
        <v>300000</v>
      </c>
      <c r="L203" s="50"/>
      <c r="M203" s="50">
        <v>150000</v>
      </c>
      <c r="N203" s="50"/>
      <c r="O203" s="50">
        <v>1700000</v>
      </c>
      <c r="P203" s="50"/>
      <c r="Q203" s="50">
        <v>1700000</v>
      </c>
    </row>
    <row r="204" spans="1:17" x14ac:dyDescent="0.25">
      <c r="A204" s="49" t="s">
        <v>706</v>
      </c>
      <c r="B204" s="49" t="s">
        <v>184</v>
      </c>
      <c r="C204" s="49" t="s">
        <v>185</v>
      </c>
      <c r="D204" s="49" t="s">
        <v>69</v>
      </c>
      <c r="E204" s="50">
        <v>56348380</v>
      </c>
      <c r="F204" s="50">
        <v>50848380</v>
      </c>
      <c r="G204" s="50">
        <v>50848380</v>
      </c>
      <c r="H204" s="50">
        <v>0</v>
      </c>
      <c r="I204" s="50">
        <v>1074674.1599999999</v>
      </c>
      <c r="J204" s="50">
        <v>0</v>
      </c>
      <c r="K204" s="50">
        <v>27257232.27</v>
      </c>
      <c r="L204" s="50"/>
      <c r="M204" s="50">
        <v>23600710.420000002</v>
      </c>
      <c r="N204" s="50"/>
      <c r="O204" s="50">
        <v>22516473.57</v>
      </c>
      <c r="P204" s="50"/>
      <c r="Q204" s="50">
        <v>22516473.57</v>
      </c>
    </row>
    <row r="205" spans="1:17" x14ac:dyDescent="0.25">
      <c r="A205" s="49" t="s">
        <v>706</v>
      </c>
      <c r="B205" s="49" t="s">
        <v>186</v>
      </c>
      <c r="C205" s="49" t="s">
        <v>187</v>
      </c>
      <c r="D205" s="49" t="s">
        <v>69</v>
      </c>
      <c r="E205" s="50">
        <v>30858480</v>
      </c>
      <c r="F205" s="50">
        <v>29358480</v>
      </c>
      <c r="G205" s="50">
        <v>29358480</v>
      </c>
      <c r="H205" s="50">
        <v>0</v>
      </c>
      <c r="I205" s="50">
        <v>1074674.1599999999</v>
      </c>
      <c r="J205" s="50">
        <v>0</v>
      </c>
      <c r="K205" s="50">
        <v>9817598.9600000009</v>
      </c>
      <c r="L205" s="50"/>
      <c r="M205" s="50">
        <v>9602537.3599999994</v>
      </c>
      <c r="N205" s="50"/>
      <c r="O205" s="50">
        <v>18466206.879999999</v>
      </c>
      <c r="P205" s="50"/>
      <c r="Q205" s="50">
        <v>18466206.879999999</v>
      </c>
    </row>
    <row r="206" spans="1:17" x14ac:dyDescent="0.25">
      <c r="A206" s="49" t="s">
        <v>706</v>
      </c>
      <c r="B206" s="49" t="s">
        <v>188</v>
      </c>
      <c r="C206" s="49" t="s">
        <v>189</v>
      </c>
      <c r="D206" s="49" t="s">
        <v>69</v>
      </c>
      <c r="E206" s="50">
        <v>25379000</v>
      </c>
      <c r="F206" s="50">
        <v>25379000</v>
      </c>
      <c r="G206" s="50">
        <v>25379000</v>
      </c>
      <c r="H206" s="50">
        <v>0</v>
      </c>
      <c r="I206" s="50">
        <v>1074674.1599999999</v>
      </c>
      <c r="J206" s="50">
        <v>0</v>
      </c>
      <c r="K206" s="50">
        <v>6986789.04</v>
      </c>
      <c r="L206" s="50"/>
      <c r="M206" s="50">
        <v>6986789.04</v>
      </c>
      <c r="N206" s="50"/>
      <c r="O206" s="50">
        <v>17317536.800000001</v>
      </c>
      <c r="P206" s="50"/>
      <c r="Q206" s="50">
        <v>17317536.800000001</v>
      </c>
    </row>
    <row r="207" spans="1:17" x14ac:dyDescent="0.25">
      <c r="A207" s="49" t="s">
        <v>706</v>
      </c>
      <c r="B207" s="49" t="s">
        <v>190</v>
      </c>
      <c r="C207" s="49" t="s">
        <v>191</v>
      </c>
      <c r="D207" s="49" t="s">
        <v>69</v>
      </c>
      <c r="E207" s="50">
        <v>231600</v>
      </c>
      <c r="F207" s="50">
        <v>231600</v>
      </c>
      <c r="G207" s="50">
        <v>231600</v>
      </c>
      <c r="H207" s="50">
        <v>0</v>
      </c>
      <c r="I207" s="50">
        <v>0</v>
      </c>
      <c r="J207" s="50">
        <v>0</v>
      </c>
      <c r="K207" s="50">
        <v>167805</v>
      </c>
      <c r="L207" s="50"/>
      <c r="M207" s="50">
        <v>167805</v>
      </c>
      <c r="N207" s="50"/>
      <c r="O207" s="50">
        <v>63795</v>
      </c>
      <c r="P207" s="50"/>
      <c r="Q207" s="50">
        <v>63795</v>
      </c>
    </row>
    <row r="208" spans="1:17" x14ac:dyDescent="0.25">
      <c r="A208" s="49" t="s">
        <v>706</v>
      </c>
      <c r="B208" s="49" t="s">
        <v>192</v>
      </c>
      <c r="C208" s="49" t="s">
        <v>193</v>
      </c>
      <c r="D208" s="49" t="s">
        <v>69</v>
      </c>
      <c r="E208" s="50">
        <v>4850880</v>
      </c>
      <c r="F208" s="50">
        <v>3350880</v>
      </c>
      <c r="G208" s="50">
        <v>3350880</v>
      </c>
      <c r="H208" s="50">
        <v>0</v>
      </c>
      <c r="I208" s="50">
        <v>0</v>
      </c>
      <c r="J208" s="50">
        <v>0</v>
      </c>
      <c r="K208" s="50">
        <v>2369589.12</v>
      </c>
      <c r="L208" s="50"/>
      <c r="M208" s="50">
        <v>2329858.3199999998</v>
      </c>
      <c r="N208" s="50"/>
      <c r="O208" s="50">
        <v>981290.88</v>
      </c>
      <c r="P208" s="50"/>
      <c r="Q208" s="50">
        <v>981290.88</v>
      </c>
    </row>
    <row r="209" spans="1:17" x14ac:dyDescent="0.25">
      <c r="A209" s="49" t="s">
        <v>706</v>
      </c>
      <c r="B209" s="49" t="s">
        <v>194</v>
      </c>
      <c r="C209" s="49" t="s">
        <v>195</v>
      </c>
      <c r="D209" s="49" t="s">
        <v>69</v>
      </c>
      <c r="E209" s="50">
        <v>397000</v>
      </c>
      <c r="F209" s="50">
        <v>397000</v>
      </c>
      <c r="G209" s="50">
        <v>397000</v>
      </c>
      <c r="H209" s="50">
        <v>0</v>
      </c>
      <c r="I209" s="50">
        <v>0</v>
      </c>
      <c r="J209" s="50">
        <v>0</v>
      </c>
      <c r="K209" s="50">
        <v>293415.8</v>
      </c>
      <c r="L209" s="50"/>
      <c r="M209" s="50">
        <v>118085</v>
      </c>
      <c r="N209" s="50"/>
      <c r="O209" s="50">
        <v>103584.2</v>
      </c>
      <c r="P209" s="50"/>
      <c r="Q209" s="50">
        <v>103584.2</v>
      </c>
    </row>
    <row r="210" spans="1:17" x14ac:dyDescent="0.25">
      <c r="A210" s="49" t="s">
        <v>706</v>
      </c>
      <c r="B210" s="49" t="s">
        <v>200</v>
      </c>
      <c r="C210" s="49" t="s">
        <v>201</v>
      </c>
      <c r="D210" s="49" t="s">
        <v>69</v>
      </c>
      <c r="E210" s="50">
        <v>5536500</v>
      </c>
      <c r="F210" s="50">
        <v>5536500</v>
      </c>
      <c r="G210" s="50">
        <v>5536500</v>
      </c>
      <c r="H210" s="50">
        <v>0</v>
      </c>
      <c r="I210" s="50">
        <v>0</v>
      </c>
      <c r="J210" s="50">
        <v>0</v>
      </c>
      <c r="K210" s="50">
        <v>4910466.1500000004</v>
      </c>
      <c r="L210" s="50"/>
      <c r="M210" s="50">
        <v>4495808.13</v>
      </c>
      <c r="N210" s="50"/>
      <c r="O210" s="50">
        <v>626033.85</v>
      </c>
      <c r="P210" s="50"/>
      <c r="Q210" s="50">
        <v>626033.85</v>
      </c>
    </row>
    <row r="211" spans="1:17" x14ac:dyDescent="0.25">
      <c r="A211" s="49" t="s">
        <v>706</v>
      </c>
      <c r="B211" s="49" t="s">
        <v>314</v>
      </c>
      <c r="C211" s="49" t="s">
        <v>315</v>
      </c>
      <c r="D211" s="49" t="s">
        <v>69</v>
      </c>
      <c r="E211" s="50">
        <v>1274000</v>
      </c>
      <c r="F211" s="50">
        <v>1274000</v>
      </c>
      <c r="G211" s="50">
        <v>1274000</v>
      </c>
      <c r="H211" s="50">
        <v>0</v>
      </c>
      <c r="I211" s="50">
        <v>0</v>
      </c>
      <c r="J211" s="50">
        <v>0</v>
      </c>
      <c r="K211" s="50">
        <v>1248976.29</v>
      </c>
      <c r="L211" s="50"/>
      <c r="M211" s="50">
        <v>1248976.29</v>
      </c>
      <c r="N211" s="50"/>
      <c r="O211" s="50">
        <v>25023.71</v>
      </c>
      <c r="P211" s="50"/>
      <c r="Q211" s="50">
        <v>25023.71</v>
      </c>
    </row>
    <row r="212" spans="1:17" x14ac:dyDescent="0.25">
      <c r="A212" s="49" t="s">
        <v>706</v>
      </c>
      <c r="B212" s="49" t="s">
        <v>316</v>
      </c>
      <c r="C212" s="49" t="s">
        <v>317</v>
      </c>
      <c r="D212" s="49" t="s">
        <v>69</v>
      </c>
      <c r="E212" s="50">
        <v>290000</v>
      </c>
      <c r="F212" s="50">
        <v>290000</v>
      </c>
      <c r="G212" s="50">
        <v>290000</v>
      </c>
      <c r="H212" s="50">
        <v>0</v>
      </c>
      <c r="I212" s="50">
        <v>0</v>
      </c>
      <c r="J212" s="50">
        <v>0</v>
      </c>
      <c r="K212" s="50">
        <v>137464.5</v>
      </c>
      <c r="L212" s="50"/>
      <c r="M212" s="50">
        <v>137464.5</v>
      </c>
      <c r="N212" s="50"/>
      <c r="O212" s="50">
        <v>152535.5</v>
      </c>
      <c r="P212" s="50"/>
      <c r="Q212" s="50">
        <v>152535.5</v>
      </c>
    </row>
    <row r="213" spans="1:17" x14ac:dyDescent="0.25">
      <c r="A213" s="49" t="s">
        <v>706</v>
      </c>
      <c r="B213" s="49" t="s">
        <v>318</v>
      </c>
      <c r="C213" s="49" t="s">
        <v>319</v>
      </c>
      <c r="D213" s="49" t="s">
        <v>69</v>
      </c>
      <c r="E213" s="50">
        <v>100000</v>
      </c>
      <c r="F213" s="50">
        <v>100000</v>
      </c>
      <c r="G213" s="50">
        <v>100000</v>
      </c>
      <c r="H213" s="50">
        <v>0</v>
      </c>
      <c r="I213" s="50">
        <v>0</v>
      </c>
      <c r="J213" s="50">
        <v>0</v>
      </c>
      <c r="K213" s="50">
        <v>78619.070000000007</v>
      </c>
      <c r="L213" s="50"/>
      <c r="M213" s="50">
        <v>78619.070000000007</v>
      </c>
      <c r="N213" s="50"/>
      <c r="O213" s="50">
        <v>21380.93</v>
      </c>
      <c r="P213" s="50"/>
      <c r="Q213" s="50">
        <v>21380.93</v>
      </c>
    </row>
    <row r="214" spans="1:17" x14ac:dyDescent="0.25">
      <c r="A214" s="49" t="s">
        <v>706</v>
      </c>
      <c r="B214" s="49" t="s">
        <v>202</v>
      </c>
      <c r="C214" s="49" t="s">
        <v>203</v>
      </c>
      <c r="D214" s="49" t="s">
        <v>69</v>
      </c>
      <c r="E214" s="50">
        <v>2782500</v>
      </c>
      <c r="F214" s="50">
        <v>2782500</v>
      </c>
      <c r="G214" s="50">
        <v>2782500</v>
      </c>
      <c r="H214" s="50">
        <v>0</v>
      </c>
      <c r="I214" s="50">
        <v>0</v>
      </c>
      <c r="J214" s="50">
        <v>0</v>
      </c>
      <c r="K214" s="50">
        <v>2546058.23</v>
      </c>
      <c r="L214" s="50"/>
      <c r="M214" s="50">
        <v>2546058.23</v>
      </c>
      <c r="N214" s="50"/>
      <c r="O214" s="50">
        <v>236441.77</v>
      </c>
      <c r="P214" s="50"/>
      <c r="Q214" s="50">
        <v>236441.77</v>
      </c>
    </row>
    <row r="215" spans="1:17" x14ac:dyDescent="0.25">
      <c r="A215" s="49" t="s">
        <v>706</v>
      </c>
      <c r="B215" s="49" t="s">
        <v>204</v>
      </c>
      <c r="C215" s="49" t="s">
        <v>205</v>
      </c>
      <c r="D215" s="49" t="s">
        <v>69</v>
      </c>
      <c r="E215" s="50">
        <v>200000</v>
      </c>
      <c r="F215" s="50">
        <v>200000</v>
      </c>
      <c r="G215" s="50">
        <v>200000</v>
      </c>
      <c r="H215" s="50">
        <v>0</v>
      </c>
      <c r="I215" s="50">
        <v>0</v>
      </c>
      <c r="J215" s="50">
        <v>0</v>
      </c>
      <c r="K215" s="50">
        <v>58985.440000000002</v>
      </c>
      <c r="L215" s="50"/>
      <c r="M215" s="50">
        <v>58985.440000000002</v>
      </c>
      <c r="N215" s="50"/>
      <c r="O215" s="50">
        <v>141014.56</v>
      </c>
      <c r="P215" s="50"/>
      <c r="Q215" s="50">
        <v>141014.56</v>
      </c>
    </row>
    <row r="216" spans="1:17" x14ac:dyDescent="0.25">
      <c r="A216" s="49" t="s">
        <v>706</v>
      </c>
      <c r="B216" s="49" t="s">
        <v>322</v>
      </c>
      <c r="C216" s="49" t="s">
        <v>323</v>
      </c>
      <c r="D216" s="49" t="s">
        <v>69</v>
      </c>
      <c r="E216" s="50">
        <v>890000</v>
      </c>
      <c r="F216" s="50">
        <v>890000</v>
      </c>
      <c r="G216" s="50">
        <v>890000</v>
      </c>
      <c r="H216" s="50">
        <v>0</v>
      </c>
      <c r="I216" s="50">
        <v>0</v>
      </c>
      <c r="J216" s="50">
        <v>0</v>
      </c>
      <c r="K216" s="50">
        <v>840362.62</v>
      </c>
      <c r="L216" s="50"/>
      <c r="M216" s="50">
        <v>425704.6</v>
      </c>
      <c r="N216" s="50"/>
      <c r="O216" s="50">
        <v>49637.38</v>
      </c>
      <c r="P216" s="50"/>
      <c r="Q216" s="50">
        <v>49637.38</v>
      </c>
    </row>
    <row r="217" spans="1:17" x14ac:dyDescent="0.25">
      <c r="A217" s="49" t="s">
        <v>706</v>
      </c>
      <c r="B217" s="49" t="s">
        <v>206</v>
      </c>
      <c r="C217" s="49" t="s">
        <v>207</v>
      </c>
      <c r="D217" s="49" t="s">
        <v>69</v>
      </c>
      <c r="E217" s="50">
        <v>3341900</v>
      </c>
      <c r="F217" s="50">
        <v>2341900</v>
      </c>
      <c r="G217" s="50">
        <v>2341900</v>
      </c>
      <c r="H217" s="50">
        <v>0</v>
      </c>
      <c r="I217" s="50">
        <v>0</v>
      </c>
      <c r="J217" s="50">
        <v>0</v>
      </c>
      <c r="K217" s="50">
        <v>780334.46</v>
      </c>
      <c r="L217" s="50"/>
      <c r="M217" s="50">
        <v>111538.33</v>
      </c>
      <c r="N217" s="50"/>
      <c r="O217" s="50">
        <v>1561565.54</v>
      </c>
      <c r="P217" s="50"/>
      <c r="Q217" s="50">
        <v>1561565.54</v>
      </c>
    </row>
    <row r="218" spans="1:17" x14ac:dyDescent="0.25">
      <c r="A218" s="49" t="s">
        <v>706</v>
      </c>
      <c r="B218" s="49" t="s">
        <v>208</v>
      </c>
      <c r="C218" s="49" t="s">
        <v>209</v>
      </c>
      <c r="D218" s="49" t="s">
        <v>69</v>
      </c>
      <c r="E218" s="50">
        <v>671900</v>
      </c>
      <c r="F218" s="50">
        <v>671900</v>
      </c>
      <c r="G218" s="50">
        <v>671900</v>
      </c>
      <c r="H218" s="50">
        <v>0</v>
      </c>
      <c r="I218" s="50">
        <v>0</v>
      </c>
      <c r="J218" s="50">
        <v>0</v>
      </c>
      <c r="K218" s="50">
        <v>537232.91</v>
      </c>
      <c r="L218" s="50"/>
      <c r="M218" s="50">
        <v>45250</v>
      </c>
      <c r="N218" s="50"/>
      <c r="O218" s="50">
        <v>134667.09</v>
      </c>
      <c r="P218" s="50"/>
      <c r="Q218" s="50">
        <v>134667.09</v>
      </c>
    </row>
    <row r="219" spans="1:17" x14ac:dyDescent="0.25">
      <c r="A219" s="49" t="s">
        <v>706</v>
      </c>
      <c r="B219" s="49" t="s">
        <v>210</v>
      </c>
      <c r="C219" s="49" t="s">
        <v>211</v>
      </c>
      <c r="D219" s="49" t="s">
        <v>69</v>
      </c>
      <c r="E219" s="50">
        <v>2670000</v>
      </c>
      <c r="F219" s="50">
        <v>1670000</v>
      </c>
      <c r="G219" s="50">
        <v>1670000</v>
      </c>
      <c r="H219" s="50">
        <v>0</v>
      </c>
      <c r="I219" s="50">
        <v>0</v>
      </c>
      <c r="J219" s="50">
        <v>0</v>
      </c>
      <c r="K219" s="50">
        <v>243101.55</v>
      </c>
      <c r="L219" s="50"/>
      <c r="M219" s="50">
        <v>66288.33</v>
      </c>
      <c r="N219" s="50"/>
      <c r="O219" s="50">
        <v>1426898.45</v>
      </c>
      <c r="P219" s="50"/>
      <c r="Q219" s="50">
        <v>1426898.45</v>
      </c>
    </row>
    <row r="220" spans="1:17" x14ac:dyDescent="0.25">
      <c r="A220" s="49" t="s">
        <v>706</v>
      </c>
      <c r="B220" s="49" t="s">
        <v>212</v>
      </c>
      <c r="C220" s="49" t="s">
        <v>213</v>
      </c>
      <c r="D220" s="49" t="s">
        <v>69</v>
      </c>
      <c r="E220" s="50">
        <v>16611500</v>
      </c>
      <c r="F220" s="50">
        <v>13611500</v>
      </c>
      <c r="G220" s="50">
        <v>13611500</v>
      </c>
      <c r="H220" s="50">
        <v>0</v>
      </c>
      <c r="I220" s="50">
        <v>0</v>
      </c>
      <c r="J220" s="50">
        <v>0</v>
      </c>
      <c r="K220" s="50">
        <v>11748832.699999999</v>
      </c>
      <c r="L220" s="50"/>
      <c r="M220" s="50">
        <v>9390826.5999999996</v>
      </c>
      <c r="N220" s="50"/>
      <c r="O220" s="50">
        <v>1862667.3</v>
      </c>
      <c r="P220" s="50"/>
      <c r="Q220" s="50">
        <v>1862667.3</v>
      </c>
    </row>
    <row r="221" spans="1:17" x14ac:dyDescent="0.25">
      <c r="A221" s="49" t="s">
        <v>706</v>
      </c>
      <c r="B221" s="49" t="s">
        <v>214</v>
      </c>
      <c r="C221" s="49" t="s">
        <v>215</v>
      </c>
      <c r="D221" s="49" t="s">
        <v>69</v>
      </c>
      <c r="E221" s="50">
        <v>5232000</v>
      </c>
      <c r="F221" s="50">
        <v>2232000</v>
      </c>
      <c r="G221" s="50">
        <v>2232000</v>
      </c>
      <c r="H221" s="50">
        <v>0</v>
      </c>
      <c r="I221" s="50">
        <v>0</v>
      </c>
      <c r="J221" s="50">
        <v>0</v>
      </c>
      <c r="K221" s="50">
        <v>2152542.12</v>
      </c>
      <c r="L221" s="50"/>
      <c r="M221" s="50">
        <v>2152542.12</v>
      </c>
      <c r="N221" s="50"/>
      <c r="O221" s="50">
        <v>79457.88</v>
      </c>
      <c r="P221" s="50"/>
      <c r="Q221" s="50">
        <v>79457.88</v>
      </c>
    </row>
    <row r="222" spans="1:17" x14ac:dyDescent="0.25">
      <c r="A222" s="49" t="s">
        <v>706</v>
      </c>
      <c r="B222" s="49" t="s">
        <v>218</v>
      </c>
      <c r="C222" s="49" t="s">
        <v>219</v>
      </c>
      <c r="D222" s="49" t="s">
        <v>69</v>
      </c>
      <c r="E222" s="50">
        <v>6600000</v>
      </c>
      <c r="F222" s="50">
        <v>2600000</v>
      </c>
      <c r="G222" s="50">
        <v>2600000</v>
      </c>
      <c r="H222" s="50">
        <v>0</v>
      </c>
      <c r="I222" s="50">
        <v>0</v>
      </c>
      <c r="J222" s="50">
        <v>0</v>
      </c>
      <c r="K222" s="50">
        <v>2570664.7400000002</v>
      </c>
      <c r="L222" s="50"/>
      <c r="M222" s="50">
        <v>2192594.7000000002</v>
      </c>
      <c r="N222" s="50"/>
      <c r="O222" s="50">
        <v>29335.26</v>
      </c>
      <c r="P222" s="50"/>
      <c r="Q222" s="50">
        <v>29335.26</v>
      </c>
    </row>
    <row r="223" spans="1:17" x14ac:dyDescent="0.25">
      <c r="A223" s="49" t="s">
        <v>706</v>
      </c>
      <c r="B223" s="49" t="s">
        <v>220</v>
      </c>
      <c r="C223" s="49" t="s">
        <v>221</v>
      </c>
      <c r="D223" s="49" t="s">
        <v>69</v>
      </c>
      <c r="E223" s="50">
        <v>340000</v>
      </c>
      <c r="F223" s="50">
        <v>340000</v>
      </c>
      <c r="G223" s="50">
        <v>340000</v>
      </c>
      <c r="H223" s="50">
        <v>0</v>
      </c>
      <c r="I223" s="50">
        <v>0</v>
      </c>
      <c r="J223" s="50">
        <v>0</v>
      </c>
      <c r="K223" s="50">
        <v>334824.74</v>
      </c>
      <c r="L223" s="50"/>
      <c r="M223" s="50">
        <v>334824.74</v>
      </c>
      <c r="N223" s="50"/>
      <c r="O223" s="50">
        <v>5175.26</v>
      </c>
      <c r="P223" s="50"/>
      <c r="Q223" s="50">
        <v>5175.26</v>
      </c>
    </row>
    <row r="224" spans="1:17" x14ac:dyDescent="0.25">
      <c r="A224" s="49" t="s">
        <v>706</v>
      </c>
      <c r="B224" s="49" t="s">
        <v>222</v>
      </c>
      <c r="C224" s="49" t="s">
        <v>223</v>
      </c>
      <c r="D224" s="49" t="s">
        <v>69</v>
      </c>
      <c r="E224" s="50">
        <v>1393100</v>
      </c>
      <c r="F224" s="50">
        <v>5393100</v>
      </c>
      <c r="G224" s="50">
        <v>5393100</v>
      </c>
      <c r="H224" s="50">
        <v>0</v>
      </c>
      <c r="I224" s="50">
        <v>0</v>
      </c>
      <c r="J224" s="50">
        <v>0</v>
      </c>
      <c r="K224" s="50">
        <v>5047703.54</v>
      </c>
      <c r="L224" s="50"/>
      <c r="M224" s="50">
        <v>4267834.04</v>
      </c>
      <c r="N224" s="50"/>
      <c r="O224" s="50">
        <v>345396.46</v>
      </c>
      <c r="P224" s="50"/>
      <c r="Q224" s="50">
        <v>345396.46</v>
      </c>
    </row>
    <row r="225" spans="1:17" x14ac:dyDescent="0.25">
      <c r="A225" s="49" t="s">
        <v>706</v>
      </c>
      <c r="B225" s="49" t="s">
        <v>224</v>
      </c>
      <c r="C225" s="49" t="s">
        <v>225</v>
      </c>
      <c r="D225" s="49" t="s">
        <v>69</v>
      </c>
      <c r="E225" s="50">
        <v>2296200</v>
      </c>
      <c r="F225" s="50">
        <v>2296200</v>
      </c>
      <c r="G225" s="50">
        <v>2296200</v>
      </c>
      <c r="H225" s="50">
        <v>0</v>
      </c>
      <c r="I225" s="50">
        <v>0</v>
      </c>
      <c r="J225" s="50">
        <v>0</v>
      </c>
      <c r="K225" s="50">
        <v>895926.31</v>
      </c>
      <c r="L225" s="50"/>
      <c r="M225" s="50">
        <v>101106</v>
      </c>
      <c r="N225" s="50"/>
      <c r="O225" s="50">
        <v>1400273.69</v>
      </c>
      <c r="P225" s="50"/>
      <c r="Q225" s="50">
        <v>1400273.69</v>
      </c>
    </row>
    <row r="226" spans="1:17" x14ac:dyDescent="0.25">
      <c r="A226" s="49" t="s">
        <v>706</v>
      </c>
      <c r="B226" s="49" t="s">
        <v>228</v>
      </c>
      <c r="C226" s="49" t="s">
        <v>229</v>
      </c>
      <c r="D226" s="49" t="s">
        <v>69</v>
      </c>
      <c r="E226" s="50">
        <v>750200</v>
      </c>
      <c r="F226" s="50">
        <v>750200</v>
      </c>
      <c r="G226" s="50">
        <v>750200</v>
      </c>
      <c r="H226" s="50">
        <v>0</v>
      </c>
      <c r="I226" s="50">
        <v>0</v>
      </c>
      <c r="J226" s="50">
        <v>0</v>
      </c>
      <c r="K226" s="50">
        <v>747171.25</v>
      </c>
      <c r="L226" s="50"/>
      <c r="M226" s="50">
        <v>341925</v>
      </c>
      <c r="N226" s="50"/>
      <c r="O226" s="50">
        <v>3028.75</v>
      </c>
      <c r="P226" s="50"/>
      <c r="Q226" s="50">
        <v>3028.75</v>
      </c>
    </row>
    <row r="227" spans="1:17" x14ac:dyDescent="0.25">
      <c r="A227" s="49" t="s">
        <v>706</v>
      </c>
      <c r="B227" s="49" t="s">
        <v>248</v>
      </c>
      <c r="C227" s="49" t="s">
        <v>249</v>
      </c>
      <c r="D227" s="49" t="s">
        <v>69</v>
      </c>
      <c r="E227" s="50">
        <v>218960452</v>
      </c>
      <c r="F227" s="50">
        <v>123234903</v>
      </c>
      <c r="G227" s="50">
        <v>123234903</v>
      </c>
      <c r="H227" s="50">
        <v>0</v>
      </c>
      <c r="I227" s="50">
        <v>0</v>
      </c>
      <c r="J227" s="50">
        <v>0</v>
      </c>
      <c r="K227" s="50">
        <v>33026716.629999999</v>
      </c>
      <c r="L227" s="50"/>
      <c r="M227" s="50">
        <v>33026716.629999999</v>
      </c>
      <c r="N227" s="50"/>
      <c r="O227" s="50">
        <v>90208186.370000005</v>
      </c>
      <c r="P227" s="50"/>
      <c r="Q227" s="50">
        <v>90208186.370000005</v>
      </c>
    </row>
    <row r="228" spans="1:17" x14ac:dyDescent="0.25">
      <c r="A228" s="49" t="s">
        <v>706</v>
      </c>
      <c r="B228" s="49" t="s">
        <v>250</v>
      </c>
      <c r="C228" s="49" t="s">
        <v>251</v>
      </c>
      <c r="D228" s="49" t="s">
        <v>69</v>
      </c>
      <c r="E228" s="50">
        <v>17259352</v>
      </c>
      <c r="F228" s="50">
        <v>16783803</v>
      </c>
      <c r="G228" s="50">
        <v>16783803</v>
      </c>
      <c r="H228" s="50">
        <v>0</v>
      </c>
      <c r="I228" s="50">
        <v>0</v>
      </c>
      <c r="J228" s="50">
        <v>0</v>
      </c>
      <c r="K228" s="50">
        <v>14388186.07</v>
      </c>
      <c r="L228" s="50"/>
      <c r="M228" s="50">
        <v>14388186.07</v>
      </c>
      <c r="N228" s="50"/>
      <c r="O228" s="50">
        <v>2395616.9300000002</v>
      </c>
      <c r="P228" s="50"/>
      <c r="Q228" s="50">
        <v>2395616.9300000002</v>
      </c>
    </row>
    <row r="229" spans="1:17" x14ac:dyDescent="0.25">
      <c r="A229" s="49" t="s">
        <v>706</v>
      </c>
      <c r="B229" s="49" t="s">
        <v>628</v>
      </c>
      <c r="C229" s="49" t="s">
        <v>702</v>
      </c>
      <c r="D229" s="49" t="s">
        <v>69</v>
      </c>
      <c r="E229" s="50">
        <v>14660103</v>
      </c>
      <c r="F229" s="50">
        <v>14256172</v>
      </c>
      <c r="G229" s="50">
        <v>14256172</v>
      </c>
      <c r="H229" s="50">
        <v>0</v>
      </c>
      <c r="I229" s="50">
        <v>0</v>
      </c>
      <c r="J229" s="50">
        <v>0</v>
      </c>
      <c r="K229" s="50">
        <v>12188462</v>
      </c>
      <c r="L229" s="50"/>
      <c r="M229" s="50">
        <v>12188462</v>
      </c>
      <c r="N229" s="50"/>
      <c r="O229" s="50">
        <v>2067710</v>
      </c>
      <c r="P229" s="50"/>
      <c r="Q229" s="50">
        <v>2067710</v>
      </c>
    </row>
    <row r="230" spans="1:17" x14ac:dyDescent="0.25">
      <c r="A230" s="49" t="s">
        <v>706</v>
      </c>
      <c r="B230" s="49" t="s">
        <v>643</v>
      </c>
      <c r="C230" s="49" t="s">
        <v>703</v>
      </c>
      <c r="D230" s="49" t="s">
        <v>69</v>
      </c>
      <c r="E230" s="50">
        <v>2599249</v>
      </c>
      <c r="F230" s="50">
        <v>2527631</v>
      </c>
      <c r="G230" s="50">
        <v>2527631</v>
      </c>
      <c r="H230" s="50">
        <v>0</v>
      </c>
      <c r="I230" s="50">
        <v>0</v>
      </c>
      <c r="J230" s="50">
        <v>0</v>
      </c>
      <c r="K230" s="50">
        <v>2199724.0699999998</v>
      </c>
      <c r="L230" s="50"/>
      <c r="M230" s="50">
        <v>2199724.0699999998</v>
      </c>
      <c r="N230" s="50"/>
      <c r="O230" s="50">
        <v>327906.93</v>
      </c>
      <c r="P230" s="50"/>
      <c r="Q230" s="50">
        <v>327906.93</v>
      </c>
    </row>
    <row r="231" spans="1:17" x14ac:dyDescent="0.25">
      <c r="A231" s="49" t="s">
        <v>706</v>
      </c>
      <c r="B231" s="49" t="s">
        <v>260</v>
      </c>
      <c r="C231" s="49" t="s">
        <v>261</v>
      </c>
      <c r="D231" s="49" t="s">
        <v>69</v>
      </c>
      <c r="E231" s="50">
        <v>195701100</v>
      </c>
      <c r="F231" s="50">
        <v>100451100</v>
      </c>
      <c r="G231" s="50">
        <v>100451100</v>
      </c>
      <c r="H231" s="50">
        <v>0</v>
      </c>
      <c r="I231" s="50">
        <v>0</v>
      </c>
      <c r="J231" s="50">
        <v>0</v>
      </c>
      <c r="K231" s="50">
        <v>18638530.559999999</v>
      </c>
      <c r="L231" s="50"/>
      <c r="M231" s="50">
        <v>18638530.559999999</v>
      </c>
      <c r="N231" s="50"/>
      <c r="O231" s="50">
        <v>81812569.439999998</v>
      </c>
      <c r="P231" s="50"/>
      <c r="Q231" s="50">
        <v>81812569.439999998</v>
      </c>
    </row>
    <row r="232" spans="1:17" x14ac:dyDescent="0.25">
      <c r="A232" s="49" t="s">
        <v>706</v>
      </c>
      <c r="B232" s="49" t="s">
        <v>262</v>
      </c>
      <c r="C232" s="49" t="s">
        <v>263</v>
      </c>
      <c r="D232" s="49" t="s">
        <v>69</v>
      </c>
      <c r="E232" s="50">
        <v>165701100</v>
      </c>
      <c r="F232" s="50">
        <v>70451100</v>
      </c>
      <c r="G232" s="50">
        <v>70451100</v>
      </c>
      <c r="H232" s="50">
        <v>0</v>
      </c>
      <c r="I232" s="50">
        <v>0</v>
      </c>
      <c r="J232" s="50">
        <v>0</v>
      </c>
      <c r="K232" s="50">
        <v>16263087.560000001</v>
      </c>
      <c r="L232" s="50"/>
      <c r="M232" s="50">
        <v>16263087.560000001</v>
      </c>
      <c r="N232" s="50"/>
      <c r="O232" s="50">
        <v>54188012.439999998</v>
      </c>
      <c r="P232" s="50"/>
      <c r="Q232" s="50">
        <v>54188012.439999998</v>
      </c>
    </row>
    <row r="233" spans="1:17" x14ac:dyDescent="0.25">
      <c r="A233" s="49" t="s">
        <v>706</v>
      </c>
      <c r="B233" s="49" t="s">
        <v>264</v>
      </c>
      <c r="C233" s="49" t="s">
        <v>265</v>
      </c>
      <c r="D233" s="49" t="s">
        <v>69</v>
      </c>
      <c r="E233" s="50">
        <v>30000000</v>
      </c>
      <c r="F233" s="50">
        <v>30000000</v>
      </c>
      <c r="G233" s="50">
        <v>30000000</v>
      </c>
      <c r="H233" s="50">
        <v>0</v>
      </c>
      <c r="I233" s="50">
        <v>0</v>
      </c>
      <c r="J233" s="50">
        <v>0</v>
      </c>
      <c r="K233" s="50">
        <v>2375443</v>
      </c>
      <c r="L233" s="50"/>
      <c r="M233" s="50">
        <v>2375443</v>
      </c>
      <c r="N233" s="50"/>
      <c r="O233" s="50">
        <v>27624557</v>
      </c>
      <c r="P233" s="50"/>
      <c r="Q233" s="50">
        <v>27624557</v>
      </c>
    </row>
    <row r="234" spans="1:17" x14ac:dyDescent="0.25">
      <c r="A234" s="49" t="s">
        <v>706</v>
      </c>
      <c r="B234" s="49" t="s">
        <v>286</v>
      </c>
      <c r="C234" s="49" t="s">
        <v>287</v>
      </c>
      <c r="D234" s="49" t="s">
        <v>69</v>
      </c>
      <c r="E234" s="50">
        <v>6000000</v>
      </c>
      <c r="F234" s="50">
        <v>6000000</v>
      </c>
      <c r="G234" s="50">
        <v>6000000</v>
      </c>
      <c r="H234" s="50">
        <v>0</v>
      </c>
      <c r="I234" s="50">
        <v>0</v>
      </c>
      <c r="J234" s="50">
        <v>0</v>
      </c>
      <c r="K234" s="50">
        <v>0</v>
      </c>
      <c r="L234" s="50"/>
      <c r="M234" s="50">
        <v>0</v>
      </c>
      <c r="N234" s="50"/>
      <c r="O234" s="50">
        <v>6000000</v>
      </c>
      <c r="P234" s="50"/>
      <c r="Q234" s="50">
        <v>6000000</v>
      </c>
    </row>
    <row r="235" spans="1:17" x14ac:dyDescent="0.25">
      <c r="A235" s="49" t="s">
        <v>706</v>
      </c>
      <c r="B235" s="49" t="s">
        <v>288</v>
      </c>
      <c r="C235" s="49" t="s">
        <v>289</v>
      </c>
      <c r="D235" s="49" t="s">
        <v>69</v>
      </c>
      <c r="E235" s="50">
        <v>6000000</v>
      </c>
      <c r="F235" s="50">
        <v>6000000</v>
      </c>
      <c r="G235" s="50">
        <v>6000000</v>
      </c>
      <c r="H235" s="50">
        <v>0</v>
      </c>
      <c r="I235" s="50">
        <v>0</v>
      </c>
      <c r="J235" s="50">
        <v>0</v>
      </c>
      <c r="K235" s="50">
        <v>0</v>
      </c>
      <c r="L235" s="50"/>
      <c r="M235" s="50">
        <v>0</v>
      </c>
      <c r="N235" s="50"/>
      <c r="O235" s="50">
        <v>6000000</v>
      </c>
      <c r="P235" s="50"/>
      <c r="Q235" s="50">
        <v>6000000</v>
      </c>
    </row>
    <row r="236" spans="1:17" x14ac:dyDescent="0.25">
      <c r="A236" s="49" t="s">
        <v>706</v>
      </c>
      <c r="B236" s="49" t="s">
        <v>230</v>
      </c>
      <c r="C236" s="49" t="s">
        <v>231</v>
      </c>
      <c r="D236" s="49" t="s">
        <v>85</v>
      </c>
      <c r="E236" s="50">
        <v>744452300</v>
      </c>
      <c r="F236" s="50">
        <v>139452300</v>
      </c>
      <c r="G236" s="50">
        <v>139452300</v>
      </c>
      <c r="H236" s="50">
        <v>0</v>
      </c>
      <c r="I236" s="50">
        <v>0</v>
      </c>
      <c r="J236" s="50">
        <v>0</v>
      </c>
      <c r="K236" s="50">
        <v>124205635.89</v>
      </c>
      <c r="L236" s="50"/>
      <c r="M236" s="50">
        <v>99951237.480000004</v>
      </c>
      <c r="N236" s="50"/>
      <c r="O236" s="50">
        <v>15246664.109999999</v>
      </c>
      <c r="P236" s="50"/>
      <c r="Q236" s="50">
        <v>15246664.109999999</v>
      </c>
    </row>
    <row r="237" spans="1:17" x14ac:dyDescent="0.25">
      <c r="A237" s="49" t="s">
        <v>706</v>
      </c>
      <c r="B237" s="49" t="s">
        <v>232</v>
      </c>
      <c r="C237" s="49" t="s">
        <v>233</v>
      </c>
      <c r="D237" s="49" t="s">
        <v>85</v>
      </c>
      <c r="E237" s="50">
        <v>67752300</v>
      </c>
      <c r="F237" s="50">
        <v>53252300</v>
      </c>
      <c r="G237" s="50">
        <v>53252300</v>
      </c>
      <c r="H237" s="50">
        <v>0</v>
      </c>
      <c r="I237" s="50">
        <v>0</v>
      </c>
      <c r="J237" s="50">
        <v>0</v>
      </c>
      <c r="K237" s="50">
        <v>49113947.18</v>
      </c>
      <c r="L237" s="50"/>
      <c r="M237" s="50">
        <v>33496875.609999999</v>
      </c>
      <c r="N237" s="50"/>
      <c r="O237" s="50">
        <v>4138352.82</v>
      </c>
      <c r="P237" s="50"/>
      <c r="Q237" s="50">
        <v>4138352.82</v>
      </c>
    </row>
    <row r="238" spans="1:17" x14ac:dyDescent="0.25">
      <c r="A238" s="49" t="s">
        <v>706</v>
      </c>
      <c r="B238" s="49" t="s">
        <v>234</v>
      </c>
      <c r="C238" s="49" t="s">
        <v>235</v>
      </c>
      <c r="D238" s="49" t="s">
        <v>85</v>
      </c>
      <c r="E238" s="50">
        <v>0</v>
      </c>
      <c r="F238" s="50">
        <v>700000</v>
      </c>
      <c r="G238" s="50">
        <v>700000</v>
      </c>
      <c r="H238" s="50">
        <v>0</v>
      </c>
      <c r="I238" s="50">
        <v>0</v>
      </c>
      <c r="J238" s="50">
        <v>0</v>
      </c>
      <c r="K238" s="50">
        <v>579751.02</v>
      </c>
      <c r="L238" s="50"/>
      <c r="M238" s="50">
        <v>0</v>
      </c>
      <c r="N238" s="50"/>
      <c r="O238" s="50">
        <v>120248.98</v>
      </c>
      <c r="P238" s="50"/>
      <c r="Q238" s="50">
        <v>120248.98</v>
      </c>
    </row>
    <row r="239" spans="1:17" x14ac:dyDescent="0.25">
      <c r="A239" s="49" t="s">
        <v>706</v>
      </c>
      <c r="B239" s="49" t="s">
        <v>238</v>
      </c>
      <c r="C239" s="49" t="s">
        <v>239</v>
      </c>
      <c r="D239" s="49" t="s">
        <v>85</v>
      </c>
      <c r="E239" s="50">
        <v>45252300</v>
      </c>
      <c r="F239" s="50">
        <v>16652300</v>
      </c>
      <c r="G239" s="50">
        <v>16652300</v>
      </c>
      <c r="H239" s="50">
        <v>0</v>
      </c>
      <c r="I239" s="50">
        <v>0</v>
      </c>
      <c r="J239" s="50">
        <v>0</v>
      </c>
      <c r="K239" s="50">
        <v>15935561.1</v>
      </c>
      <c r="L239" s="50"/>
      <c r="M239" s="50">
        <v>15935561.1</v>
      </c>
      <c r="N239" s="50"/>
      <c r="O239" s="50">
        <v>716738.9</v>
      </c>
      <c r="P239" s="50"/>
      <c r="Q239" s="50">
        <v>716738.9</v>
      </c>
    </row>
    <row r="240" spans="1:17" x14ac:dyDescent="0.25">
      <c r="A240" s="49" t="s">
        <v>706</v>
      </c>
      <c r="B240" s="49" t="s">
        <v>282</v>
      </c>
      <c r="C240" s="49" t="s">
        <v>283</v>
      </c>
      <c r="D240" s="49" t="s">
        <v>85</v>
      </c>
      <c r="E240" s="50">
        <v>22500000</v>
      </c>
      <c r="F240" s="50">
        <v>35500000</v>
      </c>
      <c r="G240" s="50">
        <v>35500000</v>
      </c>
      <c r="H240" s="50">
        <v>0</v>
      </c>
      <c r="I240" s="50">
        <v>0</v>
      </c>
      <c r="J240" s="50">
        <v>0</v>
      </c>
      <c r="K240" s="50">
        <v>32245792.559999999</v>
      </c>
      <c r="L240" s="50"/>
      <c r="M240" s="50">
        <v>17561314.510000002</v>
      </c>
      <c r="N240" s="50"/>
      <c r="O240" s="50">
        <v>3254207.44</v>
      </c>
      <c r="P240" s="50"/>
      <c r="Q240" s="50">
        <v>3254207.44</v>
      </c>
    </row>
    <row r="241" spans="1:17" x14ac:dyDescent="0.25">
      <c r="A241" s="49" t="s">
        <v>706</v>
      </c>
      <c r="B241" s="49" t="s">
        <v>242</v>
      </c>
      <c r="C241" s="49" t="s">
        <v>243</v>
      </c>
      <c r="D241" s="49" t="s">
        <v>85</v>
      </c>
      <c r="E241" s="50">
        <v>0</v>
      </c>
      <c r="F241" s="50">
        <v>400000</v>
      </c>
      <c r="G241" s="50">
        <v>400000</v>
      </c>
      <c r="H241" s="50">
        <v>0</v>
      </c>
      <c r="I241" s="50">
        <v>0</v>
      </c>
      <c r="J241" s="50">
        <v>0</v>
      </c>
      <c r="K241" s="50">
        <v>352842.5</v>
      </c>
      <c r="L241" s="50"/>
      <c r="M241" s="50">
        <v>0</v>
      </c>
      <c r="N241" s="50"/>
      <c r="O241" s="50">
        <v>47157.5</v>
      </c>
      <c r="P241" s="50"/>
      <c r="Q241" s="50">
        <v>47157.5</v>
      </c>
    </row>
    <row r="242" spans="1:17" x14ac:dyDescent="0.25">
      <c r="A242" s="49" t="s">
        <v>706</v>
      </c>
      <c r="B242" s="49" t="s">
        <v>328</v>
      </c>
      <c r="C242" s="49" t="s">
        <v>329</v>
      </c>
      <c r="D242" s="49" t="s">
        <v>85</v>
      </c>
      <c r="E242" s="50">
        <v>630000000</v>
      </c>
      <c r="F242" s="50">
        <v>30000000</v>
      </c>
      <c r="G242" s="50">
        <v>30000000</v>
      </c>
      <c r="H242" s="50">
        <v>0</v>
      </c>
      <c r="I242" s="50">
        <v>0</v>
      </c>
      <c r="J242" s="50">
        <v>0</v>
      </c>
      <c r="K242" s="50">
        <v>24396400</v>
      </c>
      <c r="L242" s="50"/>
      <c r="M242" s="50">
        <v>24396400</v>
      </c>
      <c r="N242" s="50"/>
      <c r="O242" s="50">
        <v>5603600</v>
      </c>
      <c r="P242" s="50"/>
      <c r="Q242" s="50">
        <v>5603600</v>
      </c>
    </row>
    <row r="243" spans="1:17" x14ac:dyDescent="0.25">
      <c r="A243" s="49" t="s">
        <v>706</v>
      </c>
      <c r="B243" s="49" t="s">
        <v>330</v>
      </c>
      <c r="C243" s="49" t="s">
        <v>331</v>
      </c>
      <c r="D243" s="49" t="s">
        <v>85</v>
      </c>
      <c r="E243" s="50">
        <v>630000000</v>
      </c>
      <c r="F243" s="50">
        <v>30000000</v>
      </c>
      <c r="G243" s="50">
        <v>30000000</v>
      </c>
      <c r="H243" s="50">
        <v>0</v>
      </c>
      <c r="I243" s="50">
        <v>0</v>
      </c>
      <c r="J243" s="50">
        <v>0</v>
      </c>
      <c r="K243" s="50">
        <v>24396400</v>
      </c>
      <c r="L243" s="50"/>
      <c r="M243" s="50">
        <v>24396400</v>
      </c>
      <c r="N243" s="50"/>
      <c r="O243" s="50">
        <v>5603600</v>
      </c>
      <c r="P243" s="50"/>
      <c r="Q243" s="50">
        <v>5603600</v>
      </c>
    </row>
    <row r="244" spans="1:17" x14ac:dyDescent="0.25">
      <c r="A244" s="49" t="s">
        <v>706</v>
      </c>
      <c r="B244" s="49" t="s">
        <v>244</v>
      </c>
      <c r="C244" s="49" t="s">
        <v>245</v>
      </c>
      <c r="D244" s="49" t="s">
        <v>85</v>
      </c>
      <c r="E244" s="50">
        <v>46700000</v>
      </c>
      <c r="F244" s="50">
        <v>56200000</v>
      </c>
      <c r="G244" s="50">
        <v>56200000</v>
      </c>
      <c r="H244" s="50">
        <v>0</v>
      </c>
      <c r="I244" s="50">
        <v>0</v>
      </c>
      <c r="J244" s="50">
        <v>0</v>
      </c>
      <c r="K244" s="50">
        <v>50695288.710000001</v>
      </c>
      <c r="L244" s="50"/>
      <c r="M244" s="50">
        <v>42057961.869999997</v>
      </c>
      <c r="N244" s="50"/>
      <c r="O244" s="50">
        <v>5504711.29</v>
      </c>
      <c r="P244" s="50"/>
      <c r="Q244" s="50">
        <v>5504711.29</v>
      </c>
    </row>
    <row r="245" spans="1:17" x14ac:dyDescent="0.25">
      <c r="A245" s="49" t="s">
        <v>706</v>
      </c>
      <c r="B245" s="49" t="s">
        <v>246</v>
      </c>
      <c r="C245" s="49" t="s">
        <v>247</v>
      </c>
      <c r="D245" s="49" t="s">
        <v>85</v>
      </c>
      <c r="E245" s="50">
        <v>46700000</v>
      </c>
      <c r="F245" s="50">
        <v>56200000</v>
      </c>
      <c r="G245" s="50">
        <v>56200000</v>
      </c>
      <c r="H245" s="50">
        <v>0</v>
      </c>
      <c r="I245" s="50">
        <v>0</v>
      </c>
      <c r="J245" s="50">
        <v>0</v>
      </c>
      <c r="K245" s="50">
        <v>50695288.710000001</v>
      </c>
      <c r="L245" s="50"/>
      <c r="M245" s="50">
        <v>42057961.869999997</v>
      </c>
      <c r="N245" s="50"/>
      <c r="O245" s="50">
        <v>5504711.29</v>
      </c>
      <c r="P245" s="50"/>
      <c r="Q245" s="50">
        <v>5504711.29</v>
      </c>
    </row>
    <row r="246" spans="1:17" x14ac:dyDescent="0.25">
      <c r="A246" s="49">
        <v>214789</v>
      </c>
      <c r="B246" s="49"/>
      <c r="C246" s="49"/>
      <c r="D246" s="49" t="s">
        <v>69</v>
      </c>
      <c r="E246" s="50">
        <v>77210852108</v>
      </c>
      <c r="F246" s="50">
        <v>75755327546</v>
      </c>
      <c r="G246" s="50">
        <v>75755327546</v>
      </c>
      <c r="H246" s="50">
        <v>0</v>
      </c>
      <c r="I246" s="50">
        <v>1104426827.1500001</v>
      </c>
      <c r="J246" s="50">
        <v>0</v>
      </c>
      <c r="K246" s="50">
        <v>70227882288.429993</v>
      </c>
      <c r="L246" s="50"/>
      <c r="M246" s="50">
        <v>68832925169.300003</v>
      </c>
      <c r="N246" s="50"/>
      <c r="O246" s="50">
        <v>4423018430.4200001</v>
      </c>
      <c r="P246" s="50"/>
      <c r="Q246" s="50">
        <v>4423018430.4200001</v>
      </c>
    </row>
    <row r="247" spans="1:17" x14ac:dyDescent="0.25">
      <c r="A247" s="49" t="s">
        <v>707</v>
      </c>
      <c r="B247" s="49" t="s">
        <v>71</v>
      </c>
      <c r="C247" s="49" t="s">
        <v>72</v>
      </c>
      <c r="D247" s="49" t="s">
        <v>69</v>
      </c>
      <c r="E247" s="50">
        <v>48966684366</v>
      </c>
      <c r="F247" s="50">
        <v>47996517096</v>
      </c>
      <c r="G247" s="50">
        <v>47996517096</v>
      </c>
      <c r="H247" s="50">
        <v>0</v>
      </c>
      <c r="I247" s="50">
        <v>32972841.59</v>
      </c>
      <c r="J247" s="50">
        <v>0</v>
      </c>
      <c r="K247" s="50">
        <v>46060606396.599998</v>
      </c>
      <c r="L247" s="50"/>
      <c r="M247" s="50">
        <v>46060606396.599998</v>
      </c>
      <c r="N247" s="50"/>
      <c r="O247" s="50">
        <v>1902937857.8099999</v>
      </c>
      <c r="P247" s="50"/>
      <c r="Q247" s="50">
        <v>1902937857.8099999</v>
      </c>
    </row>
    <row r="248" spans="1:17" x14ac:dyDescent="0.25">
      <c r="A248" s="49" t="s">
        <v>707</v>
      </c>
      <c r="B248" s="49" t="s">
        <v>73</v>
      </c>
      <c r="C248" s="49" t="s">
        <v>74</v>
      </c>
      <c r="D248" s="49" t="s">
        <v>69</v>
      </c>
      <c r="E248" s="50">
        <v>17541843984</v>
      </c>
      <c r="F248" s="50">
        <v>16912582455</v>
      </c>
      <c r="G248" s="50">
        <v>16912582455</v>
      </c>
      <c r="H248" s="50">
        <v>0</v>
      </c>
      <c r="I248" s="50">
        <v>0</v>
      </c>
      <c r="J248" s="50">
        <v>0</v>
      </c>
      <c r="K248" s="50">
        <v>16139980710.17</v>
      </c>
      <c r="L248" s="50"/>
      <c r="M248" s="50">
        <v>16139980710.17</v>
      </c>
      <c r="N248" s="50"/>
      <c r="O248" s="50">
        <v>772601744.83000004</v>
      </c>
      <c r="P248" s="50"/>
      <c r="Q248" s="50">
        <v>772601744.83000004</v>
      </c>
    </row>
    <row r="249" spans="1:17" x14ac:dyDescent="0.25">
      <c r="A249" s="49" t="s">
        <v>707</v>
      </c>
      <c r="B249" s="49" t="s">
        <v>75</v>
      </c>
      <c r="C249" s="49" t="s">
        <v>76</v>
      </c>
      <c r="D249" s="49" t="s">
        <v>69</v>
      </c>
      <c r="E249" s="50">
        <v>17541843984</v>
      </c>
      <c r="F249" s="50">
        <v>16912582455</v>
      </c>
      <c r="G249" s="50">
        <v>16912582455</v>
      </c>
      <c r="H249" s="50">
        <v>0</v>
      </c>
      <c r="I249" s="50">
        <v>0</v>
      </c>
      <c r="J249" s="50">
        <v>0</v>
      </c>
      <c r="K249" s="50">
        <v>16139980710.17</v>
      </c>
      <c r="L249" s="50"/>
      <c r="M249" s="50">
        <v>16139980710.17</v>
      </c>
      <c r="N249" s="50"/>
      <c r="O249" s="50">
        <v>772601744.83000004</v>
      </c>
      <c r="P249" s="50"/>
      <c r="Q249" s="50">
        <v>772601744.83000004</v>
      </c>
    </row>
    <row r="250" spans="1:17" x14ac:dyDescent="0.25">
      <c r="A250" s="49" t="s">
        <v>707</v>
      </c>
      <c r="B250" s="49" t="s">
        <v>293</v>
      </c>
      <c r="C250" s="49" t="s">
        <v>294</v>
      </c>
      <c r="D250" s="49" t="s">
        <v>69</v>
      </c>
      <c r="E250" s="50">
        <v>3681614000</v>
      </c>
      <c r="F250" s="50">
        <v>3681614000</v>
      </c>
      <c r="G250" s="50">
        <v>3681614000</v>
      </c>
      <c r="H250" s="50">
        <v>0</v>
      </c>
      <c r="I250" s="50">
        <v>0</v>
      </c>
      <c r="J250" s="50">
        <v>0</v>
      </c>
      <c r="K250" s="50">
        <v>3617020779.0700002</v>
      </c>
      <c r="L250" s="50"/>
      <c r="M250" s="50">
        <v>3617020779.0700002</v>
      </c>
      <c r="N250" s="50"/>
      <c r="O250" s="50">
        <v>64593220.93</v>
      </c>
      <c r="P250" s="50"/>
      <c r="Q250" s="50">
        <v>64593220.93</v>
      </c>
    </row>
    <row r="251" spans="1:17" x14ac:dyDescent="0.25">
      <c r="A251" s="49" t="s">
        <v>707</v>
      </c>
      <c r="B251" s="49" t="s">
        <v>295</v>
      </c>
      <c r="C251" s="49" t="s">
        <v>296</v>
      </c>
      <c r="D251" s="49" t="s">
        <v>69</v>
      </c>
      <c r="E251" s="50">
        <v>8000000</v>
      </c>
      <c r="F251" s="50">
        <v>8000000</v>
      </c>
      <c r="G251" s="50">
        <v>8000000</v>
      </c>
      <c r="H251" s="50">
        <v>0</v>
      </c>
      <c r="I251" s="50">
        <v>0</v>
      </c>
      <c r="J251" s="50">
        <v>0</v>
      </c>
      <c r="K251" s="50">
        <v>5626368.1299999999</v>
      </c>
      <c r="L251" s="50"/>
      <c r="M251" s="50">
        <v>5626368.1299999999</v>
      </c>
      <c r="N251" s="50"/>
      <c r="O251" s="50">
        <v>2373631.87</v>
      </c>
      <c r="P251" s="50"/>
      <c r="Q251" s="50">
        <v>2373631.87</v>
      </c>
    </row>
    <row r="252" spans="1:17" x14ac:dyDescent="0.25">
      <c r="A252" s="49" t="s">
        <v>707</v>
      </c>
      <c r="B252" s="49" t="s">
        <v>337</v>
      </c>
      <c r="C252" s="49" t="s">
        <v>338</v>
      </c>
      <c r="D252" s="49" t="s">
        <v>69</v>
      </c>
      <c r="E252" s="50">
        <v>25000000</v>
      </c>
      <c r="F252" s="50">
        <v>25000000</v>
      </c>
      <c r="G252" s="50">
        <v>25000000</v>
      </c>
      <c r="H252" s="50">
        <v>0</v>
      </c>
      <c r="I252" s="50">
        <v>0</v>
      </c>
      <c r="J252" s="50">
        <v>0</v>
      </c>
      <c r="K252" s="50">
        <v>2126940</v>
      </c>
      <c r="L252" s="50"/>
      <c r="M252" s="50">
        <v>2126940</v>
      </c>
      <c r="N252" s="50"/>
      <c r="O252" s="50">
        <v>22873060</v>
      </c>
      <c r="P252" s="50"/>
      <c r="Q252" s="50">
        <v>22873060</v>
      </c>
    </row>
    <row r="253" spans="1:17" x14ac:dyDescent="0.25">
      <c r="A253" s="49" t="s">
        <v>707</v>
      </c>
      <c r="B253" s="49" t="s">
        <v>339</v>
      </c>
      <c r="C253" s="49" t="s">
        <v>340</v>
      </c>
      <c r="D253" s="49" t="s">
        <v>69</v>
      </c>
      <c r="E253" s="50">
        <v>3648614000</v>
      </c>
      <c r="F253" s="50">
        <v>3648614000</v>
      </c>
      <c r="G253" s="50">
        <v>3648614000</v>
      </c>
      <c r="H253" s="50">
        <v>0</v>
      </c>
      <c r="I253" s="50">
        <v>0</v>
      </c>
      <c r="J253" s="50">
        <v>0</v>
      </c>
      <c r="K253" s="50">
        <v>3609267470.9400001</v>
      </c>
      <c r="L253" s="50"/>
      <c r="M253" s="50">
        <v>3609267470.9400001</v>
      </c>
      <c r="N253" s="50"/>
      <c r="O253" s="50">
        <v>39346529.060000002</v>
      </c>
      <c r="P253" s="50"/>
      <c r="Q253" s="50">
        <v>39346529.060000002</v>
      </c>
    </row>
    <row r="254" spans="1:17" x14ac:dyDescent="0.25">
      <c r="A254" s="49" t="s">
        <v>707</v>
      </c>
      <c r="B254" s="49" t="s">
        <v>77</v>
      </c>
      <c r="C254" s="49" t="s">
        <v>78</v>
      </c>
      <c r="D254" s="49" t="s">
        <v>69</v>
      </c>
      <c r="E254" s="50">
        <v>20273537632</v>
      </c>
      <c r="F254" s="50">
        <v>20043354521</v>
      </c>
      <c r="G254" s="50">
        <v>20043354521</v>
      </c>
      <c r="H254" s="50">
        <v>0</v>
      </c>
      <c r="I254" s="50">
        <v>32972841.59</v>
      </c>
      <c r="J254" s="50">
        <v>0</v>
      </c>
      <c r="K254" s="50">
        <v>19107239810.360001</v>
      </c>
      <c r="L254" s="50"/>
      <c r="M254" s="50">
        <v>19107239810.360001</v>
      </c>
      <c r="N254" s="50"/>
      <c r="O254" s="50">
        <v>903141869.04999995</v>
      </c>
      <c r="P254" s="50"/>
      <c r="Q254" s="50">
        <v>903141869.04999995</v>
      </c>
    </row>
    <row r="255" spans="1:17" x14ac:dyDescent="0.25">
      <c r="A255" s="49" t="s">
        <v>707</v>
      </c>
      <c r="B255" s="49" t="s">
        <v>79</v>
      </c>
      <c r="C255" s="49" t="s">
        <v>80</v>
      </c>
      <c r="D255" s="49" t="s">
        <v>69</v>
      </c>
      <c r="E255" s="50">
        <v>7240363600</v>
      </c>
      <c r="F255" s="50">
        <v>7234363600</v>
      </c>
      <c r="G255" s="50">
        <v>7234363600</v>
      </c>
      <c r="H255" s="50">
        <v>0</v>
      </c>
      <c r="I255" s="50">
        <v>0</v>
      </c>
      <c r="J255" s="50">
        <v>0</v>
      </c>
      <c r="K255" s="50">
        <v>6869885785.9799995</v>
      </c>
      <c r="L255" s="50"/>
      <c r="M255" s="50">
        <v>6869885785.9799995</v>
      </c>
      <c r="N255" s="50"/>
      <c r="O255" s="50">
        <v>364477814.01999998</v>
      </c>
      <c r="P255" s="50"/>
      <c r="Q255" s="50">
        <v>364477814.01999998</v>
      </c>
    </row>
    <row r="256" spans="1:17" x14ac:dyDescent="0.25">
      <c r="A256" s="49" t="s">
        <v>707</v>
      </c>
      <c r="B256" s="49" t="s">
        <v>81</v>
      </c>
      <c r="C256" s="49" t="s">
        <v>82</v>
      </c>
      <c r="D256" s="49" t="s">
        <v>69</v>
      </c>
      <c r="E256" s="50">
        <v>646663149</v>
      </c>
      <c r="F256" s="50">
        <v>507159410</v>
      </c>
      <c r="G256" s="50">
        <v>507159410</v>
      </c>
      <c r="H256" s="50">
        <v>0</v>
      </c>
      <c r="I256" s="50">
        <v>0</v>
      </c>
      <c r="J256" s="50">
        <v>0</v>
      </c>
      <c r="K256" s="50">
        <v>456568210.89999998</v>
      </c>
      <c r="L256" s="50"/>
      <c r="M256" s="50">
        <v>456568210.89999998</v>
      </c>
      <c r="N256" s="50"/>
      <c r="O256" s="50">
        <v>50591199.100000001</v>
      </c>
      <c r="P256" s="50"/>
      <c r="Q256" s="50">
        <v>50591199.100000001</v>
      </c>
    </row>
    <row r="257" spans="1:17" x14ac:dyDescent="0.25">
      <c r="A257" s="49" t="s">
        <v>707</v>
      </c>
      <c r="B257" s="49" t="s">
        <v>86</v>
      </c>
      <c r="C257" s="49" t="s">
        <v>87</v>
      </c>
      <c r="D257" s="49" t="s">
        <v>69</v>
      </c>
      <c r="E257" s="50">
        <v>2924191700</v>
      </c>
      <c r="F257" s="50">
        <v>2924191700</v>
      </c>
      <c r="G257" s="50">
        <v>2924191700</v>
      </c>
      <c r="H257" s="50">
        <v>0</v>
      </c>
      <c r="I257" s="50">
        <v>32772841.59</v>
      </c>
      <c r="J257" s="50">
        <v>0</v>
      </c>
      <c r="K257" s="50">
        <v>2882563548.4499998</v>
      </c>
      <c r="L257" s="50"/>
      <c r="M257" s="50">
        <v>2882563548.4499998</v>
      </c>
      <c r="N257" s="50"/>
      <c r="O257" s="50">
        <v>8855309.9600000009</v>
      </c>
      <c r="P257" s="50"/>
      <c r="Q257" s="50">
        <v>8855309.9600000009</v>
      </c>
    </row>
    <row r="258" spans="1:17" x14ac:dyDescent="0.25">
      <c r="A258" s="49" t="s">
        <v>707</v>
      </c>
      <c r="B258" s="49" t="s">
        <v>88</v>
      </c>
      <c r="C258" s="49" t="s">
        <v>89</v>
      </c>
      <c r="D258" s="49" t="s">
        <v>69</v>
      </c>
      <c r="E258" s="50">
        <v>6271421300</v>
      </c>
      <c r="F258" s="50">
        <v>6239262627</v>
      </c>
      <c r="G258" s="50">
        <v>6239262627</v>
      </c>
      <c r="H258" s="50">
        <v>0</v>
      </c>
      <c r="I258" s="50">
        <v>200000</v>
      </c>
      <c r="J258" s="50">
        <v>0</v>
      </c>
      <c r="K258" s="50">
        <v>5901984597.4499998</v>
      </c>
      <c r="L258" s="50"/>
      <c r="M258" s="50">
        <v>5901984597.4499998</v>
      </c>
      <c r="N258" s="50"/>
      <c r="O258" s="50">
        <v>337078029.55000001</v>
      </c>
      <c r="P258" s="50"/>
      <c r="Q258" s="50">
        <v>337078029.55000001</v>
      </c>
    </row>
    <row r="259" spans="1:17" x14ac:dyDescent="0.25">
      <c r="A259" s="49" t="s">
        <v>707</v>
      </c>
      <c r="B259" s="49" t="s">
        <v>83</v>
      </c>
      <c r="C259" s="49" t="s">
        <v>84</v>
      </c>
      <c r="D259" s="49" t="s">
        <v>85</v>
      </c>
      <c r="E259" s="50">
        <v>3190897883</v>
      </c>
      <c r="F259" s="50">
        <v>3138377184</v>
      </c>
      <c r="G259" s="50">
        <v>3138377184</v>
      </c>
      <c r="H259" s="50">
        <v>0</v>
      </c>
      <c r="I259" s="50">
        <v>0</v>
      </c>
      <c r="J259" s="50">
        <v>0</v>
      </c>
      <c r="K259" s="50">
        <v>2996237667.5799999</v>
      </c>
      <c r="L259" s="50"/>
      <c r="M259" s="50">
        <v>2996237667.5799999</v>
      </c>
      <c r="N259" s="50"/>
      <c r="O259" s="50">
        <v>142139516.41999999</v>
      </c>
      <c r="P259" s="50"/>
      <c r="Q259" s="50">
        <v>142139516.41999999</v>
      </c>
    </row>
    <row r="260" spans="1:17" x14ac:dyDescent="0.25">
      <c r="A260" s="49" t="s">
        <v>707</v>
      </c>
      <c r="B260" s="49" t="s">
        <v>90</v>
      </c>
      <c r="C260" s="49" t="s">
        <v>91</v>
      </c>
      <c r="D260" s="49" t="s">
        <v>69</v>
      </c>
      <c r="E260" s="50">
        <v>3734844376</v>
      </c>
      <c r="F260" s="50">
        <v>3679483060</v>
      </c>
      <c r="G260" s="50">
        <v>3679483060</v>
      </c>
      <c r="H260" s="50">
        <v>0</v>
      </c>
      <c r="I260" s="50">
        <v>0</v>
      </c>
      <c r="J260" s="50">
        <v>0</v>
      </c>
      <c r="K260" s="50">
        <v>3604353734</v>
      </c>
      <c r="L260" s="50"/>
      <c r="M260" s="50">
        <v>3604353734</v>
      </c>
      <c r="N260" s="50"/>
      <c r="O260" s="50">
        <v>75129326</v>
      </c>
      <c r="P260" s="50"/>
      <c r="Q260" s="50">
        <v>75129326</v>
      </c>
    </row>
    <row r="261" spans="1:17" x14ac:dyDescent="0.25">
      <c r="A261" s="49" t="s">
        <v>707</v>
      </c>
      <c r="B261" s="49" t="s">
        <v>420</v>
      </c>
      <c r="C261" s="49" t="s">
        <v>697</v>
      </c>
      <c r="D261" s="49" t="s">
        <v>69</v>
      </c>
      <c r="E261" s="50">
        <v>3543313962</v>
      </c>
      <c r="F261" s="50">
        <v>3490791688</v>
      </c>
      <c r="G261" s="50">
        <v>3490791688</v>
      </c>
      <c r="H261" s="50">
        <v>0</v>
      </c>
      <c r="I261" s="50">
        <v>0</v>
      </c>
      <c r="J261" s="50">
        <v>0</v>
      </c>
      <c r="K261" s="50">
        <v>3419591618</v>
      </c>
      <c r="L261" s="50"/>
      <c r="M261" s="50">
        <v>3419591618</v>
      </c>
      <c r="N261" s="50"/>
      <c r="O261" s="50">
        <v>71200070</v>
      </c>
      <c r="P261" s="50"/>
      <c r="Q261" s="50">
        <v>71200070</v>
      </c>
    </row>
    <row r="262" spans="1:17" x14ac:dyDescent="0.25">
      <c r="A262" s="49" t="s">
        <v>707</v>
      </c>
      <c r="B262" s="49" t="s">
        <v>437</v>
      </c>
      <c r="C262" s="49" t="s">
        <v>95</v>
      </c>
      <c r="D262" s="49" t="s">
        <v>69</v>
      </c>
      <c r="E262" s="50">
        <v>191530414</v>
      </c>
      <c r="F262" s="50">
        <v>188691372</v>
      </c>
      <c r="G262" s="50">
        <v>188691372</v>
      </c>
      <c r="H262" s="50">
        <v>0</v>
      </c>
      <c r="I262" s="50">
        <v>0</v>
      </c>
      <c r="J262" s="50">
        <v>0</v>
      </c>
      <c r="K262" s="50">
        <v>184762116</v>
      </c>
      <c r="L262" s="50"/>
      <c r="M262" s="50">
        <v>184762116</v>
      </c>
      <c r="N262" s="50"/>
      <c r="O262" s="50">
        <v>3929256</v>
      </c>
      <c r="P262" s="50"/>
      <c r="Q262" s="50">
        <v>3929256</v>
      </c>
    </row>
    <row r="263" spans="1:17" x14ac:dyDescent="0.25">
      <c r="A263" s="49" t="s">
        <v>707</v>
      </c>
      <c r="B263" s="49" t="s">
        <v>96</v>
      </c>
      <c r="C263" s="49" t="s">
        <v>97</v>
      </c>
      <c r="D263" s="49" t="s">
        <v>69</v>
      </c>
      <c r="E263" s="50">
        <v>3734844374</v>
      </c>
      <c r="F263" s="50">
        <v>3679483060</v>
      </c>
      <c r="G263" s="50">
        <v>3679483060</v>
      </c>
      <c r="H263" s="50">
        <v>0</v>
      </c>
      <c r="I263" s="50">
        <v>0</v>
      </c>
      <c r="J263" s="50">
        <v>0</v>
      </c>
      <c r="K263" s="50">
        <v>3592011363</v>
      </c>
      <c r="L263" s="50"/>
      <c r="M263" s="50">
        <v>3592011363</v>
      </c>
      <c r="N263" s="50"/>
      <c r="O263" s="50">
        <v>87471697</v>
      </c>
      <c r="P263" s="50"/>
      <c r="Q263" s="50">
        <v>87471697</v>
      </c>
    </row>
    <row r="264" spans="1:17" x14ac:dyDescent="0.25">
      <c r="A264" s="49" t="s">
        <v>707</v>
      </c>
      <c r="B264" s="49" t="s">
        <v>455</v>
      </c>
      <c r="C264" s="49" t="s">
        <v>698</v>
      </c>
      <c r="D264" s="49" t="s">
        <v>69</v>
      </c>
      <c r="E264" s="50">
        <v>2011070048</v>
      </c>
      <c r="F264" s="50">
        <v>1981260109</v>
      </c>
      <c r="G264" s="50">
        <v>1981260109</v>
      </c>
      <c r="H264" s="50">
        <v>0</v>
      </c>
      <c r="I264" s="50">
        <v>0</v>
      </c>
      <c r="J264" s="50">
        <v>0</v>
      </c>
      <c r="K264" s="50">
        <v>1929148765</v>
      </c>
      <c r="L264" s="50"/>
      <c r="M264" s="50">
        <v>1929148765</v>
      </c>
      <c r="N264" s="50"/>
      <c r="O264" s="50">
        <v>52111344</v>
      </c>
      <c r="P264" s="50"/>
      <c r="Q264" s="50">
        <v>52111344</v>
      </c>
    </row>
    <row r="265" spans="1:17" x14ac:dyDescent="0.25">
      <c r="A265" s="49" t="s">
        <v>707</v>
      </c>
      <c r="B265" s="49" t="s">
        <v>472</v>
      </c>
      <c r="C265" s="49" t="s">
        <v>699</v>
      </c>
      <c r="D265" s="49" t="s">
        <v>69</v>
      </c>
      <c r="E265" s="50">
        <v>574591442</v>
      </c>
      <c r="F265" s="50">
        <v>652074317</v>
      </c>
      <c r="G265" s="50">
        <v>652074317</v>
      </c>
      <c r="H265" s="50">
        <v>0</v>
      </c>
      <c r="I265" s="50">
        <v>0</v>
      </c>
      <c r="J265" s="50">
        <v>0</v>
      </c>
      <c r="K265" s="50">
        <v>637662710</v>
      </c>
      <c r="L265" s="50"/>
      <c r="M265" s="50">
        <v>637662710</v>
      </c>
      <c r="N265" s="50"/>
      <c r="O265" s="50">
        <v>14411607</v>
      </c>
      <c r="P265" s="50"/>
      <c r="Q265" s="50">
        <v>14411607</v>
      </c>
    </row>
    <row r="266" spans="1:17" x14ac:dyDescent="0.25">
      <c r="A266" s="49" t="s">
        <v>707</v>
      </c>
      <c r="B266" s="49" t="s">
        <v>489</v>
      </c>
      <c r="C266" s="49" t="s">
        <v>700</v>
      </c>
      <c r="D266" s="49" t="s">
        <v>69</v>
      </c>
      <c r="E266" s="50">
        <v>1149182884</v>
      </c>
      <c r="F266" s="50">
        <v>1046148634</v>
      </c>
      <c r="G266" s="50">
        <v>1046148634</v>
      </c>
      <c r="H266" s="50">
        <v>0</v>
      </c>
      <c r="I266" s="50">
        <v>0</v>
      </c>
      <c r="J266" s="50">
        <v>0</v>
      </c>
      <c r="K266" s="50">
        <v>1025199888</v>
      </c>
      <c r="L266" s="50"/>
      <c r="M266" s="50">
        <v>1025199888</v>
      </c>
      <c r="N266" s="50"/>
      <c r="O266" s="50">
        <v>20948746</v>
      </c>
      <c r="P266" s="50"/>
      <c r="Q266" s="50">
        <v>20948746</v>
      </c>
    </row>
    <row r="267" spans="1:17" x14ac:dyDescent="0.25">
      <c r="A267" s="49" t="s">
        <v>707</v>
      </c>
      <c r="B267" s="49" t="s">
        <v>104</v>
      </c>
      <c r="C267" s="49" t="s">
        <v>105</v>
      </c>
      <c r="D267" s="49" t="s">
        <v>69</v>
      </c>
      <c r="E267" s="50">
        <v>6509291577</v>
      </c>
      <c r="F267" s="50">
        <v>6444218134</v>
      </c>
      <c r="G267" s="50">
        <v>6444218134</v>
      </c>
      <c r="H267" s="50">
        <v>0</v>
      </c>
      <c r="I267" s="50">
        <v>505416697.70999998</v>
      </c>
      <c r="J267" s="50">
        <v>0</v>
      </c>
      <c r="K267" s="50">
        <v>5496729752.3100004</v>
      </c>
      <c r="L267" s="50"/>
      <c r="M267" s="50">
        <v>4900434501.9200001</v>
      </c>
      <c r="N267" s="50"/>
      <c r="O267" s="50">
        <v>442071683.98000002</v>
      </c>
      <c r="P267" s="50"/>
      <c r="Q267" s="50">
        <v>442071683.98000002</v>
      </c>
    </row>
    <row r="268" spans="1:17" x14ac:dyDescent="0.25">
      <c r="A268" s="49" t="s">
        <v>707</v>
      </c>
      <c r="B268" s="49" t="s">
        <v>106</v>
      </c>
      <c r="C268" s="49" t="s">
        <v>107</v>
      </c>
      <c r="D268" s="49" t="s">
        <v>69</v>
      </c>
      <c r="E268" s="50">
        <v>3002893777</v>
      </c>
      <c r="F268" s="50">
        <v>2958042980</v>
      </c>
      <c r="G268" s="50">
        <v>2958042980</v>
      </c>
      <c r="H268" s="50">
        <v>0</v>
      </c>
      <c r="I268" s="50">
        <v>155409979.43000001</v>
      </c>
      <c r="J268" s="50">
        <v>0</v>
      </c>
      <c r="K268" s="50">
        <v>2559201937.73</v>
      </c>
      <c r="L268" s="50"/>
      <c r="M268" s="50">
        <v>2204313677.7399998</v>
      </c>
      <c r="N268" s="50"/>
      <c r="O268" s="50">
        <v>243431062.84</v>
      </c>
      <c r="P268" s="50"/>
      <c r="Q268" s="50">
        <v>243431062.84</v>
      </c>
    </row>
    <row r="269" spans="1:17" x14ac:dyDescent="0.25">
      <c r="A269" s="49" t="s">
        <v>707</v>
      </c>
      <c r="B269" s="49" t="s">
        <v>280</v>
      </c>
      <c r="C269" s="49" t="s">
        <v>281</v>
      </c>
      <c r="D269" s="49" t="s">
        <v>69</v>
      </c>
      <c r="E269" s="50">
        <v>540000000</v>
      </c>
      <c r="F269" s="50">
        <v>493566479</v>
      </c>
      <c r="G269" s="50">
        <v>493566479</v>
      </c>
      <c r="H269" s="50">
        <v>0</v>
      </c>
      <c r="I269" s="50">
        <v>907209.6</v>
      </c>
      <c r="J269" s="50">
        <v>0</v>
      </c>
      <c r="K269" s="50">
        <v>468902431.81</v>
      </c>
      <c r="L269" s="50"/>
      <c r="M269" s="50">
        <v>468832431.81</v>
      </c>
      <c r="N269" s="50"/>
      <c r="O269" s="50">
        <v>23756837.59</v>
      </c>
      <c r="P269" s="50"/>
      <c r="Q269" s="50">
        <v>23756837.59</v>
      </c>
    </row>
    <row r="270" spans="1:17" x14ac:dyDescent="0.25">
      <c r="A270" s="49" t="s">
        <v>707</v>
      </c>
      <c r="B270" s="49" t="s">
        <v>108</v>
      </c>
      <c r="C270" s="49" t="s">
        <v>109</v>
      </c>
      <c r="D270" s="49" t="s">
        <v>69</v>
      </c>
      <c r="E270" s="50">
        <v>974595134</v>
      </c>
      <c r="F270" s="50">
        <v>1010257828</v>
      </c>
      <c r="G270" s="50">
        <v>1010257828</v>
      </c>
      <c r="H270" s="50">
        <v>0</v>
      </c>
      <c r="I270" s="50">
        <v>96756422.209999993</v>
      </c>
      <c r="J270" s="50">
        <v>0</v>
      </c>
      <c r="K270" s="50">
        <v>734147313.15999997</v>
      </c>
      <c r="L270" s="50"/>
      <c r="M270" s="50">
        <v>612820839.42999995</v>
      </c>
      <c r="N270" s="50"/>
      <c r="O270" s="50">
        <v>179354092.63</v>
      </c>
      <c r="P270" s="50"/>
      <c r="Q270" s="50">
        <v>179354092.63</v>
      </c>
    </row>
    <row r="271" spans="1:17" x14ac:dyDescent="0.25">
      <c r="A271" s="49" t="s">
        <v>707</v>
      </c>
      <c r="B271" s="49" t="s">
        <v>304</v>
      </c>
      <c r="C271" s="49" t="s">
        <v>305</v>
      </c>
      <c r="D271" s="49" t="s">
        <v>69</v>
      </c>
      <c r="E271" s="50">
        <v>114061860</v>
      </c>
      <c r="F271" s="50">
        <v>79981890</v>
      </c>
      <c r="G271" s="50">
        <v>79981890</v>
      </c>
      <c r="H271" s="50">
        <v>0</v>
      </c>
      <c r="I271" s="50">
        <v>7364263.25</v>
      </c>
      <c r="J271" s="50">
        <v>0</v>
      </c>
      <c r="K271" s="50">
        <v>66067419.399999999</v>
      </c>
      <c r="L271" s="50"/>
      <c r="M271" s="50">
        <v>55765683.5</v>
      </c>
      <c r="N271" s="50"/>
      <c r="O271" s="50">
        <v>6550207.3499999996</v>
      </c>
      <c r="P271" s="50"/>
      <c r="Q271" s="50">
        <v>6550207.3499999996</v>
      </c>
    </row>
    <row r="272" spans="1:17" x14ac:dyDescent="0.25">
      <c r="A272" s="49" t="s">
        <v>707</v>
      </c>
      <c r="B272" s="49" t="s">
        <v>110</v>
      </c>
      <c r="C272" s="49" t="s">
        <v>111</v>
      </c>
      <c r="D272" s="49" t="s">
        <v>69</v>
      </c>
      <c r="E272" s="50">
        <v>1374236783</v>
      </c>
      <c r="F272" s="50">
        <v>1374236783</v>
      </c>
      <c r="G272" s="50">
        <v>1374236783</v>
      </c>
      <c r="H272" s="50">
        <v>0</v>
      </c>
      <c r="I272" s="50">
        <v>50382084.369999997</v>
      </c>
      <c r="J272" s="50">
        <v>0</v>
      </c>
      <c r="K272" s="50">
        <v>1290084773.3599999</v>
      </c>
      <c r="L272" s="50"/>
      <c r="M272" s="50">
        <v>1066894723</v>
      </c>
      <c r="N272" s="50"/>
      <c r="O272" s="50">
        <v>33769925.270000003</v>
      </c>
      <c r="P272" s="50"/>
      <c r="Q272" s="50">
        <v>33769925.270000003</v>
      </c>
    </row>
    <row r="273" spans="1:17" x14ac:dyDescent="0.25">
      <c r="A273" s="49" t="s">
        <v>707</v>
      </c>
      <c r="B273" s="49" t="s">
        <v>112</v>
      </c>
      <c r="C273" s="49" t="s">
        <v>113</v>
      </c>
      <c r="D273" s="49" t="s">
        <v>69</v>
      </c>
      <c r="E273" s="50">
        <v>758051064</v>
      </c>
      <c r="F273" s="50">
        <v>758470736</v>
      </c>
      <c r="G273" s="50">
        <v>758470736</v>
      </c>
      <c r="H273" s="50">
        <v>0</v>
      </c>
      <c r="I273" s="50">
        <v>62231953.229999997</v>
      </c>
      <c r="J273" s="50">
        <v>0</v>
      </c>
      <c r="K273" s="50">
        <v>651801058.12</v>
      </c>
      <c r="L273" s="50"/>
      <c r="M273" s="50">
        <v>576095791.75999999</v>
      </c>
      <c r="N273" s="50"/>
      <c r="O273" s="50">
        <v>44437724.649999999</v>
      </c>
      <c r="P273" s="50"/>
      <c r="Q273" s="50">
        <v>44437724.649999999</v>
      </c>
    </row>
    <row r="274" spans="1:17" x14ac:dyDescent="0.25">
      <c r="A274" s="49" t="s">
        <v>707</v>
      </c>
      <c r="B274" s="49" t="s">
        <v>114</v>
      </c>
      <c r="C274" s="49" t="s">
        <v>115</v>
      </c>
      <c r="D274" s="49" t="s">
        <v>69</v>
      </c>
      <c r="E274" s="50">
        <v>18001000</v>
      </c>
      <c r="F274" s="50">
        <v>19569568</v>
      </c>
      <c r="G274" s="50">
        <v>19569568</v>
      </c>
      <c r="H274" s="50">
        <v>0</v>
      </c>
      <c r="I274" s="50">
        <v>319547</v>
      </c>
      <c r="J274" s="50">
        <v>0</v>
      </c>
      <c r="K274" s="50">
        <v>19250021</v>
      </c>
      <c r="L274" s="50"/>
      <c r="M274" s="50">
        <v>17786078</v>
      </c>
      <c r="N274" s="50"/>
      <c r="O274" s="50">
        <v>0</v>
      </c>
      <c r="P274" s="50"/>
      <c r="Q274" s="50">
        <v>0</v>
      </c>
    </row>
    <row r="275" spans="1:17" x14ac:dyDescent="0.25">
      <c r="A275" s="49" t="s">
        <v>707</v>
      </c>
      <c r="B275" s="49" t="s">
        <v>116</v>
      </c>
      <c r="C275" s="49" t="s">
        <v>117</v>
      </c>
      <c r="D275" s="49" t="s">
        <v>69</v>
      </c>
      <c r="E275" s="50">
        <v>244470000</v>
      </c>
      <c r="F275" s="50">
        <v>190919900</v>
      </c>
      <c r="G275" s="50">
        <v>190919900</v>
      </c>
      <c r="H275" s="50">
        <v>0</v>
      </c>
      <c r="I275" s="50">
        <v>5448350.4000000004</v>
      </c>
      <c r="J275" s="50">
        <v>0</v>
      </c>
      <c r="K275" s="50">
        <v>184681202.41999999</v>
      </c>
      <c r="L275" s="50"/>
      <c r="M275" s="50">
        <v>184681202.41999999</v>
      </c>
      <c r="N275" s="50"/>
      <c r="O275" s="50">
        <v>790347.18</v>
      </c>
      <c r="P275" s="50"/>
      <c r="Q275" s="50">
        <v>790347.18</v>
      </c>
    </row>
    <row r="276" spans="1:17" x14ac:dyDescent="0.25">
      <c r="A276" s="49" t="s">
        <v>707</v>
      </c>
      <c r="B276" s="49" t="s">
        <v>118</v>
      </c>
      <c r="C276" s="49" t="s">
        <v>119</v>
      </c>
      <c r="D276" s="49" t="s">
        <v>69</v>
      </c>
      <c r="E276" s="50">
        <v>6000000</v>
      </c>
      <c r="F276" s="50">
        <v>4500000</v>
      </c>
      <c r="G276" s="50">
        <v>4500000</v>
      </c>
      <c r="H276" s="50">
        <v>0</v>
      </c>
      <c r="I276" s="50">
        <v>1288643.8500000001</v>
      </c>
      <c r="J276" s="50">
        <v>0</v>
      </c>
      <c r="K276" s="50">
        <v>1179754.8500000001</v>
      </c>
      <c r="L276" s="50"/>
      <c r="M276" s="50">
        <v>1179754.8500000001</v>
      </c>
      <c r="N276" s="50"/>
      <c r="O276" s="50">
        <v>2031601.3</v>
      </c>
      <c r="P276" s="50"/>
      <c r="Q276" s="50">
        <v>2031601.3</v>
      </c>
    </row>
    <row r="277" spans="1:17" x14ac:dyDescent="0.25">
      <c r="A277" s="49" t="s">
        <v>707</v>
      </c>
      <c r="B277" s="49" t="s">
        <v>120</v>
      </c>
      <c r="C277" s="49" t="s">
        <v>121</v>
      </c>
      <c r="D277" s="49" t="s">
        <v>69</v>
      </c>
      <c r="E277" s="50">
        <v>411938379</v>
      </c>
      <c r="F277" s="50">
        <v>473039143</v>
      </c>
      <c r="G277" s="50">
        <v>473039143</v>
      </c>
      <c r="H277" s="50">
        <v>0</v>
      </c>
      <c r="I277" s="50">
        <v>39459129.479999997</v>
      </c>
      <c r="J277" s="50">
        <v>0</v>
      </c>
      <c r="K277" s="50">
        <v>409851686.56999999</v>
      </c>
      <c r="L277" s="50"/>
      <c r="M277" s="50">
        <v>337757080.70999998</v>
      </c>
      <c r="N277" s="50"/>
      <c r="O277" s="50">
        <v>23728326.949999999</v>
      </c>
      <c r="P277" s="50"/>
      <c r="Q277" s="50">
        <v>23728326.949999999</v>
      </c>
    </row>
    <row r="278" spans="1:17" x14ac:dyDescent="0.25">
      <c r="A278" s="49" t="s">
        <v>707</v>
      </c>
      <c r="B278" s="49" t="s">
        <v>122</v>
      </c>
      <c r="C278" s="49" t="s">
        <v>123</v>
      </c>
      <c r="D278" s="49" t="s">
        <v>69</v>
      </c>
      <c r="E278" s="50">
        <v>77641685</v>
      </c>
      <c r="F278" s="50">
        <v>70442125</v>
      </c>
      <c r="G278" s="50">
        <v>70442125</v>
      </c>
      <c r="H278" s="50">
        <v>0</v>
      </c>
      <c r="I278" s="50">
        <v>15716282.5</v>
      </c>
      <c r="J278" s="50">
        <v>0</v>
      </c>
      <c r="K278" s="50">
        <v>36838393.280000001</v>
      </c>
      <c r="L278" s="50"/>
      <c r="M278" s="50">
        <v>34691675.780000001</v>
      </c>
      <c r="N278" s="50"/>
      <c r="O278" s="50">
        <v>17887449.219999999</v>
      </c>
      <c r="P278" s="50"/>
      <c r="Q278" s="50">
        <v>17887449.219999999</v>
      </c>
    </row>
    <row r="279" spans="1:17" x14ac:dyDescent="0.25">
      <c r="A279" s="49" t="s">
        <v>707</v>
      </c>
      <c r="B279" s="49" t="s">
        <v>116</v>
      </c>
      <c r="C279" s="49" t="s">
        <v>117</v>
      </c>
      <c r="D279" s="49" t="s">
        <v>85</v>
      </c>
      <c r="E279" s="50">
        <v>0</v>
      </c>
      <c r="F279" s="50">
        <v>0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/>
      <c r="M279" s="50">
        <v>0</v>
      </c>
      <c r="N279" s="50"/>
      <c r="O279" s="50">
        <v>0</v>
      </c>
      <c r="P279" s="50"/>
      <c r="Q279" s="50">
        <v>0</v>
      </c>
    </row>
    <row r="280" spans="1:17" x14ac:dyDescent="0.25">
      <c r="A280" s="49" t="s">
        <v>707</v>
      </c>
      <c r="B280" s="49" t="s">
        <v>124</v>
      </c>
      <c r="C280" s="49" t="s">
        <v>125</v>
      </c>
      <c r="D280" s="49" t="s">
        <v>69</v>
      </c>
      <c r="E280" s="50">
        <v>9633760</v>
      </c>
      <c r="F280" s="50">
        <v>9633760</v>
      </c>
      <c r="G280" s="50">
        <v>9633760</v>
      </c>
      <c r="H280" s="50">
        <v>0</v>
      </c>
      <c r="I280" s="50">
        <v>2592000</v>
      </c>
      <c r="J280" s="50">
        <v>0</v>
      </c>
      <c r="K280" s="50">
        <v>2487070.91</v>
      </c>
      <c r="L280" s="50"/>
      <c r="M280" s="50">
        <v>2487070.91</v>
      </c>
      <c r="N280" s="50"/>
      <c r="O280" s="50">
        <v>4554689.09</v>
      </c>
      <c r="P280" s="50"/>
      <c r="Q280" s="50">
        <v>4554689.09</v>
      </c>
    </row>
    <row r="281" spans="1:17" x14ac:dyDescent="0.25">
      <c r="A281" s="49" t="s">
        <v>707</v>
      </c>
      <c r="B281" s="49" t="s">
        <v>126</v>
      </c>
      <c r="C281" s="49" t="s">
        <v>127</v>
      </c>
      <c r="D281" s="49" t="s">
        <v>69</v>
      </c>
      <c r="E281" s="50">
        <v>5513760</v>
      </c>
      <c r="F281" s="50">
        <v>5513760</v>
      </c>
      <c r="G281" s="50">
        <v>5513760</v>
      </c>
      <c r="H281" s="50">
        <v>0</v>
      </c>
      <c r="I281" s="50">
        <v>2592000</v>
      </c>
      <c r="J281" s="50">
        <v>0</v>
      </c>
      <c r="K281" s="50">
        <v>401200.01</v>
      </c>
      <c r="L281" s="50"/>
      <c r="M281" s="50">
        <v>401200.01</v>
      </c>
      <c r="N281" s="50"/>
      <c r="O281" s="50">
        <v>2520559.9900000002</v>
      </c>
      <c r="P281" s="50"/>
      <c r="Q281" s="50">
        <v>2520559.9900000002</v>
      </c>
    </row>
    <row r="282" spans="1:17" x14ac:dyDescent="0.25">
      <c r="A282" s="49" t="s">
        <v>707</v>
      </c>
      <c r="B282" s="49" t="s">
        <v>128</v>
      </c>
      <c r="C282" s="49" t="s">
        <v>129</v>
      </c>
      <c r="D282" s="49" t="s">
        <v>69</v>
      </c>
      <c r="E282" s="50">
        <v>2620000</v>
      </c>
      <c r="F282" s="50">
        <v>2620000</v>
      </c>
      <c r="G282" s="50">
        <v>2620000</v>
      </c>
      <c r="H282" s="50">
        <v>0</v>
      </c>
      <c r="I282" s="50">
        <v>0</v>
      </c>
      <c r="J282" s="50">
        <v>0</v>
      </c>
      <c r="K282" s="50">
        <v>1941592.5</v>
      </c>
      <c r="L282" s="50"/>
      <c r="M282" s="50">
        <v>1941592.5</v>
      </c>
      <c r="N282" s="50"/>
      <c r="O282" s="50">
        <v>678407.5</v>
      </c>
      <c r="P282" s="50"/>
      <c r="Q282" s="50">
        <v>678407.5</v>
      </c>
    </row>
    <row r="283" spans="1:17" x14ac:dyDescent="0.25">
      <c r="A283" s="49" t="s">
        <v>707</v>
      </c>
      <c r="B283" s="49" t="s">
        <v>132</v>
      </c>
      <c r="C283" s="49" t="s">
        <v>133</v>
      </c>
      <c r="D283" s="49" t="s">
        <v>69</v>
      </c>
      <c r="E283" s="50">
        <v>1500000</v>
      </c>
      <c r="F283" s="50">
        <v>1500000</v>
      </c>
      <c r="G283" s="50">
        <v>1500000</v>
      </c>
      <c r="H283" s="50">
        <v>0</v>
      </c>
      <c r="I283" s="50">
        <v>0</v>
      </c>
      <c r="J283" s="50">
        <v>0</v>
      </c>
      <c r="K283" s="50">
        <v>144278.39999999999</v>
      </c>
      <c r="L283" s="50"/>
      <c r="M283" s="50">
        <v>144278.39999999999</v>
      </c>
      <c r="N283" s="50"/>
      <c r="O283" s="50">
        <v>1355721.6</v>
      </c>
      <c r="P283" s="50"/>
      <c r="Q283" s="50">
        <v>1355721.6</v>
      </c>
    </row>
    <row r="284" spans="1:17" x14ac:dyDescent="0.25">
      <c r="A284" s="49" t="s">
        <v>707</v>
      </c>
      <c r="B284" s="49" t="s">
        <v>134</v>
      </c>
      <c r="C284" s="49" t="s">
        <v>135</v>
      </c>
      <c r="D284" s="49" t="s">
        <v>69</v>
      </c>
      <c r="E284" s="50">
        <v>312558343</v>
      </c>
      <c r="F284" s="50">
        <v>280666873</v>
      </c>
      <c r="G284" s="50">
        <v>280666873</v>
      </c>
      <c r="H284" s="50">
        <v>0</v>
      </c>
      <c r="I284" s="50">
        <v>7018959.1200000001</v>
      </c>
      <c r="J284" s="50">
        <v>0</v>
      </c>
      <c r="K284" s="50">
        <v>245936444.18000001</v>
      </c>
      <c r="L284" s="50"/>
      <c r="M284" s="50">
        <v>236271992.91</v>
      </c>
      <c r="N284" s="50"/>
      <c r="O284" s="50">
        <v>27711469.699999999</v>
      </c>
      <c r="P284" s="50"/>
      <c r="Q284" s="50">
        <v>27711469.699999999</v>
      </c>
    </row>
    <row r="285" spans="1:17" x14ac:dyDescent="0.25">
      <c r="A285" s="49" t="s">
        <v>707</v>
      </c>
      <c r="B285" s="49" t="s">
        <v>346</v>
      </c>
      <c r="C285" s="49" t="s">
        <v>347</v>
      </c>
      <c r="D285" s="49" t="s">
        <v>69</v>
      </c>
      <c r="E285" s="50">
        <v>34001608</v>
      </c>
      <c r="F285" s="50">
        <v>13925550</v>
      </c>
      <c r="G285" s="50">
        <v>13925550</v>
      </c>
      <c r="H285" s="50">
        <v>0</v>
      </c>
      <c r="I285" s="50">
        <v>0</v>
      </c>
      <c r="J285" s="50">
        <v>0</v>
      </c>
      <c r="K285" s="50">
        <v>8897615.9900000002</v>
      </c>
      <c r="L285" s="50"/>
      <c r="M285" s="50">
        <v>5800895.9900000002</v>
      </c>
      <c r="N285" s="50"/>
      <c r="O285" s="50">
        <v>5027934.01</v>
      </c>
      <c r="P285" s="50"/>
      <c r="Q285" s="50">
        <v>5027934.01</v>
      </c>
    </row>
    <row r="286" spans="1:17" x14ac:dyDescent="0.25">
      <c r="A286" s="49" t="s">
        <v>707</v>
      </c>
      <c r="B286" s="49" t="s">
        <v>308</v>
      </c>
      <c r="C286" s="49" t="s">
        <v>309</v>
      </c>
      <c r="D286" s="49" t="s">
        <v>69</v>
      </c>
      <c r="E286" s="50">
        <v>95000000</v>
      </c>
      <c r="F286" s="50">
        <v>73506483</v>
      </c>
      <c r="G286" s="50">
        <v>73506483</v>
      </c>
      <c r="H286" s="50">
        <v>0</v>
      </c>
      <c r="I286" s="50">
        <v>1481644.34</v>
      </c>
      <c r="J286" s="50">
        <v>0</v>
      </c>
      <c r="K286" s="50">
        <v>69280522.569999993</v>
      </c>
      <c r="L286" s="50"/>
      <c r="M286" s="50">
        <v>69280522.569999993</v>
      </c>
      <c r="N286" s="50"/>
      <c r="O286" s="50">
        <v>2744316.09</v>
      </c>
      <c r="P286" s="50"/>
      <c r="Q286" s="50">
        <v>2744316.09</v>
      </c>
    </row>
    <row r="287" spans="1:17" x14ac:dyDescent="0.25">
      <c r="A287" s="49" t="s">
        <v>707</v>
      </c>
      <c r="B287" s="49" t="s">
        <v>136</v>
      </c>
      <c r="C287" s="49" t="s">
        <v>137</v>
      </c>
      <c r="D287" s="49" t="s">
        <v>69</v>
      </c>
      <c r="E287" s="50">
        <v>131200000</v>
      </c>
      <c r="F287" s="50">
        <v>140878105</v>
      </c>
      <c r="G287" s="50">
        <v>140878105</v>
      </c>
      <c r="H287" s="50">
        <v>0</v>
      </c>
      <c r="I287" s="50">
        <v>16842.669999999998</v>
      </c>
      <c r="J287" s="50">
        <v>0</v>
      </c>
      <c r="K287" s="50">
        <v>122797802.15000001</v>
      </c>
      <c r="L287" s="50"/>
      <c r="M287" s="50">
        <v>122797802.15000001</v>
      </c>
      <c r="N287" s="50"/>
      <c r="O287" s="50">
        <v>18063460.18</v>
      </c>
      <c r="P287" s="50"/>
      <c r="Q287" s="50">
        <v>18063460.18</v>
      </c>
    </row>
    <row r="288" spans="1:17" x14ac:dyDescent="0.25">
      <c r="A288" s="49" t="s">
        <v>707</v>
      </c>
      <c r="B288" s="49" t="s">
        <v>138</v>
      </c>
      <c r="C288" s="49" t="s">
        <v>139</v>
      </c>
      <c r="D288" s="49" t="s">
        <v>69</v>
      </c>
      <c r="E288" s="50">
        <v>52356735</v>
      </c>
      <c r="F288" s="50">
        <v>52356735</v>
      </c>
      <c r="G288" s="50">
        <v>52356735</v>
      </c>
      <c r="H288" s="50">
        <v>0</v>
      </c>
      <c r="I288" s="50">
        <v>5520472.1100000003</v>
      </c>
      <c r="J288" s="50">
        <v>0</v>
      </c>
      <c r="K288" s="50">
        <v>44960503.469999999</v>
      </c>
      <c r="L288" s="50"/>
      <c r="M288" s="50">
        <v>38392772.200000003</v>
      </c>
      <c r="N288" s="50"/>
      <c r="O288" s="50">
        <v>1875759.42</v>
      </c>
      <c r="P288" s="50"/>
      <c r="Q288" s="50">
        <v>1875759.42</v>
      </c>
    </row>
    <row r="289" spans="1:17" x14ac:dyDescent="0.25">
      <c r="A289" s="49" t="s">
        <v>707</v>
      </c>
      <c r="B289" s="49" t="s">
        <v>140</v>
      </c>
      <c r="C289" s="49" t="s">
        <v>141</v>
      </c>
      <c r="D289" s="49" t="s">
        <v>69</v>
      </c>
      <c r="E289" s="50">
        <v>134000000</v>
      </c>
      <c r="F289" s="50">
        <v>92171529</v>
      </c>
      <c r="G289" s="50">
        <v>92171529</v>
      </c>
      <c r="H289" s="50">
        <v>0</v>
      </c>
      <c r="I289" s="50">
        <v>5561533</v>
      </c>
      <c r="J289" s="50">
        <v>0</v>
      </c>
      <c r="K289" s="50">
        <v>66895805</v>
      </c>
      <c r="L289" s="50"/>
      <c r="M289" s="50">
        <v>66895805</v>
      </c>
      <c r="N289" s="50"/>
      <c r="O289" s="50">
        <v>19714191</v>
      </c>
      <c r="P289" s="50"/>
      <c r="Q289" s="50">
        <v>19714191</v>
      </c>
    </row>
    <row r="290" spans="1:17" x14ac:dyDescent="0.25">
      <c r="A290" s="49" t="s">
        <v>707</v>
      </c>
      <c r="B290" s="49" t="s">
        <v>142</v>
      </c>
      <c r="C290" s="49" t="s">
        <v>143</v>
      </c>
      <c r="D290" s="49" t="s">
        <v>69</v>
      </c>
      <c r="E290" s="50">
        <v>4000000</v>
      </c>
      <c r="F290" s="50">
        <v>2171529</v>
      </c>
      <c r="G290" s="50">
        <v>2171529</v>
      </c>
      <c r="H290" s="50">
        <v>0</v>
      </c>
      <c r="I290" s="50">
        <v>321533</v>
      </c>
      <c r="J290" s="50">
        <v>0</v>
      </c>
      <c r="K290" s="50">
        <v>1347741</v>
      </c>
      <c r="L290" s="50"/>
      <c r="M290" s="50">
        <v>1347741</v>
      </c>
      <c r="N290" s="50"/>
      <c r="O290" s="50">
        <v>502255</v>
      </c>
      <c r="P290" s="50"/>
      <c r="Q290" s="50">
        <v>502255</v>
      </c>
    </row>
    <row r="291" spans="1:17" x14ac:dyDescent="0.25">
      <c r="A291" s="49" t="s">
        <v>707</v>
      </c>
      <c r="B291" s="49" t="s">
        <v>144</v>
      </c>
      <c r="C291" s="49" t="s">
        <v>145</v>
      </c>
      <c r="D291" s="49" t="s">
        <v>69</v>
      </c>
      <c r="E291" s="50">
        <v>130000000</v>
      </c>
      <c r="F291" s="50">
        <v>90000000</v>
      </c>
      <c r="G291" s="50">
        <v>90000000</v>
      </c>
      <c r="H291" s="50">
        <v>0</v>
      </c>
      <c r="I291" s="50">
        <v>5240000</v>
      </c>
      <c r="J291" s="50">
        <v>0</v>
      </c>
      <c r="K291" s="50">
        <v>65548064</v>
      </c>
      <c r="L291" s="50"/>
      <c r="M291" s="50">
        <v>65548064</v>
      </c>
      <c r="N291" s="50"/>
      <c r="O291" s="50">
        <v>19211936</v>
      </c>
      <c r="P291" s="50"/>
      <c r="Q291" s="50">
        <v>19211936</v>
      </c>
    </row>
    <row r="292" spans="1:17" x14ac:dyDescent="0.25">
      <c r="A292" s="49" t="s">
        <v>707</v>
      </c>
      <c r="B292" s="49" t="s">
        <v>150</v>
      </c>
      <c r="C292" s="49" t="s">
        <v>151</v>
      </c>
      <c r="D292" s="49" t="s">
        <v>69</v>
      </c>
      <c r="E292" s="50">
        <v>1300000000</v>
      </c>
      <c r="F292" s="50">
        <v>1300000000</v>
      </c>
      <c r="G292" s="50">
        <v>1300000000</v>
      </c>
      <c r="H292" s="50">
        <v>0</v>
      </c>
      <c r="I292" s="50">
        <v>58873400</v>
      </c>
      <c r="J292" s="50">
        <v>0</v>
      </c>
      <c r="K292" s="50">
        <v>1204907748</v>
      </c>
      <c r="L292" s="50"/>
      <c r="M292" s="50">
        <v>1202693133</v>
      </c>
      <c r="N292" s="50"/>
      <c r="O292" s="50">
        <v>36218852</v>
      </c>
      <c r="P292" s="50"/>
      <c r="Q292" s="50">
        <v>36218852</v>
      </c>
    </row>
    <row r="293" spans="1:17" x14ac:dyDescent="0.25">
      <c r="A293" s="49" t="s">
        <v>707</v>
      </c>
      <c r="B293" s="49" t="s">
        <v>152</v>
      </c>
      <c r="C293" s="49" t="s">
        <v>153</v>
      </c>
      <c r="D293" s="49" t="s">
        <v>69</v>
      </c>
      <c r="E293" s="50">
        <v>1300000000</v>
      </c>
      <c r="F293" s="50">
        <v>1300000000</v>
      </c>
      <c r="G293" s="50">
        <v>1300000000</v>
      </c>
      <c r="H293" s="50">
        <v>0</v>
      </c>
      <c r="I293" s="50">
        <v>58873400</v>
      </c>
      <c r="J293" s="50">
        <v>0</v>
      </c>
      <c r="K293" s="50">
        <v>1204907748</v>
      </c>
      <c r="L293" s="50"/>
      <c r="M293" s="50">
        <v>1202693133</v>
      </c>
      <c r="N293" s="50"/>
      <c r="O293" s="50">
        <v>36218852</v>
      </c>
      <c r="P293" s="50"/>
      <c r="Q293" s="50">
        <v>36218852</v>
      </c>
    </row>
    <row r="294" spans="1:17" x14ac:dyDescent="0.25">
      <c r="A294" s="49" t="s">
        <v>707</v>
      </c>
      <c r="B294" s="49" t="s">
        <v>154</v>
      </c>
      <c r="C294" s="49" t="s">
        <v>155</v>
      </c>
      <c r="D294" s="49" t="s">
        <v>69</v>
      </c>
      <c r="E294" s="50">
        <v>5000000</v>
      </c>
      <c r="F294" s="50">
        <v>1303100</v>
      </c>
      <c r="G294" s="50">
        <v>1303100</v>
      </c>
      <c r="H294" s="50">
        <v>0</v>
      </c>
      <c r="I294" s="50">
        <v>295800</v>
      </c>
      <c r="J294" s="50">
        <v>0</v>
      </c>
      <c r="K294" s="50">
        <v>872100</v>
      </c>
      <c r="L294" s="50"/>
      <c r="M294" s="50">
        <v>555900</v>
      </c>
      <c r="N294" s="50"/>
      <c r="O294" s="50">
        <v>135200</v>
      </c>
      <c r="P294" s="50"/>
      <c r="Q294" s="50">
        <v>135200</v>
      </c>
    </row>
    <row r="295" spans="1:17" x14ac:dyDescent="0.25">
      <c r="A295" s="49" t="s">
        <v>707</v>
      </c>
      <c r="B295" s="49" t="s">
        <v>156</v>
      </c>
      <c r="C295" s="49" t="s">
        <v>157</v>
      </c>
      <c r="D295" s="49" t="s">
        <v>69</v>
      </c>
      <c r="E295" s="50">
        <v>5000000</v>
      </c>
      <c r="F295" s="50">
        <v>1303100</v>
      </c>
      <c r="G295" s="50">
        <v>1303100</v>
      </c>
      <c r="H295" s="50">
        <v>0</v>
      </c>
      <c r="I295" s="50">
        <v>295800</v>
      </c>
      <c r="J295" s="50">
        <v>0</v>
      </c>
      <c r="K295" s="50">
        <v>872100</v>
      </c>
      <c r="L295" s="50"/>
      <c r="M295" s="50">
        <v>555900</v>
      </c>
      <c r="N295" s="50"/>
      <c r="O295" s="50">
        <v>135200</v>
      </c>
      <c r="P295" s="50"/>
      <c r="Q295" s="50">
        <v>135200</v>
      </c>
    </row>
    <row r="296" spans="1:17" x14ac:dyDescent="0.25">
      <c r="A296" s="49" t="s">
        <v>707</v>
      </c>
      <c r="B296" s="49" t="s">
        <v>162</v>
      </c>
      <c r="C296" s="49" t="s">
        <v>163</v>
      </c>
      <c r="D296" s="49" t="s">
        <v>69</v>
      </c>
      <c r="E296" s="50">
        <v>932264008</v>
      </c>
      <c r="F296" s="50">
        <v>969780106</v>
      </c>
      <c r="G296" s="50">
        <v>969780106</v>
      </c>
      <c r="H296" s="50">
        <v>0</v>
      </c>
      <c r="I296" s="50">
        <v>165152827.66</v>
      </c>
      <c r="J296" s="50">
        <v>0</v>
      </c>
      <c r="K296" s="50">
        <v>750099769.51999998</v>
      </c>
      <c r="L296" s="50"/>
      <c r="M296" s="50">
        <v>607282657.75</v>
      </c>
      <c r="N296" s="50"/>
      <c r="O296" s="50">
        <v>54527508.82</v>
      </c>
      <c r="P296" s="50"/>
      <c r="Q296" s="50">
        <v>54527508.82</v>
      </c>
    </row>
    <row r="297" spans="1:17" x14ac:dyDescent="0.25">
      <c r="A297" s="49" t="s">
        <v>707</v>
      </c>
      <c r="B297" s="49" t="s">
        <v>310</v>
      </c>
      <c r="C297" s="49" t="s">
        <v>311</v>
      </c>
      <c r="D297" s="49" t="s">
        <v>69</v>
      </c>
      <c r="E297" s="50">
        <v>120656000</v>
      </c>
      <c r="F297" s="50">
        <v>117656000</v>
      </c>
      <c r="G297" s="50">
        <v>117656000</v>
      </c>
      <c r="H297" s="50">
        <v>0</v>
      </c>
      <c r="I297" s="50">
        <v>12685918.789999999</v>
      </c>
      <c r="J297" s="50">
        <v>0</v>
      </c>
      <c r="K297" s="50">
        <v>92660354.450000003</v>
      </c>
      <c r="L297" s="50"/>
      <c r="M297" s="50">
        <v>52357453.18</v>
      </c>
      <c r="N297" s="50"/>
      <c r="O297" s="50">
        <v>12309726.76</v>
      </c>
      <c r="P297" s="50"/>
      <c r="Q297" s="50">
        <v>12309726.76</v>
      </c>
    </row>
    <row r="298" spans="1:17" x14ac:dyDescent="0.25">
      <c r="A298" s="49" t="s">
        <v>707</v>
      </c>
      <c r="B298" s="49" t="s">
        <v>164</v>
      </c>
      <c r="C298" s="49" t="s">
        <v>165</v>
      </c>
      <c r="D298" s="49" t="s">
        <v>69</v>
      </c>
      <c r="E298" s="50">
        <v>504520000</v>
      </c>
      <c r="F298" s="50">
        <v>526013517</v>
      </c>
      <c r="G298" s="50">
        <v>526013517</v>
      </c>
      <c r="H298" s="50">
        <v>0</v>
      </c>
      <c r="I298" s="50">
        <v>82351225.859999999</v>
      </c>
      <c r="J298" s="50">
        <v>0</v>
      </c>
      <c r="K298" s="50">
        <v>431790415.18000001</v>
      </c>
      <c r="L298" s="50"/>
      <c r="M298" s="50">
        <v>379879653.93000001</v>
      </c>
      <c r="N298" s="50"/>
      <c r="O298" s="50">
        <v>11871875.960000001</v>
      </c>
      <c r="P298" s="50"/>
      <c r="Q298" s="50">
        <v>11871875.960000001</v>
      </c>
    </row>
    <row r="299" spans="1:17" x14ac:dyDescent="0.25">
      <c r="A299" s="49" t="s">
        <v>707</v>
      </c>
      <c r="B299" s="49" t="s">
        <v>166</v>
      </c>
      <c r="C299" s="49" t="s">
        <v>167</v>
      </c>
      <c r="D299" s="49" t="s">
        <v>69</v>
      </c>
      <c r="E299" s="50">
        <v>95028648</v>
      </c>
      <c r="F299" s="50">
        <v>119990142</v>
      </c>
      <c r="G299" s="50">
        <v>119990142</v>
      </c>
      <c r="H299" s="50">
        <v>0</v>
      </c>
      <c r="I299" s="50">
        <v>17355737.050000001</v>
      </c>
      <c r="J299" s="50">
        <v>0</v>
      </c>
      <c r="K299" s="50">
        <v>101212925.56</v>
      </c>
      <c r="L299" s="50"/>
      <c r="M299" s="50">
        <v>71110292.260000005</v>
      </c>
      <c r="N299" s="50"/>
      <c r="O299" s="50">
        <v>1421479.39</v>
      </c>
      <c r="P299" s="50"/>
      <c r="Q299" s="50">
        <v>1421479.39</v>
      </c>
    </row>
    <row r="300" spans="1:17" x14ac:dyDescent="0.25">
      <c r="A300" s="49" t="s">
        <v>707</v>
      </c>
      <c r="B300" s="49" t="s">
        <v>312</v>
      </c>
      <c r="C300" s="49" t="s">
        <v>313</v>
      </c>
      <c r="D300" s="49" t="s">
        <v>69</v>
      </c>
      <c r="E300" s="50">
        <v>3000000</v>
      </c>
      <c r="F300" s="50">
        <v>3000000</v>
      </c>
      <c r="G300" s="50">
        <v>3000000</v>
      </c>
      <c r="H300" s="50">
        <v>0</v>
      </c>
      <c r="I300" s="50">
        <v>2800479</v>
      </c>
      <c r="J300" s="50">
        <v>0</v>
      </c>
      <c r="K300" s="50">
        <v>0</v>
      </c>
      <c r="L300" s="50"/>
      <c r="M300" s="50">
        <v>0</v>
      </c>
      <c r="N300" s="50"/>
      <c r="O300" s="50">
        <v>199521</v>
      </c>
      <c r="P300" s="50"/>
      <c r="Q300" s="50">
        <v>199521</v>
      </c>
    </row>
    <row r="301" spans="1:17" x14ac:dyDescent="0.25">
      <c r="A301" s="49" t="s">
        <v>707</v>
      </c>
      <c r="B301" s="49" t="s">
        <v>168</v>
      </c>
      <c r="C301" s="49" t="s">
        <v>169</v>
      </c>
      <c r="D301" s="49" t="s">
        <v>69</v>
      </c>
      <c r="E301" s="50">
        <v>16864852</v>
      </c>
      <c r="F301" s="50">
        <v>11257762</v>
      </c>
      <c r="G301" s="50">
        <v>11257762</v>
      </c>
      <c r="H301" s="50">
        <v>0</v>
      </c>
      <c r="I301" s="50">
        <v>2638239.3199999998</v>
      </c>
      <c r="J301" s="50">
        <v>0</v>
      </c>
      <c r="K301" s="50">
        <v>6507826.6299999999</v>
      </c>
      <c r="L301" s="50"/>
      <c r="M301" s="50">
        <v>6507826.6299999999</v>
      </c>
      <c r="N301" s="50"/>
      <c r="O301" s="50">
        <v>2111696.0499999998</v>
      </c>
      <c r="P301" s="50"/>
      <c r="Q301" s="50">
        <v>2111696.0499999998</v>
      </c>
    </row>
    <row r="302" spans="1:17" x14ac:dyDescent="0.25">
      <c r="A302" s="49" t="s">
        <v>707</v>
      </c>
      <c r="B302" s="49" t="s">
        <v>170</v>
      </c>
      <c r="C302" s="49" t="s">
        <v>171</v>
      </c>
      <c r="D302" s="49" t="s">
        <v>69</v>
      </c>
      <c r="E302" s="50">
        <v>40562000</v>
      </c>
      <c r="F302" s="50">
        <v>24844258</v>
      </c>
      <c r="G302" s="50">
        <v>24844258</v>
      </c>
      <c r="H302" s="50">
        <v>0</v>
      </c>
      <c r="I302" s="50">
        <v>14506618.029999999</v>
      </c>
      <c r="J302" s="50">
        <v>0</v>
      </c>
      <c r="K302" s="50">
        <v>8117291.1900000004</v>
      </c>
      <c r="L302" s="50"/>
      <c r="M302" s="50">
        <v>3768024.01</v>
      </c>
      <c r="N302" s="50"/>
      <c r="O302" s="50">
        <v>2220348.7799999998</v>
      </c>
      <c r="P302" s="50"/>
      <c r="Q302" s="50">
        <v>2220348.7799999998</v>
      </c>
    </row>
    <row r="303" spans="1:17" x14ac:dyDescent="0.25">
      <c r="A303" s="49" t="s">
        <v>707</v>
      </c>
      <c r="B303" s="49" t="s">
        <v>172</v>
      </c>
      <c r="C303" s="49" t="s">
        <v>173</v>
      </c>
      <c r="D303" s="49" t="s">
        <v>69</v>
      </c>
      <c r="E303" s="50">
        <v>151632508</v>
      </c>
      <c r="F303" s="50">
        <v>167018427</v>
      </c>
      <c r="G303" s="50">
        <v>167018427</v>
      </c>
      <c r="H303" s="50">
        <v>0</v>
      </c>
      <c r="I303" s="50">
        <v>32814609.609999999</v>
      </c>
      <c r="J303" s="50">
        <v>0</v>
      </c>
      <c r="K303" s="50">
        <v>109810956.51000001</v>
      </c>
      <c r="L303" s="50"/>
      <c r="M303" s="50">
        <v>93659407.739999995</v>
      </c>
      <c r="N303" s="50"/>
      <c r="O303" s="50">
        <v>24392860.879999999</v>
      </c>
      <c r="P303" s="50"/>
      <c r="Q303" s="50">
        <v>24392860.879999999</v>
      </c>
    </row>
    <row r="304" spans="1:17" x14ac:dyDescent="0.25">
      <c r="A304" s="49" t="s">
        <v>707</v>
      </c>
      <c r="B304" s="49" t="s">
        <v>164</v>
      </c>
      <c r="C304" s="49" t="s">
        <v>165</v>
      </c>
      <c r="D304" s="49" t="s">
        <v>85</v>
      </c>
      <c r="E304" s="50">
        <v>0</v>
      </c>
      <c r="F304" s="50">
        <v>0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50"/>
      <c r="M304" s="50">
        <v>0</v>
      </c>
      <c r="N304" s="50"/>
      <c r="O304" s="50">
        <v>0</v>
      </c>
      <c r="P304" s="50"/>
      <c r="Q304" s="50">
        <v>0</v>
      </c>
    </row>
    <row r="305" spans="1:17" x14ac:dyDescent="0.25">
      <c r="A305" s="49" t="s">
        <v>707</v>
      </c>
      <c r="B305" s="49" t="s">
        <v>174</v>
      </c>
      <c r="C305" s="49" t="s">
        <v>175</v>
      </c>
      <c r="D305" s="49" t="s">
        <v>69</v>
      </c>
      <c r="E305" s="50">
        <v>18000000</v>
      </c>
      <c r="F305" s="50">
        <v>18000000</v>
      </c>
      <c r="G305" s="50">
        <v>18000000</v>
      </c>
      <c r="H305" s="50">
        <v>0</v>
      </c>
      <c r="I305" s="50">
        <v>4115654</v>
      </c>
      <c r="J305" s="50">
        <v>0</v>
      </c>
      <c r="K305" s="50">
        <v>10910712</v>
      </c>
      <c r="L305" s="50"/>
      <c r="M305" s="50">
        <v>221366</v>
      </c>
      <c r="N305" s="50"/>
      <c r="O305" s="50">
        <v>2973634</v>
      </c>
      <c r="P305" s="50"/>
      <c r="Q305" s="50">
        <v>2973634</v>
      </c>
    </row>
    <row r="306" spans="1:17" x14ac:dyDescent="0.25">
      <c r="A306" s="49" t="s">
        <v>707</v>
      </c>
      <c r="B306" s="49" t="s">
        <v>176</v>
      </c>
      <c r="C306" s="49" t="s">
        <v>177</v>
      </c>
      <c r="D306" s="49" t="s">
        <v>69</v>
      </c>
      <c r="E306" s="50">
        <v>18000000</v>
      </c>
      <c r="F306" s="50">
        <v>18000000</v>
      </c>
      <c r="G306" s="50">
        <v>18000000</v>
      </c>
      <c r="H306" s="50">
        <v>0</v>
      </c>
      <c r="I306" s="50">
        <v>4115654</v>
      </c>
      <c r="J306" s="50">
        <v>0</v>
      </c>
      <c r="K306" s="50">
        <v>10910712</v>
      </c>
      <c r="L306" s="50"/>
      <c r="M306" s="50">
        <v>221366</v>
      </c>
      <c r="N306" s="50"/>
      <c r="O306" s="50">
        <v>2973634</v>
      </c>
      <c r="P306" s="50"/>
      <c r="Q306" s="50">
        <v>2973634</v>
      </c>
    </row>
    <row r="307" spans="1:17" x14ac:dyDescent="0.25">
      <c r="A307" s="49" t="s">
        <v>707</v>
      </c>
      <c r="B307" s="49" t="s">
        <v>178</v>
      </c>
      <c r="C307" s="49" t="s">
        <v>179</v>
      </c>
      <c r="D307" s="49" t="s">
        <v>69</v>
      </c>
      <c r="E307" s="50">
        <v>36890625</v>
      </c>
      <c r="F307" s="50">
        <v>56149050</v>
      </c>
      <c r="G307" s="50">
        <v>56149050</v>
      </c>
      <c r="H307" s="50">
        <v>0</v>
      </c>
      <c r="I307" s="50">
        <v>44164591.270000003</v>
      </c>
      <c r="J307" s="50">
        <v>0</v>
      </c>
      <c r="K307" s="50">
        <v>3617106.85</v>
      </c>
      <c r="L307" s="50"/>
      <c r="M307" s="50">
        <v>3617106.85</v>
      </c>
      <c r="N307" s="50"/>
      <c r="O307" s="50">
        <v>8367351.8799999999</v>
      </c>
      <c r="P307" s="50"/>
      <c r="Q307" s="50">
        <v>8367351.8799999999</v>
      </c>
    </row>
    <row r="308" spans="1:17" x14ac:dyDescent="0.25">
      <c r="A308" s="49" t="s">
        <v>707</v>
      </c>
      <c r="B308" s="49" t="s">
        <v>348</v>
      </c>
      <c r="C308" s="49" t="s">
        <v>349</v>
      </c>
      <c r="D308" s="49" t="s">
        <v>69</v>
      </c>
      <c r="E308" s="50">
        <v>3000000</v>
      </c>
      <c r="F308" s="50">
        <v>5000000</v>
      </c>
      <c r="G308" s="50">
        <v>5000000</v>
      </c>
      <c r="H308" s="50">
        <v>0</v>
      </c>
      <c r="I308" s="50">
        <v>0</v>
      </c>
      <c r="J308" s="50">
        <v>0</v>
      </c>
      <c r="K308" s="50">
        <v>3617106.85</v>
      </c>
      <c r="L308" s="50"/>
      <c r="M308" s="50">
        <v>3617106.85</v>
      </c>
      <c r="N308" s="50"/>
      <c r="O308" s="50">
        <v>1382893.15</v>
      </c>
      <c r="P308" s="50"/>
      <c r="Q308" s="50">
        <v>1382893.15</v>
      </c>
    </row>
    <row r="309" spans="1:17" x14ac:dyDescent="0.25">
      <c r="A309" s="49" t="s">
        <v>707</v>
      </c>
      <c r="B309" s="49" t="s">
        <v>180</v>
      </c>
      <c r="C309" s="49" t="s">
        <v>181</v>
      </c>
      <c r="D309" s="49" t="s">
        <v>69</v>
      </c>
      <c r="E309" s="50">
        <v>19500000</v>
      </c>
      <c r="F309" s="50">
        <v>2678455</v>
      </c>
      <c r="G309" s="50">
        <v>2678455</v>
      </c>
      <c r="H309" s="50">
        <v>0</v>
      </c>
      <c r="I309" s="50">
        <v>0</v>
      </c>
      <c r="J309" s="50">
        <v>0</v>
      </c>
      <c r="K309" s="50">
        <v>0</v>
      </c>
      <c r="L309" s="50"/>
      <c r="M309" s="50">
        <v>0</v>
      </c>
      <c r="N309" s="50"/>
      <c r="O309" s="50">
        <v>2678455</v>
      </c>
      <c r="P309" s="50"/>
      <c r="Q309" s="50">
        <v>2678455</v>
      </c>
    </row>
    <row r="310" spans="1:17" x14ac:dyDescent="0.25">
      <c r="A310" s="49" t="s">
        <v>707</v>
      </c>
      <c r="B310" s="49" t="s">
        <v>182</v>
      </c>
      <c r="C310" s="49" t="s">
        <v>183</v>
      </c>
      <c r="D310" s="49" t="s">
        <v>69</v>
      </c>
      <c r="E310" s="50">
        <v>14390625</v>
      </c>
      <c r="F310" s="50">
        <v>48470595</v>
      </c>
      <c r="G310" s="50">
        <v>48470595</v>
      </c>
      <c r="H310" s="50">
        <v>0</v>
      </c>
      <c r="I310" s="50">
        <v>44164591.270000003</v>
      </c>
      <c r="J310" s="50">
        <v>0</v>
      </c>
      <c r="K310" s="50">
        <v>0</v>
      </c>
      <c r="L310" s="50"/>
      <c r="M310" s="50">
        <v>0</v>
      </c>
      <c r="N310" s="50"/>
      <c r="O310" s="50">
        <v>4306003.7300000004</v>
      </c>
      <c r="P310" s="50"/>
      <c r="Q310" s="50">
        <v>4306003.7300000004</v>
      </c>
    </row>
    <row r="311" spans="1:17" x14ac:dyDescent="0.25">
      <c r="A311" s="49" t="s">
        <v>707</v>
      </c>
      <c r="B311" s="49" t="s">
        <v>184</v>
      </c>
      <c r="C311" s="49" t="s">
        <v>185</v>
      </c>
      <c r="D311" s="49" t="s">
        <v>69</v>
      </c>
      <c r="E311" s="50">
        <v>5938711949</v>
      </c>
      <c r="F311" s="50">
        <v>5528854538</v>
      </c>
      <c r="G311" s="50">
        <v>5528854538</v>
      </c>
      <c r="H311" s="50">
        <v>0</v>
      </c>
      <c r="I311" s="50">
        <v>253604651.86000001</v>
      </c>
      <c r="J311" s="50">
        <v>0</v>
      </c>
      <c r="K311" s="50">
        <v>4957805505.2200003</v>
      </c>
      <c r="L311" s="50"/>
      <c r="M311" s="50">
        <v>4241312800.8899999</v>
      </c>
      <c r="N311" s="50"/>
      <c r="O311" s="50">
        <v>317444380.92000002</v>
      </c>
      <c r="P311" s="50"/>
      <c r="Q311" s="50">
        <v>317444380.92000002</v>
      </c>
    </row>
    <row r="312" spans="1:17" x14ac:dyDescent="0.25">
      <c r="A312" s="49" t="s">
        <v>707</v>
      </c>
      <c r="B312" s="49" t="s">
        <v>186</v>
      </c>
      <c r="C312" s="49" t="s">
        <v>187</v>
      </c>
      <c r="D312" s="49" t="s">
        <v>69</v>
      </c>
      <c r="E312" s="50">
        <v>1018969461</v>
      </c>
      <c r="F312" s="50">
        <v>925936524</v>
      </c>
      <c r="G312" s="50">
        <v>925936524</v>
      </c>
      <c r="H312" s="50">
        <v>0</v>
      </c>
      <c r="I312" s="50">
        <v>66575408.93</v>
      </c>
      <c r="J312" s="50">
        <v>0</v>
      </c>
      <c r="K312" s="50">
        <v>742389738.72000003</v>
      </c>
      <c r="L312" s="50"/>
      <c r="M312" s="50">
        <v>694241462.08000004</v>
      </c>
      <c r="N312" s="50"/>
      <c r="O312" s="50">
        <v>116971376.34999999</v>
      </c>
      <c r="P312" s="50"/>
      <c r="Q312" s="50">
        <v>116971376.34999999</v>
      </c>
    </row>
    <row r="313" spans="1:17" x14ac:dyDescent="0.25">
      <c r="A313" s="49" t="s">
        <v>707</v>
      </c>
      <c r="B313" s="49" t="s">
        <v>188</v>
      </c>
      <c r="C313" s="49" t="s">
        <v>189</v>
      </c>
      <c r="D313" s="49" t="s">
        <v>69</v>
      </c>
      <c r="E313" s="50">
        <v>735778133</v>
      </c>
      <c r="F313" s="50">
        <v>651012389</v>
      </c>
      <c r="G313" s="50">
        <v>651012389</v>
      </c>
      <c r="H313" s="50">
        <v>0</v>
      </c>
      <c r="I313" s="50">
        <v>56931512.509999998</v>
      </c>
      <c r="J313" s="50">
        <v>0</v>
      </c>
      <c r="K313" s="50">
        <v>481678801.13999999</v>
      </c>
      <c r="L313" s="50"/>
      <c r="M313" s="50">
        <v>467131615.30000001</v>
      </c>
      <c r="N313" s="50"/>
      <c r="O313" s="50">
        <v>112402075.34999999</v>
      </c>
      <c r="P313" s="50"/>
      <c r="Q313" s="50">
        <v>112402075.34999999</v>
      </c>
    </row>
    <row r="314" spans="1:17" x14ac:dyDescent="0.25">
      <c r="A314" s="49" t="s">
        <v>707</v>
      </c>
      <c r="B314" s="49" t="s">
        <v>190</v>
      </c>
      <c r="C314" s="49" t="s">
        <v>191</v>
      </c>
      <c r="D314" s="49" t="s">
        <v>69</v>
      </c>
      <c r="E314" s="50">
        <v>224830540</v>
      </c>
      <c r="F314" s="50">
        <v>220146790</v>
      </c>
      <c r="G314" s="50">
        <v>220146790</v>
      </c>
      <c r="H314" s="50">
        <v>0</v>
      </c>
      <c r="I314" s="50">
        <v>0</v>
      </c>
      <c r="J314" s="50">
        <v>0</v>
      </c>
      <c r="K314" s="50">
        <v>219254814.38</v>
      </c>
      <c r="L314" s="50"/>
      <c r="M314" s="50">
        <v>186909564.38</v>
      </c>
      <c r="N314" s="50"/>
      <c r="O314" s="50">
        <v>891975.62</v>
      </c>
      <c r="P314" s="50"/>
      <c r="Q314" s="50">
        <v>891975.62</v>
      </c>
    </row>
    <row r="315" spans="1:17" x14ac:dyDescent="0.25">
      <c r="A315" s="49" t="s">
        <v>707</v>
      </c>
      <c r="B315" s="49" t="s">
        <v>350</v>
      </c>
      <c r="C315" s="49" t="s">
        <v>351</v>
      </c>
      <c r="D315" s="49" t="s">
        <v>69</v>
      </c>
      <c r="E315" s="50">
        <v>12909188</v>
      </c>
      <c r="F315" s="50">
        <v>12909188</v>
      </c>
      <c r="G315" s="50">
        <v>12909188</v>
      </c>
      <c r="H315" s="50">
        <v>0</v>
      </c>
      <c r="I315" s="50">
        <v>9454794.4199999999</v>
      </c>
      <c r="J315" s="50">
        <v>0</v>
      </c>
      <c r="K315" s="50">
        <v>2016114.92</v>
      </c>
      <c r="L315" s="50"/>
      <c r="M315" s="50">
        <v>2016114.92</v>
      </c>
      <c r="N315" s="50"/>
      <c r="O315" s="50">
        <v>1438278.66</v>
      </c>
      <c r="P315" s="50"/>
      <c r="Q315" s="50">
        <v>1438278.66</v>
      </c>
    </row>
    <row r="316" spans="1:17" x14ac:dyDescent="0.25">
      <c r="A316" s="49" t="s">
        <v>707</v>
      </c>
      <c r="B316" s="49" t="s">
        <v>192</v>
      </c>
      <c r="C316" s="49" t="s">
        <v>193</v>
      </c>
      <c r="D316" s="49" t="s">
        <v>69</v>
      </c>
      <c r="E316" s="50">
        <v>40465200</v>
      </c>
      <c r="F316" s="50">
        <v>36881757</v>
      </c>
      <c r="G316" s="50">
        <v>36881757</v>
      </c>
      <c r="H316" s="50">
        <v>0</v>
      </c>
      <c r="I316" s="50">
        <v>189102</v>
      </c>
      <c r="J316" s="50">
        <v>0</v>
      </c>
      <c r="K316" s="50">
        <v>36440434.920000002</v>
      </c>
      <c r="L316" s="50"/>
      <c r="M316" s="50">
        <v>35184594.119999997</v>
      </c>
      <c r="N316" s="50"/>
      <c r="O316" s="50">
        <v>252220.08</v>
      </c>
      <c r="P316" s="50"/>
      <c r="Q316" s="50">
        <v>252220.08</v>
      </c>
    </row>
    <row r="317" spans="1:17" x14ac:dyDescent="0.25">
      <c r="A317" s="49" t="s">
        <v>707</v>
      </c>
      <c r="B317" s="49" t="s">
        <v>194</v>
      </c>
      <c r="C317" s="49" t="s">
        <v>195</v>
      </c>
      <c r="D317" s="49" t="s">
        <v>69</v>
      </c>
      <c r="E317" s="50">
        <v>4986400</v>
      </c>
      <c r="F317" s="50">
        <v>4986400</v>
      </c>
      <c r="G317" s="50">
        <v>4986400</v>
      </c>
      <c r="H317" s="50">
        <v>0</v>
      </c>
      <c r="I317" s="50">
        <v>0</v>
      </c>
      <c r="J317" s="50">
        <v>0</v>
      </c>
      <c r="K317" s="50">
        <v>2999573.36</v>
      </c>
      <c r="L317" s="50"/>
      <c r="M317" s="50">
        <v>2999573.36</v>
      </c>
      <c r="N317" s="50"/>
      <c r="O317" s="50">
        <v>1986826.64</v>
      </c>
      <c r="P317" s="50"/>
      <c r="Q317" s="50">
        <v>1986826.64</v>
      </c>
    </row>
    <row r="318" spans="1:17" x14ac:dyDescent="0.25">
      <c r="A318" s="49" t="s">
        <v>707</v>
      </c>
      <c r="B318" s="49" t="s">
        <v>196</v>
      </c>
      <c r="C318" s="49" t="s">
        <v>197</v>
      </c>
      <c r="D318" s="49" t="s">
        <v>69</v>
      </c>
      <c r="E318" s="50">
        <v>1012911000</v>
      </c>
      <c r="F318" s="50">
        <v>1027400893</v>
      </c>
      <c r="G318" s="50">
        <v>1027400893</v>
      </c>
      <c r="H318" s="50">
        <v>0</v>
      </c>
      <c r="I318" s="50">
        <v>65680156.229999997</v>
      </c>
      <c r="J318" s="50">
        <v>0</v>
      </c>
      <c r="K318" s="50">
        <v>917908227.13999999</v>
      </c>
      <c r="L318" s="50"/>
      <c r="M318" s="50">
        <v>882943615.79999995</v>
      </c>
      <c r="N318" s="50"/>
      <c r="O318" s="50">
        <v>43812509.630000003</v>
      </c>
      <c r="P318" s="50"/>
      <c r="Q318" s="50">
        <v>43812509.630000003</v>
      </c>
    </row>
    <row r="319" spans="1:17" x14ac:dyDescent="0.25">
      <c r="A319" s="49" t="s">
        <v>707</v>
      </c>
      <c r="B319" s="49" t="s">
        <v>198</v>
      </c>
      <c r="C319" s="49" t="s">
        <v>199</v>
      </c>
      <c r="D319" s="49" t="s">
        <v>69</v>
      </c>
      <c r="E319" s="50">
        <v>987000000</v>
      </c>
      <c r="F319" s="50">
        <v>1001500000</v>
      </c>
      <c r="G319" s="50">
        <v>1001500000</v>
      </c>
      <c r="H319" s="50">
        <v>0</v>
      </c>
      <c r="I319" s="50">
        <v>65680156.229999997</v>
      </c>
      <c r="J319" s="50">
        <v>0</v>
      </c>
      <c r="K319" s="50">
        <v>892008457.63999999</v>
      </c>
      <c r="L319" s="50"/>
      <c r="M319" s="50">
        <v>857043846.29999995</v>
      </c>
      <c r="N319" s="50"/>
      <c r="O319" s="50">
        <v>43811386.130000003</v>
      </c>
      <c r="P319" s="50"/>
      <c r="Q319" s="50">
        <v>43811386.130000003</v>
      </c>
    </row>
    <row r="320" spans="1:17" x14ac:dyDescent="0.25">
      <c r="A320" s="49" t="s">
        <v>707</v>
      </c>
      <c r="B320" s="49" t="s">
        <v>352</v>
      </c>
      <c r="C320" s="49" t="s">
        <v>353</v>
      </c>
      <c r="D320" s="49" t="s">
        <v>69</v>
      </c>
      <c r="E320" s="50">
        <v>25911000</v>
      </c>
      <c r="F320" s="50">
        <v>25900893</v>
      </c>
      <c r="G320" s="50">
        <v>25900893</v>
      </c>
      <c r="H320" s="50">
        <v>0</v>
      </c>
      <c r="I320" s="50">
        <v>0</v>
      </c>
      <c r="J320" s="50">
        <v>0</v>
      </c>
      <c r="K320" s="50">
        <v>25899769.5</v>
      </c>
      <c r="L320" s="50"/>
      <c r="M320" s="50">
        <v>25899769.5</v>
      </c>
      <c r="N320" s="50"/>
      <c r="O320" s="50">
        <v>1123.5</v>
      </c>
      <c r="P320" s="50"/>
      <c r="Q320" s="50">
        <v>1123.5</v>
      </c>
    </row>
    <row r="321" spans="1:17" x14ac:dyDescent="0.25">
      <c r="A321" s="49" t="s">
        <v>707</v>
      </c>
      <c r="B321" s="49" t="s">
        <v>200</v>
      </c>
      <c r="C321" s="49" t="s">
        <v>201</v>
      </c>
      <c r="D321" s="49" t="s">
        <v>69</v>
      </c>
      <c r="E321" s="50">
        <v>492133633</v>
      </c>
      <c r="F321" s="50">
        <v>532016676</v>
      </c>
      <c r="G321" s="50">
        <v>532016676</v>
      </c>
      <c r="H321" s="50">
        <v>0</v>
      </c>
      <c r="I321" s="50">
        <v>16901520.84</v>
      </c>
      <c r="J321" s="50">
        <v>0</v>
      </c>
      <c r="K321" s="50">
        <v>495277151.88999999</v>
      </c>
      <c r="L321" s="50"/>
      <c r="M321" s="50">
        <v>461620604.79000002</v>
      </c>
      <c r="N321" s="50"/>
      <c r="O321" s="50">
        <v>19838003.27</v>
      </c>
      <c r="P321" s="50"/>
      <c r="Q321" s="50">
        <v>19838003.27</v>
      </c>
    </row>
    <row r="322" spans="1:17" x14ac:dyDescent="0.25">
      <c r="A322" s="49" t="s">
        <v>707</v>
      </c>
      <c r="B322" s="49" t="s">
        <v>314</v>
      </c>
      <c r="C322" s="49" t="s">
        <v>315</v>
      </c>
      <c r="D322" s="49" t="s">
        <v>69</v>
      </c>
      <c r="E322" s="50">
        <v>116502163</v>
      </c>
      <c r="F322" s="50">
        <v>138638873</v>
      </c>
      <c r="G322" s="50">
        <v>138638873</v>
      </c>
      <c r="H322" s="50">
        <v>0</v>
      </c>
      <c r="I322" s="50">
        <v>1335339.69</v>
      </c>
      <c r="J322" s="50">
        <v>0</v>
      </c>
      <c r="K322" s="50">
        <v>128979332.95999999</v>
      </c>
      <c r="L322" s="50"/>
      <c r="M322" s="50">
        <v>120652033.06</v>
      </c>
      <c r="N322" s="50"/>
      <c r="O322" s="50">
        <v>8324200.3499999996</v>
      </c>
      <c r="P322" s="50"/>
      <c r="Q322" s="50">
        <v>8324200.3499999996</v>
      </c>
    </row>
    <row r="323" spans="1:17" x14ac:dyDescent="0.25">
      <c r="A323" s="49" t="s">
        <v>707</v>
      </c>
      <c r="B323" s="49" t="s">
        <v>316</v>
      </c>
      <c r="C323" s="49" t="s">
        <v>317</v>
      </c>
      <c r="D323" s="49" t="s">
        <v>69</v>
      </c>
      <c r="E323" s="50">
        <v>100168000</v>
      </c>
      <c r="F323" s="50">
        <v>100168000</v>
      </c>
      <c r="G323" s="50">
        <v>100168000</v>
      </c>
      <c r="H323" s="50">
        <v>0</v>
      </c>
      <c r="I323" s="50">
        <v>9173543.4000000004</v>
      </c>
      <c r="J323" s="50">
        <v>0</v>
      </c>
      <c r="K323" s="50">
        <v>89180000.359999999</v>
      </c>
      <c r="L323" s="50"/>
      <c r="M323" s="50">
        <v>84113170.760000005</v>
      </c>
      <c r="N323" s="50"/>
      <c r="O323" s="50">
        <v>1814456.24</v>
      </c>
      <c r="P323" s="50"/>
      <c r="Q323" s="50">
        <v>1814456.24</v>
      </c>
    </row>
    <row r="324" spans="1:17" x14ac:dyDescent="0.25">
      <c r="A324" s="49" t="s">
        <v>707</v>
      </c>
      <c r="B324" s="49" t="s">
        <v>318</v>
      </c>
      <c r="C324" s="49" t="s">
        <v>319</v>
      </c>
      <c r="D324" s="49" t="s">
        <v>69</v>
      </c>
      <c r="E324" s="50">
        <v>88546837</v>
      </c>
      <c r="F324" s="50">
        <v>124611598</v>
      </c>
      <c r="G324" s="50">
        <v>124611598</v>
      </c>
      <c r="H324" s="50">
        <v>0</v>
      </c>
      <c r="I324" s="50">
        <v>0</v>
      </c>
      <c r="J324" s="50">
        <v>0</v>
      </c>
      <c r="K324" s="50">
        <v>124489230.95999999</v>
      </c>
      <c r="L324" s="50"/>
      <c r="M324" s="50">
        <v>106729563.36</v>
      </c>
      <c r="N324" s="50"/>
      <c r="O324" s="50">
        <v>122367.03999999999</v>
      </c>
      <c r="P324" s="50"/>
      <c r="Q324" s="50">
        <v>122367.03999999999</v>
      </c>
    </row>
    <row r="325" spans="1:17" x14ac:dyDescent="0.25">
      <c r="A325" s="49" t="s">
        <v>707</v>
      </c>
      <c r="B325" s="49" t="s">
        <v>202</v>
      </c>
      <c r="C325" s="49" t="s">
        <v>203</v>
      </c>
      <c r="D325" s="49" t="s">
        <v>69</v>
      </c>
      <c r="E325" s="50">
        <v>110456300</v>
      </c>
      <c r="F325" s="50">
        <v>105456300</v>
      </c>
      <c r="G325" s="50">
        <v>105456300</v>
      </c>
      <c r="H325" s="50">
        <v>0</v>
      </c>
      <c r="I325" s="50">
        <v>6392637.75</v>
      </c>
      <c r="J325" s="50">
        <v>0</v>
      </c>
      <c r="K325" s="50">
        <v>92692722.150000006</v>
      </c>
      <c r="L325" s="50"/>
      <c r="M325" s="50">
        <v>90189972.150000006</v>
      </c>
      <c r="N325" s="50"/>
      <c r="O325" s="50">
        <v>6370940.0999999996</v>
      </c>
      <c r="P325" s="50"/>
      <c r="Q325" s="50">
        <v>6370940.0999999996</v>
      </c>
    </row>
    <row r="326" spans="1:17" x14ac:dyDescent="0.25">
      <c r="A326" s="49" t="s">
        <v>707</v>
      </c>
      <c r="B326" s="49" t="s">
        <v>320</v>
      </c>
      <c r="C326" s="49" t="s">
        <v>321</v>
      </c>
      <c r="D326" s="49" t="s">
        <v>69</v>
      </c>
      <c r="E326" s="50">
        <v>2261183</v>
      </c>
      <c r="F326" s="50">
        <v>1091036</v>
      </c>
      <c r="G326" s="50">
        <v>1091036</v>
      </c>
      <c r="H326" s="50">
        <v>0</v>
      </c>
      <c r="I326" s="50">
        <v>0</v>
      </c>
      <c r="J326" s="50">
        <v>0</v>
      </c>
      <c r="K326" s="50">
        <v>1016898.3</v>
      </c>
      <c r="L326" s="50"/>
      <c r="M326" s="50">
        <v>1016898.3</v>
      </c>
      <c r="N326" s="50"/>
      <c r="O326" s="50">
        <v>74137.7</v>
      </c>
      <c r="P326" s="50"/>
      <c r="Q326" s="50">
        <v>74137.7</v>
      </c>
    </row>
    <row r="327" spans="1:17" x14ac:dyDescent="0.25">
      <c r="A327" s="49" t="s">
        <v>707</v>
      </c>
      <c r="B327" s="49" t="s">
        <v>204</v>
      </c>
      <c r="C327" s="49" t="s">
        <v>205</v>
      </c>
      <c r="D327" s="49" t="s">
        <v>69</v>
      </c>
      <c r="E327" s="50">
        <v>51120350</v>
      </c>
      <c r="F327" s="50">
        <v>39184922</v>
      </c>
      <c r="G327" s="50">
        <v>39184922</v>
      </c>
      <c r="H327" s="50">
        <v>0</v>
      </c>
      <c r="I327" s="50">
        <v>0</v>
      </c>
      <c r="J327" s="50">
        <v>0</v>
      </c>
      <c r="K327" s="50">
        <v>36666199.130000003</v>
      </c>
      <c r="L327" s="50"/>
      <c r="M327" s="50">
        <v>36666199.130000003</v>
      </c>
      <c r="N327" s="50"/>
      <c r="O327" s="50">
        <v>2518722.87</v>
      </c>
      <c r="P327" s="50"/>
      <c r="Q327" s="50">
        <v>2518722.87</v>
      </c>
    </row>
    <row r="328" spans="1:17" x14ac:dyDescent="0.25">
      <c r="A328" s="49" t="s">
        <v>707</v>
      </c>
      <c r="B328" s="49" t="s">
        <v>322</v>
      </c>
      <c r="C328" s="49" t="s">
        <v>323</v>
      </c>
      <c r="D328" s="49" t="s">
        <v>69</v>
      </c>
      <c r="E328" s="50">
        <v>23078800</v>
      </c>
      <c r="F328" s="50">
        <v>22865947</v>
      </c>
      <c r="G328" s="50">
        <v>22865947</v>
      </c>
      <c r="H328" s="50">
        <v>0</v>
      </c>
      <c r="I328" s="50">
        <v>0</v>
      </c>
      <c r="J328" s="50">
        <v>0</v>
      </c>
      <c r="K328" s="50">
        <v>22252768.030000001</v>
      </c>
      <c r="L328" s="50"/>
      <c r="M328" s="50">
        <v>22252768.030000001</v>
      </c>
      <c r="N328" s="50"/>
      <c r="O328" s="50">
        <v>613178.97</v>
      </c>
      <c r="P328" s="50"/>
      <c r="Q328" s="50">
        <v>613178.97</v>
      </c>
    </row>
    <row r="329" spans="1:17" x14ac:dyDescent="0.25">
      <c r="A329" s="49" t="s">
        <v>707</v>
      </c>
      <c r="B329" s="49" t="s">
        <v>206</v>
      </c>
      <c r="C329" s="49" t="s">
        <v>207</v>
      </c>
      <c r="D329" s="49" t="s">
        <v>69</v>
      </c>
      <c r="E329" s="50">
        <v>144803139</v>
      </c>
      <c r="F329" s="50">
        <v>147229775</v>
      </c>
      <c r="G329" s="50">
        <v>147229775</v>
      </c>
      <c r="H329" s="50">
        <v>0</v>
      </c>
      <c r="I329" s="50">
        <v>19732129.379999999</v>
      </c>
      <c r="J329" s="50">
        <v>0</v>
      </c>
      <c r="K329" s="50">
        <v>115946727.97</v>
      </c>
      <c r="L329" s="50"/>
      <c r="M329" s="50">
        <v>108258423.45999999</v>
      </c>
      <c r="N329" s="50"/>
      <c r="O329" s="50">
        <v>11550917.65</v>
      </c>
      <c r="P329" s="50"/>
      <c r="Q329" s="50">
        <v>11550917.65</v>
      </c>
    </row>
    <row r="330" spans="1:17" x14ac:dyDescent="0.25">
      <c r="A330" s="49" t="s">
        <v>707</v>
      </c>
      <c r="B330" s="49" t="s">
        <v>208</v>
      </c>
      <c r="C330" s="49" t="s">
        <v>209</v>
      </c>
      <c r="D330" s="49" t="s">
        <v>69</v>
      </c>
      <c r="E330" s="50">
        <v>17162500</v>
      </c>
      <c r="F330" s="50">
        <v>22413980</v>
      </c>
      <c r="G330" s="50">
        <v>22413980</v>
      </c>
      <c r="H330" s="50">
        <v>0</v>
      </c>
      <c r="I330" s="50">
        <v>0</v>
      </c>
      <c r="J330" s="50">
        <v>0</v>
      </c>
      <c r="K330" s="50">
        <v>16190004.48</v>
      </c>
      <c r="L330" s="50"/>
      <c r="M330" s="50">
        <v>16190004.48</v>
      </c>
      <c r="N330" s="50"/>
      <c r="O330" s="50">
        <v>6223975.5199999996</v>
      </c>
      <c r="P330" s="50"/>
      <c r="Q330" s="50">
        <v>6223975.5199999996</v>
      </c>
    </row>
    <row r="331" spans="1:17" x14ac:dyDescent="0.25">
      <c r="A331" s="49" t="s">
        <v>707</v>
      </c>
      <c r="B331" s="49" t="s">
        <v>210</v>
      </c>
      <c r="C331" s="49" t="s">
        <v>211</v>
      </c>
      <c r="D331" s="49" t="s">
        <v>69</v>
      </c>
      <c r="E331" s="50">
        <v>127640639</v>
      </c>
      <c r="F331" s="50">
        <v>124815795</v>
      </c>
      <c r="G331" s="50">
        <v>124815795</v>
      </c>
      <c r="H331" s="50">
        <v>0</v>
      </c>
      <c r="I331" s="50">
        <v>19732129.379999999</v>
      </c>
      <c r="J331" s="50">
        <v>0</v>
      </c>
      <c r="K331" s="50">
        <v>99756723.489999995</v>
      </c>
      <c r="L331" s="50"/>
      <c r="M331" s="50">
        <v>92068418.980000004</v>
      </c>
      <c r="N331" s="50"/>
      <c r="O331" s="50">
        <v>5326942.13</v>
      </c>
      <c r="P331" s="50"/>
      <c r="Q331" s="50">
        <v>5326942.13</v>
      </c>
    </row>
    <row r="332" spans="1:17" x14ac:dyDescent="0.25">
      <c r="A332" s="49" t="s">
        <v>707</v>
      </c>
      <c r="B332" s="49" t="s">
        <v>212</v>
      </c>
      <c r="C332" s="49" t="s">
        <v>213</v>
      </c>
      <c r="D332" s="49" t="s">
        <v>69</v>
      </c>
      <c r="E332" s="50">
        <v>3269894716</v>
      </c>
      <c r="F332" s="50">
        <v>2896270670</v>
      </c>
      <c r="G332" s="50">
        <v>2896270670</v>
      </c>
      <c r="H332" s="50">
        <v>0</v>
      </c>
      <c r="I332" s="50">
        <v>84715436.480000004</v>
      </c>
      <c r="J332" s="50">
        <v>0</v>
      </c>
      <c r="K332" s="50">
        <v>2686283659.5</v>
      </c>
      <c r="L332" s="50"/>
      <c r="M332" s="50">
        <v>2094248694.76</v>
      </c>
      <c r="N332" s="50"/>
      <c r="O332" s="50">
        <v>125271574.02</v>
      </c>
      <c r="P332" s="50"/>
      <c r="Q332" s="50">
        <v>125271574.02</v>
      </c>
    </row>
    <row r="333" spans="1:17" x14ac:dyDescent="0.25">
      <c r="A333" s="49" t="s">
        <v>707</v>
      </c>
      <c r="B333" s="49" t="s">
        <v>214</v>
      </c>
      <c r="C333" s="49" t="s">
        <v>215</v>
      </c>
      <c r="D333" s="49" t="s">
        <v>69</v>
      </c>
      <c r="E333" s="50">
        <v>34070136</v>
      </c>
      <c r="F333" s="50">
        <v>14603063</v>
      </c>
      <c r="G333" s="50">
        <v>14603063</v>
      </c>
      <c r="H333" s="50">
        <v>0</v>
      </c>
      <c r="I333" s="50">
        <v>992114.9</v>
      </c>
      <c r="J333" s="50">
        <v>0</v>
      </c>
      <c r="K333" s="50">
        <v>13042579.710000001</v>
      </c>
      <c r="L333" s="50"/>
      <c r="M333" s="50">
        <v>13042579.710000001</v>
      </c>
      <c r="N333" s="50"/>
      <c r="O333" s="50">
        <v>568368.39</v>
      </c>
      <c r="P333" s="50"/>
      <c r="Q333" s="50">
        <v>568368.39</v>
      </c>
    </row>
    <row r="334" spans="1:17" x14ac:dyDescent="0.25">
      <c r="A334" s="49" t="s">
        <v>707</v>
      </c>
      <c r="B334" s="49" t="s">
        <v>216</v>
      </c>
      <c r="C334" s="49" t="s">
        <v>217</v>
      </c>
      <c r="D334" s="49" t="s">
        <v>69</v>
      </c>
      <c r="E334" s="50">
        <v>26479307</v>
      </c>
      <c r="F334" s="50">
        <v>26479307</v>
      </c>
      <c r="G334" s="50">
        <v>26479307</v>
      </c>
      <c r="H334" s="50">
        <v>0</v>
      </c>
      <c r="I334" s="50">
        <v>399999.95</v>
      </c>
      <c r="J334" s="50">
        <v>0</v>
      </c>
      <c r="K334" s="50">
        <v>18983516.399999999</v>
      </c>
      <c r="L334" s="50"/>
      <c r="M334" s="50">
        <v>18167293.219999999</v>
      </c>
      <c r="N334" s="50"/>
      <c r="O334" s="50">
        <v>7095790.6500000004</v>
      </c>
      <c r="P334" s="50"/>
      <c r="Q334" s="50">
        <v>7095790.6500000004</v>
      </c>
    </row>
    <row r="335" spans="1:17" x14ac:dyDescent="0.25">
      <c r="A335" s="49" t="s">
        <v>707</v>
      </c>
      <c r="B335" s="49" t="s">
        <v>218</v>
      </c>
      <c r="C335" s="49" t="s">
        <v>219</v>
      </c>
      <c r="D335" s="49" t="s">
        <v>69</v>
      </c>
      <c r="E335" s="50">
        <v>140601000</v>
      </c>
      <c r="F335" s="50">
        <v>81947267</v>
      </c>
      <c r="G335" s="50">
        <v>81947267</v>
      </c>
      <c r="H335" s="50">
        <v>0</v>
      </c>
      <c r="I335" s="50">
        <v>0</v>
      </c>
      <c r="J335" s="50">
        <v>0</v>
      </c>
      <c r="K335" s="50">
        <v>58483260.600000001</v>
      </c>
      <c r="L335" s="50"/>
      <c r="M335" s="50">
        <v>58483260.600000001</v>
      </c>
      <c r="N335" s="50"/>
      <c r="O335" s="50">
        <v>23464006.399999999</v>
      </c>
      <c r="P335" s="50"/>
      <c r="Q335" s="50">
        <v>23464006.399999999</v>
      </c>
    </row>
    <row r="336" spans="1:17" x14ac:dyDescent="0.25">
      <c r="A336" s="49" t="s">
        <v>707</v>
      </c>
      <c r="B336" s="49" t="s">
        <v>220</v>
      </c>
      <c r="C336" s="49" t="s">
        <v>221</v>
      </c>
      <c r="D336" s="49" t="s">
        <v>69</v>
      </c>
      <c r="E336" s="50">
        <v>1260371675</v>
      </c>
      <c r="F336" s="50">
        <v>1238685978</v>
      </c>
      <c r="G336" s="50">
        <v>1238685978</v>
      </c>
      <c r="H336" s="50">
        <v>0</v>
      </c>
      <c r="I336" s="50">
        <v>75492456.739999995</v>
      </c>
      <c r="J336" s="50">
        <v>0</v>
      </c>
      <c r="K336" s="50">
        <v>1107228365.5</v>
      </c>
      <c r="L336" s="50"/>
      <c r="M336" s="50">
        <v>620084792.25999999</v>
      </c>
      <c r="N336" s="50"/>
      <c r="O336" s="50">
        <v>55965155.759999998</v>
      </c>
      <c r="P336" s="50"/>
      <c r="Q336" s="50">
        <v>55965155.759999998</v>
      </c>
    </row>
    <row r="337" spans="1:17" x14ac:dyDescent="0.25">
      <c r="A337" s="49" t="s">
        <v>707</v>
      </c>
      <c r="B337" s="49" t="s">
        <v>222</v>
      </c>
      <c r="C337" s="49" t="s">
        <v>223</v>
      </c>
      <c r="D337" s="49" t="s">
        <v>69</v>
      </c>
      <c r="E337" s="50">
        <v>291010979</v>
      </c>
      <c r="F337" s="50">
        <v>357741122</v>
      </c>
      <c r="G337" s="50">
        <v>357741122</v>
      </c>
      <c r="H337" s="50">
        <v>0</v>
      </c>
      <c r="I337" s="50">
        <v>1316018.6599999999</v>
      </c>
      <c r="J337" s="50">
        <v>0</v>
      </c>
      <c r="K337" s="50">
        <v>356422722.57999998</v>
      </c>
      <c r="L337" s="50"/>
      <c r="M337" s="50">
        <v>290112886</v>
      </c>
      <c r="N337" s="50"/>
      <c r="O337" s="50">
        <v>2380.7600000000002</v>
      </c>
      <c r="P337" s="50"/>
      <c r="Q337" s="50">
        <v>2380.7600000000002</v>
      </c>
    </row>
    <row r="338" spans="1:17" x14ac:dyDescent="0.25">
      <c r="A338" s="49" t="s">
        <v>707</v>
      </c>
      <c r="B338" s="49" t="s">
        <v>224</v>
      </c>
      <c r="C338" s="49" t="s">
        <v>225</v>
      </c>
      <c r="D338" s="49" t="s">
        <v>69</v>
      </c>
      <c r="E338" s="50">
        <v>1243089320</v>
      </c>
      <c r="F338" s="50">
        <v>887095368</v>
      </c>
      <c r="G338" s="50">
        <v>887095368</v>
      </c>
      <c r="H338" s="50">
        <v>0</v>
      </c>
      <c r="I338" s="50">
        <v>0</v>
      </c>
      <c r="J338" s="50">
        <v>0</v>
      </c>
      <c r="K338" s="50">
        <v>855400304.54999995</v>
      </c>
      <c r="L338" s="50"/>
      <c r="M338" s="50">
        <v>855400304.54999995</v>
      </c>
      <c r="N338" s="50"/>
      <c r="O338" s="50">
        <v>31695063.449999999</v>
      </c>
      <c r="P338" s="50"/>
      <c r="Q338" s="50">
        <v>31695063.449999999</v>
      </c>
    </row>
    <row r="339" spans="1:17" x14ac:dyDescent="0.25">
      <c r="A339" s="49" t="s">
        <v>707</v>
      </c>
      <c r="B339" s="49" t="s">
        <v>226</v>
      </c>
      <c r="C339" s="49" t="s">
        <v>227</v>
      </c>
      <c r="D339" s="49" t="s">
        <v>69</v>
      </c>
      <c r="E339" s="50">
        <v>90632447</v>
      </c>
      <c r="F339" s="50">
        <v>106078713</v>
      </c>
      <c r="G339" s="50">
        <v>106078713</v>
      </c>
      <c r="H339" s="50">
        <v>0</v>
      </c>
      <c r="I339" s="50">
        <v>6514846.2300000004</v>
      </c>
      <c r="J339" s="50">
        <v>0</v>
      </c>
      <c r="K339" s="50">
        <v>99489930.629999995</v>
      </c>
      <c r="L339" s="50"/>
      <c r="M339" s="50">
        <v>90099658.560000002</v>
      </c>
      <c r="N339" s="50"/>
      <c r="O339" s="50">
        <v>73936.14</v>
      </c>
      <c r="P339" s="50"/>
      <c r="Q339" s="50">
        <v>73936.14</v>
      </c>
    </row>
    <row r="340" spans="1:17" x14ac:dyDescent="0.25">
      <c r="A340" s="49" t="s">
        <v>707</v>
      </c>
      <c r="B340" s="49" t="s">
        <v>228</v>
      </c>
      <c r="C340" s="49" t="s">
        <v>229</v>
      </c>
      <c r="D340" s="49" t="s">
        <v>69</v>
      </c>
      <c r="E340" s="50">
        <v>183639852</v>
      </c>
      <c r="F340" s="50">
        <v>183639852</v>
      </c>
      <c r="G340" s="50">
        <v>183639852</v>
      </c>
      <c r="H340" s="50">
        <v>0</v>
      </c>
      <c r="I340" s="50">
        <v>0</v>
      </c>
      <c r="J340" s="50">
        <v>0</v>
      </c>
      <c r="K340" s="50">
        <v>177232979.53</v>
      </c>
      <c r="L340" s="50"/>
      <c r="M340" s="50">
        <v>148857919.86000001</v>
      </c>
      <c r="N340" s="50"/>
      <c r="O340" s="50">
        <v>6406872.4699999997</v>
      </c>
      <c r="P340" s="50"/>
      <c r="Q340" s="50">
        <v>6406872.4699999997</v>
      </c>
    </row>
    <row r="341" spans="1:17" x14ac:dyDescent="0.25">
      <c r="A341" s="49" t="s">
        <v>707</v>
      </c>
      <c r="B341" s="49" t="s">
        <v>248</v>
      </c>
      <c r="C341" s="49" t="s">
        <v>249</v>
      </c>
      <c r="D341" s="49" t="s">
        <v>69</v>
      </c>
      <c r="E341" s="50">
        <v>13160774264</v>
      </c>
      <c r="F341" s="50">
        <v>13151348647</v>
      </c>
      <c r="G341" s="50">
        <v>13151348647</v>
      </c>
      <c r="H341" s="50">
        <v>0</v>
      </c>
      <c r="I341" s="50">
        <v>200077995.53999999</v>
      </c>
      <c r="J341" s="50">
        <v>0</v>
      </c>
      <c r="K341" s="50">
        <v>12226635549.41</v>
      </c>
      <c r="L341" s="50"/>
      <c r="M341" s="50">
        <v>12226635549.41</v>
      </c>
      <c r="N341" s="50"/>
      <c r="O341" s="50">
        <v>724635102.04999995</v>
      </c>
      <c r="P341" s="50"/>
      <c r="Q341" s="50">
        <v>724635102.04999995</v>
      </c>
    </row>
    <row r="342" spans="1:17" x14ac:dyDescent="0.25">
      <c r="A342" s="49" t="s">
        <v>707</v>
      </c>
      <c r="B342" s="49" t="s">
        <v>250</v>
      </c>
      <c r="C342" s="49" t="s">
        <v>251</v>
      </c>
      <c r="D342" s="49" t="s">
        <v>69</v>
      </c>
      <c r="E342" s="50">
        <v>11073271142</v>
      </c>
      <c r="F342" s="50">
        <v>11063845525</v>
      </c>
      <c r="G342" s="50">
        <v>11063845525</v>
      </c>
      <c r="H342" s="50">
        <v>0</v>
      </c>
      <c r="I342" s="50">
        <v>0</v>
      </c>
      <c r="J342" s="50">
        <v>0</v>
      </c>
      <c r="K342" s="50">
        <v>10649254028.07</v>
      </c>
      <c r="L342" s="50"/>
      <c r="M342" s="50">
        <v>10649254028.07</v>
      </c>
      <c r="N342" s="50"/>
      <c r="O342" s="50">
        <v>414591496.93000001</v>
      </c>
      <c r="P342" s="50"/>
      <c r="Q342" s="50">
        <v>414591496.93000001</v>
      </c>
    </row>
    <row r="343" spans="1:17" x14ac:dyDescent="0.25">
      <c r="A343" s="49" t="s">
        <v>707</v>
      </c>
      <c r="B343" s="49" t="s">
        <v>621</v>
      </c>
      <c r="C343" s="49" t="s">
        <v>708</v>
      </c>
      <c r="D343" s="49" t="s">
        <v>69</v>
      </c>
      <c r="E343" s="50">
        <v>44000000</v>
      </c>
      <c r="F343" s="50">
        <v>44000000</v>
      </c>
      <c r="G343" s="50">
        <v>44000000</v>
      </c>
      <c r="H343" s="50">
        <v>0</v>
      </c>
      <c r="I343" s="50">
        <v>0</v>
      </c>
      <c r="J343" s="50">
        <v>0</v>
      </c>
      <c r="K343" s="50">
        <v>25000000</v>
      </c>
      <c r="L343" s="50"/>
      <c r="M343" s="50">
        <v>25000000</v>
      </c>
      <c r="N343" s="50"/>
      <c r="O343" s="50">
        <v>19000000</v>
      </c>
      <c r="P343" s="50"/>
      <c r="Q343" s="50">
        <v>19000000</v>
      </c>
    </row>
    <row r="344" spans="1:17" x14ac:dyDescent="0.25">
      <c r="A344" s="49" t="s">
        <v>707</v>
      </c>
      <c r="B344" s="49" t="s">
        <v>629</v>
      </c>
      <c r="C344" s="49" t="s">
        <v>702</v>
      </c>
      <c r="D344" s="49" t="s">
        <v>69</v>
      </c>
      <c r="E344" s="50">
        <v>540115935</v>
      </c>
      <c r="F344" s="50">
        <v>532109838</v>
      </c>
      <c r="G344" s="50">
        <v>532109838</v>
      </c>
      <c r="H344" s="50">
        <v>0</v>
      </c>
      <c r="I344" s="50">
        <v>0</v>
      </c>
      <c r="J344" s="50">
        <v>0</v>
      </c>
      <c r="K344" s="50">
        <v>509647780</v>
      </c>
      <c r="L344" s="50"/>
      <c r="M344" s="50">
        <v>509647780</v>
      </c>
      <c r="N344" s="50"/>
      <c r="O344" s="50">
        <v>22462058</v>
      </c>
      <c r="P344" s="50"/>
      <c r="Q344" s="50">
        <v>22462058</v>
      </c>
    </row>
    <row r="345" spans="1:17" x14ac:dyDescent="0.25">
      <c r="A345" s="49" t="s">
        <v>707</v>
      </c>
      <c r="B345" s="49" t="s">
        <v>644</v>
      </c>
      <c r="C345" s="49" t="s">
        <v>703</v>
      </c>
      <c r="D345" s="49" t="s">
        <v>69</v>
      </c>
      <c r="E345" s="50">
        <v>95765207</v>
      </c>
      <c r="F345" s="50">
        <v>94345687</v>
      </c>
      <c r="G345" s="50">
        <v>94345687</v>
      </c>
      <c r="H345" s="50">
        <v>0</v>
      </c>
      <c r="I345" s="50">
        <v>0</v>
      </c>
      <c r="J345" s="50">
        <v>0</v>
      </c>
      <c r="K345" s="50">
        <v>92372387</v>
      </c>
      <c r="L345" s="50"/>
      <c r="M345" s="50">
        <v>92372387</v>
      </c>
      <c r="N345" s="50"/>
      <c r="O345" s="50">
        <v>1973300</v>
      </c>
      <c r="P345" s="50"/>
      <c r="Q345" s="50">
        <v>1973300</v>
      </c>
    </row>
    <row r="346" spans="1:17" x14ac:dyDescent="0.25">
      <c r="A346" s="49" t="s">
        <v>707</v>
      </c>
      <c r="B346" s="49" t="s">
        <v>655</v>
      </c>
      <c r="C346" s="49" t="s">
        <v>709</v>
      </c>
      <c r="D346" s="49" t="s">
        <v>69</v>
      </c>
      <c r="E346" s="50">
        <v>10393390000</v>
      </c>
      <c r="F346" s="50">
        <v>10393390000</v>
      </c>
      <c r="G346" s="50">
        <v>10393390000</v>
      </c>
      <c r="H346" s="50">
        <v>0</v>
      </c>
      <c r="I346" s="50">
        <v>0</v>
      </c>
      <c r="J346" s="50">
        <v>0</v>
      </c>
      <c r="K346" s="50">
        <v>10022233861.07</v>
      </c>
      <c r="L346" s="50"/>
      <c r="M346" s="50">
        <v>10022233861.07</v>
      </c>
      <c r="N346" s="50"/>
      <c r="O346" s="50">
        <v>371156138.93000001</v>
      </c>
      <c r="P346" s="50"/>
      <c r="Q346" s="50">
        <v>371156138.93000001</v>
      </c>
    </row>
    <row r="347" spans="1:17" x14ac:dyDescent="0.25">
      <c r="A347" s="49" t="s">
        <v>707</v>
      </c>
      <c r="B347" s="49" t="s">
        <v>366</v>
      </c>
      <c r="C347" s="49" t="s">
        <v>367</v>
      </c>
      <c r="D347" s="49" t="s">
        <v>69</v>
      </c>
      <c r="E347" s="50">
        <v>666000000</v>
      </c>
      <c r="F347" s="50">
        <v>666000000</v>
      </c>
      <c r="G347" s="50">
        <v>666000000</v>
      </c>
      <c r="H347" s="50">
        <v>0</v>
      </c>
      <c r="I347" s="50">
        <v>49950000</v>
      </c>
      <c r="J347" s="50">
        <v>0</v>
      </c>
      <c r="K347" s="50">
        <v>599400000</v>
      </c>
      <c r="L347" s="50"/>
      <c r="M347" s="50">
        <v>599400000</v>
      </c>
      <c r="N347" s="50"/>
      <c r="O347" s="50">
        <v>16650000</v>
      </c>
      <c r="P347" s="50"/>
      <c r="Q347" s="50">
        <v>16650000</v>
      </c>
    </row>
    <row r="348" spans="1:17" x14ac:dyDescent="0.25">
      <c r="A348" s="49" t="s">
        <v>707</v>
      </c>
      <c r="B348" s="49" t="s">
        <v>368</v>
      </c>
      <c r="C348" s="49" t="s">
        <v>369</v>
      </c>
      <c r="D348" s="49" t="s">
        <v>69</v>
      </c>
      <c r="E348" s="50">
        <v>666000000</v>
      </c>
      <c r="F348" s="50">
        <v>666000000</v>
      </c>
      <c r="G348" s="50">
        <v>666000000</v>
      </c>
      <c r="H348" s="50">
        <v>0</v>
      </c>
      <c r="I348" s="50">
        <v>49950000</v>
      </c>
      <c r="J348" s="50">
        <v>0</v>
      </c>
      <c r="K348" s="50">
        <v>599400000</v>
      </c>
      <c r="L348" s="50"/>
      <c r="M348" s="50">
        <v>599400000</v>
      </c>
      <c r="N348" s="50"/>
      <c r="O348" s="50">
        <v>16650000</v>
      </c>
      <c r="P348" s="50"/>
      <c r="Q348" s="50">
        <v>16650000</v>
      </c>
    </row>
    <row r="349" spans="1:17" x14ac:dyDescent="0.25">
      <c r="A349" s="49" t="s">
        <v>707</v>
      </c>
      <c r="B349" s="49" t="s">
        <v>260</v>
      </c>
      <c r="C349" s="49" t="s">
        <v>261</v>
      </c>
      <c r="D349" s="49" t="s">
        <v>69</v>
      </c>
      <c r="E349" s="50">
        <v>1271503122</v>
      </c>
      <c r="F349" s="50">
        <v>1271503122</v>
      </c>
      <c r="G349" s="50">
        <v>1271503122</v>
      </c>
      <c r="H349" s="50">
        <v>0</v>
      </c>
      <c r="I349" s="50">
        <v>150127995.53999999</v>
      </c>
      <c r="J349" s="50">
        <v>0</v>
      </c>
      <c r="K349" s="50">
        <v>954051041.12</v>
      </c>
      <c r="L349" s="50"/>
      <c r="M349" s="50">
        <v>954051041.12</v>
      </c>
      <c r="N349" s="50"/>
      <c r="O349" s="50">
        <v>167324085.34</v>
      </c>
      <c r="P349" s="50"/>
      <c r="Q349" s="50">
        <v>167324085.34</v>
      </c>
    </row>
    <row r="350" spans="1:17" x14ac:dyDescent="0.25">
      <c r="A350" s="49" t="s">
        <v>707</v>
      </c>
      <c r="B350" s="49" t="s">
        <v>262</v>
      </c>
      <c r="C350" s="49" t="s">
        <v>263</v>
      </c>
      <c r="D350" s="49" t="s">
        <v>69</v>
      </c>
      <c r="E350" s="50">
        <v>1000003122</v>
      </c>
      <c r="F350" s="50">
        <v>1000003122</v>
      </c>
      <c r="G350" s="50">
        <v>1000003122</v>
      </c>
      <c r="H350" s="50">
        <v>0</v>
      </c>
      <c r="I350" s="50">
        <v>150127995.53999999</v>
      </c>
      <c r="J350" s="50">
        <v>0</v>
      </c>
      <c r="K350" s="50">
        <v>794874892.25999999</v>
      </c>
      <c r="L350" s="50"/>
      <c r="M350" s="50">
        <v>794874892.25999999</v>
      </c>
      <c r="N350" s="50"/>
      <c r="O350" s="50">
        <v>55000234.200000003</v>
      </c>
      <c r="P350" s="50"/>
      <c r="Q350" s="50">
        <v>55000234.200000003</v>
      </c>
    </row>
    <row r="351" spans="1:17" x14ac:dyDescent="0.25">
      <c r="A351" s="49" t="s">
        <v>707</v>
      </c>
      <c r="B351" s="49" t="s">
        <v>264</v>
      </c>
      <c r="C351" s="49" t="s">
        <v>265</v>
      </c>
      <c r="D351" s="49" t="s">
        <v>69</v>
      </c>
      <c r="E351" s="50">
        <v>271500000</v>
      </c>
      <c r="F351" s="50">
        <v>271500000</v>
      </c>
      <c r="G351" s="50">
        <v>271500000</v>
      </c>
      <c r="H351" s="50">
        <v>0</v>
      </c>
      <c r="I351" s="50">
        <v>0</v>
      </c>
      <c r="J351" s="50">
        <v>0</v>
      </c>
      <c r="K351" s="50">
        <v>159176148.86000001</v>
      </c>
      <c r="L351" s="50"/>
      <c r="M351" s="50">
        <v>159176148.86000001</v>
      </c>
      <c r="N351" s="50"/>
      <c r="O351" s="50">
        <v>112323851.14</v>
      </c>
      <c r="P351" s="50"/>
      <c r="Q351" s="50">
        <v>112323851.14</v>
      </c>
    </row>
    <row r="352" spans="1:17" x14ac:dyDescent="0.25">
      <c r="A352" s="49" t="s">
        <v>707</v>
      </c>
      <c r="B352" s="49" t="s">
        <v>286</v>
      </c>
      <c r="C352" s="49" t="s">
        <v>287</v>
      </c>
      <c r="D352" s="49" t="s">
        <v>69</v>
      </c>
      <c r="E352" s="50">
        <v>150000000</v>
      </c>
      <c r="F352" s="50">
        <v>150000000</v>
      </c>
      <c r="G352" s="50">
        <v>150000000</v>
      </c>
      <c r="H352" s="50">
        <v>0</v>
      </c>
      <c r="I352" s="50">
        <v>0</v>
      </c>
      <c r="J352" s="50">
        <v>0</v>
      </c>
      <c r="K352" s="50">
        <v>23930480.219999999</v>
      </c>
      <c r="L352" s="50"/>
      <c r="M352" s="50">
        <v>23930480.219999999</v>
      </c>
      <c r="N352" s="50"/>
      <c r="O352" s="50">
        <v>126069519.78</v>
      </c>
      <c r="P352" s="50"/>
      <c r="Q352" s="50">
        <v>126069519.78</v>
      </c>
    </row>
    <row r="353" spans="1:17" x14ac:dyDescent="0.25">
      <c r="A353" s="49" t="s">
        <v>707</v>
      </c>
      <c r="B353" s="49" t="s">
        <v>288</v>
      </c>
      <c r="C353" s="49" t="s">
        <v>289</v>
      </c>
      <c r="D353" s="49" t="s">
        <v>69</v>
      </c>
      <c r="E353" s="50">
        <v>100000000</v>
      </c>
      <c r="F353" s="50">
        <v>100000000</v>
      </c>
      <c r="G353" s="50">
        <v>100000000</v>
      </c>
      <c r="H353" s="50">
        <v>0</v>
      </c>
      <c r="I353" s="50">
        <v>0</v>
      </c>
      <c r="J353" s="50">
        <v>0</v>
      </c>
      <c r="K353" s="50">
        <v>3263845.68</v>
      </c>
      <c r="L353" s="50"/>
      <c r="M353" s="50">
        <v>3263845.68</v>
      </c>
      <c r="N353" s="50"/>
      <c r="O353" s="50">
        <v>96736154.319999993</v>
      </c>
      <c r="P353" s="50"/>
      <c r="Q353" s="50">
        <v>96736154.319999993</v>
      </c>
    </row>
    <row r="354" spans="1:17" x14ac:dyDescent="0.25">
      <c r="A354" s="49" t="s">
        <v>707</v>
      </c>
      <c r="B354" s="49" t="s">
        <v>370</v>
      </c>
      <c r="C354" s="49" t="s">
        <v>371</v>
      </c>
      <c r="D354" s="49" t="s">
        <v>69</v>
      </c>
      <c r="E354" s="50">
        <v>50000000</v>
      </c>
      <c r="F354" s="50">
        <v>50000000</v>
      </c>
      <c r="G354" s="50">
        <v>50000000</v>
      </c>
      <c r="H354" s="50">
        <v>0</v>
      </c>
      <c r="I354" s="50">
        <v>0</v>
      </c>
      <c r="J354" s="50">
        <v>0</v>
      </c>
      <c r="K354" s="50">
        <v>20666634.539999999</v>
      </c>
      <c r="L354" s="50"/>
      <c r="M354" s="50">
        <v>20666634.539999999</v>
      </c>
      <c r="N354" s="50"/>
      <c r="O354" s="50">
        <v>29333365.460000001</v>
      </c>
      <c r="P354" s="50"/>
      <c r="Q354" s="50">
        <v>29333365.460000001</v>
      </c>
    </row>
    <row r="355" spans="1:17" x14ac:dyDescent="0.25">
      <c r="A355" s="49" t="s">
        <v>707</v>
      </c>
      <c r="B355" s="49" t="s">
        <v>230</v>
      </c>
      <c r="C355" s="49" t="s">
        <v>231</v>
      </c>
      <c r="D355" s="49" t="s">
        <v>85</v>
      </c>
      <c r="E355" s="50">
        <v>2053989952</v>
      </c>
      <c r="F355" s="50">
        <v>2052989131</v>
      </c>
      <c r="G355" s="50">
        <v>2052989131</v>
      </c>
      <c r="H355" s="50">
        <v>0</v>
      </c>
      <c r="I355" s="50">
        <v>112354640.45</v>
      </c>
      <c r="J355" s="50">
        <v>0</v>
      </c>
      <c r="K355" s="50">
        <v>1360318349.21</v>
      </c>
      <c r="L355" s="50"/>
      <c r="M355" s="50">
        <v>1278149184.8</v>
      </c>
      <c r="N355" s="50"/>
      <c r="O355" s="50">
        <v>580316141.34000003</v>
      </c>
      <c r="P355" s="50"/>
      <c r="Q355" s="50">
        <v>580316141.34000003</v>
      </c>
    </row>
    <row r="356" spans="1:17" x14ac:dyDescent="0.25">
      <c r="A356" s="49" t="s">
        <v>707</v>
      </c>
      <c r="B356" s="49" t="s">
        <v>232</v>
      </c>
      <c r="C356" s="49" t="s">
        <v>233</v>
      </c>
      <c r="D356" s="49" t="s">
        <v>85</v>
      </c>
      <c r="E356" s="50">
        <v>1511257014</v>
      </c>
      <c r="F356" s="50">
        <v>1463751731</v>
      </c>
      <c r="G356" s="50">
        <v>1463751731</v>
      </c>
      <c r="H356" s="50">
        <v>0</v>
      </c>
      <c r="I356" s="50">
        <v>34632915.990000002</v>
      </c>
      <c r="J356" s="50">
        <v>0</v>
      </c>
      <c r="K356" s="50">
        <v>1148570212.5899999</v>
      </c>
      <c r="L356" s="50"/>
      <c r="M356" s="50">
        <v>1103211414.4300001</v>
      </c>
      <c r="N356" s="50"/>
      <c r="O356" s="50">
        <v>280548602.42000002</v>
      </c>
      <c r="P356" s="50"/>
      <c r="Q356" s="50">
        <v>280548602.42000002</v>
      </c>
    </row>
    <row r="357" spans="1:17" x14ac:dyDescent="0.25">
      <c r="A357" s="49" t="s">
        <v>707</v>
      </c>
      <c r="B357" s="49" t="s">
        <v>234</v>
      </c>
      <c r="C357" s="49" t="s">
        <v>235</v>
      </c>
      <c r="D357" s="49" t="s">
        <v>85</v>
      </c>
      <c r="E357" s="50">
        <v>46000000</v>
      </c>
      <c r="F357" s="50">
        <v>46000000</v>
      </c>
      <c r="G357" s="50">
        <v>46000000</v>
      </c>
      <c r="H357" s="50">
        <v>0</v>
      </c>
      <c r="I357" s="50">
        <v>0</v>
      </c>
      <c r="J357" s="50">
        <v>0</v>
      </c>
      <c r="K357" s="50">
        <v>36482844.340000004</v>
      </c>
      <c r="L357" s="50"/>
      <c r="M357" s="50">
        <v>36482844.340000004</v>
      </c>
      <c r="N357" s="50"/>
      <c r="O357" s="50">
        <v>9517155.6600000001</v>
      </c>
      <c r="P357" s="50"/>
      <c r="Q357" s="50">
        <v>9517155.6600000001</v>
      </c>
    </row>
    <row r="358" spans="1:17" x14ac:dyDescent="0.25">
      <c r="A358" s="49" t="s">
        <v>707</v>
      </c>
      <c r="B358" s="49" t="s">
        <v>324</v>
      </c>
      <c r="C358" s="49" t="s">
        <v>325</v>
      </c>
      <c r="D358" s="49" t="s">
        <v>85</v>
      </c>
      <c r="E358" s="50">
        <v>0</v>
      </c>
      <c r="F358" s="50">
        <v>815400</v>
      </c>
      <c r="G358" s="50">
        <v>815400</v>
      </c>
      <c r="H358" s="50">
        <v>0</v>
      </c>
      <c r="I358" s="50">
        <v>0</v>
      </c>
      <c r="J358" s="50">
        <v>0</v>
      </c>
      <c r="K358" s="50">
        <v>0</v>
      </c>
      <c r="L358" s="50"/>
      <c r="M358" s="50">
        <v>0</v>
      </c>
      <c r="N358" s="50"/>
      <c r="O358" s="50">
        <v>815400</v>
      </c>
      <c r="P358" s="50"/>
      <c r="Q358" s="50">
        <v>815400</v>
      </c>
    </row>
    <row r="359" spans="1:17" x14ac:dyDescent="0.25">
      <c r="A359" s="49" t="s">
        <v>707</v>
      </c>
      <c r="B359" s="49" t="s">
        <v>236</v>
      </c>
      <c r="C359" s="49" t="s">
        <v>237</v>
      </c>
      <c r="D359" s="49" t="s">
        <v>85</v>
      </c>
      <c r="E359" s="50">
        <v>302703422</v>
      </c>
      <c r="F359" s="50">
        <v>287003422</v>
      </c>
      <c r="G359" s="50">
        <v>287003422</v>
      </c>
      <c r="H359" s="50">
        <v>0</v>
      </c>
      <c r="I359" s="50">
        <v>0</v>
      </c>
      <c r="J359" s="50">
        <v>0</v>
      </c>
      <c r="K359" s="50">
        <v>260975675.61000001</v>
      </c>
      <c r="L359" s="50"/>
      <c r="M359" s="50">
        <v>260975675.61000001</v>
      </c>
      <c r="N359" s="50"/>
      <c r="O359" s="50">
        <v>26027746.390000001</v>
      </c>
      <c r="P359" s="50"/>
      <c r="Q359" s="50">
        <v>26027746.390000001</v>
      </c>
    </row>
    <row r="360" spans="1:17" x14ac:dyDescent="0.25">
      <c r="A360" s="49" t="s">
        <v>707</v>
      </c>
      <c r="B360" s="49" t="s">
        <v>238</v>
      </c>
      <c r="C360" s="49" t="s">
        <v>239</v>
      </c>
      <c r="D360" s="49" t="s">
        <v>85</v>
      </c>
      <c r="E360" s="50">
        <v>68995579</v>
      </c>
      <c r="F360" s="50">
        <v>122129459</v>
      </c>
      <c r="G360" s="50">
        <v>122129459</v>
      </c>
      <c r="H360" s="50">
        <v>0</v>
      </c>
      <c r="I360" s="50">
        <v>0</v>
      </c>
      <c r="J360" s="50">
        <v>0</v>
      </c>
      <c r="K360" s="50">
        <v>108680134.53</v>
      </c>
      <c r="L360" s="50"/>
      <c r="M360" s="50">
        <v>105870502.53</v>
      </c>
      <c r="N360" s="50"/>
      <c r="O360" s="50">
        <v>13449324.470000001</v>
      </c>
      <c r="P360" s="50"/>
      <c r="Q360" s="50">
        <v>13449324.470000001</v>
      </c>
    </row>
    <row r="361" spans="1:17" x14ac:dyDescent="0.25">
      <c r="A361" s="49" t="s">
        <v>707</v>
      </c>
      <c r="B361" s="49" t="s">
        <v>282</v>
      </c>
      <c r="C361" s="49" t="s">
        <v>283</v>
      </c>
      <c r="D361" s="49" t="s">
        <v>85</v>
      </c>
      <c r="E361" s="50">
        <v>100000000</v>
      </c>
      <c r="F361" s="50">
        <v>100000000</v>
      </c>
      <c r="G361" s="50">
        <v>100000000</v>
      </c>
      <c r="H361" s="50">
        <v>0</v>
      </c>
      <c r="I361" s="50">
        <v>0</v>
      </c>
      <c r="J361" s="50">
        <v>0</v>
      </c>
      <c r="K361" s="50">
        <v>96947484.700000003</v>
      </c>
      <c r="L361" s="50"/>
      <c r="M361" s="50">
        <v>96947484.700000003</v>
      </c>
      <c r="N361" s="50"/>
      <c r="O361" s="50">
        <v>3052515.3</v>
      </c>
      <c r="P361" s="50"/>
      <c r="Q361" s="50">
        <v>3052515.3</v>
      </c>
    </row>
    <row r="362" spans="1:17" x14ac:dyDescent="0.25">
      <c r="A362" s="49" t="s">
        <v>707</v>
      </c>
      <c r="B362" s="49" t="s">
        <v>326</v>
      </c>
      <c r="C362" s="49" t="s">
        <v>327</v>
      </c>
      <c r="D362" s="49" t="s">
        <v>85</v>
      </c>
      <c r="E362" s="50">
        <v>1200000</v>
      </c>
      <c r="F362" s="50">
        <v>1200000</v>
      </c>
      <c r="G362" s="50">
        <v>1200000</v>
      </c>
      <c r="H362" s="50">
        <v>0</v>
      </c>
      <c r="I362" s="50">
        <v>0</v>
      </c>
      <c r="J362" s="50">
        <v>0</v>
      </c>
      <c r="K362" s="50">
        <v>850206</v>
      </c>
      <c r="L362" s="50"/>
      <c r="M362" s="50">
        <v>850206</v>
      </c>
      <c r="N362" s="50"/>
      <c r="O362" s="50">
        <v>349794</v>
      </c>
      <c r="P362" s="50"/>
      <c r="Q362" s="50">
        <v>349794</v>
      </c>
    </row>
    <row r="363" spans="1:17" x14ac:dyDescent="0.25">
      <c r="A363" s="49" t="s">
        <v>707</v>
      </c>
      <c r="B363" s="49" t="s">
        <v>240</v>
      </c>
      <c r="C363" s="49" t="s">
        <v>241</v>
      </c>
      <c r="D363" s="49" t="s">
        <v>85</v>
      </c>
      <c r="E363" s="50">
        <v>2700000</v>
      </c>
      <c r="F363" s="50">
        <v>2700000</v>
      </c>
      <c r="G363" s="50">
        <v>2700000</v>
      </c>
      <c r="H363" s="50">
        <v>0</v>
      </c>
      <c r="I363" s="50">
        <v>0</v>
      </c>
      <c r="J363" s="50">
        <v>0</v>
      </c>
      <c r="K363" s="50">
        <v>2375279.48</v>
      </c>
      <c r="L363" s="50"/>
      <c r="M363" s="50">
        <v>2375279.48</v>
      </c>
      <c r="N363" s="50"/>
      <c r="O363" s="50">
        <v>324720.52</v>
      </c>
      <c r="P363" s="50"/>
      <c r="Q363" s="50">
        <v>324720.52</v>
      </c>
    </row>
    <row r="364" spans="1:17" x14ac:dyDescent="0.25">
      <c r="A364" s="49" t="s">
        <v>707</v>
      </c>
      <c r="B364" s="49" t="s">
        <v>242</v>
      </c>
      <c r="C364" s="49" t="s">
        <v>243</v>
      </c>
      <c r="D364" s="49" t="s">
        <v>85</v>
      </c>
      <c r="E364" s="50">
        <v>989658013</v>
      </c>
      <c r="F364" s="50">
        <v>903903450</v>
      </c>
      <c r="G364" s="50">
        <v>903903450</v>
      </c>
      <c r="H364" s="50">
        <v>0</v>
      </c>
      <c r="I364" s="50">
        <v>34632915.990000002</v>
      </c>
      <c r="J364" s="50">
        <v>0</v>
      </c>
      <c r="K364" s="50">
        <v>642258587.92999995</v>
      </c>
      <c r="L364" s="50"/>
      <c r="M364" s="50">
        <v>599709421.76999998</v>
      </c>
      <c r="N364" s="50"/>
      <c r="O364" s="50">
        <v>227011946.08000001</v>
      </c>
      <c r="P364" s="50"/>
      <c r="Q364" s="50">
        <v>227011946.08000001</v>
      </c>
    </row>
    <row r="365" spans="1:17" x14ac:dyDescent="0.25">
      <c r="A365" s="49" t="s">
        <v>707</v>
      </c>
      <c r="B365" s="49" t="s">
        <v>328</v>
      </c>
      <c r="C365" s="49" t="s">
        <v>329</v>
      </c>
      <c r="D365" s="49" t="s">
        <v>85</v>
      </c>
      <c r="E365" s="50">
        <v>94148000</v>
      </c>
      <c r="F365" s="50">
        <v>94148000</v>
      </c>
      <c r="G365" s="50">
        <v>94148000</v>
      </c>
      <c r="H365" s="50">
        <v>0</v>
      </c>
      <c r="I365" s="50">
        <v>77695620.25</v>
      </c>
      <c r="J365" s="50">
        <v>0</v>
      </c>
      <c r="K365" s="50">
        <v>3465098.52</v>
      </c>
      <c r="L365" s="50"/>
      <c r="M365" s="50">
        <v>3465098.52</v>
      </c>
      <c r="N365" s="50"/>
      <c r="O365" s="50">
        <v>12987281.23</v>
      </c>
      <c r="P365" s="50"/>
      <c r="Q365" s="50">
        <v>12987281.23</v>
      </c>
    </row>
    <row r="366" spans="1:17" x14ac:dyDescent="0.25">
      <c r="A366" s="49" t="s">
        <v>707</v>
      </c>
      <c r="B366" s="49" t="s">
        <v>330</v>
      </c>
      <c r="C366" s="49" t="s">
        <v>331</v>
      </c>
      <c r="D366" s="49" t="s">
        <v>85</v>
      </c>
      <c r="E366" s="50">
        <v>92800000</v>
      </c>
      <c r="F366" s="50">
        <v>92800000</v>
      </c>
      <c r="G366" s="50">
        <v>92800000</v>
      </c>
      <c r="H366" s="50">
        <v>0</v>
      </c>
      <c r="I366" s="50">
        <v>77695620.25</v>
      </c>
      <c r="J366" s="50">
        <v>0</v>
      </c>
      <c r="K366" s="50">
        <v>3035030.34</v>
      </c>
      <c r="L366" s="50"/>
      <c r="M366" s="50">
        <v>3035030.34</v>
      </c>
      <c r="N366" s="50"/>
      <c r="O366" s="50">
        <v>12069349.41</v>
      </c>
      <c r="P366" s="50"/>
      <c r="Q366" s="50">
        <v>12069349.41</v>
      </c>
    </row>
    <row r="367" spans="1:17" x14ac:dyDescent="0.25">
      <c r="A367" s="49" t="s">
        <v>707</v>
      </c>
      <c r="B367" s="49" t="s">
        <v>358</v>
      </c>
      <c r="C367" s="49" t="s">
        <v>359</v>
      </c>
      <c r="D367" s="49" t="s">
        <v>85</v>
      </c>
      <c r="E367" s="50">
        <v>1348000</v>
      </c>
      <c r="F367" s="50">
        <v>1348000</v>
      </c>
      <c r="G367" s="50">
        <v>1348000</v>
      </c>
      <c r="H367" s="50">
        <v>0</v>
      </c>
      <c r="I367" s="50">
        <v>0</v>
      </c>
      <c r="J367" s="50">
        <v>0</v>
      </c>
      <c r="K367" s="50">
        <v>430068.18</v>
      </c>
      <c r="L367" s="50"/>
      <c r="M367" s="50">
        <v>430068.18</v>
      </c>
      <c r="N367" s="50"/>
      <c r="O367" s="50">
        <v>917931.82</v>
      </c>
      <c r="P367" s="50"/>
      <c r="Q367" s="50">
        <v>917931.82</v>
      </c>
    </row>
    <row r="368" spans="1:17" x14ac:dyDescent="0.25">
      <c r="A368" s="49" t="s">
        <v>707</v>
      </c>
      <c r="B368" s="49" t="s">
        <v>244</v>
      </c>
      <c r="C368" s="49" t="s">
        <v>245</v>
      </c>
      <c r="D368" s="49" t="s">
        <v>85</v>
      </c>
      <c r="E368" s="50">
        <v>448584938</v>
      </c>
      <c r="F368" s="50">
        <v>495089400</v>
      </c>
      <c r="G368" s="50">
        <v>495089400</v>
      </c>
      <c r="H368" s="50">
        <v>0</v>
      </c>
      <c r="I368" s="50">
        <v>26104.21</v>
      </c>
      <c r="J368" s="50">
        <v>0</v>
      </c>
      <c r="K368" s="50">
        <v>208283038.09999999</v>
      </c>
      <c r="L368" s="50"/>
      <c r="M368" s="50">
        <v>171472671.84999999</v>
      </c>
      <c r="N368" s="50"/>
      <c r="O368" s="50">
        <v>286780257.69</v>
      </c>
      <c r="P368" s="50"/>
      <c r="Q368" s="50">
        <v>286780257.69</v>
      </c>
    </row>
    <row r="369" spans="1:17" x14ac:dyDescent="0.25">
      <c r="A369" s="49" t="s">
        <v>707</v>
      </c>
      <c r="B369" s="49" t="s">
        <v>246</v>
      </c>
      <c r="C369" s="49" t="s">
        <v>247</v>
      </c>
      <c r="D369" s="49" t="s">
        <v>85</v>
      </c>
      <c r="E369" s="50">
        <v>448584938</v>
      </c>
      <c r="F369" s="50">
        <v>495089400</v>
      </c>
      <c r="G369" s="50">
        <v>495089400</v>
      </c>
      <c r="H369" s="50">
        <v>0</v>
      </c>
      <c r="I369" s="50">
        <v>26104.21</v>
      </c>
      <c r="J369" s="50">
        <v>0</v>
      </c>
      <c r="K369" s="50">
        <v>208283038.09999999</v>
      </c>
      <c r="L369" s="50"/>
      <c r="M369" s="50">
        <v>171472671.84999999</v>
      </c>
      <c r="N369" s="50"/>
      <c r="O369" s="50">
        <v>286780257.69</v>
      </c>
      <c r="P369" s="50"/>
      <c r="Q369" s="50">
        <v>286780257.69</v>
      </c>
    </row>
    <row r="370" spans="1:17" x14ac:dyDescent="0.25">
      <c r="A370" s="49" t="s">
        <v>707</v>
      </c>
      <c r="B370" s="49" t="s">
        <v>372</v>
      </c>
      <c r="C370" s="49" t="s">
        <v>373</v>
      </c>
      <c r="D370" s="49" t="s">
        <v>85</v>
      </c>
      <c r="E370" s="50">
        <v>581400000</v>
      </c>
      <c r="F370" s="50">
        <v>581400000</v>
      </c>
      <c r="G370" s="50">
        <v>581400000</v>
      </c>
      <c r="H370" s="50">
        <v>0</v>
      </c>
      <c r="I370" s="50">
        <v>0</v>
      </c>
      <c r="J370" s="50">
        <v>0</v>
      </c>
      <c r="K370" s="50">
        <v>125786735.68000001</v>
      </c>
      <c r="L370" s="50"/>
      <c r="M370" s="50">
        <v>125786735.68000001</v>
      </c>
      <c r="N370" s="50"/>
      <c r="O370" s="50">
        <v>455613264.31999999</v>
      </c>
      <c r="P370" s="50"/>
      <c r="Q370" s="50">
        <v>455613264.31999999</v>
      </c>
    </row>
    <row r="371" spans="1:17" x14ac:dyDescent="0.25">
      <c r="A371" s="49" t="s">
        <v>707</v>
      </c>
      <c r="B371" s="49" t="s">
        <v>374</v>
      </c>
      <c r="C371" s="49" t="s">
        <v>375</v>
      </c>
      <c r="D371" s="49" t="s">
        <v>85</v>
      </c>
      <c r="E371" s="50">
        <v>581400000</v>
      </c>
      <c r="F371" s="50">
        <v>581400000</v>
      </c>
      <c r="G371" s="50">
        <v>581400000</v>
      </c>
      <c r="H371" s="50">
        <v>0</v>
      </c>
      <c r="I371" s="50">
        <v>0</v>
      </c>
      <c r="J371" s="50">
        <v>0</v>
      </c>
      <c r="K371" s="50">
        <v>125786735.68000001</v>
      </c>
      <c r="L371" s="50"/>
      <c r="M371" s="50">
        <v>125786735.68000001</v>
      </c>
      <c r="N371" s="50"/>
      <c r="O371" s="50">
        <v>455613264.31999999</v>
      </c>
      <c r="P371" s="50"/>
      <c r="Q371" s="50">
        <v>455613264.31999999</v>
      </c>
    </row>
    <row r="372" spans="1:17" x14ac:dyDescent="0.25">
      <c r="A372" s="49" t="s">
        <v>707</v>
      </c>
      <c r="B372" s="49" t="s">
        <v>674</v>
      </c>
      <c r="C372" s="49" t="s">
        <v>710</v>
      </c>
      <c r="D372" s="49" t="s">
        <v>85</v>
      </c>
      <c r="E372" s="50">
        <v>581400000</v>
      </c>
      <c r="F372" s="50">
        <v>581400000</v>
      </c>
      <c r="G372" s="50">
        <v>581400000</v>
      </c>
      <c r="H372" s="50">
        <v>0</v>
      </c>
      <c r="I372" s="50">
        <v>0</v>
      </c>
      <c r="J372" s="50">
        <v>0</v>
      </c>
      <c r="K372" s="50">
        <v>125786735.68000001</v>
      </c>
      <c r="L372" s="50"/>
      <c r="M372" s="50">
        <v>125786735.68000001</v>
      </c>
      <c r="N372" s="50"/>
      <c r="O372" s="50">
        <v>455613264.31999999</v>
      </c>
      <c r="P372" s="50"/>
      <c r="Q372" s="50">
        <v>455613264.31999999</v>
      </c>
    </row>
    <row r="373" spans="1:17" x14ac:dyDescent="0.25">
      <c r="A373" s="49">
        <v>214789001</v>
      </c>
      <c r="B373" s="49"/>
      <c r="C373" s="49"/>
      <c r="D373" s="49" t="s">
        <v>69</v>
      </c>
      <c r="E373" s="50">
        <v>27896892306</v>
      </c>
      <c r="F373" s="50">
        <v>27746347895</v>
      </c>
      <c r="G373" s="50">
        <v>27746347895</v>
      </c>
      <c r="H373" s="50">
        <v>0</v>
      </c>
      <c r="I373" s="50">
        <v>764570619.33000004</v>
      </c>
      <c r="J373" s="50">
        <v>0</v>
      </c>
      <c r="K373" s="50">
        <v>25489145514.16</v>
      </c>
      <c r="L373" s="50"/>
      <c r="M373" s="50">
        <v>23127352992.98</v>
      </c>
      <c r="N373" s="50"/>
      <c r="O373" s="50">
        <v>1492631761.51</v>
      </c>
      <c r="P373" s="50"/>
      <c r="Q373" s="50">
        <v>1492631761.51</v>
      </c>
    </row>
    <row r="374" spans="1:17" x14ac:dyDescent="0.25">
      <c r="A374" s="49" t="s">
        <v>711</v>
      </c>
      <c r="B374" s="49" t="s">
        <v>71</v>
      </c>
      <c r="C374" s="49" t="s">
        <v>72</v>
      </c>
      <c r="D374" s="49" t="s">
        <v>69</v>
      </c>
      <c r="E374" s="50">
        <v>13888392480</v>
      </c>
      <c r="F374" s="50">
        <v>13534210603</v>
      </c>
      <c r="G374" s="50">
        <v>13534210603</v>
      </c>
      <c r="H374" s="50">
        <v>0</v>
      </c>
      <c r="I374" s="50">
        <v>85677.53</v>
      </c>
      <c r="J374" s="50">
        <v>0</v>
      </c>
      <c r="K374" s="50">
        <v>12290192037.75</v>
      </c>
      <c r="L374" s="50"/>
      <c r="M374" s="50">
        <v>12290192037.75</v>
      </c>
      <c r="N374" s="50"/>
      <c r="O374" s="50">
        <v>1243932887.72</v>
      </c>
      <c r="P374" s="50"/>
      <c r="Q374" s="50">
        <v>1243932887.72</v>
      </c>
    </row>
    <row r="375" spans="1:17" x14ac:dyDescent="0.25">
      <c r="A375" s="49" t="s">
        <v>711</v>
      </c>
      <c r="B375" s="49" t="s">
        <v>73</v>
      </c>
      <c r="C375" s="49" t="s">
        <v>74</v>
      </c>
      <c r="D375" s="49" t="s">
        <v>69</v>
      </c>
      <c r="E375" s="50">
        <v>5229936552</v>
      </c>
      <c r="F375" s="50">
        <v>5032025148</v>
      </c>
      <c r="G375" s="50">
        <v>5032025148</v>
      </c>
      <c r="H375" s="50">
        <v>0</v>
      </c>
      <c r="I375" s="50">
        <v>0</v>
      </c>
      <c r="J375" s="50">
        <v>0</v>
      </c>
      <c r="K375" s="50">
        <v>4732843857.6899996</v>
      </c>
      <c r="L375" s="50"/>
      <c r="M375" s="50">
        <v>4732843857.6899996</v>
      </c>
      <c r="N375" s="50"/>
      <c r="O375" s="50">
        <v>299181290.31</v>
      </c>
      <c r="P375" s="50"/>
      <c r="Q375" s="50">
        <v>299181290.31</v>
      </c>
    </row>
    <row r="376" spans="1:17" x14ac:dyDescent="0.25">
      <c r="A376" s="49" t="s">
        <v>711</v>
      </c>
      <c r="B376" s="49" t="s">
        <v>75</v>
      </c>
      <c r="C376" s="49" t="s">
        <v>76</v>
      </c>
      <c r="D376" s="49" t="s">
        <v>69</v>
      </c>
      <c r="E376" s="50">
        <v>5229936552</v>
      </c>
      <c r="F376" s="50">
        <v>5032025148</v>
      </c>
      <c r="G376" s="50">
        <v>5032025148</v>
      </c>
      <c r="H376" s="50">
        <v>0</v>
      </c>
      <c r="I376" s="50">
        <v>0</v>
      </c>
      <c r="J376" s="50">
        <v>0</v>
      </c>
      <c r="K376" s="50">
        <v>4732843857.6899996</v>
      </c>
      <c r="L376" s="50"/>
      <c r="M376" s="50">
        <v>4732843857.6899996</v>
      </c>
      <c r="N376" s="50"/>
      <c r="O376" s="50">
        <v>299181290.31</v>
      </c>
      <c r="P376" s="50"/>
      <c r="Q376" s="50">
        <v>299181290.31</v>
      </c>
    </row>
    <row r="377" spans="1:17" x14ac:dyDescent="0.25">
      <c r="A377" s="49" t="s">
        <v>711</v>
      </c>
      <c r="B377" s="49" t="s">
        <v>293</v>
      </c>
      <c r="C377" s="49" t="s">
        <v>294</v>
      </c>
      <c r="D377" s="49" t="s">
        <v>69</v>
      </c>
      <c r="E377" s="50">
        <v>26335200</v>
      </c>
      <c r="F377" s="50">
        <v>26335200</v>
      </c>
      <c r="G377" s="50">
        <v>26335200</v>
      </c>
      <c r="H377" s="50">
        <v>0</v>
      </c>
      <c r="I377" s="50">
        <v>0</v>
      </c>
      <c r="J377" s="50">
        <v>0</v>
      </c>
      <c r="K377" s="50">
        <v>4807043.17</v>
      </c>
      <c r="L377" s="50"/>
      <c r="M377" s="50">
        <v>4807043.17</v>
      </c>
      <c r="N377" s="50"/>
      <c r="O377" s="50">
        <v>21528156.829999998</v>
      </c>
      <c r="P377" s="50"/>
      <c r="Q377" s="50">
        <v>21528156.829999998</v>
      </c>
    </row>
    <row r="378" spans="1:17" x14ac:dyDescent="0.25">
      <c r="A378" s="49" t="s">
        <v>711</v>
      </c>
      <c r="B378" s="49" t="s">
        <v>339</v>
      </c>
      <c r="C378" s="49" t="s">
        <v>340</v>
      </c>
      <c r="D378" s="49" t="s">
        <v>69</v>
      </c>
      <c r="E378" s="50">
        <v>26335200</v>
      </c>
      <c r="F378" s="50">
        <v>26335200</v>
      </c>
      <c r="G378" s="50">
        <v>26335200</v>
      </c>
      <c r="H378" s="50">
        <v>0</v>
      </c>
      <c r="I378" s="50">
        <v>0</v>
      </c>
      <c r="J378" s="50">
        <v>0</v>
      </c>
      <c r="K378" s="50">
        <v>4807043.17</v>
      </c>
      <c r="L378" s="50"/>
      <c r="M378" s="50">
        <v>4807043.17</v>
      </c>
      <c r="N378" s="50"/>
      <c r="O378" s="50">
        <v>21528156.829999998</v>
      </c>
      <c r="P378" s="50"/>
      <c r="Q378" s="50">
        <v>21528156.829999998</v>
      </c>
    </row>
    <row r="379" spans="1:17" x14ac:dyDescent="0.25">
      <c r="A379" s="49" t="s">
        <v>711</v>
      </c>
      <c r="B379" s="49" t="s">
        <v>77</v>
      </c>
      <c r="C379" s="49" t="s">
        <v>78</v>
      </c>
      <c r="D379" s="49" t="s">
        <v>69</v>
      </c>
      <c r="E379" s="50">
        <v>6513497315</v>
      </c>
      <c r="F379" s="50">
        <v>6408205068</v>
      </c>
      <c r="G379" s="50">
        <v>6408205068</v>
      </c>
      <c r="H379" s="50">
        <v>0</v>
      </c>
      <c r="I379" s="50">
        <v>85677.53</v>
      </c>
      <c r="J379" s="50">
        <v>0</v>
      </c>
      <c r="K379" s="50">
        <v>5816214774.8900003</v>
      </c>
      <c r="L379" s="50"/>
      <c r="M379" s="50">
        <v>5816214774.8900003</v>
      </c>
      <c r="N379" s="50"/>
      <c r="O379" s="50">
        <v>591904615.58000004</v>
      </c>
      <c r="P379" s="50"/>
      <c r="Q379" s="50">
        <v>591904615.58000004</v>
      </c>
    </row>
    <row r="380" spans="1:17" x14ac:dyDescent="0.25">
      <c r="A380" s="49" t="s">
        <v>711</v>
      </c>
      <c r="B380" s="49" t="s">
        <v>79</v>
      </c>
      <c r="C380" s="49" t="s">
        <v>80</v>
      </c>
      <c r="D380" s="49" t="s">
        <v>69</v>
      </c>
      <c r="E380" s="50">
        <v>1819317700</v>
      </c>
      <c r="F380" s="50">
        <v>1818117700</v>
      </c>
      <c r="G380" s="50">
        <v>1818117700</v>
      </c>
      <c r="H380" s="50">
        <v>0</v>
      </c>
      <c r="I380" s="50">
        <v>0</v>
      </c>
      <c r="J380" s="50">
        <v>0</v>
      </c>
      <c r="K380" s="50">
        <v>1511561515.0799999</v>
      </c>
      <c r="L380" s="50"/>
      <c r="M380" s="50">
        <v>1511561515.0799999</v>
      </c>
      <c r="N380" s="50"/>
      <c r="O380" s="50">
        <v>306556184.92000002</v>
      </c>
      <c r="P380" s="50"/>
      <c r="Q380" s="50">
        <v>306556184.92000002</v>
      </c>
    </row>
    <row r="381" spans="1:17" x14ac:dyDescent="0.25">
      <c r="A381" s="49" t="s">
        <v>711</v>
      </c>
      <c r="B381" s="49" t="s">
        <v>81</v>
      </c>
      <c r="C381" s="49" t="s">
        <v>82</v>
      </c>
      <c r="D381" s="49" t="s">
        <v>69</v>
      </c>
      <c r="E381" s="50">
        <v>1750176673</v>
      </c>
      <c r="F381" s="50">
        <v>1704597775</v>
      </c>
      <c r="G381" s="50">
        <v>1704597775</v>
      </c>
      <c r="H381" s="50">
        <v>0</v>
      </c>
      <c r="I381" s="50">
        <v>0</v>
      </c>
      <c r="J381" s="50">
        <v>0</v>
      </c>
      <c r="K381" s="50">
        <v>1556353107.6099999</v>
      </c>
      <c r="L381" s="50"/>
      <c r="M381" s="50">
        <v>1556353107.6099999</v>
      </c>
      <c r="N381" s="50"/>
      <c r="O381" s="50">
        <v>148244667.38999999</v>
      </c>
      <c r="P381" s="50"/>
      <c r="Q381" s="50">
        <v>148244667.38999999</v>
      </c>
    </row>
    <row r="382" spans="1:17" x14ac:dyDescent="0.25">
      <c r="A382" s="49" t="s">
        <v>711</v>
      </c>
      <c r="B382" s="49" t="s">
        <v>86</v>
      </c>
      <c r="C382" s="49" t="s">
        <v>87</v>
      </c>
      <c r="D382" s="49" t="s">
        <v>69</v>
      </c>
      <c r="E382" s="50">
        <v>831593600</v>
      </c>
      <c r="F382" s="50">
        <v>813593600</v>
      </c>
      <c r="G382" s="50">
        <v>813593600</v>
      </c>
      <c r="H382" s="50">
        <v>0</v>
      </c>
      <c r="I382" s="50">
        <v>85677.53</v>
      </c>
      <c r="J382" s="50">
        <v>0</v>
      </c>
      <c r="K382" s="50">
        <v>812278805.61000001</v>
      </c>
      <c r="L382" s="50"/>
      <c r="M382" s="50">
        <v>812278805.61000001</v>
      </c>
      <c r="N382" s="50"/>
      <c r="O382" s="50">
        <v>1229116.8600000001</v>
      </c>
      <c r="P382" s="50"/>
      <c r="Q382" s="50">
        <v>1229116.8600000001</v>
      </c>
    </row>
    <row r="383" spans="1:17" x14ac:dyDescent="0.25">
      <c r="A383" s="49" t="s">
        <v>711</v>
      </c>
      <c r="B383" s="49" t="s">
        <v>88</v>
      </c>
      <c r="C383" s="49" t="s">
        <v>89</v>
      </c>
      <c r="D383" s="49" t="s">
        <v>69</v>
      </c>
      <c r="E383" s="50">
        <v>1207376800</v>
      </c>
      <c r="F383" s="50">
        <v>1188640303</v>
      </c>
      <c r="G383" s="50">
        <v>1188640303</v>
      </c>
      <c r="H383" s="50">
        <v>0</v>
      </c>
      <c r="I383" s="50">
        <v>0</v>
      </c>
      <c r="J383" s="50">
        <v>0</v>
      </c>
      <c r="K383" s="50">
        <v>1112863965.1900001</v>
      </c>
      <c r="L383" s="50"/>
      <c r="M383" s="50">
        <v>1112863965.1900001</v>
      </c>
      <c r="N383" s="50"/>
      <c r="O383" s="50">
        <v>75776337.810000002</v>
      </c>
      <c r="P383" s="50"/>
      <c r="Q383" s="50">
        <v>75776337.810000002</v>
      </c>
    </row>
    <row r="384" spans="1:17" x14ac:dyDescent="0.25">
      <c r="A384" s="49" t="s">
        <v>711</v>
      </c>
      <c r="B384" s="49" t="s">
        <v>83</v>
      </c>
      <c r="C384" s="49" t="s">
        <v>84</v>
      </c>
      <c r="D384" s="49" t="s">
        <v>85</v>
      </c>
      <c r="E384" s="50">
        <v>905032542</v>
      </c>
      <c r="F384" s="50">
        <v>883255690</v>
      </c>
      <c r="G384" s="50">
        <v>883255690</v>
      </c>
      <c r="H384" s="50">
        <v>0</v>
      </c>
      <c r="I384" s="50">
        <v>0</v>
      </c>
      <c r="J384" s="50">
        <v>0</v>
      </c>
      <c r="K384" s="50">
        <v>823157381.39999998</v>
      </c>
      <c r="L384" s="50"/>
      <c r="M384" s="50">
        <v>823157381.39999998</v>
      </c>
      <c r="N384" s="50"/>
      <c r="O384" s="50">
        <v>60098308.600000001</v>
      </c>
      <c r="P384" s="50"/>
      <c r="Q384" s="50">
        <v>60098308.600000001</v>
      </c>
    </row>
    <row r="385" spans="1:17" x14ac:dyDescent="0.25">
      <c r="A385" s="49" t="s">
        <v>711</v>
      </c>
      <c r="B385" s="49" t="s">
        <v>90</v>
      </c>
      <c r="C385" s="49" t="s">
        <v>91</v>
      </c>
      <c r="D385" s="49" t="s">
        <v>69</v>
      </c>
      <c r="E385" s="50">
        <v>1059311707</v>
      </c>
      <c r="F385" s="50">
        <v>1033822594</v>
      </c>
      <c r="G385" s="50">
        <v>1033822594</v>
      </c>
      <c r="H385" s="50">
        <v>0</v>
      </c>
      <c r="I385" s="50">
        <v>0</v>
      </c>
      <c r="J385" s="50">
        <v>0</v>
      </c>
      <c r="K385" s="50">
        <v>868788187</v>
      </c>
      <c r="L385" s="50"/>
      <c r="M385" s="50">
        <v>868788187</v>
      </c>
      <c r="N385" s="50"/>
      <c r="O385" s="50">
        <v>165034407</v>
      </c>
      <c r="P385" s="50"/>
      <c r="Q385" s="50">
        <v>165034407</v>
      </c>
    </row>
    <row r="386" spans="1:17" x14ac:dyDescent="0.25">
      <c r="A386" s="49" t="s">
        <v>711</v>
      </c>
      <c r="B386" s="49" t="s">
        <v>421</v>
      </c>
      <c r="C386" s="49" t="s">
        <v>697</v>
      </c>
      <c r="D386" s="49" t="s">
        <v>69</v>
      </c>
      <c r="E386" s="50">
        <v>1004988079</v>
      </c>
      <c r="F386" s="50">
        <v>980806100</v>
      </c>
      <c r="G386" s="50">
        <v>980806100</v>
      </c>
      <c r="H386" s="50">
        <v>0</v>
      </c>
      <c r="I386" s="50">
        <v>0</v>
      </c>
      <c r="J386" s="50">
        <v>0</v>
      </c>
      <c r="K386" s="50">
        <v>824234946</v>
      </c>
      <c r="L386" s="50"/>
      <c r="M386" s="50">
        <v>824234946</v>
      </c>
      <c r="N386" s="50"/>
      <c r="O386" s="50">
        <v>156571154</v>
      </c>
      <c r="P386" s="50"/>
      <c r="Q386" s="50">
        <v>156571154</v>
      </c>
    </row>
    <row r="387" spans="1:17" x14ac:dyDescent="0.25">
      <c r="A387" s="49" t="s">
        <v>711</v>
      </c>
      <c r="B387" s="49" t="s">
        <v>438</v>
      </c>
      <c r="C387" s="49" t="s">
        <v>95</v>
      </c>
      <c r="D387" s="49" t="s">
        <v>69</v>
      </c>
      <c r="E387" s="50">
        <v>54323628</v>
      </c>
      <c r="F387" s="50">
        <v>53016494</v>
      </c>
      <c r="G387" s="50">
        <v>53016494</v>
      </c>
      <c r="H387" s="50">
        <v>0</v>
      </c>
      <c r="I387" s="50">
        <v>0</v>
      </c>
      <c r="J387" s="50">
        <v>0</v>
      </c>
      <c r="K387" s="50">
        <v>44553241</v>
      </c>
      <c r="L387" s="50"/>
      <c r="M387" s="50">
        <v>44553241</v>
      </c>
      <c r="N387" s="50"/>
      <c r="O387" s="50">
        <v>8463253</v>
      </c>
      <c r="P387" s="50"/>
      <c r="Q387" s="50">
        <v>8463253</v>
      </c>
    </row>
    <row r="388" spans="1:17" x14ac:dyDescent="0.25">
      <c r="A388" s="49" t="s">
        <v>711</v>
      </c>
      <c r="B388" s="49" t="s">
        <v>96</v>
      </c>
      <c r="C388" s="49" t="s">
        <v>97</v>
      </c>
      <c r="D388" s="49" t="s">
        <v>69</v>
      </c>
      <c r="E388" s="50">
        <v>1059311706</v>
      </c>
      <c r="F388" s="50">
        <v>1033822593</v>
      </c>
      <c r="G388" s="50">
        <v>1033822593</v>
      </c>
      <c r="H388" s="50">
        <v>0</v>
      </c>
      <c r="I388" s="50">
        <v>0</v>
      </c>
      <c r="J388" s="50">
        <v>0</v>
      </c>
      <c r="K388" s="50">
        <v>867538175</v>
      </c>
      <c r="L388" s="50"/>
      <c r="M388" s="50">
        <v>867538175</v>
      </c>
      <c r="N388" s="50"/>
      <c r="O388" s="50">
        <v>166284418</v>
      </c>
      <c r="P388" s="50"/>
      <c r="Q388" s="50">
        <v>166284418</v>
      </c>
    </row>
    <row r="389" spans="1:17" x14ac:dyDescent="0.25">
      <c r="A389" s="49" t="s">
        <v>711</v>
      </c>
      <c r="B389" s="49" t="s">
        <v>456</v>
      </c>
      <c r="C389" s="49" t="s">
        <v>698</v>
      </c>
      <c r="D389" s="49" t="s">
        <v>69</v>
      </c>
      <c r="E389" s="50">
        <v>570398650</v>
      </c>
      <c r="F389" s="50">
        <v>556673743</v>
      </c>
      <c r="G389" s="50">
        <v>556673743</v>
      </c>
      <c r="H389" s="50">
        <v>0</v>
      </c>
      <c r="I389" s="50">
        <v>0</v>
      </c>
      <c r="J389" s="50">
        <v>0</v>
      </c>
      <c r="K389" s="50">
        <v>466559013</v>
      </c>
      <c r="L389" s="50"/>
      <c r="M389" s="50">
        <v>466559013</v>
      </c>
      <c r="N389" s="50"/>
      <c r="O389" s="50">
        <v>90114730</v>
      </c>
      <c r="P389" s="50"/>
      <c r="Q389" s="50">
        <v>90114730</v>
      </c>
    </row>
    <row r="390" spans="1:17" x14ac:dyDescent="0.25">
      <c r="A390" s="49" t="s">
        <v>711</v>
      </c>
      <c r="B390" s="49" t="s">
        <v>473</v>
      </c>
      <c r="C390" s="49" t="s">
        <v>699</v>
      </c>
      <c r="D390" s="49" t="s">
        <v>69</v>
      </c>
      <c r="E390" s="50">
        <v>162970985</v>
      </c>
      <c r="F390" s="50">
        <v>183049583</v>
      </c>
      <c r="G390" s="50">
        <v>183049583</v>
      </c>
      <c r="H390" s="50">
        <v>0</v>
      </c>
      <c r="I390" s="50">
        <v>0</v>
      </c>
      <c r="J390" s="50">
        <v>0</v>
      </c>
      <c r="K390" s="50">
        <v>156140537</v>
      </c>
      <c r="L390" s="50"/>
      <c r="M390" s="50">
        <v>156140537</v>
      </c>
      <c r="N390" s="50"/>
      <c r="O390" s="50">
        <v>26909046</v>
      </c>
      <c r="P390" s="50"/>
      <c r="Q390" s="50">
        <v>26909046</v>
      </c>
    </row>
    <row r="391" spans="1:17" x14ac:dyDescent="0.25">
      <c r="A391" s="49" t="s">
        <v>711</v>
      </c>
      <c r="B391" s="49" t="s">
        <v>490</v>
      </c>
      <c r="C391" s="49" t="s">
        <v>700</v>
      </c>
      <c r="D391" s="49" t="s">
        <v>69</v>
      </c>
      <c r="E391" s="50">
        <v>325942071</v>
      </c>
      <c r="F391" s="50">
        <v>294099267</v>
      </c>
      <c r="G391" s="50">
        <v>294099267</v>
      </c>
      <c r="H391" s="50">
        <v>0</v>
      </c>
      <c r="I391" s="50">
        <v>0</v>
      </c>
      <c r="J391" s="50">
        <v>0</v>
      </c>
      <c r="K391" s="50">
        <v>244838625</v>
      </c>
      <c r="L391" s="50"/>
      <c r="M391" s="50">
        <v>244838625</v>
      </c>
      <c r="N391" s="50"/>
      <c r="O391" s="50">
        <v>49260642</v>
      </c>
      <c r="P391" s="50"/>
      <c r="Q391" s="50">
        <v>49260642</v>
      </c>
    </row>
    <row r="392" spans="1:17" x14ac:dyDescent="0.25">
      <c r="A392" s="49" t="s">
        <v>711</v>
      </c>
      <c r="B392" s="49" t="s">
        <v>104</v>
      </c>
      <c r="C392" s="49" t="s">
        <v>105</v>
      </c>
      <c r="D392" s="49" t="s">
        <v>69</v>
      </c>
      <c r="E392" s="50">
        <v>3955829992</v>
      </c>
      <c r="F392" s="50">
        <v>3996746685</v>
      </c>
      <c r="G392" s="50">
        <v>3996746685</v>
      </c>
      <c r="H392" s="50">
        <v>0</v>
      </c>
      <c r="I392" s="50">
        <v>95764539.5</v>
      </c>
      <c r="J392" s="50">
        <v>0</v>
      </c>
      <c r="K392" s="50">
        <v>3836790955.2800002</v>
      </c>
      <c r="L392" s="50"/>
      <c r="M392" s="50">
        <v>3676709164.3400002</v>
      </c>
      <c r="N392" s="50"/>
      <c r="O392" s="50">
        <v>64191190.219999999</v>
      </c>
      <c r="P392" s="50"/>
      <c r="Q392" s="50">
        <v>64191190.219999999</v>
      </c>
    </row>
    <row r="393" spans="1:17" x14ac:dyDescent="0.25">
      <c r="A393" s="49" t="s">
        <v>711</v>
      </c>
      <c r="B393" s="49" t="s">
        <v>112</v>
      </c>
      <c r="C393" s="49" t="s">
        <v>113</v>
      </c>
      <c r="D393" s="49" t="s">
        <v>69</v>
      </c>
      <c r="E393" s="50">
        <v>3954369992</v>
      </c>
      <c r="F393" s="50">
        <v>3996086685</v>
      </c>
      <c r="G393" s="50">
        <v>3996086685</v>
      </c>
      <c r="H393" s="50">
        <v>0</v>
      </c>
      <c r="I393" s="50">
        <v>95764539.5</v>
      </c>
      <c r="J393" s="50">
        <v>0</v>
      </c>
      <c r="K393" s="50">
        <v>3836790955.2800002</v>
      </c>
      <c r="L393" s="50"/>
      <c r="M393" s="50">
        <v>3676709164.3400002</v>
      </c>
      <c r="N393" s="50"/>
      <c r="O393" s="50">
        <v>63531190.219999999</v>
      </c>
      <c r="P393" s="50"/>
      <c r="Q393" s="50">
        <v>63531190.219999999</v>
      </c>
    </row>
    <row r="394" spans="1:17" x14ac:dyDescent="0.25">
      <c r="A394" s="49" t="s">
        <v>711</v>
      </c>
      <c r="B394" s="49" t="s">
        <v>114</v>
      </c>
      <c r="C394" s="49" t="s">
        <v>115</v>
      </c>
      <c r="D394" s="49" t="s">
        <v>69</v>
      </c>
      <c r="E394" s="50">
        <v>2664489000</v>
      </c>
      <c r="F394" s="50">
        <v>2664489000</v>
      </c>
      <c r="G394" s="50">
        <v>2664489000</v>
      </c>
      <c r="H394" s="50">
        <v>0</v>
      </c>
      <c r="I394" s="50">
        <v>7861316.8899999997</v>
      </c>
      <c r="J394" s="50">
        <v>0</v>
      </c>
      <c r="K394" s="50">
        <v>2656627683.1100001</v>
      </c>
      <c r="L394" s="50"/>
      <c r="M394" s="50">
        <v>2641229051.1100001</v>
      </c>
      <c r="N394" s="50"/>
      <c r="O394" s="50">
        <v>0</v>
      </c>
      <c r="P394" s="50"/>
      <c r="Q394" s="50">
        <v>0</v>
      </c>
    </row>
    <row r="395" spans="1:17" x14ac:dyDescent="0.25">
      <c r="A395" s="49" t="s">
        <v>711</v>
      </c>
      <c r="B395" s="49" t="s">
        <v>116</v>
      </c>
      <c r="C395" s="49" t="s">
        <v>117</v>
      </c>
      <c r="D395" s="49" t="s">
        <v>69</v>
      </c>
      <c r="E395" s="50">
        <v>1052390992</v>
      </c>
      <c r="F395" s="50">
        <v>1097839640</v>
      </c>
      <c r="G395" s="50">
        <v>1097839640</v>
      </c>
      <c r="H395" s="50">
        <v>0</v>
      </c>
      <c r="I395" s="50">
        <v>76388227.540000007</v>
      </c>
      <c r="J395" s="50">
        <v>0</v>
      </c>
      <c r="K395" s="50">
        <v>1021451412.46</v>
      </c>
      <c r="L395" s="50"/>
      <c r="M395" s="50">
        <v>930162117.46000004</v>
      </c>
      <c r="N395" s="50"/>
      <c r="O395" s="50">
        <v>0</v>
      </c>
      <c r="P395" s="50"/>
      <c r="Q395" s="50">
        <v>0</v>
      </c>
    </row>
    <row r="396" spans="1:17" x14ac:dyDescent="0.25">
      <c r="A396" s="49" t="s">
        <v>711</v>
      </c>
      <c r="B396" s="49" t="s">
        <v>120</v>
      </c>
      <c r="C396" s="49" t="s">
        <v>121</v>
      </c>
      <c r="D396" s="49" t="s">
        <v>69</v>
      </c>
      <c r="E396" s="50">
        <v>124690000</v>
      </c>
      <c r="F396" s="50">
        <v>124690000</v>
      </c>
      <c r="G396" s="50">
        <v>124690000</v>
      </c>
      <c r="H396" s="50">
        <v>0</v>
      </c>
      <c r="I396" s="50">
        <v>11475026.470000001</v>
      </c>
      <c r="J396" s="50">
        <v>0</v>
      </c>
      <c r="K396" s="50">
        <v>113214973.53</v>
      </c>
      <c r="L396" s="50"/>
      <c r="M396" s="50">
        <v>59821109.590000004</v>
      </c>
      <c r="N396" s="50"/>
      <c r="O396" s="50">
        <v>0</v>
      </c>
      <c r="P396" s="50"/>
      <c r="Q396" s="50">
        <v>0</v>
      </c>
    </row>
    <row r="397" spans="1:17" x14ac:dyDescent="0.25">
      <c r="A397" s="49" t="s">
        <v>711</v>
      </c>
      <c r="B397" s="49" t="s">
        <v>122</v>
      </c>
      <c r="C397" s="49" t="s">
        <v>123</v>
      </c>
      <c r="D397" s="49" t="s">
        <v>69</v>
      </c>
      <c r="E397" s="50">
        <v>112800000</v>
      </c>
      <c r="F397" s="50">
        <v>109068045</v>
      </c>
      <c r="G397" s="50">
        <v>109068045</v>
      </c>
      <c r="H397" s="50">
        <v>0</v>
      </c>
      <c r="I397" s="50">
        <v>39968.6</v>
      </c>
      <c r="J397" s="50">
        <v>0</v>
      </c>
      <c r="K397" s="50">
        <v>45496886.18</v>
      </c>
      <c r="L397" s="50"/>
      <c r="M397" s="50">
        <v>45496886.18</v>
      </c>
      <c r="N397" s="50"/>
      <c r="O397" s="50">
        <v>63531190.219999999</v>
      </c>
      <c r="P397" s="50"/>
      <c r="Q397" s="50">
        <v>63531190.219999999</v>
      </c>
    </row>
    <row r="398" spans="1:17" x14ac:dyDescent="0.25">
      <c r="A398" s="49" t="s">
        <v>711</v>
      </c>
      <c r="B398" s="49" t="s">
        <v>134</v>
      </c>
      <c r="C398" s="49" t="s">
        <v>135</v>
      </c>
      <c r="D398" s="49" t="s">
        <v>69</v>
      </c>
      <c r="E398" s="50">
        <v>340000</v>
      </c>
      <c r="F398" s="50">
        <v>340000</v>
      </c>
      <c r="G398" s="50">
        <v>340000</v>
      </c>
      <c r="H398" s="50">
        <v>0</v>
      </c>
      <c r="I398" s="50">
        <v>0</v>
      </c>
      <c r="J398" s="50">
        <v>0</v>
      </c>
      <c r="K398" s="50">
        <v>0</v>
      </c>
      <c r="L398" s="50"/>
      <c r="M398" s="50">
        <v>0</v>
      </c>
      <c r="N398" s="50"/>
      <c r="O398" s="50">
        <v>340000</v>
      </c>
      <c r="P398" s="50"/>
      <c r="Q398" s="50">
        <v>340000</v>
      </c>
    </row>
    <row r="399" spans="1:17" x14ac:dyDescent="0.25">
      <c r="A399" s="49" t="s">
        <v>711</v>
      </c>
      <c r="B399" s="49" t="s">
        <v>346</v>
      </c>
      <c r="C399" s="49" t="s">
        <v>347</v>
      </c>
      <c r="D399" s="49" t="s">
        <v>69</v>
      </c>
      <c r="E399" s="50">
        <v>180000</v>
      </c>
      <c r="F399" s="50">
        <v>180000</v>
      </c>
      <c r="G399" s="50">
        <v>180000</v>
      </c>
      <c r="H399" s="50">
        <v>0</v>
      </c>
      <c r="I399" s="50">
        <v>0</v>
      </c>
      <c r="J399" s="50">
        <v>0</v>
      </c>
      <c r="K399" s="50">
        <v>0</v>
      </c>
      <c r="L399" s="50"/>
      <c r="M399" s="50">
        <v>0</v>
      </c>
      <c r="N399" s="50"/>
      <c r="O399" s="50">
        <v>180000</v>
      </c>
      <c r="P399" s="50"/>
      <c r="Q399" s="50">
        <v>180000</v>
      </c>
    </row>
    <row r="400" spans="1:17" x14ac:dyDescent="0.25">
      <c r="A400" s="49" t="s">
        <v>711</v>
      </c>
      <c r="B400" s="49" t="s">
        <v>138</v>
      </c>
      <c r="C400" s="49" t="s">
        <v>139</v>
      </c>
      <c r="D400" s="49" t="s">
        <v>69</v>
      </c>
      <c r="E400" s="50">
        <v>160000</v>
      </c>
      <c r="F400" s="50">
        <v>160000</v>
      </c>
      <c r="G400" s="50">
        <v>160000</v>
      </c>
      <c r="H400" s="50">
        <v>0</v>
      </c>
      <c r="I400" s="50">
        <v>0</v>
      </c>
      <c r="J400" s="50">
        <v>0</v>
      </c>
      <c r="K400" s="50">
        <v>0</v>
      </c>
      <c r="L400" s="50"/>
      <c r="M400" s="50">
        <v>0</v>
      </c>
      <c r="N400" s="50"/>
      <c r="O400" s="50">
        <v>160000</v>
      </c>
      <c r="P400" s="50"/>
      <c r="Q400" s="50">
        <v>160000</v>
      </c>
    </row>
    <row r="401" spans="1:17" x14ac:dyDescent="0.25">
      <c r="A401" s="49" t="s">
        <v>711</v>
      </c>
      <c r="B401" s="49" t="s">
        <v>140</v>
      </c>
      <c r="C401" s="49" t="s">
        <v>141</v>
      </c>
      <c r="D401" s="49" t="s">
        <v>69</v>
      </c>
      <c r="E401" s="50">
        <v>0</v>
      </c>
      <c r="F401" s="50">
        <v>0</v>
      </c>
      <c r="G401" s="50">
        <v>0</v>
      </c>
      <c r="H401" s="50">
        <v>0</v>
      </c>
      <c r="I401" s="50">
        <v>0</v>
      </c>
      <c r="J401" s="50">
        <v>0</v>
      </c>
      <c r="K401" s="50">
        <v>0</v>
      </c>
      <c r="L401" s="50"/>
      <c r="M401" s="50">
        <v>0</v>
      </c>
      <c r="N401" s="50"/>
      <c r="O401" s="50">
        <v>0</v>
      </c>
      <c r="P401" s="50"/>
      <c r="Q401" s="50">
        <v>0</v>
      </c>
    </row>
    <row r="402" spans="1:17" x14ac:dyDescent="0.25">
      <c r="A402" s="49" t="s">
        <v>711</v>
      </c>
      <c r="B402" s="49" t="s">
        <v>144</v>
      </c>
      <c r="C402" s="49" t="s">
        <v>145</v>
      </c>
      <c r="D402" s="49" t="s">
        <v>69</v>
      </c>
      <c r="E402" s="50">
        <v>0</v>
      </c>
      <c r="F402" s="50">
        <v>0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/>
      <c r="M402" s="50">
        <v>0</v>
      </c>
      <c r="N402" s="50"/>
      <c r="O402" s="50">
        <v>0</v>
      </c>
      <c r="P402" s="50"/>
      <c r="Q402" s="50">
        <v>0</v>
      </c>
    </row>
    <row r="403" spans="1:17" x14ac:dyDescent="0.25">
      <c r="A403" s="49" t="s">
        <v>711</v>
      </c>
      <c r="B403" s="49" t="s">
        <v>162</v>
      </c>
      <c r="C403" s="49" t="s">
        <v>163</v>
      </c>
      <c r="D403" s="49" t="s">
        <v>69</v>
      </c>
      <c r="E403" s="50">
        <v>1120000</v>
      </c>
      <c r="F403" s="50">
        <v>320000</v>
      </c>
      <c r="G403" s="50">
        <v>320000</v>
      </c>
      <c r="H403" s="50">
        <v>0</v>
      </c>
      <c r="I403" s="50">
        <v>0</v>
      </c>
      <c r="J403" s="50">
        <v>0</v>
      </c>
      <c r="K403" s="50">
        <v>0</v>
      </c>
      <c r="L403" s="50"/>
      <c r="M403" s="50">
        <v>0</v>
      </c>
      <c r="N403" s="50"/>
      <c r="O403" s="50">
        <v>320000</v>
      </c>
      <c r="P403" s="50"/>
      <c r="Q403" s="50">
        <v>320000</v>
      </c>
    </row>
    <row r="404" spans="1:17" x14ac:dyDescent="0.25">
      <c r="A404" s="49" t="s">
        <v>711</v>
      </c>
      <c r="B404" s="49" t="s">
        <v>164</v>
      </c>
      <c r="C404" s="49" t="s">
        <v>165</v>
      </c>
      <c r="D404" s="49" t="s">
        <v>69</v>
      </c>
      <c r="E404" s="50">
        <v>800000</v>
      </c>
      <c r="F404" s="50">
        <v>0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/>
      <c r="M404" s="50">
        <v>0</v>
      </c>
      <c r="N404" s="50"/>
      <c r="O404" s="50">
        <v>0</v>
      </c>
      <c r="P404" s="50"/>
      <c r="Q404" s="50">
        <v>0</v>
      </c>
    </row>
    <row r="405" spans="1:17" x14ac:dyDescent="0.25">
      <c r="A405" s="49" t="s">
        <v>711</v>
      </c>
      <c r="B405" s="49" t="s">
        <v>172</v>
      </c>
      <c r="C405" s="49" t="s">
        <v>173</v>
      </c>
      <c r="D405" s="49" t="s">
        <v>69</v>
      </c>
      <c r="E405" s="50">
        <v>320000</v>
      </c>
      <c r="F405" s="50">
        <v>320000</v>
      </c>
      <c r="G405" s="50">
        <v>320000</v>
      </c>
      <c r="H405" s="50">
        <v>0</v>
      </c>
      <c r="I405" s="50">
        <v>0</v>
      </c>
      <c r="J405" s="50">
        <v>0</v>
      </c>
      <c r="K405" s="50">
        <v>0</v>
      </c>
      <c r="L405" s="50"/>
      <c r="M405" s="50">
        <v>0</v>
      </c>
      <c r="N405" s="50"/>
      <c r="O405" s="50">
        <v>320000</v>
      </c>
      <c r="P405" s="50"/>
      <c r="Q405" s="50">
        <v>320000</v>
      </c>
    </row>
    <row r="406" spans="1:17" x14ac:dyDescent="0.25">
      <c r="A406" s="49" t="s">
        <v>711</v>
      </c>
      <c r="B406" s="49" t="s">
        <v>184</v>
      </c>
      <c r="C406" s="49" t="s">
        <v>185</v>
      </c>
      <c r="D406" s="49" t="s">
        <v>69</v>
      </c>
      <c r="E406" s="50">
        <v>9762991308</v>
      </c>
      <c r="F406" s="50">
        <v>9912033764</v>
      </c>
      <c r="G406" s="50">
        <v>9912033764</v>
      </c>
      <c r="H406" s="50">
        <v>0</v>
      </c>
      <c r="I406" s="50">
        <v>668720402.29999995</v>
      </c>
      <c r="J406" s="50">
        <v>0</v>
      </c>
      <c r="K406" s="50">
        <v>9136790605.7199993</v>
      </c>
      <c r="L406" s="50"/>
      <c r="M406" s="50">
        <v>6935079875.4799995</v>
      </c>
      <c r="N406" s="50"/>
      <c r="O406" s="50">
        <v>106522755.98</v>
      </c>
      <c r="P406" s="50"/>
      <c r="Q406" s="50">
        <v>106522755.98</v>
      </c>
    </row>
    <row r="407" spans="1:17" x14ac:dyDescent="0.25">
      <c r="A407" s="49" t="s">
        <v>711</v>
      </c>
      <c r="B407" s="49" t="s">
        <v>186</v>
      </c>
      <c r="C407" s="49" t="s">
        <v>187</v>
      </c>
      <c r="D407" s="49" t="s">
        <v>69</v>
      </c>
      <c r="E407" s="50">
        <v>20114885</v>
      </c>
      <c r="F407" s="50">
        <v>11692175</v>
      </c>
      <c r="G407" s="50">
        <v>11692175</v>
      </c>
      <c r="H407" s="50">
        <v>0</v>
      </c>
      <c r="I407" s="50">
        <v>0</v>
      </c>
      <c r="J407" s="50">
        <v>0</v>
      </c>
      <c r="K407" s="50">
        <v>7966444.21</v>
      </c>
      <c r="L407" s="50"/>
      <c r="M407" s="50">
        <v>7966444.21</v>
      </c>
      <c r="N407" s="50"/>
      <c r="O407" s="50">
        <v>3725730.79</v>
      </c>
      <c r="P407" s="50"/>
      <c r="Q407" s="50">
        <v>3725730.79</v>
      </c>
    </row>
    <row r="408" spans="1:17" x14ac:dyDescent="0.25">
      <c r="A408" s="49" t="s">
        <v>711</v>
      </c>
      <c r="B408" s="49" t="s">
        <v>188</v>
      </c>
      <c r="C408" s="49" t="s">
        <v>189</v>
      </c>
      <c r="D408" s="49" t="s">
        <v>69</v>
      </c>
      <c r="E408" s="50">
        <v>4558400</v>
      </c>
      <c r="F408" s="50">
        <v>1139600</v>
      </c>
      <c r="G408" s="50">
        <v>1139600</v>
      </c>
      <c r="H408" s="50">
        <v>0</v>
      </c>
      <c r="I408" s="50">
        <v>0</v>
      </c>
      <c r="J408" s="50">
        <v>0</v>
      </c>
      <c r="K408" s="50">
        <v>0</v>
      </c>
      <c r="L408" s="50"/>
      <c r="M408" s="50">
        <v>0</v>
      </c>
      <c r="N408" s="50"/>
      <c r="O408" s="50">
        <v>1139600</v>
      </c>
      <c r="P408" s="50"/>
      <c r="Q408" s="50">
        <v>1139600</v>
      </c>
    </row>
    <row r="409" spans="1:17" x14ac:dyDescent="0.25">
      <c r="A409" s="49" t="s">
        <v>711</v>
      </c>
      <c r="B409" s="49" t="s">
        <v>190</v>
      </c>
      <c r="C409" s="49" t="s">
        <v>191</v>
      </c>
      <c r="D409" s="49" t="s">
        <v>69</v>
      </c>
      <c r="E409" s="50">
        <v>1998283</v>
      </c>
      <c r="F409" s="50">
        <v>3616643</v>
      </c>
      <c r="G409" s="50">
        <v>3616643</v>
      </c>
      <c r="H409" s="50">
        <v>0</v>
      </c>
      <c r="I409" s="50">
        <v>0</v>
      </c>
      <c r="J409" s="50">
        <v>0</v>
      </c>
      <c r="K409" s="50">
        <v>1657639.52</v>
      </c>
      <c r="L409" s="50"/>
      <c r="M409" s="50">
        <v>1657639.52</v>
      </c>
      <c r="N409" s="50"/>
      <c r="O409" s="50">
        <v>1959003.48</v>
      </c>
      <c r="P409" s="50"/>
      <c r="Q409" s="50">
        <v>1959003.48</v>
      </c>
    </row>
    <row r="410" spans="1:17" x14ac:dyDescent="0.25">
      <c r="A410" s="49" t="s">
        <v>711</v>
      </c>
      <c r="B410" s="49" t="s">
        <v>350</v>
      </c>
      <c r="C410" s="49" t="s">
        <v>351</v>
      </c>
      <c r="D410" s="49" t="s">
        <v>69</v>
      </c>
      <c r="E410" s="50">
        <v>1432676</v>
      </c>
      <c r="F410" s="50">
        <v>1432676</v>
      </c>
      <c r="G410" s="50">
        <v>1432676</v>
      </c>
      <c r="H410" s="50">
        <v>0</v>
      </c>
      <c r="I410" s="50">
        <v>0</v>
      </c>
      <c r="J410" s="50">
        <v>0</v>
      </c>
      <c r="K410" s="50">
        <v>1170358.99</v>
      </c>
      <c r="L410" s="50"/>
      <c r="M410" s="50">
        <v>1170358.99</v>
      </c>
      <c r="N410" s="50"/>
      <c r="O410" s="50">
        <v>262317.01</v>
      </c>
      <c r="P410" s="50"/>
      <c r="Q410" s="50">
        <v>262317.01</v>
      </c>
    </row>
    <row r="411" spans="1:17" x14ac:dyDescent="0.25">
      <c r="A411" s="49" t="s">
        <v>711</v>
      </c>
      <c r="B411" s="49" t="s">
        <v>194</v>
      </c>
      <c r="C411" s="49" t="s">
        <v>195</v>
      </c>
      <c r="D411" s="49" t="s">
        <v>69</v>
      </c>
      <c r="E411" s="50">
        <v>12125526</v>
      </c>
      <c r="F411" s="50">
        <v>5503256</v>
      </c>
      <c r="G411" s="50">
        <v>5503256</v>
      </c>
      <c r="H411" s="50">
        <v>0</v>
      </c>
      <c r="I411" s="50">
        <v>0</v>
      </c>
      <c r="J411" s="50">
        <v>0</v>
      </c>
      <c r="K411" s="50">
        <v>5138445.7</v>
      </c>
      <c r="L411" s="50"/>
      <c r="M411" s="50">
        <v>5138445.7</v>
      </c>
      <c r="N411" s="50"/>
      <c r="O411" s="50">
        <v>364810.3</v>
      </c>
      <c r="P411" s="50"/>
      <c r="Q411" s="50">
        <v>364810.3</v>
      </c>
    </row>
    <row r="412" spans="1:17" x14ac:dyDescent="0.25">
      <c r="A412" s="49" t="s">
        <v>711</v>
      </c>
      <c r="B412" s="49" t="s">
        <v>196</v>
      </c>
      <c r="C412" s="49" t="s">
        <v>197</v>
      </c>
      <c r="D412" s="49" t="s">
        <v>69</v>
      </c>
      <c r="E412" s="50">
        <v>9704809902</v>
      </c>
      <c r="F412" s="50">
        <v>9877793690</v>
      </c>
      <c r="G412" s="50">
        <v>9877793690</v>
      </c>
      <c r="H412" s="50">
        <v>0</v>
      </c>
      <c r="I412" s="50">
        <v>666924462.13</v>
      </c>
      <c r="J412" s="50">
        <v>0</v>
      </c>
      <c r="K412" s="50">
        <v>9114376934.6399994</v>
      </c>
      <c r="L412" s="50"/>
      <c r="M412" s="50">
        <v>6914595356.6000004</v>
      </c>
      <c r="N412" s="50"/>
      <c r="O412" s="50">
        <v>96492293.230000004</v>
      </c>
      <c r="P412" s="50"/>
      <c r="Q412" s="50">
        <v>96492293.230000004</v>
      </c>
    </row>
    <row r="413" spans="1:17" x14ac:dyDescent="0.25">
      <c r="A413" s="49" t="s">
        <v>711</v>
      </c>
      <c r="B413" s="49" t="s">
        <v>579</v>
      </c>
      <c r="C413" s="49" t="s">
        <v>580</v>
      </c>
      <c r="D413" s="49" t="s">
        <v>69</v>
      </c>
      <c r="E413" s="50">
        <v>3494885</v>
      </c>
      <c r="F413" s="50">
        <v>2541545</v>
      </c>
      <c r="G413" s="50">
        <v>2541545</v>
      </c>
      <c r="H413" s="50">
        <v>0</v>
      </c>
      <c r="I413" s="50">
        <v>0</v>
      </c>
      <c r="J413" s="50">
        <v>0</v>
      </c>
      <c r="K413" s="50">
        <v>1863935</v>
      </c>
      <c r="L413" s="50"/>
      <c r="M413" s="50">
        <v>1863935</v>
      </c>
      <c r="N413" s="50"/>
      <c r="O413" s="50">
        <v>677610</v>
      </c>
      <c r="P413" s="50"/>
      <c r="Q413" s="50">
        <v>677610</v>
      </c>
    </row>
    <row r="414" spans="1:17" x14ac:dyDescent="0.25">
      <c r="A414" s="49" t="s">
        <v>711</v>
      </c>
      <c r="B414" s="49" t="s">
        <v>198</v>
      </c>
      <c r="C414" s="49" t="s">
        <v>199</v>
      </c>
      <c r="D414" s="49" t="s">
        <v>69</v>
      </c>
      <c r="E414" s="50">
        <v>9654391017</v>
      </c>
      <c r="F414" s="50">
        <v>9848659153</v>
      </c>
      <c r="G414" s="50">
        <v>9848659153</v>
      </c>
      <c r="H414" s="50">
        <v>0</v>
      </c>
      <c r="I414" s="50">
        <v>661059329.17999995</v>
      </c>
      <c r="J414" s="50">
        <v>0</v>
      </c>
      <c r="K414" s="50">
        <v>9096085141.5699997</v>
      </c>
      <c r="L414" s="50"/>
      <c r="M414" s="50">
        <v>6896303563.5299997</v>
      </c>
      <c r="N414" s="50"/>
      <c r="O414" s="50">
        <v>91514682.25</v>
      </c>
      <c r="P414" s="50"/>
      <c r="Q414" s="50">
        <v>91514682.25</v>
      </c>
    </row>
    <row r="415" spans="1:17" x14ac:dyDescent="0.25">
      <c r="A415" s="49" t="s">
        <v>711</v>
      </c>
      <c r="B415" s="49" t="s">
        <v>352</v>
      </c>
      <c r="C415" s="49" t="s">
        <v>353</v>
      </c>
      <c r="D415" s="49" t="s">
        <v>69</v>
      </c>
      <c r="E415" s="50">
        <v>46924000</v>
      </c>
      <c r="F415" s="50">
        <v>26592992</v>
      </c>
      <c r="G415" s="50">
        <v>26592992</v>
      </c>
      <c r="H415" s="50">
        <v>0</v>
      </c>
      <c r="I415" s="50">
        <v>5865132.9500000002</v>
      </c>
      <c r="J415" s="50">
        <v>0</v>
      </c>
      <c r="K415" s="50">
        <v>16427858.07</v>
      </c>
      <c r="L415" s="50"/>
      <c r="M415" s="50">
        <v>16427858.07</v>
      </c>
      <c r="N415" s="50"/>
      <c r="O415" s="50">
        <v>4300000.9800000004</v>
      </c>
      <c r="P415" s="50"/>
      <c r="Q415" s="50">
        <v>4300000.9800000004</v>
      </c>
    </row>
    <row r="416" spans="1:17" x14ac:dyDescent="0.25">
      <c r="A416" s="49" t="s">
        <v>711</v>
      </c>
      <c r="B416" s="49" t="s">
        <v>198</v>
      </c>
      <c r="C416" s="49" t="s">
        <v>199</v>
      </c>
      <c r="D416" s="49" t="s">
        <v>85</v>
      </c>
      <c r="E416" s="50">
        <v>0</v>
      </c>
      <c r="F416" s="50">
        <v>0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/>
      <c r="M416" s="50">
        <v>0</v>
      </c>
      <c r="N416" s="50"/>
      <c r="O416" s="50">
        <v>0</v>
      </c>
      <c r="P416" s="50"/>
      <c r="Q416" s="50">
        <v>0</v>
      </c>
    </row>
    <row r="417" spans="1:17" x14ac:dyDescent="0.25">
      <c r="A417" s="49" t="s">
        <v>711</v>
      </c>
      <c r="B417" s="49" t="s">
        <v>200</v>
      </c>
      <c r="C417" s="49" t="s">
        <v>201</v>
      </c>
      <c r="D417" s="49" t="s">
        <v>69</v>
      </c>
      <c r="E417" s="50">
        <v>9701312</v>
      </c>
      <c r="F417" s="50">
        <v>7211590</v>
      </c>
      <c r="G417" s="50">
        <v>7211590</v>
      </c>
      <c r="H417" s="50">
        <v>0</v>
      </c>
      <c r="I417" s="50">
        <v>173340.15</v>
      </c>
      <c r="J417" s="50">
        <v>0</v>
      </c>
      <c r="K417" s="50">
        <v>5501736.3300000001</v>
      </c>
      <c r="L417" s="50"/>
      <c r="M417" s="50">
        <v>5501736.3300000001</v>
      </c>
      <c r="N417" s="50"/>
      <c r="O417" s="50">
        <v>1536513.52</v>
      </c>
      <c r="P417" s="50"/>
      <c r="Q417" s="50">
        <v>1536513.52</v>
      </c>
    </row>
    <row r="418" spans="1:17" x14ac:dyDescent="0.25">
      <c r="A418" s="49" t="s">
        <v>711</v>
      </c>
      <c r="B418" s="49" t="s">
        <v>314</v>
      </c>
      <c r="C418" s="49" t="s">
        <v>315</v>
      </c>
      <c r="D418" s="49" t="s">
        <v>69</v>
      </c>
      <c r="E418" s="50">
        <v>3440012</v>
      </c>
      <c r="F418" s="50">
        <v>2712258</v>
      </c>
      <c r="G418" s="50">
        <v>2712258</v>
      </c>
      <c r="H418" s="50">
        <v>0</v>
      </c>
      <c r="I418" s="50">
        <v>173340.15</v>
      </c>
      <c r="J418" s="50">
        <v>0</v>
      </c>
      <c r="K418" s="50">
        <v>2418048.58</v>
      </c>
      <c r="L418" s="50"/>
      <c r="M418" s="50">
        <v>2418048.58</v>
      </c>
      <c r="N418" s="50"/>
      <c r="O418" s="50">
        <v>120869.27</v>
      </c>
      <c r="P418" s="50"/>
      <c r="Q418" s="50">
        <v>120869.27</v>
      </c>
    </row>
    <row r="419" spans="1:17" x14ac:dyDescent="0.25">
      <c r="A419" s="49" t="s">
        <v>711</v>
      </c>
      <c r="B419" s="49" t="s">
        <v>316</v>
      </c>
      <c r="C419" s="49" t="s">
        <v>317</v>
      </c>
      <c r="D419" s="49" t="s">
        <v>69</v>
      </c>
      <c r="E419" s="50">
        <v>678950</v>
      </c>
      <c r="F419" s="50">
        <v>0</v>
      </c>
      <c r="G419" s="50">
        <v>0</v>
      </c>
      <c r="H419" s="50">
        <v>0</v>
      </c>
      <c r="I419" s="50">
        <v>0</v>
      </c>
      <c r="J419" s="50">
        <v>0</v>
      </c>
      <c r="K419" s="50">
        <v>0</v>
      </c>
      <c r="L419" s="50"/>
      <c r="M419" s="50">
        <v>0</v>
      </c>
      <c r="N419" s="50"/>
      <c r="O419" s="50">
        <v>0</v>
      </c>
      <c r="P419" s="50"/>
      <c r="Q419" s="50">
        <v>0</v>
      </c>
    </row>
    <row r="420" spans="1:17" x14ac:dyDescent="0.25">
      <c r="A420" s="49" t="s">
        <v>711</v>
      </c>
      <c r="B420" s="49" t="s">
        <v>318</v>
      </c>
      <c r="C420" s="49" t="s">
        <v>319</v>
      </c>
      <c r="D420" s="49" t="s">
        <v>69</v>
      </c>
      <c r="E420" s="50">
        <v>648835</v>
      </c>
      <c r="F420" s="50">
        <v>60000</v>
      </c>
      <c r="G420" s="50">
        <v>60000</v>
      </c>
      <c r="H420" s="50">
        <v>0</v>
      </c>
      <c r="I420" s="50">
        <v>0</v>
      </c>
      <c r="J420" s="50">
        <v>0</v>
      </c>
      <c r="K420" s="50">
        <v>0</v>
      </c>
      <c r="L420" s="50"/>
      <c r="M420" s="50">
        <v>0</v>
      </c>
      <c r="N420" s="50"/>
      <c r="O420" s="50">
        <v>60000</v>
      </c>
      <c r="P420" s="50"/>
      <c r="Q420" s="50">
        <v>60000</v>
      </c>
    </row>
    <row r="421" spans="1:17" x14ac:dyDescent="0.25">
      <c r="A421" s="49" t="s">
        <v>711</v>
      </c>
      <c r="B421" s="49" t="s">
        <v>202</v>
      </c>
      <c r="C421" s="49" t="s">
        <v>203</v>
      </c>
      <c r="D421" s="49" t="s">
        <v>69</v>
      </c>
      <c r="E421" s="50">
        <v>274510</v>
      </c>
      <c r="F421" s="50">
        <v>274510</v>
      </c>
      <c r="G421" s="50">
        <v>274510</v>
      </c>
      <c r="H421" s="50">
        <v>0</v>
      </c>
      <c r="I421" s="50">
        <v>0</v>
      </c>
      <c r="J421" s="50">
        <v>0</v>
      </c>
      <c r="K421" s="50">
        <v>112924.29</v>
      </c>
      <c r="L421" s="50"/>
      <c r="M421" s="50">
        <v>112924.29</v>
      </c>
      <c r="N421" s="50"/>
      <c r="O421" s="50">
        <v>161585.71</v>
      </c>
      <c r="P421" s="50"/>
      <c r="Q421" s="50">
        <v>161585.71</v>
      </c>
    </row>
    <row r="422" spans="1:17" x14ac:dyDescent="0.25">
      <c r="A422" s="49" t="s">
        <v>711</v>
      </c>
      <c r="B422" s="49" t="s">
        <v>204</v>
      </c>
      <c r="C422" s="49" t="s">
        <v>205</v>
      </c>
      <c r="D422" s="49" t="s">
        <v>69</v>
      </c>
      <c r="E422" s="50">
        <v>4524220</v>
      </c>
      <c r="F422" s="50">
        <v>4151343</v>
      </c>
      <c r="G422" s="50">
        <v>4151343</v>
      </c>
      <c r="H422" s="50">
        <v>0</v>
      </c>
      <c r="I422" s="50">
        <v>0</v>
      </c>
      <c r="J422" s="50">
        <v>0</v>
      </c>
      <c r="K422" s="50">
        <v>2970763.46</v>
      </c>
      <c r="L422" s="50"/>
      <c r="M422" s="50">
        <v>2970763.46</v>
      </c>
      <c r="N422" s="50"/>
      <c r="O422" s="50">
        <v>1180579.54</v>
      </c>
      <c r="P422" s="50"/>
      <c r="Q422" s="50">
        <v>1180579.54</v>
      </c>
    </row>
    <row r="423" spans="1:17" x14ac:dyDescent="0.25">
      <c r="A423" s="49" t="s">
        <v>711</v>
      </c>
      <c r="B423" s="49" t="s">
        <v>322</v>
      </c>
      <c r="C423" s="49" t="s">
        <v>323</v>
      </c>
      <c r="D423" s="49" t="s">
        <v>69</v>
      </c>
      <c r="E423" s="50">
        <v>134785</v>
      </c>
      <c r="F423" s="50">
        <v>13479</v>
      </c>
      <c r="G423" s="50">
        <v>13479</v>
      </c>
      <c r="H423" s="50">
        <v>0</v>
      </c>
      <c r="I423" s="50">
        <v>0</v>
      </c>
      <c r="J423" s="50">
        <v>0</v>
      </c>
      <c r="K423" s="50">
        <v>0</v>
      </c>
      <c r="L423" s="50"/>
      <c r="M423" s="50">
        <v>0</v>
      </c>
      <c r="N423" s="50"/>
      <c r="O423" s="50">
        <v>13479</v>
      </c>
      <c r="P423" s="50"/>
      <c r="Q423" s="50">
        <v>13479</v>
      </c>
    </row>
    <row r="424" spans="1:17" x14ac:dyDescent="0.25">
      <c r="A424" s="49" t="s">
        <v>711</v>
      </c>
      <c r="B424" s="49" t="s">
        <v>206</v>
      </c>
      <c r="C424" s="49" t="s">
        <v>207</v>
      </c>
      <c r="D424" s="49" t="s">
        <v>69</v>
      </c>
      <c r="E424" s="50">
        <v>4818247</v>
      </c>
      <c r="F424" s="50">
        <v>0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50"/>
      <c r="M424" s="50">
        <v>0</v>
      </c>
      <c r="N424" s="50"/>
      <c r="O424" s="50">
        <v>0</v>
      </c>
      <c r="P424" s="50"/>
      <c r="Q424" s="50">
        <v>0</v>
      </c>
    </row>
    <row r="425" spans="1:17" x14ac:dyDescent="0.25">
      <c r="A425" s="49" t="s">
        <v>711</v>
      </c>
      <c r="B425" s="49" t="s">
        <v>208</v>
      </c>
      <c r="C425" s="49" t="s">
        <v>209</v>
      </c>
      <c r="D425" s="49" t="s">
        <v>69</v>
      </c>
      <c r="E425" s="50">
        <v>4818247</v>
      </c>
      <c r="F425" s="50">
        <v>0</v>
      </c>
      <c r="G425" s="50">
        <v>0</v>
      </c>
      <c r="H425" s="50">
        <v>0</v>
      </c>
      <c r="I425" s="50">
        <v>0</v>
      </c>
      <c r="J425" s="50">
        <v>0</v>
      </c>
      <c r="K425" s="50">
        <v>0</v>
      </c>
      <c r="L425" s="50"/>
      <c r="M425" s="50">
        <v>0</v>
      </c>
      <c r="N425" s="50"/>
      <c r="O425" s="50">
        <v>0</v>
      </c>
      <c r="P425" s="50"/>
      <c r="Q425" s="50">
        <v>0</v>
      </c>
    </row>
    <row r="426" spans="1:17" x14ac:dyDescent="0.25">
      <c r="A426" s="49" t="s">
        <v>711</v>
      </c>
      <c r="B426" s="49" t="s">
        <v>354</v>
      </c>
      <c r="C426" s="49" t="s">
        <v>355</v>
      </c>
      <c r="D426" s="49" t="s">
        <v>69</v>
      </c>
      <c r="E426" s="50">
        <v>2859160</v>
      </c>
      <c r="F426" s="50">
        <v>0</v>
      </c>
      <c r="G426" s="50">
        <v>0</v>
      </c>
      <c r="H426" s="50">
        <v>0</v>
      </c>
      <c r="I426" s="50">
        <v>0</v>
      </c>
      <c r="J426" s="50">
        <v>0</v>
      </c>
      <c r="K426" s="50">
        <v>0</v>
      </c>
      <c r="L426" s="50"/>
      <c r="M426" s="50">
        <v>0</v>
      </c>
      <c r="N426" s="50"/>
      <c r="O426" s="50">
        <v>0</v>
      </c>
      <c r="P426" s="50"/>
      <c r="Q426" s="50">
        <v>0</v>
      </c>
    </row>
    <row r="427" spans="1:17" x14ac:dyDescent="0.25">
      <c r="A427" s="49" t="s">
        <v>711</v>
      </c>
      <c r="B427" s="49" t="s">
        <v>356</v>
      </c>
      <c r="C427" s="49" t="s">
        <v>357</v>
      </c>
      <c r="D427" s="49" t="s">
        <v>69</v>
      </c>
      <c r="E427" s="50">
        <v>2859160</v>
      </c>
      <c r="F427" s="50">
        <v>0</v>
      </c>
      <c r="G427" s="50">
        <v>0</v>
      </c>
      <c r="H427" s="50">
        <v>0</v>
      </c>
      <c r="I427" s="50">
        <v>0</v>
      </c>
      <c r="J427" s="50">
        <v>0</v>
      </c>
      <c r="K427" s="50">
        <v>0</v>
      </c>
      <c r="L427" s="50"/>
      <c r="M427" s="50">
        <v>0</v>
      </c>
      <c r="N427" s="50"/>
      <c r="O427" s="50">
        <v>0</v>
      </c>
      <c r="P427" s="50"/>
      <c r="Q427" s="50">
        <v>0</v>
      </c>
    </row>
    <row r="428" spans="1:17" x14ac:dyDescent="0.25">
      <c r="A428" s="49" t="s">
        <v>711</v>
      </c>
      <c r="B428" s="49" t="s">
        <v>212</v>
      </c>
      <c r="C428" s="49" t="s">
        <v>213</v>
      </c>
      <c r="D428" s="49" t="s">
        <v>69</v>
      </c>
      <c r="E428" s="50">
        <v>20687802</v>
      </c>
      <c r="F428" s="50">
        <v>15336309</v>
      </c>
      <c r="G428" s="50">
        <v>15336309</v>
      </c>
      <c r="H428" s="50">
        <v>0</v>
      </c>
      <c r="I428" s="50">
        <v>1622600.02</v>
      </c>
      <c r="J428" s="50">
        <v>0</v>
      </c>
      <c r="K428" s="50">
        <v>8945490.5399999991</v>
      </c>
      <c r="L428" s="50"/>
      <c r="M428" s="50">
        <v>7016338.3399999999</v>
      </c>
      <c r="N428" s="50"/>
      <c r="O428" s="50">
        <v>4768218.4400000004</v>
      </c>
      <c r="P428" s="50"/>
      <c r="Q428" s="50">
        <v>4768218.4400000004</v>
      </c>
    </row>
    <row r="429" spans="1:17" x14ac:dyDescent="0.25">
      <c r="A429" s="49" t="s">
        <v>711</v>
      </c>
      <c r="B429" s="49" t="s">
        <v>216</v>
      </c>
      <c r="C429" s="49" t="s">
        <v>217</v>
      </c>
      <c r="D429" s="49" t="s">
        <v>69</v>
      </c>
      <c r="E429" s="50">
        <v>9443712</v>
      </c>
      <c r="F429" s="50">
        <v>5525694</v>
      </c>
      <c r="G429" s="50">
        <v>5525694</v>
      </c>
      <c r="H429" s="50">
        <v>0</v>
      </c>
      <c r="I429" s="50">
        <v>357000</v>
      </c>
      <c r="J429" s="50">
        <v>0</v>
      </c>
      <c r="K429" s="50">
        <v>2233553.0699999998</v>
      </c>
      <c r="L429" s="50"/>
      <c r="M429" s="50">
        <v>530328.06999999995</v>
      </c>
      <c r="N429" s="50"/>
      <c r="O429" s="50">
        <v>2935140.93</v>
      </c>
      <c r="P429" s="50"/>
      <c r="Q429" s="50">
        <v>2935140.93</v>
      </c>
    </row>
    <row r="430" spans="1:17" x14ac:dyDescent="0.25">
      <c r="A430" s="49" t="s">
        <v>711</v>
      </c>
      <c r="B430" s="49" t="s">
        <v>218</v>
      </c>
      <c r="C430" s="49" t="s">
        <v>219</v>
      </c>
      <c r="D430" s="49" t="s">
        <v>69</v>
      </c>
      <c r="E430" s="50">
        <v>4708500</v>
      </c>
      <c r="F430" s="50">
        <v>4708500</v>
      </c>
      <c r="G430" s="50">
        <v>4708500</v>
      </c>
      <c r="H430" s="50">
        <v>0</v>
      </c>
      <c r="I430" s="50">
        <v>0</v>
      </c>
      <c r="J430" s="50">
        <v>0</v>
      </c>
      <c r="K430" s="50">
        <v>3680640.6</v>
      </c>
      <c r="L430" s="50"/>
      <c r="M430" s="50">
        <v>3454713.4</v>
      </c>
      <c r="N430" s="50"/>
      <c r="O430" s="50">
        <v>1027859.4</v>
      </c>
      <c r="P430" s="50"/>
      <c r="Q430" s="50">
        <v>1027859.4</v>
      </c>
    </row>
    <row r="431" spans="1:17" x14ac:dyDescent="0.25">
      <c r="A431" s="49" t="s">
        <v>711</v>
      </c>
      <c r="B431" s="49" t="s">
        <v>220</v>
      </c>
      <c r="C431" s="49" t="s">
        <v>221</v>
      </c>
      <c r="D431" s="49" t="s">
        <v>69</v>
      </c>
      <c r="E431" s="50">
        <v>4306450</v>
      </c>
      <c r="F431" s="50">
        <v>3981750</v>
      </c>
      <c r="G431" s="50">
        <v>3981750</v>
      </c>
      <c r="H431" s="50">
        <v>0</v>
      </c>
      <c r="I431" s="50">
        <v>1265600.02</v>
      </c>
      <c r="J431" s="50">
        <v>0</v>
      </c>
      <c r="K431" s="50">
        <v>2409124.52</v>
      </c>
      <c r="L431" s="50"/>
      <c r="M431" s="50">
        <v>2409124.52</v>
      </c>
      <c r="N431" s="50"/>
      <c r="O431" s="50">
        <v>307025.46000000002</v>
      </c>
      <c r="P431" s="50"/>
      <c r="Q431" s="50">
        <v>307025.46000000002</v>
      </c>
    </row>
    <row r="432" spans="1:17" x14ac:dyDescent="0.25">
      <c r="A432" s="49" t="s">
        <v>711</v>
      </c>
      <c r="B432" s="49" t="s">
        <v>222</v>
      </c>
      <c r="C432" s="49" t="s">
        <v>223</v>
      </c>
      <c r="D432" s="49" t="s">
        <v>69</v>
      </c>
      <c r="E432" s="50">
        <v>842640</v>
      </c>
      <c r="F432" s="50">
        <v>842640</v>
      </c>
      <c r="G432" s="50">
        <v>842640</v>
      </c>
      <c r="H432" s="50">
        <v>0</v>
      </c>
      <c r="I432" s="50">
        <v>0</v>
      </c>
      <c r="J432" s="50">
        <v>0</v>
      </c>
      <c r="K432" s="50">
        <v>590368.5</v>
      </c>
      <c r="L432" s="50"/>
      <c r="M432" s="50">
        <v>590368.5</v>
      </c>
      <c r="N432" s="50"/>
      <c r="O432" s="50">
        <v>252271.5</v>
      </c>
      <c r="P432" s="50"/>
      <c r="Q432" s="50">
        <v>252271.5</v>
      </c>
    </row>
    <row r="433" spans="1:17" x14ac:dyDescent="0.25">
      <c r="A433" s="49" t="s">
        <v>711</v>
      </c>
      <c r="B433" s="49" t="s">
        <v>224</v>
      </c>
      <c r="C433" s="49" t="s">
        <v>225</v>
      </c>
      <c r="D433" s="49" t="s">
        <v>69</v>
      </c>
      <c r="E433" s="50">
        <v>887300</v>
      </c>
      <c r="F433" s="50">
        <v>160725</v>
      </c>
      <c r="G433" s="50">
        <v>160725</v>
      </c>
      <c r="H433" s="50">
        <v>0</v>
      </c>
      <c r="I433" s="50">
        <v>0</v>
      </c>
      <c r="J433" s="50">
        <v>0</v>
      </c>
      <c r="K433" s="50">
        <v>31803.85</v>
      </c>
      <c r="L433" s="50"/>
      <c r="M433" s="50">
        <v>31803.85</v>
      </c>
      <c r="N433" s="50"/>
      <c r="O433" s="50">
        <v>128921.15</v>
      </c>
      <c r="P433" s="50"/>
      <c r="Q433" s="50">
        <v>128921.15</v>
      </c>
    </row>
    <row r="434" spans="1:17" x14ac:dyDescent="0.25">
      <c r="A434" s="49" t="s">
        <v>711</v>
      </c>
      <c r="B434" s="49" t="s">
        <v>228</v>
      </c>
      <c r="C434" s="49" t="s">
        <v>229</v>
      </c>
      <c r="D434" s="49" t="s">
        <v>69</v>
      </c>
      <c r="E434" s="50">
        <v>499200</v>
      </c>
      <c r="F434" s="50">
        <v>117000</v>
      </c>
      <c r="G434" s="50">
        <v>117000</v>
      </c>
      <c r="H434" s="50">
        <v>0</v>
      </c>
      <c r="I434" s="50">
        <v>0</v>
      </c>
      <c r="J434" s="50">
        <v>0</v>
      </c>
      <c r="K434" s="50">
        <v>0</v>
      </c>
      <c r="L434" s="50"/>
      <c r="M434" s="50">
        <v>0</v>
      </c>
      <c r="N434" s="50"/>
      <c r="O434" s="50">
        <v>117000</v>
      </c>
      <c r="P434" s="50"/>
      <c r="Q434" s="50">
        <v>117000</v>
      </c>
    </row>
    <row r="435" spans="1:17" x14ac:dyDescent="0.25">
      <c r="A435" s="49" t="s">
        <v>711</v>
      </c>
      <c r="B435" s="49" t="s">
        <v>222</v>
      </c>
      <c r="C435" s="49" t="s">
        <v>223</v>
      </c>
      <c r="D435" s="49" t="s">
        <v>85</v>
      </c>
      <c r="E435" s="50">
        <v>0</v>
      </c>
      <c r="F435" s="50">
        <v>0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/>
      <c r="M435" s="50">
        <v>0</v>
      </c>
      <c r="N435" s="50"/>
      <c r="O435" s="50">
        <v>0</v>
      </c>
      <c r="P435" s="50"/>
      <c r="Q435" s="50">
        <v>0</v>
      </c>
    </row>
    <row r="436" spans="1:17" x14ac:dyDescent="0.25">
      <c r="A436" s="49" t="s">
        <v>711</v>
      </c>
      <c r="B436" s="49" t="s">
        <v>248</v>
      </c>
      <c r="C436" s="49" t="s">
        <v>249</v>
      </c>
      <c r="D436" s="49" t="s">
        <v>69</v>
      </c>
      <c r="E436" s="50">
        <v>236354526</v>
      </c>
      <c r="F436" s="50">
        <v>252014843</v>
      </c>
      <c r="G436" s="50">
        <v>252014843</v>
      </c>
      <c r="H436" s="50">
        <v>0</v>
      </c>
      <c r="I436" s="50">
        <v>0</v>
      </c>
      <c r="J436" s="50">
        <v>0</v>
      </c>
      <c r="K436" s="50">
        <v>215747921.5</v>
      </c>
      <c r="L436" s="50"/>
      <c r="M436" s="50">
        <v>215747921.5</v>
      </c>
      <c r="N436" s="50"/>
      <c r="O436" s="50">
        <v>36266921.5</v>
      </c>
      <c r="P436" s="50"/>
      <c r="Q436" s="50">
        <v>36266921.5</v>
      </c>
    </row>
    <row r="437" spans="1:17" x14ac:dyDescent="0.25">
      <c r="A437" s="49" t="s">
        <v>711</v>
      </c>
      <c r="B437" s="49" t="s">
        <v>250</v>
      </c>
      <c r="C437" s="49" t="s">
        <v>251</v>
      </c>
      <c r="D437" s="49" t="s">
        <v>69</v>
      </c>
      <c r="E437" s="50">
        <v>180354526</v>
      </c>
      <c r="F437" s="50">
        <v>176014843</v>
      </c>
      <c r="G437" s="50">
        <v>176014843</v>
      </c>
      <c r="H437" s="50">
        <v>0</v>
      </c>
      <c r="I437" s="50">
        <v>0</v>
      </c>
      <c r="J437" s="50">
        <v>0</v>
      </c>
      <c r="K437" s="50">
        <v>146666746</v>
      </c>
      <c r="L437" s="50"/>
      <c r="M437" s="50">
        <v>146666746</v>
      </c>
      <c r="N437" s="50"/>
      <c r="O437" s="50">
        <v>29348097</v>
      </c>
      <c r="P437" s="50"/>
      <c r="Q437" s="50">
        <v>29348097</v>
      </c>
    </row>
    <row r="438" spans="1:17" x14ac:dyDescent="0.25">
      <c r="A438" s="49" t="s">
        <v>711</v>
      </c>
      <c r="B438" s="49" t="s">
        <v>630</v>
      </c>
      <c r="C438" s="49" t="s">
        <v>702</v>
      </c>
      <c r="D438" s="49" t="s">
        <v>69</v>
      </c>
      <c r="E438" s="50">
        <v>153192762</v>
      </c>
      <c r="F438" s="50">
        <v>149506644</v>
      </c>
      <c r="G438" s="50">
        <v>149506644</v>
      </c>
      <c r="H438" s="50">
        <v>0</v>
      </c>
      <c r="I438" s="50">
        <v>0</v>
      </c>
      <c r="J438" s="50">
        <v>0</v>
      </c>
      <c r="K438" s="50">
        <v>124390126</v>
      </c>
      <c r="L438" s="50"/>
      <c r="M438" s="50">
        <v>124390126</v>
      </c>
      <c r="N438" s="50"/>
      <c r="O438" s="50">
        <v>25116518</v>
      </c>
      <c r="P438" s="50"/>
      <c r="Q438" s="50">
        <v>25116518</v>
      </c>
    </row>
    <row r="439" spans="1:17" x14ac:dyDescent="0.25">
      <c r="A439" s="49" t="s">
        <v>711</v>
      </c>
      <c r="B439" s="49" t="s">
        <v>645</v>
      </c>
      <c r="C439" s="49" t="s">
        <v>703</v>
      </c>
      <c r="D439" s="49" t="s">
        <v>69</v>
      </c>
      <c r="E439" s="50">
        <v>27161764</v>
      </c>
      <c r="F439" s="50">
        <v>26508199</v>
      </c>
      <c r="G439" s="50">
        <v>26508199</v>
      </c>
      <c r="H439" s="50">
        <v>0</v>
      </c>
      <c r="I439" s="50">
        <v>0</v>
      </c>
      <c r="J439" s="50">
        <v>0</v>
      </c>
      <c r="K439" s="50">
        <v>22276620</v>
      </c>
      <c r="L439" s="50"/>
      <c r="M439" s="50">
        <v>22276620</v>
      </c>
      <c r="N439" s="50"/>
      <c r="O439" s="50">
        <v>4231579</v>
      </c>
      <c r="P439" s="50"/>
      <c r="Q439" s="50">
        <v>4231579</v>
      </c>
    </row>
    <row r="440" spans="1:17" x14ac:dyDescent="0.25">
      <c r="A440" s="49" t="s">
        <v>711</v>
      </c>
      <c r="B440" s="49" t="s">
        <v>260</v>
      </c>
      <c r="C440" s="49" t="s">
        <v>261</v>
      </c>
      <c r="D440" s="49" t="s">
        <v>69</v>
      </c>
      <c r="E440" s="50">
        <v>56000000</v>
      </c>
      <c r="F440" s="50">
        <v>76000000</v>
      </c>
      <c r="G440" s="50">
        <v>76000000</v>
      </c>
      <c r="H440" s="50">
        <v>0</v>
      </c>
      <c r="I440" s="50">
        <v>0</v>
      </c>
      <c r="J440" s="50">
        <v>0</v>
      </c>
      <c r="K440" s="50">
        <v>69081175.5</v>
      </c>
      <c r="L440" s="50"/>
      <c r="M440" s="50">
        <v>69081175.5</v>
      </c>
      <c r="N440" s="50"/>
      <c r="O440" s="50">
        <v>6918824.5</v>
      </c>
      <c r="P440" s="50"/>
      <c r="Q440" s="50">
        <v>6918824.5</v>
      </c>
    </row>
    <row r="441" spans="1:17" x14ac:dyDescent="0.25">
      <c r="A441" s="49" t="s">
        <v>711</v>
      </c>
      <c r="B441" s="49" t="s">
        <v>264</v>
      </c>
      <c r="C441" s="49" t="s">
        <v>265</v>
      </c>
      <c r="D441" s="49" t="s">
        <v>69</v>
      </c>
      <c r="E441" s="50">
        <v>56000000</v>
      </c>
      <c r="F441" s="50">
        <v>76000000</v>
      </c>
      <c r="G441" s="50">
        <v>76000000</v>
      </c>
      <c r="H441" s="50">
        <v>0</v>
      </c>
      <c r="I441" s="50">
        <v>0</v>
      </c>
      <c r="J441" s="50">
        <v>0</v>
      </c>
      <c r="K441" s="50">
        <v>69081175.5</v>
      </c>
      <c r="L441" s="50"/>
      <c r="M441" s="50">
        <v>69081175.5</v>
      </c>
      <c r="N441" s="50"/>
      <c r="O441" s="50">
        <v>6918824.5</v>
      </c>
      <c r="P441" s="50"/>
      <c r="Q441" s="50">
        <v>6918824.5</v>
      </c>
    </row>
    <row r="442" spans="1:17" x14ac:dyDescent="0.25">
      <c r="A442" s="49" t="s">
        <v>711</v>
      </c>
      <c r="B442" s="49" t="s">
        <v>230</v>
      </c>
      <c r="C442" s="49" t="s">
        <v>231</v>
      </c>
      <c r="D442" s="49" t="s">
        <v>85</v>
      </c>
      <c r="E442" s="50">
        <v>53324000</v>
      </c>
      <c r="F442" s="50">
        <v>51342000</v>
      </c>
      <c r="G442" s="50">
        <v>51342000</v>
      </c>
      <c r="H442" s="50">
        <v>0</v>
      </c>
      <c r="I442" s="50">
        <v>0</v>
      </c>
      <c r="J442" s="50">
        <v>0</v>
      </c>
      <c r="K442" s="50">
        <v>9623993.9100000001</v>
      </c>
      <c r="L442" s="50"/>
      <c r="M442" s="50">
        <v>9623993.9100000001</v>
      </c>
      <c r="N442" s="50"/>
      <c r="O442" s="50">
        <v>41718006.090000004</v>
      </c>
      <c r="P442" s="50"/>
      <c r="Q442" s="50">
        <v>41718006.090000004</v>
      </c>
    </row>
    <row r="443" spans="1:17" x14ac:dyDescent="0.25">
      <c r="A443" s="49" t="s">
        <v>711</v>
      </c>
      <c r="B443" s="49" t="s">
        <v>232</v>
      </c>
      <c r="C443" s="49" t="s">
        <v>233</v>
      </c>
      <c r="D443" s="49" t="s">
        <v>85</v>
      </c>
      <c r="E443" s="50">
        <v>45824000</v>
      </c>
      <c r="F443" s="50">
        <v>42525000</v>
      </c>
      <c r="G443" s="50">
        <v>42525000</v>
      </c>
      <c r="H443" s="50">
        <v>0</v>
      </c>
      <c r="I443" s="50">
        <v>0</v>
      </c>
      <c r="J443" s="50">
        <v>0</v>
      </c>
      <c r="K443" s="50">
        <v>823993.91</v>
      </c>
      <c r="L443" s="50"/>
      <c r="M443" s="50">
        <v>823993.91</v>
      </c>
      <c r="N443" s="50"/>
      <c r="O443" s="50">
        <v>41701006.090000004</v>
      </c>
      <c r="P443" s="50"/>
      <c r="Q443" s="50">
        <v>41701006.090000004</v>
      </c>
    </row>
    <row r="444" spans="1:17" x14ac:dyDescent="0.25">
      <c r="A444" s="49" t="s">
        <v>711</v>
      </c>
      <c r="B444" s="49" t="s">
        <v>234</v>
      </c>
      <c r="C444" s="49" t="s">
        <v>235</v>
      </c>
      <c r="D444" s="49" t="s">
        <v>85</v>
      </c>
      <c r="E444" s="50">
        <v>3490000</v>
      </c>
      <c r="F444" s="50">
        <v>790000</v>
      </c>
      <c r="G444" s="50">
        <v>790000</v>
      </c>
      <c r="H444" s="50">
        <v>0</v>
      </c>
      <c r="I444" s="50">
        <v>0</v>
      </c>
      <c r="J444" s="50">
        <v>0</v>
      </c>
      <c r="K444" s="50">
        <v>749985.6</v>
      </c>
      <c r="L444" s="50"/>
      <c r="M444" s="50">
        <v>749985.6</v>
      </c>
      <c r="N444" s="50"/>
      <c r="O444" s="50">
        <v>40014.400000000001</v>
      </c>
      <c r="P444" s="50"/>
      <c r="Q444" s="50">
        <v>40014.400000000001</v>
      </c>
    </row>
    <row r="445" spans="1:17" x14ac:dyDescent="0.25">
      <c r="A445" s="49" t="s">
        <v>711</v>
      </c>
      <c r="B445" s="49" t="s">
        <v>238</v>
      </c>
      <c r="C445" s="49" t="s">
        <v>239</v>
      </c>
      <c r="D445" s="49" t="s">
        <v>85</v>
      </c>
      <c r="E445" s="50">
        <v>420000</v>
      </c>
      <c r="F445" s="50">
        <v>0</v>
      </c>
      <c r="G445" s="50">
        <v>0</v>
      </c>
      <c r="H445" s="50">
        <v>0</v>
      </c>
      <c r="I445" s="50">
        <v>0</v>
      </c>
      <c r="J445" s="50">
        <v>0</v>
      </c>
      <c r="K445" s="50">
        <v>0</v>
      </c>
      <c r="L445" s="50"/>
      <c r="M445" s="50">
        <v>0</v>
      </c>
      <c r="N445" s="50"/>
      <c r="O445" s="50">
        <v>0</v>
      </c>
      <c r="P445" s="50"/>
      <c r="Q445" s="50">
        <v>0</v>
      </c>
    </row>
    <row r="446" spans="1:17" x14ac:dyDescent="0.25">
      <c r="A446" s="49" t="s">
        <v>711</v>
      </c>
      <c r="B446" s="49" t="s">
        <v>326</v>
      </c>
      <c r="C446" s="49" t="s">
        <v>327</v>
      </c>
      <c r="D446" s="49" t="s">
        <v>85</v>
      </c>
      <c r="E446" s="50">
        <v>41125000</v>
      </c>
      <c r="F446" s="50">
        <v>41545000</v>
      </c>
      <c r="G446" s="50">
        <v>41545000</v>
      </c>
      <c r="H446" s="50">
        <v>0</v>
      </c>
      <c r="I446" s="50">
        <v>0</v>
      </c>
      <c r="J446" s="50">
        <v>0</v>
      </c>
      <c r="K446" s="50">
        <v>0</v>
      </c>
      <c r="L446" s="50"/>
      <c r="M446" s="50">
        <v>0</v>
      </c>
      <c r="N446" s="50"/>
      <c r="O446" s="50">
        <v>41545000</v>
      </c>
      <c r="P446" s="50"/>
      <c r="Q446" s="50">
        <v>41545000</v>
      </c>
    </row>
    <row r="447" spans="1:17" x14ac:dyDescent="0.25">
      <c r="A447" s="49" t="s">
        <v>711</v>
      </c>
      <c r="B447" s="49" t="s">
        <v>242</v>
      </c>
      <c r="C447" s="49" t="s">
        <v>243</v>
      </c>
      <c r="D447" s="49" t="s">
        <v>85</v>
      </c>
      <c r="E447" s="50">
        <v>789000</v>
      </c>
      <c r="F447" s="50">
        <v>190000</v>
      </c>
      <c r="G447" s="50">
        <v>190000</v>
      </c>
      <c r="H447" s="50">
        <v>0</v>
      </c>
      <c r="I447" s="50">
        <v>0</v>
      </c>
      <c r="J447" s="50">
        <v>0</v>
      </c>
      <c r="K447" s="50">
        <v>74008.31</v>
      </c>
      <c r="L447" s="50"/>
      <c r="M447" s="50">
        <v>74008.31</v>
      </c>
      <c r="N447" s="50"/>
      <c r="O447" s="50">
        <v>115991.69</v>
      </c>
      <c r="P447" s="50"/>
      <c r="Q447" s="50">
        <v>115991.69</v>
      </c>
    </row>
    <row r="448" spans="1:17" x14ac:dyDescent="0.25">
      <c r="A448" s="49" t="s">
        <v>711</v>
      </c>
      <c r="B448" s="49" t="s">
        <v>244</v>
      </c>
      <c r="C448" s="49" t="s">
        <v>245</v>
      </c>
      <c r="D448" s="49" t="s">
        <v>85</v>
      </c>
      <c r="E448" s="50">
        <v>7500000</v>
      </c>
      <c r="F448" s="50">
        <v>8817000</v>
      </c>
      <c r="G448" s="50">
        <v>8817000</v>
      </c>
      <c r="H448" s="50">
        <v>0</v>
      </c>
      <c r="I448" s="50">
        <v>0</v>
      </c>
      <c r="J448" s="50">
        <v>0</v>
      </c>
      <c r="K448" s="50">
        <v>8800000</v>
      </c>
      <c r="L448" s="50"/>
      <c r="M448" s="50">
        <v>8800000</v>
      </c>
      <c r="N448" s="50"/>
      <c r="O448" s="50">
        <v>17000</v>
      </c>
      <c r="P448" s="50"/>
      <c r="Q448" s="50">
        <v>17000</v>
      </c>
    </row>
    <row r="449" spans="1:17" x14ac:dyDescent="0.25">
      <c r="A449" s="49" t="s">
        <v>711</v>
      </c>
      <c r="B449" s="49" t="s">
        <v>611</v>
      </c>
      <c r="C449" s="49" t="s">
        <v>612</v>
      </c>
      <c r="D449" s="49" t="s">
        <v>85</v>
      </c>
      <c r="E449" s="50">
        <v>7500000</v>
      </c>
      <c r="F449" s="50">
        <v>8817000</v>
      </c>
      <c r="G449" s="50">
        <v>8817000</v>
      </c>
      <c r="H449" s="50">
        <v>0</v>
      </c>
      <c r="I449" s="50">
        <v>0</v>
      </c>
      <c r="J449" s="50">
        <v>0</v>
      </c>
      <c r="K449" s="50">
        <v>8800000</v>
      </c>
      <c r="L449" s="50"/>
      <c r="M449" s="50">
        <v>8800000</v>
      </c>
      <c r="N449" s="50"/>
      <c r="O449" s="50">
        <v>17000</v>
      </c>
      <c r="P449" s="50"/>
      <c r="Q449" s="50">
        <v>17000</v>
      </c>
    </row>
    <row r="450" spans="1:17" x14ac:dyDescent="0.25">
      <c r="A450" s="49">
        <v>214789002</v>
      </c>
      <c r="B450" s="49"/>
      <c r="C450" s="49"/>
      <c r="D450" s="49" t="s">
        <v>69</v>
      </c>
      <c r="E450" s="50">
        <v>2218633702</v>
      </c>
      <c r="F450" s="50">
        <v>2105742147</v>
      </c>
      <c r="G450" s="50">
        <v>2105742147</v>
      </c>
      <c r="H450" s="50">
        <v>0</v>
      </c>
      <c r="I450" s="50">
        <v>61768346.659999996</v>
      </c>
      <c r="J450" s="50">
        <v>0</v>
      </c>
      <c r="K450" s="50">
        <v>1894956303.8299999</v>
      </c>
      <c r="L450" s="50"/>
      <c r="M450" s="50">
        <v>1807286645.5</v>
      </c>
      <c r="N450" s="50"/>
      <c r="O450" s="50">
        <v>149017496.50999999</v>
      </c>
      <c r="P450" s="50"/>
      <c r="Q450" s="50">
        <v>149017496.50999999</v>
      </c>
    </row>
    <row r="451" spans="1:17" x14ac:dyDescent="0.25">
      <c r="A451" s="49" t="s">
        <v>712</v>
      </c>
      <c r="B451" s="49" t="s">
        <v>71</v>
      </c>
      <c r="C451" s="49" t="s">
        <v>72</v>
      </c>
      <c r="D451" s="49" t="s">
        <v>69</v>
      </c>
      <c r="E451" s="50">
        <v>1258145726</v>
      </c>
      <c r="F451" s="50">
        <v>1251534685</v>
      </c>
      <c r="G451" s="50">
        <v>1251534685</v>
      </c>
      <c r="H451" s="50">
        <v>0</v>
      </c>
      <c r="I451" s="50">
        <v>10000000</v>
      </c>
      <c r="J451" s="50">
        <v>0</v>
      </c>
      <c r="K451" s="50">
        <v>1178471066.51</v>
      </c>
      <c r="L451" s="50"/>
      <c r="M451" s="50">
        <v>1178471066.51</v>
      </c>
      <c r="N451" s="50"/>
      <c r="O451" s="50">
        <v>63063618.490000002</v>
      </c>
      <c r="P451" s="50"/>
      <c r="Q451" s="50">
        <v>63063618.490000002</v>
      </c>
    </row>
    <row r="452" spans="1:17" x14ac:dyDescent="0.25">
      <c r="A452" s="49" t="s">
        <v>712</v>
      </c>
      <c r="B452" s="49" t="s">
        <v>73</v>
      </c>
      <c r="C452" s="49" t="s">
        <v>74</v>
      </c>
      <c r="D452" s="49" t="s">
        <v>69</v>
      </c>
      <c r="E452" s="50">
        <v>493376624</v>
      </c>
      <c r="F452" s="50">
        <v>477092402</v>
      </c>
      <c r="G452" s="50">
        <v>477092402</v>
      </c>
      <c r="H452" s="50">
        <v>0</v>
      </c>
      <c r="I452" s="50">
        <v>0</v>
      </c>
      <c r="J452" s="50">
        <v>0</v>
      </c>
      <c r="K452" s="50">
        <v>457746236</v>
      </c>
      <c r="L452" s="50"/>
      <c r="M452" s="50">
        <v>457746236</v>
      </c>
      <c r="N452" s="50"/>
      <c r="O452" s="50">
        <v>19346166</v>
      </c>
      <c r="P452" s="50"/>
      <c r="Q452" s="50">
        <v>19346166</v>
      </c>
    </row>
    <row r="453" spans="1:17" x14ac:dyDescent="0.25">
      <c r="A453" s="49" t="s">
        <v>712</v>
      </c>
      <c r="B453" s="49" t="s">
        <v>75</v>
      </c>
      <c r="C453" s="49" t="s">
        <v>76</v>
      </c>
      <c r="D453" s="49" t="s">
        <v>69</v>
      </c>
      <c r="E453" s="50">
        <v>493376624</v>
      </c>
      <c r="F453" s="50">
        <v>477092402</v>
      </c>
      <c r="G453" s="50">
        <v>477092402</v>
      </c>
      <c r="H453" s="50">
        <v>0</v>
      </c>
      <c r="I453" s="50">
        <v>0</v>
      </c>
      <c r="J453" s="50">
        <v>0</v>
      </c>
      <c r="K453" s="50">
        <v>457746236</v>
      </c>
      <c r="L453" s="50"/>
      <c r="M453" s="50">
        <v>457746236</v>
      </c>
      <c r="N453" s="50"/>
      <c r="O453" s="50">
        <v>19346166</v>
      </c>
      <c r="P453" s="50"/>
      <c r="Q453" s="50">
        <v>19346166</v>
      </c>
    </row>
    <row r="454" spans="1:17" x14ac:dyDescent="0.25">
      <c r="A454" s="49" t="s">
        <v>712</v>
      </c>
      <c r="B454" s="49" t="s">
        <v>77</v>
      </c>
      <c r="C454" s="49" t="s">
        <v>78</v>
      </c>
      <c r="D454" s="49" t="s">
        <v>69</v>
      </c>
      <c r="E454" s="50">
        <v>572843880</v>
      </c>
      <c r="F454" s="50">
        <v>587062467</v>
      </c>
      <c r="G454" s="50">
        <v>587062467</v>
      </c>
      <c r="H454" s="50">
        <v>0</v>
      </c>
      <c r="I454" s="50">
        <v>10000000</v>
      </c>
      <c r="J454" s="50">
        <v>0</v>
      </c>
      <c r="K454" s="50">
        <v>552132485.50999999</v>
      </c>
      <c r="L454" s="50"/>
      <c r="M454" s="50">
        <v>552132485.50999999</v>
      </c>
      <c r="N454" s="50"/>
      <c r="O454" s="50">
        <v>24929981.489999998</v>
      </c>
      <c r="P454" s="50"/>
      <c r="Q454" s="50">
        <v>24929981.489999998</v>
      </c>
    </row>
    <row r="455" spans="1:17" x14ac:dyDescent="0.25">
      <c r="A455" s="49" t="s">
        <v>712</v>
      </c>
      <c r="B455" s="49" t="s">
        <v>79</v>
      </c>
      <c r="C455" s="49" t="s">
        <v>80</v>
      </c>
      <c r="D455" s="49" t="s">
        <v>69</v>
      </c>
      <c r="E455" s="50">
        <v>166263500</v>
      </c>
      <c r="F455" s="50">
        <v>166263500</v>
      </c>
      <c r="G455" s="50">
        <v>166263500</v>
      </c>
      <c r="H455" s="50">
        <v>0</v>
      </c>
      <c r="I455" s="50">
        <v>0</v>
      </c>
      <c r="J455" s="50">
        <v>0</v>
      </c>
      <c r="K455" s="50">
        <v>150484146.37</v>
      </c>
      <c r="L455" s="50"/>
      <c r="M455" s="50">
        <v>150484146.37</v>
      </c>
      <c r="N455" s="50"/>
      <c r="O455" s="50">
        <v>15779353.630000001</v>
      </c>
      <c r="P455" s="50"/>
      <c r="Q455" s="50">
        <v>15779353.630000001</v>
      </c>
    </row>
    <row r="456" spans="1:17" x14ac:dyDescent="0.25">
      <c r="A456" s="49" t="s">
        <v>712</v>
      </c>
      <c r="B456" s="49" t="s">
        <v>81</v>
      </c>
      <c r="C456" s="49" t="s">
        <v>82</v>
      </c>
      <c r="D456" s="49" t="s">
        <v>69</v>
      </c>
      <c r="E456" s="50">
        <v>139725380</v>
      </c>
      <c r="F456" s="50">
        <v>150724590</v>
      </c>
      <c r="G456" s="50">
        <v>150724590</v>
      </c>
      <c r="H456" s="50">
        <v>0</v>
      </c>
      <c r="I456" s="50">
        <v>0</v>
      </c>
      <c r="J456" s="50">
        <v>0</v>
      </c>
      <c r="K456" s="50">
        <v>145588887.31999999</v>
      </c>
      <c r="L456" s="50"/>
      <c r="M456" s="50">
        <v>145588887.31999999</v>
      </c>
      <c r="N456" s="50"/>
      <c r="O456" s="50">
        <v>5135702.68</v>
      </c>
      <c r="P456" s="50"/>
      <c r="Q456" s="50">
        <v>5135702.68</v>
      </c>
    </row>
    <row r="457" spans="1:17" x14ac:dyDescent="0.25">
      <c r="A457" s="49" t="s">
        <v>712</v>
      </c>
      <c r="B457" s="49" t="s">
        <v>86</v>
      </c>
      <c r="C457" s="49" t="s">
        <v>87</v>
      </c>
      <c r="D457" s="49" t="s">
        <v>69</v>
      </c>
      <c r="E457" s="50">
        <v>75278800</v>
      </c>
      <c r="F457" s="50">
        <v>75278800</v>
      </c>
      <c r="G457" s="50">
        <v>75278800</v>
      </c>
      <c r="H457" s="50">
        <v>0</v>
      </c>
      <c r="I457" s="50">
        <v>10000000</v>
      </c>
      <c r="J457" s="50">
        <v>0</v>
      </c>
      <c r="K457" s="50">
        <v>63509579.020000003</v>
      </c>
      <c r="L457" s="50"/>
      <c r="M457" s="50">
        <v>63509579.020000003</v>
      </c>
      <c r="N457" s="50"/>
      <c r="O457" s="50">
        <v>1769220.98</v>
      </c>
      <c r="P457" s="50"/>
      <c r="Q457" s="50">
        <v>1769220.98</v>
      </c>
    </row>
    <row r="458" spans="1:17" x14ac:dyDescent="0.25">
      <c r="A458" s="49" t="s">
        <v>712</v>
      </c>
      <c r="B458" s="49" t="s">
        <v>88</v>
      </c>
      <c r="C458" s="49" t="s">
        <v>89</v>
      </c>
      <c r="D458" s="49" t="s">
        <v>69</v>
      </c>
      <c r="E458" s="50">
        <v>109589600</v>
      </c>
      <c r="F458" s="50">
        <v>114750681</v>
      </c>
      <c r="G458" s="50">
        <v>114750681</v>
      </c>
      <c r="H458" s="50">
        <v>0</v>
      </c>
      <c r="I458" s="50">
        <v>0</v>
      </c>
      <c r="J458" s="50">
        <v>0</v>
      </c>
      <c r="K458" s="50">
        <v>113833121.16</v>
      </c>
      <c r="L458" s="50"/>
      <c r="M458" s="50">
        <v>113833121.16</v>
      </c>
      <c r="N458" s="50"/>
      <c r="O458" s="50">
        <v>917559.84</v>
      </c>
      <c r="P458" s="50"/>
      <c r="Q458" s="50">
        <v>917559.84</v>
      </c>
    </row>
    <row r="459" spans="1:17" x14ac:dyDescent="0.25">
      <c r="A459" s="49" t="s">
        <v>712</v>
      </c>
      <c r="B459" s="49" t="s">
        <v>83</v>
      </c>
      <c r="C459" s="49" t="s">
        <v>84</v>
      </c>
      <c r="D459" s="49" t="s">
        <v>85</v>
      </c>
      <c r="E459" s="50">
        <v>81986600</v>
      </c>
      <c r="F459" s="50">
        <v>80044896</v>
      </c>
      <c r="G459" s="50">
        <v>80044896</v>
      </c>
      <c r="H459" s="50">
        <v>0</v>
      </c>
      <c r="I459" s="50">
        <v>0</v>
      </c>
      <c r="J459" s="50">
        <v>0</v>
      </c>
      <c r="K459" s="50">
        <v>78716751.640000001</v>
      </c>
      <c r="L459" s="50"/>
      <c r="M459" s="50">
        <v>78716751.640000001</v>
      </c>
      <c r="N459" s="50"/>
      <c r="O459" s="50">
        <v>1328144.3600000001</v>
      </c>
      <c r="P459" s="50"/>
      <c r="Q459" s="50">
        <v>1328144.3600000001</v>
      </c>
    </row>
    <row r="460" spans="1:17" x14ac:dyDescent="0.25">
      <c r="A460" s="49" t="s">
        <v>712</v>
      </c>
      <c r="B460" s="49" t="s">
        <v>90</v>
      </c>
      <c r="C460" s="49" t="s">
        <v>91</v>
      </c>
      <c r="D460" s="49" t="s">
        <v>69</v>
      </c>
      <c r="E460" s="50">
        <v>95962711</v>
      </c>
      <c r="F460" s="50">
        <v>93690008</v>
      </c>
      <c r="G460" s="50">
        <v>93690008</v>
      </c>
      <c r="H460" s="50">
        <v>0</v>
      </c>
      <c r="I460" s="50">
        <v>0</v>
      </c>
      <c r="J460" s="50">
        <v>0</v>
      </c>
      <c r="K460" s="50">
        <v>84359411</v>
      </c>
      <c r="L460" s="50"/>
      <c r="M460" s="50">
        <v>84359411</v>
      </c>
      <c r="N460" s="50"/>
      <c r="O460" s="50">
        <v>9330597</v>
      </c>
      <c r="P460" s="50"/>
      <c r="Q460" s="50">
        <v>9330597</v>
      </c>
    </row>
    <row r="461" spans="1:17" x14ac:dyDescent="0.25">
      <c r="A461" s="49" t="s">
        <v>712</v>
      </c>
      <c r="B461" s="49" t="s">
        <v>422</v>
      </c>
      <c r="C461" s="49" t="s">
        <v>697</v>
      </c>
      <c r="D461" s="49" t="s">
        <v>69</v>
      </c>
      <c r="E461" s="50">
        <v>91041575</v>
      </c>
      <c r="F461" s="50">
        <v>88885421</v>
      </c>
      <c r="G461" s="50">
        <v>88885421</v>
      </c>
      <c r="H461" s="50">
        <v>0</v>
      </c>
      <c r="I461" s="50">
        <v>0</v>
      </c>
      <c r="J461" s="50">
        <v>0</v>
      </c>
      <c r="K461" s="50">
        <v>80033288</v>
      </c>
      <c r="L461" s="50"/>
      <c r="M461" s="50">
        <v>80033288</v>
      </c>
      <c r="N461" s="50"/>
      <c r="O461" s="50">
        <v>8852133</v>
      </c>
      <c r="P461" s="50"/>
      <c r="Q461" s="50">
        <v>8852133</v>
      </c>
    </row>
    <row r="462" spans="1:17" x14ac:dyDescent="0.25">
      <c r="A462" s="49" t="s">
        <v>712</v>
      </c>
      <c r="B462" s="49" t="s">
        <v>439</v>
      </c>
      <c r="C462" s="49" t="s">
        <v>95</v>
      </c>
      <c r="D462" s="49" t="s">
        <v>69</v>
      </c>
      <c r="E462" s="50">
        <v>4921136</v>
      </c>
      <c r="F462" s="50">
        <v>4804587</v>
      </c>
      <c r="G462" s="50">
        <v>4804587</v>
      </c>
      <c r="H462" s="50">
        <v>0</v>
      </c>
      <c r="I462" s="50">
        <v>0</v>
      </c>
      <c r="J462" s="50">
        <v>0</v>
      </c>
      <c r="K462" s="50">
        <v>4326123</v>
      </c>
      <c r="L462" s="50"/>
      <c r="M462" s="50">
        <v>4326123</v>
      </c>
      <c r="N462" s="50"/>
      <c r="O462" s="50">
        <v>478464</v>
      </c>
      <c r="P462" s="50"/>
      <c r="Q462" s="50">
        <v>478464</v>
      </c>
    </row>
    <row r="463" spans="1:17" x14ac:dyDescent="0.25">
      <c r="A463" s="49" t="s">
        <v>712</v>
      </c>
      <c r="B463" s="49" t="s">
        <v>96</v>
      </c>
      <c r="C463" s="49" t="s">
        <v>97</v>
      </c>
      <c r="D463" s="49" t="s">
        <v>69</v>
      </c>
      <c r="E463" s="50">
        <v>95962511</v>
      </c>
      <c r="F463" s="50">
        <v>93689808</v>
      </c>
      <c r="G463" s="50">
        <v>93689808</v>
      </c>
      <c r="H463" s="50">
        <v>0</v>
      </c>
      <c r="I463" s="50">
        <v>0</v>
      </c>
      <c r="J463" s="50">
        <v>0</v>
      </c>
      <c r="K463" s="50">
        <v>84232934</v>
      </c>
      <c r="L463" s="50"/>
      <c r="M463" s="50">
        <v>84232934</v>
      </c>
      <c r="N463" s="50"/>
      <c r="O463" s="50">
        <v>9456874</v>
      </c>
      <c r="P463" s="50"/>
      <c r="Q463" s="50">
        <v>9456874</v>
      </c>
    </row>
    <row r="464" spans="1:17" x14ac:dyDescent="0.25">
      <c r="A464" s="49" t="s">
        <v>712</v>
      </c>
      <c r="B464" s="49" t="s">
        <v>457</v>
      </c>
      <c r="C464" s="49" t="s">
        <v>698</v>
      </c>
      <c r="D464" s="49" t="s">
        <v>69</v>
      </c>
      <c r="E464" s="50">
        <v>51672183</v>
      </c>
      <c r="F464" s="50">
        <v>50448420</v>
      </c>
      <c r="G464" s="50">
        <v>50448420</v>
      </c>
      <c r="H464" s="50">
        <v>0</v>
      </c>
      <c r="I464" s="50">
        <v>0</v>
      </c>
      <c r="J464" s="50">
        <v>0</v>
      </c>
      <c r="K464" s="50">
        <v>45297820</v>
      </c>
      <c r="L464" s="50"/>
      <c r="M464" s="50">
        <v>45297820</v>
      </c>
      <c r="N464" s="50"/>
      <c r="O464" s="50">
        <v>5150600</v>
      </c>
      <c r="P464" s="50"/>
      <c r="Q464" s="50">
        <v>5150600</v>
      </c>
    </row>
    <row r="465" spans="1:17" x14ac:dyDescent="0.25">
      <c r="A465" s="49" t="s">
        <v>712</v>
      </c>
      <c r="B465" s="49" t="s">
        <v>474</v>
      </c>
      <c r="C465" s="49" t="s">
        <v>699</v>
      </c>
      <c r="D465" s="49" t="s">
        <v>69</v>
      </c>
      <c r="E465" s="50">
        <v>14763409</v>
      </c>
      <c r="F465" s="50">
        <v>17213762</v>
      </c>
      <c r="G465" s="50">
        <v>17213762</v>
      </c>
      <c r="H465" s="50">
        <v>0</v>
      </c>
      <c r="I465" s="50">
        <v>0</v>
      </c>
      <c r="J465" s="50">
        <v>0</v>
      </c>
      <c r="K465" s="50">
        <v>15169857</v>
      </c>
      <c r="L465" s="50"/>
      <c r="M465" s="50">
        <v>15169857</v>
      </c>
      <c r="N465" s="50"/>
      <c r="O465" s="50">
        <v>2043905</v>
      </c>
      <c r="P465" s="50"/>
      <c r="Q465" s="50">
        <v>2043905</v>
      </c>
    </row>
    <row r="466" spans="1:17" x14ac:dyDescent="0.25">
      <c r="A466" s="49" t="s">
        <v>712</v>
      </c>
      <c r="B466" s="49" t="s">
        <v>491</v>
      </c>
      <c r="C466" s="49" t="s">
        <v>700</v>
      </c>
      <c r="D466" s="49" t="s">
        <v>69</v>
      </c>
      <c r="E466" s="50">
        <v>29526919</v>
      </c>
      <c r="F466" s="50">
        <v>26027626</v>
      </c>
      <c r="G466" s="50">
        <v>26027626</v>
      </c>
      <c r="H466" s="50">
        <v>0</v>
      </c>
      <c r="I466" s="50">
        <v>0</v>
      </c>
      <c r="J466" s="50">
        <v>0</v>
      </c>
      <c r="K466" s="50">
        <v>23765257</v>
      </c>
      <c r="L466" s="50"/>
      <c r="M466" s="50">
        <v>23765257</v>
      </c>
      <c r="N466" s="50"/>
      <c r="O466" s="50">
        <v>2262369</v>
      </c>
      <c r="P466" s="50"/>
      <c r="Q466" s="50">
        <v>2262369</v>
      </c>
    </row>
    <row r="467" spans="1:17" x14ac:dyDescent="0.25">
      <c r="A467" s="49" t="s">
        <v>712</v>
      </c>
      <c r="B467" s="49" t="s">
        <v>104</v>
      </c>
      <c r="C467" s="49" t="s">
        <v>105</v>
      </c>
      <c r="D467" s="49" t="s">
        <v>69</v>
      </c>
      <c r="E467" s="50">
        <v>306630000</v>
      </c>
      <c r="F467" s="50">
        <v>306606621</v>
      </c>
      <c r="G467" s="50">
        <v>306606621</v>
      </c>
      <c r="H467" s="50">
        <v>0</v>
      </c>
      <c r="I467" s="50">
        <v>10895220.09</v>
      </c>
      <c r="J467" s="50">
        <v>0</v>
      </c>
      <c r="K467" s="50">
        <v>294983018.95999998</v>
      </c>
      <c r="L467" s="50"/>
      <c r="M467" s="50">
        <v>292908161.00999999</v>
      </c>
      <c r="N467" s="50"/>
      <c r="O467" s="50">
        <v>728381.95</v>
      </c>
      <c r="P467" s="50"/>
      <c r="Q467" s="50">
        <v>728381.95</v>
      </c>
    </row>
    <row r="468" spans="1:17" x14ac:dyDescent="0.25">
      <c r="A468" s="49" t="s">
        <v>712</v>
      </c>
      <c r="B468" s="49" t="s">
        <v>112</v>
      </c>
      <c r="C468" s="49" t="s">
        <v>113</v>
      </c>
      <c r="D468" s="49" t="s">
        <v>69</v>
      </c>
      <c r="E468" s="50">
        <v>291630000</v>
      </c>
      <c r="F468" s="50">
        <v>291640000</v>
      </c>
      <c r="G468" s="50">
        <v>291640000</v>
      </c>
      <c r="H468" s="50">
        <v>0</v>
      </c>
      <c r="I468" s="50">
        <v>3260411.27</v>
      </c>
      <c r="J468" s="50">
        <v>0</v>
      </c>
      <c r="K468" s="50">
        <v>288377413.13</v>
      </c>
      <c r="L468" s="50"/>
      <c r="M468" s="50">
        <v>287214055.63</v>
      </c>
      <c r="N468" s="50"/>
      <c r="O468" s="50">
        <v>2175.6</v>
      </c>
      <c r="P468" s="50"/>
      <c r="Q468" s="50">
        <v>2175.6</v>
      </c>
    </row>
    <row r="469" spans="1:17" x14ac:dyDescent="0.25">
      <c r="A469" s="49" t="s">
        <v>712</v>
      </c>
      <c r="B469" s="49" t="s">
        <v>114</v>
      </c>
      <c r="C469" s="49" t="s">
        <v>115</v>
      </c>
      <c r="D469" s="49" t="s">
        <v>69</v>
      </c>
      <c r="E469" s="50">
        <v>221840000</v>
      </c>
      <c r="F469" s="50">
        <v>221840000</v>
      </c>
      <c r="G469" s="50">
        <v>221840000</v>
      </c>
      <c r="H469" s="50">
        <v>0</v>
      </c>
      <c r="I469" s="50">
        <v>183137.4</v>
      </c>
      <c r="J469" s="50">
        <v>0</v>
      </c>
      <c r="K469" s="50">
        <v>221656862</v>
      </c>
      <c r="L469" s="50"/>
      <c r="M469" s="50">
        <v>221656862</v>
      </c>
      <c r="N469" s="50"/>
      <c r="O469" s="50">
        <v>0.60000000000000009</v>
      </c>
      <c r="P469" s="50"/>
      <c r="Q469" s="50">
        <v>0.60000000000000009</v>
      </c>
    </row>
    <row r="470" spans="1:17" x14ac:dyDescent="0.25">
      <c r="A470" s="49" t="s">
        <v>712</v>
      </c>
      <c r="B470" s="49" t="s">
        <v>116</v>
      </c>
      <c r="C470" s="49" t="s">
        <v>117</v>
      </c>
      <c r="D470" s="49" t="s">
        <v>69</v>
      </c>
      <c r="E470" s="50">
        <v>52200000</v>
      </c>
      <c r="F470" s="50">
        <v>52200000</v>
      </c>
      <c r="G470" s="50">
        <v>52200000</v>
      </c>
      <c r="H470" s="50">
        <v>0</v>
      </c>
      <c r="I470" s="50">
        <v>1446616.5</v>
      </c>
      <c r="J470" s="50">
        <v>0</v>
      </c>
      <c r="K470" s="50">
        <v>50753383.5</v>
      </c>
      <c r="L470" s="50"/>
      <c r="M470" s="50">
        <v>50753383.5</v>
      </c>
      <c r="N470" s="50"/>
      <c r="O470" s="50">
        <v>0</v>
      </c>
      <c r="P470" s="50"/>
      <c r="Q470" s="50">
        <v>0</v>
      </c>
    </row>
    <row r="471" spans="1:17" x14ac:dyDescent="0.25">
      <c r="A471" s="49" t="s">
        <v>712</v>
      </c>
      <c r="B471" s="49" t="s">
        <v>120</v>
      </c>
      <c r="C471" s="49" t="s">
        <v>121</v>
      </c>
      <c r="D471" s="49" t="s">
        <v>69</v>
      </c>
      <c r="E471" s="50">
        <v>13090000</v>
      </c>
      <c r="F471" s="50">
        <v>13090000</v>
      </c>
      <c r="G471" s="50">
        <v>13090000</v>
      </c>
      <c r="H471" s="50">
        <v>0</v>
      </c>
      <c r="I471" s="50">
        <v>1630657.37</v>
      </c>
      <c r="J471" s="50">
        <v>0</v>
      </c>
      <c r="K471" s="50">
        <v>11459342.630000001</v>
      </c>
      <c r="L471" s="50"/>
      <c r="M471" s="50">
        <v>10295985.130000001</v>
      </c>
      <c r="N471" s="50"/>
      <c r="O471" s="50">
        <v>0</v>
      </c>
      <c r="P471" s="50"/>
      <c r="Q471" s="50">
        <v>0</v>
      </c>
    </row>
    <row r="472" spans="1:17" x14ac:dyDescent="0.25">
      <c r="A472" s="49" t="s">
        <v>712</v>
      </c>
      <c r="B472" s="49" t="s">
        <v>122</v>
      </c>
      <c r="C472" s="49" t="s">
        <v>123</v>
      </c>
      <c r="D472" s="49" t="s">
        <v>69</v>
      </c>
      <c r="E472" s="50">
        <v>4500000</v>
      </c>
      <c r="F472" s="50">
        <v>4510000</v>
      </c>
      <c r="G472" s="50">
        <v>4510000</v>
      </c>
      <c r="H472" s="50">
        <v>0</v>
      </c>
      <c r="I472" s="50">
        <v>0</v>
      </c>
      <c r="J472" s="50">
        <v>0</v>
      </c>
      <c r="K472" s="50">
        <v>4507825</v>
      </c>
      <c r="L472" s="50"/>
      <c r="M472" s="50">
        <v>4507825</v>
      </c>
      <c r="N472" s="50"/>
      <c r="O472" s="50">
        <v>2175</v>
      </c>
      <c r="P472" s="50"/>
      <c r="Q472" s="50">
        <v>2175</v>
      </c>
    </row>
    <row r="473" spans="1:17" x14ac:dyDescent="0.25">
      <c r="A473" s="49" t="s">
        <v>712</v>
      </c>
      <c r="B473" s="49" t="s">
        <v>162</v>
      </c>
      <c r="C473" s="49" t="s">
        <v>163</v>
      </c>
      <c r="D473" s="49" t="s">
        <v>69</v>
      </c>
      <c r="E473" s="50">
        <v>15000000</v>
      </c>
      <c r="F473" s="50">
        <v>14966621</v>
      </c>
      <c r="G473" s="50">
        <v>14966621</v>
      </c>
      <c r="H473" s="50">
        <v>0</v>
      </c>
      <c r="I473" s="50">
        <v>7634808.8200000003</v>
      </c>
      <c r="J473" s="50">
        <v>0</v>
      </c>
      <c r="K473" s="50">
        <v>6605605.8300000001</v>
      </c>
      <c r="L473" s="50"/>
      <c r="M473" s="50">
        <v>5694105.3799999999</v>
      </c>
      <c r="N473" s="50"/>
      <c r="O473" s="50">
        <v>726206.35</v>
      </c>
      <c r="P473" s="50"/>
      <c r="Q473" s="50">
        <v>726206.35</v>
      </c>
    </row>
    <row r="474" spans="1:17" x14ac:dyDescent="0.25">
      <c r="A474" s="49" t="s">
        <v>712</v>
      </c>
      <c r="B474" s="49" t="s">
        <v>164</v>
      </c>
      <c r="C474" s="49" t="s">
        <v>165</v>
      </c>
      <c r="D474" s="49" t="s">
        <v>69</v>
      </c>
      <c r="E474" s="50">
        <v>15000000</v>
      </c>
      <c r="F474" s="50">
        <v>14966621</v>
      </c>
      <c r="G474" s="50">
        <v>14966621</v>
      </c>
      <c r="H474" s="50">
        <v>0</v>
      </c>
      <c r="I474" s="50">
        <v>7634808.8200000003</v>
      </c>
      <c r="J474" s="50">
        <v>0</v>
      </c>
      <c r="K474" s="50">
        <v>6605605.8300000001</v>
      </c>
      <c r="L474" s="50"/>
      <c r="M474" s="50">
        <v>5694105.3799999999</v>
      </c>
      <c r="N474" s="50"/>
      <c r="O474" s="50">
        <v>726206.35</v>
      </c>
      <c r="P474" s="50"/>
      <c r="Q474" s="50">
        <v>726206.35</v>
      </c>
    </row>
    <row r="475" spans="1:17" x14ac:dyDescent="0.25">
      <c r="A475" s="49" t="s">
        <v>712</v>
      </c>
      <c r="B475" s="49" t="s">
        <v>184</v>
      </c>
      <c r="C475" s="49" t="s">
        <v>185</v>
      </c>
      <c r="D475" s="49" t="s">
        <v>69</v>
      </c>
      <c r="E475" s="50">
        <v>621407272</v>
      </c>
      <c r="F475" s="50">
        <v>515537077</v>
      </c>
      <c r="G475" s="50">
        <v>515537077</v>
      </c>
      <c r="H475" s="50">
        <v>0</v>
      </c>
      <c r="I475" s="50">
        <v>38520048.920000002</v>
      </c>
      <c r="J475" s="50">
        <v>0</v>
      </c>
      <c r="K475" s="50">
        <v>395961947.36000001</v>
      </c>
      <c r="L475" s="50"/>
      <c r="M475" s="50">
        <v>310367146.98000002</v>
      </c>
      <c r="N475" s="50"/>
      <c r="O475" s="50">
        <v>81055080.719999999</v>
      </c>
      <c r="P475" s="50"/>
      <c r="Q475" s="50">
        <v>81055080.719999999</v>
      </c>
    </row>
    <row r="476" spans="1:17" x14ac:dyDescent="0.25">
      <c r="A476" s="49" t="s">
        <v>712</v>
      </c>
      <c r="B476" s="49" t="s">
        <v>186</v>
      </c>
      <c r="C476" s="49" t="s">
        <v>187</v>
      </c>
      <c r="D476" s="49" t="s">
        <v>69</v>
      </c>
      <c r="E476" s="50">
        <v>25251750</v>
      </c>
      <c r="F476" s="50">
        <v>25251750</v>
      </c>
      <c r="G476" s="50">
        <v>25251750</v>
      </c>
      <c r="H476" s="50">
        <v>0</v>
      </c>
      <c r="I476" s="50">
        <v>98.9</v>
      </c>
      <c r="J476" s="50">
        <v>0</v>
      </c>
      <c r="K476" s="50">
        <v>142377.47</v>
      </c>
      <c r="L476" s="50"/>
      <c r="M476" s="50">
        <v>142377.47</v>
      </c>
      <c r="N476" s="50"/>
      <c r="O476" s="50">
        <v>25109273.629999999</v>
      </c>
      <c r="P476" s="50"/>
      <c r="Q476" s="50">
        <v>25109273.629999999</v>
      </c>
    </row>
    <row r="477" spans="1:17" x14ac:dyDescent="0.25">
      <c r="A477" s="49" t="s">
        <v>712</v>
      </c>
      <c r="B477" s="49" t="s">
        <v>188</v>
      </c>
      <c r="C477" s="49" t="s">
        <v>189</v>
      </c>
      <c r="D477" s="49" t="s">
        <v>69</v>
      </c>
      <c r="E477" s="50">
        <v>24819750</v>
      </c>
      <c r="F477" s="50">
        <v>24819750</v>
      </c>
      <c r="G477" s="50">
        <v>24819750</v>
      </c>
      <c r="H477" s="50">
        <v>0</v>
      </c>
      <c r="I477" s="50">
        <v>0</v>
      </c>
      <c r="J477" s="50">
        <v>0</v>
      </c>
      <c r="K477" s="50">
        <v>0</v>
      </c>
      <c r="L477" s="50"/>
      <c r="M477" s="50">
        <v>0</v>
      </c>
      <c r="N477" s="50"/>
      <c r="O477" s="50">
        <v>24819750</v>
      </c>
      <c r="P477" s="50"/>
      <c r="Q477" s="50">
        <v>24819750</v>
      </c>
    </row>
    <row r="478" spans="1:17" x14ac:dyDescent="0.25">
      <c r="A478" s="49" t="s">
        <v>712</v>
      </c>
      <c r="B478" s="49" t="s">
        <v>190</v>
      </c>
      <c r="C478" s="49" t="s">
        <v>191</v>
      </c>
      <c r="D478" s="49" t="s">
        <v>69</v>
      </c>
      <c r="E478" s="50">
        <v>197000</v>
      </c>
      <c r="F478" s="50">
        <v>432000</v>
      </c>
      <c r="G478" s="50">
        <v>432000</v>
      </c>
      <c r="H478" s="50">
        <v>0</v>
      </c>
      <c r="I478" s="50">
        <v>98.9</v>
      </c>
      <c r="J478" s="50">
        <v>0</v>
      </c>
      <c r="K478" s="50">
        <v>142377.47</v>
      </c>
      <c r="L478" s="50"/>
      <c r="M478" s="50">
        <v>142377.47</v>
      </c>
      <c r="N478" s="50"/>
      <c r="O478" s="50">
        <v>289523.63</v>
      </c>
      <c r="P478" s="50"/>
      <c r="Q478" s="50">
        <v>289523.63</v>
      </c>
    </row>
    <row r="479" spans="1:17" x14ac:dyDescent="0.25">
      <c r="A479" s="49" t="s">
        <v>712</v>
      </c>
      <c r="B479" s="49" t="s">
        <v>194</v>
      </c>
      <c r="C479" s="49" t="s">
        <v>195</v>
      </c>
      <c r="D479" s="49" t="s">
        <v>69</v>
      </c>
      <c r="E479" s="50">
        <v>235000</v>
      </c>
      <c r="F479" s="50">
        <v>0</v>
      </c>
      <c r="G479" s="50">
        <v>0</v>
      </c>
      <c r="H479" s="50">
        <v>0</v>
      </c>
      <c r="I479" s="50">
        <v>0</v>
      </c>
      <c r="J479" s="50">
        <v>0</v>
      </c>
      <c r="K479" s="50">
        <v>0</v>
      </c>
      <c r="L479" s="50"/>
      <c r="M479" s="50">
        <v>0</v>
      </c>
      <c r="N479" s="50"/>
      <c r="O479" s="50">
        <v>0</v>
      </c>
      <c r="P479" s="50"/>
      <c r="Q479" s="50">
        <v>0</v>
      </c>
    </row>
    <row r="480" spans="1:17" x14ac:dyDescent="0.25">
      <c r="A480" s="49" t="s">
        <v>712</v>
      </c>
      <c r="B480" s="49" t="s">
        <v>196</v>
      </c>
      <c r="C480" s="49" t="s">
        <v>197</v>
      </c>
      <c r="D480" s="49" t="s">
        <v>69</v>
      </c>
      <c r="E480" s="50">
        <v>582942552</v>
      </c>
      <c r="F480" s="50">
        <v>477161161</v>
      </c>
      <c r="G480" s="50">
        <v>477161161</v>
      </c>
      <c r="H480" s="50">
        <v>0</v>
      </c>
      <c r="I480" s="50">
        <v>38512469.390000001</v>
      </c>
      <c r="J480" s="50">
        <v>0</v>
      </c>
      <c r="K480" s="50">
        <v>384884869.42000002</v>
      </c>
      <c r="L480" s="50"/>
      <c r="M480" s="50">
        <v>299820519.04000002</v>
      </c>
      <c r="N480" s="50"/>
      <c r="O480" s="50">
        <v>53763822.189999998</v>
      </c>
      <c r="P480" s="50"/>
      <c r="Q480" s="50">
        <v>53763822.189999998</v>
      </c>
    </row>
    <row r="481" spans="1:17" x14ac:dyDescent="0.25">
      <c r="A481" s="49" t="s">
        <v>712</v>
      </c>
      <c r="B481" s="49" t="s">
        <v>198</v>
      </c>
      <c r="C481" s="49" t="s">
        <v>199</v>
      </c>
      <c r="D481" s="49" t="s">
        <v>69</v>
      </c>
      <c r="E481" s="50">
        <v>582942552</v>
      </c>
      <c r="F481" s="50">
        <v>477161161</v>
      </c>
      <c r="G481" s="50">
        <v>477161161</v>
      </c>
      <c r="H481" s="50">
        <v>0</v>
      </c>
      <c r="I481" s="50">
        <v>38512469.390000001</v>
      </c>
      <c r="J481" s="50">
        <v>0</v>
      </c>
      <c r="K481" s="50">
        <v>384884869.42000002</v>
      </c>
      <c r="L481" s="50"/>
      <c r="M481" s="50">
        <v>299820519.04000002</v>
      </c>
      <c r="N481" s="50"/>
      <c r="O481" s="50">
        <v>53763822.189999998</v>
      </c>
      <c r="P481" s="50"/>
      <c r="Q481" s="50">
        <v>53763822.189999998</v>
      </c>
    </row>
    <row r="482" spans="1:17" x14ac:dyDescent="0.25">
      <c r="A482" s="49" t="s">
        <v>712</v>
      </c>
      <c r="B482" s="49" t="s">
        <v>206</v>
      </c>
      <c r="C482" s="49" t="s">
        <v>207</v>
      </c>
      <c r="D482" s="49" t="s">
        <v>69</v>
      </c>
      <c r="E482" s="50">
        <v>367200</v>
      </c>
      <c r="F482" s="50">
        <v>367200</v>
      </c>
      <c r="G482" s="50">
        <v>367200</v>
      </c>
      <c r="H482" s="50">
        <v>0</v>
      </c>
      <c r="I482" s="50">
        <v>0</v>
      </c>
      <c r="J482" s="50">
        <v>0</v>
      </c>
      <c r="K482" s="50">
        <v>0</v>
      </c>
      <c r="L482" s="50"/>
      <c r="M482" s="50">
        <v>0</v>
      </c>
      <c r="N482" s="50"/>
      <c r="O482" s="50">
        <v>367200</v>
      </c>
      <c r="P482" s="50"/>
      <c r="Q482" s="50">
        <v>367200</v>
      </c>
    </row>
    <row r="483" spans="1:17" x14ac:dyDescent="0.25">
      <c r="A483" s="49" t="s">
        <v>712</v>
      </c>
      <c r="B483" s="49" t="s">
        <v>208</v>
      </c>
      <c r="C483" s="49" t="s">
        <v>209</v>
      </c>
      <c r="D483" s="49" t="s">
        <v>69</v>
      </c>
      <c r="E483" s="50">
        <v>367200</v>
      </c>
      <c r="F483" s="50">
        <v>367200</v>
      </c>
      <c r="G483" s="50">
        <v>367200</v>
      </c>
      <c r="H483" s="50">
        <v>0</v>
      </c>
      <c r="I483" s="50">
        <v>0</v>
      </c>
      <c r="J483" s="50">
        <v>0</v>
      </c>
      <c r="K483" s="50">
        <v>0</v>
      </c>
      <c r="L483" s="50"/>
      <c r="M483" s="50">
        <v>0</v>
      </c>
      <c r="N483" s="50"/>
      <c r="O483" s="50">
        <v>367200</v>
      </c>
      <c r="P483" s="50"/>
      <c r="Q483" s="50">
        <v>367200</v>
      </c>
    </row>
    <row r="484" spans="1:17" x14ac:dyDescent="0.25">
      <c r="A484" s="49" t="s">
        <v>712</v>
      </c>
      <c r="B484" s="49" t="s">
        <v>354</v>
      </c>
      <c r="C484" s="49" t="s">
        <v>355</v>
      </c>
      <c r="D484" s="49" t="s">
        <v>69</v>
      </c>
      <c r="E484" s="50">
        <v>6280000</v>
      </c>
      <c r="F484" s="50">
        <v>6277196</v>
      </c>
      <c r="G484" s="50">
        <v>6277196</v>
      </c>
      <c r="H484" s="50">
        <v>0</v>
      </c>
      <c r="I484" s="50">
        <v>0</v>
      </c>
      <c r="J484" s="50">
        <v>0</v>
      </c>
      <c r="K484" s="50">
        <v>6277195.2000000002</v>
      </c>
      <c r="L484" s="50"/>
      <c r="M484" s="50">
        <v>6277195.2000000002</v>
      </c>
      <c r="N484" s="50"/>
      <c r="O484" s="50">
        <v>0.8</v>
      </c>
      <c r="P484" s="50"/>
      <c r="Q484" s="50">
        <v>0.8</v>
      </c>
    </row>
    <row r="485" spans="1:17" x14ac:dyDescent="0.25">
      <c r="A485" s="49" t="s">
        <v>712</v>
      </c>
      <c r="B485" s="49" t="s">
        <v>356</v>
      </c>
      <c r="C485" s="49" t="s">
        <v>357</v>
      </c>
      <c r="D485" s="49" t="s">
        <v>69</v>
      </c>
      <c r="E485" s="50">
        <v>6280000</v>
      </c>
      <c r="F485" s="50">
        <v>6277196</v>
      </c>
      <c r="G485" s="50">
        <v>6277196</v>
      </c>
      <c r="H485" s="50">
        <v>0</v>
      </c>
      <c r="I485" s="50">
        <v>0</v>
      </c>
      <c r="J485" s="50">
        <v>0</v>
      </c>
      <c r="K485" s="50">
        <v>6277195.2000000002</v>
      </c>
      <c r="L485" s="50"/>
      <c r="M485" s="50">
        <v>6277195.2000000002</v>
      </c>
      <c r="N485" s="50"/>
      <c r="O485" s="50">
        <v>0.8</v>
      </c>
      <c r="P485" s="50"/>
      <c r="Q485" s="50">
        <v>0.8</v>
      </c>
    </row>
    <row r="486" spans="1:17" x14ac:dyDescent="0.25">
      <c r="A486" s="49" t="s">
        <v>712</v>
      </c>
      <c r="B486" s="49" t="s">
        <v>212</v>
      </c>
      <c r="C486" s="49" t="s">
        <v>213</v>
      </c>
      <c r="D486" s="49" t="s">
        <v>69</v>
      </c>
      <c r="E486" s="50">
        <v>6565770</v>
      </c>
      <c r="F486" s="50">
        <v>6479770</v>
      </c>
      <c r="G486" s="50">
        <v>6479770</v>
      </c>
      <c r="H486" s="50">
        <v>0</v>
      </c>
      <c r="I486" s="50">
        <v>7480.63</v>
      </c>
      <c r="J486" s="50">
        <v>0</v>
      </c>
      <c r="K486" s="50">
        <v>4657505.2699999996</v>
      </c>
      <c r="L486" s="50"/>
      <c r="M486" s="50">
        <v>4127055.27</v>
      </c>
      <c r="N486" s="50"/>
      <c r="O486" s="50">
        <v>1814784.1</v>
      </c>
      <c r="P486" s="50"/>
      <c r="Q486" s="50">
        <v>1814784.1</v>
      </c>
    </row>
    <row r="487" spans="1:17" x14ac:dyDescent="0.25">
      <c r="A487" s="49" t="s">
        <v>712</v>
      </c>
      <c r="B487" s="49" t="s">
        <v>216</v>
      </c>
      <c r="C487" s="49" t="s">
        <v>217</v>
      </c>
      <c r="D487" s="49" t="s">
        <v>69</v>
      </c>
      <c r="E487" s="50">
        <v>1076170</v>
      </c>
      <c r="F487" s="50">
        <v>1076170</v>
      </c>
      <c r="G487" s="50">
        <v>1076170</v>
      </c>
      <c r="H487" s="50">
        <v>0</v>
      </c>
      <c r="I487" s="50">
        <v>0</v>
      </c>
      <c r="J487" s="50">
        <v>0</v>
      </c>
      <c r="K487" s="50">
        <v>604425</v>
      </c>
      <c r="L487" s="50"/>
      <c r="M487" s="50">
        <v>73975</v>
      </c>
      <c r="N487" s="50"/>
      <c r="O487" s="50">
        <v>471745</v>
      </c>
      <c r="P487" s="50"/>
      <c r="Q487" s="50">
        <v>471745</v>
      </c>
    </row>
    <row r="488" spans="1:17" x14ac:dyDescent="0.25">
      <c r="A488" s="49" t="s">
        <v>712</v>
      </c>
      <c r="B488" s="49" t="s">
        <v>218</v>
      </c>
      <c r="C488" s="49" t="s">
        <v>219</v>
      </c>
      <c r="D488" s="49" t="s">
        <v>69</v>
      </c>
      <c r="E488" s="50">
        <v>333500</v>
      </c>
      <c r="F488" s="50">
        <v>333500</v>
      </c>
      <c r="G488" s="50">
        <v>333500</v>
      </c>
      <c r="H488" s="50">
        <v>0</v>
      </c>
      <c r="I488" s="50">
        <v>0</v>
      </c>
      <c r="J488" s="50">
        <v>0</v>
      </c>
      <c r="K488" s="50">
        <v>242970</v>
      </c>
      <c r="L488" s="50"/>
      <c r="M488" s="50">
        <v>242970</v>
      </c>
      <c r="N488" s="50"/>
      <c r="O488" s="50">
        <v>90530</v>
      </c>
      <c r="P488" s="50"/>
      <c r="Q488" s="50">
        <v>90530</v>
      </c>
    </row>
    <row r="489" spans="1:17" x14ac:dyDescent="0.25">
      <c r="A489" s="49" t="s">
        <v>712</v>
      </c>
      <c r="B489" s="49" t="s">
        <v>220</v>
      </c>
      <c r="C489" s="49" t="s">
        <v>221</v>
      </c>
      <c r="D489" s="49" t="s">
        <v>69</v>
      </c>
      <c r="E489" s="50">
        <v>2531700</v>
      </c>
      <c r="F489" s="50">
        <v>2530600</v>
      </c>
      <c r="G489" s="50">
        <v>2530600</v>
      </c>
      <c r="H489" s="50">
        <v>0</v>
      </c>
      <c r="I489" s="50">
        <v>7480.63</v>
      </c>
      <c r="J489" s="50">
        <v>0</v>
      </c>
      <c r="K489" s="50">
        <v>2333437.5699999998</v>
      </c>
      <c r="L489" s="50"/>
      <c r="M489" s="50">
        <v>2333437.5699999998</v>
      </c>
      <c r="N489" s="50"/>
      <c r="O489" s="50">
        <v>189681.8</v>
      </c>
      <c r="P489" s="50"/>
      <c r="Q489" s="50">
        <v>189681.8</v>
      </c>
    </row>
    <row r="490" spans="1:17" x14ac:dyDescent="0.25">
      <c r="A490" s="49" t="s">
        <v>712</v>
      </c>
      <c r="B490" s="49" t="s">
        <v>224</v>
      </c>
      <c r="C490" s="49" t="s">
        <v>225</v>
      </c>
      <c r="D490" s="49" t="s">
        <v>69</v>
      </c>
      <c r="E490" s="50">
        <v>525000</v>
      </c>
      <c r="F490" s="50">
        <v>495000</v>
      </c>
      <c r="G490" s="50">
        <v>495000</v>
      </c>
      <c r="H490" s="50">
        <v>0</v>
      </c>
      <c r="I490" s="50">
        <v>0</v>
      </c>
      <c r="J490" s="50">
        <v>0</v>
      </c>
      <c r="K490" s="50">
        <v>180862.15</v>
      </c>
      <c r="L490" s="50"/>
      <c r="M490" s="50">
        <v>180862.15</v>
      </c>
      <c r="N490" s="50"/>
      <c r="O490" s="50">
        <v>314137.84999999998</v>
      </c>
      <c r="P490" s="50"/>
      <c r="Q490" s="50">
        <v>314137.84999999998</v>
      </c>
    </row>
    <row r="491" spans="1:17" x14ac:dyDescent="0.25">
      <c r="A491" s="49" t="s">
        <v>712</v>
      </c>
      <c r="B491" s="49" t="s">
        <v>226</v>
      </c>
      <c r="C491" s="49" t="s">
        <v>227</v>
      </c>
      <c r="D491" s="49" t="s">
        <v>69</v>
      </c>
      <c r="E491" s="50">
        <v>2094900</v>
      </c>
      <c r="F491" s="50">
        <v>2040000</v>
      </c>
      <c r="G491" s="50">
        <v>2040000</v>
      </c>
      <c r="H491" s="50">
        <v>0</v>
      </c>
      <c r="I491" s="50">
        <v>0</v>
      </c>
      <c r="J491" s="50">
        <v>0</v>
      </c>
      <c r="K491" s="50">
        <v>1295810.55</v>
      </c>
      <c r="L491" s="50"/>
      <c r="M491" s="50">
        <v>1295810.55</v>
      </c>
      <c r="N491" s="50"/>
      <c r="O491" s="50">
        <v>744189.45</v>
      </c>
      <c r="P491" s="50"/>
      <c r="Q491" s="50">
        <v>744189.45</v>
      </c>
    </row>
    <row r="492" spans="1:17" x14ac:dyDescent="0.25">
      <c r="A492" s="49" t="s">
        <v>712</v>
      </c>
      <c r="B492" s="49" t="s">
        <v>228</v>
      </c>
      <c r="C492" s="49" t="s">
        <v>229</v>
      </c>
      <c r="D492" s="49" t="s">
        <v>69</v>
      </c>
      <c r="E492" s="50">
        <v>4500</v>
      </c>
      <c r="F492" s="50">
        <v>4500</v>
      </c>
      <c r="G492" s="50">
        <v>4500</v>
      </c>
      <c r="H492" s="50">
        <v>0</v>
      </c>
      <c r="I492" s="50">
        <v>0</v>
      </c>
      <c r="J492" s="50">
        <v>0</v>
      </c>
      <c r="K492" s="50">
        <v>0</v>
      </c>
      <c r="L492" s="50"/>
      <c r="M492" s="50">
        <v>0</v>
      </c>
      <c r="N492" s="50"/>
      <c r="O492" s="50">
        <v>4500</v>
      </c>
      <c r="P492" s="50"/>
      <c r="Q492" s="50">
        <v>4500</v>
      </c>
    </row>
    <row r="493" spans="1:17" x14ac:dyDescent="0.25">
      <c r="A493" s="49" t="s">
        <v>712</v>
      </c>
      <c r="B493" s="49" t="s">
        <v>248</v>
      </c>
      <c r="C493" s="49" t="s">
        <v>249</v>
      </c>
      <c r="D493" s="49" t="s">
        <v>69</v>
      </c>
      <c r="E493" s="50">
        <v>21838204</v>
      </c>
      <c r="F493" s="50">
        <v>21451264</v>
      </c>
      <c r="G493" s="50">
        <v>21451264</v>
      </c>
      <c r="H493" s="50">
        <v>0</v>
      </c>
      <c r="I493" s="50">
        <v>0</v>
      </c>
      <c r="J493" s="50">
        <v>0</v>
      </c>
      <c r="K493" s="50">
        <v>19721471</v>
      </c>
      <c r="L493" s="50"/>
      <c r="M493" s="50">
        <v>19721471</v>
      </c>
      <c r="N493" s="50"/>
      <c r="O493" s="50">
        <v>1729793</v>
      </c>
      <c r="P493" s="50"/>
      <c r="Q493" s="50">
        <v>1729793</v>
      </c>
    </row>
    <row r="494" spans="1:17" x14ac:dyDescent="0.25">
      <c r="A494" s="49" t="s">
        <v>712</v>
      </c>
      <c r="B494" s="49" t="s">
        <v>250</v>
      </c>
      <c r="C494" s="49" t="s">
        <v>251</v>
      </c>
      <c r="D494" s="49" t="s">
        <v>69</v>
      </c>
      <c r="E494" s="50">
        <v>16338204</v>
      </c>
      <c r="F494" s="50">
        <v>15951264</v>
      </c>
      <c r="G494" s="50">
        <v>15951264</v>
      </c>
      <c r="H494" s="50">
        <v>0</v>
      </c>
      <c r="I494" s="50">
        <v>0</v>
      </c>
      <c r="J494" s="50">
        <v>0</v>
      </c>
      <c r="K494" s="50">
        <v>14236253</v>
      </c>
      <c r="L494" s="50"/>
      <c r="M494" s="50">
        <v>14236253</v>
      </c>
      <c r="N494" s="50"/>
      <c r="O494" s="50">
        <v>1715011</v>
      </c>
      <c r="P494" s="50"/>
      <c r="Q494" s="50">
        <v>1715011</v>
      </c>
    </row>
    <row r="495" spans="1:17" x14ac:dyDescent="0.25">
      <c r="A495" s="49" t="s">
        <v>712</v>
      </c>
      <c r="B495" s="49" t="s">
        <v>631</v>
      </c>
      <c r="C495" s="49" t="s">
        <v>702</v>
      </c>
      <c r="D495" s="49" t="s">
        <v>69</v>
      </c>
      <c r="E495" s="50">
        <v>13877686</v>
      </c>
      <c r="F495" s="50">
        <v>13549019</v>
      </c>
      <c r="G495" s="50">
        <v>13549019</v>
      </c>
      <c r="H495" s="50">
        <v>0</v>
      </c>
      <c r="I495" s="50">
        <v>0</v>
      </c>
      <c r="J495" s="50">
        <v>0</v>
      </c>
      <c r="K495" s="50">
        <v>12073189</v>
      </c>
      <c r="L495" s="50"/>
      <c r="M495" s="50">
        <v>12073189</v>
      </c>
      <c r="N495" s="50"/>
      <c r="O495" s="50">
        <v>1475830</v>
      </c>
      <c r="P495" s="50"/>
      <c r="Q495" s="50">
        <v>1475830</v>
      </c>
    </row>
    <row r="496" spans="1:17" x14ac:dyDescent="0.25">
      <c r="A496" s="49" t="s">
        <v>712</v>
      </c>
      <c r="B496" s="49" t="s">
        <v>646</v>
      </c>
      <c r="C496" s="49" t="s">
        <v>703</v>
      </c>
      <c r="D496" s="49" t="s">
        <v>69</v>
      </c>
      <c r="E496" s="50">
        <v>2460518</v>
      </c>
      <c r="F496" s="50">
        <v>2402245</v>
      </c>
      <c r="G496" s="50">
        <v>2402245</v>
      </c>
      <c r="H496" s="50">
        <v>0</v>
      </c>
      <c r="I496" s="50">
        <v>0</v>
      </c>
      <c r="J496" s="50">
        <v>0</v>
      </c>
      <c r="K496" s="50">
        <v>2163064</v>
      </c>
      <c r="L496" s="50"/>
      <c r="M496" s="50">
        <v>2163064</v>
      </c>
      <c r="N496" s="50"/>
      <c r="O496" s="50">
        <v>239181</v>
      </c>
      <c r="P496" s="50"/>
      <c r="Q496" s="50">
        <v>239181</v>
      </c>
    </row>
    <row r="497" spans="1:17" x14ac:dyDescent="0.25">
      <c r="A497" s="49" t="s">
        <v>712</v>
      </c>
      <c r="B497" s="49" t="s">
        <v>260</v>
      </c>
      <c r="C497" s="49" t="s">
        <v>261</v>
      </c>
      <c r="D497" s="49" t="s">
        <v>69</v>
      </c>
      <c r="E497" s="50">
        <v>5500000</v>
      </c>
      <c r="F497" s="50">
        <v>5500000</v>
      </c>
      <c r="G497" s="50">
        <v>5500000</v>
      </c>
      <c r="H497" s="50">
        <v>0</v>
      </c>
      <c r="I497" s="50">
        <v>0</v>
      </c>
      <c r="J497" s="50">
        <v>0</v>
      </c>
      <c r="K497" s="50">
        <v>5485218</v>
      </c>
      <c r="L497" s="50"/>
      <c r="M497" s="50">
        <v>5485218</v>
      </c>
      <c r="N497" s="50"/>
      <c r="O497" s="50">
        <v>14782</v>
      </c>
      <c r="P497" s="50"/>
      <c r="Q497" s="50">
        <v>14782</v>
      </c>
    </row>
    <row r="498" spans="1:17" x14ac:dyDescent="0.25">
      <c r="A498" s="49" t="s">
        <v>712</v>
      </c>
      <c r="B498" s="49" t="s">
        <v>264</v>
      </c>
      <c r="C498" s="49" t="s">
        <v>265</v>
      </c>
      <c r="D498" s="49" t="s">
        <v>69</v>
      </c>
      <c r="E498" s="50">
        <v>5500000</v>
      </c>
      <c r="F498" s="50">
        <v>5500000</v>
      </c>
      <c r="G498" s="50">
        <v>5500000</v>
      </c>
      <c r="H498" s="50">
        <v>0</v>
      </c>
      <c r="I498" s="50">
        <v>0</v>
      </c>
      <c r="J498" s="50">
        <v>0</v>
      </c>
      <c r="K498" s="50">
        <v>5485218</v>
      </c>
      <c r="L498" s="50"/>
      <c r="M498" s="50">
        <v>5485218</v>
      </c>
      <c r="N498" s="50"/>
      <c r="O498" s="50">
        <v>14782</v>
      </c>
      <c r="P498" s="50"/>
      <c r="Q498" s="50">
        <v>14782</v>
      </c>
    </row>
    <row r="499" spans="1:17" x14ac:dyDescent="0.25">
      <c r="A499" s="49" t="s">
        <v>712</v>
      </c>
      <c r="B499" s="49" t="s">
        <v>230</v>
      </c>
      <c r="C499" s="49" t="s">
        <v>231</v>
      </c>
      <c r="D499" s="49" t="s">
        <v>85</v>
      </c>
      <c r="E499" s="50">
        <v>10612500</v>
      </c>
      <c r="F499" s="50">
        <v>10612500</v>
      </c>
      <c r="G499" s="50">
        <v>10612500</v>
      </c>
      <c r="H499" s="50">
        <v>0</v>
      </c>
      <c r="I499" s="50">
        <v>2353077.65</v>
      </c>
      <c r="J499" s="50">
        <v>0</v>
      </c>
      <c r="K499" s="50">
        <v>5818800</v>
      </c>
      <c r="L499" s="50"/>
      <c r="M499" s="50">
        <v>5818800</v>
      </c>
      <c r="N499" s="50"/>
      <c r="O499" s="50">
        <v>2440622.35</v>
      </c>
      <c r="P499" s="50"/>
      <c r="Q499" s="50">
        <v>2440622.35</v>
      </c>
    </row>
    <row r="500" spans="1:17" x14ac:dyDescent="0.25">
      <c r="A500" s="49" t="s">
        <v>712</v>
      </c>
      <c r="B500" s="49" t="s">
        <v>232</v>
      </c>
      <c r="C500" s="49" t="s">
        <v>233</v>
      </c>
      <c r="D500" s="49" t="s">
        <v>85</v>
      </c>
      <c r="E500" s="50">
        <v>10612500</v>
      </c>
      <c r="F500" s="50">
        <v>10612500</v>
      </c>
      <c r="G500" s="50">
        <v>10612500</v>
      </c>
      <c r="H500" s="50">
        <v>0</v>
      </c>
      <c r="I500" s="50">
        <v>2353077.65</v>
      </c>
      <c r="J500" s="50">
        <v>0</v>
      </c>
      <c r="K500" s="50">
        <v>5818800</v>
      </c>
      <c r="L500" s="50"/>
      <c r="M500" s="50">
        <v>5818800</v>
      </c>
      <c r="N500" s="50"/>
      <c r="O500" s="50">
        <v>2440622.35</v>
      </c>
      <c r="P500" s="50"/>
      <c r="Q500" s="50">
        <v>2440622.35</v>
      </c>
    </row>
    <row r="501" spans="1:17" x14ac:dyDescent="0.25">
      <c r="A501" s="49" t="s">
        <v>712</v>
      </c>
      <c r="B501" s="49" t="s">
        <v>234</v>
      </c>
      <c r="C501" s="49" t="s">
        <v>235</v>
      </c>
      <c r="D501" s="49" t="s">
        <v>85</v>
      </c>
      <c r="E501" s="50">
        <v>6650000</v>
      </c>
      <c r="F501" s="50">
        <v>6650000</v>
      </c>
      <c r="G501" s="50">
        <v>6650000</v>
      </c>
      <c r="H501" s="50">
        <v>0</v>
      </c>
      <c r="I501" s="50">
        <v>0</v>
      </c>
      <c r="J501" s="50">
        <v>0</v>
      </c>
      <c r="K501" s="50">
        <v>5152800</v>
      </c>
      <c r="L501" s="50"/>
      <c r="M501" s="50">
        <v>5152800</v>
      </c>
      <c r="N501" s="50"/>
      <c r="O501" s="50">
        <v>1497200</v>
      </c>
      <c r="P501" s="50"/>
      <c r="Q501" s="50">
        <v>1497200</v>
      </c>
    </row>
    <row r="502" spans="1:17" x14ac:dyDescent="0.25">
      <c r="A502" s="49" t="s">
        <v>712</v>
      </c>
      <c r="B502" s="49" t="s">
        <v>326</v>
      </c>
      <c r="C502" s="49" t="s">
        <v>327</v>
      </c>
      <c r="D502" s="49" t="s">
        <v>85</v>
      </c>
      <c r="E502" s="50">
        <v>760000</v>
      </c>
      <c r="F502" s="50">
        <v>760000</v>
      </c>
      <c r="G502" s="50">
        <v>760000</v>
      </c>
      <c r="H502" s="50">
        <v>0</v>
      </c>
      <c r="I502" s="50">
        <v>0</v>
      </c>
      <c r="J502" s="50">
        <v>0</v>
      </c>
      <c r="K502" s="50">
        <v>666000</v>
      </c>
      <c r="L502" s="50"/>
      <c r="M502" s="50">
        <v>666000</v>
      </c>
      <c r="N502" s="50"/>
      <c r="O502" s="50">
        <v>94000</v>
      </c>
      <c r="P502" s="50"/>
      <c r="Q502" s="50">
        <v>94000</v>
      </c>
    </row>
    <row r="503" spans="1:17" x14ac:dyDescent="0.25">
      <c r="A503" s="49" t="s">
        <v>712</v>
      </c>
      <c r="B503" s="49" t="s">
        <v>242</v>
      </c>
      <c r="C503" s="49" t="s">
        <v>243</v>
      </c>
      <c r="D503" s="49" t="s">
        <v>85</v>
      </c>
      <c r="E503" s="50">
        <v>3202500</v>
      </c>
      <c r="F503" s="50">
        <v>3202500</v>
      </c>
      <c r="G503" s="50">
        <v>3202500</v>
      </c>
      <c r="H503" s="50">
        <v>0</v>
      </c>
      <c r="I503" s="50">
        <v>2353077.65</v>
      </c>
      <c r="J503" s="50">
        <v>0</v>
      </c>
      <c r="K503" s="50">
        <v>0</v>
      </c>
      <c r="L503" s="50"/>
      <c r="M503" s="50">
        <v>0</v>
      </c>
      <c r="N503" s="50"/>
      <c r="O503" s="50">
        <v>849422.35</v>
      </c>
      <c r="P503" s="50"/>
      <c r="Q503" s="50">
        <v>849422.35</v>
      </c>
    </row>
    <row r="504" spans="1:17" x14ac:dyDescent="0.25">
      <c r="A504" s="49">
        <v>214789003</v>
      </c>
      <c r="B504" s="49"/>
      <c r="C504" s="49"/>
      <c r="D504" s="49" t="s">
        <v>69</v>
      </c>
      <c r="E504" s="50">
        <v>1434240030</v>
      </c>
      <c r="F504" s="50">
        <v>1449674150</v>
      </c>
      <c r="G504" s="50">
        <v>1449674150</v>
      </c>
      <c r="H504" s="50">
        <v>0</v>
      </c>
      <c r="I504" s="50">
        <v>19036695</v>
      </c>
      <c r="J504" s="50">
        <v>0</v>
      </c>
      <c r="K504" s="50">
        <v>1313606623.73</v>
      </c>
      <c r="L504" s="50"/>
      <c r="M504" s="50">
        <v>1269733326.3099999</v>
      </c>
      <c r="N504" s="50"/>
      <c r="O504" s="50">
        <v>117030831.27</v>
      </c>
      <c r="P504" s="50"/>
      <c r="Q504" s="50">
        <v>117030831.27</v>
      </c>
    </row>
    <row r="505" spans="1:17" x14ac:dyDescent="0.25">
      <c r="A505" s="49" t="s">
        <v>713</v>
      </c>
      <c r="B505" s="49" t="s">
        <v>71</v>
      </c>
      <c r="C505" s="49" t="s">
        <v>72</v>
      </c>
      <c r="D505" s="49" t="s">
        <v>69</v>
      </c>
      <c r="E505" s="50">
        <v>1171265212</v>
      </c>
      <c r="F505" s="50">
        <v>1157887237</v>
      </c>
      <c r="G505" s="50">
        <v>1157887237</v>
      </c>
      <c r="H505" s="50">
        <v>0</v>
      </c>
      <c r="I505" s="50">
        <v>3360937.32</v>
      </c>
      <c r="J505" s="50">
        <v>0</v>
      </c>
      <c r="K505" s="50">
        <v>1046706940.13</v>
      </c>
      <c r="L505" s="50"/>
      <c r="M505" s="50">
        <v>1046706940.13</v>
      </c>
      <c r="N505" s="50"/>
      <c r="O505" s="50">
        <v>107819359.55</v>
      </c>
      <c r="P505" s="50"/>
      <c r="Q505" s="50">
        <v>107819359.55</v>
      </c>
    </row>
    <row r="506" spans="1:17" x14ac:dyDescent="0.25">
      <c r="A506" s="49" t="s">
        <v>713</v>
      </c>
      <c r="B506" s="49" t="s">
        <v>73</v>
      </c>
      <c r="C506" s="49" t="s">
        <v>74</v>
      </c>
      <c r="D506" s="49" t="s">
        <v>69</v>
      </c>
      <c r="E506" s="50">
        <v>419650432</v>
      </c>
      <c r="F506" s="50">
        <v>414102244</v>
      </c>
      <c r="G506" s="50">
        <v>414102244</v>
      </c>
      <c r="H506" s="50">
        <v>0</v>
      </c>
      <c r="I506" s="50">
        <v>0</v>
      </c>
      <c r="J506" s="50">
        <v>0</v>
      </c>
      <c r="K506" s="50">
        <v>397680715.11000001</v>
      </c>
      <c r="L506" s="50"/>
      <c r="M506" s="50">
        <v>397680715.11000001</v>
      </c>
      <c r="N506" s="50"/>
      <c r="O506" s="50">
        <v>16421528.890000001</v>
      </c>
      <c r="P506" s="50"/>
      <c r="Q506" s="50">
        <v>16421528.890000001</v>
      </c>
    </row>
    <row r="507" spans="1:17" x14ac:dyDescent="0.25">
      <c r="A507" s="49" t="s">
        <v>713</v>
      </c>
      <c r="B507" s="49" t="s">
        <v>75</v>
      </c>
      <c r="C507" s="49" t="s">
        <v>76</v>
      </c>
      <c r="D507" s="49" t="s">
        <v>69</v>
      </c>
      <c r="E507" s="50">
        <v>419650432</v>
      </c>
      <c r="F507" s="50">
        <v>414102244</v>
      </c>
      <c r="G507" s="50">
        <v>414102244</v>
      </c>
      <c r="H507" s="50">
        <v>0</v>
      </c>
      <c r="I507" s="50">
        <v>0</v>
      </c>
      <c r="J507" s="50">
        <v>0</v>
      </c>
      <c r="K507" s="50">
        <v>397680715.11000001</v>
      </c>
      <c r="L507" s="50"/>
      <c r="M507" s="50">
        <v>397680715.11000001</v>
      </c>
      <c r="N507" s="50"/>
      <c r="O507" s="50">
        <v>16421528.890000001</v>
      </c>
      <c r="P507" s="50"/>
      <c r="Q507" s="50">
        <v>16421528.890000001</v>
      </c>
    </row>
    <row r="508" spans="1:17" x14ac:dyDescent="0.25">
      <c r="A508" s="49" t="s">
        <v>713</v>
      </c>
      <c r="B508" s="49" t="s">
        <v>293</v>
      </c>
      <c r="C508" s="49" t="s">
        <v>294</v>
      </c>
      <c r="D508" s="49" t="s">
        <v>69</v>
      </c>
      <c r="E508" s="50">
        <v>5204100</v>
      </c>
      <c r="F508" s="50">
        <v>5204100</v>
      </c>
      <c r="G508" s="50">
        <v>5204100</v>
      </c>
      <c r="H508" s="50">
        <v>0</v>
      </c>
      <c r="I508" s="50">
        <v>0</v>
      </c>
      <c r="J508" s="50">
        <v>0</v>
      </c>
      <c r="K508" s="50">
        <v>0</v>
      </c>
      <c r="L508" s="50"/>
      <c r="M508" s="50">
        <v>0</v>
      </c>
      <c r="N508" s="50"/>
      <c r="O508" s="50">
        <v>5204100</v>
      </c>
      <c r="P508" s="50"/>
      <c r="Q508" s="50">
        <v>5204100</v>
      </c>
    </row>
    <row r="509" spans="1:17" x14ac:dyDescent="0.25">
      <c r="A509" s="49" t="s">
        <v>713</v>
      </c>
      <c r="B509" s="49" t="s">
        <v>339</v>
      </c>
      <c r="C509" s="49" t="s">
        <v>340</v>
      </c>
      <c r="D509" s="49" t="s">
        <v>69</v>
      </c>
      <c r="E509" s="50">
        <v>5204100</v>
      </c>
      <c r="F509" s="50">
        <v>5204100</v>
      </c>
      <c r="G509" s="50">
        <v>5204100</v>
      </c>
      <c r="H509" s="50">
        <v>0</v>
      </c>
      <c r="I509" s="50">
        <v>0</v>
      </c>
      <c r="J509" s="50">
        <v>0</v>
      </c>
      <c r="K509" s="50">
        <v>0</v>
      </c>
      <c r="L509" s="50"/>
      <c r="M509" s="50">
        <v>0</v>
      </c>
      <c r="N509" s="50"/>
      <c r="O509" s="50">
        <v>5204100</v>
      </c>
      <c r="P509" s="50"/>
      <c r="Q509" s="50">
        <v>5204100</v>
      </c>
    </row>
    <row r="510" spans="1:17" x14ac:dyDescent="0.25">
      <c r="A510" s="49" t="s">
        <v>713</v>
      </c>
      <c r="B510" s="49" t="s">
        <v>77</v>
      </c>
      <c r="C510" s="49" t="s">
        <v>78</v>
      </c>
      <c r="D510" s="49" t="s">
        <v>69</v>
      </c>
      <c r="E510" s="50">
        <v>567738543</v>
      </c>
      <c r="F510" s="50">
        <v>561491876</v>
      </c>
      <c r="G510" s="50">
        <v>561491876</v>
      </c>
      <c r="H510" s="50">
        <v>0</v>
      </c>
      <c r="I510" s="50">
        <v>3360937.32</v>
      </c>
      <c r="J510" s="50">
        <v>0</v>
      </c>
      <c r="K510" s="50">
        <v>500481213.01999998</v>
      </c>
      <c r="L510" s="50"/>
      <c r="M510" s="50">
        <v>500481213.01999998</v>
      </c>
      <c r="N510" s="50"/>
      <c r="O510" s="50">
        <v>57649725.659999996</v>
      </c>
      <c r="P510" s="50"/>
      <c r="Q510" s="50">
        <v>57649725.659999996</v>
      </c>
    </row>
    <row r="511" spans="1:17" x14ac:dyDescent="0.25">
      <c r="A511" s="49" t="s">
        <v>713</v>
      </c>
      <c r="B511" s="49" t="s">
        <v>79</v>
      </c>
      <c r="C511" s="49" t="s">
        <v>80</v>
      </c>
      <c r="D511" s="49" t="s">
        <v>69</v>
      </c>
      <c r="E511" s="50">
        <v>176537100</v>
      </c>
      <c r="F511" s="50">
        <v>176537100</v>
      </c>
      <c r="G511" s="50">
        <v>176537100</v>
      </c>
      <c r="H511" s="50">
        <v>0</v>
      </c>
      <c r="I511" s="50">
        <v>0</v>
      </c>
      <c r="J511" s="50">
        <v>0</v>
      </c>
      <c r="K511" s="50">
        <v>148315415.31</v>
      </c>
      <c r="L511" s="50"/>
      <c r="M511" s="50">
        <v>148315415.31</v>
      </c>
      <c r="N511" s="50"/>
      <c r="O511" s="50">
        <v>28221684.690000001</v>
      </c>
      <c r="P511" s="50"/>
      <c r="Q511" s="50">
        <v>28221684.690000001</v>
      </c>
    </row>
    <row r="512" spans="1:17" x14ac:dyDescent="0.25">
      <c r="A512" s="49" t="s">
        <v>713</v>
      </c>
      <c r="B512" s="49" t="s">
        <v>81</v>
      </c>
      <c r="C512" s="49" t="s">
        <v>82</v>
      </c>
      <c r="D512" s="49" t="s">
        <v>69</v>
      </c>
      <c r="E512" s="50">
        <v>145353690</v>
      </c>
      <c r="F512" s="50">
        <v>142783300</v>
      </c>
      <c r="G512" s="50">
        <v>142783300</v>
      </c>
      <c r="H512" s="50">
        <v>0</v>
      </c>
      <c r="I512" s="50">
        <v>0</v>
      </c>
      <c r="J512" s="50">
        <v>0</v>
      </c>
      <c r="K512" s="50">
        <v>126764950.7</v>
      </c>
      <c r="L512" s="50"/>
      <c r="M512" s="50">
        <v>126764950.7</v>
      </c>
      <c r="N512" s="50"/>
      <c r="O512" s="50">
        <v>16018349.300000001</v>
      </c>
      <c r="P512" s="50"/>
      <c r="Q512" s="50">
        <v>16018349.300000001</v>
      </c>
    </row>
    <row r="513" spans="1:17" x14ac:dyDescent="0.25">
      <c r="A513" s="49" t="s">
        <v>713</v>
      </c>
      <c r="B513" s="49" t="s">
        <v>86</v>
      </c>
      <c r="C513" s="49" t="s">
        <v>87</v>
      </c>
      <c r="D513" s="49" t="s">
        <v>69</v>
      </c>
      <c r="E513" s="50">
        <v>70126000</v>
      </c>
      <c r="F513" s="50">
        <v>67126000</v>
      </c>
      <c r="G513" s="50">
        <v>67126000</v>
      </c>
      <c r="H513" s="50">
        <v>0</v>
      </c>
      <c r="I513" s="50">
        <v>3360937.32</v>
      </c>
      <c r="J513" s="50">
        <v>0</v>
      </c>
      <c r="K513" s="50">
        <v>63459636.100000001</v>
      </c>
      <c r="L513" s="50"/>
      <c r="M513" s="50">
        <v>63459636.100000001</v>
      </c>
      <c r="N513" s="50"/>
      <c r="O513" s="50">
        <v>305426.58</v>
      </c>
      <c r="P513" s="50"/>
      <c r="Q513" s="50">
        <v>305426.58</v>
      </c>
    </row>
    <row r="514" spans="1:17" x14ac:dyDescent="0.25">
      <c r="A514" s="49" t="s">
        <v>713</v>
      </c>
      <c r="B514" s="49" t="s">
        <v>88</v>
      </c>
      <c r="C514" s="49" t="s">
        <v>89</v>
      </c>
      <c r="D514" s="49" t="s">
        <v>69</v>
      </c>
      <c r="E514" s="50">
        <v>99397100</v>
      </c>
      <c r="F514" s="50">
        <v>99397100</v>
      </c>
      <c r="G514" s="50">
        <v>99397100</v>
      </c>
      <c r="H514" s="50">
        <v>0</v>
      </c>
      <c r="I514" s="50">
        <v>0</v>
      </c>
      <c r="J514" s="50">
        <v>0</v>
      </c>
      <c r="K514" s="50">
        <v>91259491.189999998</v>
      </c>
      <c r="L514" s="50"/>
      <c r="M514" s="50">
        <v>91259491.189999998</v>
      </c>
      <c r="N514" s="50"/>
      <c r="O514" s="50">
        <v>8137608.8099999996</v>
      </c>
      <c r="P514" s="50"/>
      <c r="Q514" s="50">
        <v>8137608.8099999996</v>
      </c>
    </row>
    <row r="515" spans="1:17" x14ac:dyDescent="0.25">
      <c r="A515" s="49" t="s">
        <v>713</v>
      </c>
      <c r="B515" s="49" t="s">
        <v>83</v>
      </c>
      <c r="C515" s="49" t="s">
        <v>84</v>
      </c>
      <c r="D515" s="49" t="s">
        <v>85</v>
      </c>
      <c r="E515" s="50">
        <v>76324653</v>
      </c>
      <c r="F515" s="50">
        <v>75648376</v>
      </c>
      <c r="G515" s="50">
        <v>75648376</v>
      </c>
      <c r="H515" s="50">
        <v>0</v>
      </c>
      <c r="I515" s="50">
        <v>0</v>
      </c>
      <c r="J515" s="50">
        <v>0</v>
      </c>
      <c r="K515" s="50">
        <v>70681719.719999999</v>
      </c>
      <c r="L515" s="50"/>
      <c r="M515" s="50">
        <v>70681719.719999999</v>
      </c>
      <c r="N515" s="50"/>
      <c r="O515" s="50">
        <v>4966656.28</v>
      </c>
      <c r="P515" s="50"/>
      <c r="Q515" s="50">
        <v>4966656.28</v>
      </c>
    </row>
    <row r="516" spans="1:17" x14ac:dyDescent="0.25">
      <c r="A516" s="49" t="s">
        <v>713</v>
      </c>
      <c r="B516" s="49" t="s">
        <v>90</v>
      </c>
      <c r="C516" s="49" t="s">
        <v>91</v>
      </c>
      <c r="D516" s="49" t="s">
        <v>69</v>
      </c>
      <c r="E516" s="50">
        <v>89336069</v>
      </c>
      <c r="F516" s="50">
        <v>88544509</v>
      </c>
      <c r="G516" s="50">
        <v>88544509</v>
      </c>
      <c r="H516" s="50">
        <v>0</v>
      </c>
      <c r="I516" s="50">
        <v>0</v>
      </c>
      <c r="J516" s="50">
        <v>0</v>
      </c>
      <c r="K516" s="50">
        <v>74326346</v>
      </c>
      <c r="L516" s="50"/>
      <c r="M516" s="50">
        <v>74326346</v>
      </c>
      <c r="N516" s="50"/>
      <c r="O516" s="50">
        <v>14218163</v>
      </c>
      <c r="P516" s="50"/>
      <c r="Q516" s="50">
        <v>14218163</v>
      </c>
    </row>
    <row r="517" spans="1:17" x14ac:dyDescent="0.25">
      <c r="A517" s="49" t="s">
        <v>713</v>
      </c>
      <c r="B517" s="49" t="s">
        <v>423</v>
      </c>
      <c r="C517" s="49" t="s">
        <v>697</v>
      </c>
      <c r="D517" s="49" t="s">
        <v>69</v>
      </c>
      <c r="E517" s="50">
        <v>84754804</v>
      </c>
      <c r="F517" s="50">
        <v>84003836</v>
      </c>
      <c r="G517" s="50">
        <v>84003836</v>
      </c>
      <c r="H517" s="50">
        <v>0</v>
      </c>
      <c r="I517" s="50">
        <v>0</v>
      </c>
      <c r="J517" s="50">
        <v>0</v>
      </c>
      <c r="K517" s="50">
        <v>70514739</v>
      </c>
      <c r="L517" s="50"/>
      <c r="M517" s="50">
        <v>70514739</v>
      </c>
      <c r="N517" s="50"/>
      <c r="O517" s="50">
        <v>13489097</v>
      </c>
      <c r="P517" s="50"/>
      <c r="Q517" s="50">
        <v>13489097</v>
      </c>
    </row>
    <row r="518" spans="1:17" x14ac:dyDescent="0.25">
      <c r="A518" s="49" t="s">
        <v>713</v>
      </c>
      <c r="B518" s="49" t="s">
        <v>440</v>
      </c>
      <c r="C518" s="49" t="s">
        <v>95</v>
      </c>
      <c r="D518" s="49" t="s">
        <v>69</v>
      </c>
      <c r="E518" s="50">
        <v>4581265</v>
      </c>
      <c r="F518" s="50">
        <v>4540673</v>
      </c>
      <c r="G518" s="50">
        <v>4540673</v>
      </c>
      <c r="H518" s="50">
        <v>0</v>
      </c>
      <c r="I518" s="50">
        <v>0</v>
      </c>
      <c r="J518" s="50">
        <v>0</v>
      </c>
      <c r="K518" s="50">
        <v>3811607</v>
      </c>
      <c r="L518" s="50"/>
      <c r="M518" s="50">
        <v>3811607</v>
      </c>
      <c r="N518" s="50"/>
      <c r="O518" s="50">
        <v>729066</v>
      </c>
      <c r="P518" s="50"/>
      <c r="Q518" s="50">
        <v>729066</v>
      </c>
    </row>
    <row r="519" spans="1:17" x14ac:dyDescent="0.25">
      <c r="A519" s="49" t="s">
        <v>713</v>
      </c>
      <c r="B519" s="49" t="s">
        <v>96</v>
      </c>
      <c r="C519" s="49" t="s">
        <v>97</v>
      </c>
      <c r="D519" s="49" t="s">
        <v>69</v>
      </c>
      <c r="E519" s="50">
        <v>89336068</v>
      </c>
      <c r="F519" s="50">
        <v>88544508</v>
      </c>
      <c r="G519" s="50">
        <v>88544508</v>
      </c>
      <c r="H519" s="50">
        <v>0</v>
      </c>
      <c r="I519" s="50">
        <v>0</v>
      </c>
      <c r="J519" s="50">
        <v>0</v>
      </c>
      <c r="K519" s="50">
        <v>74218666</v>
      </c>
      <c r="L519" s="50"/>
      <c r="M519" s="50">
        <v>74218666</v>
      </c>
      <c r="N519" s="50"/>
      <c r="O519" s="50">
        <v>14325842</v>
      </c>
      <c r="P519" s="50"/>
      <c r="Q519" s="50">
        <v>14325842</v>
      </c>
    </row>
    <row r="520" spans="1:17" x14ac:dyDescent="0.25">
      <c r="A520" s="49" t="s">
        <v>713</v>
      </c>
      <c r="B520" s="49" t="s">
        <v>458</v>
      </c>
      <c r="C520" s="49" t="s">
        <v>698</v>
      </c>
      <c r="D520" s="49" t="s">
        <v>69</v>
      </c>
      <c r="E520" s="50">
        <v>48104083</v>
      </c>
      <c r="F520" s="50">
        <v>47677858</v>
      </c>
      <c r="G520" s="50">
        <v>47677858</v>
      </c>
      <c r="H520" s="50">
        <v>0</v>
      </c>
      <c r="I520" s="50">
        <v>0</v>
      </c>
      <c r="J520" s="50">
        <v>0</v>
      </c>
      <c r="K520" s="50">
        <v>39914196</v>
      </c>
      <c r="L520" s="50"/>
      <c r="M520" s="50">
        <v>39914196</v>
      </c>
      <c r="N520" s="50"/>
      <c r="O520" s="50">
        <v>7763662</v>
      </c>
      <c r="P520" s="50"/>
      <c r="Q520" s="50">
        <v>7763662</v>
      </c>
    </row>
    <row r="521" spans="1:17" x14ac:dyDescent="0.25">
      <c r="A521" s="49" t="s">
        <v>713</v>
      </c>
      <c r="B521" s="49" t="s">
        <v>475</v>
      </c>
      <c r="C521" s="49" t="s">
        <v>699</v>
      </c>
      <c r="D521" s="49" t="s">
        <v>69</v>
      </c>
      <c r="E521" s="50">
        <v>13743995</v>
      </c>
      <c r="F521" s="50">
        <v>15822217</v>
      </c>
      <c r="G521" s="50">
        <v>15822217</v>
      </c>
      <c r="H521" s="50">
        <v>0</v>
      </c>
      <c r="I521" s="50">
        <v>0</v>
      </c>
      <c r="J521" s="50">
        <v>0</v>
      </c>
      <c r="K521" s="50">
        <v>13372230</v>
      </c>
      <c r="L521" s="50"/>
      <c r="M521" s="50">
        <v>13372230</v>
      </c>
      <c r="N521" s="50"/>
      <c r="O521" s="50">
        <v>2449987</v>
      </c>
      <c r="P521" s="50"/>
      <c r="Q521" s="50">
        <v>2449987</v>
      </c>
    </row>
    <row r="522" spans="1:17" x14ac:dyDescent="0.25">
      <c r="A522" s="49" t="s">
        <v>713</v>
      </c>
      <c r="B522" s="49" t="s">
        <v>492</v>
      </c>
      <c r="C522" s="49" t="s">
        <v>700</v>
      </c>
      <c r="D522" s="49" t="s">
        <v>69</v>
      </c>
      <c r="E522" s="50">
        <v>27487990</v>
      </c>
      <c r="F522" s="50">
        <v>25044433</v>
      </c>
      <c r="G522" s="50">
        <v>25044433</v>
      </c>
      <c r="H522" s="50">
        <v>0</v>
      </c>
      <c r="I522" s="50">
        <v>0</v>
      </c>
      <c r="J522" s="50">
        <v>0</v>
      </c>
      <c r="K522" s="50">
        <v>20932240</v>
      </c>
      <c r="L522" s="50"/>
      <c r="M522" s="50">
        <v>20932240</v>
      </c>
      <c r="N522" s="50"/>
      <c r="O522" s="50">
        <v>4112193</v>
      </c>
      <c r="P522" s="50"/>
      <c r="Q522" s="50">
        <v>4112193</v>
      </c>
    </row>
    <row r="523" spans="1:17" x14ac:dyDescent="0.25">
      <c r="A523" s="49" t="s">
        <v>713</v>
      </c>
      <c r="B523" s="49" t="s">
        <v>104</v>
      </c>
      <c r="C523" s="49" t="s">
        <v>105</v>
      </c>
      <c r="D523" s="49" t="s">
        <v>69</v>
      </c>
      <c r="E523" s="50">
        <v>92630000</v>
      </c>
      <c r="F523" s="50">
        <v>92630000</v>
      </c>
      <c r="G523" s="50">
        <v>92630000</v>
      </c>
      <c r="H523" s="50">
        <v>0</v>
      </c>
      <c r="I523" s="50">
        <v>3565262.83</v>
      </c>
      <c r="J523" s="50">
        <v>0</v>
      </c>
      <c r="K523" s="50">
        <v>88900535.569999993</v>
      </c>
      <c r="L523" s="50"/>
      <c r="M523" s="50">
        <v>83213075.569999993</v>
      </c>
      <c r="N523" s="50"/>
      <c r="O523" s="50">
        <v>164201.60000000001</v>
      </c>
      <c r="P523" s="50"/>
      <c r="Q523" s="50">
        <v>164201.60000000001</v>
      </c>
    </row>
    <row r="524" spans="1:17" x14ac:dyDescent="0.25">
      <c r="A524" s="49" t="s">
        <v>713</v>
      </c>
      <c r="B524" s="49" t="s">
        <v>112</v>
      </c>
      <c r="C524" s="49" t="s">
        <v>113</v>
      </c>
      <c r="D524" s="49" t="s">
        <v>69</v>
      </c>
      <c r="E524" s="50">
        <v>92630000</v>
      </c>
      <c r="F524" s="50">
        <v>92630000</v>
      </c>
      <c r="G524" s="50">
        <v>92630000</v>
      </c>
      <c r="H524" s="50">
        <v>0</v>
      </c>
      <c r="I524" s="50">
        <v>3565262.83</v>
      </c>
      <c r="J524" s="50">
        <v>0</v>
      </c>
      <c r="K524" s="50">
        <v>88900535.569999993</v>
      </c>
      <c r="L524" s="50"/>
      <c r="M524" s="50">
        <v>83213075.569999993</v>
      </c>
      <c r="N524" s="50"/>
      <c r="O524" s="50">
        <v>164201.60000000001</v>
      </c>
      <c r="P524" s="50"/>
      <c r="Q524" s="50">
        <v>164201.60000000001</v>
      </c>
    </row>
    <row r="525" spans="1:17" x14ac:dyDescent="0.25">
      <c r="A525" s="49" t="s">
        <v>713</v>
      </c>
      <c r="B525" s="49" t="s">
        <v>114</v>
      </c>
      <c r="C525" s="49" t="s">
        <v>115</v>
      </c>
      <c r="D525" s="49" t="s">
        <v>69</v>
      </c>
      <c r="E525" s="50">
        <v>54520000</v>
      </c>
      <c r="F525" s="50">
        <v>54868709</v>
      </c>
      <c r="G525" s="50">
        <v>54868709</v>
      </c>
      <c r="H525" s="50">
        <v>0</v>
      </c>
      <c r="I525" s="50">
        <v>94294.399999999994</v>
      </c>
      <c r="J525" s="50">
        <v>0</v>
      </c>
      <c r="K525" s="50">
        <v>54774414</v>
      </c>
      <c r="L525" s="50"/>
      <c r="M525" s="50">
        <v>49086954</v>
      </c>
      <c r="N525" s="50"/>
      <c r="O525" s="50">
        <v>0.60000000000000009</v>
      </c>
      <c r="P525" s="50"/>
      <c r="Q525" s="50">
        <v>0.60000000000000009</v>
      </c>
    </row>
    <row r="526" spans="1:17" x14ac:dyDescent="0.25">
      <c r="A526" s="49" t="s">
        <v>713</v>
      </c>
      <c r="B526" s="49" t="s">
        <v>116</v>
      </c>
      <c r="C526" s="49" t="s">
        <v>117</v>
      </c>
      <c r="D526" s="49" t="s">
        <v>69</v>
      </c>
      <c r="E526" s="50">
        <v>34800000</v>
      </c>
      <c r="F526" s="50">
        <v>34800000</v>
      </c>
      <c r="G526" s="50">
        <v>34800000</v>
      </c>
      <c r="H526" s="50">
        <v>0</v>
      </c>
      <c r="I526" s="50">
        <v>3154776.65</v>
      </c>
      <c r="J526" s="50">
        <v>0</v>
      </c>
      <c r="K526" s="50">
        <v>31645223.350000001</v>
      </c>
      <c r="L526" s="50"/>
      <c r="M526" s="50">
        <v>31645223.350000001</v>
      </c>
      <c r="N526" s="50"/>
      <c r="O526" s="50">
        <v>0</v>
      </c>
      <c r="P526" s="50"/>
      <c r="Q526" s="50">
        <v>0</v>
      </c>
    </row>
    <row r="527" spans="1:17" x14ac:dyDescent="0.25">
      <c r="A527" s="49" t="s">
        <v>713</v>
      </c>
      <c r="B527" s="49" t="s">
        <v>120</v>
      </c>
      <c r="C527" s="49" t="s">
        <v>121</v>
      </c>
      <c r="D527" s="49" t="s">
        <v>69</v>
      </c>
      <c r="E527" s="50">
        <v>2310000</v>
      </c>
      <c r="F527" s="50">
        <v>2310000</v>
      </c>
      <c r="G527" s="50">
        <v>2310000</v>
      </c>
      <c r="H527" s="50">
        <v>0</v>
      </c>
      <c r="I527" s="50">
        <v>316191.78000000003</v>
      </c>
      <c r="J527" s="50">
        <v>0</v>
      </c>
      <c r="K527" s="50">
        <v>1993808.22</v>
      </c>
      <c r="L527" s="50"/>
      <c r="M527" s="50">
        <v>1993808.22</v>
      </c>
      <c r="N527" s="50"/>
      <c r="O527" s="50">
        <v>0</v>
      </c>
      <c r="P527" s="50"/>
      <c r="Q527" s="50">
        <v>0</v>
      </c>
    </row>
    <row r="528" spans="1:17" x14ac:dyDescent="0.25">
      <c r="A528" s="49" t="s">
        <v>713</v>
      </c>
      <c r="B528" s="49" t="s">
        <v>122</v>
      </c>
      <c r="C528" s="49" t="s">
        <v>123</v>
      </c>
      <c r="D528" s="49" t="s">
        <v>69</v>
      </c>
      <c r="E528" s="50">
        <v>1000000</v>
      </c>
      <c r="F528" s="50">
        <v>651291</v>
      </c>
      <c r="G528" s="50">
        <v>651291</v>
      </c>
      <c r="H528" s="50">
        <v>0</v>
      </c>
      <c r="I528" s="50">
        <v>0</v>
      </c>
      <c r="J528" s="50">
        <v>0</v>
      </c>
      <c r="K528" s="50">
        <v>487090</v>
      </c>
      <c r="L528" s="50"/>
      <c r="M528" s="50">
        <v>487090</v>
      </c>
      <c r="N528" s="50"/>
      <c r="O528" s="50">
        <v>164201</v>
      </c>
      <c r="P528" s="50"/>
      <c r="Q528" s="50">
        <v>164201</v>
      </c>
    </row>
    <row r="529" spans="1:17" x14ac:dyDescent="0.25">
      <c r="A529" s="49" t="s">
        <v>713</v>
      </c>
      <c r="B529" s="49" t="s">
        <v>140</v>
      </c>
      <c r="C529" s="49" t="s">
        <v>141</v>
      </c>
      <c r="D529" s="49" t="s">
        <v>69</v>
      </c>
      <c r="E529" s="50">
        <v>0</v>
      </c>
      <c r="F529" s="50">
        <v>0</v>
      </c>
      <c r="G529" s="50">
        <v>0</v>
      </c>
      <c r="H529" s="50">
        <v>0</v>
      </c>
      <c r="I529" s="50">
        <v>0</v>
      </c>
      <c r="J529" s="50">
        <v>0</v>
      </c>
      <c r="K529" s="50">
        <v>0</v>
      </c>
      <c r="L529" s="50"/>
      <c r="M529" s="50">
        <v>0</v>
      </c>
      <c r="N529" s="50"/>
      <c r="O529" s="50">
        <v>0</v>
      </c>
      <c r="P529" s="50"/>
      <c r="Q529" s="50">
        <v>0</v>
      </c>
    </row>
    <row r="530" spans="1:17" x14ac:dyDescent="0.25">
      <c r="A530" s="49" t="s">
        <v>713</v>
      </c>
      <c r="B530" s="49" t="s">
        <v>144</v>
      </c>
      <c r="C530" s="49" t="s">
        <v>145</v>
      </c>
      <c r="D530" s="49" t="s">
        <v>69</v>
      </c>
      <c r="E530" s="50">
        <v>0</v>
      </c>
      <c r="F530" s="50">
        <v>0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/>
      <c r="M530" s="50">
        <v>0</v>
      </c>
      <c r="N530" s="50"/>
      <c r="O530" s="50">
        <v>0</v>
      </c>
      <c r="P530" s="50"/>
      <c r="Q530" s="50">
        <v>0</v>
      </c>
    </row>
    <row r="531" spans="1:17" x14ac:dyDescent="0.25">
      <c r="A531" s="49" t="s">
        <v>713</v>
      </c>
      <c r="B531" s="49" t="s">
        <v>184</v>
      </c>
      <c r="C531" s="49" t="s">
        <v>185</v>
      </c>
      <c r="D531" s="49" t="s">
        <v>69</v>
      </c>
      <c r="E531" s="50">
        <v>150099855</v>
      </c>
      <c r="F531" s="50">
        <v>176046717</v>
      </c>
      <c r="G531" s="50">
        <v>176046717</v>
      </c>
      <c r="H531" s="50">
        <v>0</v>
      </c>
      <c r="I531" s="50">
        <v>12110494.85</v>
      </c>
      <c r="J531" s="50">
        <v>0</v>
      </c>
      <c r="K531" s="50">
        <v>160510005.47</v>
      </c>
      <c r="L531" s="50"/>
      <c r="M531" s="50">
        <v>122324168.05</v>
      </c>
      <c r="N531" s="50"/>
      <c r="O531" s="50">
        <v>3426216.68</v>
      </c>
      <c r="P531" s="50"/>
      <c r="Q531" s="50">
        <v>3426216.68</v>
      </c>
    </row>
    <row r="532" spans="1:17" x14ac:dyDescent="0.25">
      <c r="A532" s="49" t="s">
        <v>713</v>
      </c>
      <c r="B532" s="49" t="s">
        <v>186</v>
      </c>
      <c r="C532" s="49" t="s">
        <v>187</v>
      </c>
      <c r="D532" s="49" t="s">
        <v>69</v>
      </c>
      <c r="E532" s="50">
        <v>568000</v>
      </c>
      <c r="F532" s="50">
        <v>560093</v>
      </c>
      <c r="G532" s="50">
        <v>560093</v>
      </c>
      <c r="H532" s="50">
        <v>0</v>
      </c>
      <c r="I532" s="50">
        <v>0</v>
      </c>
      <c r="J532" s="50">
        <v>0</v>
      </c>
      <c r="K532" s="50">
        <v>271486.58</v>
      </c>
      <c r="L532" s="50"/>
      <c r="M532" s="50">
        <v>271486.58</v>
      </c>
      <c r="N532" s="50"/>
      <c r="O532" s="50">
        <v>288606.42</v>
      </c>
      <c r="P532" s="50"/>
      <c r="Q532" s="50">
        <v>288606.42</v>
      </c>
    </row>
    <row r="533" spans="1:17" x14ac:dyDescent="0.25">
      <c r="A533" s="49" t="s">
        <v>713</v>
      </c>
      <c r="B533" s="49" t="s">
        <v>188</v>
      </c>
      <c r="C533" s="49" t="s">
        <v>189</v>
      </c>
      <c r="D533" s="49" t="s">
        <v>69</v>
      </c>
      <c r="E533" s="50">
        <v>5500</v>
      </c>
      <c r="F533" s="50">
        <v>550</v>
      </c>
      <c r="G533" s="50">
        <v>550</v>
      </c>
      <c r="H533" s="50">
        <v>0</v>
      </c>
      <c r="I533" s="50">
        <v>0</v>
      </c>
      <c r="J533" s="50">
        <v>0</v>
      </c>
      <c r="K533" s="50">
        <v>0</v>
      </c>
      <c r="L533" s="50"/>
      <c r="M533" s="50">
        <v>0</v>
      </c>
      <c r="N533" s="50"/>
      <c r="O533" s="50">
        <v>550</v>
      </c>
      <c r="P533" s="50"/>
      <c r="Q533" s="50">
        <v>550</v>
      </c>
    </row>
    <row r="534" spans="1:17" x14ac:dyDescent="0.25">
      <c r="A534" s="49" t="s">
        <v>713</v>
      </c>
      <c r="B534" s="49" t="s">
        <v>190</v>
      </c>
      <c r="C534" s="49" t="s">
        <v>191</v>
      </c>
      <c r="D534" s="49" t="s">
        <v>69</v>
      </c>
      <c r="E534" s="50">
        <v>147500</v>
      </c>
      <c r="F534" s="50">
        <v>559543</v>
      </c>
      <c r="G534" s="50">
        <v>559543</v>
      </c>
      <c r="H534" s="50">
        <v>0</v>
      </c>
      <c r="I534" s="50">
        <v>0</v>
      </c>
      <c r="J534" s="50">
        <v>0</v>
      </c>
      <c r="K534" s="50">
        <v>271486.58</v>
      </c>
      <c r="L534" s="50"/>
      <c r="M534" s="50">
        <v>271486.58</v>
      </c>
      <c r="N534" s="50"/>
      <c r="O534" s="50">
        <v>288056.42</v>
      </c>
      <c r="P534" s="50"/>
      <c r="Q534" s="50">
        <v>288056.42</v>
      </c>
    </row>
    <row r="535" spans="1:17" x14ac:dyDescent="0.25">
      <c r="A535" s="49" t="s">
        <v>713</v>
      </c>
      <c r="B535" s="49" t="s">
        <v>194</v>
      </c>
      <c r="C535" s="49" t="s">
        <v>195</v>
      </c>
      <c r="D535" s="49" t="s">
        <v>69</v>
      </c>
      <c r="E535" s="50">
        <v>415000</v>
      </c>
      <c r="F535" s="50">
        <v>0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/>
      <c r="M535" s="50">
        <v>0</v>
      </c>
      <c r="N535" s="50"/>
      <c r="O535" s="50">
        <v>0</v>
      </c>
      <c r="P535" s="50"/>
      <c r="Q535" s="50">
        <v>0</v>
      </c>
    </row>
    <row r="536" spans="1:17" x14ac:dyDescent="0.25">
      <c r="A536" s="49" t="s">
        <v>713</v>
      </c>
      <c r="B536" s="49" t="s">
        <v>196</v>
      </c>
      <c r="C536" s="49" t="s">
        <v>197</v>
      </c>
      <c r="D536" s="49" t="s">
        <v>69</v>
      </c>
      <c r="E536" s="50">
        <v>148180115</v>
      </c>
      <c r="F536" s="50">
        <v>174139105</v>
      </c>
      <c r="G536" s="50">
        <v>174139105</v>
      </c>
      <c r="H536" s="50">
        <v>0</v>
      </c>
      <c r="I536" s="50">
        <v>12021244.85</v>
      </c>
      <c r="J536" s="50">
        <v>0</v>
      </c>
      <c r="K536" s="50">
        <v>159636941.74000001</v>
      </c>
      <c r="L536" s="50"/>
      <c r="M536" s="50">
        <v>121636494.31999999</v>
      </c>
      <c r="N536" s="50"/>
      <c r="O536" s="50">
        <v>2480918.41</v>
      </c>
      <c r="P536" s="50"/>
      <c r="Q536" s="50">
        <v>2480918.41</v>
      </c>
    </row>
    <row r="537" spans="1:17" x14ac:dyDescent="0.25">
      <c r="A537" s="49" t="s">
        <v>713</v>
      </c>
      <c r="B537" s="49" t="s">
        <v>198</v>
      </c>
      <c r="C537" s="49" t="s">
        <v>199</v>
      </c>
      <c r="D537" s="49" t="s">
        <v>69</v>
      </c>
      <c r="E537" s="50">
        <v>148180115</v>
      </c>
      <c r="F537" s="50">
        <v>174139105</v>
      </c>
      <c r="G537" s="50">
        <v>174139105</v>
      </c>
      <c r="H537" s="50">
        <v>0</v>
      </c>
      <c r="I537" s="50">
        <v>12021244.85</v>
      </c>
      <c r="J537" s="50">
        <v>0</v>
      </c>
      <c r="K537" s="50">
        <v>159636941.74000001</v>
      </c>
      <c r="L537" s="50"/>
      <c r="M537" s="50">
        <v>121636494.31999999</v>
      </c>
      <c r="N537" s="50"/>
      <c r="O537" s="50">
        <v>2480918.41</v>
      </c>
      <c r="P537" s="50"/>
      <c r="Q537" s="50">
        <v>2480918.41</v>
      </c>
    </row>
    <row r="538" spans="1:17" x14ac:dyDescent="0.25">
      <c r="A538" s="49" t="s">
        <v>713</v>
      </c>
      <c r="B538" s="49" t="s">
        <v>212</v>
      </c>
      <c r="C538" s="49" t="s">
        <v>213</v>
      </c>
      <c r="D538" s="49" t="s">
        <v>69</v>
      </c>
      <c r="E538" s="50">
        <v>1351740</v>
      </c>
      <c r="F538" s="50">
        <v>1347519</v>
      </c>
      <c r="G538" s="50">
        <v>1347519</v>
      </c>
      <c r="H538" s="50">
        <v>0</v>
      </c>
      <c r="I538" s="50">
        <v>89250</v>
      </c>
      <c r="J538" s="50">
        <v>0</v>
      </c>
      <c r="K538" s="50">
        <v>601577.15</v>
      </c>
      <c r="L538" s="50"/>
      <c r="M538" s="50">
        <v>416187.15</v>
      </c>
      <c r="N538" s="50"/>
      <c r="O538" s="50">
        <v>656691.85</v>
      </c>
      <c r="P538" s="50"/>
      <c r="Q538" s="50">
        <v>656691.85</v>
      </c>
    </row>
    <row r="539" spans="1:17" x14ac:dyDescent="0.25">
      <c r="A539" s="49" t="s">
        <v>713</v>
      </c>
      <c r="B539" s="49" t="s">
        <v>216</v>
      </c>
      <c r="C539" s="49" t="s">
        <v>217</v>
      </c>
      <c r="D539" s="49" t="s">
        <v>69</v>
      </c>
      <c r="E539" s="50">
        <v>708740</v>
      </c>
      <c r="F539" s="50">
        <v>708740</v>
      </c>
      <c r="G539" s="50">
        <v>708740</v>
      </c>
      <c r="H539" s="50">
        <v>0</v>
      </c>
      <c r="I539" s="50">
        <v>89250</v>
      </c>
      <c r="J539" s="50">
        <v>0</v>
      </c>
      <c r="K539" s="50">
        <v>213525</v>
      </c>
      <c r="L539" s="50"/>
      <c r="M539" s="50">
        <v>28135</v>
      </c>
      <c r="N539" s="50"/>
      <c r="O539" s="50">
        <v>405965</v>
      </c>
      <c r="P539" s="50"/>
      <c r="Q539" s="50">
        <v>405965</v>
      </c>
    </row>
    <row r="540" spans="1:17" x14ac:dyDescent="0.25">
      <c r="A540" s="49" t="s">
        <v>713</v>
      </c>
      <c r="B540" s="49" t="s">
        <v>218</v>
      </c>
      <c r="C540" s="49" t="s">
        <v>219</v>
      </c>
      <c r="D540" s="49" t="s">
        <v>69</v>
      </c>
      <c r="E540" s="50">
        <v>616000</v>
      </c>
      <c r="F540" s="50">
        <v>611779</v>
      </c>
      <c r="G540" s="50">
        <v>611779</v>
      </c>
      <c r="H540" s="50">
        <v>0</v>
      </c>
      <c r="I540" s="50">
        <v>0</v>
      </c>
      <c r="J540" s="50">
        <v>0</v>
      </c>
      <c r="K540" s="50">
        <v>383470</v>
      </c>
      <c r="L540" s="50"/>
      <c r="M540" s="50">
        <v>383470</v>
      </c>
      <c r="N540" s="50"/>
      <c r="O540" s="50">
        <v>228309</v>
      </c>
      <c r="P540" s="50"/>
      <c r="Q540" s="50">
        <v>228309</v>
      </c>
    </row>
    <row r="541" spans="1:17" x14ac:dyDescent="0.25">
      <c r="A541" s="49" t="s">
        <v>713</v>
      </c>
      <c r="B541" s="49" t="s">
        <v>224</v>
      </c>
      <c r="C541" s="49" t="s">
        <v>225</v>
      </c>
      <c r="D541" s="49" t="s">
        <v>69</v>
      </c>
      <c r="E541" s="50">
        <v>27000</v>
      </c>
      <c r="F541" s="50">
        <v>27000</v>
      </c>
      <c r="G541" s="50">
        <v>27000</v>
      </c>
      <c r="H541" s="50">
        <v>0</v>
      </c>
      <c r="I541" s="50">
        <v>0</v>
      </c>
      <c r="J541" s="50">
        <v>0</v>
      </c>
      <c r="K541" s="50">
        <v>4582.1499999999996</v>
      </c>
      <c r="L541" s="50"/>
      <c r="M541" s="50">
        <v>4582.1499999999996</v>
      </c>
      <c r="N541" s="50"/>
      <c r="O541" s="50">
        <v>22417.85</v>
      </c>
      <c r="P541" s="50"/>
      <c r="Q541" s="50">
        <v>22417.85</v>
      </c>
    </row>
    <row r="542" spans="1:17" x14ac:dyDescent="0.25">
      <c r="A542" s="49" t="s">
        <v>713</v>
      </c>
      <c r="B542" s="49" t="s">
        <v>248</v>
      </c>
      <c r="C542" s="49" t="s">
        <v>249</v>
      </c>
      <c r="D542" s="49" t="s">
        <v>69</v>
      </c>
      <c r="E542" s="50">
        <v>19709963</v>
      </c>
      <c r="F542" s="50">
        <v>22575196</v>
      </c>
      <c r="G542" s="50">
        <v>22575196</v>
      </c>
      <c r="H542" s="50">
        <v>0</v>
      </c>
      <c r="I542" s="50">
        <v>0</v>
      </c>
      <c r="J542" s="50">
        <v>0</v>
      </c>
      <c r="K542" s="50">
        <v>17061558</v>
      </c>
      <c r="L542" s="50"/>
      <c r="M542" s="50">
        <v>17061558</v>
      </c>
      <c r="N542" s="50"/>
      <c r="O542" s="50">
        <v>5513638</v>
      </c>
      <c r="P542" s="50"/>
      <c r="Q542" s="50">
        <v>5513638</v>
      </c>
    </row>
    <row r="543" spans="1:17" x14ac:dyDescent="0.25">
      <c r="A543" s="49" t="s">
        <v>713</v>
      </c>
      <c r="B543" s="49" t="s">
        <v>250</v>
      </c>
      <c r="C543" s="49" t="s">
        <v>251</v>
      </c>
      <c r="D543" s="49" t="s">
        <v>69</v>
      </c>
      <c r="E543" s="50">
        <v>15209963</v>
      </c>
      <c r="F543" s="50">
        <v>15075196</v>
      </c>
      <c r="G543" s="50">
        <v>15075196</v>
      </c>
      <c r="H543" s="50">
        <v>0</v>
      </c>
      <c r="I543" s="50">
        <v>0</v>
      </c>
      <c r="J543" s="50">
        <v>0</v>
      </c>
      <c r="K543" s="50">
        <v>12546855</v>
      </c>
      <c r="L543" s="50"/>
      <c r="M543" s="50">
        <v>12546855</v>
      </c>
      <c r="N543" s="50"/>
      <c r="O543" s="50">
        <v>2528341</v>
      </c>
      <c r="P543" s="50"/>
      <c r="Q543" s="50">
        <v>2528341</v>
      </c>
    </row>
    <row r="544" spans="1:17" x14ac:dyDescent="0.25">
      <c r="A544" s="49" t="s">
        <v>713</v>
      </c>
      <c r="B544" s="49" t="s">
        <v>632</v>
      </c>
      <c r="C544" s="49" t="s">
        <v>702</v>
      </c>
      <c r="D544" s="49" t="s">
        <v>69</v>
      </c>
      <c r="E544" s="50">
        <v>12919331</v>
      </c>
      <c r="F544" s="50">
        <v>12804860</v>
      </c>
      <c r="G544" s="50">
        <v>12804860</v>
      </c>
      <c r="H544" s="50">
        <v>0</v>
      </c>
      <c r="I544" s="50">
        <v>0</v>
      </c>
      <c r="J544" s="50">
        <v>0</v>
      </c>
      <c r="K544" s="50">
        <v>10641051</v>
      </c>
      <c r="L544" s="50"/>
      <c r="M544" s="50">
        <v>10641051</v>
      </c>
      <c r="N544" s="50"/>
      <c r="O544" s="50">
        <v>2163809</v>
      </c>
      <c r="P544" s="50"/>
      <c r="Q544" s="50">
        <v>2163809</v>
      </c>
    </row>
    <row r="545" spans="1:17" x14ac:dyDescent="0.25">
      <c r="A545" s="49" t="s">
        <v>713</v>
      </c>
      <c r="B545" s="49" t="s">
        <v>647</v>
      </c>
      <c r="C545" s="49" t="s">
        <v>703</v>
      </c>
      <c r="D545" s="49" t="s">
        <v>69</v>
      </c>
      <c r="E545" s="50">
        <v>2290632</v>
      </c>
      <c r="F545" s="50">
        <v>2270336</v>
      </c>
      <c r="G545" s="50">
        <v>2270336</v>
      </c>
      <c r="H545" s="50">
        <v>0</v>
      </c>
      <c r="I545" s="50">
        <v>0</v>
      </c>
      <c r="J545" s="50">
        <v>0</v>
      </c>
      <c r="K545" s="50">
        <v>1905804</v>
      </c>
      <c r="L545" s="50"/>
      <c r="M545" s="50">
        <v>1905804</v>
      </c>
      <c r="N545" s="50"/>
      <c r="O545" s="50">
        <v>364532</v>
      </c>
      <c r="P545" s="50"/>
      <c r="Q545" s="50">
        <v>364532</v>
      </c>
    </row>
    <row r="546" spans="1:17" x14ac:dyDescent="0.25">
      <c r="A546" s="49" t="s">
        <v>713</v>
      </c>
      <c r="B546" s="49" t="s">
        <v>260</v>
      </c>
      <c r="C546" s="49" t="s">
        <v>261</v>
      </c>
      <c r="D546" s="49" t="s">
        <v>69</v>
      </c>
      <c r="E546" s="50">
        <v>4500000</v>
      </c>
      <c r="F546" s="50">
        <v>7500000</v>
      </c>
      <c r="G546" s="50">
        <v>7500000</v>
      </c>
      <c r="H546" s="50">
        <v>0</v>
      </c>
      <c r="I546" s="50">
        <v>0</v>
      </c>
      <c r="J546" s="50">
        <v>0</v>
      </c>
      <c r="K546" s="50">
        <v>4514703</v>
      </c>
      <c r="L546" s="50"/>
      <c r="M546" s="50">
        <v>4514703</v>
      </c>
      <c r="N546" s="50"/>
      <c r="O546" s="50">
        <v>2985297</v>
      </c>
      <c r="P546" s="50"/>
      <c r="Q546" s="50">
        <v>2985297</v>
      </c>
    </row>
    <row r="547" spans="1:17" x14ac:dyDescent="0.25">
      <c r="A547" s="49" t="s">
        <v>713</v>
      </c>
      <c r="B547" s="49" t="s">
        <v>264</v>
      </c>
      <c r="C547" s="49" t="s">
        <v>265</v>
      </c>
      <c r="D547" s="49" t="s">
        <v>69</v>
      </c>
      <c r="E547" s="50">
        <v>4500000</v>
      </c>
      <c r="F547" s="50">
        <v>7500000</v>
      </c>
      <c r="G547" s="50">
        <v>7500000</v>
      </c>
      <c r="H547" s="50">
        <v>0</v>
      </c>
      <c r="I547" s="50">
        <v>0</v>
      </c>
      <c r="J547" s="50">
        <v>0</v>
      </c>
      <c r="K547" s="50">
        <v>4514703</v>
      </c>
      <c r="L547" s="50"/>
      <c r="M547" s="50">
        <v>4514703</v>
      </c>
      <c r="N547" s="50"/>
      <c r="O547" s="50">
        <v>2985297</v>
      </c>
      <c r="P547" s="50"/>
      <c r="Q547" s="50">
        <v>2985297</v>
      </c>
    </row>
    <row r="548" spans="1:17" x14ac:dyDescent="0.25">
      <c r="A548" s="49" t="s">
        <v>713</v>
      </c>
      <c r="B548" s="49" t="s">
        <v>230</v>
      </c>
      <c r="C548" s="49" t="s">
        <v>231</v>
      </c>
      <c r="D548" s="49" t="s">
        <v>85</v>
      </c>
      <c r="E548" s="50">
        <v>535000</v>
      </c>
      <c r="F548" s="50">
        <v>535000</v>
      </c>
      <c r="G548" s="50">
        <v>535000</v>
      </c>
      <c r="H548" s="50">
        <v>0</v>
      </c>
      <c r="I548" s="50">
        <v>0</v>
      </c>
      <c r="J548" s="50">
        <v>0</v>
      </c>
      <c r="K548" s="50">
        <v>427584.56</v>
      </c>
      <c r="L548" s="50"/>
      <c r="M548" s="50">
        <v>427584.56</v>
      </c>
      <c r="N548" s="50"/>
      <c r="O548" s="50">
        <v>107415.44</v>
      </c>
      <c r="P548" s="50"/>
      <c r="Q548" s="50">
        <v>107415.44</v>
      </c>
    </row>
    <row r="549" spans="1:17" x14ac:dyDescent="0.25">
      <c r="A549" s="49" t="s">
        <v>713</v>
      </c>
      <c r="B549" s="49" t="s">
        <v>232</v>
      </c>
      <c r="C549" s="49" t="s">
        <v>233</v>
      </c>
      <c r="D549" s="49" t="s">
        <v>85</v>
      </c>
      <c r="E549" s="50">
        <v>535000</v>
      </c>
      <c r="F549" s="50">
        <v>535000</v>
      </c>
      <c r="G549" s="50">
        <v>535000</v>
      </c>
      <c r="H549" s="50">
        <v>0</v>
      </c>
      <c r="I549" s="50">
        <v>0</v>
      </c>
      <c r="J549" s="50">
        <v>0</v>
      </c>
      <c r="K549" s="50">
        <v>427584.56</v>
      </c>
      <c r="L549" s="50"/>
      <c r="M549" s="50">
        <v>427584.56</v>
      </c>
      <c r="N549" s="50"/>
      <c r="O549" s="50">
        <v>107415.44</v>
      </c>
      <c r="P549" s="50"/>
      <c r="Q549" s="50">
        <v>107415.44</v>
      </c>
    </row>
    <row r="550" spans="1:17" x14ac:dyDescent="0.25">
      <c r="A550" s="49" t="s">
        <v>713</v>
      </c>
      <c r="B550" s="49" t="s">
        <v>326</v>
      </c>
      <c r="C550" s="49" t="s">
        <v>327</v>
      </c>
      <c r="D550" s="49" t="s">
        <v>85</v>
      </c>
      <c r="E550" s="50">
        <v>535000</v>
      </c>
      <c r="F550" s="50">
        <v>535000</v>
      </c>
      <c r="G550" s="50">
        <v>535000</v>
      </c>
      <c r="H550" s="50">
        <v>0</v>
      </c>
      <c r="I550" s="50">
        <v>0</v>
      </c>
      <c r="J550" s="50">
        <v>0</v>
      </c>
      <c r="K550" s="50">
        <v>427584.56</v>
      </c>
      <c r="L550" s="50"/>
      <c r="M550" s="50">
        <v>427584.56</v>
      </c>
      <c r="N550" s="50"/>
      <c r="O550" s="50">
        <v>107415.44</v>
      </c>
      <c r="P550" s="50"/>
      <c r="Q550" s="50">
        <v>107415.44</v>
      </c>
    </row>
    <row r="551" spans="1:17" x14ac:dyDescent="0.25">
      <c r="A551" s="49">
        <v>214789004</v>
      </c>
      <c r="B551" s="49"/>
      <c r="C551" s="49"/>
      <c r="D551" s="49" t="s">
        <v>69</v>
      </c>
      <c r="E551" s="50">
        <v>2343912564</v>
      </c>
      <c r="F551" s="50">
        <v>2262440561</v>
      </c>
      <c r="G551" s="50">
        <v>2262440561</v>
      </c>
      <c r="H551" s="50">
        <v>0</v>
      </c>
      <c r="I551" s="50">
        <v>77931178.549999997</v>
      </c>
      <c r="J551" s="50">
        <v>0</v>
      </c>
      <c r="K551" s="50">
        <v>2027258265.1600001</v>
      </c>
      <c r="L551" s="50"/>
      <c r="M551" s="50">
        <v>1983384448.48</v>
      </c>
      <c r="N551" s="50"/>
      <c r="O551" s="50">
        <v>157251117.28999999</v>
      </c>
      <c r="P551" s="50"/>
      <c r="Q551" s="50">
        <v>157251117.28999999</v>
      </c>
    </row>
    <row r="552" spans="1:17" x14ac:dyDescent="0.25">
      <c r="A552" s="49" t="s">
        <v>714</v>
      </c>
      <c r="B552" s="49" t="s">
        <v>71</v>
      </c>
      <c r="C552" s="49" t="s">
        <v>72</v>
      </c>
      <c r="D552" s="49" t="s">
        <v>69</v>
      </c>
      <c r="E552" s="50">
        <v>1911246104</v>
      </c>
      <c r="F552" s="50">
        <v>1874431575</v>
      </c>
      <c r="G552" s="50">
        <v>1874431575</v>
      </c>
      <c r="H552" s="50">
        <v>0</v>
      </c>
      <c r="I552" s="50">
        <v>3894054.47</v>
      </c>
      <c r="J552" s="50">
        <v>0</v>
      </c>
      <c r="K552" s="50">
        <v>1746014461.2</v>
      </c>
      <c r="L552" s="50"/>
      <c r="M552" s="50">
        <v>1746014461.2</v>
      </c>
      <c r="N552" s="50"/>
      <c r="O552" s="50">
        <v>124523059.33</v>
      </c>
      <c r="P552" s="50"/>
      <c r="Q552" s="50">
        <v>124523059.33</v>
      </c>
    </row>
    <row r="553" spans="1:17" x14ac:dyDescent="0.25">
      <c r="A553" s="49" t="s">
        <v>714</v>
      </c>
      <c r="B553" s="49" t="s">
        <v>73</v>
      </c>
      <c r="C553" s="49" t="s">
        <v>74</v>
      </c>
      <c r="D553" s="49" t="s">
        <v>69</v>
      </c>
      <c r="E553" s="50">
        <v>693088616</v>
      </c>
      <c r="F553" s="50">
        <v>672914792</v>
      </c>
      <c r="G553" s="50">
        <v>672914792</v>
      </c>
      <c r="H553" s="50">
        <v>0</v>
      </c>
      <c r="I553" s="50">
        <v>0</v>
      </c>
      <c r="J553" s="50">
        <v>0</v>
      </c>
      <c r="K553" s="50">
        <v>646470360.08000004</v>
      </c>
      <c r="L553" s="50"/>
      <c r="M553" s="50">
        <v>646470360.08000004</v>
      </c>
      <c r="N553" s="50"/>
      <c r="O553" s="50">
        <v>26444431.920000002</v>
      </c>
      <c r="P553" s="50"/>
      <c r="Q553" s="50">
        <v>26444431.920000002</v>
      </c>
    </row>
    <row r="554" spans="1:17" x14ac:dyDescent="0.25">
      <c r="A554" s="49" t="s">
        <v>714</v>
      </c>
      <c r="B554" s="49" t="s">
        <v>75</v>
      </c>
      <c r="C554" s="49" t="s">
        <v>76</v>
      </c>
      <c r="D554" s="49" t="s">
        <v>69</v>
      </c>
      <c r="E554" s="50">
        <v>693088616</v>
      </c>
      <c r="F554" s="50">
        <v>672914792</v>
      </c>
      <c r="G554" s="50">
        <v>672914792</v>
      </c>
      <c r="H554" s="50">
        <v>0</v>
      </c>
      <c r="I554" s="50">
        <v>0</v>
      </c>
      <c r="J554" s="50">
        <v>0</v>
      </c>
      <c r="K554" s="50">
        <v>646470360.08000004</v>
      </c>
      <c r="L554" s="50"/>
      <c r="M554" s="50">
        <v>646470360.08000004</v>
      </c>
      <c r="N554" s="50"/>
      <c r="O554" s="50">
        <v>26444431.920000002</v>
      </c>
      <c r="P554" s="50"/>
      <c r="Q554" s="50">
        <v>26444431.920000002</v>
      </c>
    </row>
    <row r="555" spans="1:17" x14ac:dyDescent="0.25">
      <c r="A555" s="49" t="s">
        <v>714</v>
      </c>
      <c r="B555" s="49" t="s">
        <v>293</v>
      </c>
      <c r="C555" s="49" t="s">
        <v>294</v>
      </c>
      <c r="D555" s="49" t="s">
        <v>69</v>
      </c>
      <c r="E555" s="50">
        <v>2572600</v>
      </c>
      <c r="F555" s="50">
        <v>2572600</v>
      </c>
      <c r="G555" s="50">
        <v>2572600</v>
      </c>
      <c r="H555" s="50">
        <v>0</v>
      </c>
      <c r="I555" s="50">
        <v>0</v>
      </c>
      <c r="J555" s="50">
        <v>0</v>
      </c>
      <c r="K555" s="50">
        <v>1706002.5</v>
      </c>
      <c r="L555" s="50"/>
      <c r="M555" s="50">
        <v>1706002.5</v>
      </c>
      <c r="N555" s="50"/>
      <c r="O555" s="50">
        <v>866597.5</v>
      </c>
      <c r="P555" s="50"/>
      <c r="Q555" s="50">
        <v>866597.5</v>
      </c>
    </row>
    <row r="556" spans="1:17" x14ac:dyDescent="0.25">
      <c r="A556" s="49" t="s">
        <v>714</v>
      </c>
      <c r="B556" s="49" t="s">
        <v>339</v>
      </c>
      <c r="C556" s="49" t="s">
        <v>340</v>
      </c>
      <c r="D556" s="49" t="s">
        <v>69</v>
      </c>
      <c r="E556" s="50">
        <v>2572600</v>
      </c>
      <c r="F556" s="50">
        <v>2572600</v>
      </c>
      <c r="G556" s="50">
        <v>2572600</v>
      </c>
      <c r="H556" s="50">
        <v>0</v>
      </c>
      <c r="I556" s="50">
        <v>0</v>
      </c>
      <c r="J556" s="50">
        <v>0</v>
      </c>
      <c r="K556" s="50">
        <v>1706002.5</v>
      </c>
      <c r="L556" s="50"/>
      <c r="M556" s="50">
        <v>1706002.5</v>
      </c>
      <c r="N556" s="50"/>
      <c r="O556" s="50">
        <v>866597.5</v>
      </c>
      <c r="P556" s="50"/>
      <c r="Q556" s="50">
        <v>866597.5</v>
      </c>
    </row>
    <row r="557" spans="1:17" x14ac:dyDescent="0.25">
      <c r="A557" s="49" t="s">
        <v>714</v>
      </c>
      <c r="B557" s="49" t="s">
        <v>77</v>
      </c>
      <c r="C557" s="49" t="s">
        <v>78</v>
      </c>
      <c r="D557" s="49" t="s">
        <v>69</v>
      </c>
      <c r="E557" s="50">
        <v>924031359</v>
      </c>
      <c r="F557" s="50">
        <v>913006573</v>
      </c>
      <c r="G557" s="50">
        <v>913006573</v>
      </c>
      <c r="H557" s="50">
        <v>0</v>
      </c>
      <c r="I557" s="50">
        <v>3894054.47</v>
      </c>
      <c r="J557" s="50">
        <v>0</v>
      </c>
      <c r="K557" s="50">
        <v>847125410.62</v>
      </c>
      <c r="L557" s="50"/>
      <c r="M557" s="50">
        <v>847125410.62</v>
      </c>
      <c r="N557" s="50"/>
      <c r="O557" s="50">
        <v>61987107.909999996</v>
      </c>
      <c r="P557" s="50"/>
      <c r="Q557" s="50">
        <v>61987107.909999996</v>
      </c>
    </row>
    <row r="558" spans="1:17" x14ac:dyDescent="0.25">
      <c r="A558" s="49" t="s">
        <v>714</v>
      </c>
      <c r="B558" s="49" t="s">
        <v>79</v>
      </c>
      <c r="C558" s="49" t="s">
        <v>80</v>
      </c>
      <c r="D558" s="49" t="s">
        <v>69</v>
      </c>
      <c r="E558" s="50">
        <v>322806400</v>
      </c>
      <c r="F558" s="50">
        <v>322806400</v>
      </c>
      <c r="G558" s="50">
        <v>322806400</v>
      </c>
      <c r="H558" s="50">
        <v>0</v>
      </c>
      <c r="I558" s="50">
        <v>0</v>
      </c>
      <c r="J558" s="50">
        <v>0</v>
      </c>
      <c r="K558" s="50">
        <v>276294814.77999997</v>
      </c>
      <c r="L558" s="50"/>
      <c r="M558" s="50">
        <v>276294814.77999997</v>
      </c>
      <c r="N558" s="50"/>
      <c r="O558" s="50">
        <v>46511585.219999999</v>
      </c>
      <c r="P558" s="50"/>
      <c r="Q558" s="50">
        <v>46511585.219999999</v>
      </c>
    </row>
    <row r="559" spans="1:17" x14ac:dyDescent="0.25">
      <c r="A559" s="49" t="s">
        <v>714</v>
      </c>
      <c r="B559" s="49" t="s">
        <v>81</v>
      </c>
      <c r="C559" s="49" t="s">
        <v>82</v>
      </c>
      <c r="D559" s="49" t="s">
        <v>69</v>
      </c>
      <c r="E559" s="50">
        <v>234712205</v>
      </c>
      <c r="F559" s="50">
        <v>234536190</v>
      </c>
      <c r="G559" s="50">
        <v>234536190</v>
      </c>
      <c r="H559" s="50">
        <v>0</v>
      </c>
      <c r="I559" s="50">
        <v>0</v>
      </c>
      <c r="J559" s="50">
        <v>0</v>
      </c>
      <c r="K559" s="50">
        <v>231738715.22999999</v>
      </c>
      <c r="L559" s="50"/>
      <c r="M559" s="50">
        <v>231738715.22999999</v>
      </c>
      <c r="N559" s="50"/>
      <c r="O559" s="50">
        <v>2797474.77</v>
      </c>
      <c r="P559" s="50"/>
      <c r="Q559" s="50">
        <v>2797474.77</v>
      </c>
    </row>
    <row r="560" spans="1:17" x14ac:dyDescent="0.25">
      <c r="A560" s="49" t="s">
        <v>714</v>
      </c>
      <c r="B560" s="49" t="s">
        <v>86</v>
      </c>
      <c r="C560" s="49" t="s">
        <v>87</v>
      </c>
      <c r="D560" s="49" t="s">
        <v>69</v>
      </c>
      <c r="E560" s="50">
        <v>114340800</v>
      </c>
      <c r="F560" s="50">
        <v>106915800</v>
      </c>
      <c r="G560" s="50">
        <v>106915800</v>
      </c>
      <c r="H560" s="50">
        <v>0</v>
      </c>
      <c r="I560" s="50">
        <v>3894054.47</v>
      </c>
      <c r="J560" s="50">
        <v>0</v>
      </c>
      <c r="K560" s="50">
        <v>102582084.77</v>
      </c>
      <c r="L560" s="50"/>
      <c r="M560" s="50">
        <v>102582084.77</v>
      </c>
      <c r="N560" s="50"/>
      <c r="O560" s="50">
        <v>439660.76</v>
      </c>
      <c r="P560" s="50"/>
      <c r="Q560" s="50">
        <v>439660.76</v>
      </c>
    </row>
    <row r="561" spans="1:17" x14ac:dyDescent="0.25">
      <c r="A561" s="49" t="s">
        <v>714</v>
      </c>
      <c r="B561" s="49" t="s">
        <v>88</v>
      </c>
      <c r="C561" s="49" t="s">
        <v>89</v>
      </c>
      <c r="D561" s="49" t="s">
        <v>69</v>
      </c>
      <c r="E561" s="50">
        <v>127626300</v>
      </c>
      <c r="F561" s="50">
        <v>126601536</v>
      </c>
      <c r="G561" s="50">
        <v>126601536</v>
      </c>
      <c r="H561" s="50">
        <v>0</v>
      </c>
      <c r="I561" s="50">
        <v>0</v>
      </c>
      <c r="J561" s="50">
        <v>0</v>
      </c>
      <c r="K561" s="50">
        <v>121066623.45999999</v>
      </c>
      <c r="L561" s="50"/>
      <c r="M561" s="50">
        <v>121066623.45999999</v>
      </c>
      <c r="N561" s="50"/>
      <c r="O561" s="50">
        <v>5534912.54</v>
      </c>
      <c r="P561" s="50"/>
      <c r="Q561" s="50">
        <v>5534912.54</v>
      </c>
    </row>
    <row r="562" spans="1:17" x14ac:dyDescent="0.25">
      <c r="A562" s="49" t="s">
        <v>714</v>
      </c>
      <c r="B562" s="49" t="s">
        <v>83</v>
      </c>
      <c r="C562" s="49" t="s">
        <v>84</v>
      </c>
      <c r="D562" s="49" t="s">
        <v>85</v>
      </c>
      <c r="E562" s="50">
        <v>124545654</v>
      </c>
      <c r="F562" s="50">
        <v>122146647</v>
      </c>
      <c r="G562" s="50">
        <v>122146647</v>
      </c>
      <c r="H562" s="50">
        <v>0</v>
      </c>
      <c r="I562" s="50">
        <v>0</v>
      </c>
      <c r="J562" s="50">
        <v>0</v>
      </c>
      <c r="K562" s="50">
        <v>115443172.38</v>
      </c>
      <c r="L562" s="50"/>
      <c r="M562" s="50">
        <v>115443172.38</v>
      </c>
      <c r="N562" s="50"/>
      <c r="O562" s="50">
        <v>6703474.6200000001</v>
      </c>
      <c r="P562" s="50"/>
      <c r="Q562" s="50">
        <v>6703474.6200000001</v>
      </c>
    </row>
    <row r="563" spans="1:17" x14ac:dyDescent="0.25">
      <c r="A563" s="49" t="s">
        <v>714</v>
      </c>
      <c r="B563" s="49" t="s">
        <v>90</v>
      </c>
      <c r="C563" s="49" t="s">
        <v>91</v>
      </c>
      <c r="D563" s="49" t="s">
        <v>69</v>
      </c>
      <c r="E563" s="50">
        <v>145776815</v>
      </c>
      <c r="F563" s="50">
        <v>142968855</v>
      </c>
      <c r="G563" s="50">
        <v>142968855</v>
      </c>
      <c r="H563" s="50">
        <v>0</v>
      </c>
      <c r="I563" s="50">
        <v>0</v>
      </c>
      <c r="J563" s="50">
        <v>0</v>
      </c>
      <c r="K563" s="50">
        <v>125449896</v>
      </c>
      <c r="L563" s="50"/>
      <c r="M563" s="50">
        <v>125449896</v>
      </c>
      <c r="N563" s="50"/>
      <c r="O563" s="50">
        <v>17518959</v>
      </c>
      <c r="P563" s="50"/>
      <c r="Q563" s="50">
        <v>17518959</v>
      </c>
    </row>
    <row r="564" spans="1:17" x14ac:dyDescent="0.25">
      <c r="A564" s="49" t="s">
        <v>714</v>
      </c>
      <c r="B564" s="49" t="s">
        <v>424</v>
      </c>
      <c r="C564" s="49" t="s">
        <v>697</v>
      </c>
      <c r="D564" s="49" t="s">
        <v>69</v>
      </c>
      <c r="E564" s="50">
        <v>138301084</v>
      </c>
      <c r="F564" s="50">
        <v>135637121</v>
      </c>
      <c r="G564" s="50">
        <v>135637121</v>
      </c>
      <c r="H564" s="50">
        <v>0</v>
      </c>
      <c r="I564" s="50">
        <v>0</v>
      </c>
      <c r="J564" s="50">
        <v>0</v>
      </c>
      <c r="K564" s="50">
        <v>119016568</v>
      </c>
      <c r="L564" s="50"/>
      <c r="M564" s="50">
        <v>119016568</v>
      </c>
      <c r="N564" s="50"/>
      <c r="O564" s="50">
        <v>16620553</v>
      </c>
      <c r="P564" s="50"/>
      <c r="Q564" s="50">
        <v>16620553</v>
      </c>
    </row>
    <row r="565" spans="1:17" x14ac:dyDescent="0.25">
      <c r="A565" s="49" t="s">
        <v>714</v>
      </c>
      <c r="B565" s="49" t="s">
        <v>441</v>
      </c>
      <c r="C565" s="49" t="s">
        <v>95</v>
      </c>
      <c r="D565" s="49" t="s">
        <v>69</v>
      </c>
      <c r="E565" s="50">
        <v>7475731</v>
      </c>
      <c r="F565" s="50">
        <v>7331734</v>
      </c>
      <c r="G565" s="50">
        <v>7331734</v>
      </c>
      <c r="H565" s="50">
        <v>0</v>
      </c>
      <c r="I565" s="50">
        <v>0</v>
      </c>
      <c r="J565" s="50">
        <v>0</v>
      </c>
      <c r="K565" s="50">
        <v>6433328</v>
      </c>
      <c r="L565" s="50"/>
      <c r="M565" s="50">
        <v>6433328</v>
      </c>
      <c r="N565" s="50"/>
      <c r="O565" s="50">
        <v>898406</v>
      </c>
      <c r="P565" s="50"/>
      <c r="Q565" s="50">
        <v>898406</v>
      </c>
    </row>
    <row r="566" spans="1:17" x14ac:dyDescent="0.25">
      <c r="A566" s="49" t="s">
        <v>714</v>
      </c>
      <c r="B566" s="49" t="s">
        <v>96</v>
      </c>
      <c r="C566" s="49" t="s">
        <v>97</v>
      </c>
      <c r="D566" s="49" t="s">
        <v>69</v>
      </c>
      <c r="E566" s="50">
        <v>145776714</v>
      </c>
      <c r="F566" s="50">
        <v>142968755</v>
      </c>
      <c r="G566" s="50">
        <v>142968755</v>
      </c>
      <c r="H566" s="50">
        <v>0</v>
      </c>
      <c r="I566" s="50">
        <v>0</v>
      </c>
      <c r="J566" s="50">
        <v>0</v>
      </c>
      <c r="K566" s="50">
        <v>125262792</v>
      </c>
      <c r="L566" s="50"/>
      <c r="M566" s="50">
        <v>125262792</v>
      </c>
      <c r="N566" s="50"/>
      <c r="O566" s="50">
        <v>17705963</v>
      </c>
      <c r="P566" s="50"/>
      <c r="Q566" s="50">
        <v>17705963</v>
      </c>
    </row>
    <row r="567" spans="1:17" x14ac:dyDescent="0.25">
      <c r="A567" s="49" t="s">
        <v>714</v>
      </c>
      <c r="B567" s="49" t="s">
        <v>459</v>
      </c>
      <c r="C567" s="49" t="s">
        <v>698</v>
      </c>
      <c r="D567" s="49" t="s">
        <v>69</v>
      </c>
      <c r="E567" s="50">
        <v>78495131</v>
      </c>
      <c r="F567" s="50">
        <v>76983152</v>
      </c>
      <c r="G567" s="50">
        <v>76983152</v>
      </c>
      <c r="H567" s="50">
        <v>0</v>
      </c>
      <c r="I567" s="50">
        <v>0</v>
      </c>
      <c r="J567" s="50">
        <v>0</v>
      </c>
      <c r="K567" s="50">
        <v>67362841</v>
      </c>
      <c r="L567" s="50"/>
      <c r="M567" s="50">
        <v>67362841</v>
      </c>
      <c r="N567" s="50"/>
      <c r="O567" s="50">
        <v>9620311</v>
      </c>
      <c r="P567" s="50"/>
      <c r="Q567" s="50">
        <v>9620311</v>
      </c>
    </row>
    <row r="568" spans="1:17" x14ac:dyDescent="0.25">
      <c r="A568" s="49" t="s">
        <v>714</v>
      </c>
      <c r="B568" s="49" t="s">
        <v>476</v>
      </c>
      <c r="C568" s="49" t="s">
        <v>699</v>
      </c>
      <c r="D568" s="49" t="s">
        <v>69</v>
      </c>
      <c r="E568" s="50">
        <v>22427194</v>
      </c>
      <c r="F568" s="50">
        <v>25795201</v>
      </c>
      <c r="G568" s="50">
        <v>25795201</v>
      </c>
      <c r="H568" s="50">
        <v>0</v>
      </c>
      <c r="I568" s="50">
        <v>0</v>
      </c>
      <c r="J568" s="50">
        <v>0</v>
      </c>
      <c r="K568" s="50">
        <v>22552541</v>
      </c>
      <c r="L568" s="50"/>
      <c r="M568" s="50">
        <v>22552541</v>
      </c>
      <c r="N568" s="50"/>
      <c r="O568" s="50">
        <v>3242660</v>
      </c>
      <c r="P568" s="50"/>
      <c r="Q568" s="50">
        <v>3242660</v>
      </c>
    </row>
    <row r="569" spans="1:17" x14ac:dyDescent="0.25">
      <c r="A569" s="49" t="s">
        <v>714</v>
      </c>
      <c r="B569" s="49" t="s">
        <v>493</v>
      </c>
      <c r="C569" s="49" t="s">
        <v>700</v>
      </c>
      <c r="D569" s="49" t="s">
        <v>69</v>
      </c>
      <c r="E569" s="50">
        <v>44854389</v>
      </c>
      <c r="F569" s="50">
        <v>40190402</v>
      </c>
      <c r="G569" s="50">
        <v>40190402</v>
      </c>
      <c r="H569" s="50">
        <v>0</v>
      </c>
      <c r="I569" s="50">
        <v>0</v>
      </c>
      <c r="J569" s="50">
        <v>0</v>
      </c>
      <c r="K569" s="50">
        <v>35347410</v>
      </c>
      <c r="L569" s="50"/>
      <c r="M569" s="50">
        <v>35347410</v>
      </c>
      <c r="N569" s="50"/>
      <c r="O569" s="50">
        <v>4842992</v>
      </c>
      <c r="P569" s="50"/>
      <c r="Q569" s="50">
        <v>4842992</v>
      </c>
    </row>
    <row r="570" spans="1:17" x14ac:dyDescent="0.25">
      <c r="A570" s="49" t="s">
        <v>714</v>
      </c>
      <c r="B570" s="49" t="s">
        <v>104</v>
      </c>
      <c r="C570" s="49" t="s">
        <v>105</v>
      </c>
      <c r="D570" s="49" t="s">
        <v>69</v>
      </c>
      <c r="E570" s="50">
        <v>93714000</v>
      </c>
      <c r="F570" s="50">
        <v>93988295</v>
      </c>
      <c r="G570" s="50">
        <v>93988295</v>
      </c>
      <c r="H570" s="50">
        <v>0</v>
      </c>
      <c r="I570" s="50">
        <v>18527710.370000001</v>
      </c>
      <c r="J570" s="50">
        <v>0</v>
      </c>
      <c r="K570" s="50">
        <v>74866261.450000003</v>
      </c>
      <c r="L570" s="50"/>
      <c r="M570" s="50">
        <v>71582285.859999999</v>
      </c>
      <c r="N570" s="50"/>
      <c r="O570" s="50">
        <v>594323.18000000005</v>
      </c>
      <c r="P570" s="50"/>
      <c r="Q570" s="50">
        <v>594323.18000000005</v>
      </c>
    </row>
    <row r="571" spans="1:17" x14ac:dyDescent="0.25">
      <c r="A571" s="49" t="s">
        <v>714</v>
      </c>
      <c r="B571" s="49" t="s">
        <v>112</v>
      </c>
      <c r="C571" s="49" t="s">
        <v>113</v>
      </c>
      <c r="D571" s="49" t="s">
        <v>69</v>
      </c>
      <c r="E571" s="50">
        <v>92804000</v>
      </c>
      <c r="F571" s="50">
        <v>93519295</v>
      </c>
      <c r="G571" s="50">
        <v>93519295</v>
      </c>
      <c r="H571" s="50">
        <v>0</v>
      </c>
      <c r="I571" s="50">
        <v>18527710.370000001</v>
      </c>
      <c r="J571" s="50">
        <v>0</v>
      </c>
      <c r="K571" s="50">
        <v>74866261.450000003</v>
      </c>
      <c r="L571" s="50"/>
      <c r="M571" s="50">
        <v>71582285.859999999</v>
      </c>
      <c r="N571" s="50"/>
      <c r="O571" s="50">
        <v>125323.18</v>
      </c>
      <c r="P571" s="50"/>
      <c r="Q571" s="50">
        <v>125323.18</v>
      </c>
    </row>
    <row r="572" spans="1:17" x14ac:dyDescent="0.25">
      <c r="A572" s="49" t="s">
        <v>714</v>
      </c>
      <c r="B572" s="49" t="s">
        <v>114</v>
      </c>
      <c r="C572" s="49" t="s">
        <v>115</v>
      </c>
      <c r="D572" s="49" t="s">
        <v>69</v>
      </c>
      <c r="E572" s="50">
        <v>36754000</v>
      </c>
      <c r="F572" s="50">
        <v>40404776</v>
      </c>
      <c r="G572" s="50">
        <v>40404776</v>
      </c>
      <c r="H572" s="50">
        <v>0</v>
      </c>
      <c r="I572" s="50">
        <v>240887.13</v>
      </c>
      <c r="J572" s="50">
        <v>0</v>
      </c>
      <c r="K572" s="50">
        <v>40163888.869999997</v>
      </c>
      <c r="L572" s="50"/>
      <c r="M572" s="50">
        <v>40106541.869999997</v>
      </c>
      <c r="N572" s="50"/>
      <c r="O572" s="50">
        <v>0</v>
      </c>
      <c r="P572" s="50"/>
      <c r="Q572" s="50">
        <v>0</v>
      </c>
    </row>
    <row r="573" spans="1:17" x14ac:dyDescent="0.25">
      <c r="A573" s="49" t="s">
        <v>714</v>
      </c>
      <c r="B573" s="49" t="s">
        <v>116</v>
      </c>
      <c r="C573" s="49" t="s">
        <v>117</v>
      </c>
      <c r="D573" s="49" t="s">
        <v>69</v>
      </c>
      <c r="E573" s="50">
        <v>43500000</v>
      </c>
      <c r="F573" s="50">
        <v>40922500</v>
      </c>
      <c r="G573" s="50">
        <v>40922500</v>
      </c>
      <c r="H573" s="50">
        <v>0</v>
      </c>
      <c r="I573" s="50">
        <v>15030089.369999999</v>
      </c>
      <c r="J573" s="50">
        <v>0</v>
      </c>
      <c r="K573" s="50">
        <v>25892410.629999999</v>
      </c>
      <c r="L573" s="50"/>
      <c r="M573" s="50">
        <v>25892410.629999999</v>
      </c>
      <c r="N573" s="50"/>
      <c r="O573" s="50">
        <v>0</v>
      </c>
      <c r="P573" s="50"/>
      <c r="Q573" s="50">
        <v>0</v>
      </c>
    </row>
    <row r="574" spans="1:17" x14ac:dyDescent="0.25">
      <c r="A574" s="49" t="s">
        <v>714</v>
      </c>
      <c r="B574" s="49" t="s">
        <v>120</v>
      </c>
      <c r="C574" s="49" t="s">
        <v>121</v>
      </c>
      <c r="D574" s="49" t="s">
        <v>69</v>
      </c>
      <c r="E574" s="50">
        <v>11550000</v>
      </c>
      <c r="F574" s="50">
        <v>11550000</v>
      </c>
      <c r="G574" s="50">
        <v>11550000</v>
      </c>
      <c r="H574" s="50">
        <v>0</v>
      </c>
      <c r="I574" s="50">
        <v>3206925.87</v>
      </c>
      <c r="J574" s="50">
        <v>0</v>
      </c>
      <c r="K574" s="50">
        <v>8343074.1299999999</v>
      </c>
      <c r="L574" s="50"/>
      <c r="M574" s="50">
        <v>5116445.54</v>
      </c>
      <c r="N574" s="50"/>
      <c r="O574" s="50">
        <v>0</v>
      </c>
      <c r="P574" s="50"/>
      <c r="Q574" s="50">
        <v>0</v>
      </c>
    </row>
    <row r="575" spans="1:17" x14ac:dyDescent="0.25">
      <c r="A575" s="49" t="s">
        <v>714</v>
      </c>
      <c r="B575" s="49" t="s">
        <v>122</v>
      </c>
      <c r="C575" s="49" t="s">
        <v>123</v>
      </c>
      <c r="D575" s="49" t="s">
        <v>69</v>
      </c>
      <c r="E575" s="50">
        <v>1000000</v>
      </c>
      <c r="F575" s="50">
        <v>642019</v>
      </c>
      <c r="G575" s="50">
        <v>642019</v>
      </c>
      <c r="H575" s="50">
        <v>0</v>
      </c>
      <c r="I575" s="50">
        <v>49808</v>
      </c>
      <c r="J575" s="50">
        <v>0</v>
      </c>
      <c r="K575" s="50">
        <v>466887.82</v>
      </c>
      <c r="L575" s="50"/>
      <c r="M575" s="50">
        <v>466887.82</v>
      </c>
      <c r="N575" s="50"/>
      <c r="O575" s="50">
        <v>125323.18</v>
      </c>
      <c r="P575" s="50"/>
      <c r="Q575" s="50">
        <v>125323.18</v>
      </c>
    </row>
    <row r="576" spans="1:17" x14ac:dyDescent="0.25">
      <c r="A576" s="49" t="s">
        <v>714</v>
      </c>
      <c r="B576" s="49" t="s">
        <v>116</v>
      </c>
      <c r="C576" s="49" t="s">
        <v>117</v>
      </c>
      <c r="D576" s="49" t="s">
        <v>85</v>
      </c>
      <c r="E576" s="50">
        <v>0</v>
      </c>
      <c r="F576" s="50">
        <v>0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50"/>
      <c r="M576" s="50">
        <v>0</v>
      </c>
      <c r="N576" s="50"/>
      <c r="O576" s="50">
        <v>0</v>
      </c>
      <c r="P576" s="50"/>
      <c r="Q576" s="50">
        <v>0</v>
      </c>
    </row>
    <row r="577" spans="1:17" x14ac:dyDescent="0.25">
      <c r="A577" s="49" t="s">
        <v>714</v>
      </c>
      <c r="B577" s="49" t="s">
        <v>134</v>
      </c>
      <c r="C577" s="49" t="s">
        <v>135</v>
      </c>
      <c r="D577" s="49" t="s">
        <v>69</v>
      </c>
      <c r="E577" s="50">
        <v>410000</v>
      </c>
      <c r="F577" s="50">
        <v>59000</v>
      </c>
      <c r="G577" s="50">
        <v>59000</v>
      </c>
      <c r="H577" s="50">
        <v>0</v>
      </c>
      <c r="I577" s="50">
        <v>0</v>
      </c>
      <c r="J577" s="50">
        <v>0</v>
      </c>
      <c r="K577" s="50">
        <v>0</v>
      </c>
      <c r="L577" s="50"/>
      <c r="M577" s="50">
        <v>0</v>
      </c>
      <c r="N577" s="50"/>
      <c r="O577" s="50">
        <v>59000</v>
      </c>
      <c r="P577" s="50"/>
      <c r="Q577" s="50">
        <v>59000</v>
      </c>
    </row>
    <row r="578" spans="1:17" x14ac:dyDescent="0.25">
      <c r="A578" s="49" t="s">
        <v>714</v>
      </c>
      <c r="B578" s="49" t="s">
        <v>346</v>
      </c>
      <c r="C578" s="49" t="s">
        <v>347</v>
      </c>
      <c r="D578" s="49" t="s">
        <v>69</v>
      </c>
      <c r="E578" s="50">
        <v>20000</v>
      </c>
      <c r="F578" s="50">
        <v>20000</v>
      </c>
      <c r="G578" s="50">
        <v>20000</v>
      </c>
      <c r="H578" s="50">
        <v>0</v>
      </c>
      <c r="I578" s="50">
        <v>0</v>
      </c>
      <c r="J578" s="50">
        <v>0</v>
      </c>
      <c r="K578" s="50">
        <v>0</v>
      </c>
      <c r="L578" s="50"/>
      <c r="M578" s="50">
        <v>0</v>
      </c>
      <c r="N578" s="50"/>
      <c r="O578" s="50">
        <v>20000</v>
      </c>
      <c r="P578" s="50"/>
      <c r="Q578" s="50">
        <v>20000</v>
      </c>
    </row>
    <row r="579" spans="1:17" x14ac:dyDescent="0.25">
      <c r="A579" s="49" t="s">
        <v>714</v>
      </c>
      <c r="B579" s="49" t="s">
        <v>136</v>
      </c>
      <c r="C579" s="49" t="s">
        <v>137</v>
      </c>
      <c r="D579" s="49" t="s">
        <v>69</v>
      </c>
      <c r="E579" s="50">
        <v>350000</v>
      </c>
      <c r="F579" s="50">
        <v>35000</v>
      </c>
      <c r="G579" s="50">
        <v>35000</v>
      </c>
      <c r="H579" s="50">
        <v>0</v>
      </c>
      <c r="I579" s="50">
        <v>0</v>
      </c>
      <c r="J579" s="50">
        <v>0</v>
      </c>
      <c r="K579" s="50">
        <v>0</v>
      </c>
      <c r="L579" s="50"/>
      <c r="M579" s="50">
        <v>0</v>
      </c>
      <c r="N579" s="50"/>
      <c r="O579" s="50">
        <v>35000</v>
      </c>
      <c r="P579" s="50"/>
      <c r="Q579" s="50">
        <v>35000</v>
      </c>
    </row>
    <row r="580" spans="1:17" x14ac:dyDescent="0.25">
      <c r="A580" s="49" t="s">
        <v>714</v>
      </c>
      <c r="B580" s="49" t="s">
        <v>138</v>
      </c>
      <c r="C580" s="49" t="s">
        <v>139</v>
      </c>
      <c r="D580" s="49" t="s">
        <v>69</v>
      </c>
      <c r="E580" s="50">
        <v>40000</v>
      </c>
      <c r="F580" s="50">
        <v>4000</v>
      </c>
      <c r="G580" s="50">
        <v>4000</v>
      </c>
      <c r="H580" s="50">
        <v>0</v>
      </c>
      <c r="I580" s="50">
        <v>0</v>
      </c>
      <c r="J580" s="50">
        <v>0</v>
      </c>
      <c r="K580" s="50">
        <v>0</v>
      </c>
      <c r="L580" s="50"/>
      <c r="M580" s="50">
        <v>0</v>
      </c>
      <c r="N580" s="50"/>
      <c r="O580" s="50">
        <v>4000</v>
      </c>
      <c r="P580" s="50"/>
      <c r="Q580" s="50">
        <v>4000</v>
      </c>
    </row>
    <row r="581" spans="1:17" x14ac:dyDescent="0.25">
      <c r="A581" s="49" t="s">
        <v>714</v>
      </c>
      <c r="B581" s="49" t="s">
        <v>140</v>
      </c>
      <c r="C581" s="49" t="s">
        <v>141</v>
      </c>
      <c r="D581" s="49" t="s">
        <v>69</v>
      </c>
      <c r="E581" s="50">
        <v>0</v>
      </c>
      <c r="F581" s="50">
        <v>0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/>
      <c r="M581" s="50">
        <v>0</v>
      </c>
      <c r="N581" s="50"/>
      <c r="O581" s="50">
        <v>0</v>
      </c>
      <c r="P581" s="50"/>
      <c r="Q581" s="50">
        <v>0</v>
      </c>
    </row>
    <row r="582" spans="1:17" x14ac:dyDescent="0.25">
      <c r="A582" s="49" t="s">
        <v>714</v>
      </c>
      <c r="B582" s="49" t="s">
        <v>144</v>
      </c>
      <c r="C582" s="49" t="s">
        <v>145</v>
      </c>
      <c r="D582" s="49" t="s">
        <v>69</v>
      </c>
      <c r="E582" s="50">
        <v>0</v>
      </c>
      <c r="F582" s="50">
        <v>0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/>
      <c r="M582" s="50">
        <v>0</v>
      </c>
      <c r="N582" s="50"/>
      <c r="O582" s="50">
        <v>0</v>
      </c>
      <c r="P582" s="50"/>
      <c r="Q582" s="50">
        <v>0</v>
      </c>
    </row>
    <row r="583" spans="1:17" x14ac:dyDescent="0.25">
      <c r="A583" s="49" t="s">
        <v>714</v>
      </c>
      <c r="B583" s="49" t="s">
        <v>162</v>
      </c>
      <c r="C583" s="49" t="s">
        <v>163</v>
      </c>
      <c r="D583" s="49" t="s">
        <v>69</v>
      </c>
      <c r="E583" s="50">
        <v>500000</v>
      </c>
      <c r="F583" s="50">
        <v>410000</v>
      </c>
      <c r="G583" s="50">
        <v>410000</v>
      </c>
      <c r="H583" s="50">
        <v>0</v>
      </c>
      <c r="I583" s="50">
        <v>0</v>
      </c>
      <c r="J583" s="50">
        <v>0</v>
      </c>
      <c r="K583" s="50">
        <v>0</v>
      </c>
      <c r="L583" s="50"/>
      <c r="M583" s="50">
        <v>0</v>
      </c>
      <c r="N583" s="50"/>
      <c r="O583" s="50">
        <v>410000</v>
      </c>
      <c r="P583" s="50"/>
      <c r="Q583" s="50">
        <v>410000</v>
      </c>
    </row>
    <row r="584" spans="1:17" x14ac:dyDescent="0.25">
      <c r="A584" s="49" t="s">
        <v>714</v>
      </c>
      <c r="B584" s="49" t="s">
        <v>164</v>
      </c>
      <c r="C584" s="49" t="s">
        <v>165</v>
      </c>
      <c r="D584" s="49" t="s">
        <v>69</v>
      </c>
      <c r="E584" s="50">
        <v>100000</v>
      </c>
      <c r="F584" s="50">
        <v>10000</v>
      </c>
      <c r="G584" s="50">
        <v>10000</v>
      </c>
      <c r="H584" s="50">
        <v>0</v>
      </c>
      <c r="I584" s="50">
        <v>0</v>
      </c>
      <c r="J584" s="50">
        <v>0</v>
      </c>
      <c r="K584" s="50">
        <v>0</v>
      </c>
      <c r="L584" s="50"/>
      <c r="M584" s="50">
        <v>0</v>
      </c>
      <c r="N584" s="50"/>
      <c r="O584" s="50">
        <v>10000</v>
      </c>
      <c r="P584" s="50"/>
      <c r="Q584" s="50">
        <v>10000</v>
      </c>
    </row>
    <row r="585" spans="1:17" x14ac:dyDescent="0.25">
      <c r="A585" s="49" t="s">
        <v>714</v>
      </c>
      <c r="B585" s="49" t="s">
        <v>172</v>
      </c>
      <c r="C585" s="49" t="s">
        <v>173</v>
      </c>
      <c r="D585" s="49" t="s">
        <v>69</v>
      </c>
      <c r="E585" s="50">
        <v>400000</v>
      </c>
      <c r="F585" s="50">
        <v>400000</v>
      </c>
      <c r="G585" s="50">
        <v>400000</v>
      </c>
      <c r="H585" s="50">
        <v>0</v>
      </c>
      <c r="I585" s="50">
        <v>0</v>
      </c>
      <c r="J585" s="50">
        <v>0</v>
      </c>
      <c r="K585" s="50">
        <v>0</v>
      </c>
      <c r="L585" s="50"/>
      <c r="M585" s="50">
        <v>0</v>
      </c>
      <c r="N585" s="50"/>
      <c r="O585" s="50">
        <v>400000</v>
      </c>
      <c r="P585" s="50"/>
      <c r="Q585" s="50">
        <v>400000</v>
      </c>
    </row>
    <row r="586" spans="1:17" x14ac:dyDescent="0.25">
      <c r="A586" s="49" t="s">
        <v>714</v>
      </c>
      <c r="B586" s="49" t="s">
        <v>184</v>
      </c>
      <c r="C586" s="49" t="s">
        <v>185</v>
      </c>
      <c r="D586" s="49" t="s">
        <v>69</v>
      </c>
      <c r="E586" s="50">
        <v>301595100</v>
      </c>
      <c r="F586" s="50">
        <v>261450403</v>
      </c>
      <c r="G586" s="50">
        <v>261450403</v>
      </c>
      <c r="H586" s="50">
        <v>0</v>
      </c>
      <c r="I586" s="50">
        <v>55509413.710000001</v>
      </c>
      <c r="J586" s="50">
        <v>0</v>
      </c>
      <c r="K586" s="50">
        <v>179318808.50999999</v>
      </c>
      <c r="L586" s="50"/>
      <c r="M586" s="50">
        <v>138728967.41999999</v>
      </c>
      <c r="N586" s="50"/>
      <c r="O586" s="50">
        <v>26622180.780000001</v>
      </c>
      <c r="P586" s="50"/>
      <c r="Q586" s="50">
        <v>26622180.780000001</v>
      </c>
    </row>
    <row r="587" spans="1:17" x14ac:dyDescent="0.25">
      <c r="A587" s="49" t="s">
        <v>714</v>
      </c>
      <c r="B587" s="49" t="s">
        <v>186</v>
      </c>
      <c r="C587" s="49" t="s">
        <v>187</v>
      </c>
      <c r="D587" s="49" t="s">
        <v>69</v>
      </c>
      <c r="E587" s="50">
        <v>6620568</v>
      </c>
      <c r="F587" s="50">
        <v>4620568</v>
      </c>
      <c r="G587" s="50">
        <v>4620568</v>
      </c>
      <c r="H587" s="50">
        <v>0</v>
      </c>
      <c r="I587" s="50">
        <v>0</v>
      </c>
      <c r="J587" s="50">
        <v>0</v>
      </c>
      <c r="K587" s="50">
        <v>1071878.6599999999</v>
      </c>
      <c r="L587" s="50"/>
      <c r="M587" s="50">
        <v>1071878.6599999999</v>
      </c>
      <c r="N587" s="50"/>
      <c r="O587" s="50">
        <v>3548689.34</v>
      </c>
      <c r="P587" s="50"/>
      <c r="Q587" s="50">
        <v>3548689.34</v>
      </c>
    </row>
    <row r="588" spans="1:17" x14ac:dyDescent="0.25">
      <c r="A588" s="49" t="s">
        <v>714</v>
      </c>
      <c r="B588" s="49" t="s">
        <v>188</v>
      </c>
      <c r="C588" s="49" t="s">
        <v>189</v>
      </c>
      <c r="D588" s="49" t="s">
        <v>69</v>
      </c>
      <c r="E588" s="50">
        <v>2413000</v>
      </c>
      <c r="F588" s="50">
        <v>2413000</v>
      </c>
      <c r="G588" s="50">
        <v>2413000</v>
      </c>
      <c r="H588" s="50">
        <v>0</v>
      </c>
      <c r="I588" s="50">
        <v>0</v>
      </c>
      <c r="J588" s="50">
        <v>0</v>
      </c>
      <c r="K588" s="50">
        <v>0</v>
      </c>
      <c r="L588" s="50"/>
      <c r="M588" s="50">
        <v>0</v>
      </c>
      <c r="N588" s="50"/>
      <c r="O588" s="50">
        <v>2413000</v>
      </c>
      <c r="P588" s="50"/>
      <c r="Q588" s="50">
        <v>2413000</v>
      </c>
    </row>
    <row r="589" spans="1:17" x14ac:dyDescent="0.25">
      <c r="A589" s="49" t="s">
        <v>714</v>
      </c>
      <c r="B589" s="49" t="s">
        <v>350</v>
      </c>
      <c r="C589" s="49" t="s">
        <v>351</v>
      </c>
      <c r="D589" s="49" t="s">
        <v>69</v>
      </c>
      <c r="E589" s="50">
        <v>63287</v>
      </c>
      <c r="F589" s="50">
        <v>63287</v>
      </c>
      <c r="G589" s="50">
        <v>63287</v>
      </c>
      <c r="H589" s="50">
        <v>0</v>
      </c>
      <c r="I589" s="50">
        <v>0</v>
      </c>
      <c r="J589" s="50">
        <v>0</v>
      </c>
      <c r="K589" s="50">
        <v>0</v>
      </c>
      <c r="L589" s="50"/>
      <c r="M589" s="50">
        <v>0</v>
      </c>
      <c r="N589" s="50"/>
      <c r="O589" s="50">
        <v>63287</v>
      </c>
      <c r="P589" s="50"/>
      <c r="Q589" s="50">
        <v>63287</v>
      </c>
    </row>
    <row r="590" spans="1:17" x14ac:dyDescent="0.25">
      <c r="A590" s="49" t="s">
        <v>714</v>
      </c>
      <c r="B590" s="49" t="s">
        <v>194</v>
      </c>
      <c r="C590" s="49" t="s">
        <v>195</v>
      </c>
      <c r="D590" s="49" t="s">
        <v>69</v>
      </c>
      <c r="E590" s="50">
        <v>4144281</v>
      </c>
      <c r="F590" s="50">
        <v>2144281</v>
      </c>
      <c r="G590" s="50">
        <v>2144281</v>
      </c>
      <c r="H590" s="50">
        <v>0</v>
      </c>
      <c r="I590" s="50">
        <v>0</v>
      </c>
      <c r="J590" s="50">
        <v>0</v>
      </c>
      <c r="K590" s="50">
        <v>1071878.6599999999</v>
      </c>
      <c r="L590" s="50"/>
      <c r="M590" s="50">
        <v>1071878.6599999999</v>
      </c>
      <c r="N590" s="50"/>
      <c r="O590" s="50">
        <v>1072402.3400000001</v>
      </c>
      <c r="P590" s="50"/>
      <c r="Q590" s="50">
        <v>1072402.3400000001</v>
      </c>
    </row>
    <row r="591" spans="1:17" x14ac:dyDescent="0.25">
      <c r="A591" s="49" t="s">
        <v>714</v>
      </c>
      <c r="B591" s="49" t="s">
        <v>196</v>
      </c>
      <c r="C591" s="49" t="s">
        <v>197</v>
      </c>
      <c r="D591" s="49" t="s">
        <v>69</v>
      </c>
      <c r="E591" s="50">
        <v>280709986</v>
      </c>
      <c r="F591" s="50">
        <v>254166598</v>
      </c>
      <c r="G591" s="50">
        <v>254166598</v>
      </c>
      <c r="H591" s="50">
        <v>0</v>
      </c>
      <c r="I591" s="50">
        <v>55249174.710000001</v>
      </c>
      <c r="J591" s="50">
        <v>0</v>
      </c>
      <c r="K591" s="50">
        <v>176470806.52000001</v>
      </c>
      <c r="L591" s="50"/>
      <c r="M591" s="50">
        <v>135880965.43000001</v>
      </c>
      <c r="N591" s="50"/>
      <c r="O591" s="50">
        <v>22446616.77</v>
      </c>
      <c r="P591" s="50"/>
      <c r="Q591" s="50">
        <v>22446616.77</v>
      </c>
    </row>
    <row r="592" spans="1:17" x14ac:dyDescent="0.25">
      <c r="A592" s="49" t="s">
        <v>714</v>
      </c>
      <c r="B592" s="49" t="s">
        <v>579</v>
      </c>
      <c r="C592" s="49" t="s">
        <v>580</v>
      </c>
      <c r="D592" s="49" t="s">
        <v>69</v>
      </c>
      <c r="E592" s="50">
        <v>1988520</v>
      </c>
      <c r="F592" s="50">
        <v>1444180</v>
      </c>
      <c r="G592" s="50">
        <v>1444180</v>
      </c>
      <c r="H592" s="50">
        <v>0</v>
      </c>
      <c r="I592" s="50">
        <v>0</v>
      </c>
      <c r="J592" s="50">
        <v>0</v>
      </c>
      <c r="K592" s="50">
        <v>899840</v>
      </c>
      <c r="L592" s="50"/>
      <c r="M592" s="50">
        <v>899840</v>
      </c>
      <c r="N592" s="50"/>
      <c r="O592" s="50">
        <v>544340</v>
      </c>
      <c r="P592" s="50"/>
      <c r="Q592" s="50">
        <v>544340</v>
      </c>
    </row>
    <row r="593" spans="1:17" x14ac:dyDescent="0.25">
      <c r="A593" s="49" t="s">
        <v>714</v>
      </c>
      <c r="B593" s="49" t="s">
        <v>198</v>
      </c>
      <c r="C593" s="49" t="s">
        <v>199</v>
      </c>
      <c r="D593" s="49" t="s">
        <v>69</v>
      </c>
      <c r="E593" s="50">
        <v>278273098</v>
      </c>
      <c r="F593" s="50">
        <v>252353456</v>
      </c>
      <c r="G593" s="50">
        <v>252353456</v>
      </c>
      <c r="H593" s="50">
        <v>0</v>
      </c>
      <c r="I593" s="50">
        <v>55249174.700000003</v>
      </c>
      <c r="J593" s="50">
        <v>0</v>
      </c>
      <c r="K593" s="50">
        <v>175202004.84999999</v>
      </c>
      <c r="L593" s="50"/>
      <c r="M593" s="50">
        <v>134612163.75999999</v>
      </c>
      <c r="N593" s="50"/>
      <c r="O593" s="50">
        <v>21902276.449999999</v>
      </c>
      <c r="P593" s="50"/>
      <c r="Q593" s="50">
        <v>21902276.449999999</v>
      </c>
    </row>
    <row r="594" spans="1:17" x14ac:dyDescent="0.25">
      <c r="A594" s="49" t="s">
        <v>714</v>
      </c>
      <c r="B594" s="49" t="s">
        <v>352</v>
      </c>
      <c r="C594" s="49" t="s">
        <v>353</v>
      </c>
      <c r="D594" s="49" t="s">
        <v>69</v>
      </c>
      <c r="E594" s="50">
        <v>448368</v>
      </c>
      <c r="F594" s="50">
        <v>368962</v>
      </c>
      <c r="G594" s="50">
        <v>368962</v>
      </c>
      <c r="H594" s="50">
        <v>0</v>
      </c>
      <c r="I594" s="50">
        <v>0.01</v>
      </c>
      <c r="J594" s="50">
        <v>0</v>
      </c>
      <c r="K594" s="50">
        <v>368961.67</v>
      </c>
      <c r="L594" s="50"/>
      <c r="M594" s="50">
        <v>368961.67</v>
      </c>
      <c r="N594" s="50"/>
      <c r="O594" s="50">
        <v>0.32</v>
      </c>
      <c r="P594" s="50"/>
      <c r="Q594" s="50">
        <v>0.32</v>
      </c>
    </row>
    <row r="595" spans="1:17" x14ac:dyDescent="0.25">
      <c r="A595" s="49" t="s">
        <v>714</v>
      </c>
      <c r="B595" s="49" t="s">
        <v>200</v>
      </c>
      <c r="C595" s="49" t="s">
        <v>201</v>
      </c>
      <c r="D595" s="49" t="s">
        <v>69</v>
      </c>
      <c r="E595" s="50">
        <v>8117062</v>
      </c>
      <c r="F595" s="50">
        <v>1522387</v>
      </c>
      <c r="G595" s="50">
        <v>1522387</v>
      </c>
      <c r="H595" s="50">
        <v>0</v>
      </c>
      <c r="I595" s="50">
        <v>0</v>
      </c>
      <c r="J595" s="50">
        <v>0</v>
      </c>
      <c r="K595" s="50">
        <v>1110192.48</v>
      </c>
      <c r="L595" s="50"/>
      <c r="M595" s="50">
        <v>1110192.48</v>
      </c>
      <c r="N595" s="50"/>
      <c r="O595" s="50">
        <v>412194.52</v>
      </c>
      <c r="P595" s="50"/>
      <c r="Q595" s="50">
        <v>412194.52</v>
      </c>
    </row>
    <row r="596" spans="1:17" x14ac:dyDescent="0.25">
      <c r="A596" s="49" t="s">
        <v>714</v>
      </c>
      <c r="B596" s="49" t="s">
        <v>314</v>
      </c>
      <c r="C596" s="49" t="s">
        <v>315</v>
      </c>
      <c r="D596" s="49" t="s">
        <v>69</v>
      </c>
      <c r="E596" s="50">
        <v>2959825</v>
      </c>
      <c r="F596" s="50">
        <v>0</v>
      </c>
      <c r="G596" s="50">
        <v>0</v>
      </c>
      <c r="H596" s="50">
        <v>0</v>
      </c>
      <c r="I596" s="50">
        <v>0</v>
      </c>
      <c r="J596" s="50">
        <v>0</v>
      </c>
      <c r="K596" s="50">
        <v>0</v>
      </c>
      <c r="L596" s="50"/>
      <c r="M596" s="50">
        <v>0</v>
      </c>
      <c r="N596" s="50"/>
      <c r="O596" s="50">
        <v>0</v>
      </c>
      <c r="P596" s="50"/>
      <c r="Q596" s="50">
        <v>0</v>
      </c>
    </row>
    <row r="597" spans="1:17" x14ac:dyDescent="0.25">
      <c r="A597" s="49" t="s">
        <v>714</v>
      </c>
      <c r="B597" s="49" t="s">
        <v>202</v>
      </c>
      <c r="C597" s="49" t="s">
        <v>203</v>
      </c>
      <c r="D597" s="49" t="s">
        <v>69</v>
      </c>
      <c r="E597" s="50">
        <v>1322500</v>
      </c>
      <c r="F597" s="50">
        <v>22500</v>
      </c>
      <c r="G597" s="50">
        <v>22500</v>
      </c>
      <c r="H597" s="50">
        <v>0</v>
      </c>
      <c r="I597" s="50">
        <v>0</v>
      </c>
      <c r="J597" s="50">
        <v>0</v>
      </c>
      <c r="K597" s="50">
        <v>0</v>
      </c>
      <c r="L597" s="50"/>
      <c r="M597" s="50">
        <v>0</v>
      </c>
      <c r="N597" s="50"/>
      <c r="O597" s="50">
        <v>22500</v>
      </c>
      <c r="P597" s="50"/>
      <c r="Q597" s="50">
        <v>22500</v>
      </c>
    </row>
    <row r="598" spans="1:17" x14ac:dyDescent="0.25">
      <c r="A598" s="49" t="s">
        <v>714</v>
      </c>
      <c r="B598" s="49" t="s">
        <v>320</v>
      </c>
      <c r="C598" s="49" t="s">
        <v>321</v>
      </c>
      <c r="D598" s="49" t="s">
        <v>69</v>
      </c>
      <c r="E598" s="50">
        <v>220000</v>
      </c>
      <c r="F598" s="50">
        <v>0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/>
      <c r="M598" s="50">
        <v>0</v>
      </c>
      <c r="N598" s="50"/>
      <c r="O598" s="50">
        <v>0</v>
      </c>
      <c r="P598" s="50"/>
      <c r="Q598" s="50">
        <v>0</v>
      </c>
    </row>
    <row r="599" spans="1:17" x14ac:dyDescent="0.25">
      <c r="A599" s="49" t="s">
        <v>714</v>
      </c>
      <c r="B599" s="49" t="s">
        <v>204</v>
      </c>
      <c r="C599" s="49" t="s">
        <v>205</v>
      </c>
      <c r="D599" s="49" t="s">
        <v>69</v>
      </c>
      <c r="E599" s="50">
        <v>1532505</v>
      </c>
      <c r="F599" s="50">
        <v>1417655</v>
      </c>
      <c r="G599" s="50">
        <v>1417655</v>
      </c>
      <c r="H599" s="50">
        <v>0</v>
      </c>
      <c r="I599" s="50">
        <v>0</v>
      </c>
      <c r="J599" s="50">
        <v>0</v>
      </c>
      <c r="K599" s="50">
        <v>1110192.48</v>
      </c>
      <c r="L599" s="50"/>
      <c r="M599" s="50">
        <v>1110192.48</v>
      </c>
      <c r="N599" s="50"/>
      <c r="O599" s="50">
        <v>307462.52</v>
      </c>
      <c r="P599" s="50"/>
      <c r="Q599" s="50">
        <v>307462.52</v>
      </c>
    </row>
    <row r="600" spans="1:17" x14ac:dyDescent="0.25">
      <c r="A600" s="49" t="s">
        <v>714</v>
      </c>
      <c r="B600" s="49" t="s">
        <v>322</v>
      </c>
      <c r="C600" s="49" t="s">
        <v>323</v>
      </c>
      <c r="D600" s="49" t="s">
        <v>69</v>
      </c>
      <c r="E600" s="50">
        <v>2082232</v>
      </c>
      <c r="F600" s="50">
        <v>82232</v>
      </c>
      <c r="G600" s="50">
        <v>82232</v>
      </c>
      <c r="H600" s="50">
        <v>0</v>
      </c>
      <c r="I600" s="50">
        <v>0</v>
      </c>
      <c r="J600" s="50">
        <v>0</v>
      </c>
      <c r="K600" s="50">
        <v>0</v>
      </c>
      <c r="L600" s="50"/>
      <c r="M600" s="50">
        <v>0</v>
      </c>
      <c r="N600" s="50"/>
      <c r="O600" s="50">
        <v>82232</v>
      </c>
      <c r="P600" s="50"/>
      <c r="Q600" s="50">
        <v>82232</v>
      </c>
    </row>
    <row r="601" spans="1:17" x14ac:dyDescent="0.25">
      <c r="A601" s="49" t="s">
        <v>714</v>
      </c>
      <c r="B601" s="49" t="s">
        <v>206</v>
      </c>
      <c r="C601" s="49" t="s">
        <v>207</v>
      </c>
      <c r="D601" s="49" t="s">
        <v>69</v>
      </c>
      <c r="E601" s="50">
        <v>1362914</v>
      </c>
      <c r="F601" s="50">
        <v>91500</v>
      </c>
      <c r="G601" s="50">
        <v>91500</v>
      </c>
      <c r="H601" s="50">
        <v>0</v>
      </c>
      <c r="I601" s="50">
        <v>0</v>
      </c>
      <c r="J601" s="50">
        <v>0</v>
      </c>
      <c r="K601" s="50">
        <v>0</v>
      </c>
      <c r="L601" s="50"/>
      <c r="M601" s="50">
        <v>0</v>
      </c>
      <c r="N601" s="50"/>
      <c r="O601" s="50">
        <v>91500</v>
      </c>
      <c r="P601" s="50"/>
      <c r="Q601" s="50">
        <v>91500</v>
      </c>
    </row>
    <row r="602" spans="1:17" x14ac:dyDescent="0.25">
      <c r="A602" s="49" t="s">
        <v>714</v>
      </c>
      <c r="B602" s="49" t="s">
        <v>208</v>
      </c>
      <c r="C602" s="49" t="s">
        <v>209</v>
      </c>
      <c r="D602" s="49" t="s">
        <v>69</v>
      </c>
      <c r="E602" s="50">
        <v>571414</v>
      </c>
      <c r="F602" s="50">
        <v>0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50"/>
      <c r="M602" s="50">
        <v>0</v>
      </c>
      <c r="N602" s="50"/>
      <c r="O602" s="50">
        <v>0</v>
      </c>
      <c r="P602" s="50"/>
      <c r="Q602" s="50">
        <v>0</v>
      </c>
    </row>
    <row r="603" spans="1:17" x14ac:dyDescent="0.25">
      <c r="A603" s="49" t="s">
        <v>714</v>
      </c>
      <c r="B603" s="49" t="s">
        <v>210</v>
      </c>
      <c r="C603" s="49" t="s">
        <v>211</v>
      </c>
      <c r="D603" s="49" t="s">
        <v>69</v>
      </c>
      <c r="E603" s="50">
        <v>791500</v>
      </c>
      <c r="F603" s="50">
        <v>91500</v>
      </c>
      <c r="G603" s="50">
        <v>91500</v>
      </c>
      <c r="H603" s="50">
        <v>0</v>
      </c>
      <c r="I603" s="50">
        <v>0</v>
      </c>
      <c r="J603" s="50">
        <v>0</v>
      </c>
      <c r="K603" s="50">
        <v>0</v>
      </c>
      <c r="L603" s="50"/>
      <c r="M603" s="50">
        <v>0</v>
      </c>
      <c r="N603" s="50"/>
      <c r="O603" s="50">
        <v>91500</v>
      </c>
      <c r="P603" s="50"/>
      <c r="Q603" s="50">
        <v>91500</v>
      </c>
    </row>
    <row r="604" spans="1:17" x14ac:dyDescent="0.25">
      <c r="A604" s="49" t="s">
        <v>714</v>
      </c>
      <c r="B604" s="49" t="s">
        <v>354</v>
      </c>
      <c r="C604" s="49" t="s">
        <v>355</v>
      </c>
      <c r="D604" s="49" t="s">
        <v>69</v>
      </c>
      <c r="E604" s="50">
        <v>585840</v>
      </c>
      <c r="F604" s="50">
        <v>0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/>
      <c r="M604" s="50">
        <v>0</v>
      </c>
      <c r="N604" s="50"/>
      <c r="O604" s="50">
        <v>0</v>
      </c>
      <c r="P604" s="50"/>
      <c r="Q604" s="50">
        <v>0</v>
      </c>
    </row>
    <row r="605" spans="1:17" x14ac:dyDescent="0.25">
      <c r="A605" s="49" t="s">
        <v>714</v>
      </c>
      <c r="B605" s="49" t="s">
        <v>356</v>
      </c>
      <c r="C605" s="49" t="s">
        <v>357</v>
      </c>
      <c r="D605" s="49" t="s">
        <v>69</v>
      </c>
      <c r="E605" s="50">
        <v>585840</v>
      </c>
      <c r="F605" s="50">
        <v>0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50"/>
      <c r="M605" s="50">
        <v>0</v>
      </c>
      <c r="N605" s="50"/>
      <c r="O605" s="50">
        <v>0</v>
      </c>
      <c r="P605" s="50"/>
      <c r="Q605" s="50">
        <v>0</v>
      </c>
    </row>
    <row r="606" spans="1:17" x14ac:dyDescent="0.25">
      <c r="A606" s="49" t="s">
        <v>714</v>
      </c>
      <c r="B606" s="49" t="s">
        <v>212</v>
      </c>
      <c r="C606" s="49" t="s">
        <v>213</v>
      </c>
      <c r="D606" s="49" t="s">
        <v>69</v>
      </c>
      <c r="E606" s="50">
        <v>4198730</v>
      </c>
      <c r="F606" s="50">
        <v>1049350</v>
      </c>
      <c r="G606" s="50">
        <v>1049350</v>
      </c>
      <c r="H606" s="50">
        <v>0</v>
      </c>
      <c r="I606" s="50">
        <v>260239</v>
      </c>
      <c r="J606" s="50">
        <v>0</v>
      </c>
      <c r="K606" s="50">
        <v>665930.85</v>
      </c>
      <c r="L606" s="50"/>
      <c r="M606" s="50">
        <v>665930.85</v>
      </c>
      <c r="N606" s="50"/>
      <c r="O606" s="50">
        <v>123180.15</v>
      </c>
      <c r="P606" s="50"/>
      <c r="Q606" s="50">
        <v>123180.15</v>
      </c>
    </row>
    <row r="607" spans="1:17" x14ac:dyDescent="0.25">
      <c r="A607" s="49" t="s">
        <v>714</v>
      </c>
      <c r="B607" s="49" t="s">
        <v>220</v>
      </c>
      <c r="C607" s="49" t="s">
        <v>221</v>
      </c>
      <c r="D607" s="49" t="s">
        <v>69</v>
      </c>
      <c r="E607" s="50">
        <v>1076090</v>
      </c>
      <c r="F607" s="50">
        <v>926190</v>
      </c>
      <c r="G607" s="50">
        <v>926190</v>
      </c>
      <c r="H607" s="50">
        <v>0</v>
      </c>
      <c r="I607" s="50">
        <v>260239</v>
      </c>
      <c r="J607" s="50">
        <v>0</v>
      </c>
      <c r="K607" s="50">
        <v>665930.85</v>
      </c>
      <c r="L607" s="50"/>
      <c r="M607" s="50">
        <v>665930.85</v>
      </c>
      <c r="N607" s="50"/>
      <c r="O607" s="50">
        <v>20.149999999999999</v>
      </c>
      <c r="P607" s="50"/>
      <c r="Q607" s="50">
        <v>20.149999999999999</v>
      </c>
    </row>
    <row r="608" spans="1:17" x14ac:dyDescent="0.25">
      <c r="A608" s="49" t="s">
        <v>714</v>
      </c>
      <c r="B608" s="49" t="s">
        <v>222</v>
      </c>
      <c r="C608" s="49" t="s">
        <v>223</v>
      </c>
      <c r="D608" s="49" t="s">
        <v>69</v>
      </c>
      <c r="E608" s="50">
        <v>35760</v>
      </c>
      <c r="F608" s="50">
        <v>35760</v>
      </c>
      <c r="G608" s="50">
        <v>35760</v>
      </c>
      <c r="H608" s="50">
        <v>0</v>
      </c>
      <c r="I608" s="50">
        <v>0</v>
      </c>
      <c r="J608" s="50">
        <v>0</v>
      </c>
      <c r="K608" s="50">
        <v>0</v>
      </c>
      <c r="L608" s="50"/>
      <c r="M608" s="50">
        <v>0</v>
      </c>
      <c r="N608" s="50"/>
      <c r="O608" s="50">
        <v>35760</v>
      </c>
      <c r="P608" s="50"/>
      <c r="Q608" s="50">
        <v>35760</v>
      </c>
    </row>
    <row r="609" spans="1:17" x14ac:dyDescent="0.25">
      <c r="A609" s="49" t="s">
        <v>714</v>
      </c>
      <c r="B609" s="49" t="s">
        <v>224</v>
      </c>
      <c r="C609" s="49" t="s">
        <v>225</v>
      </c>
      <c r="D609" s="49" t="s">
        <v>69</v>
      </c>
      <c r="E609" s="50">
        <v>2587400</v>
      </c>
      <c r="F609" s="50">
        <v>87400</v>
      </c>
      <c r="G609" s="50">
        <v>87400</v>
      </c>
      <c r="H609" s="50">
        <v>0</v>
      </c>
      <c r="I609" s="50">
        <v>0</v>
      </c>
      <c r="J609" s="50">
        <v>0</v>
      </c>
      <c r="K609" s="50">
        <v>0</v>
      </c>
      <c r="L609" s="50"/>
      <c r="M609" s="50">
        <v>0</v>
      </c>
      <c r="N609" s="50"/>
      <c r="O609" s="50">
        <v>87400</v>
      </c>
      <c r="P609" s="50"/>
      <c r="Q609" s="50">
        <v>87400</v>
      </c>
    </row>
    <row r="610" spans="1:17" x14ac:dyDescent="0.25">
      <c r="A610" s="49" t="s">
        <v>714</v>
      </c>
      <c r="B610" s="49" t="s">
        <v>228</v>
      </c>
      <c r="C610" s="49" t="s">
        <v>229</v>
      </c>
      <c r="D610" s="49" t="s">
        <v>69</v>
      </c>
      <c r="E610" s="50">
        <v>499480</v>
      </c>
      <c r="F610" s="50">
        <v>0</v>
      </c>
      <c r="G610" s="50">
        <v>0</v>
      </c>
      <c r="H610" s="50">
        <v>0</v>
      </c>
      <c r="I610" s="50">
        <v>0</v>
      </c>
      <c r="J610" s="50">
        <v>0</v>
      </c>
      <c r="K610" s="50">
        <v>0</v>
      </c>
      <c r="L610" s="50"/>
      <c r="M610" s="50">
        <v>0</v>
      </c>
      <c r="N610" s="50"/>
      <c r="O610" s="50">
        <v>0</v>
      </c>
      <c r="P610" s="50"/>
      <c r="Q610" s="50">
        <v>0</v>
      </c>
    </row>
    <row r="611" spans="1:17" x14ac:dyDescent="0.25">
      <c r="A611" s="49" t="s">
        <v>714</v>
      </c>
      <c r="B611" s="49" t="s">
        <v>248</v>
      </c>
      <c r="C611" s="49" t="s">
        <v>249</v>
      </c>
      <c r="D611" s="49" t="s">
        <v>69</v>
      </c>
      <c r="E611" s="50">
        <v>32319360</v>
      </c>
      <c r="F611" s="50">
        <v>31841288</v>
      </c>
      <c r="G611" s="50">
        <v>31841288</v>
      </c>
      <c r="H611" s="50">
        <v>0</v>
      </c>
      <c r="I611" s="50">
        <v>0</v>
      </c>
      <c r="J611" s="50">
        <v>0</v>
      </c>
      <c r="K611" s="50">
        <v>26983734</v>
      </c>
      <c r="L611" s="50"/>
      <c r="M611" s="50">
        <v>26983734</v>
      </c>
      <c r="N611" s="50"/>
      <c r="O611" s="50">
        <v>4857554</v>
      </c>
      <c r="P611" s="50"/>
      <c r="Q611" s="50">
        <v>4857554</v>
      </c>
    </row>
    <row r="612" spans="1:17" x14ac:dyDescent="0.25">
      <c r="A612" s="49" t="s">
        <v>714</v>
      </c>
      <c r="B612" s="49" t="s">
        <v>250</v>
      </c>
      <c r="C612" s="49" t="s">
        <v>251</v>
      </c>
      <c r="D612" s="49" t="s">
        <v>69</v>
      </c>
      <c r="E612" s="50">
        <v>24819360</v>
      </c>
      <c r="F612" s="50">
        <v>24341288</v>
      </c>
      <c r="G612" s="50">
        <v>24341288</v>
      </c>
      <c r="H612" s="50">
        <v>0</v>
      </c>
      <c r="I612" s="50">
        <v>0</v>
      </c>
      <c r="J612" s="50">
        <v>0</v>
      </c>
      <c r="K612" s="50">
        <v>21171548</v>
      </c>
      <c r="L612" s="50"/>
      <c r="M612" s="50">
        <v>21171548</v>
      </c>
      <c r="N612" s="50"/>
      <c r="O612" s="50">
        <v>3169740</v>
      </c>
      <c r="P612" s="50"/>
      <c r="Q612" s="50">
        <v>3169740</v>
      </c>
    </row>
    <row r="613" spans="1:17" x14ac:dyDescent="0.25">
      <c r="A613" s="49" t="s">
        <v>714</v>
      </c>
      <c r="B613" s="49" t="s">
        <v>633</v>
      </c>
      <c r="C613" s="49" t="s">
        <v>702</v>
      </c>
      <c r="D613" s="49" t="s">
        <v>69</v>
      </c>
      <c r="E613" s="50">
        <v>21081545</v>
      </c>
      <c r="F613" s="50">
        <v>20675471</v>
      </c>
      <c r="G613" s="50">
        <v>20675471</v>
      </c>
      <c r="H613" s="50">
        <v>0</v>
      </c>
      <c r="I613" s="50">
        <v>0</v>
      </c>
      <c r="J613" s="50">
        <v>0</v>
      </c>
      <c r="K613" s="50">
        <v>17954885</v>
      </c>
      <c r="L613" s="50"/>
      <c r="M613" s="50">
        <v>17954885</v>
      </c>
      <c r="N613" s="50"/>
      <c r="O613" s="50">
        <v>2720586</v>
      </c>
      <c r="P613" s="50"/>
      <c r="Q613" s="50">
        <v>2720586</v>
      </c>
    </row>
    <row r="614" spans="1:17" x14ac:dyDescent="0.25">
      <c r="A614" s="49" t="s">
        <v>714</v>
      </c>
      <c r="B614" s="49" t="s">
        <v>648</v>
      </c>
      <c r="C614" s="49" t="s">
        <v>703</v>
      </c>
      <c r="D614" s="49" t="s">
        <v>69</v>
      </c>
      <c r="E614" s="50">
        <v>3737815</v>
      </c>
      <c r="F614" s="50">
        <v>3665817</v>
      </c>
      <c r="G614" s="50">
        <v>3665817</v>
      </c>
      <c r="H614" s="50">
        <v>0</v>
      </c>
      <c r="I614" s="50">
        <v>0</v>
      </c>
      <c r="J614" s="50">
        <v>0</v>
      </c>
      <c r="K614" s="50">
        <v>3216663</v>
      </c>
      <c r="L614" s="50"/>
      <c r="M614" s="50">
        <v>3216663</v>
      </c>
      <c r="N614" s="50"/>
      <c r="O614" s="50">
        <v>449154</v>
      </c>
      <c r="P614" s="50"/>
      <c r="Q614" s="50">
        <v>449154</v>
      </c>
    </row>
    <row r="615" spans="1:17" x14ac:dyDescent="0.25">
      <c r="A615" s="49" t="s">
        <v>714</v>
      </c>
      <c r="B615" s="49" t="s">
        <v>260</v>
      </c>
      <c r="C615" s="49" t="s">
        <v>261</v>
      </c>
      <c r="D615" s="49" t="s">
        <v>69</v>
      </c>
      <c r="E615" s="50">
        <v>7500000</v>
      </c>
      <c r="F615" s="50">
        <v>7500000</v>
      </c>
      <c r="G615" s="50">
        <v>7500000</v>
      </c>
      <c r="H615" s="50">
        <v>0</v>
      </c>
      <c r="I615" s="50">
        <v>0</v>
      </c>
      <c r="J615" s="50">
        <v>0</v>
      </c>
      <c r="K615" s="50">
        <v>5812186</v>
      </c>
      <c r="L615" s="50"/>
      <c r="M615" s="50">
        <v>5812186</v>
      </c>
      <c r="N615" s="50"/>
      <c r="O615" s="50">
        <v>1687814</v>
      </c>
      <c r="P615" s="50"/>
      <c r="Q615" s="50">
        <v>1687814</v>
      </c>
    </row>
    <row r="616" spans="1:17" x14ac:dyDescent="0.25">
      <c r="A616" s="49" t="s">
        <v>714</v>
      </c>
      <c r="B616" s="49" t="s">
        <v>264</v>
      </c>
      <c r="C616" s="49" t="s">
        <v>265</v>
      </c>
      <c r="D616" s="49" t="s">
        <v>69</v>
      </c>
      <c r="E616" s="50">
        <v>7500000</v>
      </c>
      <c r="F616" s="50">
        <v>7500000</v>
      </c>
      <c r="G616" s="50">
        <v>7500000</v>
      </c>
      <c r="H616" s="50">
        <v>0</v>
      </c>
      <c r="I616" s="50">
        <v>0</v>
      </c>
      <c r="J616" s="50">
        <v>0</v>
      </c>
      <c r="K616" s="50">
        <v>5812186</v>
      </c>
      <c r="L616" s="50"/>
      <c r="M616" s="50">
        <v>5812186</v>
      </c>
      <c r="N616" s="50"/>
      <c r="O616" s="50">
        <v>1687814</v>
      </c>
      <c r="P616" s="50"/>
      <c r="Q616" s="50">
        <v>1687814</v>
      </c>
    </row>
    <row r="617" spans="1:17" x14ac:dyDescent="0.25">
      <c r="A617" s="49" t="s">
        <v>714</v>
      </c>
      <c r="B617" s="49" t="s">
        <v>230</v>
      </c>
      <c r="C617" s="49" t="s">
        <v>231</v>
      </c>
      <c r="D617" s="49" t="s">
        <v>85</v>
      </c>
      <c r="E617" s="50">
        <v>5038000</v>
      </c>
      <c r="F617" s="50">
        <v>729000</v>
      </c>
      <c r="G617" s="50">
        <v>729000</v>
      </c>
      <c r="H617" s="50">
        <v>0</v>
      </c>
      <c r="I617" s="50">
        <v>0</v>
      </c>
      <c r="J617" s="50">
        <v>0</v>
      </c>
      <c r="K617" s="50">
        <v>75000</v>
      </c>
      <c r="L617" s="50"/>
      <c r="M617" s="50">
        <v>75000</v>
      </c>
      <c r="N617" s="50"/>
      <c r="O617" s="50">
        <v>654000</v>
      </c>
      <c r="P617" s="50"/>
      <c r="Q617" s="50">
        <v>654000</v>
      </c>
    </row>
    <row r="618" spans="1:17" x14ac:dyDescent="0.25">
      <c r="A618" s="49" t="s">
        <v>714</v>
      </c>
      <c r="B618" s="49" t="s">
        <v>232</v>
      </c>
      <c r="C618" s="49" t="s">
        <v>233</v>
      </c>
      <c r="D618" s="49" t="s">
        <v>85</v>
      </c>
      <c r="E618" s="50">
        <v>4954000</v>
      </c>
      <c r="F618" s="50">
        <v>654000</v>
      </c>
      <c r="G618" s="50">
        <v>654000</v>
      </c>
      <c r="H618" s="50">
        <v>0</v>
      </c>
      <c r="I618" s="50">
        <v>0</v>
      </c>
      <c r="J618" s="50">
        <v>0</v>
      </c>
      <c r="K618" s="50">
        <v>0</v>
      </c>
      <c r="L618" s="50"/>
      <c r="M618" s="50">
        <v>0</v>
      </c>
      <c r="N618" s="50"/>
      <c r="O618" s="50">
        <v>654000</v>
      </c>
      <c r="P618" s="50"/>
      <c r="Q618" s="50">
        <v>654000</v>
      </c>
    </row>
    <row r="619" spans="1:17" x14ac:dyDescent="0.25">
      <c r="A619" s="49" t="s">
        <v>714</v>
      </c>
      <c r="B619" s="49" t="s">
        <v>234</v>
      </c>
      <c r="C619" s="49" t="s">
        <v>235</v>
      </c>
      <c r="D619" s="49" t="s">
        <v>85</v>
      </c>
      <c r="E619" s="50">
        <v>3565000</v>
      </c>
      <c r="F619" s="50">
        <v>565000</v>
      </c>
      <c r="G619" s="50">
        <v>565000</v>
      </c>
      <c r="H619" s="50">
        <v>0</v>
      </c>
      <c r="I619" s="50">
        <v>0</v>
      </c>
      <c r="J619" s="50">
        <v>0</v>
      </c>
      <c r="K619" s="50">
        <v>0</v>
      </c>
      <c r="L619" s="50"/>
      <c r="M619" s="50">
        <v>0</v>
      </c>
      <c r="N619" s="50"/>
      <c r="O619" s="50">
        <v>565000</v>
      </c>
      <c r="P619" s="50"/>
      <c r="Q619" s="50">
        <v>565000</v>
      </c>
    </row>
    <row r="620" spans="1:17" x14ac:dyDescent="0.25">
      <c r="A620" s="49" t="s">
        <v>714</v>
      </c>
      <c r="B620" s="49" t="s">
        <v>242</v>
      </c>
      <c r="C620" s="49" t="s">
        <v>243</v>
      </c>
      <c r="D620" s="49" t="s">
        <v>85</v>
      </c>
      <c r="E620" s="50">
        <v>1389000</v>
      </c>
      <c r="F620" s="50">
        <v>89000</v>
      </c>
      <c r="G620" s="50">
        <v>89000</v>
      </c>
      <c r="H620" s="50">
        <v>0</v>
      </c>
      <c r="I620" s="50">
        <v>0</v>
      </c>
      <c r="J620" s="50">
        <v>0</v>
      </c>
      <c r="K620" s="50">
        <v>0</v>
      </c>
      <c r="L620" s="50"/>
      <c r="M620" s="50">
        <v>0</v>
      </c>
      <c r="N620" s="50"/>
      <c r="O620" s="50">
        <v>89000</v>
      </c>
      <c r="P620" s="50"/>
      <c r="Q620" s="50">
        <v>89000</v>
      </c>
    </row>
    <row r="621" spans="1:17" x14ac:dyDescent="0.25">
      <c r="A621" s="49" t="s">
        <v>714</v>
      </c>
      <c r="B621" s="49" t="s">
        <v>244</v>
      </c>
      <c r="C621" s="49" t="s">
        <v>245</v>
      </c>
      <c r="D621" s="49" t="s">
        <v>85</v>
      </c>
      <c r="E621" s="50">
        <v>84000</v>
      </c>
      <c r="F621" s="50">
        <v>75000</v>
      </c>
      <c r="G621" s="50">
        <v>75000</v>
      </c>
      <c r="H621" s="50">
        <v>0</v>
      </c>
      <c r="I621" s="50">
        <v>0</v>
      </c>
      <c r="J621" s="50">
        <v>0</v>
      </c>
      <c r="K621" s="50">
        <v>75000</v>
      </c>
      <c r="L621" s="50"/>
      <c r="M621" s="50">
        <v>75000</v>
      </c>
      <c r="N621" s="50"/>
      <c r="O621" s="50">
        <v>0</v>
      </c>
      <c r="P621" s="50"/>
      <c r="Q621" s="50">
        <v>0</v>
      </c>
    </row>
    <row r="622" spans="1:17" x14ac:dyDescent="0.25">
      <c r="A622" s="49" t="s">
        <v>714</v>
      </c>
      <c r="B622" s="49" t="s">
        <v>611</v>
      </c>
      <c r="C622" s="49" t="s">
        <v>612</v>
      </c>
      <c r="D622" s="49" t="s">
        <v>85</v>
      </c>
      <c r="E622" s="50">
        <v>84000</v>
      </c>
      <c r="F622" s="50">
        <v>75000</v>
      </c>
      <c r="G622" s="50">
        <v>75000</v>
      </c>
      <c r="H622" s="50">
        <v>0</v>
      </c>
      <c r="I622" s="50">
        <v>0</v>
      </c>
      <c r="J622" s="50">
        <v>0</v>
      </c>
      <c r="K622" s="50">
        <v>75000</v>
      </c>
      <c r="L622" s="50"/>
      <c r="M622" s="50">
        <v>75000</v>
      </c>
      <c r="N622" s="50"/>
      <c r="O622" s="50">
        <v>0</v>
      </c>
      <c r="P622" s="50"/>
      <c r="Q622" s="50">
        <v>0</v>
      </c>
    </row>
    <row r="623" spans="1:17" x14ac:dyDescent="0.25">
      <c r="A623" s="49">
        <v>214789005</v>
      </c>
      <c r="B623" s="49"/>
      <c r="C623" s="49"/>
      <c r="D623" s="49" t="s">
        <v>69</v>
      </c>
      <c r="E623" s="50">
        <v>1188120522</v>
      </c>
      <c r="F623" s="50">
        <v>1156686277</v>
      </c>
      <c r="G623" s="50">
        <v>1156686277</v>
      </c>
      <c r="H623" s="50">
        <v>0</v>
      </c>
      <c r="I623" s="50">
        <v>11556519.27</v>
      </c>
      <c r="J623" s="50">
        <v>0</v>
      </c>
      <c r="K623" s="50">
        <v>1032253158.23</v>
      </c>
      <c r="L623" s="50"/>
      <c r="M623" s="50">
        <v>1031794408.37</v>
      </c>
      <c r="N623" s="50"/>
      <c r="O623" s="50">
        <v>112876599.5</v>
      </c>
      <c r="P623" s="50"/>
      <c r="Q623" s="50">
        <v>112876599.5</v>
      </c>
    </row>
    <row r="624" spans="1:17" x14ac:dyDescent="0.25">
      <c r="A624" s="49" t="s">
        <v>715</v>
      </c>
      <c r="B624" s="49" t="s">
        <v>71</v>
      </c>
      <c r="C624" s="49" t="s">
        <v>72</v>
      </c>
      <c r="D624" s="49" t="s">
        <v>69</v>
      </c>
      <c r="E624" s="50">
        <v>1139557000</v>
      </c>
      <c r="F624" s="50">
        <v>1112320185</v>
      </c>
      <c r="G624" s="50">
        <v>1112320185</v>
      </c>
      <c r="H624" s="50">
        <v>0</v>
      </c>
      <c r="I624" s="50">
        <v>2250000</v>
      </c>
      <c r="J624" s="50">
        <v>0</v>
      </c>
      <c r="K624" s="50">
        <v>1002773903.64</v>
      </c>
      <c r="L624" s="50"/>
      <c r="M624" s="50">
        <v>1002773903.64</v>
      </c>
      <c r="N624" s="50"/>
      <c r="O624" s="50">
        <v>107296281.36</v>
      </c>
      <c r="P624" s="50"/>
      <c r="Q624" s="50">
        <v>107296281.36</v>
      </c>
    </row>
    <row r="625" spans="1:17" x14ac:dyDescent="0.25">
      <c r="A625" s="49" t="s">
        <v>715</v>
      </c>
      <c r="B625" s="49" t="s">
        <v>73</v>
      </c>
      <c r="C625" s="49" t="s">
        <v>74</v>
      </c>
      <c r="D625" s="49" t="s">
        <v>69</v>
      </c>
      <c r="E625" s="50">
        <v>400867000</v>
      </c>
      <c r="F625" s="50">
        <v>388692700</v>
      </c>
      <c r="G625" s="50">
        <v>388692700</v>
      </c>
      <c r="H625" s="50">
        <v>0</v>
      </c>
      <c r="I625" s="50">
        <v>0</v>
      </c>
      <c r="J625" s="50">
        <v>0</v>
      </c>
      <c r="K625" s="50">
        <v>369844321.63</v>
      </c>
      <c r="L625" s="50"/>
      <c r="M625" s="50">
        <v>369844321.63</v>
      </c>
      <c r="N625" s="50"/>
      <c r="O625" s="50">
        <v>18848378.370000001</v>
      </c>
      <c r="P625" s="50"/>
      <c r="Q625" s="50">
        <v>18848378.370000001</v>
      </c>
    </row>
    <row r="626" spans="1:17" x14ac:dyDescent="0.25">
      <c r="A626" s="49" t="s">
        <v>715</v>
      </c>
      <c r="B626" s="49" t="s">
        <v>75</v>
      </c>
      <c r="C626" s="49" t="s">
        <v>76</v>
      </c>
      <c r="D626" s="49" t="s">
        <v>69</v>
      </c>
      <c r="E626" s="50">
        <v>400867000</v>
      </c>
      <c r="F626" s="50">
        <v>388692700</v>
      </c>
      <c r="G626" s="50">
        <v>388692700</v>
      </c>
      <c r="H626" s="50">
        <v>0</v>
      </c>
      <c r="I626" s="50">
        <v>0</v>
      </c>
      <c r="J626" s="50">
        <v>0</v>
      </c>
      <c r="K626" s="50">
        <v>369844321.63</v>
      </c>
      <c r="L626" s="50"/>
      <c r="M626" s="50">
        <v>369844321.63</v>
      </c>
      <c r="N626" s="50"/>
      <c r="O626" s="50">
        <v>18848378.370000001</v>
      </c>
      <c r="P626" s="50"/>
      <c r="Q626" s="50">
        <v>18848378.370000001</v>
      </c>
    </row>
    <row r="627" spans="1:17" x14ac:dyDescent="0.25">
      <c r="A627" s="49" t="s">
        <v>715</v>
      </c>
      <c r="B627" s="49" t="s">
        <v>77</v>
      </c>
      <c r="C627" s="49" t="s">
        <v>78</v>
      </c>
      <c r="D627" s="49" t="s">
        <v>69</v>
      </c>
      <c r="E627" s="50">
        <v>564855020</v>
      </c>
      <c r="F627" s="50">
        <v>553413468</v>
      </c>
      <c r="G627" s="50">
        <v>553413468</v>
      </c>
      <c r="H627" s="50">
        <v>0</v>
      </c>
      <c r="I627" s="50">
        <v>2250000</v>
      </c>
      <c r="J627" s="50">
        <v>0</v>
      </c>
      <c r="K627" s="50">
        <v>490313243.00999999</v>
      </c>
      <c r="L627" s="50"/>
      <c r="M627" s="50">
        <v>490313243.00999999</v>
      </c>
      <c r="N627" s="50"/>
      <c r="O627" s="50">
        <v>60850224.990000002</v>
      </c>
      <c r="P627" s="50"/>
      <c r="Q627" s="50">
        <v>60850224.990000002</v>
      </c>
    </row>
    <row r="628" spans="1:17" x14ac:dyDescent="0.25">
      <c r="A628" s="49" t="s">
        <v>715</v>
      </c>
      <c r="B628" s="49" t="s">
        <v>79</v>
      </c>
      <c r="C628" s="49" t="s">
        <v>80</v>
      </c>
      <c r="D628" s="49" t="s">
        <v>69</v>
      </c>
      <c r="E628" s="50">
        <v>153608900</v>
      </c>
      <c r="F628" s="50">
        <v>153608900</v>
      </c>
      <c r="G628" s="50">
        <v>153608900</v>
      </c>
      <c r="H628" s="50">
        <v>0</v>
      </c>
      <c r="I628" s="50">
        <v>0</v>
      </c>
      <c r="J628" s="50">
        <v>0</v>
      </c>
      <c r="K628" s="50">
        <v>121628911.45999999</v>
      </c>
      <c r="L628" s="50"/>
      <c r="M628" s="50">
        <v>121628911.45999999</v>
      </c>
      <c r="N628" s="50"/>
      <c r="O628" s="50">
        <v>31979988.539999999</v>
      </c>
      <c r="P628" s="50"/>
      <c r="Q628" s="50">
        <v>31979988.539999999</v>
      </c>
    </row>
    <row r="629" spans="1:17" x14ac:dyDescent="0.25">
      <c r="A629" s="49" t="s">
        <v>715</v>
      </c>
      <c r="B629" s="49" t="s">
        <v>81</v>
      </c>
      <c r="C629" s="49" t="s">
        <v>82</v>
      </c>
      <c r="D629" s="49" t="s">
        <v>69</v>
      </c>
      <c r="E629" s="50">
        <v>194052109</v>
      </c>
      <c r="F629" s="50">
        <v>188799681</v>
      </c>
      <c r="G629" s="50">
        <v>188799681</v>
      </c>
      <c r="H629" s="50">
        <v>0</v>
      </c>
      <c r="I629" s="50">
        <v>0</v>
      </c>
      <c r="J629" s="50">
        <v>0</v>
      </c>
      <c r="K629" s="50">
        <v>177351575.59999999</v>
      </c>
      <c r="L629" s="50"/>
      <c r="M629" s="50">
        <v>177351575.59999999</v>
      </c>
      <c r="N629" s="50"/>
      <c r="O629" s="50">
        <v>11448105.4</v>
      </c>
      <c r="P629" s="50"/>
      <c r="Q629" s="50">
        <v>11448105.4</v>
      </c>
    </row>
    <row r="630" spans="1:17" x14ac:dyDescent="0.25">
      <c r="A630" s="49" t="s">
        <v>715</v>
      </c>
      <c r="B630" s="49" t="s">
        <v>86</v>
      </c>
      <c r="C630" s="49" t="s">
        <v>87</v>
      </c>
      <c r="D630" s="49" t="s">
        <v>69</v>
      </c>
      <c r="E630" s="50">
        <v>68267000</v>
      </c>
      <c r="F630" s="50">
        <v>64767000</v>
      </c>
      <c r="G630" s="50">
        <v>64767000</v>
      </c>
      <c r="H630" s="50">
        <v>0</v>
      </c>
      <c r="I630" s="50">
        <v>2250000</v>
      </c>
      <c r="J630" s="50">
        <v>0</v>
      </c>
      <c r="K630" s="50">
        <v>61310698.509999998</v>
      </c>
      <c r="L630" s="50"/>
      <c r="M630" s="50">
        <v>61310698.509999998</v>
      </c>
      <c r="N630" s="50"/>
      <c r="O630" s="50">
        <v>1206301.49</v>
      </c>
      <c r="P630" s="50"/>
      <c r="Q630" s="50">
        <v>1206301.49</v>
      </c>
    </row>
    <row r="631" spans="1:17" x14ac:dyDescent="0.25">
      <c r="A631" s="49" t="s">
        <v>715</v>
      </c>
      <c r="B631" s="49" t="s">
        <v>88</v>
      </c>
      <c r="C631" s="49" t="s">
        <v>89</v>
      </c>
      <c r="D631" s="49" t="s">
        <v>69</v>
      </c>
      <c r="E631" s="50">
        <v>74668200</v>
      </c>
      <c r="F631" s="50">
        <v>73525878</v>
      </c>
      <c r="G631" s="50">
        <v>73525878</v>
      </c>
      <c r="H631" s="50">
        <v>0</v>
      </c>
      <c r="I631" s="50">
        <v>0</v>
      </c>
      <c r="J631" s="50">
        <v>0</v>
      </c>
      <c r="K631" s="50">
        <v>63164333.920000002</v>
      </c>
      <c r="L631" s="50"/>
      <c r="M631" s="50">
        <v>63164333.920000002</v>
      </c>
      <c r="N631" s="50"/>
      <c r="O631" s="50">
        <v>10361544.08</v>
      </c>
      <c r="P631" s="50"/>
      <c r="Q631" s="50">
        <v>10361544.08</v>
      </c>
    </row>
    <row r="632" spans="1:17" x14ac:dyDescent="0.25">
      <c r="A632" s="49" t="s">
        <v>715</v>
      </c>
      <c r="B632" s="49" t="s">
        <v>83</v>
      </c>
      <c r="C632" s="49" t="s">
        <v>84</v>
      </c>
      <c r="D632" s="49" t="s">
        <v>85</v>
      </c>
      <c r="E632" s="50">
        <v>74258811</v>
      </c>
      <c r="F632" s="50">
        <v>72712009</v>
      </c>
      <c r="G632" s="50">
        <v>72712009</v>
      </c>
      <c r="H632" s="50">
        <v>0</v>
      </c>
      <c r="I632" s="50">
        <v>0</v>
      </c>
      <c r="J632" s="50">
        <v>0</v>
      </c>
      <c r="K632" s="50">
        <v>66857723.520000003</v>
      </c>
      <c r="L632" s="50"/>
      <c r="M632" s="50">
        <v>66857723.520000003</v>
      </c>
      <c r="N632" s="50"/>
      <c r="O632" s="50">
        <v>5854285.4800000004</v>
      </c>
      <c r="P632" s="50"/>
      <c r="Q632" s="50">
        <v>5854285.4800000004</v>
      </c>
    </row>
    <row r="633" spans="1:17" x14ac:dyDescent="0.25">
      <c r="A633" s="49" t="s">
        <v>715</v>
      </c>
      <c r="B633" s="49" t="s">
        <v>90</v>
      </c>
      <c r="C633" s="49" t="s">
        <v>91</v>
      </c>
      <c r="D633" s="49" t="s">
        <v>69</v>
      </c>
      <c r="E633" s="50">
        <v>86917540</v>
      </c>
      <c r="F633" s="50">
        <v>85107058</v>
      </c>
      <c r="G633" s="50">
        <v>85107058</v>
      </c>
      <c r="H633" s="50">
        <v>0</v>
      </c>
      <c r="I633" s="50">
        <v>0</v>
      </c>
      <c r="J633" s="50">
        <v>0</v>
      </c>
      <c r="K633" s="50">
        <v>71363522</v>
      </c>
      <c r="L633" s="50"/>
      <c r="M633" s="50">
        <v>71363522</v>
      </c>
      <c r="N633" s="50"/>
      <c r="O633" s="50">
        <v>13743536</v>
      </c>
      <c r="P633" s="50"/>
      <c r="Q633" s="50">
        <v>13743536</v>
      </c>
    </row>
    <row r="634" spans="1:17" x14ac:dyDescent="0.25">
      <c r="A634" s="49" t="s">
        <v>715</v>
      </c>
      <c r="B634" s="49" t="s">
        <v>425</v>
      </c>
      <c r="C634" s="49" t="s">
        <v>697</v>
      </c>
      <c r="D634" s="49" t="s">
        <v>69</v>
      </c>
      <c r="E634" s="50">
        <v>82460320</v>
      </c>
      <c r="F634" s="50">
        <v>80742683</v>
      </c>
      <c r="G634" s="50">
        <v>80742683</v>
      </c>
      <c r="H634" s="50">
        <v>0</v>
      </c>
      <c r="I634" s="50">
        <v>0</v>
      </c>
      <c r="J634" s="50">
        <v>0</v>
      </c>
      <c r="K634" s="50">
        <v>67703852</v>
      </c>
      <c r="L634" s="50"/>
      <c r="M634" s="50">
        <v>67703852</v>
      </c>
      <c r="N634" s="50"/>
      <c r="O634" s="50">
        <v>13038831</v>
      </c>
      <c r="P634" s="50"/>
      <c r="Q634" s="50">
        <v>13038831</v>
      </c>
    </row>
    <row r="635" spans="1:17" x14ac:dyDescent="0.25">
      <c r="A635" s="49" t="s">
        <v>715</v>
      </c>
      <c r="B635" s="49" t="s">
        <v>442</v>
      </c>
      <c r="C635" s="49" t="s">
        <v>95</v>
      </c>
      <c r="D635" s="49" t="s">
        <v>69</v>
      </c>
      <c r="E635" s="50">
        <v>4457220</v>
      </c>
      <c r="F635" s="50">
        <v>4364375</v>
      </c>
      <c r="G635" s="50">
        <v>4364375</v>
      </c>
      <c r="H635" s="50">
        <v>0</v>
      </c>
      <c r="I635" s="50">
        <v>0</v>
      </c>
      <c r="J635" s="50">
        <v>0</v>
      </c>
      <c r="K635" s="50">
        <v>3659670</v>
      </c>
      <c r="L635" s="50"/>
      <c r="M635" s="50">
        <v>3659670</v>
      </c>
      <c r="N635" s="50"/>
      <c r="O635" s="50">
        <v>704705</v>
      </c>
      <c r="P635" s="50"/>
      <c r="Q635" s="50">
        <v>704705</v>
      </c>
    </row>
    <row r="636" spans="1:17" x14ac:dyDescent="0.25">
      <c r="A636" s="49" t="s">
        <v>715</v>
      </c>
      <c r="B636" s="49" t="s">
        <v>96</v>
      </c>
      <c r="C636" s="49" t="s">
        <v>97</v>
      </c>
      <c r="D636" s="49" t="s">
        <v>69</v>
      </c>
      <c r="E636" s="50">
        <v>86917440</v>
      </c>
      <c r="F636" s="50">
        <v>85106959</v>
      </c>
      <c r="G636" s="50">
        <v>85106959</v>
      </c>
      <c r="H636" s="50">
        <v>0</v>
      </c>
      <c r="I636" s="50">
        <v>0</v>
      </c>
      <c r="J636" s="50">
        <v>0</v>
      </c>
      <c r="K636" s="50">
        <v>71252817</v>
      </c>
      <c r="L636" s="50"/>
      <c r="M636" s="50">
        <v>71252817</v>
      </c>
      <c r="N636" s="50"/>
      <c r="O636" s="50">
        <v>13854142</v>
      </c>
      <c r="P636" s="50"/>
      <c r="Q636" s="50">
        <v>13854142</v>
      </c>
    </row>
    <row r="637" spans="1:17" x14ac:dyDescent="0.25">
      <c r="A637" s="49" t="s">
        <v>715</v>
      </c>
      <c r="B637" s="49" t="s">
        <v>460</v>
      </c>
      <c r="C637" s="49" t="s">
        <v>698</v>
      </c>
      <c r="D637" s="49" t="s">
        <v>69</v>
      </c>
      <c r="E637" s="50">
        <v>46801760</v>
      </c>
      <c r="F637" s="50">
        <v>45826885</v>
      </c>
      <c r="G637" s="50">
        <v>45826885</v>
      </c>
      <c r="H637" s="50">
        <v>0</v>
      </c>
      <c r="I637" s="50">
        <v>0</v>
      </c>
      <c r="J637" s="50">
        <v>0</v>
      </c>
      <c r="K637" s="50">
        <v>38315807</v>
      </c>
      <c r="L637" s="50"/>
      <c r="M637" s="50">
        <v>38315807</v>
      </c>
      <c r="N637" s="50"/>
      <c r="O637" s="50">
        <v>7511078</v>
      </c>
      <c r="P637" s="50"/>
      <c r="Q637" s="50">
        <v>7511078</v>
      </c>
    </row>
    <row r="638" spans="1:17" x14ac:dyDescent="0.25">
      <c r="A638" s="49" t="s">
        <v>715</v>
      </c>
      <c r="B638" s="49" t="s">
        <v>477</v>
      </c>
      <c r="C638" s="49" t="s">
        <v>699</v>
      </c>
      <c r="D638" s="49" t="s">
        <v>69</v>
      </c>
      <c r="E638" s="50">
        <v>13371860</v>
      </c>
      <c r="F638" s="50">
        <v>15293325</v>
      </c>
      <c r="G638" s="50">
        <v>15293325</v>
      </c>
      <c r="H638" s="50">
        <v>0</v>
      </c>
      <c r="I638" s="50">
        <v>0</v>
      </c>
      <c r="J638" s="50">
        <v>0</v>
      </c>
      <c r="K638" s="50">
        <v>12841990</v>
      </c>
      <c r="L638" s="50"/>
      <c r="M638" s="50">
        <v>12841990</v>
      </c>
      <c r="N638" s="50"/>
      <c r="O638" s="50">
        <v>2451335</v>
      </c>
      <c r="P638" s="50"/>
      <c r="Q638" s="50">
        <v>2451335</v>
      </c>
    </row>
    <row r="639" spans="1:17" x14ac:dyDescent="0.25">
      <c r="A639" s="49" t="s">
        <v>715</v>
      </c>
      <c r="B639" s="49" t="s">
        <v>494</v>
      </c>
      <c r="C639" s="49" t="s">
        <v>700</v>
      </c>
      <c r="D639" s="49" t="s">
        <v>69</v>
      </c>
      <c r="E639" s="50">
        <v>26743820</v>
      </c>
      <c r="F639" s="50">
        <v>23986749</v>
      </c>
      <c r="G639" s="50">
        <v>23986749</v>
      </c>
      <c r="H639" s="50">
        <v>0</v>
      </c>
      <c r="I639" s="50">
        <v>0</v>
      </c>
      <c r="J639" s="50">
        <v>0</v>
      </c>
      <c r="K639" s="50">
        <v>20095020</v>
      </c>
      <c r="L639" s="50"/>
      <c r="M639" s="50">
        <v>20095020</v>
      </c>
      <c r="N639" s="50"/>
      <c r="O639" s="50">
        <v>3891729</v>
      </c>
      <c r="P639" s="50"/>
      <c r="Q639" s="50">
        <v>3891729</v>
      </c>
    </row>
    <row r="640" spans="1:17" x14ac:dyDescent="0.25">
      <c r="A640" s="49" t="s">
        <v>715</v>
      </c>
      <c r="B640" s="49" t="s">
        <v>104</v>
      </c>
      <c r="C640" s="49" t="s">
        <v>105</v>
      </c>
      <c r="D640" s="49" t="s">
        <v>69</v>
      </c>
      <c r="E640" s="50">
        <v>30265400</v>
      </c>
      <c r="F640" s="50">
        <v>22876215</v>
      </c>
      <c r="G640" s="50">
        <v>22876215</v>
      </c>
      <c r="H640" s="50">
        <v>0</v>
      </c>
      <c r="I640" s="50">
        <v>9306519.2699999996</v>
      </c>
      <c r="J640" s="50">
        <v>0</v>
      </c>
      <c r="K640" s="50">
        <v>13447366.59</v>
      </c>
      <c r="L640" s="50"/>
      <c r="M640" s="50">
        <v>12988616.73</v>
      </c>
      <c r="N640" s="50"/>
      <c r="O640" s="50">
        <v>122329.14</v>
      </c>
      <c r="P640" s="50"/>
      <c r="Q640" s="50">
        <v>122329.14</v>
      </c>
    </row>
    <row r="641" spans="1:17" x14ac:dyDescent="0.25">
      <c r="A641" s="49" t="s">
        <v>715</v>
      </c>
      <c r="B641" s="49" t="s">
        <v>112</v>
      </c>
      <c r="C641" s="49" t="s">
        <v>113</v>
      </c>
      <c r="D641" s="49" t="s">
        <v>69</v>
      </c>
      <c r="E641" s="50">
        <v>30265400</v>
      </c>
      <c r="F641" s="50">
        <v>22876215</v>
      </c>
      <c r="G641" s="50">
        <v>22876215</v>
      </c>
      <c r="H641" s="50">
        <v>0</v>
      </c>
      <c r="I641" s="50">
        <v>9306519.2699999996</v>
      </c>
      <c r="J641" s="50">
        <v>0</v>
      </c>
      <c r="K641" s="50">
        <v>13447366.59</v>
      </c>
      <c r="L641" s="50"/>
      <c r="M641" s="50">
        <v>12988616.73</v>
      </c>
      <c r="N641" s="50"/>
      <c r="O641" s="50">
        <v>122329.14</v>
      </c>
      <c r="P641" s="50"/>
      <c r="Q641" s="50">
        <v>122329.14</v>
      </c>
    </row>
    <row r="642" spans="1:17" x14ac:dyDescent="0.25">
      <c r="A642" s="49" t="s">
        <v>715</v>
      </c>
      <c r="B642" s="49" t="s">
        <v>114</v>
      </c>
      <c r="C642" s="49" t="s">
        <v>115</v>
      </c>
      <c r="D642" s="49" t="s">
        <v>69</v>
      </c>
      <c r="E642" s="50">
        <v>3196000</v>
      </c>
      <c r="F642" s="50">
        <v>3196000</v>
      </c>
      <c r="G642" s="50">
        <v>3196000</v>
      </c>
      <c r="H642" s="50">
        <v>0</v>
      </c>
      <c r="I642" s="50">
        <v>349536</v>
      </c>
      <c r="J642" s="50">
        <v>0</v>
      </c>
      <c r="K642" s="50">
        <v>2846464</v>
      </c>
      <c r="L642" s="50"/>
      <c r="M642" s="50">
        <v>2711439</v>
      </c>
      <c r="N642" s="50"/>
      <c r="O642" s="50">
        <v>0</v>
      </c>
      <c r="P642" s="50"/>
      <c r="Q642" s="50">
        <v>0</v>
      </c>
    </row>
    <row r="643" spans="1:17" x14ac:dyDescent="0.25">
      <c r="A643" s="49" t="s">
        <v>715</v>
      </c>
      <c r="B643" s="49" t="s">
        <v>116</v>
      </c>
      <c r="C643" s="49" t="s">
        <v>117</v>
      </c>
      <c r="D643" s="49" t="s">
        <v>69</v>
      </c>
      <c r="E643" s="50">
        <v>21749400</v>
      </c>
      <c r="F643" s="50">
        <v>14529276</v>
      </c>
      <c r="G643" s="50">
        <v>14529276</v>
      </c>
      <c r="H643" s="50">
        <v>0</v>
      </c>
      <c r="I643" s="50">
        <v>7131129.1500000004</v>
      </c>
      <c r="J643" s="50">
        <v>0</v>
      </c>
      <c r="K643" s="50">
        <v>7398146.71</v>
      </c>
      <c r="L643" s="50"/>
      <c r="M643" s="50">
        <v>7398146.71</v>
      </c>
      <c r="N643" s="50"/>
      <c r="O643" s="50">
        <v>0.14000000000000001</v>
      </c>
      <c r="P643" s="50"/>
      <c r="Q643" s="50">
        <v>0.14000000000000001</v>
      </c>
    </row>
    <row r="644" spans="1:17" x14ac:dyDescent="0.25">
      <c r="A644" s="49" t="s">
        <v>715</v>
      </c>
      <c r="B644" s="49" t="s">
        <v>120</v>
      </c>
      <c r="C644" s="49" t="s">
        <v>121</v>
      </c>
      <c r="D644" s="49" t="s">
        <v>69</v>
      </c>
      <c r="E644" s="50">
        <v>4620000</v>
      </c>
      <c r="F644" s="50">
        <v>4620000</v>
      </c>
      <c r="G644" s="50">
        <v>4620000</v>
      </c>
      <c r="H644" s="50">
        <v>0</v>
      </c>
      <c r="I644" s="50">
        <v>1764487.52</v>
      </c>
      <c r="J644" s="50">
        <v>0</v>
      </c>
      <c r="K644" s="50">
        <v>2855512.48</v>
      </c>
      <c r="L644" s="50"/>
      <c r="M644" s="50">
        <v>2531787.62</v>
      </c>
      <c r="N644" s="50"/>
      <c r="O644" s="50">
        <v>0</v>
      </c>
      <c r="P644" s="50"/>
      <c r="Q644" s="50">
        <v>0</v>
      </c>
    </row>
    <row r="645" spans="1:17" x14ac:dyDescent="0.25">
      <c r="A645" s="49" t="s">
        <v>715</v>
      </c>
      <c r="B645" s="49" t="s">
        <v>122</v>
      </c>
      <c r="C645" s="49" t="s">
        <v>123</v>
      </c>
      <c r="D645" s="49" t="s">
        <v>69</v>
      </c>
      <c r="E645" s="50">
        <v>700000</v>
      </c>
      <c r="F645" s="50">
        <v>530939</v>
      </c>
      <c r="G645" s="50">
        <v>530939</v>
      </c>
      <c r="H645" s="50">
        <v>0</v>
      </c>
      <c r="I645" s="50">
        <v>61366.6</v>
      </c>
      <c r="J645" s="50">
        <v>0</v>
      </c>
      <c r="K645" s="50">
        <v>347243.4</v>
      </c>
      <c r="L645" s="50"/>
      <c r="M645" s="50">
        <v>347243.4</v>
      </c>
      <c r="N645" s="50"/>
      <c r="O645" s="50">
        <v>122329</v>
      </c>
      <c r="P645" s="50"/>
      <c r="Q645" s="50">
        <v>122329</v>
      </c>
    </row>
    <row r="646" spans="1:17" x14ac:dyDescent="0.25">
      <c r="A646" s="49" t="s">
        <v>715</v>
      </c>
      <c r="B646" s="49" t="s">
        <v>140</v>
      </c>
      <c r="C646" s="49" t="s">
        <v>141</v>
      </c>
      <c r="D646" s="49" t="s">
        <v>69</v>
      </c>
      <c r="E646" s="50">
        <v>0</v>
      </c>
      <c r="F646" s="50">
        <v>0</v>
      </c>
      <c r="G646" s="50">
        <v>0</v>
      </c>
      <c r="H646" s="50">
        <v>0</v>
      </c>
      <c r="I646" s="50">
        <v>0</v>
      </c>
      <c r="J646" s="50">
        <v>0</v>
      </c>
      <c r="K646" s="50">
        <v>0</v>
      </c>
      <c r="L646" s="50"/>
      <c r="M646" s="50">
        <v>0</v>
      </c>
      <c r="N646" s="50"/>
      <c r="O646" s="50">
        <v>0</v>
      </c>
      <c r="P646" s="50"/>
      <c r="Q646" s="50">
        <v>0</v>
      </c>
    </row>
    <row r="647" spans="1:17" x14ac:dyDescent="0.25">
      <c r="A647" s="49" t="s">
        <v>715</v>
      </c>
      <c r="B647" s="49" t="s">
        <v>144</v>
      </c>
      <c r="C647" s="49" t="s">
        <v>145</v>
      </c>
      <c r="D647" s="49" t="s">
        <v>69</v>
      </c>
      <c r="E647" s="50">
        <v>0</v>
      </c>
      <c r="F647" s="50">
        <v>0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/>
      <c r="M647" s="50">
        <v>0</v>
      </c>
      <c r="N647" s="50"/>
      <c r="O647" s="50">
        <v>0</v>
      </c>
      <c r="P647" s="50"/>
      <c r="Q647" s="50">
        <v>0</v>
      </c>
    </row>
    <row r="648" spans="1:17" x14ac:dyDescent="0.25">
      <c r="A648" s="49" t="s">
        <v>715</v>
      </c>
      <c r="B648" s="49" t="s">
        <v>248</v>
      </c>
      <c r="C648" s="49" t="s">
        <v>249</v>
      </c>
      <c r="D648" s="49" t="s">
        <v>69</v>
      </c>
      <c r="E648" s="50">
        <v>18298122</v>
      </c>
      <c r="F648" s="50">
        <v>21489877</v>
      </c>
      <c r="G648" s="50">
        <v>21489877</v>
      </c>
      <c r="H648" s="50">
        <v>0</v>
      </c>
      <c r="I648" s="50">
        <v>0</v>
      </c>
      <c r="J648" s="50">
        <v>0</v>
      </c>
      <c r="K648" s="50">
        <v>16031888</v>
      </c>
      <c r="L648" s="50"/>
      <c r="M648" s="50">
        <v>16031888</v>
      </c>
      <c r="N648" s="50"/>
      <c r="O648" s="50">
        <v>5457989</v>
      </c>
      <c r="P648" s="50"/>
      <c r="Q648" s="50">
        <v>5457989</v>
      </c>
    </row>
    <row r="649" spans="1:17" x14ac:dyDescent="0.25">
      <c r="A649" s="49" t="s">
        <v>715</v>
      </c>
      <c r="B649" s="49" t="s">
        <v>250</v>
      </c>
      <c r="C649" s="49" t="s">
        <v>251</v>
      </c>
      <c r="D649" s="49" t="s">
        <v>69</v>
      </c>
      <c r="E649" s="50">
        <v>14798122</v>
      </c>
      <c r="F649" s="50">
        <v>14489877</v>
      </c>
      <c r="G649" s="50">
        <v>14489877</v>
      </c>
      <c r="H649" s="50">
        <v>0</v>
      </c>
      <c r="I649" s="50">
        <v>0</v>
      </c>
      <c r="J649" s="50">
        <v>0</v>
      </c>
      <c r="K649" s="50">
        <v>12039394</v>
      </c>
      <c r="L649" s="50"/>
      <c r="M649" s="50">
        <v>12039394</v>
      </c>
      <c r="N649" s="50"/>
      <c r="O649" s="50">
        <v>2450483</v>
      </c>
      <c r="P649" s="50"/>
      <c r="Q649" s="50">
        <v>2450483</v>
      </c>
    </row>
    <row r="650" spans="1:17" x14ac:dyDescent="0.25">
      <c r="A650" s="49" t="s">
        <v>715</v>
      </c>
      <c r="B650" s="49" t="s">
        <v>634</v>
      </c>
      <c r="C650" s="49" t="s">
        <v>702</v>
      </c>
      <c r="D650" s="49" t="s">
        <v>69</v>
      </c>
      <c r="E650" s="50">
        <v>12569562</v>
      </c>
      <c r="F650" s="50">
        <v>12307739</v>
      </c>
      <c r="G650" s="50">
        <v>12307739</v>
      </c>
      <c r="H650" s="50">
        <v>0</v>
      </c>
      <c r="I650" s="50">
        <v>0</v>
      </c>
      <c r="J650" s="50">
        <v>0</v>
      </c>
      <c r="K650" s="50">
        <v>10209562</v>
      </c>
      <c r="L650" s="50"/>
      <c r="M650" s="50">
        <v>10209562</v>
      </c>
      <c r="N650" s="50"/>
      <c r="O650" s="50">
        <v>2098177</v>
      </c>
      <c r="P650" s="50"/>
      <c r="Q650" s="50">
        <v>2098177</v>
      </c>
    </row>
    <row r="651" spans="1:17" x14ac:dyDescent="0.25">
      <c r="A651" s="49" t="s">
        <v>715</v>
      </c>
      <c r="B651" s="49" t="s">
        <v>649</v>
      </c>
      <c r="C651" s="49" t="s">
        <v>703</v>
      </c>
      <c r="D651" s="49" t="s">
        <v>69</v>
      </c>
      <c r="E651" s="50">
        <v>2228560</v>
      </c>
      <c r="F651" s="50">
        <v>2182138</v>
      </c>
      <c r="G651" s="50">
        <v>2182138</v>
      </c>
      <c r="H651" s="50">
        <v>0</v>
      </c>
      <c r="I651" s="50">
        <v>0</v>
      </c>
      <c r="J651" s="50">
        <v>0</v>
      </c>
      <c r="K651" s="50">
        <v>1829832</v>
      </c>
      <c r="L651" s="50"/>
      <c r="M651" s="50">
        <v>1829832</v>
      </c>
      <c r="N651" s="50"/>
      <c r="O651" s="50">
        <v>352306</v>
      </c>
      <c r="P651" s="50"/>
      <c r="Q651" s="50">
        <v>352306</v>
      </c>
    </row>
    <row r="652" spans="1:17" x14ac:dyDescent="0.25">
      <c r="A652" s="49" t="s">
        <v>715</v>
      </c>
      <c r="B652" s="49" t="s">
        <v>260</v>
      </c>
      <c r="C652" s="49" t="s">
        <v>261</v>
      </c>
      <c r="D652" s="49" t="s">
        <v>69</v>
      </c>
      <c r="E652" s="50">
        <v>3500000</v>
      </c>
      <c r="F652" s="50">
        <v>7000000</v>
      </c>
      <c r="G652" s="50">
        <v>7000000</v>
      </c>
      <c r="H652" s="50">
        <v>0</v>
      </c>
      <c r="I652" s="50">
        <v>0</v>
      </c>
      <c r="J652" s="50">
        <v>0</v>
      </c>
      <c r="K652" s="50">
        <v>3992494</v>
      </c>
      <c r="L652" s="50"/>
      <c r="M652" s="50">
        <v>3992494</v>
      </c>
      <c r="N652" s="50"/>
      <c r="O652" s="50">
        <v>3007506</v>
      </c>
      <c r="P652" s="50"/>
      <c r="Q652" s="50">
        <v>3007506</v>
      </c>
    </row>
    <row r="653" spans="1:17" x14ac:dyDescent="0.25">
      <c r="A653" s="49" t="s">
        <v>715</v>
      </c>
      <c r="B653" s="49" t="s">
        <v>264</v>
      </c>
      <c r="C653" s="49" t="s">
        <v>265</v>
      </c>
      <c r="D653" s="49" t="s">
        <v>69</v>
      </c>
      <c r="E653" s="50">
        <v>3500000</v>
      </c>
      <c r="F653" s="50">
        <v>7000000</v>
      </c>
      <c r="G653" s="50">
        <v>7000000</v>
      </c>
      <c r="H653" s="50">
        <v>0</v>
      </c>
      <c r="I653" s="50">
        <v>0</v>
      </c>
      <c r="J653" s="50">
        <v>0</v>
      </c>
      <c r="K653" s="50">
        <v>3992494</v>
      </c>
      <c r="L653" s="50"/>
      <c r="M653" s="50">
        <v>3992494</v>
      </c>
      <c r="N653" s="50"/>
      <c r="O653" s="50">
        <v>3007506</v>
      </c>
      <c r="P653" s="50"/>
      <c r="Q653" s="50">
        <v>3007506</v>
      </c>
    </row>
    <row r="654" spans="1:17" x14ac:dyDescent="0.25">
      <c r="A654" s="49">
        <v>214789006</v>
      </c>
      <c r="B654" s="49"/>
      <c r="C654" s="49"/>
      <c r="D654" s="49" t="s">
        <v>69</v>
      </c>
      <c r="E654" s="50">
        <v>7207746597</v>
      </c>
      <c r="F654" s="50">
        <v>6961566789</v>
      </c>
      <c r="G654" s="50">
        <v>6961566789</v>
      </c>
      <c r="H654" s="50">
        <v>0</v>
      </c>
      <c r="I654" s="50">
        <v>120450727.34999999</v>
      </c>
      <c r="J654" s="50">
        <v>0</v>
      </c>
      <c r="K654" s="50">
        <v>5996105558.6899996</v>
      </c>
      <c r="L654" s="50"/>
      <c r="M654" s="50">
        <v>5995783144.6999998</v>
      </c>
      <c r="N654" s="50"/>
      <c r="O654" s="50">
        <v>845010502.96000004</v>
      </c>
      <c r="P654" s="50"/>
      <c r="Q654" s="50">
        <v>845010502.96000004</v>
      </c>
    </row>
    <row r="655" spans="1:17" x14ac:dyDescent="0.25">
      <c r="A655" s="49" t="s">
        <v>716</v>
      </c>
      <c r="B655" s="49" t="s">
        <v>71</v>
      </c>
      <c r="C655" s="49" t="s">
        <v>72</v>
      </c>
      <c r="D655" s="49" t="s">
        <v>69</v>
      </c>
      <c r="E655" s="50">
        <v>273249937</v>
      </c>
      <c r="F655" s="50">
        <v>271537368</v>
      </c>
      <c r="G655" s="50">
        <v>271537368</v>
      </c>
      <c r="H655" s="50">
        <v>0</v>
      </c>
      <c r="I655" s="50">
        <v>5500000</v>
      </c>
      <c r="J655" s="50">
        <v>0</v>
      </c>
      <c r="K655" s="50">
        <v>245542842.80000001</v>
      </c>
      <c r="L655" s="50"/>
      <c r="M655" s="50">
        <v>245542842.80000001</v>
      </c>
      <c r="N655" s="50"/>
      <c r="O655" s="50">
        <v>20494525.199999999</v>
      </c>
      <c r="P655" s="50"/>
      <c r="Q655" s="50">
        <v>20494525.199999999</v>
      </c>
    </row>
    <row r="656" spans="1:17" x14ac:dyDescent="0.25">
      <c r="A656" s="49" t="s">
        <v>716</v>
      </c>
      <c r="B656" s="49" t="s">
        <v>73</v>
      </c>
      <c r="C656" s="49" t="s">
        <v>74</v>
      </c>
      <c r="D656" s="49" t="s">
        <v>69</v>
      </c>
      <c r="E656" s="50">
        <v>97637632</v>
      </c>
      <c r="F656" s="50">
        <v>96661384</v>
      </c>
      <c r="G656" s="50">
        <v>96661384</v>
      </c>
      <c r="H656" s="50">
        <v>0</v>
      </c>
      <c r="I656" s="50">
        <v>0</v>
      </c>
      <c r="J656" s="50">
        <v>0</v>
      </c>
      <c r="K656" s="50">
        <v>92993367.390000001</v>
      </c>
      <c r="L656" s="50"/>
      <c r="M656" s="50">
        <v>92993367.390000001</v>
      </c>
      <c r="N656" s="50"/>
      <c r="O656" s="50">
        <v>3668016.61</v>
      </c>
      <c r="P656" s="50"/>
      <c r="Q656" s="50">
        <v>3668016.61</v>
      </c>
    </row>
    <row r="657" spans="1:17" x14ac:dyDescent="0.25">
      <c r="A657" s="49" t="s">
        <v>716</v>
      </c>
      <c r="B657" s="49" t="s">
        <v>75</v>
      </c>
      <c r="C657" s="49" t="s">
        <v>76</v>
      </c>
      <c r="D657" s="49" t="s">
        <v>69</v>
      </c>
      <c r="E657" s="50">
        <v>97637632</v>
      </c>
      <c r="F657" s="50">
        <v>96661384</v>
      </c>
      <c r="G657" s="50">
        <v>96661384</v>
      </c>
      <c r="H657" s="50">
        <v>0</v>
      </c>
      <c r="I657" s="50">
        <v>0</v>
      </c>
      <c r="J657" s="50">
        <v>0</v>
      </c>
      <c r="K657" s="50">
        <v>92993367.390000001</v>
      </c>
      <c r="L657" s="50"/>
      <c r="M657" s="50">
        <v>92993367.390000001</v>
      </c>
      <c r="N657" s="50"/>
      <c r="O657" s="50">
        <v>3668016.61</v>
      </c>
      <c r="P657" s="50"/>
      <c r="Q657" s="50">
        <v>3668016.61</v>
      </c>
    </row>
    <row r="658" spans="1:17" x14ac:dyDescent="0.25">
      <c r="A658" s="49" t="s">
        <v>716</v>
      </c>
      <c r="B658" s="49" t="s">
        <v>77</v>
      </c>
      <c r="C658" s="49" t="s">
        <v>78</v>
      </c>
      <c r="D658" s="49" t="s">
        <v>69</v>
      </c>
      <c r="E658" s="50">
        <v>133929275</v>
      </c>
      <c r="F658" s="50">
        <v>133454197</v>
      </c>
      <c r="G658" s="50">
        <v>133454197</v>
      </c>
      <c r="H658" s="50">
        <v>0</v>
      </c>
      <c r="I658" s="50">
        <v>5500000</v>
      </c>
      <c r="J658" s="50">
        <v>0</v>
      </c>
      <c r="K658" s="50">
        <v>116693374.41</v>
      </c>
      <c r="L658" s="50"/>
      <c r="M658" s="50">
        <v>116693374.41</v>
      </c>
      <c r="N658" s="50"/>
      <c r="O658" s="50">
        <v>11260822.59</v>
      </c>
      <c r="P658" s="50"/>
      <c r="Q658" s="50">
        <v>11260822.59</v>
      </c>
    </row>
    <row r="659" spans="1:17" x14ac:dyDescent="0.25">
      <c r="A659" s="49" t="s">
        <v>716</v>
      </c>
      <c r="B659" s="49" t="s">
        <v>79</v>
      </c>
      <c r="C659" s="49" t="s">
        <v>80</v>
      </c>
      <c r="D659" s="49" t="s">
        <v>69</v>
      </c>
      <c r="E659" s="50">
        <v>34862400</v>
      </c>
      <c r="F659" s="50">
        <v>34862400</v>
      </c>
      <c r="G659" s="50">
        <v>34862400</v>
      </c>
      <c r="H659" s="50">
        <v>0</v>
      </c>
      <c r="I659" s="50">
        <v>0</v>
      </c>
      <c r="J659" s="50">
        <v>0</v>
      </c>
      <c r="K659" s="50">
        <v>32919687.329999998</v>
      </c>
      <c r="L659" s="50"/>
      <c r="M659" s="50">
        <v>32919687.329999998</v>
      </c>
      <c r="N659" s="50"/>
      <c r="O659" s="50">
        <v>1942712.67</v>
      </c>
      <c r="P659" s="50"/>
      <c r="Q659" s="50">
        <v>1942712.67</v>
      </c>
    </row>
    <row r="660" spans="1:17" x14ac:dyDescent="0.25">
      <c r="A660" s="49" t="s">
        <v>716</v>
      </c>
      <c r="B660" s="49" t="s">
        <v>81</v>
      </c>
      <c r="C660" s="49" t="s">
        <v>82</v>
      </c>
      <c r="D660" s="49" t="s">
        <v>69</v>
      </c>
      <c r="E660" s="50">
        <v>32733979</v>
      </c>
      <c r="F660" s="50">
        <v>32370500</v>
      </c>
      <c r="G660" s="50">
        <v>32370500</v>
      </c>
      <c r="H660" s="50">
        <v>0</v>
      </c>
      <c r="I660" s="50">
        <v>0</v>
      </c>
      <c r="J660" s="50">
        <v>0</v>
      </c>
      <c r="K660" s="50">
        <v>27466172.539999999</v>
      </c>
      <c r="L660" s="50"/>
      <c r="M660" s="50">
        <v>27466172.539999999</v>
      </c>
      <c r="N660" s="50"/>
      <c r="O660" s="50">
        <v>4904327.46</v>
      </c>
      <c r="P660" s="50"/>
      <c r="Q660" s="50">
        <v>4904327.46</v>
      </c>
    </row>
    <row r="661" spans="1:17" x14ac:dyDescent="0.25">
      <c r="A661" s="49" t="s">
        <v>716</v>
      </c>
      <c r="B661" s="49" t="s">
        <v>86</v>
      </c>
      <c r="C661" s="49" t="s">
        <v>87</v>
      </c>
      <c r="D661" s="49" t="s">
        <v>69</v>
      </c>
      <c r="E661" s="50">
        <v>16387600</v>
      </c>
      <c r="F661" s="50">
        <v>16387600</v>
      </c>
      <c r="G661" s="50">
        <v>16387600</v>
      </c>
      <c r="H661" s="50">
        <v>0</v>
      </c>
      <c r="I661" s="50">
        <v>5500000</v>
      </c>
      <c r="J661" s="50">
        <v>0</v>
      </c>
      <c r="K661" s="50">
        <v>9494365.5</v>
      </c>
      <c r="L661" s="50"/>
      <c r="M661" s="50">
        <v>9494365.5</v>
      </c>
      <c r="N661" s="50"/>
      <c r="O661" s="50">
        <v>1393234.5</v>
      </c>
      <c r="P661" s="50"/>
      <c r="Q661" s="50">
        <v>1393234.5</v>
      </c>
    </row>
    <row r="662" spans="1:17" x14ac:dyDescent="0.25">
      <c r="A662" s="49" t="s">
        <v>716</v>
      </c>
      <c r="B662" s="49" t="s">
        <v>88</v>
      </c>
      <c r="C662" s="49" t="s">
        <v>89</v>
      </c>
      <c r="D662" s="49" t="s">
        <v>69</v>
      </c>
      <c r="E662" s="50">
        <v>32139100</v>
      </c>
      <c r="F662" s="50">
        <v>32139100</v>
      </c>
      <c r="G662" s="50">
        <v>32139100</v>
      </c>
      <c r="H662" s="50">
        <v>0</v>
      </c>
      <c r="I662" s="50">
        <v>0</v>
      </c>
      <c r="J662" s="50">
        <v>0</v>
      </c>
      <c r="K662" s="50">
        <v>30596323.239999998</v>
      </c>
      <c r="L662" s="50"/>
      <c r="M662" s="50">
        <v>30596323.239999998</v>
      </c>
      <c r="N662" s="50"/>
      <c r="O662" s="50">
        <v>1542776.76</v>
      </c>
      <c r="P662" s="50"/>
      <c r="Q662" s="50">
        <v>1542776.76</v>
      </c>
    </row>
    <row r="663" spans="1:17" x14ac:dyDescent="0.25">
      <c r="A663" s="49" t="s">
        <v>716</v>
      </c>
      <c r="B663" s="49" t="s">
        <v>83</v>
      </c>
      <c r="C663" s="49" t="s">
        <v>84</v>
      </c>
      <c r="D663" s="49" t="s">
        <v>85</v>
      </c>
      <c r="E663" s="50">
        <v>17806196</v>
      </c>
      <c r="F663" s="50">
        <v>17694597</v>
      </c>
      <c r="G663" s="50">
        <v>17694597</v>
      </c>
      <c r="H663" s="50">
        <v>0</v>
      </c>
      <c r="I663" s="50">
        <v>0</v>
      </c>
      <c r="J663" s="50">
        <v>0</v>
      </c>
      <c r="K663" s="50">
        <v>16216825.800000001</v>
      </c>
      <c r="L663" s="50"/>
      <c r="M663" s="50">
        <v>16216825.800000001</v>
      </c>
      <c r="N663" s="50"/>
      <c r="O663" s="50">
        <v>1477771.2</v>
      </c>
      <c r="P663" s="50"/>
      <c r="Q663" s="50">
        <v>1477771.2</v>
      </c>
    </row>
    <row r="664" spans="1:17" x14ac:dyDescent="0.25">
      <c r="A664" s="49" t="s">
        <v>716</v>
      </c>
      <c r="B664" s="49" t="s">
        <v>90</v>
      </c>
      <c r="C664" s="49" t="s">
        <v>91</v>
      </c>
      <c r="D664" s="49" t="s">
        <v>69</v>
      </c>
      <c r="E664" s="50">
        <v>20841515</v>
      </c>
      <c r="F664" s="50">
        <v>20710893</v>
      </c>
      <c r="G664" s="50">
        <v>20710893</v>
      </c>
      <c r="H664" s="50">
        <v>0</v>
      </c>
      <c r="I664" s="50">
        <v>0</v>
      </c>
      <c r="J664" s="50">
        <v>0</v>
      </c>
      <c r="K664" s="50">
        <v>17941463</v>
      </c>
      <c r="L664" s="50"/>
      <c r="M664" s="50">
        <v>17941463</v>
      </c>
      <c r="N664" s="50"/>
      <c r="O664" s="50">
        <v>2769430</v>
      </c>
      <c r="P664" s="50"/>
      <c r="Q664" s="50">
        <v>2769430</v>
      </c>
    </row>
    <row r="665" spans="1:17" x14ac:dyDescent="0.25">
      <c r="A665" s="49" t="s">
        <v>716</v>
      </c>
      <c r="B665" s="49" t="s">
        <v>426</v>
      </c>
      <c r="C665" s="49" t="s">
        <v>697</v>
      </c>
      <c r="D665" s="49" t="s">
        <v>69</v>
      </c>
      <c r="E665" s="50">
        <v>19772804</v>
      </c>
      <c r="F665" s="50">
        <v>19648880</v>
      </c>
      <c r="G665" s="50">
        <v>19648880</v>
      </c>
      <c r="H665" s="50">
        <v>0</v>
      </c>
      <c r="I665" s="50">
        <v>0</v>
      </c>
      <c r="J665" s="50">
        <v>0</v>
      </c>
      <c r="K665" s="50">
        <v>17021389</v>
      </c>
      <c r="L665" s="50"/>
      <c r="M665" s="50">
        <v>17021389</v>
      </c>
      <c r="N665" s="50"/>
      <c r="O665" s="50">
        <v>2627491</v>
      </c>
      <c r="P665" s="50"/>
      <c r="Q665" s="50">
        <v>2627491</v>
      </c>
    </row>
    <row r="666" spans="1:17" x14ac:dyDescent="0.25">
      <c r="A666" s="49" t="s">
        <v>716</v>
      </c>
      <c r="B666" s="49" t="s">
        <v>443</v>
      </c>
      <c r="C666" s="49" t="s">
        <v>95</v>
      </c>
      <c r="D666" s="49" t="s">
        <v>69</v>
      </c>
      <c r="E666" s="50">
        <v>1068711</v>
      </c>
      <c r="F666" s="50">
        <v>1062013</v>
      </c>
      <c r="G666" s="50">
        <v>1062013</v>
      </c>
      <c r="H666" s="50">
        <v>0</v>
      </c>
      <c r="I666" s="50">
        <v>0</v>
      </c>
      <c r="J666" s="50">
        <v>0</v>
      </c>
      <c r="K666" s="50">
        <v>920074</v>
      </c>
      <c r="L666" s="50"/>
      <c r="M666" s="50">
        <v>920074</v>
      </c>
      <c r="N666" s="50"/>
      <c r="O666" s="50">
        <v>141939</v>
      </c>
      <c r="P666" s="50"/>
      <c r="Q666" s="50">
        <v>141939</v>
      </c>
    </row>
    <row r="667" spans="1:17" x14ac:dyDescent="0.25">
      <c r="A667" s="49" t="s">
        <v>716</v>
      </c>
      <c r="B667" s="49" t="s">
        <v>96</v>
      </c>
      <c r="C667" s="49" t="s">
        <v>97</v>
      </c>
      <c r="D667" s="49" t="s">
        <v>69</v>
      </c>
      <c r="E667" s="50">
        <v>20841515</v>
      </c>
      <c r="F667" s="50">
        <v>20710894</v>
      </c>
      <c r="G667" s="50">
        <v>20710894</v>
      </c>
      <c r="H667" s="50">
        <v>0</v>
      </c>
      <c r="I667" s="50">
        <v>0</v>
      </c>
      <c r="J667" s="50">
        <v>0</v>
      </c>
      <c r="K667" s="50">
        <v>17914638</v>
      </c>
      <c r="L667" s="50"/>
      <c r="M667" s="50">
        <v>17914638</v>
      </c>
      <c r="N667" s="50"/>
      <c r="O667" s="50">
        <v>2796256</v>
      </c>
      <c r="P667" s="50"/>
      <c r="Q667" s="50">
        <v>2796256</v>
      </c>
    </row>
    <row r="668" spans="1:17" x14ac:dyDescent="0.25">
      <c r="A668" s="49" t="s">
        <v>716</v>
      </c>
      <c r="B668" s="49" t="s">
        <v>461</v>
      </c>
      <c r="C668" s="49" t="s">
        <v>698</v>
      </c>
      <c r="D668" s="49" t="s">
        <v>69</v>
      </c>
      <c r="E668" s="50">
        <v>11222416</v>
      </c>
      <c r="F668" s="50">
        <v>11152081</v>
      </c>
      <c r="G668" s="50">
        <v>11152081</v>
      </c>
      <c r="H668" s="50">
        <v>0</v>
      </c>
      <c r="I668" s="50">
        <v>0</v>
      </c>
      <c r="J668" s="50">
        <v>0</v>
      </c>
      <c r="K668" s="50">
        <v>9633963</v>
      </c>
      <c r="L668" s="50"/>
      <c r="M668" s="50">
        <v>9633963</v>
      </c>
      <c r="N668" s="50"/>
      <c r="O668" s="50">
        <v>1518118</v>
      </c>
      <c r="P668" s="50"/>
      <c r="Q668" s="50">
        <v>1518118</v>
      </c>
    </row>
    <row r="669" spans="1:17" x14ac:dyDescent="0.25">
      <c r="A669" s="49" t="s">
        <v>716</v>
      </c>
      <c r="B669" s="49" t="s">
        <v>478</v>
      </c>
      <c r="C669" s="49" t="s">
        <v>699</v>
      </c>
      <c r="D669" s="49" t="s">
        <v>69</v>
      </c>
      <c r="E669" s="50">
        <v>3206333</v>
      </c>
      <c r="F669" s="50">
        <v>3786238</v>
      </c>
      <c r="G669" s="50">
        <v>3786238</v>
      </c>
      <c r="H669" s="50">
        <v>0</v>
      </c>
      <c r="I669" s="50">
        <v>0</v>
      </c>
      <c r="J669" s="50">
        <v>0</v>
      </c>
      <c r="K669" s="50">
        <v>3221715</v>
      </c>
      <c r="L669" s="50"/>
      <c r="M669" s="50">
        <v>3221715</v>
      </c>
      <c r="N669" s="50"/>
      <c r="O669" s="50">
        <v>564523</v>
      </c>
      <c r="P669" s="50"/>
      <c r="Q669" s="50">
        <v>564523</v>
      </c>
    </row>
    <row r="670" spans="1:17" x14ac:dyDescent="0.25">
      <c r="A670" s="49" t="s">
        <v>716</v>
      </c>
      <c r="B670" s="49" t="s">
        <v>495</v>
      </c>
      <c r="C670" s="49" t="s">
        <v>700</v>
      </c>
      <c r="D670" s="49" t="s">
        <v>69</v>
      </c>
      <c r="E670" s="50">
        <v>6412766</v>
      </c>
      <c r="F670" s="50">
        <v>5772575</v>
      </c>
      <c r="G670" s="50">
        <v>5772575</v>
      </c>
      <c r="H670" s="50">
        <v>0</v>
      </c>
      <c r="I670" s="50">
        <v>0</v>
      </c>
      <c r="J670" s="50">
        <v>0</v>
      </c>
      <c r="K670" s="50">
        <v>5058960</v>
      </c>
      <c r="L670" s="50"/>
      <c r="M670" s="50">
        <v>5058960</v>
      </c>
      <c r="N670" s="50"/>
      <c r="O670" s="50">
        <v>713615</v>
      </c>
      <c r="P670" s="50"/>
      <c r="Q670" s="50">
        <v>713615</v>
      </c>
    </row>
    <row r="671" spans="1:17" x14ac:dyDescent="0.25">
      <c r="A671" s="49" t="s">
        <v>716</v>
      </c>
      <c r="B671" s="49" t="s">
        <v>104</v>
      </c>
      <c r="C671" s="49" t="s">
        <v>105</v>
      </c>
      <c r="D671" s="49" t="s">
        <v>69</v>
      </c>
      <c r="E671" s="50">
        <v>6929448400</v>
      </c>
      <c r="F671" s="50">
        <v>6685003400</v>
      </c>
      <c r="G671" s="50">
        <v>6685003400</v>
      </c>
      <c r="H671" s="50">
        <v>0</v>
      </c>
      <c r="I671" s="50">
        <v>114950727.34999999</v>
      </c>
      <c r="J671" s="50">
        <v>0</v>
      </c>
      <c r="K671" s="50">
        <v>5747215581.8900003</v>
      </c>
      <c r="L671" s="50"/>
      <c r="M671" s="50">
        <v>5746893167.8999996</v>
      </c>
      <c r="N671" s="50"/>
      <c r="O671" s="50">
        <v>822837090.75999999</v>
      </c>
      <c r="P671" s="50"/>
      <c r="Q671" s="50">
        <v>822837090.75999999</v>
      </c>
    </row>
    <row r="672" spans="1:17" x14ac:dyDescent="0.25">
      <c r="A672" s="49" t="s">
        <v>716</v>
      </c>
      <c r="B672" s="49" t="s">
        <v>106</v>
      </c>
      <c r="C672" s="49" t="s">
        <v>107</v>
      </c>
      <c r="D672" s="49" t="s">
        <v>69</v>
      </c>
      <c r="E672" s="50">
        <v>6927908871</v>
      </c>
      <c r="F672" s="50">
        <v>6677908871</v>
      </c>
      <c r="G672" s="50">
        <v>6677908871</v>
      </c>
      <c r="H672" s="50">
        <v>0</v>
      </c>
      <c r="I672" s="50">
        <v>114368658.8</v>
      </c>
      <c r="J672" s="50">
        <v>0</v>
      </c>
      <c r="K672" s="50">
        <v>5743382639.1700001</v>
      </c>
      <c r="L672" s="50"/>
      <c r="M672" s="50">
        <v>5743382639.1700001</v>
      </c>
      <c r="N672" s="50"/>
      <c r="O672" s="50">
        <v>820157573.02999997</v>
      </c>
      <c r="P672" s="50"/>
      <c r="Q672" s="50">
        <v>820157573.02999997</v>
      </c>
    </row>
    <row r="673" spans="1:17" x14ac:dyDescent="0.25">
      <c r="A673" s="49" t="s">
        <v>716</v>
      </c>
      <c r="B673" s="49" t="s">
        <v>110</v>
      </c>
      <c r="C673" s="49" t="s">
        <v>111</v>
      </c>
      <c r="D673" s="49" t="s">
        <v>69</v>
      </c>
      <c r="E673" s="50">
        <v>6927908871</v>
      </c>
      <c r="F673" s="50">
        <v>6677908871</v>
      </c>
      <c r="G673" s="50">
        <v>6677908871</v>
      </c>
      <c r="H673" s="50">
        <v>0</v>
      </c>
      <c r="I673" s="50">
        <v>114368658.8</v>
      </c>
      <c r="J673" s="50">
        <v>0</v>
      </c>
      <c r="K673" s="50">
        <v>5743382639.1700001</v>
      </c>
      <c r="L673" s="50"/>
      <c r="M673" s="50">
        <v>5743382639.1700001</v>
      </c>
      <c r="N673" s="50"/>
      <c r="O673" s="50">
        <v>820157573.02999997</v>
      </c>
      <c r="P673" s="50"/>
      <c r="Q673" s="50">
        <v>820157573.02999997</v>
      </c>
    </row>
    <row r="674" spans="1:17" x14ac:dyDescent="0.25">
      <c r="A674" s="49" t="s">
        <v>716</v>
      </c>
      <c r="B674" s="49" t="s">
        <v>112</v>
      </c>
      <c r="C674" s="49" t="s">
        <v>113</v>
      </c>
      <c r="D674" s="49" t="s">
        <v>69</v>
      </c>
      <c r="E674" s="50">
        <v>1539529</v>
      </c>
      <c r="F674" s="50">
        <v>1539529</v>
      </c>
      <c r="G674" s="50">
        <v>1539529</v>
      </c>
      <c r="H674" s="50">
        <v>0</v>
      </c>
      <c r="I674" s="50">
        <v>582068.55000000005</v>
      </c>
      <c r="J674" s="50">
        <v>0</v>
      </c>
      <c r="K674" s="50">
        <v>957460.45</v>
      </c>
      <c r="L674" s="50"/>
      <c r="M674" s="50">
        <v>635046.46</v>
      </c>
      <c r="N674" s="50"/>
      <c r="O674" s="50">
        <v>0</v>
      </c>
      <c r="P674" s="50"/>
      <c r="Q674" s="50">
        <v>0</v>
      </c>
    </row>
    <row r="675" spans="1:17" x14ac:dyDescent="0.25">
      <c r="A675" s="49" t="s">
        <v>716</v>
      </c>
      <c r="B675" s="49" t="s">
        <v>120</v>
      </c>
      <c r="C675" s="49" t="s">
        <v>121</v>
      </c>
      <c r="D675" s="49" t="s">
        <v>69</v>
      </c>
      <c r="E675" s="50">
        <v>1539529</v>
      </c>
      <c r="F675" s="50">
        <v>1539529</v>
      </c>
      <c r="G675" s="50">
        <v>1539529</v>
      </c>
      <c r="H675" s="50">
        <v>0</v>
      </c>
      <c r="I675" s="50">
        <v>582068.55000000005</v>
      </c>
      <c r="J675" s="50">
        <v>0</v>
      </c>
      <c r="K675" s="50">
        <v>957460.45</v>
      </c>
      <c r="L675" s="50"/>
      <c r="M675" s="50">
        <v>635046.46</v>
      </c>
      <c r="N675" s="50"/>
      <c r="O675" s="50">
        <v>0</v>
      </c>
      <c r="P675" s="50"/>
      <c r="Q675" s="50">
        <v>0</v>
      </c>
    </row>
    <row r="676" spans="1:17" x14ac:dyDescent="0.25">
      <c r="A676" s="49" t="s">
        <v>716</v>
      </c>
      <c r="B676" s="49" t="s">
        <v>140</v>
      </c>
      <c r="C676" s="49" t="s">
        <v>141</v>
      </c>
      <c r="D676" s="49" t="s">
        <v>69</v>
      </c>
      <c r="E676" s="50">
        <v>0</v>
      </c>
      <c r="F676" s="50">
        <v>0</v>
      </c>
      <c r="G676" s="50">
        <v>0</v>
      </c>
      <c r="H676" s="50">
        <v>0</v>
      </c>
      <c r="I676" s="50">
        <v>0</v>
      </c>
      <c r="J676" s="50">
        <v>0</v>
      </c>
      <c r="K676" s="50">
        <v>0</v>
      </c>
      <c r="L676" s="50"/>
      <c r="M676" s="50">
        <v>0</v>
      </c>
      <c r="N676" s="50"/>
      <c r="O676" s="50">
        <v>0</v>
      </c>
      <c r="P676" s="50"/>
      <c r="Q676" s="50">
        <v>0</v>
      </c>
    </row>
    <row r="677" spans="1:17" x14ac:dyDescent="0.25">
      <c r="A677" s="49" t="s">
        <v>716</v>
      </c>
      <c r="B677" s="49" t="s">
        <v>144</v>
      </c>
      <c r="C677" s="49" t="s">
        <v>145</v>
      </c>
      <c r="D677" s="49" t="s">
        <v>69</v>
      </c>
      <c r="E677" s="50">
        <v>0</v>
      </c>
      <c r="F677" s="50">
        <v>0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/>
      <c r="M677" s="50">
        <v>0</v>
      </c>
      <c r="N677" s="50"/>
      <c r="O677" s="50">
        <v>0</v>
      </c>
      <c r="P677" s="50"/>
      <c r="Q677" s="50">
        <v>0</v>
      </c>
    </row>
    <row r="678" spans="1:17" x14ac:dyDescent="0.25">
      <c r="A678" s="49" t="s">
        <v>716</v>
      </c>
      <c r="B678" s="49" t="s">
        <v>178</v>
      </c>
      <c r="C678" s="49" t="s">
        <v>179</v>
      </c>
      <c r="D678" s="49" t="s">
        <v>69</v>
      </c>
      <c r="E678" s="50">
        <v>0</v>
      </c>
      <c r="F678" s="50">
        <v>5555000</v>
      </c>
      <c r="G678" s="50">
        <v>5555000</v>
      </c>
      <c r="H678" s="50">
        <v>0</v>
      </c>
      <c r="I678" s="50">
        <v>0</v>
      </c>
      <c r="J678" s="50">
        <v>0</v>
      </c>
      <c r="K678" s="50">
        <v>2875482.27</v>
      </c>
      <c r="L678" s="50"/>
      <c r="M678" s="50">
        <v>2875482.27</v>
      </c>
      <c r="N678" s="50"/>
      <c r="O678" s="50">
        <v>2679517.73</v>
      </c>
      <c r="P678" s="50"/>
      <c r="Q678" s="50">
        <v>2679517.73</v>
      </c>
    </row>
    <row r="679" spans="1:17" x14ac:dyDescent="0.25">
      <c r="A679" s="49" t="s">
        <v>716</v>
      </c>
      <c r="B679" s="49" t="s">
        <v>180</v>
      </c>
      <c r="C679" s="49" t="s">
        <v>181</v>
      </c>
      <c r="D679" s="49" t="s">
        <v>69</v>
      </c>
      <c r="E679" s="50">
        <v>0</v>
      </c>
      <c r="F679" s="50">
        <v>5555000</v>
      </c>
      <c r="G679" s="50">
        <v>5555000</v>
      </c>
      <c r="H679" s="50">
        <v>0</v>
      </c>
      <c r="I679" s="50">
        <v>0</v>
      </c>
      <c r="J679" s="50">
        <v>0</v>
      </c>
      <c r="K679" s="50">
        <v>2875482.27</v>
      </c>
      <c r="L679" s="50"/>
      <c r="M679" s="50">
        <v>2875482.27</v>
      </c>
      <c r="N679" s="50"/>
      <c r="O679" s="50">
        <v>2679517.73</v>
      </c>
      <c r="P679" s="50"/>
      <c r="Q679" s="50">
        <v>2679517.73</v>
      </c>
    </row>
    <row r="680" spans="1:17" x14ac:dyDescent="0.25">
      <c r="A680" s="49" t="s">
        <v>716</v>
      </c>
      <c r="B680" s="49" t="s">
        <v>248</v>
      </c>
      <c r="C680" s="49" t="s">
        <v>249</v>
      </c>
      <c r="D680" s="49" t="s">
        <v>69</v>
      </c>
      <c r="E680" s="50">
        <v>5048260</v>
      </c>
      <c r="F680" s="50">
        <v>5026021</v>
      </c>
      <c r="G680" s="50">
        <v>5026021</v>
      </c>
      <c r="H680" s="50">
        <v>0</v>
      </c>
      <c r="I680" s="50">
        <v>0</v>
      </c>
      <c r="J680" s="50">
        <v>0</v>
      </c>
      <c r="K680" s="50">
        <v>3347134</v>
      </c>
      <c r="L680" s="50"/>
      <c r="M680" s="50">
        <v>3347134</v>
      </c>
      <c r="N680" s="50"/>
      <c r="O680" s="50">
        <v>1678887</v>
      </c>
      <c r="P680" s="50"/>
      <c r="Q680" s="50">
        <v>1678887</v>
      </c>
    </row>
    <row r="681" spans="1:17" x14ac:dyDescent="0.25">
      <c r="A681" s="49" t="s">
        <v>716</v>
      </c>
      <c r="B681" s="49" t="s">
        <v>250</v>
      </c>
      <c r="C681" s="49" t="s">
        <v>251</v>
      </c>
      <c r="D681" s="49" t="s">
        <v>69</v>
      </c>
      <c r="E681" s="50">
        <v>3548260</v>
      </c>
      <c r="F681" s="50">
        <v>3526021</v>
      </c>
      <c r="G681" s="50">
        <v>3526021</v>
      </c>
      <c r="H681" s="50">
        <v>0</v>
      </c>
      <c r="I681" s="50">
        <v>0</v>
      </c>
      <c r="J681" s="50">
        <v>0</v>
      </c>
      <c r="K681" s="50">
        <v>3027824</v>
      </c>
      <c r="L681" s="50"/>
      <c r="M681" s="50">
        <v>3027824</v>
      </c>
      <c r="N681" s="50"/>
      <c r="O681" s="50">
        <v>498197</v>
      </c>
      <c r="P681" s="50"/>
      <c r="Q681" s="50">
        <v>498197</v>
      </c>
    </row>
    <row r="682" spans="1:17" x14ac:dyDescent="0.25">
      <c r="A682" s="49" t="s">
        <v>716</v>
      </c>
      <c r="B682" s="49" t="s">
        <v>635</v>
      </c>
      <c r="C682" s="49" t="s">
        <v>702</v>
      </c>
      <c r="D682" s="49" t="s">
        <v>69</v>
      </c>
      <c r="E682" s="50">
        <v>3013955</v>
      </c>
      <c r="F682" s="50">
        <v>2995065</v>
      </c>
      <c r="G682" s="50">
        <v>2995065</v>
      </c>
      <c r="H682" s="50">
        <v>0</v>
      </c>
      <c r="I682" s="50">
        <v>0</v>
      </c>
      <c r="J682" s="50">
        <v>0</v>
      </c>
      <c r="K682" s="50">
        <v>2567786</v>
      </c>
      <c r="L682" s="50"/>
      <c r="M682" s="50">
        <v>2567786</v>
      </c>
      <c r="N682" s="50"/>
      <c r="O682" s="50">
        <v>427279</v>
      </c>
      <c r="P682" s="50"/>
      <c r="Q682" s="50">
        <v>427279</v>
      </c>
    </row>
    <row r="683" spans="1:17" x14ac:dyDescent="0.25">
      <c r="A683" s="49" t="s">
        <v>716</v>
      </c>
      <c r="B683" s="49" t="s">
        <v>650</v>
      </c>
      <c r="C683" s="49" t="s">
        <v>703</v>
      </c>
      <c r="D683" s="49" t="s">
        <v>69</v>
      </c>
      <c r="E683" s="50">
        <v>534305</v>
      </c>
      <c r="F683" s="50">
        <v>530956</v>
      </c>
      <c r="G683" s="50">
        <v>530956</v>
      </c>
      <c r="H683" s="50">
        <v>0</v>
      </c>
      <c r="I683" s="50">
        <v>0</v>
      </c>
      <c r="J683" s="50">
        <v>0</v>
      </c>
      <c r="K683" s="50">
        <v>460038</v>
      </c>
      <c r="L683" s="50"/>
      <c r="M683" s="50">
        <v>460038</v>
      </c>
      <c r="N683" s="50"/>
      <c r="O683" s="50">
        <v>70918</v>
      </c>
      <c r="P683" s="50"/>
      <c r="Q683" s="50">
        <v>70918</v>
      </c>
    </row>
    <row r="684" spans="1:17" x14ac:dyDescent="0.25">
      <c r="A684" s="49" t="s">
        <v>716</v>
      </c>
      <c r="B684" s="49" t="s">
        <v>260</v>
      </c>
      <c r="C684" s="49" t="s">
        <v>261</v>
      </c>
      <c r="D684" s="49" t="s">
        <v>69</v>
      </c>
      <c r="E684" s="50">
        <v>1500000</v>
      </c>
      <c r="F684" s="50">
        <v>1500000</v>
      </c>
      <c r="G684" s="50">
        <v>1500000</v>
      </c>
      <c r="H684" s="50">
        <v>0</v>
      </c>
      <c r="I684" s="50">
        <v>0</v>
      </c>
      <c r="J684" s="50">
        <v>0</v>
      </c>
      <c r="K684" s="50">
        <v>319310</v>
      </c>
      <c r="L684" s="50"/>
      <c r="M684" s="50">
        <v>319310</v>
      </c>
      <c r="N684" s="50"/>
      <c r="O684" s="50">
        <v>1180690</v>
      </c>
      <c r="P684" s="50"/>
      <c r="Q684" s="50">
        <v>1180690</v>
      </c>
    </row>
    <row r="685" spans="1:17" x14ac:dyDescent="0.25">
      <c r="A685" s="49" t="s">
        <v>716</v>
      </c>
      <c r="B685" s="49" t="s">
        <v>264</v>
      </c>
      <c r="C685" s="49" t="s">
        <v>265</v>
      </c>
      <c r="D685" s="49" t="s">
        <v>69</v>
      </c>
      <c r="E685" s="50">
        <v>1500000</v>
      </c>
      <c r="F685" s="50">
        <v>1500000</v>
      </c>
      <c r="G685" s="50">
        <v>1500000</v>
      </c>
      <c r="H685" s="50">
        <v>0</v>
      </c>
      <c r="I685" s="50">
        <v>0</v>
      </c>
      <c r="J685" s="50">
        <v>0</v>
      </c>
      <c r="K685" s="50">
        <v>319310</v>
      </c>
      <c r="L685" s="50"/>
      <c r="M685" s="50">
        <v>319310</v>
      </c>
      <c r="N685" s="50"/>
      <c r="O685" s="50">
        <v>1180690</v>
      </c>
      <c r="P685" s="50"/>
      <c r="Q685" s="50">
        <v>1180690</v>
      </c>
    </row>
    <row r="686" spans="1:17" x14ac:dyDescent="0.25">
      <c r="A686" s="49">
        <v>214790</v>
      </c>
      <c r="B686" s="49"/>
      <c r="C686" s="49"/>
      <c r="D686" s="49" t="s">
        <v>69</v>
      </c>
      <c r="E686" s="50">
        <v>1417740073</v>
      </c>
      <c r="F686" s="50">
        <v>1265316729</v>
      </c>
      <c r="G686" s="50">
        <v>1265316729</v>
      </c>
      <c r="H686" s="50">
        <v>0</v>
      </c>
      <c r="I686" s="50">
        <v>5641651.6799999997</v>
      </c>
      <c r="J686" s="50">
        <v>0</v>
      </c>
      <c r="K686" s="50">
        <v>1095325472.8499999</v>
      </c>
      <c r="L686" s="50"/>
      <c r="M686" s="50">
        <v>1080993517.3599999</v>
      </c>
      <c r="N686" s="50"/>
      <c r="O686" s="50">
        <v>164349604.47</v>
      </c>
      <c r="P686" s="50"/>
      <c r="Q686" s="50">
        <v>164349604.47</v>
      </c>
    </row>
    <row r="687" spans="1:17" x14ac:dyDescent="0.25">
      <c r="A687" s="49" t="s">
        <v>717</v>
      </c>
      <c r="B687" s="49" t="s">
        <v>71</v>
      </c>
      <c r="C687" s="49" t="s">
        <v>72</v>
      </c>
      <c r="D687" s="49" t="s">
        <v>69</v>
      </c>
      <c r="E687" s="50">
        <v>1125132721</v>
      </c>
      <c r="F687" s="50">
        <v>1090417290</v>
      </c>
      <c r="G687" s="50">
        <v>1090417290</v>
      </c>
      <c r="H687" s="50">
        <v>0</v>
      </c>
      <c r="I687" s="50">
        <v>0</v>
      </c>
      <c r="J687" s="50">
        <v>0</v>
      </c>
      <c r="K687" s="50">
        <v>988592555.48000002</v>
      </c>
      <c r="L687" s="50"/>
      <c r="M687" s="50">
        <v>988592555.48000002</v>
      </c>
      <c r="N687" s="50"/>
      <c r="O687" s="50">
        <v>101824734.52</v>
      </c>
      <c r="P687" s="50"/>
      <c r="Q687" s="50">
        <v>101824734.52</v>
      </c>
    </row>
    <row r="688" spans="1:17" x14ac:dyDescent="0.25">
      <c r="A688" s="49" t="s">
        <v>717</v>
      </c>
      <c r="B688" s="49" t="s">
        <v>73</v>
      </c>
      <c r="C688" s="49" t="s">
        <v>74</v>
      </c>
      <c r="D688" s="49" t="s">
        <v>69</v>
      </c>
      <c r="E688" s="50">
        <v>456307400</v>
      </c>
      <c r="F688" s="50">
        <v>438060200</v>
      </c>
      <c r="G688" s="50">
        <v>438060200</v>
      </c>
      <c r="H688" s="50">
        <v>0</v>
      </c>
      <c r="I688" s="50">
        <v>0</v>
      </c>
      <c r="J688" s="50">
        <v>0</v>
      </c>
      <c r="K688" s="50">
        <v>409645627.58999997</v>
      </c>
      <c r="L688" s="50"/>
      <c r="M688" s="50">
        <v>409645627.58999997</v>
      </c>
      <c r="N688" s="50"/>
      <c r="O688" s="50">
        <v>28414572.41</v>
      </c>
      <c r="P688" s="50"/>
      <c r="Q688" s="50">
        <v>28414572.41</v>
      </c>
    </row>
    <row r="689" spans="1:17" x14ac:dyDescent="0.25">
      <c r="A689" s="49" t="s">
        <v>717</v>
      </c>
      <c r="B689" s="49" t="s">
        <v>75</v>
      </c>
      <c r="C689" s="49" t="s">
        <v>76</v>
      </c>
      <c r="D689" s="49" t="s">
        <v>69</v>
      </c>
      <c r="E689" s="50">
        <v>456307400</v>
      </c>
      <c r="F689" s="50">
        <v>438060200</v>
      </c>
      <c r="G689" s="50">
        <v>438060200</v>
      </c>
      <c r="H689" s="50">
        <v>0</v>
      </c>
      <c r="I689" s="50">
        <v>0</v>
      </c>
      <c r="J689" s="50">
        <v>0</v>
      </c>
      <c r="K689" s="50">
        <v>409645627.58999997</v>
      </c>
      <c r="L689" s="50"/>
      <c r="M689" s="50">
        <v>409645627.58999997</v>
      </c>
      <c r="N689" s="50"/>
      <c r="O689" s="50">
        <v>28414572.41</v>
      </c>
      <c r="P689" s="50"/>
      <c r="Q689" s="50">
        <v>28414572.41</v>
      </c>
    </row>
    <row r="690" spans="1:17" x14ac:dyDescent="0.25">
      <c r="A690" s="49" t="s">
        <v>717</v>
      </c>
      <c r="B690" s="49" t="s">
        <v>77</v>
      </c>
      <c r="C690" s="49" t="s">
        <v>78</v>
      </c>
      <c r="D690" s="49" t="s">
        <v>69</v>
      </c>
      <c r="E690" s="50">
        <v>497190642</v>
      </c>
      <c r="F690" s="50">
        <v>487056431</v>
      </c>
      <c r="G690" s="50">
        <v>487056431</v>
      </c>
      <c r="H690" s="50">
        <v>0</v>
      </c>
      <c r="I690" s="50">
        <v>0</v>
      </c>
      <c r="J690" s="50">
        <v>0</v>
      </c>
      <c r="K690" s="50">
        <v>428661559.88999999</v>
      </c>
      <c r="L690" s="50"/>
      <c r="M690" s="50">
        <v>428661559.88999999</v>
      </c>
      <c r="N690" s="50"/>
      <c r="O690" s="50">
        <v>58394871.109999999</v>
      </c>
      <c r="P690" s="50"/>
      <c r="Q690" s="50">
        <v>58394871.109999999</v>
      </c>
    </row>
    <row r="691" spans="1:17" x14ac:dyDescent="0.25">
      <c r="A691" s="49" t="s">
        <v>717</v>
      </c>
      <c r="B691" s="49" t="s">
        <v>79</v>
      </c>
      <c r="C691" s="49" t="s">
        <v>80</v>
      </c>
      <c r="D691" s="49" t="s">
        <v>69</v>
      </c>
      <c r="E691" s="50">
        <v>91313600</v>
      </c>
      <c r="F691" s="50">
        <v>91313600</v>
      </c>
      <c r="G691" s="50">
        <v>91313600</v>
      </c>
      <c r="H691" s="50">
        <v>0</v>
      </c>
      <c r="I691" s="50">
        <v>0</v>
      </c>
      <c r="J691" s="50">
        <v>0</v>
      </c>
      <c r="K691" s="50">
        <v>86460498.409999996</v>
      </c>
      <c r="L691" s="50"/>
      <c r="M691" s="50">
        <v>86460498.409999996</v>
      </c>
      <c r="N691" s="50"/>
      <c r="O691" s="50">
        <v>4853101.59</v>
      </c>
      <c r="P691" s="50"/>
      <c r="Q691" s="50">
        <v>4853101.59</v>
      </c>
    </row>
    <row r="692" spans="1:17" x14ac:dyDescent="0.25">
      <c r="A692" s="49" t="s">
        <v>717</v>
      </c>
      <c r="B692" s="49" t="s">
        <v>81</v>
      </c>
      <c r="C692" s="49" t="s">
        <v>82</v>
      </c>
      <c r="D692" s="49" t="s">
        <v>69</v>
      </c>
      <c r="E692" s="50">
        <v>214869984</v>
      </c>
      <c r="F692" s="50">
        <v>208123437</v>
      </c>
      <c r="G692" s="50">
        <v>208123437</v>
      </c>
      <c r="H692" s="50">
        <v>0</v>
      </c>
      <c r="I692" s="50">
        <v>0</v>
      </c>
      <c r="J692" s="50">
        <v>0</v>
      </c>
      <c r="K692" s="50">
        <v>185839400.25999999</v>
      </c>
      <c r="L692" s="50"/>
      <c r="M692" s="50">
        <v>185839400.25999999</v>
      </c>
      <c r="N692" s="50"/>
      <c r="O692" s="50">
        <v>22284036.739999998</v>
      </c>
      <c r="P692" s="50"/>
      <c r="Q692" s="50">
        <v>22284036.739999998</v>
      </c>
    </row>
    <row r="693" spans="1:17" x14ac:dyDescent="0.25">
      <c r="A693" s="49" t="s">
        <v>717</v>
      </c>
      <c r="B693" s="49" t="s">
        <v>86</v>
      </c>
      <c r="C693" s="49" t="s">
        <v>87</v>
      </c>
      <c r="D693" s="49" t="s">
        <v>69</v>
      </c>
      <c r="E693" s="50">
        <v>67452900</v>
      </c>
      <c r="F693" s="50">
        <v>67452900</v>
      </c>
      <c r="G693" s="50">
        <v>67452900</v>
      </c>
      <c r="H693" s="50">
        <v>0</v>
      </c>
      <c r="I693" s="50">
        <v>0</v>
      </c>
      <c r="J693" s="50">
        <v>0</v>
      </c>
      <c r="K693" s="50">
        <v>49771766.130000003</v>
      </c>
      <c r="L693" s="50"/>
      <c r="M693" s="50">
        <v>49771766.130000003</v>
      </c>
      <c r="N693" s="50"/>
      <c r="O693" s="50">
        <v>17681133.870000001</v>
      </c>
      <c r="P693" s="50"/>
      <c r="Q693" s="50">
        <v>17681133.870000001</v>
      </c>
    </row>
    <row r="694" spans="1:17" x14ac:dyDescent="0.25">
      <c r="A694" s="49" t="s">
        <v>717</v>
      </c>
      <c r="B694" s="49" t="s">
        <v>88</v>
      </c>
      <c r="C694" s="49" t="s">
        <v>89</v>
      </c>
      <c r="D694" s="49" t="s">
        <v>69</v>
      </c>
      <c r="E694" s="50">
        <v>50235300</v>
      </c>
      <c r="F694" s="50">
        <v>49553400</v>
      </c>
      <c r="G694" s="50">
        <v>49553400</v>
      </c>
      <c r="H694" s="50">
        <v>0</v>
      </c>
      <c r="I694" s="50">
        <v>0</v>
      </c>
      <c r="J694" s="50">
        <v>0</v>
      </c>
      <c r="K694" s="50">
        <v>41074359.770000003</v>
      </c>
      <c r="L694" s="50"/>
      <c r="M694" s="50">
        <v>41074359.770000003</v>
      </c>
      <c r="N694" s="50"/>
      <c r="O694" s="50">
        <v>8479040.2300000004</v>
      </c>
      <c r="P694" s="50"/>
      <c r="Q694" s="50">
        <v>8479040.2300000004</v>
      </c>
    </row>
    <row r="695" spans="1:17" x14ac:dyDescent="0.25">
      <c r="A695" s="49" t="s">
        <v>717</v>
      </c>
      <c r="B695" s="49" t="s">
        <v>83</v>
      </c>
      <c r="C695" s="49" t="s">
        <v>84</v>
      </c>
      <c r="D695" s="49" t="s">
        <v>85</v>
      </c>
      <c r="E695" s="50">
        <v>73318858</v>
      </c>
      <c r="F695" s="50">
        <v>70613094</v>
      </c>
      <c r="G695" s="50">
        <v>70613094</v>
      </c>
      <c r="H695" s="50">
        <v>0</v>
      </c>
      <c r="I695" s="50">
        <v>0</v>
      </c>
      <c r="J695" s="50">
        <v>0</v>
      </c>
      <c r="K695" s="50">
        <v>65515535.32</v>
      </c>
      <c r="L695" s="50"/>
      <c r="M695" s="50">
        <v>65515535.32</v>
      </c>
      <c r="N695" s="50"/>
      <c r="O695" s="50">
        <v>5097558.68</v>
      </c>
      <c r="P695" s="50"/>
      <c r="Q695" s="50">
        <v>5097558.68</v>
      </c>
    </row>
    <row r="696" spans="1:17" x14ac:dyDescent="0.25">
      <c r="A696" s="49" t="s">
        <v>717</v>
      </c>
      <c r="B696" s="49" t="s">
        <v>90</v>
      </c>
      <c r="C696" s="49" t="s">
        <v>91</v>
      </c>
      <c r="D696" s="49" t="s">
        <v>69</v>
      </c>
      <c r="E696" s="50">
        <v>85817390</v>
      </c>
      <c r="F696" s="50">
        <v>82650379</v>
      </c>
      <c r="G696" s="50">
        <v>82650379</v>
      </c>
      <c r="H696" s="50">
        <v>0</v>
      </c>
      <c r="I696" s="50">
        <v>0</v>
      </c>
      <c r="J696" s="50">
        <v>0</v>
      </c>
      <c r="K696" s="50">
        <v>75235145</v>
      </c>
      <c r="L696" s="50"/>
      <c r="M696" s="50">
        <v>75235145</v>
      </c>
      <c r="N696" s="50"/>
      <c r="O696" s="50">
        <v>7415234</v>
      </c>
      <c r="P696" s="50"/>
      <c r="Q696" s="50">
        <v>7415234</v>
      </c>
    </row>
    <row r="697" spans="1:17" x14ac:dyDescent="0.25">
      <c r="A697" s="49" t="s">
        <v>717</v>
      </c>
      <c r="B697" s="49" t="s">
        <v>427</v>
      </c>
      <c r="C697" s="49" t="s">
        <v>697</v>
      </c>
      <c r="D697" s="49" t="s">
        <v>69</v>
      </c>
      <c r="E697" s="50">
        <v>81416555</v>
      </c>
      <c r="F697" s="50">
        <v>78411955</v>
      </c>
      <c r="G697" s="50">
        <v>78411955</v>
      </c>
      <c r="H697" s="50">
        <v>0</v>
      </c>
      <c r="I697" s="50">
        <v>0</v>
      </c>
      <c r="J697" s="50">
        <v>0</v>
      </c>
      <c r="K697" s="50">
        <v>71376907</v>
      </c>
      <c r="L697" s="50"/>
      <c r="M697" s="50">
        <v>71376907</v>
      </c>
      <c r="N697" s="50"/>
      <c r="O697" s="50">
        <v>7035048</v>
      </c>
      <c r="P697" s="50"/>
      <c r="Q697" s="50">
        <v>7035048</v>
      </c>
    </row>
    <row r="698" spans="1:17" x14ac:dyDescent="0.25">
      <c r="A698" s="49" t="s">
        <v>717</v>
      </c>
      <c r="B698" s="49" t="s">
        <v>444</v>
      </c>
      <c r="C698" s="49" t="s">
        <v>95</v>
      </c>
      <c r="D698" s="49" t="s">
        <v>69</v>
      </c>
      <c r="E698" s="50">
        <v>4400835</v>
      </c>
      <c r="F698" s="50">
        <v>4238424</v>
      </c>
      <c r="G698" s="50">
        <v>4238424</v>
      </c>
      <c r="H698" s="50">
        <v>0</v>
      </c>
      <c r="I698" s="50">
        <v>0</v>
      </c>
      <c r="J698" s="50">
        <v>0</v>
      </c>
      <c r="K698" s="50">
        <v>3858238</v>
      </c>
      <c r="L698" s="50"/>
      <c r="M698" s="50">
        <v>3858238</v>
      </c>
      <c r="N698" s="50"/>
      <c r="O698" s="50">
        <v>380186</v>
      </c>
      <c r="P698" s="50"/>
      <c r="Q698" s="50">
        <v>380186</v>
      </c>
    </row>
    <row r="699" spans="1:17" x14ac:dyDescent="0.25">
      <c r="A699" s="49" t="s">
        <v>717</v>
      </c>
      <c r="B699" s="49" t="s">
        <v>96</v>
      </c>
      <c r="C699" s="49" t="s">
        <v>97</v>
      </c>
      <c r="D699" s="49" t="s">
        <v>69</v>
      </c>
      <c r="E699" s="50">
        <v>85817289</v>
      </c>
      <c r="F699" s="50">
        <v>82650280</v>
      </c>
      <c r="G699" s="50">
        <v>82650280</v>
      </c>
      <c r="H699" s="50">
        <v>0</v>
      </c>
      <c r="I699" s="50">
        <v>0</v>
      </c>
      <c r="J699" s="50">
        <v>0</v>
      </c>
      <c r="K699" s="50">
        <v>75050223</v>
      </c>
      <c r="L699" s="50"/>
      <c r="M699" s="50">
        <v>75050223</v>
      </c>
      <c r="N699" s="50"/>
      <c r="O699" s="50">
        <v>7600057</v>
      </c>
      <c r="P699" s="50"/>
      <c r="Q699" s="50">
        <v>7600057</v>
      </c>
    </row>
    <row r="700" spans="1:17" x14ac:dyDescent="0.25">
      <c r="A700" s="49" t="s">
        <v>717</v>
      </c>
      <c r="B700" s="49" t="s">
        <v>462</v>
      </c>
      <c r="C700" s="49" t="s">
        <v>698</v>
      </c>
      <c r="D700" s="49" t="s">
        <v>69</v>
      </c>
      <c r="E700" s="50">
        <v>46209371</v>
      </c>
      <c r="F700" s="50">
        <v>44504058</v>
      </c>
      <c r="G700" s="50">
        <v>44504058</v>
      </c>
      <c r="H700" s="50">
        <v>0</v>
      </c>
      <c r="I700" s="50">
        <v>0</v>
      </c>
      <c r="J700" s="50">
        <v>0</v>
      </c>
      <c r="K700" s="50">
        <v>40326341</v>
      </c>
      <c r="L700" s="50"/>
      <c r="M700" s="50">
        <v>40326341</v>
      </c>
      <c r="N700" s="50"/>
      <c r="O700" s="50">
        <v>4177717</v>
      </c>
      <c r="P700" s="50"/>
      <c r="Q700" s="50">
        <v>4177717</v>
      </c>
    </row>
    <row r="701" spans="1:17" x14ac:dyDescent="0.25">
      <c r="A701" s="49" t="s">
        <v>717</v>
      </c>
      <c r="B701" s="49" t="s">
        <v>479</v>
      </c>
      <c r="C701" s="49" t="s">
        <v>699</v>
      </c>
      <c r="D701" s="49" t="s">
        <v>69</v>
      </c>
      <c r="E701" s="50">
        <v>13202606</v>
      </c>
      <c r="F701" s="50">
        <v>15015374</v>
      </c>
      <c r="G701" s="50">
        <v>15015374</v>
      </c>
      <c r="H701" s="50">
        <v>0</v>
      </c>
      <c r="I701" s="50">
        <v>0</v>
      </c>
      <c r="J701" s="50">
        <v>0</v>
      </c>
      <c r="K701" s="50">
        <v>13387855</v>
      </c>
      <c r="L701" s="50"/>
      <c r="M701" s="50">
        <v>13387855</v>
      </c>
      <c r="N701" s="50"/>
      <c r="O701" s="50">
        <v>1627519</v>
      </c>
      <c r="P701" s="50"/>
      <c r="Q701" s="50">
        <v>1627519</v>
      </c>
    </row>
    <row r="702" spans="1:17" x14ac:dyDescent="0.25">
      <c r="A702" s="49" t="s">
        <v>717</v>
      </c>
      <c r="B702" s="49" t="s">
        <v>496</v>
      </c>
      <c r="C702" s="49" t="s">
        <v>700</v>
      </c>
      <c r="D702" s="49" t="s">
        <v>69</v>
      </c>
      <c r="E702" s="50">
        <v>26405312</v>
      </c>
      <c r="F702" s="50">
        <v>23130848</v>
      </c>
      <c r="G702" s="50">
        <v>23130848</v>
      </c>
      <c r="H702" s="50">
        <v>0</v>
      </c>
      <c r="I702" s="50">
        <v>0</v>
      </c>
      <c r="J702" s="50">
        <v>0</v>
      </c>
      <c r="K702" s="50">
        <v>21336027</v>
      </c>
      <c r="L702" s="50"/>
      <c r="M702" s="50">
        <v>21336027</v>
      </c>
      <c r="N702" s="50"/>
      <c r="O702" s="50">
        <v>1794821</v>
      </c>
      <c r="P702" s="50"/>
      <c r="Q702" s="50">
        <v>1794821</v>
      </c>
    </row>
    <row r="703" spans="1:17" x14ac:dyDescent="0.25">
      <c r="A703" s="49" t="s">
        <v>717</v>
      </c>
      <c r="B703" s="49" t="s">
        <v>104</v>
      </c>
      <c r="C703" s="49" t="s">
        <v>105</v>
      </c>
      <c r="D703" s="49" t="s">
        <v>69</v>
      </c>
      <c r="E703" s="50">
        <v>143937951</v>
      </c>
      <c r="F703" s="50">
        <v>91784695</v>
      </c>
      <c r="G703" s="50">
        <v>91784695</v>
      </c>
      <c r="H703" s="50">
        <v>0</v>
      </c>
      <c r="I703" s="50">
        <v>3364139.68</v>
      </c>
      <c r="J703" s="50">
        <v>0</v>
      </c>
      <c r="K703" s="50">
        <v>55969901.590000004</v>
      </c>
      <c r="L703" s="50"/>
      <c r="M703" s="50">
        <v>48543210.32</v>
      </c>
      <c r="N703" s="50"/>
      <c r="O703" s="50">
        <v>32450653.73</v>
      </c>
      <c r="P703" s="50"/>
      <c r="Q703" s="50">
        <v>32450653.73</v>
      </c>
    </row>
    <row r="704" spans="1:17" x14ac:dyDescent="0.25">
      <c r="A704" s="49" t="s">
        <v>717</v>
      </c>
      <c r="B704" s="49" t="s">
        <v>106</v>
      </c>
      <c r="C704" s="49" t="s">
        <v>107</v>
      </c>
      <c r="D704" s="49" t="s">
        <v>69</v>
      </c>
      <c r="E704" s="50">
        <v>60469231</v>
      </c>
      <c r="F704" s="50">
        <v>50315823</v>
      </c>
      <c r="G704" s="50">
        <v>50315823</v>
      </c>
      <c r="H704" s="50">
        <v>0</v>
      </c>
      <c r="I704" s="50">
        <v>1386117.77</v>
      </c>
      <c r="J704" s="50">
        <v>0</v>
      </c>
      <c r="K704" s="50">
        <v>30943380.739999998</v>
      </c>
      <c r="L704" s="50"/>
      <c r="M704" s="50">
        <v>26860855.199999999</v>
      </c>
      <c r="N704" s="50"/>
      <c r="O704" s="50">
        <v>17986324.489999998</v>
      </c>
      <c r="P704" s="50"/>
      <c r="Q704" s="50">
        <v>17986324.489999998</v>
      </c>
    </row>
    <row r="705" spans="1:17" x14ac:dyDescent="0.25">
      <c r="A705" s="49" t="s">
        <v>717</v>
      </c>
      <c r="B705" s="49" t="s">
        <v>108</v>
      </c>
      <c r="C705" s="49" t="s">
        <v>109</v>
      </c>
      <c r="D705" s="49" t="s">
        <v>69</v>
      </c>
      <c r="E705" s="50">
        <v>60469231</v>
      </c>
      <c r="F705" s="50">
        <v>50315823</v>
      </c>
      <c r="G705" s="50">
        <v>50315823</v>
      </c>
      <c r="H705" s="50">
        <v>0</v>
      </c>
      <c r="I705" s="50">
        <v>1386117.77</v>
      </c>
      <c r="J705" s="50">
        <v>0</v>
      </c>
      <c r="K705" s="50">
        <v>30943380.739999998</v>
      </c>
      <c r="L705" s="50"/>
      <c r="M705" s="50">
        <v>26860855.199999999</v>
      </c>
      <c r="N705" s="50"/>
      <c r="O705" s="50">
        <v>17986324.489999998</v>
      </c>
      <c r="P705" s="50"/>
      <c r="Q705" s="50">
        <v>17986324.489999998</v>
      </c>
    </row>
    <row r="706" spans="1:17" x14ac:dyDescent="0.25">
      <c r="A706" s="49" t="s">
        <v>717</v>
      </c>
      <c r="B706" s="49" t="s">
        <v>112</v>
      </c>
      <c r="C706" s="49" t="s">
        <v>113</v>
      </c>
      <c r="D706" s="49" t="s">
        <v>69</v>
      </c>
      <c r="E706" s="50">
        <v>12862800</v>
      </c>
      <c r="F706" s="50">
        <v>13016208</v>
      </c>
      <c r="G706" s="50">
        <v>13016208</v>
      </c>
      <c r="H706" s="50">
        <v>0</v>
      </c>
      <c r="I706" s="50">
        <v>817648</v>
      </c>
      <c r="J706" s="50">
        <v>0</v>
      </c>
      <c r="K706" s="50">
        <v>7473991.96</v>
      </c>
      <c r="L706" s="50"/>
      <c r="M706" s="50">
        <v>6834326.5800000001</v>
      </c>
      <c r="N706" s="50"/>
      <c r="O706" s="50">
        <v>4724568.04</v>
      </c>
      <c r="P706" s="50"/>
      <c r="Q706" s="50">
        <v>4724568.04</v>
      </c>
    </row>
    <row r="707" spans="1:17" x14ac:dyDescent="0.25">
      <c r="A707" s="49" t="s">
        <v>717</v>
      </c>
      <c r="B707" s="49" t="s">
        <v>114</v>
      </c>
      <c r="C707" s="49" t="s">
        <v>115</v>
      </c>
      <c r="D707" s="49" t="s">
        <v>69</v>
      </c>
      <c r="E707" s="50">
        <v>0</v>
      </c>
      <c r="F707" s="50">
        <v>153408</v>
      </c>
      <c r="G707" s="50">
        <v>153408</v>
      </c>
      <c r="H707" s="50">
        <v>0</v>
      </c>
      <c r="I707" s="50">
        <v>0</v>
      </c>
      <c r="J707" s="50">
        <v>0</v>
      </c>
      <c r="K707" s="50">
        <v>89146</v>
      </c>
      <c r="L707" s="50"/>
      <c r="M707" s="50">
        <v>89146</v>
      </c>
      <c r="N707" s="50"/>
      <c r="O707" s="50">
        <v>64262</v>
      </c>
      <c r="P707" s="50"/>
      <c r="Q707" s="50">
        <v>64262</v>
      </c>
    </row>
    <row r="708" spans="1:17" x14ac:dyDescent="0.25">
      <c r="A708" s="49" t="s">
        <v>717</v>
      </c>
      <c r="B708" s="49" t="s">
        <v>116</v>
      </c>
      <c r="C708" s="49" t="s">
        <v>117</v>
      </c>
      <c r="D708" s="49" t="s">
        <v>69</v>
      </c>
      <c r="E708" s="50">
        <v>500000</v>
      </c>
      <c r="F708" s="50">
        <v>500000</v>
      </c>
      <c r="G708" s="50">
        <v>500000</v>
      </c>
      <c r="H708" s="50">
        <v>0</v>
      </c>
      <c r="I708" s="50">
        <v>17648</v>
      </c>
      <c r="J708" s="50">
        <v>0</v>
      </c>
      <c r="K708" s="50">
        <v>481760.75</v>
      </c>
      <c r="L708" s="50"/>
      <c r="M708" s="50">
        <v>481760.75</v>
      </c>
      <c r="N708" s="50"/>
      <c r="O708" s="50">
        <v>591.25</v>
      </c>
      <c r="P708" s="50"/>
      <c r="Q708" s="50">
        <v>591.25</v>
      </c>
    </row>
    <row r="709" spans="1:17" x14ac:dyDescent="0.25">
      <c r="A709" s="49" t="s">
        <v>717</v>
      </c>
      <c r="B709" s="49" t="s">
        <v>120</v>
      </c>
      <c r="C709" s="49" t="s">
        <v>121</v>
      </c>
      <c r="D709" s="49" t="s">
        <v>69</v>
      </c>
      <c r="E709" s="50">
        <v>12362800</v>
      </c>
      <c r="F709" s="50">
        <v>12362800</v>
      </c>
      <c r="G709" s="50">
        <v>12362800</v>
      </c>
      <c r="H709" s="50">
        <v>0</v>
      </c>
      <c r="I709" s="50">
        <v>800000</v>
      </c>
      <c r="J709" s="50">
        <v>0</v>
      </c>
      <c r="K709" s="50">
        <v>6903085.21</v>
      </c>
      <c r="L709" s="50"/>
      <c r="M709" s="50">
        <v>6263419.8300000001</v>
      </c>
      <c r="N709" s="50"/>
      <c r="O709" s="50">
        <v>4659714.79</v>
      </c>
      <c r="P709" s="50"/>
      <c r="Q709" s="50">
        <v>4659714.79</v>
      </c>
    </row>
    <row r="710" spans="1:17" x14ac:dyDescent="0.25">
      <c r="A710" s="49" t="s">
        <v>717</v>
      </c>
      <c r="B710" s="49" t="s">
        <v>124</v>
      </c>
      <c r="C710" s="49" t="s">
        <v>125</v>
      </c>
      <c r="D710" s="49" t="s">
        <v>69</v>
      </c>
      <c r="E710" s="50">
        <v>4286000</v>
      </c>
      <c r="F710" s="50">
        <v>1559050</v>
      </c>
      <c r="G710" s="50">
        <v>1559050</v>
      </c>
      <c r="H710" s="50">
        <v>0</v>
      </c>
      <c r="I710" s="50">
        <v>0</v>
      </c>
      <c r="J710" s="50">
        <v>0</v>
      </c>
      <c r="K710" s="50">
        <v>1195511.8</v>
      </c>
      <c r="L710" s="50"/>
      <c r="M710" s="50">
        <v>1195511.8</v>
      </c>
      <c r="N710" s="50"/>
      <c r="O710" s="50">
        <v>363538.2</v>
      </c>
      <c r="P710" s="50"/>
      <c r="Q710" s="50">
        <v>363538.2</v>
      </c>
    </row>
    <row r="711" spans="1:17" x14ac:dyDescent="0.25">
      <c r="A711" s="49" t="s">
        <v>717</v>
      </c>
      <c r="B711" s="49" t="s">
        <v>126</v>
      </c>
      <c r="C711" s="49" t="s">
        <v>127</v>
      </c>
      <c r="D711" s="49" t="s">
        <v>69</v>
      </c>
      <c r="E711" s="50">
        <v>450000</v>
      </c>
      <c r="F711" s="50">
        <v>350000</v>
      </c>
      <c r="G711" s="50">
        <v>350000</v>
      </c>
      <c r="H711" s="50">
        <v>0</v>
      </c>
      <c r="I711" s="50">
        <v>0</v>
      </c>
      <c r="J711" s="50">
        <v>0</v>
      </c>
      <c r="K711" s="50">
        <v>49630</v>
      </c>
      <c r="L711" s="50"/>
      <c r="M711" s="50">
        <v>49630</v>
      </c>
      <c r="N711" s="50"/>
      <c r="O711" s="50">
        <v>300370</v>
      </c>
      <c r="P711" s="50"/>
      <c r="Q711" s="50">
        <v>300370</v>
      </c>
    </row>
    <row r="712" spans="1:17" x14ac:dyDescent="0.25">
      <c r="A712" s="49" t="s">
        <v>717</v>
      </c>
      <c r="B712" s="49" t="s">
        <v>532</v>
      </c>
      <c r="C712" s="49" t="s">
        <v>718</v>
      </c>
      <c r="D712" s="49" t="s">
        <v>69</v>
      </c>
      <c r="E712" s="50">
        <v>1336000</v>
      </c>
      <c r="F712" s="50">
        <v>209050</v>
      </c>
      <c r="G712" s="50">
        <v>209050</v>
      </c>
      <c r="H712" s="50">
        <v>0</v>
      </c>
      <c r="I712" s="50">
        <v>0</v>
      </c>
      <c r="J712" s="50">
        <v>0</v>
      </c>
      <c r="K712" s="50">
        <v>209050</v>
      </c>
      <c r="L712" s="50"/>
      <c r="M712" s="50">
        <v>209050</v>
      </c>
      <c r="N712" s="50"/>
      <c r="O712" s="50">
        <v>0</v>
      </c>
      <c r="P712" s="50"/>
      <c r="Q712" s="50">
        <v>0</v>
      </c>
    </row>
    <row r="713" spans="1:17" x14ac:dyDescent="0.25">
      <c r="A713" s="49" t="s">
        <v>717</v>
      </c>
      <c r="B713" s="49" t="s">
        <v>128</v>
      </c>
      <c r="C713" s="49" t="s">
        <v>129</v>
      </c>
      <c r="D713" s="49" t="s">
        <v>69</v>
      </c>
      <c r="E713" s="50">
        <v>2500000</v>
      </c>
      <c r="F713" s="50">
        <v>1000000</v>
      </c>
      <c r="G713" s="50">
        <v>1000000</v>
      </c>
      <c r="H713" s="50">
        <v>0</v>
      </c>
      <c r="I713" s="50">
        <v>0</v>
      </c>
      <c r="J713" s="50">
        <v>0</v>
      </c>
      <c r="K713" s="50">
        <v>936831.8</v>
      </c>
      <c r="L713" s="50"/>
      <c r="M713" s="50">
        <v>936831.8</v>
      </c>
      <c r="N713" s="50"/>
      <c r="O713" s="50">
        <v>63168.2</v>
      </c>
      <c r="P713" s="50"/>
      <c r="Q713" s="50">
        <v>63168.2</v>
      </c>
    </row>
    <row r="714" spans="1:17" x14ac:dyDescent="0.25">
      <c r="A714" s="49" t="s">
        <v>717</v>
      </c>
      <c r="B714" s="49" t="s">
        <v>134</v>
      </c>
      <c r="C714" s="49" t="s">
        <v>135</v>
      </c>
      <c r="D714" s="49" t="s">
        <v>69</v>
      </c>
      <c r="E714" s="50">
        <v>3625200</v>
      </c>
      <c r="F714" s="50">
        <v>75000</v>
      </c>
      <c r="G714" s="50">
        <v>75000</v>
      </c>
      <c r="H714" s="50">
        <v>0</v>
      </c>
      <c r="I714" s="50">
        <v>0</v>
      </c>
      <c r="J714" s="50">
        <v>0</v>
      </c>
      <c r="K714" s="50">
        <v>58274.1</v>
      </c>
      <c r="L714" s="50"/>
      <c r="M714" s="50">
        <v>58274.1</v>
      </c>
      <c r="N714" s="50"/>
      <c r="O714" s="50">
        <v>16725.900000000001</v>
      </c>
      <c r="P714" s="50"/>
      <c r="Q714" s="50">
        <v>16725.900000000001</v>
      </c>
    </row>
    <row r="715" spans="1:17" x14ac:dyDescent="0.25">
      <c r="A715" s="49" t="s">
        <v>717</v>
      </c>
      <c r="B715" s="49" t="s">
        <v>138</v>
      </c>
      <c r="C715" s="49" t="s">
        <v>139</v>
      </c>
      <c r="D715" s="49" t="s">
        <v>69</v>
      </c>
      <c r="E715" s="50">
        <v>3625200</v>
      </c>
      <c r="F715" s="50">
        <v>75000</v>
      </c>
      <c r="G715" s="50">
        <v>75000</v>
      </c>
      <c r="H715" s="50">
        <v>0</v>
      </c>
      <c r="I715" s="50">
        <v>0</v>
      </c>
      <c r="J715" s="50">
        <v>0</v>
      </c>
      <c r="K715" s="50">
        <v>58274.1</v>
      </c>
      <c r="L715" s="50"/>
      <c r="M715" s="50">
        <v>58274.1</v>
      </c>
      <c r="N715" s="50"/>
      <c r="O715" s="50">
        <v>16725.900000000001</v>
      </c>
      <c r="P715" s="50"/>
      <c r="Q715" s="50">
        <v>16725.900000000001</v>
      </c>
    </row>
    <row r="716" spans="1:17" x14ac:dyDescent="0.25">
      <c r="A716" s="49" t="s">
        <v>717</v>
      </c>
      <c r="B716" s="49" t="s">
        <v>140</v>
      </c>
      <c r="C716" s="49" t="s">
        <v>141</v>
      </c>
      <c r="D716" s="49" t="s">
        <v>69</v>
      </c>
      <c r="E716" s="50">
        <v>18004720</v>
      </c>
      <c r="F716" s="50">
        <v>9119755</v>
      </c>
      <c r="G716" s="50">
        <v>9119755</v>
      </c>
      <c r="H716" s="50">
        <v>0</v>
      </c>
      <c r="I716" s="50">
        <v>144470</v>
      </c>
      <c r="J716" s="50">
        <v>0</v>
      </c>
      <c r="K716" s="50">
        <v>5076130</v>
      </c>
      <c r="L716" s="50"/>
      <c r="M716" s="50">
        <v>5076130</v>
      </c>
      <c r="N716" s="50"/>
      <c r="O716" s="50">
        <v>3899155</v>
      </c>
      <c r="P716" s="50"/>
      <c r="Q716" s="50">
        <v>3899155</v>
      </c>
    </row>
    <row r="717" spans="1:17" x14ac:dyDescent="0.25">
      <c r="A717" s="49" t="s">
        <v>717</v>
      </c>
      <c r="B717" s="49" t="s">
        <v>142</v>
      </c>
      <c r="C717" s="49" t="s">
        <v>143</v>
      </c>
      <c r="D717" s="49" t="s">
        <v>69</v>
      </c>
      <c r="E717" s="50">
        <v>1560220</v>
      </c>
      <c r="F717" s="50">
        <v>394680</v>
      </c>
      <c r="G717" s="50">
        <v>394680</v>
      </c>
      <c r="H717" s="50">
        <v>0</v>
      </c>
      <c r="I717" s="50">
        <v>10070</v>
      </c>
      <c r="J717" s="50">
        <v>0</v>
      </c>
      <c r="K717" s="50">
        <v>200030</v>
      </c>
      <c r="L717" s="50"/>
      <c r="M717" s="50">
        <v>200030</v>
      </c>
      <c r="N717" s="50"/>
      <c r="O717" s="50">
        <v>184580</v>
      </c>
      <c r="P717" s="50"/>
      <c r="Q717" s="50">
        <v>184580</v>
      </c>
    </row>
    <row r="718" spans="1:17" x14ac:dyDescent="0.25">
      <c r="A718" s="49" t="s">
        <v>717</v>
      </c>
      <c r="B718" s="49" t="s">
        <v>144</v>
      </c>
      <c r="C718" s="49" t="s">
        <v>145</v>
      </c>
      <c r="D718" s="49" t="s">
        <v>69</v>
      </c>
      <c r="E718" s="50">
        <v>16444500</v>
      </c>
      <c r="F718" s="50">
        <v>8725075</v>
      </c>
      <c r="G718" s="50">
        <v>8725075</v>
      </c>
      <c r="H718" s="50">
        <v>0</v>
      </c>
      <c r="I718" s="50">
        <v>134400</v>
      </c>
      <c r="J718" s="50">
        <v>0</v>
      </c>
      <c r="K718" s="50">
        <v>4876100</v>
      </c>
      <c r="L718" s="50"/>
      <c r="M718" s="50">
        <v>4876100</v>
      </c>
      <c r="N718" s="50"/>
      <c r="O718" s="50">
        <v>3714575</v>
      </c>
      <c r="P718" s="50"/>
      <c r="Q718" s="50">
        <v>3714575</v>
      </c>
    </row>
    <row r="719" spans="1:17" x14ac:dyDescent="0.25">
      <c r="A719" s="49" t="s">
        <v>717</v>
      </c>
      <c r="B719" s="49" t="s">
        <v>150</v>
      </c>
      <c r="C719" s="49" t="s">
        <v>151</v>
      </c>
      <c r="D719" s="49" t="s">
        <v>69</v>
      </c>
      <c r="E719" s="50">
        <v>6000000</v>
      </c>
      <c r="F719" s="50">
        <v>5900000</v>
      </c>
      <c r="G719" s="50">
        <v>5900000</v>
      </c>
      <c r="H719" s="50">
        <v>0</v>
      </c>
      <c r="I719" s="50">
        <v>380000</v>
      </c>
      <c r="J719" s="50">
        <v>0</v>
      </c>
      <c r="K719" s="50">
        <v>4707214</v>
      </c>
      <c r="L719" s="50"/>
      <c r="M719" s="50">
        <v>4707214</v>
      </c>
      <c r="N719" s="50"/>
      <c r="O719" s="50">
        <v>812786</v>
      </c>
      <c r="P719" s="50"/>
      <c r="Q719" s="50">
        <v>812786</v>
      </c>
    </row>
    <row r="720" spans="1:17" x14ac:dyDescent="0.25">
      <c r="A720" s="49" t="s">
        <v>717</v>
      </c>
      <c r="B720" s="49" t="s">
        <v>152</v>
      </c>
      <c r="C720" s="49" t="s">
        <v>153</v>
      </c>
      <c r="D720" s="49" t="s">
        <v>69</v>
      </c>
      <c r="E720" s="50">
        <v>6000000</v>
      </c>
      <c r="F720" s="50">
        <v>5900000</v>
      </c>
      <c r="G720" s="50">
        <v>5900000</v>
      </c>
      <c r="H720" s="50">
        <v>0</v>
      </c>
      <c r="I720" s="50">
        <v>380000</v>
      </c>
      <c r="J720" s="50">
        <v>0</v>
      </c>
      <c r="K720" s="50">
        <v>4707214</v>
      </c>
      <c r="L720" s="50"/>
      <c r="M720" s="50">
        <v>4707214</v>
      </c>
      <c r="N720" s="50"/>
      <c r="O720" s="50">
        <v>812786</v>
      </c>
      <c r="P720" s="50"/>
      <c r="Q720" s="50">
        <v>812786</v>
      </c>
    </row>
    <row r="721" spans="1:17" x14ac:dyDescent="0.25">
      <c r="A721" s="49" t="s">
        <v>717</v>
      </c>
      <c r="B721" s="49" t="s">
        <v>154</v>
      </c>
      <c r="C721" s="49" t="s">
        <v>155</v>
      </c>
      <c r="D721" s="49" t="s">
        <v>69</v>
      </c>
      <c r="E721" s="50">
        <v>27190000</v>
      </c>
      <c r="F721" s="50">
        <v>3418859</v>
      </c>
      <c r="G721" s="50">
        <v>3418859</v>
      </c>
      <c r="H721" s="50">
        <v>0</v>
      </c>
      <c r="I721" s="50">
        <v>0</v>
      </c>
      <c r="J721" s="50">
        <v>0</v>
      </c>
      <c r="K721" s="50">
        <v>350300</v>
      </c>
      <c r="L721" s="50"/>
      <c r="M721" s="50">
        <v>350300</v>
      </c>
      <c r="N721" s="50"/>
      <c r="O721" s="50">
        <v>3068559</v>
      </c>
      <c r="P721" s="50"/>
      <c r="Q721" s="50">
        <v>3068559</v>
      </c>
    </row>
    <row r="722" spans="1:17" x14ac:dyDescent="0.25">
      <c r="A722" s="49" t="s">
        <v>717</v>
      </c>
      <c r="B722" s="49" t="s">
        <v>156</v>
      </c>
      <c r="C722" s="49" t="s">
        <v>157</v>
      </c>
      <c r="D722" s="49" t="s">
        <v>69</v>
      </c>
      <c r="E722" s="50">
        <v>27190000</v>
      </c>
      <c r="F722" s="50">
        <v>3418859</v>
      </c>
      <c r="G722" s="50">
        <v>3418859</v>
      </c>
      <c r="H722" s="50">
        <v>0</v>
      </c>
      <c r="I722" s="50">
        <v>0</v>
      </c>
      <c r="J722" s="50">
        <v>0</v>
      </c>
      <c r="K722" s="50">
        <v>350300</v>
      </c>
      <c r="L722" s="50"/>
      <c r="M722" s="50">
        <v>350300</v>
      </c>
      <c r="N722" s="50"/>
      <c r="O722" s="50">
        <v>3068559</v>
      </c>
      <c r="P722" s="50"/>
      <c r="Q722" s="50">
        <v>3068559</v>
      </c>
    </row>
    <row r="723" spans="1:17" x14ac:dyDescent="0.25">
      <c r="A723" s="49" t="s">
        <v>717</v>
      </c>
      <c r="B723" s="49" t="s">
        <v>162</v>
      </c>
      <c r="C723" s="49" t="s">
        <v>163</v>
      </c>
      <c r="D723" s="49" t="s">
        <v>69</v>
      </c>
      <c r="E723" s="50">
        <v>9500000</v>
      </c>
      <c r="F723" s="50">
        <v>7000000</v>
      </c>
      <c r="G723" s="50">
        <v>7000000</v>
      </c>
      <c r="H723" s="50">
        <v>0</v>
      </c>
      <c r="I723" s="50">
        <v>421767.91</v>
      </c>
      <c r="J723" s="50">
        <v>0</v>
      </c>
      <c r="K723" s="50">
        <v>5649234.9900000002</v>
      </c>
      <c r="L723" s="50"/>
      <c r="M723" s="50">
        <v>3214513.64</v>
      </c>
      <c r="N723" s="50"/>
      <c r="O723" s="50">
        <v>928997.1</v>
      </c>
      <c r="P723" s="50"/>
      <c r="Q723" s="50">
        <v>928997.1</v>
      </c>
    </row>
    <row r="724" spans="1:17" x14ac:dyDescent="0.25">
      <c r="A724" s="49" t="s">
        <v>717</v>
      </c>
      <c r="B724" s="49" t="s">
        <v>166</v>
      </c>
      <c r="C724" s="49" t="s">
        <v>167</v>
      </c>
      <c r="D724" s="49" t="s">
        <v>69</v>
      </c>
      <c r="E724" s="50">
        <v>4500000</v>
      </c>
      <c r="F724" s="50">
        <v>2000000</v>
      </c>
      <c r="G724" s="50">
        <v>2000000</v>
      </c>
      <c r="H724" s="50">
        <v>0</v>
      </c>
      <c r="I724" s="50">
        <v>70767.91</v>
      </c>
      <c r="J724" s="50">
        <v>0</v>
      </c>
      <c r="K724" s="50">
        <v>1891867.69</v>
      </c>
      <c r="L724" s="50"/>
      <c r="M724" s="50">
        <v>1161104.6000000001</v>
      </c>
      <c r="N724" s="50"/>
      <c r="O724" s="50">
        <v>37364.400000000001</v>
      </c>
      <c r="P724" s="50"/>
      <c r="Q724" s="50">
        <v>37364.400000000001</v>
      </c>
    </row>
    <row r="725" spans="1:17" x14ac:dyDescent="0.25">
      <c r="A725" s="49" t="s">
        <v>717</v>
      </c>
      <c r="B725" s="49" t="s">
        <v>170</v>
      </c>
      <c r="C725" s="49" t="s">
        <v>171</v>
      </c>
      <c r="D725" s="49" t="s">
        <v>69</v>
      </c>
      <c r="E725" s="50">
        <v>5000000</v>
      </c>
      <c r="F725" s="50">
        <v>5000000</v>
      </c>
      <c r="G725" s="50">
        <v>5000000</v>
      </c>
      <c r="H725" s="50">
        <v>0</v>
      </c>
      <c r="I725" s="50">
        <v>351000</v>
      </c>
      <c r="J725" s="50">
        <v>0</v>
      </c>
      <c r="K725" s="50">
        <v>3757367.3</v>
      </c>
      <c r="L725" s="50"/>
      <c r="M725" s="50">
        <v>2053409.04</v>
      </c>
      <c r="N725" s="50"/>
      <c r="O725" s="50">
        <v>891632.7</v>
      </c>
      <c r="P725" s="50"/>
      <c r="Q725" s="50">
        <v>891632.7</v>
      </c>
    </row>
    <row r="726" spans="1:17" x14ac:dyDescent="0.25">
      <c r="A726" s="49" t="s">
        <v>717</v>
      </c>
      <c r="B726" s="49" t="s">
        <v>174</v>
      </c>
      <c r="C726" s="49" t="s">
        <v>175</v>
      </c>
      <c r="D726" s="49" t="s">
        <v>69</v>
      </c>
      <c r="E726" s="50">
        <v>500000</v>
      </c>
      <c r="F726" s="50">
        <v>380000</v>
      </c>
      <c r="G726" s="50">
        <v>380000</v>
      </c>
      <c r="H726" s="50">
        <v>0</v>
      </c>
      <c r="I726" s="50">
        <v>14136</v>
      </c>
      <c r="J726" s="50">
        <v>0</v>
      </c>
      <c r="K726" s="50">
        <v>315864</v>
      </c>
      <c r="L726" s="50"/>
      <c r="M726" s="50">
        <v>46085</v>
      </c>
      <c r="N726" s="50"/>
      <c r="O726" s="50">
        <v>50000</v>
      </c>
      <c r="P726" s="50"/>
      <c r="Q726" s="50">
        <v>50000</v>
      </c>
    </row>
    <row r="727" spans="1:17" x14ac:dyDescent="0.25">
      <c r="A727" s="49" t="s">
        <v>717</v>
      </c>
      <c r="B727" s="49" t="s">
        <v>176</v>
      </c>
      <c r="C727" s="49" t="s">
        <v>177</v>
      </c>
      <c r="D727" s="49" t="s">
        <v>69</v>
      </c>
      <c r="E727" s="50">
        <v>500000</v>
      </c>
      <c r="F727" s="50">
        <v>380000</v>
      </c>
      <c r="G727" s="50">
        <v>380000</v>
      </c>
      <c r="H727" s="50">
        <v>0</v>
      </c>
      <c r="I727" s="50">
        <v>14136</v>
      </c>
      <c r="J727" s="50">
        <v>0</v>
      </c>
      <c r="K727" s="50">
        <v>315864</v>
      </c>
      <c r="L727" s="50"/>
      <c r="M727" s="50">
        <v>46085</v>
      </c>
      <c r="N727" s="50"/>
      <c r="O727" s="50">
        <v>50000</v>
      </c>
      <c r="P727" s="50"/>
      <c r="Q727" s="50">
        <v>50000</v>
      </c>
    </row>
    <row r="728" spans="1:17" x14ac:dyDescent="0.25">
      <c r="A728" s="49" t="s">
        <v>717</v>
      </c>
      <c r="B728" s="49" t="s">
        <v>178</v>
      </c>
      <c r="C728" s="49" t="s">
        <v>179</v>
      </c>
      <c r="D728" s="49" t="s">
        <v>69</v>
      </c>
      <c r="E728" s="50">
        <v>1500000</v>
      </c>
      <c r="F728" s="50">
        <v>1000000</v>
      </c>
      <c r="G728" s="50">
        <v>1000000</v>
      </c>
      <c r="H728" s="50">
        <v>0</v>
      </c>
      <c r="I728" s="50">
        <v>200000</v>
      </c>
      <c r="J728" s="50">
        <v>0</v>
      </c>
      <c r="K728" s="50">
        <v>200000</v>
      </c>
      <c r="L728" s="50"/>
      <c r="M728" s="50">
        <v>200000</v>
      </c>
      <c r="N728" s="50"/>
      <c r="O728" s="50">
        <v>600000</v>
      </c>
      <c r="P728" s="50"/>
      <c r="Q728" s="50">
        <v>600000</v>
      </c>
    </row>
    <row r="729" spans="1:17" x14ac:dyDescent="0.25">
      <c r="A729" s="49" t="s">
        <v>717</v>
      </c>
      <c r="B729" s="49" t="s">
        <v>182</v>
      </c>
      <c r="C729" s="49" t="s">
        <v>183</v>
      </c>
      <c r="D729" s="49" t="s">
        <v>69</v>
      </c>
      <c r="E729" s="50">
        <v>1500000</v>
      </c>
      <c r="F729" s="50">
        <v>1000000</v>
      </c>
      <c r="G729" s="50">
        <v>1000000</v>
      </c>
      <c r="H729" s="50">
        <v>0</v>
      </c>
      <c r="I729" s="50">
        <v>200000</v>
      </c>
      <c r="J729" s="50">
        <v>0</v>
      </c>
      <c r="K729" s="50">
        <v>200000</v>
      </c>
      <c r="L729" s="50"/>
      <c r="M729" s="50">
        <v>200000</v>
      </c>
      <c r="N729" s="50"/>
      <c r="O729" s="50">
        <v>600000</v>
      </c>
      <c r="P729" s="50"/>
      <c r="Q729" s="50">
        <v>600000</v>
      </c>
    </row>
    <row r="730" spans="1:17" x14ac:dyDescent="0.25">
      <c r="A730" s="49" t="s">
        <v>717</v>
      </c>
      <c r="B730" s="49" t="s">
        <v>184</v>
      </c>
      <c r="C730" s="49" t="s">
        <v>185</v>
      </c>
      <c r="D730" s="49" t="s">
        <v>69</v>
      </c>
      <c r="E730" s="50">
        <v>52884335</v>
      </c>
      <c r="F730" s="50">
        <v>30715753</v>
      </c>
      <c r="G730" s="50">
        <v>30715753</v>
      </c>
      <c r="H730" s="50">
        <v>0</v>
      </c>
      <c r="I730" s="50">
        <v>2277512</v>
      </c>
      <c r="J730" s="50">
        <v>0</v>
      </c>
      <c r="K730" s="50">
        <v>23736882.530000001</v>
      </c>
      <c r="L730" s="50"/>
      <c r="M730" s="50">
        <v>21056914.309999999</v>
      </c>
      <c r="N730" s="50"/>
      <c r="O730" s="50">
        <v>4701358.47</v>
      </c>
      <c r="P730" s="50"/>
      <c r="Q730" s="50">
        <v>4701358.47</v>
      </c>
    </row>
    <row r="731" spans="1:17" x14ac:dyDescent="0.25">
      <c r="A731" s="49" t="s">
        <v>717</v>
      </c>
      <c r="B731" s="49" t="s">
        <v>186</v>
      </c>
      <c r="C731" s="49" t="s">
        <v>187</v>
      </c>
      <c r="D731" s="49" t="s">
        <v>69</v>
      </c>
      <c r="E731" s="50">
        <v>21308004</v>
      </c>
      <c r="F731" s="50">
        <v>10787684</v>
      </c>
      <c r="G731" s="50">
        <v>10787684</v>
      </c>
      <c r="H731" s="50">
        <v>0</v>
      </c>
      <c r="I731" s="50">
        <v>1901610</v>
      </c>
      <c r="J731" s="50">
        <v>0</v>
      </c>
      <c r="K731" s="50">
        <v>5546367.2300000004</v>
      </c>
      <c r="L731" s="50"/>
      <c r="M731" s="50">
        <v>5546367.2300000004</v>
      </c>
      <c r="N731" s="50"/>
      <c r="O731" s="50">
        <v>3339706.77</v>
      </c>
      <c r="P731" s="50"/>
      <c r="Q731" s="50">
        <v>3339706.77</v>
      </c>
    </row>
    <row r="732" spans="1:17" x14ac:dyDescent="0.25">
      <c r="A732" s="49" t="s">
        <v>717</v>
      </c>
      <c r="B732" s="49" t="s">
        <v>188</v>
      </c>
      <c r="C732" s="49" t="s">
        <v>189</v>
      </c>
      <c r="D732" s="49" t="s">
        <v>69</v>
      </c>
      <c r="E732" s="50">
        <v>9500000</v>
      </c>
      <c r="F732" s="50">
        <v>5710000</v>
      </c>
      <c r="G732" s="50">
        <v>5710000</v>
      </c>
      <c r="H732" s="50">
        <v>0</v>
      </c>
      <c r="I732" s="50">
        <v>400000</v>
      </c>
      <c r="J732" s="50">
        <v>0</v>
      </c>
      <c r="K732" s="50">
        <v>2235606.17</v>
      </c>
      <c r="L732" s="50"/>
      <c r="M732" s="50">
        <v>2235606.17</v>
      </c>
      <c r="N732" s="50"/>
      <c r="O732" s="50">
        <v>3074393.83</v>
      </c>
      <c r="P732" s="50"/>
      <c r="Q732" s="50">
        <v>3074393.83</v>
      </c>
    </row>
    <row r="733" spans="1:17" x14ac:dyDescent="0.25">
      <c r="A733" s="49" t="s">
        <v>717</v>
      </c>
      <c r="B733" s="49" t="s">
        <v>192</v>
      </c>
      <c r="C733" s="49" t="s">
        <v>193</v>
      </c>
      <c r="D733" s="49" t="s">
        <v>69</v>
      </c>
      <c r="E733" s="50">
        <v>11808004</v>
      </c>
      <c r="F733" s="50">
        <v>5077684</v>
      </c>
      <c r="G733" s="50">
        <v>5077684</v>
      </c>
      <c r="H733" s="50">
        <v>0</v>
      </c>
      <c r="I733" s="50">
        <v>1501610</v>
      </c>
      <c r="J733" s="50">
        <v>0</v>
      </c>
      <c r="K733" s="50">
        <v>3310761.06</v>
      </c>
      <c r="L733" s="50"/>
      <c r="M733" s="50">
        <v>3310761.06</v>
      </c>
      <c r="N733" s="50"/>
      <c r="O733" s="50">
        <v>265312.94</v>
      </c>
      <c r="P733" s="50"/>
      <c r="Q733" s="50">
        <v>265312.94</v>
      </c>
    </row>
    <row r="734" spans="1:17" x14ac:dyDescent="0.25">
      <c r="A734" s="49" t="s">
        <v>717</v>
      </c>
      <c r="B734" s="49" t="s">
        <v>196</v>
      </c>
      <c r="C734" s="49" t="s">
        <v>197</v>
      </c>
      <c r="D734" s="49" t="s">
        <v>69</v>
      </c>
      <c r="E734" s="50">
        <v>7008325</v>
      </c>
      <c r="F734" s="50">
        <v>6008325</v>
      </c>
      <c r="G734" s="50">
        <v>6008325</v>
      </c>
      <c r="H734" s="50">
        <v>0</v>
      </c>
      <c r="I734" s="50">
        <v>54093</v>
      </c>
      <c r="J734" s="50">
        <v>0</v>
      </c>
      <c r="K734" s="50">
        <v>5885091</v>
      </c>
      <c r="L734" s="50"/>
      <c r="M734" s="50">
        <v>5885091</v>
      </c>
      <c r="N734" s="50"/>
      <c r="O734" s="50">
        <v>69141</v>
      </c>
      <c r="P734" s="50"/>
      <c r="Q734" s="50">
        <v>69141</v>
      </c>
    </row>
    <row r="735" spans="1:17" x14ac:dyDescent="0.25">
      <c r="A735" s="49" t="s">
        <v>717</v>
      </c>
      <c r="B735" s="49" t="s">
        <v>198</v>
      </c>
      <c r="C735" s="49" t="s">
        <v>199</v>
      </c>
      <c r="D735" s="49" t="s">
        <v>69</v>
      </c>
      <c r="E735" s="50">
        <v>7008325</v>
      </c>
      <c r="F735" s="50">
        <v>6008325</v>
      </c>
      <c r="G735" s="50">
        <v>6008325</v>
      </c>
      <c r="H735" s="50">
        <v>0</v>
      </c>
      <c r="I735" s="50">
        <v>54093</v>
      </c>
      <c r="J735" s="50">
        <v>0</v>
      </c>
      <c r="K735" s="50">
        <v>5885091</v>
      </c>
      <c r="L735" s="50"/>
      <c r="M735" s="50">
        <v>5885091</v>
      </c>
      <c r="N735" s="50"/>
      <c r="O735" s="50">
        <v>69141</v>
      </c>
      <c r="P735" s="50"/>
      <c r="Q735" s="50">
        <v>69141</v>
      </c>
    </row>
    <row r="736" spans="1:17" x14ac:dyDescent="0.25">
      <c r="A736" s="49" t="s">
        <v>717</v>
      </c>
      <c r="B736" s="49" t="s">
        <v>200</v>
      </c>
      <c r="C736" s="49" t="s">
        <v>201</v>
      </c>
      <c r="D736" s="49" t="s">
        <v>69</v>
      </c>
      <c r="E736" s="50">
        <v>900000</v>
      </c>
      <c r="F736" s="50">
        <v>152954</v>
      </c>
      <c r="G736" s="50">
        <v>152954</v>
      </c>
      <c r="H736" s="50">
        <v>0</v>
      </c>
      <c r="I736" s="50">
        <v>10090.27</v>
      </c>
      <c r="J736" s="50">
        <v>0</v>
      </c>
      <c r="K736" s="50">
        <v>81840.02</v>
      </c>
      <c r="L736" s="50"/>
      <c r="M736" s="50">
        <v>81840.02</v>
      </c>
      <c r="N736" s="50"/>
      <c r="O736" s="50">
        <v>61023.71</v>
      </c>
      <c r="P736" s="50"/>
      <c r="Q736" s="50">
        <v>61023.71</v>
      </c>
    </row>
    <row r="737" spans="1:17" x14ac:dyDescent="0.25">
      <c r="A737" s="49" t="s">
        <v>717</v>
      </c>
      <c r="B737" s="49" t="s">
        <v>316</v>
      </c>
      <c r="C737" s="49" t="s">
        <v>317</v>
      </c>
      <c r="D737" s="49" t="s">
        <v>69</v>
      </c>
      <c r="E737" s="50">
        <v>420000</v>
      </c>
      <c r="F737" s="50">
        <v>20000</v>
      </c>
      <c r="G737" s="50">
        <v>20000</v>
      </c>
      <c r="H737" s="50">
        <v>0</v>
      </c>
      <c r="I737" s="50">
        <v>0</v>
      </c>
      <c r="J737" s="50">
        <v>0</v>
      </c>
      <c r="K737" s="50">
        <v>0</v>
      </c>
      <c r="L737" s="50"/>
      <c r="M737" s="50">
        <v>0</v>
      </c>
      <c r="N737" s="50"/>
      <c r="O737" s="50">
        <v>20000</v>
      </c>
      <c r="P737" s="50"/>
      <c r="Q737" s="50">
        <v>20000</v>
      </c>
    </row>
    <row r="738" spans="1:17" x14ac:dyDescent="0.25">
      <c r="A738" s="49" t="s">
        <v>717</v>
      </c>
      <c r="B738" s="49" t="s">
        <v>202</v>
      </c>
      <c r="C738" s="49" t="s">
        <v>203</v>
      </c>
      <c r="D738" s="49" t="s">
        <v>69</v>
      </c>
      <c r="E738" s="50">
        <v>480000</v>
      </c>
      <c r="F738" s="50">
        <v>132954</v>
      </c>
      <c r="G738" s="50">
        <v>132954</v>
      </c>
      <c r="H738" s="50">
        <v>0</v>
      </c>
      <c r="I738" s="50">
        <v>10090.27</v>
      </c>
      <c r="J738" s="50">
        <v>0</v>
      </c>
      <c r="K738" s="50">
        <v>81840.02</v>
      </c>
      <c r="L738" s="50"/>
      <c r="M738" s="50">
        <v>81840.02</v>
      </c>
      <c r="N738" s="50"/>
      <c r="O738" s="50">
        <v>41023.71</v>
      </c>
      <c r="P738" s="50"/>
      <c r="Q738" s="50">
        <v>41023.71</v>
      </c>
    </row>
    <row r="739" spans="1:17" x14ac:dyDescent="0.25">
      <c r="A739" s="49" t="s">
        <v>717</v>
      </c>
      <c r="B739" s="49" t="s">
        <v>206</v>
      </c>
      <c r="C739" s="49" t="s">
        <v>207</v>
      </c>
      <c r="D739" s="49" t="s">
        <v>69</v>
      </c>
      <c r="E739" s="50">
        <v>3052196</v>
      </c>
      <c r="F739" s="50">
        <v>0</v>
      </c>
      <c r="G739" s="50">
        <v>0</v>
      </c>
      <c r="H739" s="50">
        <v>0</v>
      </c>
      <c r="I739" s="50">
        <v>0</v>
      </c>
      <c r="J739" s="50">
        <v>0</v>
      </c>
      <c r="K739" s="50">
        <v>0</v>
      </c>
      <c r="L739" s="50"/>
      <c r="M739" s="50">
        <v>0</v>
      </c>
      <c r="N739" s="50"/>
      <c r="O739" s="50">
        <v>0</v>
      </c>
      <c r="P739" s="50"/>
      <c r="Q739" s="50">
        <v>0</v>
      </c>
    </row>
    <row r="740" spans="1:17" x14ac:dyDescent="0.25">
      <c r="A740" s="49" t="s">
        <v>717</v>
      </c>
      <c r="B740" s="49" t="s">
        <v>208</v>
      </c>
      <c r="C740" s="49" t="s">
        <v>209</v>
      </c>
      <c r="D740" s="49" t="s">
        <v>69</v>
      </c>
      <c r="E740" s="50">
        <v>885321</v>
      </c>
      <c r="F740" s="50">
        <v>0</v>
      </c>
      <c r="G740" s="50">
        <v>0</v>
      </c>
      <c r="H740" s="50">
        <v>0</v>
      </c>
      <c r="I740" s="50">
        <v>0</v>
      </c>
      <c r="J740" s="50">
        <v>0</v>
      </c>
      <c r="K740" s="50">
        <v>0</v>
      </c>
      <c r="L740" s="50"/>
      <c r="M740" s="50">
        <v>0</v>
      </c>
      <c r="N740" s="50"/>
      <c r="O740" s="50">
        <v>0</v>
      </c>
      <c r="P740" s="50"/>
      <c r="Q740" s="50">
        <v>0</v>
      </c>
    </row>
    <row r="741" spans="1:17" x14ac:dyDescent="0.25">
      <c r="A741" s="49" t="s">
        <v>717</v>
      </c>
      <c r="B741" s="49" t="s">
        <v>210</v>
      </c>
      <c r="C741" s="49" t="s">
        <v>211</v>
      </c>
      <c r="D741" s="49" t="s">
        <v>69</v>
      </c>
      <c r="E741" s="50">
        <v>2166875</v>
      </c>
      <c r="F741" s="50">
        <v>0</v>
      </c>
      <c r="G741" s="50">
        <v>0</v>
      </c>
      <c r="H741" s="50">
        <v>0</v>
      </c>
      <c r="I741" s="50">
        <v>0</v>
      </c>
      <c r="J741" s="50">
        <v>0</v>
      </c>
      <c r="K741" s="50">
        <v>0</v>
      </c>
      <c r="L741" s="50"/>
      <c r="M741" s="50">
        <v>0</v>
      </c>
      <c r="N741" s="50"/>
      <c r="O741" s="50">
        <v>0</v>
      </c>
      <c r="P741" s="50"/>
      <c r="Q741" s="50">
        <v>0</v>
      </c>
    </row>
    <row r="742" spans="1:17" x14ac:dyDescent="0.25">
      <c r="A742" s="49" t="s">
        <v>717</v>
      </c>
      <c r="B742" s="49" t="s">
        <v>212</v>
      </c>
      <c r="C742" s="49" t="s">
        <v>213</v>
      </c>
      <c r="D742" s="49" t="s">
        <v>69</v>
      </c>
      <c r="E742" s="50">
        <v>20615810</v>
      </c>
      <c r="F742" s="50">
        <v>13766790</v>
      </c>
      <c r="G742" s="50">
        <v>13766790</v>
      </c>
      <c r="H742" s="50">
        <v>0</v>
      </c>
      <c r="I742" s="50">
        <v>311718.73</v>
      </c>
      <c r="J742" s="50">
        <v>0</v>
      </c>
      <c r="K742" s="50">
        <v>12223584.279999999</v>
      </c>
      <c r="L742" s="50"/>
      <c r="M742" s="50">
        <v>9543616.0600000005</v>
      </c>
      <c r="N742" s="50"/>
      <c r="O742" s="50">
        <v>1231486.99</v>
      </c>
      <c r="P742" s="50"/>
      <c r="Q742" s="50">
        <v>1231486.99</v>
      </c>
    </row>
    <row r="743" spans="1:17" x14ac:dyDescent="0.25">
      <c r="A743" s="49" t="s">
        <v>717</v>
      </c>
      <c r="B743" s="49" t="s">
        <v>214</v>
      </c>
      <c r="C743" s="49" t="s">
        <v>215</v>
      </c>
      <c r="D743" s="49" t="s">
        <v>69</v>
      </c>
      <c r="E743" s="50">
        <v>8014742</v>
      </c>
      <c r="F743" s="50">
        <v>5474742</v>
      </c>
      <c r="G743" s="50">
        <v>5474742</v>
      </c>
      <c r="H743" s="50">
        <v>0</v>
      </c>
      <c r="I743" s="50">
        <v>196931.53</v>
      </c>
      <c r="J743" s="50">
        <v>0</v>
      </c>
      <c r="K743" s="50">
        <v>5152109.91</v>
      </c>
      <c r="L743" s="50"/>
      <c r="M743" s="50">
        <v>4316813.91</v>
      </c>
      <c r="N743" s="50"/>
      <c r="O743" s="50">
        <v>125700.56</v>
      </c>
      <c r="P743" s="50"/>
      <c r="Q743" s="50">
        <v>125700.56</v>
      </c>
    </row>
    <row r="744" spans="1:17" x14ac:dyDescent="0.25">
      <c r="A744" s="49" t="s">
        <v>717</v>
      </c>
      <c r="B744" s="49" t="s">
        <v>218</v>
      </c>
      <c r="C744" s="49" t="s">
        <v>219</v>
      </c>
      <c r="D744" s="49" t="s">
        <v>69</v>
      </c>
      <c r="E744" s="50">
        <v>5268045</v>
      </c>
      <c r="F744" s="50">
        <v>3698045</v>
      </c>
      <c r="G744" s="50">
        <v>3698045</v>
      </c>
      <c r="H744" s="50">
        <v>0</v>
      </c>
      <c r="I744" s="50">
        <v>76086.7</v>
      </c>
      <c r="J744" s="50">
        <v>0</v>
      </c>
      <c r="K744" s="50">
        <v>3545521.12</v>
      </c>
      <c r="L744" s="50"/>
      <c r="M744" s="50">
        <v>2164600.9</v>
      </c>
      <c r="N744" s="50"/>
      <c r="O744" s="50">
        <v>76437.179999999993</v>
      </c>
      <c r="P744" s="50"/>
      <c r="Q744" s="50">
        <v>76437.179999999993</v>
      </c>
    </row>
    <row r="745" spans="1:17" x14ac:dyDescent="0.25">
      <c r="A745" s="49" t="s">
        <v>717</v>
      </c>
      <c r="B745" s="49" t="s">
        <v>220</v>
      </c>
      <c r="C745" s="49" t="s">
        <v>221</v>
      </c>
      <c r="D745" s="49" t="s">
        <v>69</v>
      </c>
      <c r="E745" s="50">
        <v>3038980</v>
      </c>
      <c r="F745" s="50">
        <v>3980</v>
      </c>
      <c r="G745" s="50">
        <v>3980</v>
      </c>
      <c r="H745" s="50">
        <v>0</v>
      </c>
      <c r="I745" s="50">
        <v>0</v>
      </c>
      <c r="J745" s="50">
        <v>0</v>
      </c>
      <c r="K745" s="50">
        <v>0</v>
      </c>
      <c r="L745" s="50"/>
      <c r="M745" s="50">
        <v>0</v>
      </c>
      <c r="N745" s="50"/>
      <c r="O745" s="50">
        <v>3980</v>
      </c>
      <c r="P745" s="50"/>
      <c r="Q745" s="50">
        <v>3980</v>
      </c>
    </row>
    <row r="746" spans="1:17" x14ac:dyDescent="0.25">
      <c r="A746" s="49" t="s">
        <v>717</v>
      </c>
      <c r="B746" s="49" t="s">
        <v>222</v>
      </c>
      <c r="C746" s="49" t="s">
        <v>223</v>
      </c>
      <c r="D746" s="49" t="s">
        <v>69</v>
      </c>
      <c r="E746" s="50">
        <v>2590023</v>
      </c>
      <c r="F746" s="50">
        <v>4590023</v>
      </c>
      <c r="G746" s="50">
        <v>4590023</v>
      </c>
      <c r="H746" s="50">
        <v>0</v>
      </c>
      <c r="I746" s="50">
        <v>38700.5</v>
      </c>
      <c r="J746" s="50">
        <v>0</v>
      </c>
      <c r="K746" s="50">
        <v>3525953.25</v>
      </c>
      <c r="L746" s="50"/>
      <c r="M746" s="50">
        <v>3062201.25</v>
      </c>
      <c r="N746" s="50"/>
      <c r="O746" s="50">
        <v>1025369.25</v>
      </c>
      <c r="P746" s="50"/>
      <c r="Q746" s="50">
        <v>1025369.25</v>
      </c>
    </row>
    <row r="747" spans="1:17" x14ac:dyDescent="0.25">
      <c r="A747" s="49" t="s">
        <v>717</v>
      </c>
      <c r="B747" s="49" t="s">
        <v>226</v>
      </c>
      <c r="C747" s="49" t="s">
        <v>227</v>
      </c>
      <c r="D747" s="49" t="s">
        <v>69</v>
      </c>
      <c r="E747" s="50">
        <v>774300</v>
      </c>
      <c r="F747" s="50">
        <v>0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/>
      <c r="M747" s="50">
        <v>0</v>
      </c>
      <c r="N747" s="50"/>
      <c r="O747" s="50">
        <v>0</v>
      </c>
      <c r="P747" s="50"/>
      <c r="Q747" s="50">
        <v>0</v>
      </c>
    </row>
    <row r="748" spans="1:17" x14ac:dyDescent="0.25">
      <c r="A748" s="49" t="s">
        <v>717</v>
      </c>
      <c r="B748" s="49" t="s">
        <v>228</v>
      </c>
      <c r="C748" s="49" t="s">
        <v>229</v>
      </c>
      <c r="D748" s="49" t="s">
        <v>69</v>
      </c>
      <c r="E748" s="50">
        <v>929720</v>
      </c>
      <c r="F748" s="50">
        <v>0</v>
      </c>
      <c r="G748" s="50">
        <v>0</v>
      </c>
      <c r="H748" s="50">
        <v>0</v>
      </c>
      <c r="I748" s="50">
        <v>0</v>
      </c>
      <c r="J748" s="50">
        <v>0</v>
      </c>
      <c r="K748" s="50">
        <v>0</v>
      </c>
      <c r="L748" s="50"/>
      <c r="M748" s="50">
        <v>0</v>
      </c>
      <c r="N748" s="50"/>
      <c r="O748" s="50">
        <v>0</v>
      </c>
      <c r="P748" s="50"/>
      <c r="Q748" s="50">
        <v>0</v>
      </c>
    </row>
    <row r="749" spans="1:17" x14ac:dyDescent="0.25">
      <c r="A749" s="49" t="s">
        <v>717</v>
      </c>
      <c r="B749" s="49" t="s">
        <v>248</v>
      </c>
      <c r="C749" s="49" t="s">
        <v>249</v>
      </c>
      <c r="D749" s="49" t="s">
        <v>69</v>
      </c>
      <c r="E749" s="50">
        <v>50610852</v>
      </c>
      <c r="F749" s="50">
        <v>43071647</v>
      </c>
      <c r="G749" s="50">
        <v>43071647</v>
      </c>
      <c r="H749" s="50">
        <v>0</v>
      </c>
      <c r="I749" s="50">
        <v>0</v>
      </c>
      <c r="J749" s="50">
        <v>0</v>
      </c>
      <c r="K749" s="50">
        <v>18056593.5</v>
      </c>
      <c r="L749" s="50"/>
      <c r="M749" s="50">
        <v>18056593.5</v>
      </c>
      <c r="N749" s="50"/>
      <c r="O749" s="50">
        <v>25015053.5</v>
      </c>
      <c r="P749" s="50"/>
      <c r="Q749" s="50">
        <v>25015053.5</v>
      </c>
    </row>
    <row r="750" spans="1:17" x14ac:dyDescent="0.25">
      <c r="A750" s="49" t="s">
        <v>717</v>
      </c>
      <c r="B750" s="49" t="s">
        <v>250</v>
      </c>
      <c r="C750" s="49" t="s">
        <v>251</v>
      </c>
      <c r="D750" s="49" t="s">
        <v>69</v>
      </c>
      <c r="E750" s="50">
        <v>14610852</v>
      </c>
      <c r="F750" s="50">
        <v>14071647</v>
      </c>
      <c r="G750" s="50">
        <v>14071647</v>
      </c>
      <c r="H750" s="50">
        <v>0</v>
      </c>
      <c r="I750" s="50">
        <v>0</v>
      </c>
      <c r="J750" s="50">
        <v>0</v>
      </c>
      <c r="K750" s="50">
        <v>12624308</v>
      </c>
      <c r="L750" s="50"/>
      <c r="M750" s="50">
        <v>12624308</v>
      </c>
      <c r="N750" s="50"/>
      <c r="O750" s="50">
        <v>1447339</v>
      </c>
      <c r="P750" s="50"/>
      <c r="Q750" s="50">
        <v>1447339</v>
      </c>
    </row>
    <row r="751" spans="1:17" x14ac:dyDescent="0.25">
      <c r="A751" s="49" t="s">
        <v>717</v>
      </c>
      <c r="B751" s="49" t="s">
        <v>636</v>
      </c>
      <c r="C751" s="49" t="s">
        <v>702</v>
      </c>
      <c r="D751" s="49" t="s">
        <v>69</v>
      </c>
      <c r="E751" s="50">
        <v>12410435</v>
      </c>
      <c r="F751" s="50">
        <v>11952435</v>
      </c>
      <c r="G751" s="50">
        <v>11952435</v>
      </c>
      <c r="H751" s="50">
        <v>0</v>
      </c>
      <c r="I751" s="50">
        <v>0</v>
      </c>
      <c r="J751" s="50">
        <v>0</v>
      </c>
      <c r="K751" s="50">
        <v>10695201</v>
      </c>
      <c r="L751" s="50"/>
      <c r="M751" s="50">
        <v>10695201</v>
      </c>
      <c r="N751" s="50"/>
      <c r="O751" s="50">
        <v>1257234</v>
      </c>
      <c r="P751" s="50"/>
      <c r="Q751" s="50">
        <v>1257234</v>
      </c>
    </row>
    <row r="752" spans="1:17" x14ac:dyDescent="0.25">
      <c r="A752" s="49" t="s">
        <v>717</v>
      </c>
      <c r="B752" s="49" t="s">
        <v>651</v>
      </c>
      <c r="C752" s="49" t="s">
        <v>703</v>
      </c>
      <c r="D752" s="49" t="s">
        <v>69</v>
      </c>
      <c r="E752" s="50">
        <v>2200417</v>
      </c>
      <c r="F752" s="50">
        <v>2119212</v>
      </c>
      <c r="G752" s="50">
        <v>2119212</v>
      </c>
      <c r="H752" s="50">
        <v>0</v>
      </c>
      <c r="I752" s="50">
        <v>0</v>
      </c>
      <c r="J752" s="50">
        <v>0</v>
      </c>
      <c r="K752" s="50">
        <v>1929107</v>
      </c>
      <c r="L752" s="50"/>
      <c r="M752" s="50">
        <v>1929107</v>
      </c>
      <c r="N752" s="50"/>
      <c r="O752" s="50">
        <v>190105</v>
      </c>
      <c r="P752" s="50"/>
      <c r="Q752" s="50">
        <v>190105</v>
      </c>
    </row>
    <row r="753" spans="1:17" x14ac:dyDescent="0.25">
      <c r="A753" s="49" t="s">
        <v>717</v>
      </c>
      <c r="B753" s="49" t="s">
        <v>260</v>
      </c>
      <c r="C753" s="49" t="s">
        <v>261</v>
      </c>
      <c r="D753" s="49" t="s">
        <v>69</v>
      </c>
      <c r="E753" s="50">
        <v>26000000</v>
      </c>
      <c r="F753" s="50">
        <v>21500000</v>
      </c>
      <c r="G753" s="50">
        <v>21500000</v>
      </c>
      <c r="H753" s="50">
        <v>0</v>
      </c>
      <c r="I753" s="50">
        <v>0</v>
      </c>
      <c r="J753" s="50">
        <v>0</v>
      </c>
      <c r="K753" s="50">
        <v>5432285.5</v>
      </c>
      <c r="L753" s="50"/>
      <c r="M753" s="50">
        <v>5432285.5</v>
      </c>
      <c r="N753" s="50"/>
      <c r="O753" s="50">
        <v>16067714.5</v>
      </c>
      <c r="P753" s="50"/>
      <c r="Q753" s="50">
        <v>16067714.5</v>
      </c>
    </row>
    <row r="754" spans="1:17" x14ac:dyDescent="0.25">
      <c r="A754" s="49" t="s">
        <v>717</v>
      </c>
      <c r="B754" s="49" t="s">
        <v>262</v>
      </c>
      <c r="C754" s="49" t="s">
        <v>263</v>
      </c>
      <c r="D754" s="49" t="s">
        <v>69</v>
      </c>
      <c r="E754" s="50">
        <v>18000000</v>
      </c>
      <c r="F754" s="50">
        <v>13500000</v>
      </c>
      <c r="G754" s="50">
        <v>13500000</v>
      </c>
      <c r="H754" s="50">
        <v>0</v>
      </c>
      <c r="I754" s="50">
        <v>0</v>
      </c>
      <c r="J754" s="50">
        <v>0</v>
      </c>
      <c r="K754" s="50">
        <v>0</v>
      </c>
      <c r="L754" s="50"/>
      <c r="M754" s="50">
        <v>0</v>
      </c>
      <c r="N754" s="50"/>
      <c r="O754" s="50">
        <v>13500000</v>
      </c>
      <c r="P754" s="50"/>
      <c r="Q754" s="50">
        <v>13500000</v>
      </c>
    </row>
    <row r="755" spans="1:17" x14ac:dyDescent="0.25">
      <c r="A755" s="49" t="s">
        <v>717</v>
      </c>
      <c r="B755" s="49" t="s">
        <v>264</v>
      </c>
      <c r="C755" s="49" t="s">
        <v>265</v>
      </c>
      <c r="D755" s="49" t="s">
        <v>69</v>
      </c>
      <c r="E755" s="50">
        <v>8000000</v>
      </c>
      <c r="F755" s="50">
        <v>8000000</v>
      </c>
      <c r="G755" s="50">
        <v>8000000</v>
      </c>
      <c r="H755" s="50">
        <v>0</v>
      </c>
      <c r="I755" s="50">
        <v>0</v>
      </c>
      <c r="J755" s="50">
        <v>0</v>
      </c>
      <c r="K755" s="50">
        <v>5432285.5</v>
      </c>
      <c r="L755" s="50"/>
      <c r="M755" s="50">
        <v>5432285.5</v>
      </c>
      <c r="N755" s="50"/>
      <c r="O755" s="50">
        <v>2567714.5</v>
      </c>
      <c r="P755" s="50"/>
      <c r="Q755" s="50">
        <v>2567714.5</v>
      </c>
    </row>
    <row r="756" spans="1:17" x14ac:dyDescent="0.25">
      <c r="A756" s="49" t="s">
        <v>717</v>
      </c>
      <c r="B756" s="49" t="s">
        <v>286</v>
      </c>
      <c r="C756" s="49" t="s">
        <v>287</v>
      </c>
      <c r="D756" s="49" t="s">
        <v>69</v>
      </c>
      <c r="E756" s="50">
        <v>10000000</v>
      </c>
      <c r="F756" s="50">
        <v>7500000</v>
      </c>
      <c r="G756" s="50">
        <v>7500000</v>
      </c>
      <c r="H756" s="50">
        <v>0</v>
      </c>
      <c r="I756" s="50">
        <v>0</v>
      </c>
      <c r="J756" s="50">
        <v>0</v>
      </c>
      <c r="K756" s="50">
        <v>0</v>
      </c>
      <c r="L756" s="50"/>
      <c r="M756" s="50">
        <v>0</v>
      </c>
      <c r="N756" s="50"/>
      <c r="O756" s="50">
        <v>7500000</v>
      </c>
      <c r="P756" s="50"/>
      <c r="Q756" s="50">
        <v>7500000</v>
      </c>
    </row>
    <row r="757" spans="1:17" x14ac:dyDescent="0.25">
      <c r="A757" s="49" t="s">
        <v>717</v>
      </c>
      <c r="B757" s="49" t="s">
        <v>288</v>
      </c>
      <c r="C757" s="49" t="s">
        <v>289</v>
      </c>
      <c r="D757" s="49" t="s">
        <v>69</v>
      </c>
      <c r="E757" s="50">
        <v>10000000</v>
      </c>
      <c r="F757" s="50">
        <v>7500000</v>
      </c>
      <c r="G757" s="50">
        <v>7500000</v>
      </c>
      <c r="H757" s="50">
        <v>0</v>
      </c>
      <c r="I757" s="50">
        <v>0</v>
      </c>
      <c r="J757" s="50">
        <v>0</v>
      </c>
      <c r="K757" s="50">
        <v>0</v>
      </c>
      <c r="L757" s="50"/>
      <c r="M757" s="50">
        <v>0</v>
      </c>
      <c r="N757" s="50"/>
      <c r="O757" s="50">
        <v>7500000</v>
      </c>
      <c r="P757" s="50"/>
      <c r="Q757" s="50">
        <v>7500000</v>
      </c>
    </row>
    <row r="758" spans="1:17" x14ac:dyDescent="0.25">
      <c r="A758" s="49" t="s">
        <v>717</v>
      </c>
      <c r="B758" s="49" t="s">
        <v>230</v>
      </c>
      <c r="C758" s="49" t="s">
        <v>231</v>
      </c>
      <c r="D758" s="49" t="s">
        <v>85</v>
      </c>
      <c r="E758" s="50">
        <v>45174214</v>
      </c>
      <c r="F758" s="50">
        <v>9327344</v>
      </c>
      <c r="G758" s="50">
        <v>9327344</v>
      </c>
      <c r="H758" s="50">
        <v>0</v>
      </c>
      <c r="I758" s="50">
        <v>0</v>
      </c>
      <c r="J758" s="50">
        <v>0</v>
      </c>
      <c r="K758" s="50">
        <v>8969539.75</v>
      </c>
      <c r="L758" s="50"/>
      <c r="M758" s="50">
        <v>4744243.75</v>
      </c>
      <c r="N758" s="50"/>
      <c r="O758" s="50">
        <v>357804.25</v>
      </c>
      <c r="P758" s="50"/>
      <c r="Q758" s="50">
        <v>357804.25</v>
      </c>
    </row>
    <row r="759" spans="1:17" x14ac:dyDescent="0.25">
      <c r="A759" s="49" t="s">
        <v>717</v>
      </c>
      <c r="B759" s="49" t="s">
        <v>232</v>
      </c>
      <c r="C759" s="49" t="s">
        <v>233</v>
      </c>
      <c r="D759" s="49" t="s">
        <v>85</v>
      </c>
      <c r="E759" s="50">
        <v>45174214</v>
      </c>
      <c r="F759" s="50">
        <v>9327344</v>
      </c>
      <c r="G759" s="50">
        <v>9327344</v>
      </c>
      <c r="H759" s="50">
        <v>0</v>
      </c>
      <c r="I759" s="50">
        <v>0</v>
      </c>
      <c r="J759" s="50">
        <v>0</v>
      </c>
      <c r="K759" s="50">
        <v>8969539.75</v>
      </c>
      <c r="L759" s="50"/>
      <c r="M759" s="50">
        <v>4744243.75</v>
      </c>
      <c r="N759" s="50"/>
      <c r="O759" s="50">
        <v>357804.25</v>
      </c>
      <c r="P759" s="50"/>
      <c r="Q759" s="50">
        <v>357804.25</v>
      </c>
    </row>
    <row r="760" spans="1:17" x14ac:dyDescent="0.25">
      <c r="A760" s="49" t="s">
        <v>717</v>
      </c>
      <c r="B760" s="49" t="s">
        <v>324</v>
      </c>
      <c r="C760" s="49" t="s">
        <v>325</v>
      </c>
      <c r="D760" s="49" t="s">
        <v>85</v>
      </c>
      <c r="E760" s="50">
        <v>400000</v>
      </c>
      <c r="F760" s="50">
        <v>0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/>
      <c r="M760" s="50">
        <v>0</v>
      </c>
      <c r="N760" s="50"/>
      <c r="O760" s="50">
        <v>0</v>
      </c>
      <c r="P760" s="50"/>
      <c r="Q760" s="50">
        <v>0</v>
      </c>
    </row>
    <row r="761" spans="1:17" x14ac:dyDescent="0.25">
      <c r="A761" s="49" t="s">
        <v>717</v>
      </c>
      <c r="B761" s="49" t="s">
        <v>236</v>
      </c>
      <c r="C761" s="49" t="s">
        <v>237</v>
      </c>
      <c r="D761" s="49" t="s">
        <v>85</v>
      </c>
      <c r="E761" s="50">
        <v>10235014</v>
      </c>
      <c r="F761" s="50">
        <v>1010184</v>
      </c>
      <c r="G761" s="50">
        <v>1010184</v>
      </c>
      <c r="H761" s="50">
        <v>0</v>
      </c>
      <c r="I761" s="50">
        <v>0</v>
      </c>
      <c r="J761" s="50">
        <v>0</v>
      </c>
      <c r="K761" s="50">
        <v>1010183.4</v>
      </c>
      <c r="L761" s="50"/>
      <c r="M761" s="50">
        <v>1010183.4</v>
      </c>
      <c r="N761" s="50"/>
      <c r="O761" s="50">
        <v>0.60000000000000009</v>
      </c>
      <c r="P761" s="50"/>
      <c r="Q761" s="50">
        <v>0.60000000000000009</v>
      </c>
    </row>
    <row r="762" spans="1:17" x14ac:dyDescent="0.25">
      <c r="A762" s="49" t="s">
        <v>717</v>
      </c>
      <c r="B762" s="49" t="s">
        <v>238</v>
      </c>
      <c r="C762" s="49" t="s">
        <v>239</v>
      </c>
      <c r="D762" s="49" t="s">
        <v>85</v>
      </c>
      <c r="E762" s="50">
        <v>3243620</v>
      </c>
      <c r="F762" s="50">
        <v>243620</v>
      </c>
      <c r="G762" s="50">
        <v>243620</v>
      </c>
      <c r="H762" s="50">
        <v>0</v>
      </c>
      <c r="I762" s="50">
        <v>0</v>
      </c>
      <c r="J762" s="50">
        <v>0</v>
      </c>
      <c r="K762" s="50">
        <v>205183.35</v>
      </c>
      <c r="L762" s="50"/>
      <c r="M762" s="50">
        <v>205183.35</v>
      </c>
      <c r="N762" s="50"/>
      <c r="O762" s="50">
        <v>38436.65</v>
      </c>
      <c r="P762" s="50"/>
      <c r="Q762" s="50">
        <v>38436.65</v>
      </c>
    </row>
    <row r="763" spans="1:17" x14ac:dyDescent="0.25">
      <c r="A763" s="49" t="s">
        <v>717</v>
      </c>
      <c r="B763" s="49" t="s">
        <v>282</v>
      </c>
      <c r="C763" s="49" t="s">
        <v>283</v>
      </c>
      <c r="D763" s="49" t="s">
        <v>85</v>
      </c>
      <c r="E763" s="50">
        <v>414480</v>
      </c>
      <c r="F763" s="50">
        <v>480</v>
      </c>
      <c r="G763" s="50">
        <v>480</v>
      </c>
      <c r="H763" s="50">
        <v>0</v>
      </c>
      <c r="I763" s="50">
        <v>0</v>
      </c>
      <c r="J763" s="50">
        <v>0</v>
      </c>
      <c r="K763" s="50">
        <v>0</v>
      </c>
      <c r="L763" s="50"/>
      <c r="M763" s="50">
        <v>0</v>
      </c>
      <c r="N763" s="50"/>
      <c r="O763" s="50">
        <v>480</v>
      </c>
      <c r="P763" s="50"/>
      <c r="Q763" s="50">
        <v>480</v>
      </c>
    </row>
    <row r="764" spans="1:17" x14ac:dyDescent="0.25">
      <c r="A764" s="49" t="s">
        <v>717</v>
      </c>
      <c r="B764" s="49" t="s">
        <v>240</v>
      </c>
      <c r="C764" s="49" t="s">
        <v>241</v>
      </c>
      <c r="D764" s="49" t="s">
        <v>85</v>
      </c>
      <c r="E764" s="50">
        <v>27531100</v>
      </c>
      <c r="F764" s="50">
        <v>8010660</v>
      </c>
      <c r="G764" s="50">
        <v>8010660</v>
      </c>
      <c r="H764" s="50">
        <v>0</v>
      </c>
      <c r="I764" s="50">
        <v>0</v>
      </c>
      <c r="J764" s="50">
        <v>0</v>
      </c>
      <c r="K764" s="50">
        <v>7754173</v>
      </c>
      <c r="L764" s="50"/>
      <c r="M764" s="50">
        <v>3528877</v>
      </c>
      <c r="N764" s="50"/>
      <c r="O764" s="50">
        <v>256487</v>
      </c>
      <c r="P764" s="50"/>
      <c r="Q764" s="50">
        <v>256487</v>
      </c>
    </row>
    <row r="765" spans="1:17" x14ac:dyDescent="0.25">
      <c r="A765" s="49" t="s">
        <v>717</v>
      </c>
      <c r="B765" s="49" t="s">
        <v>242</v>
      </c>
      <c r="C765" s="49" t="s">
        <v>243</v>
      </c>
      <c r="D765" s="49" t="s">
        <v>85</v>
      </c>
      <c r="E765" s="50">
        <v>3350000</v>
      </c>
      <c r="F765" s="50">
        <v>62400</v>
      </c>
      <c r="G765" s="50">
        <v>62400</v>
      </c>
      <c r="H765" s="50">
        <v>0</v>
      </c>
      <c r="I765" s="50">
        <v>0</v>
      </c>
      <c r="J765" s="50">
        <v>0</v>
      </c>
      <c r="K765" s="50">
        <v>0</v>
      </c>
      <c r="L765" s="50"/>
      <c r="M765" s="50">
        <v>0</v>
      </c>
      <c r="N765" s="50"/>
      <c r="O765" s="50">
        <v>62400</v>
      </c>
      <c r="P765" s="50"/>
      <c r="Q765" s="50">
        <v>62400</v>
      </c>
    </row>
    <row r="766" spans="1:17" x14ac:dyDescent="0.25">
      <c r="A766" s="49">
        <v>214791</v>
      </c>
      <c r="B766" s="49"/>
      <c r="C766" s="49"/>
      <c r="D766" s="49" t="s">
        <v>69</v>
      </c>
      <c r="E766" s="50">
        <v>7826709762</v>
      </c>
      <c r="F766" s="50">
        <v>7590011399</v>
      </c>
      <c r="G766" s="50">
        <v>7590011399</v>
      </c>
      <c r="H766" s="50">
        <v>0</v>
      </c>
      <c r="I766" s="50">
        <v>0</v>
      </c>
      <c r="J766" s="50">
        <v>0</v>
      </c>
      <c r="K766" s="50">
        <v>7224328134.7299995</v>
      </c>
      <c r="L766" s="50"/>
      <c r="M766" s="50">
        <v>7224328134.7299995</v>
      </c>
      <c r="N766" s="50"/>
      <c r="O766" s="50">
        <v>365683264.26999998</v>
      </c>
      <c r="P766" s="50"/>
      <c r="Q766" s="50">
        <v>365683264.26999998</v>
      </c>
    </row>
    <row r="767" spans="1:17" x14ac:dyDescent="0.25">
      <c r="A767" s="49" t="s">
        <v>719</v>
      </c>
      <c r="B767" s="49" t="s">
        <v>71</v>
      </c>
      <c r="C767" s="49" t="s">
        <v>72</v>
      </c>
      <c r="D767" s="49" t="s">
        <v>69</v>
      </c>
      <c r="E767" s="50">
        <v>7726375169</v>
      </c>
      <c r="F767" s="50">
        <v>7417608768</v>
      </c>
      <c r="G767" s="50">
        <v>7417608768</v>
      </c>
      <c r="H767" s="50">
        <v>0</v>
      </c>
      <c r="I767" s="50">
        <v>0</v>
      </c>
      <c r="J767" s="50">
        <v>0</v>
      </c>
      <c r="K767" s="50">
        <v>7078613699.0799999</v>
      </c>
      <c r="L767" s="50"/>
      <c r="M767" s="50">
        <v>7078613699.0799999</v>
      </c>
      <c r="N767" s="50"/>
      <c r="O767" s="50">
        <v>338995068.92000002</v>
      </c>
      <c r="P767" s="50"/>
      <c r="Q767" s="50">
        <v>338995068.92000002</v>
      </c>
    </row>
    <row r="768" spans="1:17" x14ac:dyDescent="0.25">
      <c r="A768" s="49" t="s">
        <v>719</v>
      </c>
      <c r="B768" s="49" t="s">
        <v>73</v>
      </c>
      <c r="C768" s="49" t="s">
        <v>74</v>
      </c>
      <c r="D768" s="49" t="s">
        <v>69</v>
      </c>
      <c r="E768" s="50">
        <v>2598911346</v>
      </c>
      <c r="F768" s="50">
        <v>2482450977</v>
      </c>
      <c r="G768" s="50">
        <v>2482450977</v>
      </c>
      <c r="H768" s="50">
        <v>0</v>
      </c>
      <c r="I768" s="50">
        <v>0</v>
      </c>
      <c r="J768" s="50">
        <v>0</v>
      </c>
      <c r="K768" s="50">
        <v>2424879523.1199999</v>
      </c>
      <c r="L768" s="50"/>
      <c r="M768" s="50">
        <v>2424879523.1199999</v>
      </c>
      <c r="N768" s="50"/>
      <c r="O768" s="50">
        <v>57571453.880000003</v>
      </c>
      <c r="P768" s="50"/>
      <c r="Q768" s="50">
        <v>57571453.880000003</v>
      </c>
    </row>
    <row r="769" spans="1:17" x14ac:dyDescent="0.25">
      <c r="A769" s="49" t="s">
        <v>719</v>
      </c>
      <c r="B769" s="49" t="s">
        <v>75</v>
      </c>
      <c r="C769" s="49" t="s">
        <v>76</v>
      </c>
      <c r="D769" s="49" t="s">
        <v>69</v>
      </c>
      <c r="E769" s="50">
        <v>2598911346</v>
      </c>
      <c r="F769" s="50">
        <v>2478450977</v>
      </c>
      <c r="G769" s="50">
        <v>2478450977</v>
      </c>
      <c r="H769" s="50">
        <v>0</v>
      </c>
      <c r="I769" s="50">
        <v>0</v>
      </c>
      <c r="J769" s="50">
        <v>0</v>
      </c>
      <c r="K769" s="50">
        <v>2424879523.1199999</v>
      </c>
      <c r="L769" s="50"/>
      <c r="M769" s="50">
        <v>2424879523.1199999</v>
      </c>
      <c r="N769" s="50"/>
      <c r="O769" s="50">
        <v>53571453.880000003</v>
      </c>
      <c r="P769" s="50"/>
      <c r="Q769" s="50">
        <v>53571453.880000003</v>
      </c>
    </row>
    <row r="770" spans="1:17" x14ac:dyDescent="0.25">
      <c r="A770" s="49" t="s">
        <v>719</v>
      </c>
      <c r="B770" s="49" t="s">
        <v>291</v>
      </c>
      <c r="C770" s="49" t="s">
        <v>292</v>
      </c>
      <c r="D770" s="49" t="s">
        <v>69</v>
      </c>
      <c r="E770" s="50">
        <v>0</v>
      </c>
      <c r="F770" s="50">
        <v>4000000</v>
      </c>
      <c r="G770" s="50">
        <v>4000000</v>
      </c>
      <c r="H770" s="50">
        <v>0</v>
      </c>
      <c r="I770" s="50">
        <v>0</v>
      </c>
      <c r="J770" s="50">
        <v>0</v>
      </c>
      <c r="K770" s="50">
        <v>0</v>
      </c>
      <c r="L770" s="50"/>
      <c r="M770" s="50">
        <v>0</v>
      </c>
      <c r="N770" s="50"/>
      <c r="O770" s="50">
        <v>4000000</v>
      </c>
      <c r="P770" s="50"/>
      <c r="Q770" s="50">
        <v>4000000</v>
      </c>
    </row>
    <row r="771" spans="1:17" x14ac:dyDescent="0.25">
      <c r="A771" s="49" t="s">
        <v>719</v>
      </c>
      <c r="B771" s="49" t="s">
        <v>77</v>
      </c>
      <c r="C771" s="49" t="s">
        <v>78</v>
      </c>
      <c r="D771" s="49" t="s">
        <v>69</v>
      </c>
      <c r="E771" s="50">
        <v>3948833757</v>
      </c>
      <c r="F771" s="50">
        <v>3802716439</v>
      </c>
      <c r="G771" s="50">
        <v>3802716439</v>
      </c>
      <c r="H771" s="50">
        <v>0</v>
      </c>
      <c r="I771" s="50">
        <v>0</v>
      </c>
      <c r="J771" s="50">
        <v>0</v>
      </c>
      <c r="K771" s="50">
        <v>3581408713.5900002</v>
      </c>
      <c r="L771" s="50"/>
      <c r="M771" s="50">
        <v>3581408713.5900002</v>
      </c>
      <c r="N771" s="50"/>
      <c r="O771" s="50">
        <v>221307725.41</v>
      </c>
      <c r="P771" s="50"/>
      <c r="Q771" s="50">
        <v>221307725.41</v>
      </c>
    </row>
    <row r="772" spans="1:17" x14ac:dyDescent="0.25">
      <c r="A772" s="49" t="s">
        <v>719</v>
      </c>
      <c r="B772" s="49" t="s">
        <v>79</v>
      </c>
      <c r="C772" s="49" t="s">
        <v>80</v>
      </c>
      <c r="D772" s="49" t="s">
        <v>69</v>
      </c>
      <c r="E772" s="50">
        <v>655368000</v>
      </c>
      <c r="F772" s="50">
        <v>637364393</v>
      </c>
      <c r="G772" s="50">
        <v>637364393</v>
      </c>
      <c r="H772" s="50">
        <v>0</v>
      </c>
      <c r="I772" s="50">
        <v>0</v>
      </c>
      <c r="J772" s="50">
        <v>0</v>
      </c>
      <c r="K772" s="50">
        <v>590943717.88</v>
      </c>
      <c r="L772" s="50"/>
      <c r="M772" s="50">
        <v>590943717.88</v>
      </c>
      <c r="N772" s="50"/>
      <c r="O772" s="50">
        <v>46420675.119999997</v>
      </c>
      <c r="P772" s="50"/>
      <c r="Q772" s="50">
        <v>46420675.119999997</v>
      </c>
    </row>
    <row r="773" spans="1:17" x14ac:dyDescent="0.25">
      <c r="A773" s="49" t="s">
        <v>719</v>
      </c>
      <c r="B773" s="49" t="s">
        <v>81</v>
      </c>
      <c r="C773" s="49" t="s">
        <v>82</v>
      </c>
      <c r="D773" s="49" t="s">
        <v>69</v>
      </c>
      <c r="E773" s="50">
        <v>1818533000</v>
      </c>
      <c r="F773" s="50">
        <v>1751449014</v>
      </c>
      <c r="G773" s="50">
        <v>1751449014</v>
      </c>
      <c r="H773" s="50">
        <v>0</v>
      </c>
      <c r="I773" s="50">
        <v>0</v>
      </c>
      <c r="J773" s="50">
        <v>0</v>
      </c>
      <c r="K773" s="50">
        <v>1655205666.3099999</v>
      </c>
      <c r="L773" s="50"/>
      <c r="M773" s="50">
        <v>1655205666.3099999</v>
      </c>
      <c r="N773" s="50"/>
      <c r="O773" s="50">
        <v>96243347.689999998</v>
      </c>
      <c r="P773" s="50"/>
      <c r="Q773" s="50">
        <v>96243347.689999998</v>
      </c>
    </row>
    <row r="774" spans="1:17" x14ac:dyDescent="0.25">
      <c r="A774" s="49" t="s">
        <v>719</v>
      </c>
      <c r="B774" s="49" t="s">
        <v>86</v>
      </c>
      <c r="C774" s="49" t="s">
        <v>87</v>
      </c>
      <c r="D774" s="49" t="s">
        <v>69</v>
      </c>
      <c r="E774" s="50">
        <v>463338500</v>
      </c>
      <c r="F774" s="50">
        <v>434338500</v>
      </c>
      <c r="G774" s="50">
        <v>434338500</v>
      </c>
      <c r="H774" s="50">
        <v>0</v>
      </c>
      <c r="I774" s="50">
        <v>0</v>
      </c>
      <c r="J774" s="50">
        <v>0</v>
      </c>
      <c r="K774" s="50">
        <v>410272916.79000002</v>
      </c>
      <c r="L774" s="50"/>
      <c r="M774" s="50">
        <v>410272916.79000002</v>
      </c>
      <c r="N774" s="50"/>
      <c r="O774" s="50">
        <v>24065583.210000001</v>
      </c>
      <c r="P774" s="50"/>
      <c r="Q774" s="50">
        <v>24065583.210000001</v>
      </c>
    </row>
    <row r="775" spans="1:17" x14ac:dyDescent="0.25">
      <c r="A775" s="49" t="s">
        <v>719</v>
      </c>
      <c r="B775" s="49" t="s">
        <v>88</v>
      </c>
      <c r="C775" s="49" t="s">
        <v>89</v>
      </c>
      <c r="D775" s="49" t="s">
        <v>69</v>
      </c>
      <c r="E775" s="50">
        <v>508107900</v>
      </c>
      <c r="F775" s="50">
        <v>495809043</v>
      </c>
      <c r="G775" s="50">
        <v>495809043</v>
      </c>
      <c r="H775" s="50">
        <v>0</v>
      </c>
      <c r="I775" s="50">
        <v>0</v>
      </c>
      <c r="J775" s="50">
        <v>0</v>
      </c>
      <c r="K775" s="50">
        <v>464600543.75</v>
      </c>
      <c r="L775" s="50"/>
      <c r="M775" s="50">
        <v>464600543.75</v>
      </c>
      <c r="N775" s="50"/>
      <c r="O775" s="50">
        <v>31208499.25</v>
      </c>
      <c r="P775" s="50"/>
      <c r="Q775" s="50">
        <v>31208499.25</v>
      </c>
    </row>
    <row r="776" spans="1:17" x14ac:dyDescent="0.25">
      <c r="A776" s="49" t="s">
        <v>719</v>
      </c>
      <c r="B776" s="49" t="s">
        <v>83</v>
      </c>
      <c r="C776" s="49" t="s">
        <v>84</v>
      </c>
      <c r="D776" s="49" t="s">
        <v>85</v>
      </c>
      <c r="E776" s="50">
        <v>503486357</v>
      </c>
      <c r="F776" s="50">
        <v>483755489</v>
      </c>
      <c r="G776" s="50">
        <v>483755489</v>
      </c>
      <c r="H776" s="50">
        <v>0</v>
      </c>
      <c r="I776" s="50">
        <v>0</v>
      </c>
      <c r="J776" s="50">
        <v>0</v>
      </c>
      <c r="K776" s="50">
        <v>460385868.86000001</v>
      </c>
      <c r="L776" s="50"/>
      <c r="M776" s="50">
        <v>460385868.86000001</v>
      </c>
      <c r="N776" s="50"/>
      <c r="O776" s="50">
        <v>23369620.140000001</v>
      </c>
      <c r="P776" s="50"/>
      <c r="Q776" s="50">
        <v>23369620.140000001</v>
      </c>
    </row>
    <row r="777" spans="1:17" x14ac:dyDescent="0.25">
      <c r="A777" s="49" t="s">
        <v>719</v>
      </c>
      <c r="B777" s="49" t="s">
        <v>90</v>
      </c>
      <c r="C777" s="49" t="s">
        <v>91</v>
      </c>
      <c r="D777" s="49" t="s">
        <v>69</v>
      </c>
      <c r="E777" s="50">
        <v>589315133</v>
      </c>
      <c r="F777" s="50">
        <v>566220775</v>
      </c>
      <c r="G777" s="50">
        <v>566220775</v>
      </c>
      <c r="H777" s="50">
        <v>0</v>
      </c>
      <c r="I777" s="50">
        <v>0</v>
      </c>
      <c r="J777" s="50">
        <v>0</v>
      </c>
      <c r="K777" s="50">
        <v>538949217.13</v>
      </c>
      <c r="L777" s="50"/>
      <c r="M777" s="50">
        <v>538949217.13</v>
      </c>
      <c r="N777" s="50"/>
      <c r="O777" s="50">
        <v>27271557.870000001</v>
      </c>
      <c r="P777" s="50"/>
      <c r="Q777" s="50">
        <v>27271557.870000001</v>
      </c>
    </row>
    <row r="778" spans="1:17" x14ac:dyDescent="0.25">
      <c r="A778" s="49" t="s">
        <v>719</v>
      </c>
      <c r="B778" s="49" t="s">
        <v>428</v>
      </c>
      <c r="C778" s="49" t="s">
        <v>697</v>
      </c>
      <c r="D778" s="49" t="s">
        <v>69</v>
      </c>
      <c r="E778" s="50">
        <v>559093873</v>
      </c>
      <c r="F778" s="50">
        <v>537183840</v>
      </c>
      <c r="G778" s="50">
        <v>537183840</v>
      </c>
      <c r="H778" s="50">
        <v>0</v>
      </c>
      <c r="I778" s="50">
        <v>0</v>
      </c>
      <c r="J778" s="50">
        <v>0</v>
      </c>
      <c r="K778" s="50">
        <v>511312588.47000003</v>
      </c>
      <c r="L778" s="50"/>
      <c r="M778" s="50">
        <v>511312588.47000003</v>
      </c>
      <c r="N778" s="50"/>
      <c r="O778" s="50">
        <v>25871251.530000001</v>
      </c>
      <c r="P778" s="50"/>
      <c r="Q778" s="50">
        <v>25871251.530000001</v>
      </c>
    </row>
    <row r="779" spans="1:17" x14ac:dyDescent="0.25">
      <c r="A779" s="49" t="s">
        <v>719</v>
      </c>
      <c r="B779" s="49" t="s">
        <v>445</v>
      </c>
      <c r="C779" s="49" t="s">
        <v>95</v>
      </c>
      <c r="D779" s="49" t="s">
        <v>69</v>
      </c>
      <c r="E779" s="50">
        <v>30221260</v>
      </c>
      <c r="F779" s="50">
        <v>29036935</v>
      </c>
      <c r="G779" s="50">
        <v>29036935</v>
      </c>
      <c r="H779" s="50">
        <v>0</v>
      </c>
      <c r="I779" s="50">
        <v>0</v>
      </c>
      <c r="J779" s="50">
        <v>0</v>
      </c>
      <c r="K779" s="50">
        <v>27636628.66</v>
      </c>
      <c r="L779" s="50"/>
      <c r="M779" s="50">
        <v>27636628.66</v>
      </c>
      <c r="N779" s="50"/>
      <c r="O779" s="50">
        <v>1400306.34</v>
      </c>
      <c r="P779" s="50"/>
      <c r="Q779" s="50">
        <v>1400306.34</v>
      </c>
    </row>
    <row r="780" spans="1:17" x14ac:dyDescent="0.25">
      <c r="A780" s="49" t="s">
        <v>719</v>
      </c>
      <c r="B780" s="49" t="s">
        <v>96</v>
      </c>
      <c r="C780" s="49" t="s">
        <v>97</v>
      </c>
      <c r="D780" s="49" t="s">
        <v>69</v>
      </c>
      <c r="E780" s="50">
        <v>589314933</v>
      </c>
      <c r="F780" s="50">
        <v>566220577</v>
      </c>
      <c r="G780" s="50">
        <v>566220577</v>
      </c>
      <c r="H780" s="50">
        <v>0</v>
      </c>
      <c r="I780" s="50">
        <v>0</v>
      </c>
      <c r="J780" s="50">
        <v>0</v>
      </c>
      <c r="K780" s="50">
        <v>533376245.24000001</v>
      </c>
      <c r="L780" s="50"/>
      <c r="M780" s="50">
        <v>533376245.24000001</v>
      </c>
      <c r="N780" s="50"/>
      <c r="O780" s="50">
        <v>32844331.760000002</v>
      </c>
      <c r="P780" s="50"/>
      <c r="Q780" s="50">
        <v>32844331.760000002</v>
      </c>
    </row>
    <row r="781" spans="1:17" x14ac:dyDescent="0.25">
      <c r="A781" s="49" t="s">
        <v>719</v>
      </c>
      <c r="B781" s="49" t="s">
        <v>463</v>
      </c>
      <c r="C781" s="49" t="s">
        <v>698</v>
      </c>
      <c r="D781" s="49" t="s">
        <v>69</v>
      </c>
      <c r="E781" s="50">
        <v>317323487</v>
      </c>
      <c r="F781" s="50">
        <v>304888065</v>
      </c>
      <c r="G781" s="50">
        <v>304888065</v>
      </c>
      <c r="H781" s="50">
        <v>0</v>
      </c>
      <c r="I781" s="50">
        <v>0</v>
      </c>
      <c r="J781" s="50">
        <v>0</v>
      </c>
      <c r="K781" s="50">
        <v>284646154.22000003</v>
      </c>
      <c r="L781" s="50"/>
      <c r="M781" s="50">
        <v>284646154.22000003</v>
      </c>
      <c r="N781" s="50"/>
      <c r="O781" s="50">
        <v>20241910.780000001</v>
      </c>
      <c r="P781" s="50"/>
      <c r="Q781" s="50">
        <v>20241910.780000001</v>
      </c>
    </row>
    <row r="782" spans="1:17" x14ac:dyDescent="0.25">
      <c r="A782" s="49" t="s">
        <v>719</v>
      </c>
      <c r="B782" s="49" t="s">
        <v>480</v>
      </c>
      <c r="C782" s="49" t="s">
        <v>699</v>
      </c>
      <c r="D782" s="49" t="s">
        <v>69</v>
      </c>
      <c r="E782" s="50">
        <v>90663782</v>
      </c>
      <c r="F782" s="50">
        <v>104358804</v>
      </c>
      <c r="G782" s="50">
        <v>104358804</v>
      </c>
      <c r="H782" s="50">
        <v>0</v>
      </c>
      <c r="I782" s="50">
        <v>0</v>
      </c>
      <c r="J782" s="50">
        <v>0</v>
      </c>
      <c r="K782" s="50">
        <v>95957274.620000005</v>
      </c>
      <c r="L782" s="50"/>
      <c r="M782" s="50">
        <v>95957274.620000005</v>
      </c>
      <c r="N782" s="50"/>
      <c r="O782" s="50">
        <v>8401529.3800000008</v>
      </c>
      <c r="P782" s="50"/>
      <c r="Q782" s="50">
        <v>8401529.3800000008</v>
      </c>
    </row>
    <row r="783" spans="1:17" x14ac:dyDescent="0.25">
      <c r="A783" s="49" t="s">
        <v>719</v>
      </c>
      <c r="B783" s="49" t="s">
        <v>497</v>
      </c>
      <c r="C783" s="49" t="s">
        <v>700</v>
      </c>
      <c r="D783" s="49" t="s">
        <v>69</v>
      </c>
      <c r="E783" s="50">
        <v>181327664</v>
      </c>
      <c r="F783" s="50">
        <v>156973708</v>
      </c>
      <c r="G783" s="50">
        <v>156973708</v>
      </c>
      <c r="H783" s="50">
        <v>0</v>
      </c>
      <c r="I783" s="50">
        <v>0</v>
      </c>
      <c r="J783" s="50">
        <v>0</v>
      </c>
      <c r="K783" s="50">
        <v>152772816.40000001</v>
      </c>
      <c r="L783" s="50"/>
      <c r="M783" s="50">
        <v>152772816.40000001</v>
      </c>
      <c r="N783" s="50"/>
      <c r="O783" s="50">
        <v>4200891.5999999996</v>
      </c>
      <c r="P783" s="50"/>
      <c r="Q783" s="50">
        <v>4200891.5999999996</v>
      </c>
    </row>
    <row r="784" spans="1:17" x14ac:dyDescent="0.25">
      <c r="A784" s="49" t="s">
        <v>719</v>
      </c>
      <c r="B784" s="49" t="s">
        <v>248</v>
      </c>
      <c r="C784" s="49" t="s">
        <v>249</v>
      </c>
      <c r="D784" s="49" t="s">
        <v>69</v>
      </c>
      <c r="E784" s="50">
        <v>100334593</v>
      </c>
      <c r="F784" s="50">
        <v>172402631</v>
      </c>
      <c r="G784" s="50">
        <v>172402631</v>
      </c>
      <c r="H784" s="50">
        <v>0</v>
      </c>
      <c r="I784" s="50">
        <v>0</v>
      </c>
      <c r="J784" s="50">
        <v>0</v>
      </c>
      <c r="K784" s="50">
        <v>145714435.65000001</v>
      </c>
      <c r="L784" s="50"/>
      <c r="M784" s="50">
        <v>145714435.65000001</v>
      </c>
      <c r="N784" s="50"/>
      <c r="O784" s="50">
        <v>26688195.350000001</v>
      </c>
      <c r="P784" s="50"/>
      <c r="Q784" s="50">
        <v>26688195.350000001</v>
      </c>
    </row>
    <row r="785" spans="1:17" x14ac:dyDescent="0.25">
      <c r="A785" s="49" t="s">
        <v>719</v>
      </c>
      <c r="B785" s="49" t="s">
        <v>250</v>
      </c>
      <c r="C785" s="49" t="s">
        <v>251</v>
      </c>
      <c r="D785" s="49" t="s">
        <v>69</v>
      </c>
      <c r="E785" s="50">
        <v>100334593</v>
      </c>
      <c r="F785" s="50">
        <v>96402631</v>
      </c>
      <c r="G785" s="50">
        <v>96402631</v>
      </c>
      <c r="H785" s="50">
        <v>0</v>
      </c>
      <c r="I785" s="50">
        <v>0</v>
      </c>
      <c r="J785" s="50">
        <v>0</v>
      </c>
      <c r="K785" s="50">
        <v>90344335.920000002</v>
      </c>
      <c r="L785" s="50"/>
      <c r="M785" s="50">
        <v>90344335.920000002</v>
      </c>
      <c r="N785" s="50"/>
      <c r="O785" s="50">
        <v>6058295.0800000001</v>
      </c>
      <c r="P785" s="50"/>
      <c r="Q785" s="50">
        <v>6058295.0800000001</v>
      </c>
    </row>
    <row r="786" spans="1:17" x14ac:dyDescent="0.25">
      <c r="A786" s="49" t="s">
        <v>719</v>
      </c>
      <c r="B786" s="49" t="s">
        <v>637</v>
      </c>
      <c r="C786" s="49" t="s">
        <v>702</v>
      </c>
      <c r="D786" s="49" t="s">
        <v>69</v>
      </c>
      <c r="E786" s="50">
        <v>85224013</v>
      </c>
      <c r="F786" s="50">
        <v>81884214</v>
      </c>
      <c r="G786" s="50">
        <v>81884214</v>
      </c>
      <c r="H786" s="50">
        <v>0</v>
      </c>
      <c r="I786" s="50">
        <v>0</v>
      </c>
      <c r="J786" s="50">
        <v>0</v>
      </c>
      <c r="K786" s="50">
        <v>76525961.450000003</v>
      </c>
      <c r="L786" s="50"/>
      <c r="M786" s="50">
        <v>76525961.450000003</v>
      </c>
      <c r="N786" s="50"/>
      <c r="O786" s="50">
        <v>5358252.55</v>
      </c>
      <c r="P786" s="50"/>
      <c r="Q786" s="50">
        <v>5358252.55</v>
      </c>
    </row>
    <row r="787" spans="1:17" x14ac:dyDescent="0.25">
      <c r="A787" s="49" t="s">
        <v>719</v>
      </c>
      <c r="B787" s="49" t="s">
        <v>652</v>
      </c>
      <c r="C787" s="49" t="s">
        <v>703</v>
      </c>
      <c r="D787" s="49" t="s">
        <v>69</v>
      </c>
      <c r="E787" s="50">
        <v>15110580</v>
      </c>
      <c r="F787" s="50">
        <v>14518417</v>
      </c>
      <c r="G787" s="50">
        <v>14518417</v>
      </c>
      <c r="H787" s="50">
        <v>0</v>
      </c>
      <c r="I787" s="50">
        <v>0</v>
      </c>
      <c r="J787" s="50">
        <v>0</v>
      </c>
      <c r="K787" s="50">
        <v>13818374.470000001</v>
      </c>
      <c r="L787" s="50"/>
      <c r="M787" s="50">
        <v>13818374.470000001</v>
      </c>
      <c r="N787" s="50"/>
      <c r="O787" s="50">
        <v>700042.53</v>
      </c>
      <c r="P787" s="50"/>
      <c r="Q787" s="50">
        <v>700042.53</v>
      </c>
    </row>
    <row r="788" spans="1:17" x14ac:dyDescent="0.25">
      <c r="A788" s="49" t="s">
        <v>719</v>
      </c>
      <c r="B788" s="49" t="s">
        <v>260</v>
      </c>
      <c r="C788" s="49" t="s">
        <v>261</v>
      </c>
      <c r="D788" s="49" t="s">
        <v>69</v>
      </c>
      <c r="E788" s="50">
        <v>0</v>
      </c>
      <c r="F788" s="50">
        <v>76000000</v>
      </c>
      <c r="G788" s="50">
        <v>76000000</v>
      </c>
      <c r="H788" s="50">
        <v>0</v>
      </c>
      <c r="I788" s="50">
        <v>0</v>
      </c>
      <c r="J788" s="50">
        <v>0</v>
      </c>
      <c r="K788" s="50">
        <v>55370099.729999997</v>
      </c>
      <c r="L788" s="50"/>
      <c r="M788" s="50">
        <v>55370099.729999997</v>
      </c>
      <c r="N788" s="50"/>
      <c r="O788" s="50">
        <v>20629900.27</v>
      </c>
      <c r="P788" s="50"/>
      <c r="Q788" s="50">
        <v>20629900.27</v>
      </c>
    </row>
    <row r="789" spans="1:17" x14ac:dyDescent="0.25">
      <c r="A789" s="49" t="s">
        <v>719</v>
      </c>
      <c r="B789" s="49" t="s">
        <v>262</v>
      </c>
      <c r="C789" s="49" t="s">
        <v>263</v>
      </c>
      <c r="D789" s="49" t="s">
        <v>69</v>
      </c>
      <c r="E789" s="50">
        <v>0</v>
      </c>
      <c r="F789" s="50">
        <v>43000000</v>
      </c>
      <c r="G789" s="50">
        <v>43000000</v>
      </c>
      <c r="H789" s="50">
        <v>0</v>
      </c>
      <c r="I789" s="50">
        <v>0</v>
      </c>
      <c r="J789" s="50">
        <v>0</v>
      </c>
      <c r="K789" s="50">
        <v>37676669.229999997</v>
      </c>
      <c r="L789" s="50"/>
      <c r="M789" s="50">
        <v>37676669.229999997</v>
      </c>
      <c r="N789" s="50"/>
      <c r="O789" s="50">
        <v>5323330.7699999996</v>
      </c>
      <c r="P789" s="50"/>
      <c r="Q789" s="50">
        <v>5323330.7699999996</v>
      </c>
    </row>
    <row r="790" spans="1:17" x14ac:dyDescent="0.25">
      <c r="A790" s="49" t="s">
        <v>719</v>
      </c>
      <c r="B790" s="49" t="s">
        <v>264</v>
      </c>
      <c r="C790" s="49" t="s">
        <v>265</v>
      </c>
      <c r="D790" s="49" t="s">
        <v>69</v>
      </c>
      <c r="E790" s="50">
        <v>0</v>
      </c>
      <c r="F790" s="50">
        <v>33000000</v>
      </c>
      <c r="G790" s="50">
        <v>33000000</v>
      </c>
      <c r="H790" s="50">
        <v>0</v>
      </c>
      <c r="I790" s="50">
        <v>0</v>
      </c>
      <c r="J790" s="50">
        <v>0</v>
      </c>
      <c r="K790" s="50">
        <v>17693430.5</v>
      </c>
      <c r="L790" s="50"/>
      <c r="M790" s="50">
        <v>17693430.5</v>
      </c>
      <c r="N790" s="50"/>
      <c r="O790" s="50">
        <v>15306569.5</v>
      </c>
      <c r="P790" s="50"/>
      <c r="Q790" s="50">
        <v>15306569.5</v>
      </c>
    </row>
    <row r="791" spans="1:17" x14ac:dyDescent="0.25">
      <c r="A791" s="49">
        <v>214793</v>
      </c>
      <c r="B791" s="49"/>
      <c r="C791" s="49"/>
      <c r="D791" s="49" t="s">
        <v>69</v>
      </c>
      <c r="E791" s="50">
        <v>918243709</v>
      </c>
      <c r="F791" s="50">
        <v>895550765</v>
      </c>
      <c r="G791" s="50">
        <v>895550765</v>
      </c>
      <c r="H791" s="50">
        <v>0</v>
      </c>
      <c r="I791" s="50">
        <v>0</v>
      </c>
      <c r="J791" s="50">
        <v>0</v>
      </c>
      <c r="K791" s="50">
        <v>882074571.79999995</v>
      </c>
      <c r="L791" s="50"/>
      <c r="M791" s="50">
        <v>882074571.79999995</v>
      </c>
      <c r="N791" s="50"/>
      <c r="O791" s="50">
        <v>13476193.199999999</v>
      </c>
      <c r="P791" s="50"/>
      <c r="Q791" s="50">
        <v>13476193.199999999</v>
      </c>
    </row>
    <row r="792" spans="1:17" x14ac:dyDescent="0.25">
      <c r="A792" s="49" t="s">
        <v>720</v>
      </c>
      <c r="B792" s="49" t="s">
        <v>71</v>
      </c>
      <c r="C792" s="49" t="s">
        <v>72</v>
      </c>
      <c r="D792" s="49" t="s">
        <v>69</v>
      </c>
      <c r="E792" s="50">
        <v>899027714</v>
      </c>
      <c r="F792" s="50">
        <v>878789381</v>
      </c>
      <c r="G792" s="50">
        <v>878789381</v>
      </c>
      <c r="H792" s="50">
        <v>0</v>
      </c>
      <c r="I792" s="50">
        <v>0</v>
      </c>
      <c r="J792" s="50">
        <v>0</v>
      </c>
      <c r="K792" s="50">
        <v>868699249.83000004</v>
      </c>
      <c r="L792" s="50"/>
      <c r="M792" s="50">
        <v>868699249.83000004</v>
      </c>
      <c r="N792" s="50"/>
      <c r="O792" s="50">
        <v>10090131.17</v>
      </c>
      <c r="P792" s="50"/>
      <c r="Q792" s="50">
        <v>10090131.17</v>
      </c>
    </row>
    <row r="793" spans="1:17" x14ac:dyDescent="0.25">
      <c r="A793" s="49" t="s">
        <v>720</v>
      </c>
      <c r="B793" s="49" t="s">
        <v>73</v>
      </c>
      <c r="C793" s="49" t="s">
        <v>74</v>
      </c>
      <c r="D793" s="49" t="s">
        <v>69</v>
      </c>
      <c r="E793" s="50">
        <v>305726500</v>
      </c>
      <c r="F793" s="50">
        <v>299696000</v>
      </c>
      <c r="G793" s="50">
        <v>299696000</v>
      </c>
      <c r="H793" s="50">
        <v>0</v>
      </c>
      <c r="I793" s="50">
        <v>0</v>
      </c>
      <c r="J793" s="50">
        <v>0</v>
      </c>
      <c r="K793" s="50">
        <v>297792894.30000001</v>
      </c>
      <c r="L793" s="50"/>
      <c r="M793" s="50">
        <v>297792894.30000001</v>
      </c>
      <c r="N793" s="50"/>
      <c r="O793" s="50">
        <v>1903105.7</v>
      </c>
      <c r="P793" s="50"/>
      <c r="Q793" s="50">
        <v>1903105.7</v>
      </c>
    </row>
    <row r="794" spans="1:17" x14ac:dyDescent="0.25">
      <c r="A794" s="49" t="s">
        <v>720</v>
      </c>
      <c r="B794" s="49" t="s">
        <v>75</v>
      </c>
      <c r="C794" s="49" t="s">
        <v>76</v>
      </c>
      <c r="D794" s="49" t="s">
        <v>69</v>
      </c>
      <c r="E794" s="50">
        <v>305726500</v>
      </c>
      <c r="F794" s="50">
        <v>298196000</v>
      </c>
      <c r="G794" s="50">
        <v>298196000</v>
      </c>
      <c r="H794" s="50">
        <v>0</v>
      </c>
      <c r="I794" s="50">
        <v>0</v>
      </c>
      <c r="J794" s="50">
        <v>0</v>
      </c>
      <c r="K794" s="50">
        <v>297792894.30000001</v>
      </c>
      <c r="L794" s="50"/>
      <c r="M794" s="50">
        <v>297792894.30000001</v>
      </c>
      <c r="N794" s="50"/>
      <c r="O794" s="50">
        <v>403105.7</v>
      </c>
      <c r="P794" s="50"/>
      <c r="Q794" s="50">
        <v>403105.7</v>
      </c>
    </row>
    <row r="795" spans="1:17" x14ac:dyDescent="0.25">
      <c r="A795" s="49" t="s">
        <v>720</v>
      </c>
      <c r="B795" s="49" t="s">
        <v>291</v>
      </c>
      <c r="C795" s="49" t="s">
        <v>292</v>
      </c>
      <c r="D795" s="49" t="s">
        <v>69</v>
      </c>
      <c r="E795" s="50">
        <v>0</v>
      </c>
      <c r="F795" s="50">
        <v>1500000</v>
      </c>
      <c r="G795" s="50">
        <v>1500000</v>
      </c>
      <c r="H795" s="50">
        <v>0</v>
      </c>
      <c r="I795" s="50">
        <v>0</v>
      </c>
      <c r="J795" s="50">
        <v>0</v>
      </c>
      <c r="K795" s="50">
        <v>0</v>
      </c>
      <c r="L795" s="50"/>
      <c r="M795" s="50">
        <v>0</v>
      </c>
      <c r="N795" s="50"/>
      <c r="O795" s="50">
        <v>1500000</v>
      </c>
      <c r="P795" s="50"/>
      <c r="Q795" s="50">
        <v>1500000</v>
      </c>
    </row>
    <row r="796" spans="1:17" x14ac:dyDescent="0.25">
      <c r="A796" s="49" t="s">
        <v>720</v>
      </c>
      <c r="B796" s="49" t="s">
        <v>77</v>
      </c>
      <c r="C796" s="49" t="s">
        <v>78</v>
      </c>
      <c r="D796" s="49" t="s">
        <v>69</v>
      </c>
      <c r="E796" s="50">
        <v>456157950</v>
      </c>
      <c r="F796" s="50">
        <v>444960170</v>
      </c>
      <c r="G796" s="50">
        <v>444960170</v>
      </c>
      <c r="H796" s="50">
        <v>0</v>
      </c>
      <c r="I796" s="50">
        <v>0</v>
      </c>
      <c r="J796" s="50">
        <v>0</v>
      </c>
      <c r="K796" s="50">
        <v>437294610.50999999</v>
      </c>
      <c r="L796" s="50"/>
      <c r="M796" s="50">
        <v>437294610.50999999</v>
      </c>
      <c r="N796" s="50"/>
      <c r="O796" s="50">
        <v>7665559.4900000002</v>
      </c>
      <c r="P796" s="50"/>
      <c r="Q796" s="50">
        <v>7665559.4900000002</v>
      </c>
    </row>
    <row r="797" spans="1:17" x14ac:dyDescent="0.25">
      <c r="A797" s="49" t="s">
        <v>720</v>
      </c>
      <c r="B797" s="49" t="s">
        <v>79</v>
      </c>
      <c r="C797" s="49" t="s">
        <v>80</v>
      </c>
      <c r="D797" s="49" t="s">
        <v>69</v>
      </c>
      <c r="E797" s="50">
        <v>79360300</v>
      </c>
      <c r="F797" s="50">
        <v>77213355</v>
      </c>
      <c r="G797" s="50">
        <v>77213355</v>
      </c>
      <c r="H797" s="50">
        <v>0</v>
      </c>
      <c r="I797" s="50">
        <v>0</v>
      </c>
      <c r="J797" s="50">
        <v>0</v>
      </c>
      <c r="K797" s="50">
        <v>75156095.519999996</v>
      </c>
      <c r="L797" s="50"/>
      <c r="M797" s="50">
        <v>75156095.519999996</v>
      </c>
      <c r="N797" s="50"/>
      <c r="O797" s="50">
        <v>2057259.48</v>
      </c>
      <c r="P797" s="50"/>
      <c r="Q797" s="50">
        <v>2057259.48</v>
      </c>
    </row>
    <row r="798" spans="1:17" x14ac:dyDescent="0.25">
      <c r="A798" s="49" t="s">
        <v>720</v>
      </c>
      <c r="B798" s="49" t="s">
        <v>81</v>
      </c>
      <c r="C798" s="49" t="s">
        <v>82</v>
      </c>
      <c r="D798" s="49" t="s">
        <v>69</v>
      </c>
      <c r="E798" s="50">
        <v>203715000</v>
      </c>
      <c r="F798" s="50">
        <v>201884143</v>
      </c>
      <c r="G798" s="50">
        <v>201884143</v>
      </c>
      <c r="H798" s="50">
        <v>0</v>
      </c>
      <c r="I798" s="50">
        <v>0</v>
      </c>
      <c r="J798" s="50">
        <v>0</v>
      </c>
      <c r="K798" s="50">
        <v>200282759.00999999</v>
      </c>
      <c r="L798" s="50"/>
      <c r="M798" s="50">
        <v>200282759.00999999</v>
      </c>
      <c r="N798" s="50"/>
      <c r="O798" s="50">
        <v>1601383.99</v>
      </c>
      <c r="P798" s="50"/>
      <c r="Q798" s="50">
        <v>1601383.99</v>
      </c>
    </row>
    <row r="799" spans="1:17" x14ac:dyDescent="0.25">
      <c r="A799" s="49" t="s">
        <v>720</v>
      </c>
      <c r="B799" s="49" t="s">
        <v>86</v>
      </c>
      <c r="C799" s="49" t="s">
        <v>87</v>
      </c>
      <c r="D799" s="49" t="s">
        <v>69</v>
      </c>
      <c r="E799" s="50">
        <v>53908100</v>
      </c>
      <c r="F799" s="50">
        <v>48408100</v>
      </c>
      <c r="G799" s="50">
        <v>48408100</v>
      </c>
      <c r="H799" s="50">
        <v>0</v>
      </c>
      <c r="I799" s="50">
        <v>0</v>
      </c>
      <c r="J799" s="50">
        <v>0</v>
      </c>
      <c r="K799" s="50">
        <v>47509133.960000001</v>
      </c>
      <c r="L799" s="50"/>
      <c r="M799" s="50">
        <v>47509133.960000001</v>
      </c>
      <c r="N799" s="50"/>
      <c r="O799" s="50">
        <v>898966.04</v>
      </c>
      <c r="P799" s="50"/>
      <c r="Q799" s="50">
        <v>898966.04</v>
      </c>
    </row>
    <row r="800" spans="1:17" x14ac:dyDescent="0.25">
      <c r="A800" s="49" t="s">
        <v>720</v>
      </c>
      <c r="B800" s="49" t="s">
        <v>88</v>
      </c>
      <c r="C800" s="49" t="s">
        <v>89</v>
      </c>
      <c r="D800" s="49" t="s">
        <v>69</v>
      </c>
      <c r="E800" s="50">
        <v>60590000</v>
      </c>
      <c r="F800" s="50">
        <v>60155857</v>
      </c>
      <c r="G800" s="50">
        <v>60155857</v>
      </c>
      <c r="H800" s="50">
        <v>0</v>
      </c>
      <c r="I800" s="50">
        <v>0</v>
      </c>
      <c r="J800" s="50">
        <v>0</v>
      </c>
      <c r="K800" s="50">
        <v>58074992.299999997</v>
      </c>
      <c r="L800" s="50"/>
      <c r="M800" s="50">
        <v>58074992.299999997</v>
      </c>
      <c r="N800" s="50"/>
      <c r="O800" s="50">
        <v>2080864.7</v>
      </c>
      <c r="P800" s="50"/>
      <c r="Q800" s="50">
        <v>2080864.7</v>
      </c>
    </row>
    <row r="801" spans="1:17" x14ac:dyDescent="0.25">
      <c r="A801" s="49" t="s">
        <v>720</v>
      </c>
      <c r="B801" s="49" t="s">
        <v>83</v>
      </c>
      <c r="C801" s="49" t="s">
        <v>84</v>
      </c>
      <c r="D801" s="49" t="s">
        <v>85</v>
      </c>
      <c r="E801" s="50">
        <v>58584550</v>
      </c>
      <c r="F801" s="50">
        <v>57298715</v>
      </c>
      <c r="G801" s="50">
        <v>57298715</v>
      </c>
      <c r="H801" s="50">
        <v>0</v>
      </c>
      <c r="I801" s="50">
        <v>0</v>
      </c>
      <c r="J801" s="50">
        <v>0</v>
      </c>
      <c r="K801" s="50">
        <v>56271629.719999999</v>
      </c>
      <c r="L801" s="50"/>
      <c r="M801" s="50">
        <v>56271629.719999999</v>
      </c>
      <c r="N801" s="50"/>
      <c r="O801" s="50">
        <v>1027085.28</v>
      </c>
      <c r="P801" s="50"/>
      <c r="Q801" s="50">
        <v>1027085.28</v>
      </c>
    </row>
    <row r="802" spans="1:17" x14ac:dyDescent="0.25">
      <c r="A802" s="49" t="s">
        <v>720</v>
      </c>
      <c r="B802" s="49" t="s">
        <v>90</v>
      </c>
      <c r="C802" s="49" t="s">
        <v>91</v>
      </c>
      <c r="D802" s="49" t="s">
        <v>69</v>
      </c>
      <c r="E802" s="50">
        <v>68571682</v>
      </c>
      <c r="F802" s="50">
        <v>67066655</v>
      </c>
      <c r="G802" s="50">
        <v>67066655</v>
      </c>
      <c r="H802" s="50">
        <v>0</v>
      </c>
      <c r="I802" s="50">
        <v>0</v>
      </c>
      <c r="J802" s="50">
        <v>0</v>
      </c>
      <c r="K802" s="50">
        <v>67060177.530000001</v>
      </c>
      <c r="L802" s="50"/>
      <c r="M802" s="50">
        <v>67060177.530000001</v>
      </c>
      <c r="N802" s="50"/>
      <c r="O802" s="50">
        <v>6477.47</v>
      </c>
      <c r="P802" s="50"/>
      <c r="Q802" s="50">
        <v>6477.47</v>
      </c>
    </row>
    <row r="803" spans="1:17" x14ac:dyDescent="0.25">
      <c r="A803" s="49" t="s">
        <v>720</v>
      </c>
      <c r="B803" s="49" t="s">
        <v>429</v>
      </c>
      <c r="C803" s="49" t="s">
        <v>697</v>
      </c>
      <c r="D803" s="49" t="s">
        <v>69</v>
      </c>
      <c r="E803" s="50">
        <v>65055209</v>
      </c>
      <c r="F803" s="50">
        <v>63627362</v>
      </c>
      <c r="G803" s="50">
        <v>63627362</v>
      </c>
      <c r="H803" s="50">
        <v>0</v>
      </c>
      <c r="I803" s="50">
        <v>0</v>
      </c>
      <c r="J803" s="50">
        <v>0</v>
      </c>
      <c r="K803" s="50">
        <v>63620884.530000001</v>
      </c>
      <c r="L803" s="50"/>
      <c r="M803" s="50">
        <v>63620884.530000001</v>
      </c>
      <c r="N803" s="50"/>
      <c r="O803" s="50">
        <v>6477.47</v>
      </c>
      <c r="P803" s="50"/>
      <c r="Q803" s="50">
        <v>6477.47</v>
      </c>
    </row>
    <row r="804" spans="1:17" x14ac:dyDescent="0.25">
      <c r="A804" s="49" t="s">
        <v>720</v>
      </c>
      <c r="B804" s="49" t="s">
        <v>446</v>
      </c>
      <c r="C804" s="49" t="s">
        <v>95</v>
      </c>
      <c r="D804" s="49" t="s">
        <v>69</v>
      </c>
      <c r="E804" s="50">
        <v>3516473</v>
      </c>
      <c r="F804" s="50">
        <v>3439293</v>
      </c>
      <c r="G804" s="50">
        <v>3439293</v>
      </c>
      <c r="H804" s="50">
        <v>0</v>
      </c>
      <c r="I804" s="50">
        <v>0</v>
      </c>
      <c r="J804" s="50">
        <v>0</v>
      </c>
      <c r="K804" s="50">
        <v>3439293</v>
      </c>
      <c r="L804" s="50"/>
      <c r="M804" s="50">
        <v>3439293</v>
      </c>
      <c r="N804" s="50"/>
      <c r="O804" s="50">
        <v>0</v>
      </c>
      <c r="P804" s="50"/>
      <c r="Q804" s="50">
        <v>0</v>
      </c>
    </row>
    <row r="805" spans="1:17" x14ac:dyDescent="0.25">
      <c r="A805" s="49" t="s">
        <v>720</v>
      </c>
      <c r="B805" s="49" t="s">
        <v>96</v>
      </c>
      <c r="C805" s="49" t="s">
        <v>97</v>
      </c>
      <c r="D805" s="49" t="s">
        <v>69</v>
      </c>
      <c r="E805" s="50">
        <v>68571582</v>
      </c>
      <c r="F805" s="50">
        <v>67066556</v>
      </c>
      <c r="G805" s="50">
        <v>67066556</v>
      </c>
      <c r="H805" s="50">
        <v>0</v>
      </c>
      <c r="I805" s="50">
        <v>0</v>
      </c>
      <c r="J805" s="50">
        <v>0</v>
      </c>
      <c r="K805" s="50">
        <v>66551567.490000002</v>
      </c>
      <c r="L805" s="50"/>
      <c r="M805" s="50">
        <v>66551567.490000002</v>
      </c>
      <c r="N805" s="50"/>
      <c r="O805" s="50">
        <v>514988.51</v>
      </c>
      <c r="P805" s="50"/>
      <c r="Q805" s="50">
        <v>514988.51</v>
      </c>
    </row>
    <row r="806" spans="1:17" x14ac:dyDescent="0.25">
      <c r="A806" s="49" t="s">
        <v>720</v>
      </c>
      <c r="B806" s="49" t="s">
        <v>464</v>
      </c>
      <c r="C806" s="49" t="s">
        <v>698</v>
      </c>
      <c r="D806" s="49" t="s">
        <v>69</v>
      </c>
      <c r="E806" s="50">
        <v>36923221</v>
      </c>
      <c r="F806" s="50">
        <v>36112821</v>
      </c>
      <c r="G806" s="50">
        <v>36112821</v>
      </c>
      <c r="H806" s="50">
        <v>0</v>
      </c>
      <c r="I806" s="50">
        <v>0</v>
      </c>
      <c r="J806" s="50">
        <v>0</v>
      </c>
      <c r="K806" s="50">
        <v>35601512.259999998</v>
      </c>
      <c r="L806" s="50"/>
      <c r="M806" s="50">
        <v>35601512.259999998</v>
      </c>
      <c r="N806" s="50"/>
      <c r="O806" s="50">
        <v>511308.74</v>
      </c>
      <c r="P806" s="50"/>
      <c r="Q806" s="50">
        <v>511308.74</v>
      </c>
    </row>
    <row r="807" spans="1:17" x14ac:dyDescent="0.25">
      <c r="A807" s="49" t="s">
        <v>720</v>
      </c>
      <c r="B807" s="49" t="s">
        <v>481</v>
      </c>
      <c r="C807" s="49" t="s">
        <v>699</v>
      </c>
      <c r="D807" s="49" t="s">
        <v>69</v>
      </c>
      <c r="E807" s="50">
        <v>10549420</v>
      </c>
      <c r="F807" s="50">
        <v>11903678</v>
      </c>
      <c r="G807" s="50">
        <v>11903678</v>
      </c>
      <c r="H807" s="50">
        <v>0</v>
      </c>
      <c r="I807" s="50">
        <v>0</v>
      </c>
      <c r="J807" s="50">
        <v>0</v>
      </c>
      <c r="K807" s="50">
        <v>11901266.050000001</v>
      </c>
      <c r="L807" s="50"/>
      <c r="M807" s="50">
        <v>11901266.050000001</v>
      </c>
      <c r="N807" s="50"/>
      <c r="O807" s="50">
        <v>2411.9499999999998</v>
      </c>
      <c r="P807" s="50"/>
      <c r="Q807" s="50">
        <v>2411.9499999999998</v>
      </c>
    </row>
    <row r="808" spans="1:17" x14ac:dyDescent="0.25">
      <c r="A808" s="49" t="s">
        <v>720</v>
      </c>
      <c r="B808" s="49" t="s">
        <v>498</v>
      </c>
      <c r="C808" s="49" t="s">
        <v>700</v>
      </c>
      <c r="D808" s="49" t="s">
        <v>69</v>
      </c>
      <c r="E808" s="50">
        <v>21098941</v>
      </c>
      <c r="F808" s="50">
        <v>19050057</v>
      </c>
      <c r="G808" s="50">
        <v>19050057</v>
      </c>
      <c r="H808" s="50">
        <v>0</v>
      </c>
      <c r="I808" s="50">
        <v>0</v>
      </c>
      <c r="J808" s="50">
        <v>0</v>
      </c>
      <c r="K808" s="50">
        <v>19048789.18</v>
      </c>
      <c r="L808" s="50"/>
      <c r="M808" s="50">
        <v>19048789.18</v>
      </c>
      <c r="N808" s="50"/>
      <c r="O808" s="50">
        <v>1267.82</v>
      </c>
      <c r="P808" s="50"/>
      <c r="Q808" s="50">
        <v>1267.82</v>
      </c>
    </row>
    <row r="809" spans="1:17" x14ac:dyDescent="0.25">
      <c r="A809" s="49" t="s">
        <v>720</v>
      </c>
      <c r="B809" s="49" t="s">
        <v>104</v>
      </c>
      <c r="C809" s="49" t="s">
        <v>105</v>
      </c>
      <c r="D809" s="49" t="s">
        <v>69</v>
      </c>
      <c r="E809" s="50">
        <v>7541300</v>
      </c>
      <c r="F809" s="50">
        <v>1342928</v>
      </c>
      <c r="G809" s="50">
        <v>1342928</v>
      </c>
      <c r="H809" s="50">
        <v>0</v>
      </c>
      <c r="I809" s="50">
        <v>0</v>
      </c>
      <c r="J809" s="50">
        <v>0</v>
      </c>
      <c r="K809" s="50">
        <v>1342926.72</v>
      </c>
      <c r="L809" s="50"/>
      <c r="M809" s="50">
        <v>1342926.72</v>
      </c>
      <c r="N809" s="50"/>
      <c r="O809" s="50">
        <v>1.28</v>
      </c>
      <c r="P809" s="50"/>
      <c r="Q809" s="50">
        <v>1.28</v>
      </c>
    </row>
    <row r="810" spans="1:17" x14ac:dyDescent="0.25">
      <c r="A810" s="49" t="s">
        <v>720</v>
      </c>
      <c r="B810" s="49" t="s">
        <v>140</v>
      </c>
      <c r="C810" s="49" t="s">
        <v>141</v>
      </c>
      <c r="D810" s="49" t="s">
        <v>69</v>
      </c>
      <c r="E810" s="50">
        <v>7541300</v>
      </c>
      <c r="F810" s="50">
        <v>1342928</v>
      </c>
      <c r="G810" s="50">
        <v>1342928</v>
      </c>
      <c r="H810" s="50">
        <v>0</v>
      </c>
      <c r="I810" s="50">
        <v>0</v>
      </c>
      <c r="J810" s="50">
        <v>0</v>
      </c>
      <c r="K810" s="50">
        <v>1342926.72</v>
      </c>
      <c r="L810" s="50"/>
      <c r="M810" s="50">
        <v>1342926.72</v>
      </c>
      <c r="N810" s="50"/>
      <c r="O810" s="50">
        <v>1.28</v>
      </c>
      <c r="P810" s="50"/>
      <c r="Q810" s="50">
        <v>1.28</v>
      </c>
    </row>
    <row r="811" spans="1:17" x14ac:dyDescent="0.25">
      <c r="A811" s="49" t="s">
        <v>720</v>
      </c>
      <c r="B811" s="49" t="s">
        <v>146</v>
      </c>
      <c r="C811" s="49" t="s">
        <v>147</v>
      </c>
      <c r="D811" s="49" t="s">
        <v>69</v>
      </c>
      <c r="E811" s="50">
        <v>2513800</v>
      </c>
      <c r="F811" s="50">
        <v>434386</v>
      </c>
      <c r="G811" s="50">
        <v>434386</v>
      </c>
      <c r="H811" s="50">
        <v>0</v>
      </c>
      <c r="I811" s="50">
        <v>0</v>
      </c>
      <c r="J811" s="50">
        <v>0</v>
      </c>
      <c r="K811" s="50">
        <v>434385.63</v>
      </c>
      <c r="L811" s="50"/>
      <c r="M811" s="50">
        <v>434385.63</v>
      </c>
      <c r="N811" s="50"/>
      <c r="O811" s="50">
        <v>0.37</v>
      </c>
      <c r="P811" s="50"/>
      <c r="Q811" s="50">
        <v>0.37</v>
      </c>
    </row>
    <row r="812" spans="1:17" x14ac:dyDescent="0.25">
      <c r="A812" s="49" t="s">
        <v>720</v>
      </c>
      <c r="B812" s="49" t="s">
        <v>148</v>
      </c>
      <c r="C812" s="49" t="s">
        <v>149</v>
      </c>
      <c r="D812" s="49" t="s">
        <v>69</v>
      </c>
      <c r="E812" s="50">
        <v>5027500</v>
      </c>
      <c r="F812" s="50">
        <v>908542</v>
      </c>
      <c r="G812" s="50">
        <v>908542</v>
      </c>
      <c r="H812" s="50">
        <v>0</v>
      </c>
      <c r="I812" s="50">
        <v>0</v>
      </c>
      <c r="J812" s="50">
        <v>0</v>
      </c>
      <c r="K812" s="50">
        <v>908541.09</v>
      </c>
      <c r="L812" s="50"/>
      <c r="M812" s="50">
        <v>908541.09</v>
      </c>
      <c r="N812" s="50"/>
      <c r="O812" s="50">
        <v>0.91</v>
      </c>
      <c r="P812" s="50"/>
      <c r="Q812" s="50">
        <v>0.91</v>
      </c>
    </row>
    <row r="813" spans="1:17" x14ac:dyDescent="0.25">
      <c r="A813" s="49" t="s">
        <v>720</v>
      </c>
      <c r="B813" s="49" t="s">
        <v>248</v>
      </c>
      <c r="C813" s="49" t="s">
        <v>249</v>
      </c>
      <c r="D813" s="49" t="s">
        <v>69</v>
      </c>
      <c r="E813" s="50">
        <v>11674695</v>
      </c>
      <c r="F813" s="50">
        <v>15418456</v>
      </c>
      <c r="G813" s="50">
        <v>15418456</v>
      </c>
      <c r="H813" s="50">
        <v>0</v>
      </c>
      <c r="I813" s="50">
        <v>0</v>
      </c>
      <c r="J813" s="50">
        <v>0</v>
      </c>
      <c r="K813" s="50">
        <v>12032395.25</v>
      </c>
      <c r="L813" s="50"/>
      <c r="M813" s="50">
        <v>12032395.25</v>
      </c>
      <c r="N813" s="50"/>
      <c r="O813" s="50">
        <v>3386060.75</v>
      </c>
      <c r="P813" s="50"/>
      <c r="Q813" s="50">
        <v>3386060.75</v>
      </c>
    </row>
    <row r="814" spans="1:17" x14ac:dyDescent="0.25">
      <c r="A814" s="49" t="s">
        <v>720</v>
      </c>
      <c r="B814" s="49" t="s">
        <v>250</v>
      </c>
      <c r="C814" s="49" t="s">
        <v>251</v>
      </c>
      <c r="D814" s="49" t="s">
        <v>69</v>
      </c>
      <c r="E814" s="50">
        <v>11674695</v>
      </c>
      <c r="F814" s="50">
        <v>11418456</v>
      </c>
      <c r="G814" s="50">
        <v>11418456</v>
      </c>
      <c r="H814" s="50">
        <v>0</v>
      </c>
      <c r="I814" s="50">
        <v>0</v>
      </c>
      <c r="J814" s="50">
        <v>0</v>
      </c>
      <c r="K814" s="50">
        <v>11178974.25</v>
      </c>
      <c r="L814" s="50"/>
      <c r="M814" s="50">
        <v>11178974.25</v>
      </c>
      <c r="N814" s="50"/>
      <c r="O814" s="50">
        <v>239481.75</v>
      </c>
      <c r="P814" s="50"/>
      <c r="Q814" s="50">
        <v>239481.75</v>
      </c>
    </row>
    <row r="815" spans="1:17" x14ac:dyDescent="0.25">
      <c r="A815" s="49" t="s">
        <v>720</v>
      </c>
      <c r="B815" s="49" t="s">
        <v>638</v>
      </c>
      <c r="C815" s="49" t="s">
        <v>702</v>
      </c>
      <c r="D815" s="49" t="s">
        <v>69</v>
      </c>
      <c r="E815" s="50">
        <v>9916509</v>
      </c>
      <c r="F815" s="50">
        <v>9698859</v>
      </c>
      <c r="G815" s="50">
        <v>9698859</v>
      </c>
      <c r="H815" s="50">
        <v>0</v>
      </c>
      <c r="I815" s="50">
        <v>0</v>
      </c>
      <c r="J815" s="50">
        <v>0</v>
      </c>
      <c r="K815" s="50">
        <v>9468473.4000000004</v>
      </c>
      <c r="L815" s="50"/>
      <c r="M815" s="50">
        <v>9468473.4000000004</v>
      </c>
      <c r="N815" s="50"/>
      <c r="O815" s="50">
        <v>230385.6</v>
      </c>
      <c r="P815" s="50"/>
      <c r="Q815" s="50">
        <v>230385.6</v>
      </c>
    </row>
    <row r="816" spans="1:17" x14ac:dyDescent="0.25">
      <c r="A816" s="49" t="s">
        <v>720</v>
      </c>
      <c r="B816" s="49" t="s">
        <v>653</v>
      </c>
      <c r="C816" s="49" t="s">
        <v>703</v>
      </c>
      <c r="D816" s="49" t="s">
        <v>69</v>
      </c>
      <c r="E816" s="50">
        <v>1758186</v>
      </c>
      <c r="F816" s="50">
        <v>1719597</v>
      </c>
      <c r="G816" s="50">
        <v>1719597</v>
      </c>
      <c r="H816" s="50">
        <v>0</v>
      </c>
      <c r="I816" s="50">
        <v>0</v>
      </c>
      <c r="J816" s="50">
        <v>0</v>
      </c>
      <c r="K816" s="50">
        <v>1710500.85</v>
      </c>
      <c r="L816" s="50"/>
      <c r="M816" s="50">
        <v>1710500.85</v>
      </c>
      <c r="N816" s="50"/>
      <c r="O816" s="50">
        <v>9096.15</v>
      </c>
      <c r="P816" s="50"/>
      <c r="Q816" s="50">
        <v>9096.15</v>
      </c>
    </row>
    <row r="817" spans="1:17" x14ac:dyDescent="0.25">
      <c r="A817" s="49" t="s">
        <v>720</v>
      </c>
      <c r="B817" s="49" t="s">
        <v>260</v>
      </c>
      <c r="C817" s="49" t="s">
        <v>261</v>
      </c>
      <c r="D817" s="49" t="s">
        <v>69</v>
      </c>
      <c r="E817" s="50">
        <v>0</v>
      </c>
      <c r="F817" s="50">
        <v>4000000</v>
      </c>
      <c r="G817" s="50">
        <v>4000000</v>
      </c>
      <c r="H817" s="50">
        <v>0</v>
      </c>
      <c r="I817" s="50">
        <v>0</v>
      </c>
      <c r="J817" s="50">
        <v>0</v>
      </c>
      <c r="K817" s="50">
        <v>853421</v>
      </c>
      <c r="L817" s="50"/>
      <c r="M817" s="50">
        <v>853421</v>
      </c>
      <c r="N817" s="50"/>
      <c r="O817" s="50">
        <v>3146579</v>
      </c>
      <c r="P817" s="50"/>
      <c r="Q817" s="50">
        <v>3146579</v>
      </c>
    </row>
    <row r="818" spans="1:17" x14ac:dyDescent="0.25">
      <c r="A818" s="49" t="s">
        <v>720</v>
      </c>
      <c r="B818" s="49" t="s">
        <v>264</v>
      </c>
      <c r="C818" s="49" t="s">
        <v>265</v>
      </c>
      <c r="D818" s="49" t="s">
        <v>69</v>
      </c>
      <c r="E818" s="50">
        <v>0</v>
      </c>
      <c r="F818" s="50">
        <v>4000000</v>
      </c>
      <c r="G818" s="50">
        <v>4000000</v>
      </c>
      <c r="H818" s="50">
        <v>0</v>
      </c>
      <c r="I818" s="50">
        <v>0</v>
      </c>
      <c r="J818" s="50">
        <v>0</v>
      </c>
      <c r="K818" s="50">
        <v>853421</v>
      </c>
      <c r="L818" s="50"/>
      <c r="M818" s="50">
        <v>853421</v>
      </c>
      <c r="N818" s="50"/>
      <c r="O818" s="50">
        <v>3146579</v>
      </c>
      <c r="P818" s="50"/>
      <c r="Q818" s="50">
        <v>3146579</v>
      </c>
    </row>
    <row r="819" spans="1:17" x14ac:dyDescent="0.25">
      <c r="A819" s="49">
        <v>214794</v>
      </c>
      <c r="B819" s="49"/>
      <c r="C819" s="49"/>
      <c r="D819" s="49" t="s">
        <v>69</v>
      </c>
      <c r="E819" s="50">
        <v>13895221022</v>
      </c>
      <c r="F819" s="50">
        <v>12811668105</v>
      </c>
      <c r="G819" s="50">
        <v>12811668105</v>
      </c>
      <c r="H819" s="50">
        <v>0</v>
      </c>
      <c r="I819" s="50">
        <v>886800</v>
      </c>
      <c r="J819" s="50">
        <v>0</v>
      </c>
      <c r="K819" s="50">
        <v>12046568869.049999</v>
      </c>
      <c r="L819" s="50"/>
      <c r="M819" s="50">
        <v>12046568869.049999</v>
      </c>
      <c r="N819" s="50"/>
      <c r="O819" s="50">
        <v>764212435.95000005</v>
      </c>
      <c r="P819" s="50"/>
      <c r="Q819" s="50">
        <v>764212435.95000005</v>
      </c>
    </row>
    <row r="820" spans="1:17" x14ac:dyDescent="0.25">
      <c r="A820" s="44" t="s">
        <v>721</v>
      </c>
      <c r="B820" s="44" t="s">
        <v>71</v>
      </c>
      <c r="C820" s="44" t="s">
        <v>72</v>
      </c>
      <c r="D820" s="44" t="s">
        <v>69</v>
      </c>
      <c r="E820" s="50">
        <v>13427888280</v>
      </c>
      <c r="F820" s="50">
        <v>12234029945.5</v>
      </c>
      <c r="G820" s="50">
        <v>12234029945.5</v>
      </c>
      <c r="H820" s="50">
        <v>0</v>
      </c>
      <c r="I820" s="50">
        <v>0</v>
      </c>
      <c r="J820" s="50">
        <v>0</v>
      </c>
      <c r="K820" s="50">
        <v>11501474461.4</v>
      </c>
      <c r="L820" s="50"/>
      <c r="M820" s="50">
        <v>11501474461.4</v>
      </c>
      <c r="N820" s="50"/>
      <c r="O820" s="50">
        <v>732555484.10000002</v>
      </c>
      <c r="P820" s="50"/>
      <c r="Q820" s="50">
        <v>732555484.10000002</v>
      </c>
    </row>
    <row r="821" spans="1:17" x14ac:dyDescent="0.25">
      <c r="A821" s="44" t="s">
        <v>721</v>
      </c>
      <c r="B821" s="44" t="s">
        <v>73</v>
      </c>
      <c r="C821" s="44" t="s">
        <v>74</v>
      </c>
      <c r="D821" s="44" t="s">
        <v>69</v>
      </c>
      <c r="E821" s="50">
        <v>4501527400</v>
      </c>
      <c r="F821" s="50">
        <v>3967779103.5</v>
      </c>
      <c r="G821" s="50">
        <v>3967779103.5</v>
      </c>
      <c r="H821" s="50">
        <v>0</v>
      </c>
      <c r="I821" s="50">
        <v>0</v>
      </c>
      <c r="J821" s="50">
        <v>0</v>
      </c>
      <c r="K821" s="50">
        <v>3775224689.7199998</v>
      </c>
      <c r="L821" s="50"/>
      <c r="M821" s="50">
        <v>3775224689.7199998</v>
      </c>
      <c r="N821" s="50"/>
      <c r="O821" s="50">
        <v>192554413.78</v>
      </c>
      <c r="P821" s="50"/>
      <c r="Q821" s="50">
        <v>192554413.78</v>
      </c>
    </row>
    <row r="822" spans="1:17" x14ac:dyDescent="0.25">
      <c r="A822" s="44" t="s">
        <v>721</v>
      </c>
      <c r="B822" s="44" t="s">
        <v>75</v>
      </c>
      <c r="C822" s="44" t="s">
        <v>76</v>
      </c>
      <c r="D822" s="44" t="s">
        <v>69</v>
      </c>
      <c r="E822" s="50">
        <v>4501527400</v>
      </c>
      <c r="F822" s="50">
        <v>3967779103.5</v>
      </c>
      <c r="G822" s="50">
        <v>3967779103.5</v>
      </c>
      <c r="H822" s="50">
        <v>0</v>
      </c>
      <c r="I822" s="50">
        <v>0</v>
      </c>
      <c r="J822" s="50">
        <v>0</v>
      </c>
      <c r="K822" s="50">
        <v>3775224689.7199998</v>
      </c>
      <c r="L822" s="50"/>
      <c r="M822" s="50">
        <v>3775224689.7199998</v>
      </c>
      <c r="N822" s="50"/>
      <c r="O822" s="50">
        <v>192554413.78</v>
      </c>
      <c r="P822" s="50"/>
      <c r="Q822" s="50">
        <v>192554413.78</v>
      </c>
    </row>
    <row r="823" spans="1:17" x14ac:dyDescent="0.25">
      <c r="A823" s="44" t="s">
        <v>721</v>
      </c>
      <c r="B823" s="44" t="s">
        <v>77</v>
      </c>
      <c r="C823" s="44" t="s">
        <v>78</v>
      </c>
      <c r="D823" s="44" t="s">
        <v>69</v>
      </c>
      <c r="E823" s="50">
        <v>6803353044</v>
      </c>
      <c r="F823" s="50">
        <v>6343742127</v>
      </c>
      <c r="G823" s="50">
        <v>6343742127</v>
      </c>
      <c r="H823" s="50">
        <v>0</v>
      </c>
      <c r="I823" s="50">
        <v>0</v>
      </c>
      <c r="J823" s="50">
        <v>0</v>
      </c>
      <c r="K823" s="50">
        <v>5935894589.2399998</v>
      </c>
      <c r="L823" s="50"/>
      <c r="M823" s="50">
        <v>5935894589.2399998</v>
      </c>
      <c r="N823" s="50"/>
      <c r="O823" s="50">
        <v>407847537.75999999</v>
      </c>
      <c r="P823" s="50"/>
      <c r="Q823" s="50">
        <v>407847537.75999999</v>
      </c>
    </row>
    <row r="824" spans="1:17" x14ac:dyDescent="0.25">
      <c r="A824" s="44" t="s">
        <v>721</v>
      </c>
      <c r="B824" s="44" t="s">
        <v>79</v>
      </c>
      <c r="C824" s="44" t="s">
        <v>80</v>
      </c>
      <c r="D824" s="44" t="s">
        <v>69</v>
      </c>
      <c r="E824" s="50">
        <v>1381150100</v>
      </c>
      <c r="F824" s="50">
        <v>1278788592</v>
      </c>
      <c r="G824" s="50">
        <v>1278788592</v>
      </c>
      <c r="H824" s="50">
        <v>0</v>
      </c>
      <c r="I824" s="50">
        <v>0</v>
      </c>
      <c r="J824" s="50">
        <v>0</v>
      </c>
      <c r="K824" s="50">
        <v>1224175534.78</v>
      </c>
      <c r="L824" s="50"/>
      <c r="M824" s="50">
        <v>1224175534.78</v>
      </c>
      <c r="N824" s="50"/>
      <c r="O824" s="50">
        <v>54613057.219999999</v>
      </c>
      <c r="P824" s="50"/>
      <c r="Q824" s="50">
        <v>54613057.219999999</v>
      </c>
    </row>
    <row r="825" spans="1:17" x14ac:dyDescent="0.25">
      <c r="A825" s="44" t="s">
        <v>721</v>
      </c>
      <c r="B825" s="44" t="s">
        <v>81</v>
      </c>
      <c r="C825" s="44" t="s">
        <v>82</v>
      </c>
      <c r="D825" s="44" t="s">
        <v>69</v>
      </c>
      <c r="E825" s="50">
        <v>2537511300</v>
      </c>
      <c r="F825" s="50">
        <v>2321501510</v>
      </c>
      <c r="G825" s="50">
        <v>2321501510</v>
      </c>
      <c r="H825" s="50">
        <v>0</v>
      </c>
      <c r="I825" s="50">
        <v>0</v>
      </c>
      <c r="J825" s="50">
        <v>0</v>
      </c>
      <c r="K825" s="50">
        <v>2208710162.1399999</v>
      </c>
      <c r="L825" s="50"/>
      <c r="M825" s="50">
        <v>2208710162.1399999</v>
      </c>
      <c r="N825" s="50"/>
      <c r="O825" s="50">
        <v>112791347.86</v>
      </c>
      <c r="P825" s="50"/>
      <c r="Q825" s="50">
        <v>112791347.86</v>
      </c>
    </row>
    <row r="826" spans="1:17" x14ac:dyDescent="0.25">
      <c r="A826" s="44" t="s">
        <v>721</v>
      </c>
      <c r="B826" s="44" t="s">
        <v>86</v>
      </c>
      <c r="C826" s="44" t="s">
        <v>87</v>
      </c>
      <c r="D826" s="44" t="s">
        <v>69</v>
      </c>
      <c r="E826" s="50">
        <v>799025700</v>
      </c>
      <c r="F826" s="50">
        <v>799025700</v>
      </c>
      <c r="G826" s="50">
        <v>799025700</v>
      </c>
      <c r="H826" s="50">
        <v>0</v>
      </c>
      <c r="I826" s="50">
        <v>0</v>
      </c>
      <c r="J826" s="50">
        <v>0</v>
      </c>
      <c r="K826" s="50">
        <v>725852438.98000002</v>
      </c>
      <c r="L826" s="50"/>
      <c r="M826" s="50">
        <v>725852438.98000002</v>
      </c>
      <c r="N826" s="50"/>
      <c r="O826" s="50">
        <v>73173261.019999996</v>
      </c>
      <c r="P826" s="50"/>
      <c r="Q826" s="50">
        <v>73173261.019999996</v>
      </c>
    </row>
    <row r="827" spans="1:17" x14ac:dyDescent="0.25">
      <c r="A827" s="44" t="s">
        <v>721</v>
      </c>
      <c r="B827" s="44" t="s">
        <v>88</v>
      </c>
      <c r="C827" s="44" t="s">
        <v>89</v>
      </c>
      <c r="D827" s="44" t="s">
        <v>69</v>
      </c>
      <c r="E827" s="50">
        <v>1216380900</v>
      </c>
      <c r="F827" s="50">
        <v>1125506069</v>
      </c>
      <c r="G827" s="50">
        <v>1125506069</v>
      </c>
      <c r="H827" s="50">
        <v>0</v>
      </c>
      <c r="I827" s="50">
        <v>0</v>
      </c>
      <c r="J827" s="50">
        <v>0</v>
      </c>
      <c r="K827" s="50">
        <v>1043930820.02</v>
      </c>
      <c r="L827" s="50"/>
      <c r="M827" s="50">
        <v>1043930820.02</v>
      </c>
      <c r="N827" s="50"/>
      <c r="O827" s="50">
        <v>81575248.980000004</v>
      </c>
      <c r="P827" s="50"/>
      <c r="Q827" s="50">
        <v>81575248.980000004</v>
      </c>
    </row>
    <row r="828" spans="1:17" x14ac:dyDescent="0.25">
      <c r="A828" s="44" t="s">
        <v>721</v>
      </c>
      <c r="B828" s="44" t="s">
        <v>83</v>
      </c>
      <c r="C828" s="44" t="s">
        <v>84</v>
      </c>
      <c r="D828" s="44" t="s">
        <v>85</v>
      </c>
      <c r="E828" s="50">
        <v>869285044</v>
      </c>
      <c r="F828" s="50">
        <v>818920256</v>
      </c>
      <c r="G828" s="50">
        <v>818920256</v>
      </c>
      <c r="H828" s="50">
        <v>0</v>
      </c>
      <c r="I828" s="50">
        <v>0</v>
      </c>
      <c r="J828" s="50">
        <v>0</v>
      </c>
      <c r="K828" s="50">
        <v>733225633.32000005</v>
      </c>
      <c r="L828" s="50"/>
      <c r="M828" s="50">
        <v>733225633.32000005</v>
      </c>
      <c r="N828" s="50"/>
      <c r="O828" s="50">
        <v>85694622.680000007</v>
      </c>
      <c r="P828" s="50"/>
      <c r="Q828" s="50">
        <v>85694622.680000007</v>
      </c>
    </row>
    <row r="829" spans="1:17" x14ac:dyDescent="0.25">
      <c r="A829" s="44" t="s">
        <v>721</v>
      </c>
      <c r="B829" s="44" t="s">
        <v>90</v>
      </c>
      <c r="C829" s="44" t="s">
        <v>91</v>
      </c>
      <c r="D829" s="44" t="s">
        <v>69</v>
      </c>
      <c r="E829" s="50">
        <v>1017470468</v>
      </c>
      <c r="F829" s="50">
        <v>929763051</v>
      </c>
      <c r="G829" s="50">
        <v>929763051</v>
      </c>
      <c r="H829" s="50">
        <v>0</v>
      </c>
      <c r="I829" s="50">
        <v>0</v>
      </c>
      <c r="J829" s="50">
        <v>0</v>
      </c>
      <c r="K829" s="50">
        <v>876667822</v>
      </c>
      <c r="L829" s="50"/>
      <c r="M829" s="50">
        <v>876667822</v>
      </c>
      <c r="N829" s="50"/>
      <c r="O829" s="50">
        <v>53095229</v>
      </c>
      <c r="P829" s="50"/>
      <c r="Q829" s="50">
        <v>53095229</v>
      </c>
    </row>
    <row r="830" spans="1:17" x14ac:dyDescent="0.25">
      <c r="A830" s="44" t="s">
        <v>721</v>
      </c>
      <c r="B830" s="44" t="s">
        <v>430</v>
      </c>
      <c r="C830" s="44" t="s">
        <v>697</v>
      </c>
      <c r="D830" s="44" t="s">
        <v>69</v>
      </c>
      <c r="E830" s="50">
        <v>965292547</v>
      </c>
      <c r="F830" s="50">
        <v>882083282</v>
      </c>
      <c r="G830" s="50">
        <v>882083282</v>
      </c>
      <c r="H830" s="50">
        <v>0</v>
      </c>
      <c r="I830" s="50">
        <v>0</v>
      </c>
      <c r="J830" s="50">
        <v>0</v>
      </c>
      <c r="K830" s="50">
        <v>831713736</v>
      </c>
      <c r="L830" s="50"/>
      <c r="M830" s="50">
        <v>831713736</v>
      </c>
      <c r="N830" s="50"/>
      <c r="O830" s="50">
        <v>50369546</v>
      </c>
      <c r="P830" s="50"/>
      <c r="Q830" s="50">
        <v>50369546</v>
      </c>
    </row>
    <row r="831" spans="1:17" x14ac:dyDescent="0.25">
      <c r="A831" s="44" t="s">
        <v>721</v>
      </c>
      <c r="B831" s="44" t="s">
        <v>447</v>
      </c>
      <c r="C831" s="44" t="s">
        <v>95</v>
      </c>
      <c r="D831" s="44" t="s">
        <v>69</v>
      </c>
      <c r="E831" s="50">
        <v>52177921</v>
      </c>
      <c r="F831" s="50">
        <v>47679769</v>
      </c>
      <c r="G831" s="50">
        <v>47679769</v>
      </c>
      <c r="H831" s="50">
        <v>0</v>
      </c>
      <c r="I831" s="50">
        <v>0</v>
      </c>
      <c r="J831" s="50">
        <v>0</v>
      </c>
      <c r="K831" s="50">
        <v>44954086</v>
      </c>
      <c r="L831" s="50"/>
      <c r="M831" s="50">
        <v>44954086</v>
      </c>
      <c r="N831" s="50"/>
      <c r="O831" s="50">
        <v>2725683</v>
      </c>
      <c r="P831" s="50"/>
      <c r="Q831" s="50">
        <v>2725683</v>
      </c>
    </row>
    <row r="832" spans="1:17" x14ac:dyDescent="0.25">
      <c r="A832" s="44" t="s">
        <v>721</v>
      </c>
      <c r="B832" s="44" t="s">
        <v>96</v>
      </c>
      <c r="C832" s="44" t="s">
        <v>97</v>
      </c>
      <c r="D832" s="44" t="s">
        <v>69</v>
      </c>
      <c r="E832" s="50">
        <v>1105537368</v>
      </c>
      <c r="F832" s="50">
        <v>992745664</v>
      </c>
      <c r="G832" s="50">
        <v>992745664</v>
      </c>
      <c r="H832" s="50">
        <v>0</v>
      </c>
      <c r="I832" s="50">
        <v>0</v>
      </c>
      <c r="J832" s="50">
        <v>0</v>
      </c>
      <c r="K832" s="50">
        <v>913687360.44000006</v>
      </c>
      <c r="L832" s="50"/>
      <c r="M832" s="50">
        <v>913687360.44000006</v>
      </c>
      <c r="N832" s="50"/>
      <c r="O832" s="50">
        <v>79058303.560000002</v>
      </c>
      <c r="P832" s="50"/>
      <c r="Q832" s="50">
        <v>79058303.560000002</v>
      </c>
    </row>
    <row r="833" spans="1:17" x14ac:dyDescent="0.25">
      <c r="A833" s="44" t="s">
        <v>721</v>
      </c>
      <c r="B833" s="44" t="s">
        <v>465</v>
      </c>
      <c r="C833" s="44" t="s">
        <v>698</v>
      </c>
      <c r="D833" s="44" t="s">
        <v>69</v>
      </c>
      <c r="E833" s="50">
        <v>547868675</v>
      </c>
      <c r="F833" s="50">
        <v>475557312</v>
      </c>
      <c r="G833" s="50">
        <v>475557312</v>
      </c>
      <c r="H833" s="50">
        <v>0</v>
      </c>
      <c r="I833" s="50">
        <v>0</v>
      </c>
      <c r="J833" s="50">
        <v>0</v>
      </c>
      <c r="K833" s="50">
        <v>430144315</v>
      </c>
      <c r="L833" s="50"/>
      <c r="M833" s="50">
        <v>430144315</v>
      </c>
      <c r="N833" s="50"/>
      <c r="O833" s="50">
        <v>45412997</v>
      </c>
      <c r="P833" s="50"/>
      <c r="Q833" s="50">
        <v>45412997</v>
      </c>
    </row>
    <row r="834" spans="1:17" x14ac:dyDescent="0.25">
      <c r="A834" s="44" t="s">
        <v>721</v>
      </c>
      <c r="B834" s="44" t="s">
        <v>482</v>
      </c>
      <c r="C834" s="44" t="s">
        <v>699</v>
      </c>
      <c r="D834" s="44" t="s">
        <v>69</v>
      </c>
      <c r="E834" s="50">
        <v>156533864</v>
      </c>
      <c r="F834" s="50">
        <v>172031456</v>
      </c>
      <c r="G834" s="50">
        <v>172031456</v>
      </c>
      <c r="H834" s="50">
        <v>0</v>
      </c>
      <c r="I834" s="50">
        <v>0</v>
      </c>
      <c r="J834" s="50">
        <v>0</v>
      </c>
      <c r="K834" s="50">
        <v>155668451</v>
      </c>
      <c r="L834" s="50"/>
      <c r="M834" s="50">
        <v>155668451</v>
      </c>
      <c r="N834" s="50"/>
      <c r="O834" s="50">
        <v>16363005</v>
      </c>
      <c r="P834" s="50"/>
      <c r="Q834" s="50">
        <v>16363005</v>
      </c>
    </row>
    <row r="835" spans="1:17" x14ac:dyDescent="0.25">
      <c r="A835" s="44" t="s">
        <v>721</v>
      </c>
      <c r="B835" s="44" t="s">
        <v>499</v>
      </c>
      <c r="C835" s="44" t="s">
        <v>700</v>
      </c>
      <c r="D835" s="44" t="s">
        <v>69</v>
      </c>
      <c r="E835" s="50">
        <v>313067829</v>
      </c>
      <c r="F835" s="50">
        <v>257089896</v>
      </c>
      <c r="G835" s="50">
        <v>257089896</v>
      </c>
      <c r="H835" s="50">
        <v>0</v>
      </c>
      <c r="I835" s="50">
        <v>0</v>
      </c>
      <c r="J835" s="50">
        <v>0</v>
      </c>
      <c r="K835" s="50">
        <v>248911651</v>
      </c>
      <c r="L835" s="50"/>
      <c r="M835" s="50">
        <v>248911651</v>
      </c>
      <c r="N835" s="50"/>
      <c r="O835" s="50">
        <v>8178245</v>
      </c>
      <c r="P835" s="50"/>
      <c r="Q835" s="50">
        <v>8178245</v>
      </c>
    </row>
    <row r="836" spans="1:17" x14ac:dyDescent="0.25">
      <c r="A836" s="44" t="s">
        <v>721</v>
      </c>
      <c r="B836" s="44" t="s">
        <v>516</v>
      </c>
      <c r="C836" s="44" t="s">
        <v>722</v>
      </c>
      <c r="D836" s="44" t="s">
        <v>69</v>
      </c>
      <c r="E836" s="50">
        <v>88067000</v>
      </c>
      <c r="F836" s="50">
        <v>88067000</v>
      </c>
      <c r="G836" s="50">
        <v>88067000</v>
      </c>
      <c r="H836" s="50">
        <v>0</v>
      </c>
      <c r="I836" s="50">
        <v>0</v>
      </c>
      <c r="J836" s="50">
        <v>0</v>
      </c>
      <c r="K836" s="50">
        <v>78962943.439999998</v>
      </c>
      <c r="L836" s="50"/>
      <c r="M836" s="50">
        <v>78962943.439999998</v>
      </c>
      <c r="N836" s="50"/>
      <c r="O836" s="50">
        <v>9104056.5600000005</v>
      </c>
      <c r="P836" s="50"/>
      <c r="Q836" s="50">
        <v>9104056.5600000005</v>
      </c>
    </row>
    <row r="837" spans="1:17" x14ac:dyDescent="0.25">
      <c r="A837" s="44" t="s">
        <v>721</v>
      </c>
      <c r="B837" s="44" t="s">
        <v>104</v>
      </c>
      <c r="C837" s="44" t="s">
        <v>105</v>
      </c>
      <c r="D837" s="44" t="s">
        <v>69</v>
      </c>
      <c r="E837" s="50">
        <v>45500000</v>
      </c>
      <c r="F837" s="50">
        <v>44866179</v>
      </c>
      <c r="G837" s="50">
        <v>44866179</v>
      </c>
      <c r="H837" s="50">
        <v>0</v>
      </c>
      <c r="I837" s="50">
        <v>886800</v>
      </c>
      <c r="J837" s="50">
        <v>0</v>
      </c>
      <c r="K837" s="50">
        <v>43979379</v>
      </c>
      <c r="L837" s="50"/>
      <c r="M837" s="50">
        <v>43979379</v>
      </c>
      <c r="N837" s="50"/>
      <c r="O837" s="50">
        <v>0</v>
      </c>
      <c r="P837" s="50"/>
      <c r="Q837" s="50">
        <v>0</v>
      </c>
    </row>
    <row r="838" spans="1:17" x14ac:dyDescent="0.25">
      <c r="A838" s="44" t="s">
        <v>721</v>
      </c>
      <c r="B838" s="44" t="s">
        <v>150</v>
      </c>
      <c r="C838" s="44" t="s">
        <v>151</v>
      </c>
      <c r="D838" s="44" t="s">
        <v>69</v>
      </c>
      <c r="E838" s="50">
        <v>45500000</v>
      </c>
      <c r="F838" s="50">
        <v>44866179</v>
      </c>
      <c r="G838" s="50">
        <v>44866179</v>
      </c>
      <c r="H838" s="50">
        <v>0</v>
      </c>
      <c r="I838" s="50">
        <v>886800</v>
      </c>
      <c r="J838" s="50">
        <v>0</v>
      </c>
      <c r="K838" s="50">
        <v>43979379</v>
      </c>
      <c r="L838" s="50"/>
      <c r="M838" s="50">
        <v>43979379</v>
      </c>
      <c r="N838" s="50"/>
      <c r="O838" s="50">
        <v>0</v>
      </c>
      <c r="P838" s="50"/>
      <c r="Q838" s="50">
        <v>0</v>
      </c>
    </row>
    <row r="839" spans="1:17" x14ac:dyDescent="0.25">
      <c r="A839" s="44" t="s">
        <v>721</v>
      </c>
      <c r="B839" s="44" t="s">
        <v>152</v>
      </c>
      <c r="C839" s="44" t="s">
        <v>153</v>
      </c>
      <c r="D839" s="44" t="s">
        <v>69</v>
      </c>
      <c r="E839" s="50">
        <v>45500000</v>
      </c>
      <c r="F839" s="50">
        <v>44866179</v>
      </c>
      <c r="G839" s="50">
        <v>44866179</v>
      </c>
      <c r="H839" s="50">
        <v>0</v>
      </c>
      <c r="I839" s="50">
        <v>886800</v>
      </c>
      <c r="J839" s="50">
        <v>0</v>
      </c>
      <c r="K839" s="50">
        <v>43979379</v>
      </c>
      <c r="L839" s="50"/>
      <c r="M839" s="50">
        <v>43979379</v>
      </c>
      <c r="N839" s="50"/>
      <c r="O839" s="50">
        <v>0</v>
      </c>
      <c r="P839" s="50"/>
      <c r="Q839" s="50">
        <v>0</v>
      </c>
    </row>
    <row r="840" spans="1:17" x14ac:dyDescent="0.25">
      <c r="A840" s="44" t="s">
        <v>721</v>
      </c>
      <c r="B840" s="44" t="s">
        <v>248</v>
      </c>
      <c r="C840" s="44" t="s">
        <v>249</v>
      </c>
      <c r="D840" s="44" t="s">
        <v>69</v>
      </c>
      <c r="E840" s="50">
        <v>421832742</v>
      </c>
      <c r="F840" s="50">
        <v>532771980.5</v>
      </c>
      <c r="G840" s="50">
        <v>532771980.5</v>
      </c>
      <c r="H840" s="50">
        <v>0</v>
      </c>
      <c r="I840" s="50">
        <v>0</v>
      </c>
      <c r="J840" s="50">
        <v>0</v>
      </c>
      <c r="K840" s="50">
        <v>501115028.64999998</v>
      </c>
      <c r="L840" s="50"/>
      <c r="M840" s="50">
        <v>501115028.64999998</v>
      </c>
      <c r="N840" s="50"/>
      <c r="O840" s="50">
        <v>31656951.850000001</v>
      </c>
      <c r="P840" s="50"/>
      <c r="Q840" s="50">
        <v>31656951.850000001</v>
      </c>
    </row>
    <row r="841" spans="1:17" x14ac:dyDescent="0.25">
      <c r="A841" s="44" t="s">
        <v>721</v>
      </c>
      <c r="B841" s="44" t="s">
        <v>250</v>
      </c>
      <c r="C841" s="44" t="s">
        <v>251</v>
      </c>
      <c r="D841" s="44" t="s">
        <v>69</v>
      </c>
      <c r="E841" s="50">
        <v>173230842</v>
      </c>
      <c r="F841" s="50">
        <v>157944994</v>
      </c>
      <c r="G841" s="50">
        <v>157944994</v>
      </c>
      <c r="H841" s="50">
        <v>0</v>
      </c>
      <c r="I841" s="50">
        <v>0</v>
      </c>
      <c r="J841" s="50">
        <v>0</v>
      </c>
      <c r="K841" s="50">
        <v>146815159.84</v>
      </c>
      <c r="L841" s="50"/>
      <c r="M841" s="50">
        <v>146815159.84</v>
      </c>
      <c r="N841" s="50"/>
      <c r="O841" s="50">
        <v>11129834.16</v>
      </c>
      <c r="P841" s="50"/>
      <c r="Q841" s="50">
        <v>11129834.16</v>
      </c>
    </row>
    <row r="842" spans="1:17" x14ac:dyDescent="0.25">
      <c r="A842" s="44" t="s">
        <v>721</v>
      </c>
      <c r="B842" s="44" t="s">
        <v>639</v>
      </c>
      <c r="C842" s="44" t="s">
        <v>702</v>
      </c>
      <c r="D842" s="44" t="s">
        <v>69</v>
      </c>
      <c r="E842" s="50">
        <v>147141882</v>
      </c>
      <c r="F842" s="50">
        <v>134104605</v>
      </c>
      <c r="G842" s="50">
        <v>134104605</v>
      </c>
      <c r="H842" s="50">
        <v>0</v>
      </c>
      <c r="I842" s="50">
        <v>0</v>
      </c>
      <c r="J842" s="50">
        <v>0</v>
      </c>
      <c r="K842" s="50">
        <v>124339620.72</v>
      </c>
      <c r="L842" s="50"/>
      <c r="M842" s="50">
        <v>124339620.72</v>
      </c>
      <c r="N842" s="50"/>
      <c r="O842" s="50">
        <v>9764984.2799999993</v>
      </c>
      <c r="P842" s="50"/>
      <c r="Q842" s="50">
        <v>9764984.2799999993</v>
      </c>
    </row>
    <row r="843" spans="1:17" x14ac:dyDescent="0.25">
      <c r="A843" s="44" t="s">
        <v>721</v>
      </c>
      <c r="B843" s="44" t="s">
        <v>654</v>
      </c>
      <c r="C843" s="44" t="s">
        <v>703</v>
      </c>
      <c r="D843" s="44" t="s">
        <v>69</v>
      </c>
      <c r="E843" s="50">
        <v>26088960</v>
      </c>
      <c r="F843" s="50">
        <v>23840389</v>
      </c>
      <c r="G843" s="50">
        <v>23840389</v>
      </c>
      <c r="H843" s="50">
        <v>0</v>
      </c>
      <c r="I843" s="50">
        <v>0</v>
      </c>
      <c r="J843" s="50">
        <v>0</v>
      </c>
      <c r="K843" s="50">
        <v>22475539.120000001</v>
      </c>
      <c r="L843" s="50"/>
      <c r="M843" s="50">
        <v>22475539.120000001</v>
      </c>
      <c r="N843" s="50"/>
      <c r="O843" s="50">
        <v>1364849.88</v>
      </c>
      <c r="P843" s="50"/>
      <c r="Q843" s="50">
        <v>1364849.88</v>
      </c>
    </row>
    <row r="844" spans="1:17" x14ac:dyDescent="0.25">
      <c r="A844" s="44" t="s">
        <v>721</v>
      </c>
      <c r="B844" s="44" t="s">
        <v>260</v>
      </c>
      <c r="C844" s="44" t="s">
        <v>261</v>
      </c>
      <c r="D844" s="44" t="s">
        <v>69</v>
      </c>
      <c r="E844" s="50">
        <v>223601900</v>
      </c>
      <c r="F844" s="50">
        <v>349826986.5</v>
      </c>
      <c r="G844" s="50">
        <v>349826986.5</v>
      </c>
      <c r="H844" s="50">
        <v>0</v>
      </c>
      <c r="I844" s="50">
        <v>0</v>
      </c>
      <c r="J844" s="50">
        <v>0</v>
      </c>
      <c r="K844" s="50">
        <v>334970043.24000001</v>
      </c>
      <c r="L844" s="50"/>
      <c r="M844" s="50">
        <v>334970043.24000001</v>
      </c>
      <c r="N844" s="50"/>
      <c r="O844" s="50">
        <v>14856943.26</v>
      </c>
      <c r="P844" s="50"/>
      <c r="Q844" s="50">
        <v>14856943.26</v>
      </c>
    </row>
    <row r="845" spans="1:17" x14ac:dyDescent="0.25">
      <c r="A845" s="44" t="s">
        <v>721</v>
      </c>
      <c r="B845" s="44" t="s">
        <v>262</v>
      </c>
      <c r="C845" s="44" t="s">
        <v>263</v>
      </c>
      <c r="D845" s="44" t="s">
        <v>69</v>
      </c>
      <c r="E845" s="50">
        <v>150213900</v>
      </c>
      <c r="F845" s="50">
        <v>276438986.5</v>
      </c>
      <c r="G845" s="50">
        <v>276438986.5</v>
      </c>
      <c r="H845" s="50">
        <v>0</v>
      </c>
      <c r="I845" s="50">
        <v>0</v>
      </c>
      <c r="J845" s="50">
        <v>0</v>
      </c>
      <c r="K845" s="50">
        <v>274089043.24000001</v>
      </c>
      <c r="L845" s="50"/>
      <c r="M845" s="50">
        <v>274089043.24000001</v>
      </c>
      <c r="N845" s="50"/>
      <c r="O845" s="50">
        <v>2349943.2599999998</v>
      </c>
      <c r="P845" s="50"/>
      <c r="Q845" s="50">
        <v>2349943.2599999998</v>
      </c>
    </row>
    <row r="846" spans="1:17" x14ac:dyDescent="0.25">
      <c r="A846" s="44" t="s">
        <v>721</v>
      </c>
      <c r="B846" s="44" t="s">
        <v>264</v>
      </c>
      <c r="C846" s="44" t="s">
        <v>265</v>
      </c>
      <c r="D846" s="44" t="s">
        <v>69</v>
      </c>
      <c r="E846" s="50">
        <v>73388000</v>
      </c>
      <c r="F846" s="50">
        <v>73388000</v>
      </c>
      <c r="G846" s="50">
        <v>73388000</v>
      </c>
      <c r="H846" s="50">
        <v>0</v>
      </c>
      <c r="I846" s="50">
        <v>0</v>
      </c>
      <c r="J846" s="50">
        <v>0</v>
      </c>
      <c r="K846" s="50">
        <v>60881000</v>
      </c>
      <c r="L846" s="50"/>
      <c r="M846" s="50">
        <v>60881000</v>
      </c>
      <c r="N846" s="50"/>
      <c r="O846" s="50">
        <v>12507000</v>
      </c>
      <c r="P846" s="50"/>
      <c r="Q846" s="50">
        <v>12507000</v>
      </c>
    </row>
    <row r="847" spans="1:17" x14ac:dyDescent="0.25">
      <c r="A847" s="44" t="s">
        <v>721</v>
      </c>
      <c r="B847" s="44" t="s">
        <v>286</v>
      </c>
      <c r="C847" s="44" t="s">
        <v>287</v>
      </c>
      <c r="D847" s="44" t="s">
        <v>69</v>
      </c>
      <c r="E847" s="50">
        <v>25000000</v>
      </c>
      <c r="F847" s="50">
        <v>25000000</v>
      </c>
      <c r="G847" s="50">
        <v>25000000</v>
      </c>
      <c r="H847" s="50">
        <v>0</v>
      </c>
      <c r="I847" s="50">
        <v>0</v>
      </c>
      <c r="J847" s="50">
        <v>0</v>
      </c>
      <c r="K847" s="50">
        <v>19329825.57</v>
      </c>
      <c r="L847" s="50"/>
      <c r="M847" s="50">
        <v>19329825.57</v>
      </c>
      <c r="N847" s="50"/>
      <c r="O847" s="50">
        <v>5670174.4299999997</v>
      </c>
      <c r="P847" s="50"/>
      <c r="Q847" s="50">
        <v>5670174.4299999997</v>
      </c>
    </row>
    <row r="848" spans="1:17" x14ac:dyDescent="0.25">
      <c r="A848" s="44" t="s">
        <v>721</v>
      </c>
      <c r="B848" s="44" t="s">
        <v>288</v>
      </c>
      <c r="C848" s="44" t="s">
        <v>289</v>
      </c>
      <c r="D848" s="44" t="s">
        <v>69</v>
      </c>
      <c r="E848" s="50">
        <v>10000000</v>
      </c>
      <c r="F848" s="50">
        <v>10000000</v>
      </c>
      <c r="G848" s="50">
        <v>10000000</v>
      </c>
      <c r="H848" s="50">
        <v>0</v>
      </c>
      <c r="I848" s="50">
        <v>0</v>
      </c>
      <c r="J848" s="50">
        <v>0</v>
      </c>
      <c r="K848" s="50">
        <v>5086219.99</v>
      </c>
      <c r="L848" s="50"/>
      <c r="M848" s="50">
        <v>5086219.99</v>
      </c>
      <c r="N848" s="50"/>
      <c r="O848" s="50">
        <v>4913780.01</v>
      </c>
      <c r="P848" s="50"/>
      <c r="Q848" s="50">
        <v>4913780.01</v>
      </c>
    </row>
    <row r="849" spans="1:17" x14ac:dyDescent="0.25">
      <c r="A849" s="44" t="s">
        <v>721</v>
      </c>
      <c r="B849" s="44" t="s">
        <v>370</v>
      </c>
      <c r="C849" s="44" t="s">
        <v>371</v>
      </c>
      <c r="D849" s="44" t="s">
        <v>69</v>
      </c>
      <c r="E849" s="50">
        <v>15000000</v>
      </c>
      <c r="F849" s="50">
        <v>15000000</v>
      </c>
      <c r="G849" s="50">
        <v>15000000</v>
      </c>
      <c r="H849" s="50">
        <v>0</v>
      </c>
      <c r="I849" s="50">
        <v>0</v>
      </c>
      <c r="J849" s="50">
        <v>0</v>
      </c>
      <c r="K849" s="50">
        <v>14243605.58</v>
      </c>
      <c r="L849" s="50"/>
      <c r="M849" s="50">
        <v>14243605.58</v>
      </c>
      <c r="N849" s="50"/>
      <c r="O849" s="50">
        <v>756394.42</v>
      </c>
      <c r="P849" s="50"/>
      <c r="Q849" s="50">
        <v>756394.42</v>
      </c>
    </row>
    <row r="850" spans="1:17" x14ac:dyDescent="0.25">
      <c r="A850" s="53"/>
      <c r="B850" s="53"/>
      <c r="C850" s="53"/>
      <c r="D850" s="53"/>
      <c r="E850" s="54">
        <v>765104920000</v>
      </c>
      <c r="F850" s="54">
        <v>741992058600</v>
      </c>
      <c r="G850" s="54">
        <v>741992058600</v>
      </c>
      <c r="H850" s="54">
        <v>0</v>
      </c>
      <c r="I850" s="54">
        <v>11155858169.25</v>
      </c>
      <c r="J850" s="54">
        <v>0</v>
      </c>
      <c r="K850" s="54">
        <v>683150430762.65002</v>
      </c>
      <c r="L850" s="54"/>
      <c r="M850" s="54">
        <v>662419901913.65002</v>
      </c>
      <c r="N850" s="54"/>
      <c r="O850" s="54">
        <v>47685769668.099998</v>
      </c>
      <c r="P850" s="54"/>
      <c r="Q850" s="54">
        <v>47685769668.099998</v>
      </c>
    </row>
  </sheetData>
  <sheetProtection selectLockedCells="1" selectUnlockedCells="1"/>
  <autoFilter ref="A1:Q850"/>
  <conditionalFormatting sqref="K2:L451">
    <cfRule type="cellIs" dxfId="33" priority="1" stopIfTrue="1" operator="lessThan">
      <formula>0</formula>
    </cfRule>
  </conditionalFormatting>
  <pageMargins left="0" right="0.70833333333333337" top="0.74791666666666667" bottom="0.74791666666666667" header="0.51180555555555551" footer="0.51180555555555551"/>
  <pageSetup scale="60" firstPageNumber="0" orientation="landscape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zoomScaleNormal="100" workbookViewId="0"/>
  </sheetViews>
  <sheetFormatPr baseColWidth="10" defaultColWidth="11" defaultRowHeight="15" x14ac:dyDescent="0.25"/>
  <cols>
    <col min="1" max="1" width="5.7109375" customWidth="1"/>
    <col min="2" max="2" width="18.85546875" customWidth="1"/>
    <col min="3" max="3" width="18" customWidth="1"/>
    <col min="4" max="4" width="16.85546875" customWidth="1"/>
    <col min="5" max="5" width="14.7109375" customWidth="1"/>
    <col min="6" max="6" width="7.42578125" customWidth="1"/>
    <col min="7" max="7" width="15.7109375" customWidth="1"/>
    <col min="8" max="8" width="11.85546875" customWidth="1"/>
    <col min="9" max="9" width="16" customWidth="1"/>
    <col min="10" max="10" width="7.5703125" customWidth="1"/>
    <col min="11" max="11" width="16.85546875" customWidth="1"/>
    <col min="12" max="12" width="7.28515625" customWidth="1"/>
    <col min="13" max="13" width="16.85546875" customWidth="1"/>
    <col min="14" max="14" width="9.7109375" customWidth="1"/>
    <col min="15" max="15" width="16.85546875" customWidth="1"/>
    <col min="16" max="16" width="7.7109375" customWidth="1"/>
    <col min="17" max="17" width="15.7109375" customWidth="1"/>
    <col min="18" max="18" width="9.140625" customWidth="1"/>
  </cols>
  <sheetData>
    <row r="1" spans="1:19" ht="15.75" x14ac:dyDescent="0.25">
      <c r="A1" s="191"/>
      <c r="B1" s="191"/>
      <c r="C1" s="191"/>
    </row>
    <row r="2" spans="1:19" ht="24" x14ac:dyDescent="0.25">
      <c r="A2" s="64" t="s">
        <v>393</v>
      </c>
      <c r="B2" s="64"/>
      <c r="C2" s="64" t="s">
        <v>395</v>
      </c>
      <c r="D2" s="64" t="s">
        <v>723</v>
      </c>
      <c r="E2" s="64" t="s">
        <v>59</v>
      </c>
      <c r="F2" s="64" t="s">
        <v>396</v>
      </c>
      <c r="G2" s="64" t="s">
        <v>60</v>
      </c>
      <c r="H2" s="64" t="s">
        <v>397</v>
      </c>
      <c r="I2" s="64" t="s">
        <v>11</v>
      </c>
      <c r="J2" s="64" t="s">
        <v>398</v>
      </c>
      <c r="K2" s="64" t="s">
        <v>12</v>
      </c>
      <c r="L2" s="64" t="s">
        <v>399</v>
      </c>
      <c r="M2" s="64" t="s">
        <v>63</v>
      </c>
      <c r="N2" s="64" t="s">
        <v>64</v>
      </c>
      <c r="O2" s="64" t="s">
        <v>724</v>
      </c>
      <c r="P2" s="64" t="s">
        <v>400</v>
      </c>
      <c r="Q2" s="64" t="s">
        <v>725</v>
      </c>
      <c r="R2" s="65" t="s">
        <v>401</v>
      </c>
    </row>
    <row r="3" spans="1:19" x14ac:dyDescent="0.25">
      <c r="A3" s="66" t="s">
        <v>402</v>
      </c>
      <c r="B3" s="66"/>
      <c r="C3" s="66" t="s">
        <v>403</v>
      </c>
      <c r="D3" s="66" t="s">
        <v>403</v>
      </c>
      <c r="E3" s="66" t="s">
        <v>403</v>
      </c>
      <c r="F3" s="192"/>
      <c r="G3" s="66" t="s">
        <v>403</v>
      </c>
      <c r="H3" s="66"/>
      <c r="I3" s="66" t="s">
        <v>403</v>
      </c>
      <c r="J3" s="192"/>
      <c r="K3" s="66" t="s">
        <v>403</v>
      </c>
      <c r="L3" s="66"/>
      <c r="M3" s="66" t="s">
        <v>403</v>
      </c>
      <c r="N3" s="66"/>
      <c r="O3" s="66" t="s">
        <v>403</v>
      </c>
      <c r="P3" s="66"/>
      <c r="Q3" s="66" t="s">
        <v>403</v>
      </c>
      <c r="R3" s="69"/>
    </row>
    <row r="4" spans="1:19" x14ac:dyDescent="0.25">
      <c r="A4" s="66" t="s">
        <v>71</v>
      </c>
      <c r="B4" s="66" t="s">
        <v>72</v>
      </c>
      <c r="C4" s="69">
        <f>SUMIF(Estado!$A$9:$A$280,$A4,Estado!$C$9:$C$280)</f>
        <v>94465165805.5</v>
      </c>
      <c r="D4" s="69">
        <f>SUMIF(Estado!$A$9:$A$450,$A4,Estado!$D$9:$D$450)</f>
        <v>94465165805.5</v>
      </c>
      <c r="E4" s="69">
        <f>SUMIF(Estado!$A$9:$A$450,$A4,Estado!$E$9:$E$450)</f>
        <v>0</v>
      </c>
      <c r="F4" s="193">
        <f t="shared" ref="F4:F11" si="0">+E4/C4</f>
        <v>0</v>
      </c>
      <c r="G4" s="69">
        <f>SUMIF(Estado!$A$9:$A$450,$A4,Estado!$G$9:$G$450)</f>
        <v>58064915.509999998</v>
      </c>
      <c r="H4" s="193">
        <f>+G4/$C$4</f>
        <v>6.1467012750026121E-4</v>
      </c>
      <c r="I4" s="69">
        <f>SUMIF(Estado!$A$9:$A$450,$A4,Estado!$I$9:$I$450)</f>
        <v>0</v>
      </c>
      <c r="J4" s="193">
        <f t="shared" ref="J4:J8" si="1">+I4/(E4+G4)</f>
        <v>0</v>
      </c>
      <c r="K4" s="69">
        <f>SUMIF(Estado!$A$9:$A$450,$A4,Estado!$K$9:$K$450)</f>
        <v>89065354586.549988</v>
      </c>
      <c r="L4" s="193">
        <f>+K4/$C$4</f>
        <v>0.94283806974871553</v>
      </c>
      <c r="M4" s="69">
        <f>SUMIF(Estado!$A$9:$A$450,$A4,Estado!$M$9:$M$450)</f>
        <v>89065354586.549988</v>
      </c>
      <c r="N4" s="193">
        <f>+M4/$C$4</f>
        <v>0.94283806974871553</v>
      </c>
      <c r="O4" s="69">
        <f>SUMIF(Estado!$A$9:$A$450,$A4,Estado!$O$9:$O$450)</f>
        <v>5341746303.4400005</v>
      </c>
      <c r="P4" s="193">
        <f>+O4/$C$4</f>
        <v>5.6547260123784068E-2</v>
      </c>
      <c r="Q4" s="69">
        <f>SUMIF(Estado!$A$9:$A$450,$A4,Estado!$Q$9:$Q$450)</f>
        <v>5341746303.4400005</v>
      </c>
      <c r="R4" s="193">
        <f>+Q4/$C$4</f>
        <v>5.6547260123784068E-2</v>
      </c>
    </row>
    <row r="5" spans="1:19" x14ac:dyDescent="0.25">
      <c r="A5" s="66" t="s">
        <v>104</v>
      </c>
      <c r="B5" s="66" t="s">
        <v>105</v>
      </c>
      <c r="C5" s="69">
        <f>SUMIF(Estado!$A$9:$A$280,$A5,Estado!$C$9:$C$280)</f>
        <v>19336844595</v>
      </c>
      <c r="D5" s="69">
        <f>SUMIF(Estado!$A$9:$A$450,$A5,Estado!$D$9:$D$450)</f>
        <v>19336844595</v>
      </c>
      <c r="E5" s="69">
        <f>SUMIF(Estado!$A$9:$A$450,$A5,Estado!$E$9:$E$450)</f>
        <v>0</v>
      </c>
      <c r="F5" s="193">
        <f t="shared" si="0"/>
        <v>0</v>
      </c>
      <c r="G5" s="69">
        <f>SUMIF(Estado!$A$9:$A$450,$A5,Estado!$G$9:$G$450)</f>
        <v>821132059.81000006</v>
      </c>
      <c r="H5" s="193">
        <f>+G5/$C$5</f>
        <v>4.2464635622211248E-2</v>
      </c>
      <c r="I5" s="69">
        <f>SUMIF(Estado!$A$9:$A$450,$A5,Estado!$I$9:$I$450)</f>
        <v>0</v>
      </c>
      <c r="J5" s="193">
        <f t="shared" si="1"/>
        <v>0</v>
      </c>
      <c r="K5" s="69">
        <f>SUMIF(Estado!$A$9:$A$450,$A5,Estado!$K$9:$K$450)</f>
        <v>16969395887.980001</v>
      </c>
      <c r="L5" s="193">
        <f>+K5/$C$5</f>
        <v>0.87756799226528626</v>
      </c>
      <c r="M5" s="69">
        <f>SUMIF(Estado!$A$9:$A$450,$A5,Estado!$M$9:$M$450)</f>
        <v>16023006450.529999</v>
      </c>
      <c r="N5" s="193">
        <f>+M5/$C$5</f>
        <v>0.82862570321701434</v>
      </c>
      <c r="O5" s="69">
        <f>SUMIF(Estado!$A$9:$A$450,$A5,Estado!$O$9:$O$450)</f>
        <v>1546316647.21</v>
      </c>
      <c r="P5" s="193">
        <f>+O5/$C$5</f>
        <v>7.9967372112502627E-2</v>
      </c>
      <c r="Q5" s="69">
        <f>SUMIF(Estado!$A$9:$A$450,$A5,Estado!$Q$9:$Q$450)</f>
        <v>1546316647.21</v>
      </c>
      <c r="R5" s="193">
        <f>+Q5/$C$5</f>
        <v>7.9967372112502627E-2</v>
      </c>
    </row>
    <row r="6" spans="1:19" x14ac:dyDescent="0.25">
      <c r="A6" s="66" t="s">
        <v>184</v>
      </c>
      <c r="B6" s="66" t="s">
        <v>571</v>
      </c>
      <c r="C6" s="69">
        <f>SUMIF(Estado!$A$9:$A$280,$A6,Estado!$C$9:$C$280)</f>
        <v>16512433047</v>
      </c>
      <c r="D6" s="69">
        <f>SUMIF(Estado!$A$9:$A$450,$A6,Estado!$D$9:$D$450)</f>
        <v>16512433047</v>
      </c>
      <c r="E6" s="69">
        <f>SUMIF(Estado!$A$9:$A$450,$A6,Estado!$E$9:$E$450)</f>
        <v>0</v>
      </c>
      <c r="F6" s="193">
        <f t="shared" si="0"/>
        <v>0</v>
      </c>
      <c r="G6" s="69">
        <f>SUMIF(Estado!$A$9:$A$450,$A6,Estado!$G$9:$G$450)</f>
        <v>1035084392.23</v>
      </c>
      <c r="H6" s="193">
        <f>+G6/$C$6</f>
        <v>6.2685153016747916E-2</v>
      </c>
      <c r="I6" s="69">
        <f>SUMIF(Estado!$A$9:$A$450,$A6,Estado!$I$9:$I$450)</f>
        <v>0</v>
      </c>
      <c r="J6" s="193">
        <f t="shared" si="1"/>
        <v>0</v>
      </c>
      <c r="K6" s="69">
        <f>SUMIF(Estado!$A$9:$A$450,$A6,Estado!$K$9:$K$450)</f>
        <v>14913238479.99</v>
      </c>
      <c r="L6" s="193">
        <f>+K6/$C$6</f>
        <v>0.90315209379149952</v>
      </c>
      <c r="M6" s="69">
        <f>SUMIF(Estado!$A$9:$A$450,$A6,Estado!$M$9:$M$450)</f>
        <v>11824171006.459999</v>
      </c>
      <c r="N6" s="193">
        <f>+M6/$C$6</f>
        <v>0.71607684783970882</v>
      </c>
      <c r="O6" s="69">
        <f>SUMIF(Estado!$A$9:$A$450,$A6,Estado!$O$9:$O$450)</f>
        <v>564110174.78000009</v>
      </c>
      <c r="P6" s="193">
        <f>+O6/$C$6</f>
        <v>3.4162753191752583E-2</v>
      </c>
      <c r="Q6" s="69">
        <f>SUMIF(Estado!$A$9:$A$450,$A6,Estado!$Q$9:$Q$450)</f>
        <v>564110174.78000009</v>
      </c>
      <c r="R6" s="193">
        <f>+Q6/$C$6</f>
        <v>3.4162753191752583E-2</v>
      </c>
    </row>
    <row r="7" spans="1:19" x14ac:dyDescent="0.25">
      <c r="A7" s="66" t="s">
        <v>230</v>
      </c>
      <c r="B7" s="66" t="s">
        <v>231</v>
      </c>
      <c r="C7" s="69">
        <f>SUMIF(Estado!$A$9:$A$280,$A7,Estado!$C$9:$C$280)</f>
        <v>2276506415</v>
      </c>
      <c r="D7" s="69">
        <f>SUMIF(Estado!$A$9:$A$450,$A7,Estado!$D$9:$D$450)</f>
        <v>2276506415</v>
      </c>
      <c r="E7" s="69">
        <f>SUMIF(Estado!$A$9:$A$450,$A7,Estado!$E$9:$E$450)</f>
        <v>0</v>
      </c>
      <c r="F7" s="193">
        <f t="shared" si="0"/>
        <v>0</v>
      </c>
      <c r="G7" s="69">
        <f>SUMIF(Estado!$A$9:$A$450,$A7,Estado!$G$9:$G$450)</f>
        <v>114707718.10000001</v>
      </c>
      <c r="H7" s="193">
        <f>+G7/$C$7</f>
        <v>5.0387610306821824E-2</v>
      </c>
      <c r="I7" s="69">
        <f>SUMIF(Estado!$A$9:$A$450,$A7,Estado!$I$9:$I$450)</f>
        <v>0</v>
      </c>
      <c r="J7" s="193">
        <f t="shared" si="1"/>
        <v>0</v>
      </c>
      <c r="K7" s="69">
        <f>SUMIF(Estado!$A$9:$A$450,$A7,Estado!$K$9:$K$450)</f>
        <v>1511782895.3500001</v>
      </c>
      <c r="L7" s="193">
        <f>+K7/$C$7</f>
        <v>0.66408022634541974</v>
      </c>
      <c r="M7" s="69">
        <f>SUMIF(Estado!$A$9:$A$450,$A7,Estado!$M$9:$M$450)</f>
        <v>1401134036.53</v>
      </c>
      <c r="N7" s="193">
        <f>+M7/$C$7</f>
        <v>0.61547554941987714</v>
      </c>
      <c r="O7" s="69">
        <f>SUMIF(Estado!$A$9:$A$450,$A7,Estado!$O$9:$O$450)</f>
        <v>650015801.55000019</v>
      </c>
      <c r="P7" s="193">
        <f>+O7/$C$7</f>
        <v>0.28553216334775855</v>
      </c>
      <c r="Q7" s="69">
        <f>SUMIF(Estado!$A$9:$A$450,$A7,Estado!$Q$9:$Q$450)</f>
        <v>650015801.55000019</v>
      </c>
      <c r="R7" s="193">
        <f>+Q7/$C$7</f>
        <v>0.28553216334775855</v>
      </c>
    </row>
    <row r="8" spans="1:19" x14ac:dyDescent="0.25">
      <c r="A8" s="66" t="s">
        <v>248</v>
      </c>
      <c r="B8" s="66" t="s">
        <v>613</v>
      </c>
      <c r="C8" s="69">
        <f>SUMIF(Estado!$A$9:$A$280,$A8,Estado!$C$9:$C$280)</f>
        <v>15226061857.5</v>
      </c>
      <c r="D8" s="69">
        <f>SUMIF(Estado!$A$9:$A$450,$A8,Estado!$D$9:$D$450)</f>
        <v>15226061857.5</v>
      </c>
      <c r="E8" s="69">
        <f>SUMIF(Estado!$A$9:$A$450,$A8,Estado!$E$9:$E$450)</f>
        <v>0</v>
      </c>
      <c r="F8" s="193">
        <f t="shared" si="0"/>
        <v>0</v>
      </c>
      <c r="G8" s="69">
        <f>SUMIF(Estado!$A$9:$A$450,$A8,Estado!$G$9:$G$450)</f>
        <v>202182548.19999999</v>
      </c>
      <c r="H8" s="193">
        <f>+G8/$C$8</f>
        <v>1.3278715802695207E-2</v>
      </c>
      <c r="I8" s="69">
        <f>SUMIF(Estado!$A$9:$A$450,$A8,Estado!$I$9:$I$450)</f>
        <v>0</v>
      </c>
      <c r="J8" s="193">
        <f t="shared" si="1"/>
        <v>0</v>
      </c>
      <c r="K8" s="69">
        <f>SUMIF(Estado!$A$9:$A$450,$A8,Estado!$K$9:$K$450)</f>
        <v>14044527566.980001</v>
      </c>
      <c r="L8" s="193">
        <f>+K8/$C$8</f>
        <v>0.92240053261454458</v>
      </c>
      <c r="M8" s="69">
        <f>SUMIF(Estado!$A$9:$A$450,$A8,Estado!$M$9:$M$450)</f>
        <v>14044527566.980001</v>
      </c>
      <c r="N8" s="193">
        <f>+M8/$C$8</f>
        <v>0.92240053261454458</v>
      </c>
      <c r="O8" s="69">
        <f>SUMIF(Estado!$A$9:$A$450,$A8,Estado!$O$9:$O$450)</f>
        <v>979351742.32000005</v>
      </c>
      <c r="P8" s="193">
        <f>+O8/$C$8</f>
        <v>6.4320751582760349E-2</v>
      </c>
      <c r="Q8" s="69">
        <f>SUMIF(Estado!$A$9:$A$450,$A8,Estado!$Q$9:$Q$450)</f>
        <v>979351742.32000005</v>
      </c>
      <c r="R8" s="193">
        <f>+Q8/$C$8</f>
        <v>6.4320751582760349E-2</v>
      </c>
    </row>
    <row r="9" spans="1:19" x14ac:dyDescent="0.25">
      <c r="A9" s="66" t="s">
        <v>372</v>
      </c>
      <c r="B9" s="66" t="s">
        <v>670</v>
      </c>
      <c r="C9" s="69">
        <f>SUMIF(Estado!$A$9:$A$280,$A9,Estado!$C$9:$C$280)</f>
        <v>581400000</v>
      </c>
      <c r="D9" s="69">
        <f>SUMIF(Estado!$A$9:$A$450,$A9,Estado!$D$9:$D$450)</f>
        <v>581400000</v>
      </c>
      <c r="E9" s="69">
        <f>SUMIF(Estado!$A$9:$A$450,$A9,Estado!$E$9:$E$450)</f>
        <v>0</v>
      </c>
      <c r="F9" s="193">
        <f t="shared" si="0"/>
        <v>0</v>
      </c>
      <c r="G9" s="69">
        <f>SUMIF(Estado!$A$9:$A$450,$A9,Estado!$G$9:$G$450)</f>
        <v>0</v>
      </c>
      <c r="H9" s="193">
        <f>+G9/$C$9</f>
        <v>0</v>
      </c>
      <c r="I9" s="69">
        <f>SUMIF(Estado!$A$9:$A$450,$A9,Estado!$I$9:$I$450)</f>
        <v>0</v>
      </c>
      <c r="J9" s="193">
        <v>0</v>
      </c>
      <c r="K9" s="69">
        <f>SUMIF(Estado!$A$9:$A$450,$A9,Estado!$K$9:$K$450)</f>
        <v>125786735.68000001</v>
      </c>
      <c r="L9" s="193">
        <f>+K9/$C$9</f>
        <v>0.21635145455796354</v>
      </c>
      <c r="M9" s="69">
        <f>SUMIF(Estado!$A$9:$A$450,$A9,Estado!$M$9:$M$450)</f>
        <v>125786735.68000001</v>
      </c>
      <c r="N9" s="193">
        <f>+M9/$C$9</f>
        <v>0.21635145455796354</v>
      </c>
      <c r="O9" s="69">
        <f>SUMIF(Estado!$A$9:$A$450,$A9,Estado!$O$9:$O$450)</f>
        <v>455613264.31999999</v>
      </c>
      <c r="P9" s="193">
        <f>+O9/$C$9</f>
        <v>0.78364854544203644</v>
      </c>
      <c r="Q9" s="69">
        <f>SUMIF(Estado!$A$9:$A$450,$A9,Estado!$Q$9:$Q$450)</f>
        <v>455613264.31999999</v>
      </c>
      <c r="R9" s="193">
        <f>+Q9/$C$9</f>
        <v>0.78364854544203644</v>
      </c>
    </row>
    <row r="10" spans="1:19" x14ac:dyDescent="0.25">
      <c r="A10" s="66" t="s">
        <v>678</v>
      </c>
      <c r="B10" s="66" t="s">
        <v>679</v>
      </c>
      <c r="C10" s="69">
        <f>SUMIF(Estado!$A$9:$A$280,$A10,Estado!$C$9:$C$280)</f>
        <v>0</v>
      </c>
      <c r="D10" s="69">
        <f>SUMIF(Estado!$A$9:$A$450,$A10,Estado!$D$9:$D$450)</f>
        <v>0</v>
      </c>
      <c r="E10" s="69">
        <f>SUMIF(Estado!$A$9:$A$450,$A10,Estado!$E$9:$E$450)</f>
        <v>0</v>
      </c>
      <c r="F10" s="193" t="e">
        <f t="shared" si="0"/>
        <v>#DIV/0!</v>
      </c>
      <c r="G10" s="69">
        <f>SUMIF(Estado!$A$9:$A$450,$A10,Estado!$G$9:$G$450)</f>
        <v>0</v>
      </c>
      <c r="H10" s="193" t="e">
        <f>+G10/$C$10</f>
        <v>#DIV/0!</v>
      </c>
      <c r="I10" s="69">
        <f>SUMIF(Estado!$A$9:$A$450,$A10,Estado!$I$9:$I$450)</f>
        <v>0</v>
      </c>
      <c r="J10" s="193">
        <v>0</v>
      </c>
      <c r="K10" s="69">
        <f>SUMIF(Estado!$A$9:$A$450,$A10,Estado!$K$9:$K$450)</f>
        <v>0</v>
      </c>
      <c r="L10" s="193" t="e">
        <f>+K10/$C$10</f>
        <v>#DIV/0!</v>
      </c>
      <c r="M10" s="69">
        <f>SUMIF(Estado!$A$9:$A$450,$A10,Estado!$M$9:$M$450)</f>
        <v>0</v>
      </c>
      <c r="N10" s="193" t="e">
        <f>+M10/$C$10</f>
        <v>#DIV/0!</v>
      </c>
      <c r="O10" s="69">
        <f>SUMIF(Estado!$A$9:$A$450,$A10,Estado!$O$9:$O$450)</f>
        <v>0</v>
      </c>
      <c r="P10" s="193" t="e">
        <f>+O10/$C$10</f>
        <v>#DIV/0!</v>
      </c>
      <c r="Q10" s="69">
        <f>SUMIF(Estado!$A$9:$A$450,$A10,Estado!$Q$9:$Q$450)</f>
        <v>0</v>
      </c>
      <c r="R10" s="193" t="e">
        <f>+Q10/$C$10</f>
        <v>#DIV/0!</v>
      </c>
    </row>
    <row r="11" spans="1:19" x14ac:dyDescent="0.25">
      <c r="A11" s="35" t="s">
        <v>726</v>
      </c>
      <c r="B11" s="35"/>
      <c r="C11" s="36">
        <f>SUM(C4:C10)</f>
        <v>148398411720</v>
      </c>
      <c r="D11" s="36">
        <f>SUM(D4:D10)</f>
        <v>148398411720</v>
      </c>
      <c r="E11" s="36">
        <f>SUM(E4:E10)</f>
        <v>0</v>
      </c>
      <c r="F11" s="37">
        <f t="shared" si="0"/>
        <v>0</v>
      </c>
      <c r="G11" s="36">
        <f>SUM(G4:G10)</f>
        <v>2231171633.8499999</v>
      </c>
      <c r="H11" s="37">
        <f>+G11/$C$11</f>
        <v>1.5035010199838276E-2</v>
      </c>
      <c r="I11" s="36">
        <f>SUM(I4:I10)</f>
        <v>0</v>
      </c>
      <c r="J11" s="37">
        <f>+I11/(E11+G11)</f>
        <v>0</v>
      </c>
      <c r="K11" s="36">
        <f>SUM(K4:K10)</f>
        <v>136630086152.52998</v>
      </c>
      <c r="L11" s="37">
        <f>+K11/$C$11</f>
        <v>0.92069776602680464</v>
      </c>
      <c r="M11" s="36">
        <f>SUM(M4:M10)</f>
        <v>132483980382.72997</v>
      </c>
      <c r="N11" s="37">
        <f>+M11/$C$11</f>
        <v>0.89275874887867679</v>
      </c>
      <c r="O11" s="36">
        <f>SUM(O4:O10)</f>
        <v>9537153933.6200008</v>
      </c>
      <c r="P11" s="37">
        <f>+O11/$C$11</f>
        <v>6.4267223773356974E-2</v>
      </c>
      <c r="Q11" s="36">
        <f>SUM(Q4:Q10)</f>
        <v>9537153933.6200008</v>
      </c>
      <c r="R11" s="37">
        <f>+Q11/$C$11</f>
        <v>6.4267223773356974E-2</v>
      </c>
    </row>
    <row r="12" spans="1:19" s="41" customFormat="1" ht="12.75" x14ac:dyDescent="0.2">
      <c r="D12" s="40">
        <f>+Estado!C281-C11</f>
        <v>0</v>
      </c>
      <c r="E12" s="40">
        <f>+Estado!D281-D11</f>
        <v>0</v>
      </c>
      <c r="F12" s="40">
        <f>+Estado!E281-E11</f>
        <v>0</v>
      </c>
      <c r="G12" s="40"/>
      <c r="H12" s="40">
        <f>+Estado!G281-G11</f>
        <v>0</v>
      </c>
      <c r="I12" s="40"/>
      <c r="J12" s="40">
        <f>+Estado!I281-I11</f>
        <v>0</v>
      </c>
      <c r="K12" s="40"/>
      <c r="L12" s="40">
        <f>+Estado!K281-K11</f>
        <v>0</v>
      </c>
      <c r="M12" s="40"/>
      <c r="N12" s="40">
        <f>+Estado!M281-M11</f>
        <v>0</v>
      </c>
      <c r="O12" s="40"/>
      <c r="P12" s="40">
        <f>+Estado!O281-O11</f>
        <v>0</v>
      </c>
      <c r="Q12" s="40"/>
      <c r="R12" s="40">
        <f>+Estado!Q281-Q11</f>
        <v>0</v>
      </c>
      <c r="S12" s="40"/>
    </row>
    <row r="13" spans="1:19" ht="25.5" x14ac:dyDescent="0.25">
      <c r="A13" s="26"/>
      <c r="B13" s="26"/>
      <c r="C13" s="194" t="s">
        <v>727</v>
      </c>
      <c r="D13" s="195" t="s">
        <v>728</v>
      </c>
    </row>
    <row r="14" spans="1:19" ht="15" customHeight="1" x14ac:dyDescent="0.25">
      <c r="A14" s="613" t="s">
        <v>729</v>
      </c>
      <c r="B14" s="613"/>
      <c r="C14" s="196">
        <f>+D14/C11*100</f>
        <v>0</v>
      </c>
      <c r="D14" s="197">
        <f>+E11</f>
        <v>0</v>
      </c>
    </row>
    <row r="15" spans="1:19" ht="15" customHeight="1" x14ac:dyDescent="0.25">
      <c r="A15" s="614" t="s">
        <v>730</v>
      </c>
      <c r="B15" s="614"/>
      <c r="C15" s="196">
        <f>+D15/C11*100</f>
        <v>1.5035010199838277</v>
      </c>
      <c r="D15" s="197">
        <f>+G11</f>
        <v>2231171633.8499999</v>
      </c>
    </row>
    <row r="16" spans="1:19" ht="15" customHeight="1" x14ac:dyDescent="0.25">
      <c r="A16" s="614" t="s">
        <v>731</v>
      </c>
      <c r="B16" s="614"/>
      <c r="C16" s="196">
        <f>+D16/C11*100</f>
        <v>0</v>
      </c>
      <c r="D16" s="197">
        <f>+I11</f>
        <v>0</v>
      </c>
    </row>
    <row r="17" spans="1:4" ht="56.25" customHeight="1" x14ac:dyDescent="0.25">
      <c r="A17" s="614" t="s">
        <v>732</v>
      </c>
      <c r="B17" s="614"/>
      <c r="C17" s="196">
        <f>+D17/C11*100</f>
        <v>92.069776602680463</v>
      </c>
      <c r="D17" s="197">
        <f>+K11</f>
        <v>136630086152.52998</v>
      </c>
    </row>
    <row r="18" spans="1:4" ht="15" customHeight="1" x14ac:dyDescent="0.25">
      <c r="A18" s="614" t="s">
        <v>733</v>
      </c>
      <c r="B18" s="614"/>
      <c r="C18" s="196">
        <f>+D18/C11*100</f>
        <v>6.4267223773356976</v>
      </c>
      <c r="D18" s="197">
        <f>+O11</f>
        <v>9537153933.6200008</v>
      </c>
    </row>
    <row r="19" spans="1:4" ht="15" customHeight="1" x14ac:dyDescent="0.25">
      <c r="A19" s="614" t="s">
        <v>23</v>
      </c>
      <c r="B19" s="614"/>
      <c r="C19" s="198">
        <f>SUM(C14:C18)</f>
        <v>99.999999999999986</v>
      </c>
      <c r="D19" s="199">
        <f>SUM(D14:D18)</f>
        <v>148398411719.99997</v>
      </c>
    </row>
    <row r="20" spans="1:4" x14ac:dyDescent="0.25">
      <c r="A20" s="614"/>
      <c r="B20" s="614"/>
    </row>
    <row r="21" spans="1:4" ht="15" customHeight="1" x14ac:dyDescent="0.25">
      <c r="A21" s="614" t="s">
        <v>734</v>
      </c>
      <c r="B21" s="614"/>
      <c r="C21" s="196">
        <f>+D21/C11*100</f>
        <v>93.573277622664293</v>
      </c>
      <c r="D21" s="197">
        <f>+E11+G11+I11+K11</f>
        <v>138861257786.37997</v>
      </c>
    </row>
    <row r="22" spans="1:4" ht="15" customHeight="1" x14ac:dyDescent="0.25">
      <c r="A22" s="614" t="s">
        <v>735</v>
      </c>
      <c r="B22" s="614"/>
      <c r="C22" s="196">
        <f>+D22/C11*100</f>
        <v>89.275874887867673</v>
      </c>
      <c r="D22" s="197">
        <f>+M11</f>
        <v>132483980382.72997</v>
      </c>
    </row>
    <row r="23" spans="1:4" ht="15" customHeight="1" x14ac:dyDescent="0.25">
      <c r="A23" s="614" t="s">
        <v>736</v>
      </c>
      <c r="B23" s="614"/>
      <c r="C23" s="196">
        <f>+D23/C11*100</f>
        <v>6.4267223773356976</v>
      </c>
      <c r="D23" s="197">
        <f>+Q11</f>
        <v>9537153933.6200008</v>
      </c>
    </row>
  </sheetData>
  <sheetProtection selectLockedCells="1" selectUnlockedCells="1"/>
  <mergeCells count="10">
    <mergeCell ref="A20:B20"/>
    <mergeCell ref="A21:B21"/>
    <mergeCell ref="A22:B22"/>
    <mergeCell ref="A23:B23"/>
    <mergeCell ref="A14:B14"/>
    <mergeCell ref="A15:B15"/>
    <mergeCell ref="A16:B16"/>
    <mergeCell ref="A17:B17"/>
    <mergeCell ref="A18:B18"/>
    <mergeCell ref="A19:B19"/>
  </mergeCells>
  <pageMargins left="0" right="0" top="0.74791666666666667" bottom="0.74791666666666667" header="0.51180555555555551" footer="0.51180555555555551"/>
  <pageSetup scale="55" firstPageNumber="0" orientation="landscape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zoomScaleNormal="100" workbookViewId="0">
      <selection sqref="A1:D1"/>
    </sheetView>
  </sheetViews>
  <sheetFormatPr baseColWidth="10" defaultColWidth="11" defaultRowHeight="15" x14ac:dyDescent="0.25"/>
  <cols>
    <col min="1" max="1" width="12.28515625" customWidth="1"/>
    <col min="2" max="2" width="24.5703125" customWidth="1"/>
    <col min="3" max="3" width="14.5703125" customWidth="1"/>
    <col min="4" max="4" width="18.7109375" customWidth="1"/>
    <col min="5" max="5" width="7.85546875" customWidth="1"/>
  </cols>
  <sheetData>
    <row r="1" spans="1:5" ht="18.75" x14ac:dyDescent="0.3">
      <c r="A1" s="615">
        <v>2020</v>
      </c>
      <c r="B1" s="615"/>
      <c r="C1" s="615"/>
      <c r="D1" s="615"/>
    </row>
    <row r="2" spans="1:5" ht="59.25" customHeight="1" x14ac:dyDescent="0.25">
      <c r="A2" s="200" t="s">
        <v>737</v>
      </c>
      <c r="B2" s="201" t="s">
        <v>738</v>
      </c>
      <c r="C2" s="202" t="s">
        <v>739</v>
      </c>
      <c r="D2" s="202" t="s">
        <v>733</v>
      </c>
    </row>
    <row r="3" spans="1:5" x14ac:dyDescent="0.25">
      <c r="A3" s="203" t="s">
        <v>740</v>
      </c>
      <c r="B3" s="193">
        <v>0.17150916174686201</v>
      </c>
      <c r="C3" s="193">
        <v>8.7183207756591094E-2</v>
      </c>
      <c r="D3" s="193">
        <v>0.74130763049654702</v>
      </c>
    </row>
    <row r="4" spans="1:5" x14ac:dyDescent="0.25">
      <c r="A4" s="203" t="s">
        <v>741</v>
      </c>
      <c r="B4" s="193">
        <v>0.17233755125123101</v>
      </c>
      <c r="C4" s="193">
        <v>0.14344672646166201</v>
      </c>
      <c r="D4" s="193">
        <v>0.68421572228710703</v>
      </c>
    </row>
    <row r="5" spans="1:5" x14ac:dyDescent="0.25">
      <c r="A5" s="203" t="s">
        <v>742</v>
      </c>
      <c r="B5" s="193">
        <v>0.15953103024451901</v>
      </c>
      <c r="C5" s="193">
        <v>0.21245869933616401</v>
      </c>
      <c r="D5" s="193">
        <v>0.62801027041931701</v>
      </c>
    </row>
    <row r="6" spans="1:5" x14ac:dyDescent="0.25">
      <c r="A6" s="203" t="s">
        <v>743</v>
      </c>
      <c r="B6" s="193">
        <v>0.15263069939849502</v>
      </c>
      <c r="C6" s="193">
        <v>0.279840964295202</v>
      </c>
      <c r="D6" s="193">
        <v>0.56752833630630306</v>
      </c>
    </row>
    <row r="7" spans="1:5" x14ac:dyDescent="0.25">
      <c r="A7" s="203" t="s">
        <v>744</v>
      </c>
      <c r="B7" s="193">
        <v>0.15821129282417301</v>
      </c>
      <c r="C7" s="193">
        <v>0.34770181884565804</v>
      </c>
      <c r="D7" s="193">
        <v>0.49408688833016906</v>
      </c>
      <c r="E7" s="21"/>
    </row>
    <row r="8" spans="1:5" ht="15" customHeight="1" x14ac:dyDescent="0.25">
      <c r="A8" s="203" t="s">
        <v>745</v>
      </c>
      <c r="B8" s="193">
        <v>0.12826656994746702</v>
      </c>
      <c r="C8" s="193">
        <v>0.42092918731308204</v>
      </c>
      <c r="D8" s="193">
        <v>0.45080424273945102</v>
      </c>
    </row>
    <row r="9" spans="1:5" ht="16.5" customHeight="1" x14ac:dyDescent="0.25">
      <c r="A9" s="203" t="s">
        <v>746</v>
      </c>
      <c r="B9" s="193">
        <v>0.13251320712487999</v>
      </c>
      <c r="C9" s="193">
        <v>0.48915493295976503</v>
      </c>
      <c r="D9" s="193">
        <v>0.37833185991535401</v>
      </c>
    </row>
    <row r="10" spans="1:5" x14ac:dyDescent="0.25">
      <c r="A10" s="203" t="s">
        <v>747</v>
      </c>
      <c r="B10" s="193">
        <v>0.126415869526597</v>
      </c>
      <c r="C10" s="193">
        <v>0.55911386014535802</v>
      </c>
      <c r="D10" s="193">
        <v>0.31447027032804503</v>
      </c>
    </row>
    <row r="11" spans="1:5" x14ac:dyDescent="0.25">
      <c r="A11" s="203" t="s">
        <v>748</v>
      </c>
      <c r="B11" s="193">
        <v>8.9174134531583404E-2</v>
      </c>
      <c r="C11" s="193">
        <v>0.63795150444902005</v>
      </c>
      <c r="D11" s="193">
        <v>0.27287436101939599</v>
      </c>
    </row>
    <row r="12" spans="1:5" x14ac:dyDescent="0.25">
      <c r="A12" s="203" t="s">
        <v>749</v>
      </c>
      <c r="B12" s="193">
        <v>7.0426496444581002E-2</v>
      </c>
      <c r="C12" s="193">
        <v>0.70936589185593701</v>
      </c>
      <c r="D12" s="193">
        <v>0.22020761169948203</v>
      </c>
    </row>
    <row r="13" spans="1:5" ht="15" customHeight="1" x14ac:dyDescent="0.25">
      <c r="A13" s="203" t="s">
        <v>750</v>
      </c>
      <c r="B13" s="193">
        <v>0.1018</v>
      </c>
      <c r="C13" s="193">
        <v>0.78039999999999998</v>
      </c>
      <c r="D13" s="193">
        <v>0.1178</v>
      </c>
    </row>
    <row r="14" spans="1:5" x14ac:dyDescent="0.25">
      <c r="A14" s="203" t="s">
        <v>751</v>
      </c>
      <c r="B14" s="193">
        <v>1.4999999999999999E-2</v>
      </c>
      <c r="C14" s="193">
        <v>0.92070000000000007</v>
      </c>
      <c r="D14" s="193">
        <v>6.430000000000001E-2</v>
      </c>
    </row>
    <row r="15" spans="1:5" x14ac:dyDescent="0.25">
      <c r="A15" s="204"/>
      <c r="B15" s="193"/>
      <c r="C15" s="193"/>
      <c r="D15" s="193"/>
    </row>
    <row r="16" spans="1:5" x14ac:dyDescent="0.25">
      <c r="A16" s="205"/>
      <c r="B16" s="206"/>
      <c r="C16" s="206"/>
      <c r="D16" s="206"/>
    </row>
    <row r="17" spans="1:4" ht="51" customHeight="1" x14ac:dyDescent="0.25">
      <c r="A17" s="205"/>
      <c r="B17" s="206"/>
      <c r="C17" s="206"/>
      <c r="D17" s="206"/>
    </row>
    <row r="19" spans="1:4" ht="36" customHeight="1" x14ac:dyDescent="0.25"/>
  </sheetData>
  <sheetProtection selectLockedCells="1" selectUnlockedCells="1"/>
  <mergeCells count="1">
    <mergeCell ref="A1:D1"/>
  </mergeCells>
  <pageMargins left="0.98402777777777772" right="1.1812499999999999" top="0.35416666666666669" bottom="0.74791666666666667" header="0.51180555555555551" footer="0.51180555555555551"/>
  <pageSetup scale="80" firstPageNumber="0" orientation="portrait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47"/>
  <sheetViews>
    <sheetView zoomScaleNormal="100" workbookViewId="0"/>
  </sheetViews>
  <sheetFormatPr baseColWidth="10" defaultRowHeight="15" x14ac:dyDescent="0.25"/>
  <cols>
    <col min="1" max="1" width="17.5703125" style="23" customWidth="1"/>
    <col min="2" max="2" width="17.42578125" style="23" customWidth="1"/>
    <col min="3" max="3" width="5.140625" style="23" customWidth="1"/>
    <col min="4" max="4" width="16.28515625" style="23" customWidth="1"/>
    <col min="5" max="5" width="6.140625" style="23" customWidth="1"/>
    <col min="6" max="6" width="17.28515625" style="23" customWidth="1"/>
    <col min="7" max="7" width="6.140625" style="23" customWidth="1"/>
    <col min="8" max="8" width="17.85546875" style="23" customWidth="1"/>
    <col min="9" max="9" width="6.7109375" style="23" customWidth="1"/>
    <col min="10" max="10" width="17.85546875" style="23" customWidth="1"/>
    <col min="11" max="11" width="6.7109375" style="23" customWidth="1"/>
    <col min="12" max="12" width="17.85546875" style="23" customWidth="1"/>
    <col min="13" max="13" width="6.7109375" style="23" customWidth="1"/>
    <col min="14" max="14" width="17.85546875" style="23" customWidth="1"/>
    <col min="15" max="15" width="6.7109375" style="23" customWidth="1"/>
    <col min="16" max="16" width="18.7109375" style="23" customWidth="1"/>
    <col min="17" max="17" width="6.7109375" style="23" customWidth="1"/>
    <col min="18" max="18" width="18.5703125" style="23" hidden="1" customWidth="1"/>
    <col min="19" max="19" width="6.7109375" style="23" hidden="1" customWidth="1"/>
    <col min="20" max="20" width="17.85546875" style="23" customWidth="1"/>
    <col min="21" max="21" width="6.7109375" style="23" customWidth="1"/>
    <col min="22" max="22" width="18.28515625" style="23" customWidth="1"/>
    <col min="23" max="23" width="6.7109375" style="23" customWidth="1"/>
    <col min="24" max="24" width="18.140625" style="23" customWidth="1"/>
    <col min="25" max="25" width="7.42578125" style="23" customWidth="1"/>
    <col min="26" max="26" width="18" style="23" customWidth="1"/>
    <col min="27" max="27" width="9.140625" style="23" customWidth="1"/>
    <col min="28" max="28" width="18.140625" style="23" customWidth="1"/>
    <col min="29" max="48" width="7.42578125" style="23" customWidth="1"/>
    <col min="49" max="49" width="9.140625" style="23" customWidth="1"/>
    <col min="50" max="51" width="9.140625" style="207" customWidth="1"/>
    <col min="52" max="52" width="14.140625" style="207" customWidth="1"/>
    <col min="53" max="60" width="9.140625" style="207" customWidth="1"/>
    <col min="61" max="61" width="17.7109375" style="207" customWidth="1"/>
    <col min="62" max="66" width="9.140625" style="207" customWidth="1"/>
    <col min="67" max="74" width="9.140625" style="93" customWidth="1"/>
    <col min="75" max="256" width="9.140625" style="23" customWidth="1"/>
    <col min="257" max="16384" width="11.42578125" style="23"/>
  </cols>
  <sheetData>
    <row r="1" spans="1:74" ht="15.75" x14ac:dyDescent="0.25">
      <c r="A1" s="600" t="s">
        <v>752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</row>
    <row r="2" spans="1:74" ht="15.75" x14ac:dyDescent="0.25">
      <c r="A2" s="600" t="str">
        <f>+'ANALISIS POR PROG'!B2</f>
        <v xml:space="preserve">AL 31 DE DICIEMBRE 2020        </v>
      </c>
      <c r="B2" s="600"/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X2" s="209"/>
      <c r="AY2" s="210"/>
      <c r="AZ2" s="210"/>
      <c r="BA2" s="210"/>
      <c r="BB2" s="210"/>
      <c r="BC2" s="210"/>
      <c r="BD2" s="210"/>
      <c r="BE2" s="210"/>
      <c r="BF2" s="210"/>
      <c r="BG2" s="210"/>
      <c r="BH2" s="210"/>
      <c r="BI2" s="210"/>
      <c r="BJ2" s="210"/>
      <c r="BK2" s="210"/>
      <c r="BL2" s="210"/>
      <c r="BM2" s="211"/>
      <c r="BN2" s="212"/>
      <c r="BO2" s="212"/>
      <c r="BP2" s="212"/>
      <c r="BQ2" s="212"/>
      <c r="BR2" s="212"/>
      <c r="BS2" s="212"/>
      <c r="BT2" s="212"/>
      <c r="BU2" s="212"/>
      <c r="BV2" s="212"/>
    </row>
    <row r="3" spans="1:74" ht="15.75" x14ac:dyDescent="0.25">
      <c r="A3" s="600" t="s">
        <v>33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208"/>
      <c r="AE3" s="208"/>
      <c r="AF3" s="208"/>
      <c r="AG3" s="208"/>
      <c r="AH3" s="208"/>
      <c r="AI3" s="208"/>
      <c r="AJ3" s="208"/>
      <c r="AK3" s="208"/>
      <c r="AL3" s="208"/>
      <c r="AM3" s="208"/>
      <c r="AN3" s="208"/>
      <c r="AO3" s="208"/>
      <c r="AP3" s="208"/>
      <c r="AQ3" s="208"/>
      <c r="AR3" s="208"/>
      <c r="AS3" s="208"/>
      <c r="AT3" s="208"/>
      <c r="AU3" s="208"/>
      <c r="AV3" s="208"/>
      <c r="AX3" s="213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5"/>
      <c r="BN3" s="212"/>
      <c r="BO3" s="212"/>
      <c r="BP3" s="212"/>
      <c r="BQ3" s="212"/>
      <c r="BR3" s="212"/>
      <c r="BS3" s="212"/>
      <c r="BT3" s="212"/>
      <c r="BU3" s="212"/>
      <c r="BV3" s="212"/>
    </row>
    <row r="4" spans="1:74" x14ac:dyDescent="0.25">
      <c r="AW4" s="216"/>
      <c r="AX4" s="213"/>
      <c r="AY4" s="214"/>
      <c r="AZ4" s="214"/>
      <c r="BA4" s="214"/>
      <c r="BB4" s="214"/>
      <c r="BC4" s="214"/>
      <c r="BD4" s="214"/>
      <c r="BE4" s="214"/>
      <c r="BF4" s="214"/>
      <c r="BG4" s="214"/>
      <c r="BH4" s="214"/>
      <c r="BI4" s="214"/>
      <c r="BJ4" s="214"/>
      <c r="BK4" s="214"/>
      <c r="BL4" s="214"/>
      <c r="BM4" s="215"/>
      <c r="BN4" s="212"/>
      <c r="BO4" s="212"/>
      <c r="BP4" s="212"/>
      <c r="BQ4" s="212"/>
      <c r="BR4" s="212"/>
      <c r="BS4" s="212"/>
      <c r="BT4" s="212"/>
      <c r="BU4" s="212"/>
      <c r="BV4" s="212"/>
    </row>
    <row r="5" spans="1:74" ht="15" customHeight="1" x14ac:dyDescent="0.25">
      <c r="A5" s="26" t="s">
        <v>34</v>
      </c>
      <c r="B5" s="616" t="s">
        <v>753</v>
      </c>
      <c r="C5" s="616"/>
      <c r="D5" s="616" t="s">
        <v>754</v>
      </c>
      <c r="E5" s="616"/>
      <c r="F5" s="617" t="s">
        <v>755</v>
      </c>
      <c r="G5" s="617"/>
      <c r="H5" s="217" t="s">
        <v>743</v>
      </c>
      <c r="I5" s="217"/>
      <c r="J5" s="616" t="s">
        <v>744</v>
      </c>
      <c r="K5" s="616"/>
      <c r="L5" s="218" t="s">
        <v>745</v>
      </c>
      <c r="M5" s="218"/>
      <c r="N5" s="616" t="s">
        <v>746</v>
      </c>
      <c r="O5" s="616"/>
      <c r="P5" s="616" t="s">
        <v>756</v>
      </c>
      <c r="Q5" s="616"/>
      <c r="R5" s="218" t="s">
        <v>757</v>
      </c>
      <c r="S5" s="218"/>
      <c r="T5" s="616" t="s">
        <v>758</v>
      </c>
      <c r="U5" s="616"/>
      <c r="V5" s="616" t="s">
        <v>759</v>
      </c>
      <c r="W5" s="616"/>
      <c r="X5" s="616" t="s">
        <v>760</v>
      </c>
      <c r="Y5" s="616"/>
      <c r="Z5" s="616" t="s">
        <v>761</v>
      </c>
      <c r="AA5" s="616"/>
      <c r="AB5" s="216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20" t="str">
        <f>+B5</f>
        <v>Enero</v>
      </c>
      <c r="AX5" s="221" t="str">
        <f>+D5</f>
        <v>Febrero</v>
      </c>
      <c r="AY5" s="222" t="s">
        <v>762</v>
      </c>
      <c r="AZ5" s="214"/>
      <c r="BA5" s="223" t="str">
        <f>+B5</f>
        <v>Enero</v>
      </c>
      <c r="BB5" s="222" t="str">
        <f>+D5</f>
        <v>Febrero</v>
      </c>
      <c r="BC5" s="222" t="s">
        <v>755</v>
      </c>
      <c r="BD5" s="222" t="s">
        <v>743</v>
      </c>
      <c r="BE5" s="222" t="s">
        <v>744</v>
      </c>
      <c r="BF5" s="222" t="s">
        <v>745</v>
      </c>
      <c r="BG5" s="222" t="s">
        <v>746</v>
      </c>
      <c r="BH5" s="222" t="s">
        <v>756</v>
      </c>
      <c r="BI5" s="222" t="s">
        <v>758</v>
      </c>
      <c r="BJ5" s="222" t="s">
        <v>759</v>
      </c>
      <c r="BK5" s="222" t="s">
        <v>760</v>
      </c>
      <c r="BL5" s="222" t="s">
        <v>761</v>
      </c>
      <c r="BM5" s="224"/>
      <c r="BN5" s="225"/>
      <c r="BO5" s="225"/>
      <c r="BP5" s="212"/>
      <c r="BQ5" s="212"/>
      <c r="BR5" s="212"/>
      <c r="BS5" s="212"/>
      <c r="BT5" s="212"/>
      <c r="BU5" s="212"/>
      <c r="BV5" s="212"/>
    </row>
    <row r="6" spans="1:74" x14ac:dyDescent="0.25">
      <c r="A6" s="226"/>
      <c r="B6" s="27" t="s">
        <v>763</v>
      </c>
      <c r="C6" s="27" t="s">
        <v>35</v>
      </c>
      <c r="D6" s="27" t="s">
        <v>763</v>
      </c>
      <c r="E6" s="27" t="s">
        <v>35</v>
      </c>
      <c r="F6" s="27" t="s">
        <v>763</v>
      </c>
      <c r="G6" s="27" t="s">
        <v>35</v>
      </c>
      <c r="H6" s="27" t="s">
        <v>763</v>
      </c>
      <c r="I6" s="27" t="s">
        <v>35</v>
      </c>
      <c r="J6" s="27" t="s">
        <v>763</v>
      </c>
      <c r="K6" s="27" t="s">
        <v>35</v>
      </c>
      <c r="L6" s="27" t="s">
        <v>763</v>
      </c>
      <c r="M6" s="27" t="s">
        <v>35</v>
      </c>
      <c r="N6" s="27" t="s">
        <v>763</v>
      </c>
      <c r="O6" s="27" t="s">
        <v>35</v>
      </c>
      <c r="P6" s="27" t="s">
        <v>763</v>
      </c>
      <c r="Q6" s="27" t="s">
        <v>35</v>
      </c>
      <c r="R6" s="27" t="s">
        <v>763</v>
      </c>
      <c r="S6" s="27" t="s">
        <v>35</v>
      </c>
      <c r="T6" s="27" t="s">
        <v>763</v>
      </c>
      <c r="U6" s="27" t="s">
        <v>35</v>
      </c>
      <c r="V6" s="27" t="s">
        <v>763</v>
      </c>
      <c r="W6" s="27" t="s">
        <v>35</v>
      </c>
      <c r="X6" s="27" t="s">
        <v>763</v>
      </c>
      <c r="Y6" s="27" t="s">
        <v>35</v>
      </c>
      <c r="Z6" s="27" t="s">
        <v>763</v>
      </c>
      <c r="AA6" s="27" t="s">
        <v>35</v>
      </c>
      <c r="AB6" s="216"/>
      <c r="AC6" s="219" t="s">
        <v>764</v>
      </c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27">
        <f>+C16</f>
        <v>0</v>
      </c>
      <c r="AX6" s="228">
        <f>+E16</f>
        <v>0</v>
      </c>
      <c r="AY6" s="229">
        <f>+G16</f>
        <v>0.01</v>
      </c>
      <c r="AZ6" s="214" t="s">
        <v>38</v>
      </c>
      <c r="BA6" s="229">
        <f t="shared" ref="BA6:BA19" si="0">+C7</f>
        <v>7.0000000000000007E-2</v>
      </c>
      <c r="BB6" s="229">
        <f t="shared" ref="BB6:BB19" si="1">+E7</f>
        <v>0</v>
      </c>
      <c r="BC6" s="229">
        <f t="shared" ref="BC6:BC19" si="2">+G7</f>
        <v>0.21</v>
      </c>
      <c r="BD6" s="229">
        <f t="shared" ref="BD6:BD19" si="3">+I7</f>
        <v>0.28000000000000003</v>
      </c>
      <c r="BE6" s="229">
        <f t="shared" ref="BE6:BE19" si="4">+K7</f>
        <v>0.34</v>
      </c>
      <c r="BF6" s="229">
        <f t="shared" ref="BF6:BF19" si="5">+M7</f>
        <v>0.4</v>
      </c>
      <c r="BG6" s="229">
        <f t="shared" ref="BG6:BG19" si="6">+O7</f>
        <v>0.47</v>
      </c>
      <c r="BH6" s="229">
        <f t="shared" ref="BH6:BH19" si="7">+Q7</f>
        <v>0.53</v>
      </c>
      <c r="BI6" s="229">
        <f t="shared" ref="BI6:BI19" si="8">+U7</f>
        <v>0.60000000000000009</v>
      </c>
      <c r="BJ6" s="229">
        <f t="shared" ref="BJ6:BJ19" si="9">+W7</f>
        <v>0.66</v>
      </c>
      <c r="BK6" s="229">
        <f t="shared" ref="BK6:BK19" si="10">+Y7</f>
        <v>0.74</v>
      </c>
      <c r="BL6" s="229">
        <f t="shared" ref="BL6:BL19" si="11">+AA7</f>
        <v>0.86580219370546785</v>
      </c>
      <c r="BM6" s="230"/>
      <c r="BN6" s="229"/>
      <c r="BO6" s="229"/>
      <c r="BP6" s="231"/>
      <c r="BQ6" s="231"/>
      <c r="BR6" s="231"/>
      <c r="BS6" s="231"/>
      <c r="BT6" s="231"/>
      <c r="BU6" s="231"/>
      <c r="BV6" s="231"/>
    </row>
    <row r="7" spans="1:74" x14ac:dyDescent="0.25">
      <c r="A7" s="28" t="s">
        <v>38</v>
      </c>
      <c r="B7" s="29" t="str">
        <f>+Hoja16!L6</f>
        <v>[35]sigaf!k3</v>
      </c>
      <c r="C7" s="30">
        <v>7.0000000000000007E-2</v>
      </c>
      <c r="D7" s="29" t="e">
        <f>+Hoja15!L6</f>
        <v>#N/A</v>
      </c>
      <c r="E7" s="232">
        <f>+Hoja15!M6</f>
        <v>0</v>
      </c>
      <c r="F7" s="29" t="e">
        <f>+Hoja14!L6</f>
        <v>#N/A</v>
      </c>
      <c r="G7" s="30">
        <v>0.21</v>
      </c>
      <c r="H7" s="128" t="e">
        <f>+Hoja13!L6</f>
        <v>#N/A</v>
      </c>
      <c r="I7" s="30">
        <v>0.28000000000000003</v>
      </c>
      <c r="J7" s="128" t="e">
        <f>+Hoja12!L6</f>
        <v>#N/A</v>
      </c>
      <c r="K7" s="30">
        <v>0.34</v>
      </c>
      <c r="L7" s="128" t="e">
        <f>+Hoja11!L6</f>
        <v>#N/A</v>
      </c>
      <c r="M7" s="30">
        <v>0.4</v>
      </c>
      <c r="N7" s="29" t="e">
        <f>+Hoja8!L6</f>
        <v>#N/A</v>
      </c>
      <c r="O7" s="30">
        <v>0.47</v>
      </c>
      <c r="P7" s="233" t="e">
        <f>+Hoja7!L6</f>
        <v>#N/A</v>
      </c>
      <c r="Q7" s="30">
        <v>0.53</v>
      </c>
      <c r="R7" s="128" t="e">
        <f>+Hoja7!L6</f>
        <v>#N/A</v>
      </c>
      <c r="S7" s="232">
        <v>0.54138361692075709</v>
      </c>
      <c r="T7" s="128" t="e">
        <f>+Hoja6!L6</f>
        <v>#N/A</v>
      </c>
      <c r="U7" s="30">
        <v>0.60000000000000009</v>
      </c>
      <c r="V7" s="29" t="e">
        <f>+Hoja5!L6</f>
        <v>#N/A</v>
      </c>
      <c r="W7" s="30">
        <v>0.66</v>
      </c>
      <c r="X7" s="29" t="e">
        <f>+Hoja2!L6</f>
        <v>#N/A</v>
      </c>
      <c r="Y7" s="30">
        <v>0.74</v>
      </c>
      <c r="Z7" s="29">
        <f>+'ANALISIS POR PROG'!K6</f>
        <v>1801767250</v>
      </c>
      <c r="AA7" s="232">
        <f>+'ANALISIS POR PROG'!L6</f>
        <v>0.86580219370546785</v>
      </c>
      <c r="AB7" s="216"/>
      <c r="AC7" s="219" t="s">
        <v>765</v>
      </c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27">
        <f t="shared" ref="AW7:AW19" si="12">+C8</f>
        <v>7.0000000000000007E-2</v>
      </c>
      <c r="AX7" s="228">
        <f t="shared" ref="AX7:AX19" si="13">+E8</f>
        <v>0</v>
      </c>
      <c r="AY7" s="229">
        <f t="shared" ref="AY7:AY19" si="14">+G8</f>
        <v>0.21</v>
      </c>
      <c r="AZ7" s="214" t="s">
        <v>39</v>
      </c>
      <c r="BA7" s="229">
        <f t="shared" si="0"/>
        <v>7.0000000000000007E-2</v>
      </c>
      <c r="BB7" s="229">
        <f t="shared" si="1"/>
        <v>0</v>
      </c>
      <c r="BC7" s="229">
        <f t="shared" si="2"/>
        <v>0.21</v>
      </c>
      <c r="BD7" s="229">
        <f t="shared" si="3"/>
        <v>0.28999999999999998</v>
      </c>
      <c r="BE7" s="229">
        <f t="shared" si="4"/>
        <v>0.36</v>
      </c>
      <c r="BF7" s="229">
        <f t="shared" si="5"/>
        <v>0.42</v>
      </c>
      <c r="BG7" s="229">
        <f t="shared" si="6"/>
        <v>0.5</v>
      </c>
      <c r="BH7" s="229">
        <f t="shared" si="7"/>
        <v>0.56000000000000005</v>
      </c>
      <c r="BI7" s="229">
        <f t="shared" si="8"/>
        <v>0.64</v>
      </c>
      <c r="BJ7" s="229">
        <f t="shared" si="9"/>
        <v>0.71</v>
      </c>
      <c r="BK7" s="229">
        <f t="shared" si="10"/>
        <v>0.8</v>
      </c>
      <c r="BL7" s="229">
        <f t="shared" si="11"/>
        <v>0.92942109788149929</v>
      </c>
      <c r="BM7" s="230"/>
      <c r="BN7" s="229"/>
      <c r="BO7" s="229"/>
      <c r="BP7" s="231"/>
      <c r="BQ7" s="231"/>
      <c r="BR7" s="231"/>
      <c r="BS7" s="231"/>
      <c r="BT7" s="231"/>
      <c r="BU7" s="231"/>
      <c r="BV7" s="231"/>
    </row>
    <row r="8" spans="1:74" x14ac:dyDescent="0.25">
      <c r="A8" s="28" t="s">
        <v>39</v>
      </c>
      <c r="B8" s="29" t="str">
        <f>+Hoja16!L7</f>
        <v>[35]sigaf!k62</v>
      </c>
      <c r="C8" s="30">
        <v>7.0000000000000007E-2</v>
      </c>
      <c r="D8" s="29" t="e">
        <f>+Hoja15!L7</f>
        <v>#N/A</v>
      </c>
      <c r="E8" s="232">
        <f>+Hoja15!M7</f>
        <v>0</v>
      </c>
      <c r="F8" s="29" t="e">
        <f>+Hoja14!L7</f>
        <v>#N/A</v>
      </c>
      <c r="G8" s="30">
        <v>0.21</v>
      </c>
      <c r="H8" s="128" t="e">
        <f>+Hoja13!L7</f>
        <v>#N/A</v>
      </c>
      <c r="I8" s="30">
        <v>0.28999999999999998</v>
      </c>
      <c r="J8" s="128" t="e">
        <f>+Hoja12!L7</f>
        <v>#N/A</v>
      </c>
      <c r="K8" s="30">
        <v>0.36</v>
      </c>
      <c r="L8" s="128" t="e">
        <f>+Hoja11!L7</f>
        <v>#N/A</v>
      </c>
      <c r="M8" s="30">
        <v>0.42</v>
      </c>
      <c r="N8" s="29" t="e">
        <f>+Hoja8!L7</f>
        <v>#N/A</v>
      </c>
      <c r="O8" s="30">
        <v>0.5</v>
      </c>
      <c r="P8" s="233" t="e">
        <f>+Hoja7!L7</f>
        <v>#N/A</v>
      </c>
      <c r="Q8" s="30">
        <v>0.56000000000000005</v>
      </c>
      <c r="R8" s="128" t="e">
        <f>+Hoja7!L7</f>
        <v>#N/A</v>
      </c>
      <c r="S8" s="232">
        <v>0.54138361692075709</v>
      </c>
      <c r="T8" s="128" t="e">
        <f>+Hoja6!L7</f>
        <v>#N/A</v>
      </c>
      <c r="U8" s="30">
        <v>0.64</v>
      </c>
      <c r="V8" s="29" t="e">
        <f>+Hoja5!L7</f>
        <v>#N/A</v>
      </c>
      <c r="W8" s="30">
        <v>0.71</v>
      </c>
      <c r="X8" s="29" t="e">
        <f>+Hoja2!L7</f>
        <v>#N/A</v>
      </c>
      <c r="Y8" s="30">
        <v>0.8</v>
      </c>
      <c r="Z8" s="29">
        <f>+'ANALISIS POR PROG'!K7</f>
        <v>3222776445.5100002</v>
      </c>
      <c r="AA8" s="232">
        <f>+'ANALISIS POR PROG'!L7</f>
        <v>0.92942109788149929</v>
      </c>
      <c r="AB8" s="216"/>
      <c r="AC8" s="219" t="s">
        <v>765</v>
      </c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27">
        <f t="shared" si="12"/>
        <v>0.04</v>
      </c>
      <c r="AX8" s="228">
        <f t="shared" si="13"/>
        <v>0</v>
      </c>
      <c r="AY8" s="229">
        <f t="shared" si="14"/>
        <v>0.13</v>
      </c>
      <c r="AZ8" s="214" t="s">
        <v>40</v>
      </c>
      <c r="BA8" s="229">
        <f t="shared" si="0"/>
        <v>0.04</v>
      </c>
      <c r="BB8" s="229">
        <f t="shared" si="1"/>
        <v>0</v>
      </c>
      <c r="BC8" s="229">
        <f t="shared" si="2"/>
        <v>0.13</v>
      </c>
      <c r="BD8" s="229">
        <f t="shared" si="3"/>
        <v>0.18</v>
      </c>
      <c r="BE8" s="229">
        <f t="shared" si="4"/>
        <v>0.25</v>
      </c>
      <c r="BF8" s="229">
        <f t="shared" si="5"/>
        <v>0.28999999999999998</v>
      </c>
      <c r="BG8" s="229">
        <f t="shared" si="6"/>
        <v>0.39</v>
      </c>
      <c r="BH8" s="229">
        <f t="shared" si="7"/>
        <v>0.44</v>
      </c>
      <c r="BI8" s="229">
        <f t="shared" si="8"/>
        <v>0.53</v>
      </c>
      <c r="BJ8" s="229">
        <f t="shared" si="9"/>
        <v>0.63</v>
      </c>
      <c r="BK8" s="229">
        <f t="shared" si="10"/>
        <v>0.69</v>
      </c>
      <c r="BL8" s="229">
        <f t="shared" si="11"/>
        <v>0.83383438540103616</v>
      </c>
      <c r="BM8" s="230"/>
      <c r="BN8" s="229"/>
      <c r="BO8" s="229"/>
      <c r="BP8" s="231"/>
      <c r="BQ8" s="231"/>
      <c r="BR8" s="231"/>
      <c r="BS8" s="231"/>
      <c r="BT8" s="231"/>
      <c r="BU8" s="231"/>
      <c r="BV8" s="231"/>
    </row>
    <row r="9" spans="1:74" x14ac:dyDescent="0.25">
      <c r="A9" s="28" t="s">
        <v>40</v>
      </c>
      <c r="B9" s="29" t="str">
        <f>+Hoja16!L8</f>
        <v>[35]sigaf!k144</v>
      </c>
      <c r="C9" s="30">
        <v>0.04</v>
      </c>
      <c r="D9" s="29" t="e">
        <f>+Hoja15!L8</f>
        <v>#N/A</v>
      </c>
      <c r="E9" s="232">
        <f>+Hoja15!M8</f>
        <v>0</v>
      </c>
      <c r="F9" s="29" t="e">
        <f>+Hoja14!L8</f>
        <v>#N/A</v>
      </c>
      <c r="G9" s="30">
        <v>0.13</v>
      </c>
      <c r="H9" s="128" t="e">
        <f>+Hoja13!L8</f>
        <v>#N/A</v>
      </c>
      <c r="I9" s="30">
        <v>0.18</v>
      </c>
      <c r="J9" s="128" t="e">
        <f>+Hoja12!L8</f>
        <v>#N/A</v>
      </c>
      <c r="K9" s="30">
        <v>0.25</v>
      </c>
      <c r="L9" s="128" t="e">
        <f>+Hoja11!L8</f>
        <v>#N/A</v>
      </c>
      <c r="M9" s="30">
        <v>0.28999999999999998</v>
      </c>
      <c r="N9" s="29" t="e">
        <f>+Hoja8!L8</f>
        <v>#N/A</v>
      </c>
      <c r="O9" s="30">
        <v>0.39</v>
      </c>
      <c r="P9" s="233" t="e">
        <f>+Hoja7!L8</f>
        <v>#N/A</v>
      </c>
      <c r="Q9" s="30">
        <v>0.44</v>
      </c>
      <c r="R9" s="128" t="e">
        <f>+Hoja7!L8</f>
        <v>#N/A</v>
      </c>
      <c r="S9" s="232">
        <v>0.54138361692075709</v>
      </c>
      <c r="T9" s="128" t="e">
        <f>+Hoja6!L8</f>
        <v>#N/A</v>
      </c>
      <c r="U9" s="30">
        <v>0.53</v>
      </c>
      <c r="V9" s="29" t="e">
        <f>+Hoja5!L8</f>
        <v>#N/A</v>
      </c>
      <c r="W9" s="30">
        <v>0.63</v>
      </c>
      <c r="X9" s="29" t="e">
        <f>+Hoja2!L8</f>
        <v>#N/A</v>
      </c>
      <c r="Y9" s="30">
        <v>0.69</v>
      </c>
      <c r="Z9" s="29">
        <f>+'ANALISIS POR PROG'!K8</f>
        <v>2376037696.3600001</v>
      </c>
      <c r="AA9" s="232">
        <f>+'ANALISIS POR PROG'!L8</f>
        <v>0.83383438540103616</v>
      </c>
      <c r="AB9" s="216"/>
      <c r="AC9" s="219" t="s">
        <v>765</v>
      </c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27">
        <f t="shared" si="12"/>
        <v>0.1</v>
      </c>
      <c r="AX9" s="228">
        <f t="shared" si="13"/>
        <v>0</v>
      </c>
      <c r="AY9" s="229">
        <f t="shared" si="14"/>
        <v>0.23</v>
      </c>
      <c r="AZ9" s="214" t="s">
        <v>41</v>
      </c>
      <c r="BA9" s="229">
        <f t="shared" si="0"/>
        <v>0.1</v>
      </c>
      <c r="BB9" s="229">
        <f t="shared" si="1"/>
        <v>0</v>
      </c>
      <c r="BC9" s="229">
        <f t="shared" si="2"/>
        <v>0.23</v>
      </c>
      <c r="BD9" s="229">
        <f t="shared" si="3"/>
        <v>0.28999999999999998</v>
      </c>
      <c r="BE9" s="229">
        <f t="shared" si="4"/>
        <v>0.35</v>
      </c>
      <c r="BF9" s="229">
        <f t="shared" si="5"/>
        <v>0.43</v>
      </c>
      <c r="BG9" s="229">
        <f t="shared" si="6"/>
        <v>0.5</v>
      </c>
      <c r="BH9" s="229">
        <f t="shared" si="7"/>
        <v>0.57000000000000006</v>
      </c>
      <c r="BI9" s="229">
        <f t="shared" si="8"/>
        <v>0.65</v>
      </c>
      <c r="BJ9" s="229">
        <f t="shared" si="9"/>
        <v>0.73</v>
      </c>
      <c r="BK9" s="229">
        <f t="shared" si="10"/>
        <v>0.8</v>
      </c>
      <c r="BL9" s="229">
        <f t="shared" si="11"/>
        <v>0.92703555727861331</v>
      </c>
      <c r="BM9" s="230"/>
      <c r="BN9" s="229"/>
      <c r="BO9" s="229"/>
      <c r="BP9" s="231"/>
      <c r="BQ9" s="231"/>
      <c r="BR9" s="231"/>
      <c r="BS9" s="231"/>
      <c r="BT9" s="231"/>
      <c r="BU9" s="231"/>
      <c r="BV9" s="231"/>
    </row>
    <row r="10" spans="1:74" x14ac:dyDescent="0.25">
      <c r="A10" s="28" t="s">
        <v>41</v>
      </c>
      <c r="B10" s="29" t="str">
        <f>+Hoja16!L9</f>
        <v>[35]sigaf!k244</v>
      </c>
      <c r="C10" s="30">
        <v>0.1</v>
      </c>
      <c r="D10" s="29" t="e">
        <f>+Hoja15!L9</f>
        <v>#N/A</v>
      </c>
      <c r="E10" s="232">
        <f>+Hoja15!M9</f>
        <v>0</v>
      </c>
      <c r="F10" s="29" t="e">
        <f>+Hoja14!L9</f>
        <v>#N/A</v>
      </c>
      <c r="G10" s="30">
        <v>0.23</v>
      </c>
      <c r="H10" s="128" t="e">
        <f>+Hoja13!L9</f>
        <v>#N/A</v>
      </c>
      <c r="I10" s="30">
        <v>0.28999999999999998</v>
      </c>
      <c r="J10" s="128" t="e">
        <f>+Hoja12!L9</f>
        <v>#N/A</v>
      </c>
      <c r="K10" s="30">
        <v>0.35</v>
      </c>
      <c r="L10" s="128" t="e">
        <f>+Hoja11!L9</f>
        <v>#N/A</v>
      </c>
      <c r="M10" s="30">
        <v>0.43</v>
      </c>
      <c r="N10" s="29" t="e">
        <f>+Hoja8!L9</f>
        <v>#N/A</v>
      </c>
      <c r="O10" s="30">
        <v>0.5</v>
      </c>
      <c r="P10" s="233" t="e">
        <f>+Hoja7!L9</f>
        <v>#N/A</v>
      </c>
      <c r="Q10" s="30">
        <v>0.57000000000000006</v>
      </c>
      <c r="R10" s="128" t="e">
        <f>+Hoja7!L9</f>
        <v>#N/A</v>
      </c>
      <c r="S10" s="232">
        <v>0.54138361692075709</v>
      </c>
      <c r="T10" s="128" t="e">
        <f>+Hoja6!L9</f>
        <v>#N/A</v>
      </c>
      <c r="U10" s="30">
        <v>0.65</v>
      </c>
      <c r="V10" s="29" t="e">
        <f>+Hoja5!L9</f>
        <v>#N/A</v>
      </c>
      <c r="W10" s="30">
        <v>0.73</v>
      </c>
      <c r="X10" s="29" t="e">
        <f>+Hoja2!L9</f>
        <v>#N/A</v>
      </c>
      <c r="Y10" s="30">
        <v>0.8</v>
      </c>
      <c r="Z10" s="29">
        <f>+'ANALISIS POR PROG'!K9</f>
        <v>70227882288.429993</v>
      </c>
      <c r="AA10" s="232">
        <f>+'ANALISIS POR PROG'!L9</f>
        <v>0.92703555727861331</v>
      </c>
      <c r="AB10" s="216"/>
      <c r="AC10" s="219" t="s">
        <v>765</v>
      </c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27">
        <f t="shared" si="12"/>
        <v>0.06</v>
      </c>
      <c r="AX10" s="228">
        <f t="shared" si="13"/>
        <v>0</v>
      </c>
      <c r="AY10" s="229">
        <f t="shared" si="14"/>
        <v>0.19</v>
      </c>
      <c r="AZ10" s="214" t="s">
        <v>42</v>
      </c>
      <c r="BA10" s="229">
        <f t="shared" si="0"/>
        <v>0.06</v>
      </c>
      <c r="BB10" s="229">
        <f t="shared" si="1"/>
        <v>0</v>
      </c>
      <c r="BC10" s="229">
        <f t="shared" si="2"/>
        <v>0.19</v>
      </c>
      <c r="BD10" s="229">
        <f t="shared" si="3"/>
        <v>0.23</v>
      </c>
      <c r="BE10" s="229">
        <f t="shared" si="4"/>
        <v>0.33</v>
      </c>
      <c r="BF10" s="229">
        <f t="shared" si="5"/>
        <v>0.41</v>
      </c>
      <c r="BG10" s="229">
        <f t="shared" si="6"/>
        <v>0.47</v>
      </c>
      <c r="BH10" s="229">
        <f t="shared" si="7"/>
        <v>0.52</v>
      </c>
      <c r="BI10" s="229">
        <f t="shared" si="8"/>
        <v>0.61</v>
      </c>
      <c r="BJ10" s="229">
        <f t="shared" si="9"/>
        <v>0.68</v>
      </c>
      <c r="BK10" s="229">
        <f t="shared" si="10"/>
        <v>0.73</v>
      </c>
      <c r="BL10" s="229">
        <f t="shared" si="11"/>
        <v>0.91864866722705674</v>
      </c>
      <c r="BM10" s="230"/>
      <c r="BN10" s="229"/>
      <c r="BO10" s="229"/>
      <c r="BP10" s="231"/>
      <c r="BQ10" s="231"/>
      <c r="BR10" s="231"/>
      <c r="BS10" s="231"/>
      <c r="BT10" s="231"/>
      <c r="BU10" s="231"/>
      <c r="BV10" s="231"/>
    </row>
    <row r="11" spans="1:74" x14ac:dyDescent="0.25">
      <c r="A11" s="28" t="s">
        <v>42</v>
      </c>
      <c r="B11" s="29" t="str">
        <f>+Hoja16!L10</f>
        <v>[35]sigaf!k370</v>
      </c>
      <c r="C11" s="30">
        <v>0.06</v>
      </c>
      <c r="D11" s="29" t="e">
        <f>+Hoja15!L10</f>
        <v>#N/A</v>
      </c>
      <c r="E11" s="232">
        <f>+Hoja15!M10</f>
        <v>0</v>
      </c>
      <c r="F11" s="29" t="e">
        <f>+Hoja14!L10</f>
        <v>#N/A</v>
      </c>
      <c r="G11" s="30">
        <v>0.19</v>
      </c>
      <c r="H11" s="128" t="e">
        <f>+Hoja13!L10</f>
        <v>#N/A</v>
      </c>
      <c r="I11" s="30">
        <v>0.23</v>
      </c>
      <c r="J11" s="128" t="e">
        <f>+Hoja12!L10</f>
        <v>#N/A</v>
      </c>
      <c r="K11" s="30">
        <v>0.33</v>
      </c>
      <c r="L11" s="128" t="e">
        <f>+Hoja11!L10</f>
        <v>#N/A</v>
      </c>
      <c r="M11" s="30">
        <v>0.41</v>
      </c>
      <c r="N11" s="29" t="e">
        <f>+Hoja8!L10</f>
        <v>#N/A</v>
      </c>
      <c r="O11" s="30">
        <v>0.47</v>
      </c>
      <c r="P11" s="233" t="e">
        <f>+Hoja7!L10</f>
        <v>#N/A</v>
      </c>
      <c r="Q11" s="30">
        <v>0.52</v>
      </c>
      <c r="R11" s="128" t="e">
        <f>+Hoja7!L10</f>
        <v>#N/A</v>
      </c>
      <c r="S11" s="232">
        <v>0.54138361692075709</v>
      </c>
      <c r="T11" s="128" t="e">
        <f>+Hoja6!L10</f>
        <v>#N/A</v>
      </c>
      <c r="U11" s="30">
        <v>0.61</v>
      </c>
      <c r="V11" s="29" t="e">
        <f>+Hoja5!L10</f>
        <v>#N/A</v>
      </c>
      <c r="W11" s="30">
        <v>0.68</v>
      </c>
      <c r="X11" s="29" t="e">
        <f>+Hoja2!L10</f>
        <v>#N/A</v>
      </c>
      <c r="Y11" s="30">
        <v>0.73</v>
      </c>
      <c r="Z11" s="29">
        <f>+'ANALISIS POR PROG'!K10</f>
        <v>25489145514.16</v>
      </c>
      <c r="AA11" s="232">
        <f>+'ANALISIS POR PROG'!L10</f>
        <v>0.91864866722705674</v>
      </c>
      <c r="AB11" s="216"/>
      <c r="AC11" s="219" t="s">
        <v>765</v>
      </c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27">
        <f t="shared" si="12"/>
        <v>0.06</v>
      </c>
      <c r="AX11" s="228">
        <f t="shared" si="13"/>
        <v>0</v>
      </c>
      <c r="AY11" s="229">
        <f t="shared" si="14"/>
        <v>0.18</v>
      </c>
      <c r="AZ11" s="214" t="s">
        <v>43</v>
      </c>
      <c r="BA11" s="229">
        <f t="shared" si="0"/>
        <v>0.06</v>
      </c>
      <c r="BB11" s="229">
        <f t="shared" si="1"/>
        <v>0</v>
      </c>
      <c r="BC11" s="229">
        <f t="shared" si="2"/>
        <v>0.18</v>
      </c>
      <c r="BD11" s="229">
        <f t="shared" si="3"/>
        <v>0.24</v>
      </c>
      <c r="BE11" s="229">
        <f t="shared" si="4"/>
        <v>0.31</v>
      </c>
      <c r="BF11" s="229">
        <f t="shared" si="5"/>
        <v>0.38</v>
      </c>
      <c r="BG11" s="229">
        <f t="shared" si="6"/>
        <v>0.46</v>
      </c>
      <c r="BH11" s="229">
        <f t="shared" si="7"/>
        <v>0.52</v>
      </c>
      <c r="BI11" s="229">
        <f t="shared" si="8"/>
        <v>0.59</v>
      </c>
      <c r="BJ11" s="229">
        <f t="shared" si="9"/>
        <v>0.65</v>
      </c>
      <c r="BK11" s="229">
        <f t="shared" si="10"/>
        <v>0.75</v>
      </c>
      <c r="BL11" s="229">
        <f t="shared" si="11"/>
        <v>0.89989949934264191</v>
      </c>
      <c r="BM11" s="215"/>
      <c r="BN11" s="212"/>
      <c r="BO11" s="212"/>
      <c r="BP11" s="212"/>
      <c r="BQ11" s="212"/>
      <c r="BR11" s="212"/>
      <c r="BS11" s="212"/>
      <c r="BT11" s="212"/>
      <c r="BU11" s="212"/>
      <c r="BV11" s="212"/>
    </row>
    <row r="12" spans="1:74" x14ac:dyDescent="0.25">
      <c r="A12" s="28" t="s">
        <v>43</v>
      </c>
      <c r="B12" s="29" t="str">
        <f>+Hoja16!L11</f>
        <v>[35]sigaf!k443</v>
      </c>
      <c r="C12" s="30">
        <v>0.06</v>
      </c>
      <c r="D12" s="29" t="e">
        <f>+Hoja15!L11</f>
        <v>#N/A</v>
      </c>
      <c r="E12" s="232">
        <f>+Hoja15!M11</f>
        <v>0</v>
      </c>
      <c r="F12" s="29" t="e">
        <f>+Hoja14!L11</f>
        <v>#N/A</v>
      </c>
      <c r="G12" s="30">
        <v>0.18</v>
      </c>
      <c r="H12" s="128" t="e">
        <f>+Hoja13!L11</f>
        <v>#N/A</v>
      </c>
      <c r="I12" s="30">
        <v>0.24</v>
      </c>
      <c r="J12" s="128" t="e">
        <f>+Hoja12!L11</f>
        <v>#N/A</v>
      </c>
      <c r="K12" s="30">
        <v>0.31</v>
      </c>
      <c r="L12" s="128" t="e">
        <f>+Hoja11!L11</f>
        <v>#N/A</v>
      </c>
      <c r="M12" s="30">
        <v>0.38</v>
      </c>
      <c r="N12" s="29" t="e">
        <f>+Hoja8!L11</f>
        <v>#N/A</v>
      </c>
      <c r="O12" s="30">
        <v>0.46</v>
      </c>
      <c r="P12" s="233" t="e">
        <f>+Hoja7!L11</f>
        <v>#N/A</v>
      </c>
      <c r="Q12" s="30">
        <v>0.52</v>
      </c>
      <c r="R12" s="128" t="e">
        <f>+Hoja7!L11</f>
        <v>#N/A</v>
      </c>
      <c r="S12" s="232">
        <v>0.54138361692075709</v>
      </c>
      <c r="T12" s="128" t="e">
        <f>+Hoja6!L11</f>
        <v>#N/A</v>
      </c>
      <c r="U12" s="30">
        <v>0.59</v>
      </c>
      <c r="V12" s="29" t="e">
        <f>+Hoja5!L11</f>
        <v>#N/A</v>
      </c>
      <c r="W12" s="30">
        <v>0.65</v>
      </c>
      <c r="X12" s="29" t="e">
        <f>+Hoja2!L11</f>
        <v>#N/A</v>
      </c>
      <c r="Y12" s="30">
        <v>0.75</v>
      </c>
      <c r="Z12" s="29">
        <f>+'ANALISIS POR PROG'!K11</f>
        <v>1894956303.8299999</v>
      </c>
      <c r="AA12" s="232">
        <f>+'ANALISIS POR PROG'!L11</f>
        <v>0.89989949934264191</v>
      </c>
      <c r="AB12" s="216"/>
      <c r="AC12" s="219" t="s">
        <v>765</v>
      </c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27">
        <f t="shared" si="12"/>
        <v>0.09</v>
      </c>
      <c r="AX12" s="228">
        <f t="shared" si="13"/>
        <v>0</v>
      </c>
      <c r="AY12" s="229">
        <f t="shared" si="14"/>
        <v>0.23</v>
      </c>
      <c r="AZ12" s="214" t="s">
        <v>44</v>
      </c>
      <c r="BA12" s="229">
        <f t="shared" si="0"/>
        <v>0.09</v>
      </c>
      <c r="BB12" s="229">
        <f t="shared" si="1"/>
        <v>0</v>
      </c>
      <c r="BC12" s="229">
        <f t="shared" si="2"/>
        <v>0.23</v>
      </c>
      <c r="BD12" s="229">
        <f t="shared" si="3"/>
        <v>0.28999999999999998</v>
      </c>
      <c r="BE12" s="229">
        <f t="shared" si="4"/>
        <v>0.37</v>
      </c>
      <c r="BF12" s="229">
        <f t="shared" si="5"/>
        <v>0.44</v>
      </c>
      <c r="BG12" s="229">
        <f t="shared" si="6"/>
        <v>0.5</v>
      </c>
      <c r="BH12" s="229">
        <f t="shared" si="7"/>
        <v>0.56000000000000005</v>
      </c>
      <c r="BI12" s="229">
        <f t="shared" si="8"/>
        <v>0.65</v>
      </c>
      <c r="BJ12" s="229">
        <f t="shared" si="9"/>
        <v>0.7</v>
      </c>
      <c r="BK12" s="229">
        <f t="shared" si="10"/>
        <v>0.76</v>
      </c>
      <c r="BL12" s="229">
        <f t="shared" si="11"/>
        <v>0.90613923393060436</v>
      </c>
      <c r="BM12" s="215"/>
      <c r="BN12" s="212"/>
      <c r="BO12" s="212"/>
      <c r="BP12" s="212"/>
      <c r="BQ12" s="212"/>
      <c r="BR12" s="212"/>
      <c r="BS12" s="212"/>
      <c r="BT12" s="212"/>
      <c r="BU12" s="212"/>
      <c r="BV12" s="212"/>
    </row>
    <row r="13" spans="1:74" x14ac:dyDescent="0.25">
      <c r="A13" s="28" t="s">
        <v>44</v>
      </c>
      <c r="B13" s="29" t="str">
        <f>+Hoja16!L12</f>
        <v>[35]sigaf!k497</v>
      </c>
      <c r="C13" s="30">
        <v>0.09</v>
      </c>
      <c r="D13" s="29" t="e">
        <f>+Hoja15!L12</f>
        <v>#N/A</v>
      </c>
      <c r="E13" s="232">
        <f>+Hoja15!M12</f>
        <v>0</v>
      </c>
      <c r="F13" s="29" t="e">
        <f>+Hoja14!L12</f>
        <v>#N/A</v>
      </c>
      <c r="G13" s="30">
        <v>0.23</v>
      </c>
      <c r="H13" s="128" t="e">
        <f>+Hoja13!L12</f>
        <v>#N/A</v>
      </c>
      <c r="I13" s="30">
        <v>0.28999999999999998</v>
      </c>
      <c r="J13" s="128" t="e">
        <f>+Hoja12!L12</f>
        <v>#N/A</v>
      </c>
      <c r="K13" s="30">
        <v>0.37</v>
      </c>
      <c r="L13" s="128" t="e">
        <f>+Hoja11!L12</f>
        <v>#N/A</v>
      </c>
      <c r="M13" s="30">
        <v>0.44</v>
      </c>
      <c r="N13" s="29" t="e">
        <f>+Hoja8!L12</f>
        <v>#N/A</v>
      </c>
      <c r="O13" s="30">
        <v>0.5</v>
      </c>
      <c r="P13" s="233" t="e">
        <f>+Hoja7!L12</f>
        <v>#N/A</v>
      </c>
      <c r="Q13" s="30">
        <v>0.56000000000000005</v>
      </c>
      <c r="R13" s="128" t="e">
        <f>+Hoja7!L12</f>
        <v>#N/A</v>
      </c>
      <c r="S13" s="232">
        <v>0.54138361692075709</v>
      </c>
      <c r="T13" s="128" t="e">
        <f>+Hoja6!L12</f>
        <v>#N/A</v>
      </c>
      <c r="U13" s="30">
        <v>0.65</v>
      </c>
      <c r="V13" s="29" t="e">
        <f>+Hoja5!L12</f>
        <v>#N/A</v>
      </c>
      <c r="W13" s="30">
        <v>0.7</v>
      </c>
      <c r="X13" s="29" t="e">
        <f>+Hoja2!L12</f>
        <v>#N/A</v>
      </c>
      <c r="Y13" s="30">
        <v>0.76</v>
      </c>
      <c r="Z13" s="29">
        <f>+'ANALISIS POR PROG'!K12</f>
        <v>1313606623.73</v>
      </c>
      <c r="AA13" s="232">
        <f>+'ANALISIS POR PROG'!L12</f>
        <v>0.90613923393060436</v>
      </c>
      <c r="AB13" s="216"/>
      <c r="AC13" s="219" t="s">
        <v>765</v>
      </c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27">
        <f t="shared" si="12"/>
        <v>0.09</v>
      </c>
      <c r="AX13" s="228">
        <f t="shared" si="13"/>
        <v>0</v>
      </c>
      <c r="AY13" s="229">
        <f t="shared" si="14"/>
        <v>0.22</v>
      </c>
      <c r="AZ13" s="214" t="s">
        <v>45</v>
      </c>
      <c r="BA13" s="229">
        <f t="shared" si="0"/>
        <v>0.09</v>
      </c>
      <c r="BB13" s="229">
        <f t="shared" si="1"/>
        <v>0</v>
      </c>
      <c r="BC13" s="229">
        <f t="shared" si="2"/>
        <v>0.22</v>
      </c>
      <c r="BD13" s="229">
        <f t="shared" si="3"/>
        <v>0.28999999999999998</v>
      </c>
      <c r="BE13" s="229">
        <f t="shared" si="4"/>
        <v>0.37</v>
      </c>
      <c r="BF13" s="229">
        <f t="shared" si="5"/>
        <v>0.43</v>
      </c>
      <c r="BG13" s="229">
        <f t="shared" si="6"/>
        <v>0.5</v>
      </c>
      <c r="BH13" s="229">
        <f t="shared" si="7"/>
        <v>0.56000000000000005</v>
      </c>
      <c r="BI13" s="229">
        <f t="shared" si="8"/>
        <v>0.63</v>
      </c>
      <c r="BJ13" s="229">
        <f t="shared" si="9"/>
        <v>0.69</v>
      </c>
      <c r="BK13" s="229">
        <f t="shared" si="10"/>
        <v>0.77</v>
      </c>
      <c r="BL13" s="229">
        <f t="shared" si="11"/>
        <v>0.89604929300947067</v>
      </c>
      <c r="BM13" s="215"/>
      <c r="BN13" s="212"/>
      <c r="BO13" s="212"/>
      <c r="BP13" s="212"/>
      <c r="BQ13" s="212"/>
      <c r="BR13" s="212"/>
      <c r="BS13" s="212"/>
      <c r="BT13" s="212"/>
      <c r="BU13" s="212"/>
      <c r="BV13" s="212"/>
    </row>
    <row r="14" spans="1:74" x14ac:dyDescent="0.25">
      <c r="A14" s="28" t="s">
        <v>45</v>
      </c>
      <c r="B14" s="29" t="str">
        <f>+Hoja16!L13</f>
        <v>[35]sigaf!k542</v>
      </c>
      <c r="C14" s="30">
        <v>0.09</v>
      </c>
      <c r="D14" s="29" t="e">
        <f>+Hoja15!L13</f>
        <v>#N/A</v>
      </c>
      <c r="E14" s="232">
        <f>+Hoja15!M13</f>
        <v>0</v>
      </c>
      <c r="F14" s="29" t="e">
        <f>+Hoja14!L13</f>
        <v>#N/A</v>
      </c>
      <c r="G14" s="30">
        <v>0.22</v>
      </c>
      <c r="H14" s="128" t="e">
        <f>+Hoja13!L13</f>
        <v>#N/A</v>
      </c>
      <c r="I14" s="30">
        <v>0.28999999999999998</v>
      </c>
      <c r="J14" s="128" t="e">
        <f>+Hoja12!L13</f>
        <v>#N/A</v>
      </c>
      <c r="K14" s="30">
        <v>0.37</v>
      </c>
      <c r="L14" s="128" t="e">
        <f>+Hoja11!L13</f>
        <v>#N/A</v>
      </c>
      <c r="M14" s="30">
        <v>0.43</v>
      </c>
      <c r="N14" s="29" t="e">
        <f>+Hoja8!L13</f>
        <v>#N/A</v>
      </c>
      <c r="O14" s="30">
        <v>0.5</v>
      </c>
      <c r="P14" s="233" t="e">
        <f>+Hoja7!L13</f>
        <v>#N/A</v>
      </c>
      <c r="Q14" s="30">
        <v>0.56000000000000005</v>
      </c>
      <c r="R14" s="128" t="e">
        <f>+Hoja7!L13</f>
        <v>#N/A</v>
      </c>
      <c r="S14" s="232">
        <v>0.54138361692075709</v>
      </c>
      <c r="T14" s="128" t="e">
        <f>+Hoja6!L13</f>
        <v>#N/A</v>
      </c>
      <c r="U14" s="30">
        <v>0.63</v>
      </c>
      <c r="V14" s="29" t="e">
        <f>+Hoja5!L13</f>
        <v>#N/A</v>
      </c>
      <c r="W14" s="30">
        <v>0.69</v>
      </c>
      <c r="X14" s="29" t="e">
        <f>+Hoja2!L13</f>
        <v>#N/A</v>
      </c>
      <c r="Y14" s="30">
        <v>0.77</v>
      </c>
      <c r="Z14" s="29">
        <f>+'ANALISIS POR PROG'!K13</f>
        <v>2027258265.1600001</v>
      </c>
      <c r="AA14" s="232">
        <f>+'ANALISIS POR PROG'!L13</f>
        <v>0.89604929300947067</v>
      </c>
      <c r="AB14" s="216"/>
      <c r="AC14" s="219" t="s">
        <v>765</v>
      </c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27">
        <f t="shared" si="12"/>
        <v>0.1</v>
      </c>
      <c r="AX14" s="228">
        <f t="shared" si="13"/>
        <v>0</v>
      </c>
      <c r="AY14" s="229">
        <f t="shared" si="14"/>
        <v>0.24</v>
      </c>
      <c r="AZ14" s="214" t="s">
        <v>46</v>
      </c>
      <c r="BA14" s="229">
        <f t="shared" si="0"/>
        <v>0.1</v>
      </c>
      <c r="BB14" s="229">
        <f t="shared" si="1"/>
        <v>0</v>
      </c>
      <c r="BC14" s="229">
        <f t="shared" si="2"/>
        <v>0.24</v>
      </c>
      <c r="BD14" s="229">
        <f t="shared" si="3"/>
        <v>0.31</v>
      </c>
      <c r="BE14" s="229">
        <f t="shared" si="4"/>
        <v>0.37</v>
      </c>
      <c r="BF14" s="229">
        <f t="shared" si="5"/>
        <v>0.43</v>
      </c>
      <c r="BG14" s="229">
        <f t="shared" si="6"/>
        <v>0.5</v>
      </c>
      <c r="BH14" s="229">
        <f t="shared" si="7"/>
        <v>0.57000000000000006</v>
      </c>
      <c r="BI14" s="229">
        <f t="shared" si="8"/>
        <v>0.63</v>
      </c>
      <c r="BJ14" s="229">
        <f t="shared" si="9"/>
        <v>0.7</v>
      </c>
      <c r="BK14" s="229">
        <f t="shared" si="10"/>
        <v>0.77</v>
      </c>
      <c r="BL14" s="229">
        <f t="shared" si="11"/>
        <v>0.89242275866475074</v>
      </c>
      <c r="BM14" s="215"/>
      <c r="BN14" s="212"/>
      <c r="BO14" s="212"/>
      <c r="BP14" s="212"/>
      <c r="BQ14" s="212"/>
      <c r="BR14" s="212"/>
      <c r="BS14" s="212"/>
      <c r="BT14" s="212"/>
      <c r="BU14" s="212"/>
      <c r="BV14" s="212"/>
    </row>
    <row r="15" spans="1:74" x14ac:dyDescent="0.25">
      <c r="A15" s="28" t="s">
        <v>46</v>
      </c>
      <c r="B15" s="29" t="str">
        <f>+Hoja16!L14</f>
        <v>[35]sigaf!k611</v>
      </c>
      <c r="C15" s="30">
        <v>0.1</v>
      </c>
      <c r="D15" s="29" t="e">
        <f>+Hoja15!L14</f>
        <v>#N/A</v>
      </c>
      <c r="E15" s="232">
        <f>+Hoja15!M14</f>
        <v>0</v>
      </c>
      <c r="F15" s="29" t="e">
        <f>+Hoja14!L14</f>
        <v>#N/A</v>
      </c>
      <c r="G15" s="30">
        <v>0.24</v>
      </c>
      <c r="H15" s="128" t="e">
        <f>+Hoja13!L14</f>
        <v>#N/A</v>
      </c>
      <c r="I15" s="30">
        <v>0.31</v>
      </c>
      <c r="J15" s="128" t="e">
        <f>+Hoja12!L14</f>
        <v>#N/A</v>
      </c>
      <c r="K15" s="30">
        <v>0.37</v>
      </c>
      <c r="L15" s="128" t="e">
        <f>+Hoja11!L14</f>
        <v>#N/A</v>
      </c>
      <c r="M15" s="30">
        <v>0.43</v>
      </c>
      <c r="N15" s="29" t="e">
        <f>+Hoja8!L14</f>
        <v>#N/A</v>
      </c>
      <c r="O15" s="30">
        <v>0.5</v>
      </c>
      <c r="P15" s="233" t="e">
        <f>+Hoja7!L14</f>
        <v>#N/A</v>
      </c>
      <c r="Q15" s="30">
        <v>0.57000000000000006</v>
      </c>
      <c r="R15" s="128" t="e">
        <f>+Hoja7!L14</f>
        <v>#N/A</v>
      </c>
      <c r="S15" s="232">
        <v>0.54138361692075709</v>
      </c>
      <c r="T15" s="128" t="e">
        <f>+Hoja6!L14</f>
        <v>#N/A</v>
      </c>
      <c r="U15" s="30">
        <v>0.63</v>
      </c>
      <c r="V15" s="29" t="e">
        <f>+Hoja5!L14</f>
        <v>#N/A</v>
      </c>
      <c r="W15" s="30">
        <v>0.7</v>
      </c>
      <c r="X15" s="29" t="e">
        <f>+Hoja2!L14</f>
        <v>#N/A</v>
      </c>
      <c r="Y15" s="30">
        <v>0.77</v>
      </c>
      <c r="Z15" s="29">
        <f>+'ANALISIS POR PROG'!K14</f>
        <v>1032253158.23</v>
      </c>
      <c r="AA15" s="232">
        <f>+'ANALISIS POR PROG'!L14</f>
        <v>0.89242275866475074</v>
      </c>
      <c r="AB15" s="216"/>
      <c r="AC15" s="219" t="s">
        <v>765</v>
      </c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27">
        <f t="shared" si="12"/>
        <v>0</v>
      </c>
      <c r="AX15" s="228">
        <f t="shared" si="13"/>
        <v>0</v>
      </c>
      <c r="AY15" s="229">
        <f t="shared" si="14"/>
        <v>0.01</v>
      </c>
      <c r="AZ15" s="214" t="s">
        <v>47</v>
      </c>
      <c r="BA15" s="229">
        <f t="shared" si="0"/>
        <v>0</v>
      </c>
      <c r="BB15" s="229">
        <f t="shared" si="1"/>
        <v>0</v>
      </c>
      <c r="BC15" s="229">
        <f t="shared" si="2"/>
        <v>0.01</v>
      </c>
      <c r="BD15" s="229">
        <f t="shared" si="3"/>
        <v>0.2</v>
      </c>
      <c r="BE15" s="229">
        <f t="shared" si="4"/>
        <v>0.28000000000000003</v>
      </c>
      <c r="BF15" s="229">
        <f t="shared" si="5"/>
        <v>0.36</v>
      </c>
      <c r="BG15" s="229">
        <f t="shared" si="6"/>
        <v>0.37</v>
      </c>
      <c r="BH15" s="229">
        <f t="shared" si="7"/>
        <v>0.5</v>
      </c>
      <c r="BI15" s="229">
        <f t="shared" si="8"/>
        <v>0.56000000000000005</v>
      </c>
      <c r="BJ15" s="229">
        <f t="shared" si="9"/>
        <v>0.62</v>
      </c>
      <c r="BK15" s="229">
        <f t="shared" si="10"/>
        <v>0.68</v>
      </c>
      <c r="BL15" s="229">
        <f t="shared" si="11"/>
        <v>0.86131552571821479</v>
      </c>
      <c r="BM15" s="215"/>
      <c r="BN15" s="212"/>
      <c r="BO15" s="212"/>
      <c r="BP15" s="212"/>
      <c r="BQ15" s="212"/>
      <c r="BR15" s="212"/>
      <c r="BS15" s="212"/>
      <c r="BT15" s="212"/>
      <c r="BU15" s="212"/>
      <c r="BV15" s="212"/>
    </row>
    <row r="16" spans="1:74" x14ac:dyDescent="0.25">
      <c r="A16" s="28" t="s">
        <v>47</v>
      </c>
      <c r="B16" s="29" t="str">
        <f>+Hoja16!L15</f>
        <v>[35]sigaf!k640</v>
      </c>
      <c r="C16" s="30">
        <v>0</v>
      </c>
      <c r="D16" s="29" t="e">
        <f>+Hoja15!L15</f>
        <v>#N/A</v>
      </c>
      <c r="E16" s="232">
        <f>+Hoja15!M15</f>
        <v>0</v>
      </c>
      <c r="F16" s="29" t="e">
        <f>+Hoja14!L15</f>
        <v>#N/A</v>
      </c>
      <c r="G16" s="30">
        <v>0.01</v>
      </c>
      <c r="H16" s="128" t="e">
        <f>+Hoja13!L15</f>
        <v>#N/A</v>
      </c>
      <c r="I16" s="30">
        <v>0.2</v>
      </c>
      <c r="J16" s="128" t="e">
        <f>+Hoja12!L15</f>
        <v>#N/A</v>
      </c>
      <c r="K16" s="30">
        <v>0.28000000000000003</v>
      </c>
      <c r="L16" s="128" t="e">
        <f>+Hoja11!L15</f>
        <v>#N/A</v>
      </c>
      <c r="M16" s="30">
        <v>0.36</v>
      </c>
      <c r="N16" s="29" t="e">
        <f>+Hoja8!L15</f>
        <v>#N/A</v>
      </c>
      <c r="O16" s="30">
        <v>0.37</v>
      </c>
      <c r="P16" s="233" t="e">
        <f>+Hoja7!L15</f>
        <v>#N/A</v>
      </c>
      <c r="Q16" s="30">
        <v>0.5</v>
      </c>
      <c r="R16" s="128" t="e">
        <f>+Hoja7!L15</f>
        <v>#N/A</v>
      </c>
      <c r="S16" s="232">
        <v>0.54138361692075709</v>
      </c>
      <c r="T16" s="128" t="e">
        <f>+Hoja6!L15</f>
        <v>#N/A</v>
      </c>
      <c r="U16" s="30">
        <v>0.56000000000000005</v>
      </c>
      <c r="V16" s="29" t="e">
        <f>+Hoja5!L15</f>
        <v>#N/A</v>
      </c>
      <c r="W16" s="30">
        <v>0.62</v>
      </c>
      <c r="X16" s="29" t="e">
        <f>+Hoja2!L15</f>
        <v>#N/A</v>
      </c>
      <c r="Y16" s="30">
        <v>0.68</v>
      </c>
      <c r="Z16" s="29">
        <f>+'ANALISIS POR PROG'!K15</f>
        <v>5996105558.6899996</v>
      </c>
      <c r="AA16" s="232">
        <f>+'ANALISIS POR PROG'!L15</f>
        <v>0.86131552571821479</v>
      </c>
      <c r="AB16" s="216"/>
      <c r="AC16" s="219" t="s">
        <v>765</v>
      </c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27">
        <f t="shared" si="12"/>
        <v>0.09</v>
      </c>
      <c r="AX16" s="228">
        <f t="shared" si="13"/>
        <v>0</v>
      </c>
      <c r="AY16" s="229">
        <f t="shared" si="14"/>
        <v>0.21</v>
      </c>
      <c r="AZ16" s="214" t="s">
        <v>48</v>
      </c>
      <c r="BA16" s="229">
        <f t="shared" si="0"/>
        <v>0.09</v>
      </c>
      <c r="BB16" s="229">
        <f t="shared" si="1"/>
        <v>0</v>
      </c>
      <c r="BC16" s="229">
        <f t="shared" si="2"/>
        <v>0.21</v>
      </c>
      <c r="BD16" s="229">
        <f t="shared" si="3"/>
        <v>0.28000000000000003</v>
      </c>
      <c r="BE16" s="229">
        <f t="shared" si="4"/>
        <v>0.34</v>
      </c>
      <c r="BF16" s="229">
        <f t="shared" si="5"/>
        <v>0.39</v>
      </c>
      <c r="BG16" s="229">
        <f t="shared" si="6"/>
        <v>0.47</v>
      </c>
      <c r="BH16" s="229">
        <f t="shared" si="7"/>
        <v>0.53</v>
      </c>
      <c r="BI16" s="229">
        <f t="shared" si="8"/>
        <v>0.60000000000000009</v>
      </c>
      <c r="BJ16" s="229">
        <f t="shared" si="9"/>
        <v>0.67</v>
      </c>
      <c r="BK16" s="229">
        <f t="shared" si="10"/>
        <v>0.74</v>
      </c>
      <c r="BL16" s="229">
        <f t="shared" si="11"/>
        <v>0.86565319792748896</v>
      </c>
      <c r="BM16" s="215"/>
      <c r="BN16" s="212"/>
      <c r="BO16" s="212"/>
      <c r="BP16" s="212"/>
      <c r="BQ16" s="212"/>
      <c r="BR16" s="212"/>
      <c r="BS16" s="212"/>
      <c r="BT16" s="212"/>
      <c r="BU16" s="212"/>
      <c r="BV16" s="212"/>
    </row>
    <row r="17" spans="1:74" x14ac:dyDescent="0.25">
      <c r="A17" s="28" t="s">
        <v>48</v>
      </c>
      <c r="B17" s="29" t="str">
        <f>+Hoja16!L16</f>
        <v>[35]sigaf!k668</v>
      </c>
      <c r="C17" s="30">
        <v>0.09</v>
      </c>
      <c r="D17" s="29" t="e">
        <f>+Hoja15!L16</f>
        <v>#N/A</v>
      </c>
      <c r="E17" s="232">
        <f>+Hoja15!M16</f>
        <v>0</v>
      </c>
      <c r="F17" s="29" t="e">
        <f>+Hoja14!L16</f>
        <v>#N/A</v>
      </c>
      <c r="G17" s="30">
        <v>0.21</v>
      </c>
      <c r="H17" s="128" t="e">
        <f>+Hoja13!L16</f>
        <v>#N/A</v>
      </c>
      <c r="I17" s="30">
        <v>0.28000000000000003</v>
      </c>
      <c r="J17" s="128" t="e">
        <f>+Hoja12!L16</f>
        <v>#N/A</v>
      </c>
      <c r="K17" s="30">
        <v>0.34</v>
      </c>
      <c r="L17" s="128" t="e">
        <f>+Hoja11!L16</f>
        <v>#N/A</v>
      </c>
      <c r="M17" s="30">
        <v>0.39</v>
      </c>
      <c r="N17" s="29" t="e">
        <f>+Hoja8!L16</f>
        <v>#N/A</v>
      </c>
      <c r="O17" s="30">
        <v>0.47</v>
      </c>
      <c r="P17" s="233" t="e">
        <f>+Hoja7!L16</f>
        <v>#N/A</v>
      </c>
      <c r="Q17" s="30">
        <v>0.53</v>
      </c>
      <c r="R17" s="128" t="e">
        <f>+Hoja7!L16</f>
        <v>#N/A</v>
      </c>
      <c r="S17" s="232">
        <v>0.54261820773149705</v>
      </c>
      <c r="T17" s="128" t="e">
        <f>+Hoja6!L16</f>
        <v>#N/A</v>
      </c>
      <c r="U17" s="30">
        <v>0.60000000000000009</v>
      </c>
      <c r="V17" s="29" t="e">
        <f>+Hoja5!L16</f>
        <v>#N/A</v>
      </c>
      <c r="W17" s="30">
        <v>0.67</v>
      </c>
      <c r="X17" s="29" t="e">
        <f>+Hoja2!L16</f>
        <v>#N/A</v>
      </c>
      <c r="Y17" s="30">
        <v>0.74</v>
      </c>
      <c r="Z17" s="29">
        <f>+'ANALISIS POR PROG'!K16</f>
        <v>1095325472.8499999</v>
      </c>
      <c r="AA17" s="232">
        <f>+'ANALISIS POR PROG'!L16</f>
        <v>0.86565319792748896</v>
      </c>
      <c r="AB17" s="216"/>
      <c r="AC17" s="219" t="s">
        <v>766</v>
      </c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27">
        <f t="shared" si="12"/>
        <v>0.12</v>
      </c>
      <c r="AX17" s="228">
        <f t="shared" si="13"/>
        <v>0</v>
      </c>
      <c r="AY17" s="229">
        <f t="shared" si="14"/>
        <v>0.26</v>
      </c>
      <c r="AZ17" s="214" t="s">
        <v>49</v>
      </c>
      <c r="BA17" s="229">
        <f t="shared" si="0"/>
        <v>0.12</v>
      </c>
      <c r="BB17" s="229">
        <f t="shared" si="1"/>
        <v>0</v>
      </c>
      <c r="BC17" s="229">
        <f t="shared" si="2"/>
        <v>0.26</v>
      </c>
      <c r="BD17" s="229">
        <f t="shared" si="3"/>
        <v>0.33</v>
      </c>
      <c r="BE17" s="229">
        <f t="shared" si="4"/>
        <v>0.4</v>
      </c>
      <c r="BF17" s="229">
        <f t="shared" si="5"/>
        <v>0.47</v>
      </c>
      <c r="BG17" s="229">
        <f t="shared" si="6"/>
        <v>0.54</v>
      </c>
      <c r="BH17" s="229">
        <f t="shared" si="7"/>
        <v>0.61</v>
      </c>
      <c r="BI17" s="229">
        <f t="shared" si="8"/>
        <v>0.68</v>
      </c>
      <c r="BJ17" s="229">
        <f t="shared" si="9"/>
        <v>0.75</v>
      </c>
      <c r="BK17" s="229">
        <f t="shared" si="10"/>
        <v>0.82</v>
      </c>
      <c r="BL17" s="229">
        <f t="shared" si="11"/>
        <v>0.95182045914737623</v>
      </c>
      <c r="BM17" s="215"/>
      <c r="BN17" s="212"/>
      <c r="BO17" s="212"/>
      <c r="BP17" s="212"/>
      <c r="BQ17" s="212"/>
      <c r="BR17" s="212"/>
      <c r="BS17" s="212"/>
      <c r="BT17" s="212"/>
      <c r="BU17" s="212"/>
      <c r="BV17" s="212"/>
    </row>
    <row r="18" spans="1:74" x14ac:dyDescent="0.25">
      <c r="A18" s="28" t="s">
        <v>49</v>
      </c>
      <c r="B18" s="29" t="str">
        <f>+Hoja16!L17</f>
        <v>[35]sigaf!k748</v>
      </c>
      <c r="C18" s="30">
        <v>0.12</v>
      </c>
      <c r="D18" s="29" t="e">
        <f>+Hoja15!L17</f>
        <v>#N/A</v>
      </c>
      <c r="E18" s="232">
        <f>+Hoja15!M17</f>
        <v>0</v>
      </c>
      <c r="F18" s="29" t="e">
        <f>+Hoja14!L17</f>
        <v>#N/A</v>
      </c>
      <c r="G18" s="30">
        <v>0.26</v>
      </c>
      <c r="H18" s="128" t="e">
        <f>+Hoja13!L17</f>
        <v>#N/A</v>
      </c>
      <c r="I18" s="30">
        <v>0.33</v>
      </c>
      <c r="J18" s="128" t="e">
        <f>+Hoja12!L17</f>
        <v>#N/A</v>
      </c>
      <c r="K18" s="30">
        <v>0.4</v>
      </c>
      <c r="L18" s="128" t="e">
        <f>+Hoja11!L17</f>
        <v>#N/A</v>
      </c>
      <c r="M18" s="30">
        <v>0.47</v>
      </c>
      <c r="N18" s="29" t="e">
        <f>+Hoja8!L17</f>
        <v>#N/A</v>
      </c>
      <c r="O18" s="30">
        <v>0.54</v>
      </c>
      <c r="P18" s="233" t="e">
        <f>+Hoja7!L17</f>
        <v>#N/A</v>
      </c>
      <c r="Q18" s="30">
        <v>0.61</v>
      </c>
      <c r="R18" s="128" t="e">
        <f>+Hoja7!L17</f>
        <v>#N/A</v>
      </c>
      <c r="S18" s="232">
        <v>0.57130568807912907</v>
      </c>
      <c r="T18" s="128" t="e">
        <f>+Hoja6!L17</f>
        <v>#N/A</v>
      </c>
      <c r="U18" s="30">
        <v>0.68</v>
      </c>
      <c r="V18" s="29" t="e">
        <f>+Hoja5!L17</f>
        <v>#N/A</v>
      </c>
      <c r="W18" s="30">
        <v>0.75</v>
      </c>
      <c r="X18" s="29" t="e">
        <f>+Hoja2!L17</f>
        <v>#N/A</v>
      </c>
      <c r="Y18" s="30">
        <v>0.82</v>
      </c>
      <c r="Z18" s="29">
        <f>+'ANALISIS POR PROG'!K17</f>
        <v>7224328134.7299995</v>
      </c>
      <c r="AA18" s="232">
        <f>+'ANALISIS POR PROG'!L17</f>
        <v>0.95182045914737623</v>
      </c>
      <c r="AB18" s="216"/>
      <c r="AC18" s="219" t="s">
        <v>767</v>
      </c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27">
        <f t="shared" si="12"/>
        <v>0.12</v>
      </c>
      <c r="AX18" s="228">
        <f t="shared" si="13"/>
        <v>0</v>
      </c>
      <c r="AY18" s="229">
        <f t="shared" si="14"/>
        <v>0.27</v>
      </c>
      <c r="AZ18" s="214" t="s">
        <v>50</v>
      </c>
      <c r="BA18" s="229">
        <f t="shared" si="0"/>
        <v>0.12</v>
      </c>
      <c r="BB18" s="229">
        <f t="shared" si="1"/>
        <v>0</v>
      </c>
      <c r="BC18" s="229">
        <f t="shared" si="2"/>
        <v>0.27</v>
      </c>
      <c r="BD18" s="229">
        <f t="shared" si="3"/>
        <v>0.35</v>
      </c>
      <c r="BE18" s="229">
        <f t="shared" si="4"/>
        <v>0.42</v>
      </c>
      <c r="BF18" s="229">
        <f t="shared" si="5"/>
        <v>0.49</v>
      </c>
      <c r="BG18" s="229">
        <f t="shared" si="6"/>
        <v>0.56000000000000005</v>
      </c>
      <c r="BH18" s="229">
        <f t="shared" si="7"/>
        <v>0.63</v>
      </c>
      <c r="BI18" s="229">
        <f t="shared" si="8"/>
        <v>0.71</v>
      </c>
      <c r="BJ18" s="229">
        <f t="shared" si="9"/>
        <v>0.78</v>
      </c>
      <c r="BK18" s="229">
        <f t="shared" si="10"/>
        <v>0.85</v>
      </c>
      <c r="BL18" s="229">
        <f t="shared" si="11"/>
        <v>0.98495206109281808</v>
      </c>
      <c r="BM18" s="215"/>
      <c r="BN18" s="212"/>
      <c r="BO18" s="212"/>
      <c r="BP18" s="212"/>
      <c r="BQ18" s="212"/>
      <c r="BR18" s="212"/>
      <c r="BS18" s="212"/>
      <c r="BT18" s="212"/>
      <c r="BU18" s="212"/>
      <c r="BV18" s="212"/>
    </row>
    <row r="19" spans="1:74" x14ac:dyDescent="0.25">
      <c r="A19" s="28" t="s">
        <v>50</v>
      </c>
      <c r="B19" s="29" t="str">
        <f>+Hoja16!L18</f>
        <v>[35]sigaf!k769</v>
      </c>
      <c r="C19" s="30">
        <v>0.12</v>
      </c>
      <c r="D19" s="29" t="e">
        <f>+Hoja15!L18</f>
        <v>#N/A</v>
      </c>
      <c r="E19" s="232">
        <f>+Hoja15!M18</f>
        <v>0</v>
      </c>
      <c r="F19" s="29" t="e">
        <f>+Hoja14!L18</f>
        <v>#N/A</v>
      </c>
      <c r="G19" s="30">
        <v>0.27</v>
      </c>
      <c r="H19" s="128" t="e">
        <f>+Hoja13!L18</f>
        <v>#N/A</v>
      </c>
      <c r="I19" s="30">
        <v>0.35</v>
      </c>
      <c r="J19" s="128" t="e">
        <f>+Hoja12!L18</f>
        <v>#N/A</v>
      </c>
      <c r="K19" s="30">
        <v>0.42</v>
      </c>
      <c r="L19" s="128" t="e">
        <f>+Hoja11!L18</f>
        <v>#N/A</v>
      </c>
      <c r="M19" s="30">
        <v>0.49</v>
      </c>
      <c r="N19" s="29" t="e">
        <f>+Hoja8!L18</f>
        <v>#N/A</v>
      </c>
      <c r="O19" s="30">
        <v>0.56000000000000005</v>
      </c>
      <c r="P19" s="233" t="e">
        <f>+Hoja7!L18</f>
        <v>#N/A</v>
      </c>
      <c r="Q19" s="30">
        <v>0.63</v>
      </c>
      <c r="R19" s="128" t="e">
        <f>+Hoja7!L18</f>
        <v>#N/A</v>
      </c>
      <c r="S19" s="232">
        <v>0.50997884995430809</v>
      </c>
      <c r="T19" s="128" t="e">
        <f>+Hoja6!L18</f>
        <v>#N/A</v>
      </c>
      <c r="U19" s="30">
        <v>0.71</v>
      </c>
      <c r="V19" s="29" t="e">
        <f>+Hoja5!L18</f>
        <v>#N/A</v>
      </c>
      <c r="W19" s="30">
        <v>0.78</v>
      </c>
      <c r="X19" s="29" t="e">
        <f>+Hoja2!L18</f>
        <v>#N/A</v>
      </c>
      <c r="Y19" s="30">
        <v>0.85</v>
      </c>
      <c r="Z19" s="29">
        <f>+'ANALISIS POR PROG'!K18</f>
        <v>882074571.79999995</v>
      </c>
      <c r="AA19" s="232">
        <f>+'ANALISIS POR PROG'!L18</f>
        <v>0.98495206109281808</v>
      </c>
      <c r="AB19" s="216"/>
      <c r="AC19" s="219" t="s">
        <v>768</v>
      </c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27">
        <f t="shared" si="12"/>
        <v>0.12</v>
      </c>
      <c r="AX19" s="228">
        <f t="shared" si="13"/>
        <v>0</v>
      </c>
      <c r="AY19" s="229">
        <f t="shared" si="14"/>
        <v>0.25</v>
      </c>
      <c r="AZ19" s="214" t="s">
        <v>51</v>
      </c>
      <c r="BA19" s="229">
        <f t="shared" si="0"/>
        <v>0.12</v>
      </c>
      <c r="BB19" s="229">
        <f t="shared" si="1"/>
        <v>0</v>
      </c>
      <c r="BC19" s="229">
        <f t="shared" si="2"/>
        <v>0.25</v>
      </c>
      <c r="BD19" s="229">
        <f t="shared" si="3"/>
        <v>0.32</v>
      </c>
      <c r="BE19" s="229">
        <f t="shared" si="4"/>
        <v>0.38</v>
      </c>
      <c r="BF19" s="229">
        <f t="shared" si="5"/>
        <v>0.45</v>
      </c>
      <c r="BG19" s="229">
        <f t="shared" si="6"/>
        <v>0.53</v>
      </c>
      <c r="BH19" s="229">
        <f t="shared" si="7"/>
        <v>0.60000000000000009</v>
      </c>
      <c r="BI19" s="229">
        <f t="shared" si="8"/>
        <v>0.67</v>
      </c>
      <c r="BJ19" s="229">
        <f t="shared" si="9"/>
        <v>0.74</v>
      </c>
      <c r="BK19" s="229">
        <f t="shared" si="10"/>
        <v>0.81</v>
      </c>
      <c r="BL19" s="229">
        <f t="shared" si="11"/>
        <v>0.94028106022732461</v>
      </c>
      <c r="BM19" s="215"/>
      <c r="BN19" s="212"/>
      <c r="BO19" s="212"/>
      <c r="BP19" s="212"/>
      <c r="BQ19" s="212"/>
      <c r="BR19" s="212"/>
      <c r="BS19" s="212"/>
      <c r="BT19" s="212"/>
      <c r="BU19" s="212"/>
      <c r="BV19" s="212"/>
    </row>
    <row r="20" spans="1:74" x14ac:dyDescent="0.25">
      <c r="A20" s="28" t="s">
        <v>51</v>
      </c>
      <c r="B20" s="29" t="str">
        <f>+Hoja16!L19</f>
        <v>[35]sigaf!k794</v>
      </c>
      <c r="C20" s="30">
        <v>0.12</v>
      </c>
      <c r="D20" s="29" t="e">
        <f>+Hoja15!L19</f>
        <v>#N/A</v>
      </c>
      <c r="E20" s="232">
        <f>+Hoja15!M19</f>
        <v>0</v>
      </c>
      <c r="F20" s="29" t="e">
        <f>+Hoja14!L19</f>
        <v>#N/A</v>
      </c>
      <c r="G20" s="30">
        <v>0.25</v>
      </c>
      <c r="H20" s="128" t="e">
        <f>+Hoja13!L19</f>
        <v>#N/A</v>
      </c>
      <c r="I20" s="30">
        <v>0.32</v>
      </c>
      <c r="J20" s="128" t="e">
        <f>+Hoja12!L19</f>
        <v>#N/A</v>
      </c>
      <c r="K20" s="30">
        <v>0.38</v>
      </c>
      <c r="L20" s="128" t="e">
        <f>+Hoja11!L19</f>
        <v>#N/A</v>
      </c>
      <c r="M20" s="30">
        <v>0.45</v>
      </c>
      <c r="N20" s="29" t="e">
        <f>+Hoja8!L19</f>
        <v>#N/A</v>
      </c>
      <c r="O20" s="30">
        <v>0.53</v>
      </c>
      <c r="P20" s="233" t="e">
        <f>+Hoja7!L19</f>
        <v>#N/A</v>
      </c>
      <c r="Q20" s="30">
        <v>0.60000000000000009</v>
      </c>
      <c r="R20" s="128" t="e">
        <f>+Hoja7!L19</f>
        <v>#N/A</v>
      </c>
      <c r="S20" s="232">
        <v>0.57968585922017402</v>
      </c>
      <c r="T20" s="128" t="e">
        <f>+Hoja6!L19</f>
        <v>#N/A</v>
      </c>
      <c r="U20" s="30">
        <v>0.67</v>
      </c>
      <c r="V20" s="29" t="e">
        <f>+Hoja5!L19</f>
        <v>#N/A</v>
      </c>
      <c r="W20" s="30">
        <v>0.74</v>
      </c>
      <c r="X20" s="29" t="e">
        <f>+Hoja2!L19</f>
        <v>#N/A</v>
      </c>
      <c r="Y20" s="30">
        <v>0.81</v>
      </c>
      <c r="Z20" s="29">
        <f>+'ANALISIS POR PROG'!$K$19</f>
        <v>12046568869.049999</v>
      </c>
      <c r="AA20" s="232">
        <f>+'ANALISIS POR PROG'!L19</f>
        <v>0.94028106022732461</v>
      </c>
      <c r="AB20" s="216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34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  <c r="BL20" s="235"/>
      <c r="BM20" s="236"/>
      <c r="BN20" s="212"/>
      <c r="BO20" s="212"/>
      <c r="BP20" s="212"/>
      <c r="BQ20" s="212"/>
      <c r="BR20" s="212"/>
      <c r="BS20" s="212"/>
      <c r="BT20" s="212"/>
      <c r="BU20" s="212"/>
      <c r="BV20" s="212"/>
    </row>
    <row r="21" spans="1:74" x14ac:dyDescent="0.25">
      <c r="A21" s="35" t="s">
        <v>23</v>
      </c>
      <c r="B21" s="36">
        <f>SUM(B7:B20)</f>
        <v>0</v>
      </c>
      <c r="C21" s="38">
        <v>8.7000000000000008E-2</v>
      </c>
      <c r="D21" s="36" t="e">
        <f>SUM(D7:D20)</f>
        <v>#N/A</v>
      </c>
      <c r="E21" s="38" t="e">
        <f>+Hoja15!M20</f>
        <v>#N/A</v>
      </c>
      <c r="F21" s="36" t="e">
        <f>SUM(F7:F20)</f>
        <v>#N/A</v>
      </c>
      <c r="G21" s="237">
        <v>0.21</v>
      </c>
      <c r="H21" s="238" t="e">
        <f>SUM(H7:H20)</f>
        <v>#N/A</v>
      </c>
      <c r="I21" s="38">
        <v>0.28000000000000003</v>
      </c>
      <c r="J21" s="36" t="e">
        <f>SUM(J7:J20)</f>
        <v>#N/A</v>
      </c>
      <c r="K21" s="38">
        <v>0.34800000000000003</v>
      </c>
      <c r="L21" s="238" t="e">
        <f>SUM(L7:L20)</f>
        <v>#N/A</v>
      </c>
      <c r="M21" s="38">
        <v>0.42099999999999999</v>
      </c>
      <c r="N21" s="238" t="e">
        <f>SUM(N7:N20)</f>
        <v>#N/A</v>
      </c>
      <c r="O21" s="38">
        <v>0.48899999999999999</v>
      </c>
      <c r="P21" s="238" t="e">
        <f>SUM(P7:P20)</f>
        <v>#N/A</v>
      </c>
      <c r="Q21" s="38">
        <v>0.55900000000000005</v>
      </c>
      <c r="R21" s="238" t="e">
        <f>SUM(R7:R20)</f>
        <v>#N/A</v>
      </c>
      <c r="S21" s="239"/>
      <c r="T21" s="238" t="e">
        <f>SUM(T7:T20)</f>
        <v>#N/A</v>
      </c>
      <c r="U21" s="38">
        <v>0.63800000000000001</v>
      </c>
      <c r="V21" s="238" t="e">
        <f>SUM(V7:V20)</f>
        <v>#N/A</v>
      </c>
      <c r="W21" s="38">
        <v>0.70899999999999996</v>
      </c>
      <c r="X21" s="238" t="e">
        <f>SUM(X7:X20)</f>
        <v>#N/A</v>
      </c>
      <c r="Y21" s="38">
        <v>0.78</v>
      </c>
      <c r="Z21" s="238">
        <f>SUM(Z7:Z20)</f>
        <v>136630086152.53</v>
      </c>
      <c r="AA21" s="38">
        <f>+'ANALISIS POR PROG'!L20</f>
        <v>0.92069776602680475</v>
      </c>
      <c r="AB21" s="216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</row>
    <row r="22" spans="1:74" x14ac:dyDescent="0.25">
      <c r="A22" s="39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216"/>
      <c r="AX22" s="219"/>
      <c r="AY22" s="219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  <c r="BS22" s="212"/>
      <c r="BT22" s="212"/>
      <c r="BU22" s="212"/>
      <c r="BV22" s="212"/>
    </row>
    <row r="23" spans="1:74" x14ac:dyDescent="0.25">
      <c r="AW23" s="216"/>
      <c r="AX23" s="219"/>
      <c r="AY23" s="219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</row>
    <row r="24" spans="1:74" x14ac:dyDescent="0.25">
      <c r="AX24" s="219"/>
      <c r="AY24" s="219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</row>
    <row r="25" spans="1:74" x14ac:dyDescent="0.25">
      <c r="AX25" s="219"/>
      <c r="AY25" s="219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</row>
    <row r="26" spans="1:74" x14ac:dyDescent="0.25">
      <c r="AX26" s="219"/>
      <c r="AY26" s="219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</row>
    <row r="27" spans="1:74" x14ac:dyDescent="0.25"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2"/>
      <c r="BP27" s="212"/>
      <c r="BQ27" s="212"/>
      <c r="BR27" s="212"/>
      <c r="BS27" s="212"/>
      <c r="BT27" s="212"/>
    </row>
    <row r="28" spans="1:74" x14ac:dyDescent="0.25"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2"/>
      <c r="BP28" s="212"/>
      <c r="BQ28" s="212"/>
      <c r="BR28" s="212"/>
      <c r="BS28" s="212"/>
      <c r="BT28" s="212"/>
    </row>
    <row r="29" spans="1:74" x14ac:dyDescent="0.25"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2"/>
      <c r="BP29" s="212"/>
      <c r="BQ29" s="212"/>
      <c r="BR29" s="212"/>
      <c r="BS29" s="212"/>
      <c r="BT29" s="212"/>
    </row>
    <row r="30" spans="1:74" x14ac:dyDescent="0.25"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2"/>
      <c r="BP30" s="212"/>
      <c r="BQ30" s="212"/>
      <c r="BR30" s="212"/>
      <c r="BS30" s="212"/>
      <c r="BT30" s="212"/>
    </row>
    <row r="31" spans="1:74" x14ac:dyDescent="0.25"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2"/>
      <c r="BP31" s="212"/>
      <c r="BQ31" s="212"/>
      <c r="BR31" s="212"/>
      <c r="BS31" s="212"/>
      <c r="BT31" s="212"/>
    </row>
    <row r="32" spans="1:74" x14ac:dyDescent="0.25">
      <c r="AX32" s="219"/>
      <c r="AY32" s="219"/>
      <c r="AZ32" s="219"/>
      <c r="BA32" s="219"/>
      <c r="BB32" s="219"/>
      <c r="BC32" s="219"/>
      <c r="BD32" s="219"/>
      <c r="BE32" s="219"/>
      <c r="BF32" s="219"/>
      <c r="BG32" s="219"/>
      <c r="BH32" s="219"/>
      <c r="BI32" s="219"/>
      <c r="BJ32" s="219"/>
      <c r="BK32" s="219"/>
      <c r="BL32" s="219"/>
      <c r="BM32" s="219"/>
      <c r="BN32" s="219"/>
      <c r="BO32" s="212"/>
      <c r="BP32" s="212"/>
      <c r="BQ32" s="212"/>
      <c r="BR32" s="212"/>
      <c r="BS32" s="212"/>
      <c r="BT32" s="212"/>
    </row>
    <row r="33" spans="12:72" x14ac:dyDescent="0.25"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2"/>
      <c r="BP33" s="212"/>
      <c r="BQ33" s="212"/>
      <c r="BR33" s="212"/>
      <c r="BS33" s="212"/>
      <c r="BT33" s="212"/>
    </row>
    <row r="34" spans="12:72" x14ac:dyDescent="0.25"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2"/>
      <c r="BP34" s="212"/>
      <c r="BQ34" s="212"/>
      <c r="BR34" s="212"/>
      <c r="BS34" s="212"/>
      <c r="BT34" s="212"/>
    </row>
    <row r="35" spans="12:72" x14ac:dyDescent="0.25"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2"/>
      <c r="BP35" s="212"/>
      <c r="BQ35" s="212"/>
      <c r="BR35" s="212"/>
      <c r="BS35" s="212"/>
      <c r="BT35" s="212"/>
    </row>
    <row r="47" spans="12:72" x14ac:dyDescent="0.25">
      <c r="L47" s="240"/>
    </row>
  </sheetData>
  <sheetProtection selectLockedCells="1" selectUnlockedCells="1"/>
  <mergeCells count="13">
    <mergeCell ref="V5:W5"/>
    <mergeCell ref="X5:Y5"/>
    <mergeCell ref="Z5:AA5"/>
    <mergeCell ref="A1:AC1"/>
    <mergeCell ref="A2:AC2"/>
    <mergeCell ref="A3:AC3"/>
    <mergeCell ref="B5:C5"/>
    <mergeCell ref="D5:E5"/>
    <mergeCell ref="F5:G5"/>
    <mergeCell ref="J5:K5"/>
    <mergeCell ref="N5:O5"/>
    <mergeCell ref="P5:Q5"/>
    <mergeCell ref="T5:U5"/>
  </mergeCells>
  <pageMargins left="0.7" right="0.7" top="0.75" bottom="0.75" header="0.51180555555555551" footer="0.51180555555555551"/>
  <pageSetup firstPageNumber="0" orientation="portrait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47"/>
  <sheetViews>
    <sheetView zoomScaleNormal="100" workbookViewId="0"/>
  </sheetViews>
  <sheetFormatPr baseColWidth="10" defaultRowHeight="15" x14ac:dyDescent="0.25"/>
  <cols>
    <col min="1" max="1" width="17.5703125" style="23" customWidth="1"/>
    <col min="2" max="2" width="17.42578125" style="23" customWidth="1"/>
    <col min="3" max="3" width="8.7109375" style="23" customWidth="1"/>
    <col min="4" max="4" width="16.28515625" style="23" customWidth="1"/>
    <col min="5" max="5" width="6.140625" style="23" customWidth="1"/>
    <col min="6" max="6" width="17.28515625" style="23" customWidth="1"/>
    <col min="7" max="7" width="6.140625" style="23" customWidth="1"/>
    <col min="8" max="8" width="17.85546875" style="23" customWidth="1"/>
    <col min="9" max="9" width="6.7109375" style="23" customWidth="1"/>
    <col min="10" max="10" width="17.85546875" style="23" customWidth="1"/>
    <col min="11" max="11" width="6.7109375" style="23" customWidth="1"/>
    <col min="12" max="12" width="17.85546875" style="23" customWidth="1"/>
    <col min="13" max="13" width="6.7109375" style="23" customWidth="1"/>
    <col min="14" max="14" width="17.85546875" style="23" customWidth="1"/>
    <col min="15" max="15" width="6.7109375" style="23" customWidth="1"/>
    <col min="16" max="16" width="18.7109375" style="23" customWidth="1"/>
    <col min="17" max="17" width="6.7109375" style="23" customWidth="1"/>
    <col min="18" max="18" width="18.5703125" style="23" hidden="1" customWidth="1"/>
    <col min="19" max="19" width="6.7109375" style="23" hidden="1" customWidth="1"/>
    <col min="20" max="20" width="17.85546875" style="23" customWidth="1"/>
    <col min="21" max="21" width="6.7109375" style="23" customWidth="1"/>
    <col min="22" max="22" width="18.28515625" style="23" customWidth="1"/>
    <col min="23" max="23" width="6.7109375" style="23" customWidth="1"/>
    <col min="24" max="24" width="18.140625" style="23" customWidth="1"/>
    <col min="25" max="25" width="7.42578125" style="23" customWidth="1"/>
    <col min="26" max="26" width="18" style="23" customWidth="1"/>
    <col min="27" max="27" width="9.140625" style="23" customWidth="1"/>
    <col min="28" max="28" width="18.140625" style="23" customWidth="1"/>
    <col min="29" max="29" width="7.42578125" style="23" customWidth="1"/>
    <col min="30" max="30" width="9.140625" style="23" customWidth="1"/>
    <col min="31" max="32" width="11" style="207" hidden="1" customWidth="1"/>
    <col min="33" max="33" width="14.140625" style="207" hidden="1" customWidth="1"/>
    <col min="34" max="41" width="11" style="207" hidden="1" customWidth="1"/>
    <col min="42" max="42" width="17.7109375" style="207" hidden="1" customWidth="1"/>
    <col min="43" max="47" width="11" style="207" hidden="1" customWidth="1"/>
    <col min="48" max="49" width="11" style="93" hidden="1" customWidth="1"/>
    <col min="50" max="55" width="9.140625" style="93" customWidth="1"/>
    <col min="56" max="256" width="9.140625" style="23" customWidth="1"/>
    <col min="257" max="16384" width="11.42578125" style="23"/>
  </cols>
  <sheetData>
    <row r="1" spans="1:55" ht="15.75" x14ac:dyDescent="0.25">
      <c r="A1" s="600" t="s">
        <v>769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</row>
    <row r="2" spans="1:55" ht="15.75" x14ac:dyDescent="0.25">
      <c r="A2" s="600" t="str">
        <f>+'ANALISIS POR PROG'!B2</f>
        <v xml:space="preserve">AL 31 DE DICIEMBRE 2020        </v>
      </c>
      <c r="B2" s="600"/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E2" s="209"/>
      <c r="AF2" s="210"/>
      <c r="AG2" s="210"/>
      <c r="AH2" s="210"/>
      <c r="AI2" s="210"/>
      <c r="AJ2" s="210"/>
      <c r="AK2" s="210"/>
      <c r="AL2" s="210"/>
      <c r="AM2" s="210"/>
      <c r="AN2" s="210"/>
      <c r="AO2" s="210"/>
      <c r="AP2" s="210"/>
      <c r="AQ2" s="210"/>
      <c r="AR2" s="210"/>
      <c r="AS2" s="210"/>
      <c r="AT2" s="211"/>
      <c r="AU2" s="212"/>
      <c r="AV2" s="212"/>
      <c r="AW2" s="212"/>
      <c r="AX2" s="212"/>
      <c r="AY2" s="212"/>
      <c r="AZ2" s="212"/>
      <c r="BA2" s="212"/>
      <c r="BB2" s="212"/>
      <c r="BC2" s="212"/>
    </row>
    <row r="3" spans="1:55" ht="15.75" x14ac:dyDescent="0.25">
      <c r="A3" s="600" t="s">
        <v>33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E3" s="213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5"/>
      <c r="AU3" s="212"/>
      <c r="AV3" s="212"/>
      <c r="AW3" s="212"/>
      <c r="AX3" s="212"/>
      <c r="AY3" s="212"/>
      <c r="AZ3" s="212"/>
      <c r="BA3" s="212"/>
      <c r="BB3" s="212"/>
      <c r="BC3" s="212"/>
    </row>
    <row r="4" spans="1:55" x14ac:dyDescent="0.25">
      <c r="AD4" s="216"/>
      <c r="AE4" s="213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5"/>
      <c r="AU4" s="212"/>
      <c r="AV4" s="212"/>
      <c r="AW4" s="212"/>
      <c r="AX4" s="212"/>
      <c r="AY4" s="212"/>
      <c r="AZ4" s="212"/>
      <c r="BA4" s="212"/>
      <c r="BB4" s="212"/>
      <c r="BC4" s="212"/>
    </row>
    <row r="5" spans="1:55" ht="15" customHeight="1" x14ac:dyDescent="0.25">
      <c r="A5" s="26" t="s">
        <v>34</v>
      </c>
      <c r="B5" s="616" t="s">
        <v>753</v>
      </c>
      <c r="C5" s="616"/>
      <c r="D5" s="616" t="s">
        <v>754</v>
      </c>
      <c r="E5" s="616"/>
      <c r="F5" s="617" t="s">
        <v>755</v>
      </c>
      <c r="G5" s="617"/>
      <c r="H5" s="217" t="s">
        <v>743</v>
      </c>
      <c r="I5" s="217"/>
      <c r="J5" s="616" t="s">
        <v>744</v>
      </c>
      <c r="K5" s="616"/>
      <c r="L5" s="218" t="s">
        <v>745</v>
      </c>
      <c r="M5" s="218"/>
      <c r="N5" s="616" t="s">
        <v>746</v>
      </c>
      <c r="O5" s="616"/>
      <c r="P5" s="616" t="s">
        <v>756</v>
      </c>
      <c r="Q5" s="616"/>
      <c r="R5" s="218" t="s">
        <v>757</v>
      </c>
      <c r="S5" s="218"/>
      <c r="T5" s="616" t="s">
        <v>758</v>
      </c>
      <c r="U5" s="616"/>
      <c r="V5" s="616" t="s">
        <v>759</v>
      </c>
      <c r="W5" s="616"/>
      <c r="X5" s="616" t="s">
        <v>760</v>
      </c>
      <c r="Y5" s="616"/>
      <c r="Z5" s="616" t="s">
        <v>761</v>
      </c>
      <c r="AA5" s="616"/>
      <c r="AB5" s="216"/>
      <c r="AC5" s="219"/>
      <c r="AD5" s="220" t="str">
        <f>+B5</f>
        <v>Enero</v>
      </c>
      <c r="AE5" s="221" t="str">
        <f>+D5</f>
        <v>Febrero</v>
      </c>
      <c r="AF5" s="222" t="s">
        <v>762</v>
      </c>
      <c r="AG5" s="214"/>
      <c r="AH5" s="223" t="str">
        <f>+B5</f>
        <v>Enero</v>
      </c>
      <c r="AI5" s="222" t="str">
        <f>+D5</f>
        <v>Febrero</v>
      </c>
      <c r="AJ5" s="222" t="s">
        <v>755</v>
      </c>
      <c r="AK5" s="222" t="s">
        <v>743</v>
      </c>
      <c r="AL5" s="222" t="s">
        <v>744</v>
      </c>
      <c r="AM5" s="222" t="s">
        <v>745</v>
      </c>
      <c r="AN5" s="222" t="s">
        <v>746</v>
      </c>
      <c r="AO5" s="222" t="s">
        <v>756</v>
      </c>
      <c r="AP5" s="222" t="s">
        <v>758</v>
      </c>
      <c r="AQ5" s="222" t="s">
        <v>759</v>
      </c>
      <c r="AR5" s="222" t="s">
        <v>760</v>
      </c>
      <c r="AS5" s="222" t="s">
        <v>761</v>
      </c>
      <c r="AT5" s="224"/>
      <c r="AU5" s="225"/>
      <c r="AV5" s="225"/>
      <c r="AW5" s="212"/>
      <c r="AX5" s="212"/>
      <c r="AY5" s="212"/>
      <c r="AZ5" s="212"/>
      <c r="BA5" s="212"/>
      <c r="BB5" s="212"/>
      <c r="BC5" s="212"/>
    </row>
    <row r="6" spans="1:55" x14ac:dyDescent="0.25">
      <c r="A6" s="226"/>
      <c r="B6" s="27" t="s">
        <v>763</v>
      </c>
      <c r="C6" s="27" t="s">
        <v>35</v>
      </c>
      <c r="D6" s="27" t="s">
        <v>763</v>
      </c>
      <c r="E6" s="27" t="s">
        <v>35</v>
      </c>
      <c r="F6" s="27" t="s">
        <v>763</v>
      </c>
      <c r="G6" s="27" t="s">
        <v>35</v>
      </c>
      <c r="H6" s="27" t="s">
        <v>763</v>
      </c>
      <c r="I6" s="27" t="s">
        <v>35</v>
      </c>
      <c r="J6" s="27" t="s">
        <v>763</v>
      </c>
      <c r="K6" s="27" t="s">
        <v>35</v>
      </c>
      <c r="L6" s="27" t="s">
        <v>763</v>
      </c>
      <c r="M6" s="27" t="s">
        <v>35</v>
      </c>
      <c r="N6" s="27" t="s">
        <v>763</v>
      </c>
      <c r="O6" s="27" t="s">
        <v>35</v>
      </c>
      <c r="P6" s="27" t="s">
        <v>763</v>
      </c>
      <c r="Q6" s="27" t="s">
        <v>35</v>
      </c>
      <c r="R6" s="27" t="s">
        <v>763</v>
      </c>
      <c r="S6" s="27" t="s">
        <v>35</v>
      </c>
      <c r="T6" s="27" t="s">
        <v>763</v>
      </c>
      <c r="U6" s="27" t="s">
        <v>35</v>
      </c>
      <c r="V6" s="27" t="s">
        <v>763</v>
      </c>
      <c r="W6" s="27" t="s">
        <v>35</v>
      </c>
      <c r="X6" s="27" t="s">
        <v>763</v>
      </c>
      <c r="Y6" s="27" t="s">
        <v>35</v>
      </c>
      <c r="Z6" s="27" t="s">
        <v>763</v>
      </c>
      <c r="AA6" s="27" t="s">
        <v>35</v>
      </c>
      <c r="AB6" s="216"/>
      <c r="AC6" s="219" t="s">
        <v>764</v>
      </c>
      <c r="AD6" s="227">
        <f>+C16</f>
        <v>0</v>
      </c>
      <c r="AE6" s="228">
        <f>+E16</f>
        <v>0</v>
      </c>
      <c r="AF6" s="229">
        <f>+G16</f>
        <v>0</v>
      </c>
      <c r="AG6" s="214" t="s">
        <v>38</v>
      </c>
      <c r="AH6" s="229">
        <f t="shared" ref="AH6:AH19" si="0">+C7</f>
        <v>7.0000000000000007E-2</v>
      </c>
      <c r="AI6" s="229">
        <f t="shared" ref="AI6:AI19" si="1">+E7</f>
        <v>0</v>
      </c>
      <c r="AJ6" s="229">
        <f t="shared" ref="AJ6:AJ19" si="2">+G7</f>
        <v>0</v>
      </c>
      <c r="AK6" s="229" t="e">
        <f t="shared" ref="AK6:AK19" si="3">+I7</f>
        <v>#N/A</v>
      </c>
      <c r="AL6" s="229" t="e">
        <f t="shared" ref="AL6:AL19" si="4">+K7</f>
        <v>#N/A</v>
      </c>
      <c r="AM6" s="229">
        <f t="shared" ref="AM6:AM19" si="5">+M7</f>
        <v>0</v>
      </c>
      <c r="AN6" s="229">
        <f t="shared" ref="AN6:AN19" si="6">+O7</f>
        <v>0</v>
      </c>
      <c r="AO6" s="229">
        <f t="shared" ref="AO6:AO19" si="7">+Q7</f>
        <v>0</v>
      </c>
      <c r="AP6" s="229">
        <f t="shared" ref="AP6:AP19" si="8">+U7</f>
        <v>0</v>
      </c>
      <c r="AQ6" s="229">
        <f t="shared" ref="AQ6:AQ19" si="9">+W7</f>
        <v>0</v>
      </c>
      <c r="AR6" s="229">
        <f t="shared" ref="AR6:AR19" si="10">+Y7</f>
        <v>0</v>
      </c>
      <c r="AS6" s="229">
        <f t="shared" ref="AS6:AS19" si="11">+AA7</f>
        <v>1.1663870438670351E-3</v>
      </c>
      <c r="AT6" s="230"/>
      <c r="AU6" s="229"/>
      <c r="AV6" s="229"/>
      <c r="AW6" s="231"/>
      <c r="AX6" s="231"/>
      <c r="AY6" s="231"/>
      <c r="AZ6" s="231"/>
      <c r="BA6" s="231"/>
      <c r="BB6" s="231"/>
      <c r="BC6" s="231"/>
    </row>
    <row r="7" spans="1:55" x14ac:dyDescent="0.25">
      <c r="A7" s="28" t="s">
        <v>38</v>
      </c>
      <c r="B7" s="29" t="str">
        <f>+Hoja16!G6</f>
        <v>[35]sigaf!i3</v>
      </c>
      <c r="C7" s="30">
        <v>7.0000000000000007E-2</v>
      </c>
      <c r="D7" s="29" t="e">
        <f>+Hoja15!G6</f>
        <v>#N/A</v>
      </c>
      <c r="E7" s="232">
        <f>+Hoja15!M6</f>
        <v>0</v>
      </c>
      <c r="F7" s="29" t="e">
        <f>+Hoja14!G6</f>
        <v>#N/A</v>
      </c>
      <c r="G7" s="30">
        <f>+Hoja14!H6</f>
        <v>0</v>
      </c>
      <c r="H7" s="128" t="e">
        <f>+Hoja13!G6</f>
        <v>#N/A</v>
      </c>
      <c r="I7" s="30" t="e">
        <f>+Hoja13!I6</f>
        <v>#N/A</v>
      </c>
      <c r="J7" s="128" t="e">
        <f>+Hoja12!G6</f>
        <v>#N/A</v>
      </c>
      <c r="K7" s="30" t="e">
        <f>+Hoja12!I6</f>
        <v>#N/A</v>
      </c>
      <c r="L7" s="128" t="e">
        <f>+Hoja11!G6</f>
        <v>#N/A</v>
      </c>
      <c r="M7" s="30">
        <f>+Hoja11!H6</f>
        <v>0</v>
      </c>
      <c r="N7" s="29" t="e">
        <f>+Hoja8!G6</f>
        <v>#N/A</v>
      </c>
      <c r="O7" s="30">
        <f>+Hoja8!H6</f>
        <v>0</v>
      </c>
      <c r="P7" s="233" t="e">
        <f>+Hoja7!G6</f>
        <v>#N/A</v>
      </c>
      <c r="Q7" s="30">
        <f>+Hoja7!H6</f>
        <v>0</v>
      </c>
      <c r="R7" s="128" t="e">
        <f>+Hoja7!L6</f>
        <v>#N/A</v>
      </c>
      <c r="S7" s="232">
        <v>0.54138361692075709</v>
      </c>
      <c r="T7" s="128" t="e">
        <f>+Hoja6!G6</f>
        <v>#N/A</v>
      </c>
      <c r="U7" s="30">
        <f>+Hoja6!H6</f>
        <v>0</v>
      </c>
      <c r="V7" s="29" t="e">
        <f>+Hoja5!G6</f>
        <v>#N/A</v>
      </c>
      <c r="W7" s="30">
        <f>+Hoja5!H6</f>
        <v>0</v>
      </c>
      <c r="X7" s="29" t="e">
        <f>+Hoja2!G6</f>
        <v>#N/A</v>
      </c>
      <c r="Y7" s="30">
        <f>+Hoja2!H6</f>
        <v>0</v>
      </c>
      <c r="Z7" s="29">
        <f>+'ANALISIS POR PROG'!G6</f>
        <v>2427295.7400000002</v>
      </c>
      <c r="AA7" s="232">
        <f>+'ANALISIS POR PROG'!H6</f>
        <v>1.1663870438670351E-3</v>
      </c>
      <c r="AB7" s="216"/>
      <c r="AC7" s="219" t="s">
        <v>765</v>
      </c>
      <c r="AD7" s="227">
        <f t="shared" ref="AD7:AD19" si="12">+C8</f>
        <v>7.0000000000000007E-2</v>
      </c>
      <c r="AE7" s="228">
        <f t="shared" ref="AE7:AE19" si="13">+E8</f>
        <v>0</v>
      </c>
      <c r="AF7" s="229">
        <f t="shared" ref="AF7:AF19" si="14">+G8</f>
        <v>0</v>
      </c>
      <c r="AG7" s="214" t="s">
        <v>39</v>
      </c>
      <c r="AH7" s="229">
        <f t="shared" si="0"/>
        <v>7.0000000000000007E-2</v>
      </c>
      <c r="AI7" s="229">
        <f t="shared" si="1"/>
        <v>0</v>
      </c>
      <c r="AJ7" s="229">
        <f t="shared" si="2"/>
        <v>0</v>
      </c>
      <c r="AK7" s="229" t="e">
        <f t="shared" si="3"/>
        <v>#N/A</v>
      </c>
      <c r="AL7" s="229" t="e">
        <f t="shared" si="4"/>
        <v>#N/A</v>
      </c>
      <c r="AM7" s="229">
        <f t="shared" si="5"/>
        <v>0</v>
      </c>
      <c r="AN7" s="229">
        <f t="shared" si="6"/>
        <v>0</v>
      </c>
      <c r="AO7" s="229">
        <f t="shared" si="7"/>
        <v>0</v>
      </c>
      <c r="AP7" s="229">
        <f t="shared" si="8"/>
        <v>0</v>
      </c>
      <c r="AQ7" s="229">
        <f t="shared" si="9"/>
        <v>0</v>
      </c>
      <c r="AR7" s="229">
        <f t="shared" si="10"/>
        <v>0</v>
      </c>
      <c r="AS7" s="229">
        <f t="shared" si="11"/>
        <v>7.7123603927671596E-3</v>
      </c>
      <c r="AT7" s="230"/>
      <c r="AU7" s="229"/>
      <c r="AV7" s="229"/>
      <c r="AW7" s="231"/>
      <c r="AX7" s="231"/>
      <c r="AY7" s="231"/>
      <c r="AZ7" s="231"/>
      <c r="BA7" s="231"/>
      <c r="BB7" s="231"/>
      <c r="BC7" s="231"/>
    </row>
    <row r="8" spans="1:55" x14ac:dyDescent="0.25">
      <c r="A8" s="28" t="s">
        <v>39</v>
      </c>
      <c r="B8" s="29" t="str">
        <f>+Hoja16!G7</f>
        <v>[35]sigaf!i62</v>
      </c>
      <c r="C8" s="30">
        <v>7.0000000000000007E-2</v>
      </c>
      <c r="D8" s="29" t="e">
        <f>+Hoja15!G7</f>
        <v>#N/A</v>
      </c>
      <c r="E8" s="232">
        <f>+Hoja15!M7</f>
        <v>0</v>
      </c>
      <c r="F8" s="29" t="e">
        <f>+Hoja14!G7</f>
        <v>#N/A</v>
      </c>
      <c r="G8" s="30">
        <f>+Hoja14!H7</f>
        <v>0</v>
      </c>
      <c r="H8" s="128" t="e">
        <f>+Hoja13!G7</f>
        <v>#N/A</v>
      </c>
      <c r="I8" s="30" t="e">
        <f>+Hoja13!I7</f>
        <v>#N/A</v>
      </c>
      <c r="J8" s="128" t="e">
        <f>+Hoja12!G7</f>
        <v>#N/A</v>
      </c>
      <c r="K8" s="30" t="e">
        <f>+Hoja12!I7</f>
        <v>#N/A</v>
      </c>
      <c r="L8" s="128" t="e">
        <f>+Hoja11!G7</f>
        <v>#N/A</v>
      </c>
      <c r="M8" s="30">
        <f>+Hoja11!H7</f>
        <v>0</v>
      </c>
      <c r="N8" s="29" t="e">
        <f>+Hoja8!G7</f>
        <v>#N/A</v>
      </c>
      <c r="O8" s="30">
        <f>+Hoja8!H7</f>
        <v>0</v>
      </c>
      <c r="P8" s="233" t="e">
        <f>+Hoja7!G7</f>
        <v>#N/A</v>
      </c>
      <c r="Q8" s="30">
        <f>+Hoja7!H7</f>
        <v>0</v>
      </c>
      <c r="R8" s="128" t="e">
        <f>+Hoja7!L7</f>
        <v>#N/A</v>
      </c>
      <c r="S8" s="232">
        <v>0.54138361692075709</v>
      </c>
      <c r="T8" s="128" t="e">
        <f>+Hoja6!G7</f>
        <v>#N/A</v>
      </c>
      <c r="U8" s="30">
        <f>+Hoja6!H7</f>
        <v>0</v>
      </c>
      <c r="V8" s="29" t="e">
        <f>+Hoja5!G7</f>
        <v>#N/A</v>
      </c>
      <c r="W8" s="30">
        <f>+Hoja5!H7</f>
        <v>0</v>
      </c>
      <c r="X8" s="29" t="e">
        <f>+Hoja2!G7</f>
        <v>#N/A</v>
      </c>
      <c r="Y8" s="30">
        <f>+Hoja2!H7</f>
        <v>0</v>
      </c>
      <c r="Z8" s="29">
        <f>+'ANALISIS POR PROG'!G7</f>
        <v>26742682.59</v>
      </c>
      <c r="AA8" s="232">
        <f>+'ANALISIS POR PROG'!H7</f>
        <v>7.7123603927671596E-3</v>
      </c>
      <c r="AB8" s="216"/>
      <c r="AC8" s="219" t="s">
        <v>765</v>
      </c>
      <c r="AD8" s="227">
        <f t="shared" si="12"/>
        <v>0.04</v>
      </c>
      <c r="AE8" s="228">
        <f t="shared" si="13"/>
        <v>0</v>
      </c>
      <c r="AF8" s="229">
        <f t="shared" si="14"/>
        <v>0</v>
      </c>
      <c r="AG8" s="214" t="s">
        <v>40</v>
      </c>
      <c r="AH8" s="229">
        <f t="shared" si="0"/>
        <v>0.04</v>
      </c>
      <c r="AI8" s="229">
        <f t="shared" si="1"/>
        <v>0</v>
      </c>
      <c r="AJ8" s="229">
        <f t="shared" si="2"/>
        <v>0</v>
      </c>
      <c r="AK8" s="229" t="e">
        <f t="shared" si="3"/>
        <v>#N/A</v>
      </c>
      <c r="AL8" s="229" t="e">
        <f t="shared" si="4"/>
        <v>#N/A</v>
      </c>
      <c r="AM8" s="229">
        <f t="shared" si="5"/>
        <v>0</v>
      </c>
      <c r="AN8" s="229">
        <f t="shared" si="6"/>
        <v>0</v>
      </c>
      <c r="AO8" s="229">
        <f t="shared" si="7"/>
        <v>0</v>
      </c>
      <c r="AP8" s="229">
        <f t="shared" si="8"/>
        <v>0</v>
      </c>
      <c r="AQ8" s="229">
        <f t="shared" si="9"/>
        <v>0</v>
      </c>
      <c r="AR8" s="229">
        <f t="shared" si="10"/>
        <v>0</v>
      </c>
      <c r="AS8" s="229">
        <f t="shared" si="11"/>
        <v>1.2539705308000096E-2</v>
      </c>
      <c r="AT8" s="230"/>
      <c r="AU8" s="229"/>
      <c r="AV8" s="229"/>
      <c r="AW8" s="231"/>
      <c r="AX8" s="231"/>
      <c r="AY8" s="231"/>
      <c r="AZ8" s="231"/>
      <c r="BA8" s="231"/>
      <c r="BB8" s="231"/>
      <c r="BC8" s="231"/>
    </row>
    <row r="9" spans="1:55" x14ac:dyDescent="0.25">
      <c r="A9" s="28" t="s">
        <v>40</v>
      </c>
      <c r="B9" s="29" t="str">
        <f>+Hoja16!G8</f>
        <v>[35]sigaf!i144</v>
      </c>
      <c r="C9" s="30">
        <v>0.04</v>
      </c>
      <c r="D9" s="29" t="e">
        <f>+Hoja15!G8</f>
        <v>#N/A</v>
      </c>
      <c r="E9" s="232">
        <f>+Hoja15!M8</f>
        <v>0</v>
      </c>
      <c r="F9" s="29" t="e">
        <f>+Hoja14!G8</f>
        <v>#N/A</v>
      </c>
      <c r="G9" s="30">
        <f>+Hoja14!H8</f>
        <v>0</v>
      </c>
      <c r="H9" s="128" t="e">
        <f>+Hoja13!G8</f>
        <v>#N/A</v>
      </c>
      <c r="I9" s="30" t="e">
        <f>+Hoja13!I8</f>
        <v>#N/A</v>
      </c>
      <c r="J9" s="128" t="e">
        <f>+Hoja12!G8</f>
        <v>#N/A</v>
      </c>
      <c r="K9" s="30" t="e">
        <f>+Hoja12!I8</f>
        <v>#N/A</v>
      </c>
      <c r="L9" s="128" t="e">
        <f>+Hoja11!G8</f>
        <v>#N/A</v>
      </c>
      <c r="M9" s="30">
        <f>+Hoja11!H8</f>
        <v>0</v>
      </c>
      <c r="N9" s="29" t="e">
        <f>+Hoja8!G8</f>
        <v>#N/A</v>
      </c>
      <c r="O9" s="30">
        <f>+Hoja8!H8</f>
        <v>0</v>
      </c>
      <c r="P9" s="233" t="e">
        <f>+Hoja7!G8</f>
        <v>#N/A</v>
      </c>
      <c r="Q9" s="30">
        <f>+Hoja7!H8</f>
        <v>0</v>
      </c>
      <c r="R9" s="128" t="e">
        <f>+Hoja7!L8</f>
        <v>#N/A</v>
      </c>
      <c r="S9" s="232">
        <v>0.54138361692075709</v>
      </c>
      <c r="T9" s="128" t="e">
        <f>+Hoja6!G8</f>
        <v>#N/A</v>
      </c>
      <c r="U9" s="30">
        <f>+Hoja6!H8</f>
        <v>0</v>
      </c>
      <c r="V9" s="29" t="e">
        <f>+Hoja5!G8</f>
        <v>#N/A</v>
      </c>
      <c r="W9" s="30">
        <f>+Hoja5!H8</f>
        <v>0</v>
      </c>
      <c r="X9" s="29" t="e">
        <f>+Hoja2!G8</f>
        <v>#N/A</v>
      </c>
      <c r="Y9" s="30">
        <f>+Hoja2!H8</f>
        <v>0</v>
      </c>
      <c r="Z9" s="29">
        <f>+'ANALISIS POR PROG'!G8</f>
        <v>35732290.530000001</v>
      </c>
      <c r="AA9" s="232">
        <f>+'ANALISIS POR PROG'!H8</f>
        <v>1.2539705308000096E-2</v>
      </c>
      <c r="AB9" s="216"/>
      <c r="AC9" s="219" t="s">
        <v>765</v>
      </c>
      <c r="AD9" s="227">
        <f t="shared" si="12"/>
        <v>0.1</v>
      </c>
      <c r="AE9" s="228">
        <f t="shared" si="13"/>
        <v>0</v>
      </c>
      <c r="AF9" s="229">
        <f t="shared" si="14"/>
        <v>0</v>
      </c>
      <c r="AG9" s="214" t="s">
        <v>41</v>
      </c>
      <c r="AH9" s="229">
        <f t="shared" si="0"/>
        <v>0.1</v>
      </c>
      <c r="AI9" s="229">
        <f t="shared" si="1"/>
        <v>0</v>
      </c>
      <c r="AJ9" s="229">
        <f t="shared" si="2"/>
        <v>0</v>
      </c>
      <c r="AK9" s="229" t="e">
        <f t="shared" si="3"/>
        <v>#N/A</v>
      </c>
      <c r="AL9" s="229" t="e">
        <f t="shared" si="4"/>
        <v>#N/A</v>
      </c>
      <c r="AM9" s="229">
        <f t="shared" si="5"/>
        <v>0</v>
      </c>
      <c r="AN9" s="229">
        <f t="shared" si="6"/>
        <v>0</v>
      </c>
      <c r="AO9" s="229">
        <f t="shared" si="7"/>
        <v>0</v>
      </c>
      <c r="AP9" s="229">
        <f t="shared" si="8"/>
        <v>0</v>
      </c>
      <c r="AQ9" s="229">
        <f t="shared" si="9"/>
        <v>0</v>
      </c>
      <c r="AR9" s="229">
        <f t="shared" si="10"/>
        <v>0</v>
      </c>
      <c r="AS9" s="229">
        <f t="shared" si="11"/>
        <v>1.4578866766556745E-2</v>
      </c>
      <c r="AT9" s="230"/>
      <c r="AU9" s="229"/>
      <c r="AV9" s="229"/>
      <c r="AW9" s="231"/>
      <c r="AX9" s="231"/>
      <c r="AY9" s="231"/>
      <c r="AZ9" s="231"/>
      <c r="BA9" s="231"/>
      <c r="BB9" s="231"/>
      <c r="BC9" s="231"/>
    </row>
    <row r="10" spans="1:55" x14ac:dyDescent="0.25">
      <c r="A10" s="28" t="s">
        <v>41</v>
      </c>
      <c r="B10" s="29" t="str">
        <f>+Hoja16!G9</f>
        <v>[35]sigaf!i244</v>
      </c>
      <c r="C10" s="30">
        <v>0.1</v>
      </c>
      <c r="D10" s="29" t="e">
        <f>+Hoja15!G9</f>
        <v>#N/A</v>
      </c>
      <c r="E10" s="232">
        <f>+Hoja15!M9</f>
        <v>0</v>
      </c>
      <c r="F10" s="29" t="e">
        <f>+Hoja14!G9</f>
        <v>#N/A</v>
      </c>
      <c r="G10" s="30">
        <f>+Hoja14!H9</f>
        <v>0</v>
      </c>
      <c r="H10" s="128" t="e">
        <f>+Hoja13!G9</f>
        <v>#N/A</v>
      </c>
      <c r="I10" s="30" t="e">
        <f>+Hoja13!I9</f>
        <v>#N/A</v>
      </c>
      <c r="J10" s="128" t="e">
        <f>+Hoja12!G9</f>
        <v>#N/A</v>
      </c>
      <c r="K10" s="30" t="e">
        <f>+Hoja12!I9</f>
        <v>#N/A</v>
      </c>
      <c r="L10" s="128" t="e">
        <f>+Hoja11!G9</f>
        <v>#N/A</v>
      </c>
      <c r="M10" s="30">
        <f>+Hoja11!H9</f>
        <v>0</v>
      </c>
      <c r="N10" s="29" t="e">
        <f>+Hoja8!G9</f>
        <v>#N/A</v>
      </c>
      <c r="O10" s="30">
        <f>+Hoja8!H9</f>
        <v>0</v>
      </c>
      <c r="P10" s="233" t="e">
        <f>+Hoja7!G9</f>
        <v>#N/A</v>
      </c>
      <c r="Q10" s="30">
        <f>+Hoja7!H9</f>
        <v>0</v>
      </c>
      <c r="R10" s="128" t="e">
        <f>+Hoja7!L9</f>
        <v>#N/A</v>
      </c>
      <c r="S10" s="232">
        <v>0.54138361692075709</v>
      </c>
      <c r="T10" s="128" t="e">
        <f>+Hoja6!G9</f>
        <v>#N/A</v>
      </c>
      <c r="U10" s="30">
        <f>+Hoja6!H9</f>
        <v>0</v>
      </c>
      <c r="V10" s="29" t="e">
        <f>+Hoja5!G9</f>
        <v>#N/A</v>
      </c>
      <c r="W10" s="30">
        <f>+Hoja5!H9</f>
        <v>0</v>
      </c>
      <c r="X10" s="29" t="e">
        <f>+Hoja2!G9</f>
        <v>#N/A</v>
      </c>
      <c r="Y10" s="30">
        <f>+Hoja2!H9</f>
        <v>0</v>
      </c>
      <c r="Z10" s="29">
        <f>+'ANALISIS POR PROG'!G9</f>
        <v>1104426827.1500001</v>
      </c>
      <c r="AA10" s="232">
        <f>+'ANALISIS POR PROG'!H9</f>
        <v>1.4578866766556745E-2</v>
      </c>
      <c r="AB10" s="216"/>
      <c r="AC10" s="219" t="s">
        <v>765</v>
      </c>
      <c r="AD10" s="227">
        <f t="shared" si="12"/>
        <v>0.06</v>
      </c>
      <c r="AE10" s="228">
        <f t="shared" si="13"/>
        <v>0</v>
      </c>
      <c r="AF10" s="229">
        <f t="shared" si="14"/>
        <v>0</v>
      </c>
      <c r="AG10" s="214" t="s">
        <v>42</v>
      </c>
      <c r="AH10" s="229">
        <f t="shared" si="0"/>
        <v>0.06</v>
      </c>
      <c r="AI10" s="229">
        <f t="shared" si="1"/>
        <v>0</v>
      </c>
      <c r="AJ10" s="229">
        <f t="shared" si="2"/>
        <v>0</v>
      </c>
      <c r="AK10" s="229" t="e">
        <f t="shared" si="3"/>
        <v>#N/A</v>
      </c>
      <c r="AL10" s="229" t="e">
        <f t="shared" si="4"/>
        <v>#N/A</v>
      </c>
      <c r="AM10" s="229">
        <f t="shared" si="5"/>
        <v>0</v>
      </c>
      <c r="AN10" s="229">
        <f t="shared" si="6"/>
        <v>0</v>
      </c>
      <c r="AO10" s="229">
        <f t="shared" si="7"/>
        <v>0</v>
      </c>
      <c r="AP10" s="229">
        <f t="shared" si="8"/>
        <v>0</v>
      </c>
      <c r="AQ10" s="229">
        <f t="shared" si="9"/>
        <v>0</v>
      </c>
      <c r="AR10" s="229">
        <f t="shared" si="10"/>
        <v>0</v>
      </c>
      <c r="AS10" s="229">
        <f t="shared" si="11"/>
        <v>2.755572092670901E-2</v>
      </c>
      <c r="AT10" s="230"/>
      <c r="AU10" s="229"/>
      <c r="AV10" s="229"/>
      <c r="AW10" s="231"/>
      <c r="AX10" s="231"/>
      <c r="AY10" s="231"/>
      <c r="AZ10" s="231"/>
      <c r="BA10" s="231"/>
      <c r="BB10" s="231"/>
      <c r="BC10" s="231"/>
    </row>
    <row r="11" spans="1:55" x14ac:dyDescent="0.25">
      <c r="A11" s="28" t="s">
        <v>42</v>
      </c>
      <c r="B11" s="29" t="str">
        <f>+Hoja16!G10</f>
        <v>[35]sigaf!i370</v>
      </c>
      <c r="C11" s="30">
        <v>0.06</v>
      </c>
      <c r="D11" s="29" t="e">
        <f>+Hoja15!G10</f>
        <v>#N/A</v>
      </c>
      <c r="E11" s="232">
        <f>+Hoja15!M10</f>
        <v>0</v>
      </c>
      <c r="F11" s="29" t="e">
        <f>+Hoja14!G10</f>
        <v>#N/A</v>
      </c>
      <c r="G11" s="30">
        <f>+Hoja14!H10</f>
        <v>0</v>
      </c>
      <c r="H11" s="128" t="e">
        <f>+Hoja13!G10</f>
        <v>#N/A</v>
      </c>
      <c r="I11" s="30" t="e">
        <f>+Hoja13!I10</f>
        <v>#N/A</v>
      </c>
      <c r="J11" s="128" t="e">
        <f>+Hoja12!G10</f>
        <v>#N/A</v>
      </c>
      <c r="K11" s="30" t="e">
        <f>+Hoja12!I10</f>
        <v>#N/A</v>
      </c>
      <c r="L11" s="128" t="e">
        <f>+Hoja11!G10</f>
        <v>#N/A</v>
      </c>
      <c r="M11" s="30">
        <f>+Hoja11!H10</f>
        <v>0</v>
      </c>
      <c r="N11" s="29" t="e">
        <f>+Hoja8!G10</f>
        <v>#N/A</v>
      </c>
      <c r="O11" s="30">
        <f>+Hoja8!H10</f>
        <v>0</v>
      </c>
      <c r="P11" s="233" t="e">
        <f>+Hoja7!G10</f>
        <v>#N/A</v>
      </c>
      <c r="Q11" s="30">
        <f>+Hoja7!H10</f>
        <v>0</v>
      </c>
      <c r="R11" s="128" t="e">
        <f>+Hoja7!L10</f>
        <v>#N/A</v>
      </c>
      <c r="S11" s="232">
        <v>0.54138361692075709</v>
      </c>
      <c r="T11" s="128" t="e">
        <f>+Hoja6!G10</f>
        <v>#N/A</v>
      </c>
      <c r="U11" s="30">
        <f>+Hoja6!H10</f>
        <v>0</v>
      </c>
      <c r="V11" s="29" t="e">
        <f>+Hoja5!G10</f>
        <v>#N/A</v>
      </c>
      <c r="W11" s="30">
        <f>+Hoja5!H10</f>
        <v>0</v>
      </c>
      <c r="X11" s="29" t="e">
        <f>+Hoja2!G10</f>
        <v>#N/A</v>
      </c>
      <c r="Y11" s="30">
        <f>+Hoja2!H10</f>
        <v>0</v>
      </c>
      <c r="Z11" s="29">
        <f>+'ANALISIS POR PROG'!G10</f>
        <v>764570619.33000004</v>
      </c>
      <c r="AA11" s="232">
        <f>+'ANALISIS POR PROG'!H10</f>
        <v>2.755572092670901E-2</v>
      </c>
      <c r="AB11" s="216"/>
      <c r="AC11" s="219" t="s">
        <v>765</v>
      </c>
      <c r="AD11" s="227">
        <f t="shared" si="12"/>
        <v>0.06</v>
      </c>
      <c r="AE11" s="228">
        <f t="shared" si="13"/>
        <v>0</v>
      </c>
      <c r="AF11" s="229">
        <f t="shared" si="14"/>
        <v>0</v>
      </c>
      <c r="AG11" s="214" t="s">
        <v>43</v>
      </c>
      <c r="AH11" s="229">
        <f t="shared" si="0"/>
        <v>0.06</v>
      </c>
      <c r="AI11" s="229">
        <f t="shared" si="1"/>
        <v>0</v>
      </c>
      <c r="AJ11" s="229">
        <f t="shared" si="2"/>
        <v>0</v>
      </c>
      <c r="AK11" s="229" t="e">
        <f t="shared" si="3"/>
        <v>#N/A</v>
      </c>
      <c r="AL11" s="229" t="e">
        <f t="shared" si="4"/>
        <v>#N/A</v>
      </c>
      <c r="AM11" s="229">
        <f t="shared" si="5"/>
        <v>0</v>
      </c>
      <c r="AN11" s="229">
        <f t="shared" si="6"/>
        <v>0</v>
      </c>
      <c r="AO11" s="229">
        <f t="shared" si="7"/>
        <v>0</v>
      </c>
      <c r="AP11" s="229">
        <f t="shared" si="8"/>
        <v>0</v>
      </c>
      <c r="AQ11" s="229">
        <f t="shared" si="9"/>
        <v>0</v>
      </c>
      <c r="AR11" s="229">
        <f t="shared" si="10"/>
        <v>0</v>
      </c>
      <c r="AS11" s="229">
        <f t="shared" si="11"/>
        <v>2.9333290758319992E-2</v>
      </c>
      <c r="AT11" s="215"/>
      <c r="AU11" s="212"/>
      <c r="AV11" s="212"/>
      <c r="AW11" s="212"/>
      <c r="AX11" s="212"/>
      <c r="AY11" s="212"/>
      <c r="AZ11" s="212"/>
      <c r="BA11" s="212"/>
      <c r="BB11" s="212"/>
      <c r="BC11" s="212"/>
    </row>
    <row r="12" spans="1:55" x14ac:dyDescent="0.25">
      <c r="A12" s="28" t="s">
        <v>43</v>
      </c>
      <c r="B12" s="29" t="str">
        <f>+Hoja16!G11</f>
        <v>[35]sigaf!i443</v>
      </c>
      <c r="C12" s="30">
        <v>0.06</v>
      </c>
      <c r="D12" s="29" t="e">
        <f>+Hoja15!G11</f>
        <v>#N/A</v>
      </c>
      <c r="E12" s="232">
        <f>+Hoja15!M11</f>
        <v>0</v>
      </c>
      <c r="F12" s="29" t="e">
        <f>+Hoja14!G11</f>
        <v>#N/A</v>
      </c>
      <c r="G12" s="30">
        <f>+Hoja14!H11</f>
        <v>0</v>
      </c>
      <c r="H12" s="128" t="e">
        <f>+Hoja13!G11</f>
        <v>#N/A</v>
      </c>
      <c r="I12" s="30" t="e">
        <f>+Hoja13!I11</f>
        <v>#N/A</v>
      </c>
      <c r="J12" s="128" t="e">
        <f>+Hoja12!G11</f>
        <v>#N/A</v>
      </c>
      <c r="K12" s="30" t="e">
        <f>+Hoja12!I11</f>
        <v>#N/A</v>
      </c>
      <c r="L12" s="128" t="e">
        <f>+Hoja11!G11</f>
        <v>#N/A</v>
      </c>
      <c r="M12" s="30">
        <f>+Hoja11!H11</f>
        <v>0</v>
      </c>
      <c r="N12" s="29" t="e">
        <f>+Hoja8!G11</f>
        <v>#N/A</v>
      </c>
      <c r="O12" s="30">
        <f>+Hoja8!H11</f>
        <v>0</v>
      </c>
      <c r="P12" s="233" t="e">
        <f>+Hoja7!G11</f>
        <v>#N/A</v>
      </c>
      <c r="Q12" s="30">
        <f>+Hoja7!H11</f>
        <v>0</v>
      </c>
      <c r="R12" s="128" t="e">
        <f>+Hoja7!L11</f>
        <v>#N/A</v>
      </c>
      <c r="S12" s="232">
        <v>0.54138361692075709</v>
      </c>
      <c r="T12" s="128" t="e">
        <f>+Hoja6!G11</f>
        <v>#N/A</v>
      </c>
      <c r="U12" s="30">
        <f>+Hoja6!H11</f>
        <v>0</v>
      </c>
      <c r="V12" s="29" t="e">
        <f>+Hoja5!G11</f>
        <v>#N/A</v>
      </c>
      <c r="W12" s="30">
        <f>+Hoja5!H11</f>
        <v>0</v>
      </c>
      <c r="X12" s="29" t="e">
        <f>+Hoja2!G11</f>
        <v>#N/A</v>
      </c>
      <c r="Y12" s="30">
        <f>+Hoja2!H11</f>
        <v>0</v>
      </c>
      <c r="Z12" s="29">
        <f>+'ANALISIS POR PROG'!G11</f>
        <v>61768346.659999996</v>
      </c>
      <c r="AA12" s="232">
        <f>+'ANALISIS POR PROG'!H11</f>
        <v>2.9333290758319992E-2</v>
      </c>
      <c r="AB12" s="216"/>
      <c r="AC12" s="219" t="s">
        <v>765</v>
      </c>
      <c r="AD12" s="227">
        <f t="shared" si="12"/>
        <v>0.09</v>
      </c>
      <c r="AE12" s="228">
        <f t="shared" si="13"/>
        <v>0</v>
      </c>
      <c r="AF12" s="229">
        <f t="shared" si="14"/>
        <v>0</v>
      </c>
      <c r="AG12" s="214" t="s">
        <v>44</v>
      </c>
      <c r="AH12" s="229">
        <f t="shared" si="0"/>
        <v>0.09</v>
      </c>
      <c r="AI12" s="229">
        <f t="shared" si="1"/>
        <v>0</v>
      </c>
      <c r="AJ12" s="229">
        <f t="shared" si="2"/>
        <v>0</v>
      </c>
      <c r="AK12" s="229" t="e">
        <f t="shared" si="3"/>
        <v>#N/A</v>
      </c>
      <c r="AL12" s="229" t="e">
        <f t="shared" si="4"/>
        <v>#N/A</v>
      </c>
      <c r="AM12" s="229">
        <f t="shared" si="5"/>
        <v>0</v>
      </c>
      <c r="AN12" s="229">
        <f t="shared" si="6"/>
        <v>0</v>
      </c>
      <c r="AO12" s="229">
        <f t="shared" si="7"/>
        <v>0</v>
      </c>
      <c r="AP12" s="229">
        <f t="shared" si="8"/>
        <v>0</v>
      </c>
      <c r="AQ12" s="229">
        <f t="shared" si="9"/>
        <v>0</v>
      </c>
      <c r="AR12" s="229">
        <f t="shared" si="10"/>
        <v>0</v>
      </c>
      <c r="AS12" s="229">
        <f t="shared" si="11"/>
        <v>1.3131706183765503E-2</v>
      </c>
      <c r="AT12" s="215"/>
      <c r="AU12" s="212"/>
      <c r="AV12" s="212"/>
      <c r="AW12" s="212"/>
      <c r="AX12" s="212"/>
      <c r="AY12" s="212"/>
      <c r="AZ12" s="212"/>
      <c r="BA12" s="212"/>
      <c r="BB12" s="212"/>
      <c r="BC12" s="212"/>
    </row>
    <row r="13" spans="1:55" x14ac:dyDescent="0.25">
      <c r="A13" s="28" t="s">
        <v>44</v>
      </c>
      <c r="B13" s="29" t="str">
        <f>+Hoja16!G12</f>
        <v>[35]sigaf!i497</v>
      </c>
      <c r="C13" s="30">
        <v>0.09</v>
      </c>
      <c r="D13" s="29" t="e">
        <f>+Hoja15!G12</f>
        <v>#N/A</v>
      </c>
      <c r="E13" s="232">
        <f>+Hoja15!M12</f>
        <v>0</v>
      </c>
      <c r="F13" s="29" t="e">
        <f>+Hoja14!G12</f>
        <v>#N/A</v>
      </c>
      <c r="G13" s="30">
        <f>+Hoja14!H12</f>
        <v>0</v>
      </c>
      <c r="H13" s="128" t="e">
        <f>+Hoja13!G12</f>
        <v>#N/A</v>
      </c>
      <c r="I13" s="30" t="e">
        <f>+Hoja13!I12</f>
        <v>#N/A</v>
      </c>
      <c r="J13" s="128" t="e">
        <f>+Hoja12!G12</f>
        <v>#N/A</v>
      </c>
      <c r="K13" s="30" t="e">
        <f>+Hoja12!I12</f>
        <v>#N/A</v>
      </c>
      <c r="L13" s="128" t="e">
        <f>+Hoja11!G12</f>
        <v>#N/A</v>
      </c>
      <c r="M13" s="30">
        <f>+Hoja11!H12</f>
        <v>0</v>
      </c>
      <c r="N13" s="29" t="e">
        <f>+Hoja8!G12</f>
        <v>#N/A</v>
      </c>
      <c r="O13" s="30">
        <f>+Hoja8!H12</f>
        <v>0</v>
      </c>
      <c r="P13" s="233" t="e">
        <f>+Hoja7!G12</f>
        <v>#N/A</v>
      </c>
      <c r="Q13" s="30">
        <f>+Hoja7!H12</f>
        <v>0</v>
      </c>
      <c r="R13" s="128" t="e">
        <f>+Hoja7!L12</f>
        <v>#N/A</v>
      </c>
      <c r="S13" s="232">
        <v>0.54138361692075709</v>
      </c>
      <c r="T13" s="128" t="e">
        <f>+Hoja6!G12</f>
        <v>#N/A</v>
      </c>
      <c r="U13" s="30">
        <f>+Hoja6!H12</f>
        <v>0</v>
      </c>
      <c r="V13" s="29" t="e">
        <f>+Hoja5!G12</f>
        <v>#N/A</v>
      </c>
      <c r="W13" s="30">
        <f>+Hoja5!H12</f>
        <v>0</v>
      </c>
      <c r="X13" s="29" t="e">
        <f>+Hoja2!G12</f>
        <v>#N/A</v>
      </c>
      <c r="Y13" s="30">
        <f>+Hoja2!H12</f>
        <v>0</v>
      </c>
      <c r="Z13" s="29">
        <f>+'ANALISIS POR PROG'!G12</f>
        <v>19036695</v>
      </c>
      <c r="AA13" s="232">
        <f>+'ANALISIS POR PROG'!H12</f>
        <v>1.3131706183765503E-2</v>
      </c>
      <c r="AB13" s="216"/>
      <c r="AC13" s="219" t="s">
        <v>765</v>
      </c>
      <c r="AD13" s="227">
        <f t="shared" si="12"/>
        <v>0.09</v>
      </c>
      <c r="AE13" s="228">
        <f t="shared" si="13"/>
        <v>0</v>
      </c>
      <c r="AF13" s="229">
        <f t="shared" si="14"/>
        <v>0</v>
      </c>
      <c r="AG13" s="214" t="s">
        <v>45</v>
      </c>
      <c r="AH13" s="229">
        <f t="shared" si="0"/>
        <v>0.09</v>
      </c>
      <c r="AI13" s="229">
        <f t="shared" si="1"/>
        <v>0</v>
      </c>
      <c r="AJ13" s="229">
        <f t="shared" si="2"/>
        <v>0</v>
      </c>
      <c r="AK13" s="229" t="e">
        <f t="shared" si="3"/>
        <v>#N/A</v>
      </c>
      <c r="AL13" s="229" t="e">
        <f t="shared" si="4"/>
        <v>#N/A</v>
      </c>
      <c r="AM13" s="229">
        <f t="shared" si="5"/>
        <v>0</v>
      </c>
      <c r="AN13" s="229">
        <f t="shared" si="6"/>
        <v>0</v>
      </c>
      <c r="AO13" s="229">
        <f t="shared" si="7"/>
        <v>0</v>
      </c>
      <c r="AP13" s="229">
        <f t="shared" si="8"/>
        <v>0</v>
      </c>
      <c r="AQ13" s="229">
        <f t="shared" si="9"/>
        <v>0</v>
      </c>
      <c r="AR13" s="229">
        <f t="shared" si="10"/>
        <v>0</v>
      </c>
      <c r="AS13" s="229">
        <f t="shared" si="11"/>
        <v>3.4445624735243596E-2</v>
      </c>
      <c r="AT13" s="215"/>
      <c r="AU13" s="212"/>
      <c r="AV13" s="212"/>
      <c r="AW13" s="212"/>
      <c r="AX13" s="212"/>
      <c r="AY13" s="212"/>
      <c r="AZ13" s="212"/>
      <c r="BA13" s="212"/>
      <c r="BB13" s="212"/>
      <c r="BC13" s="212"/>
    </row>
    <row r="14" spans="1:55" x14ac:dyDescent="0.25">
      <c r="A14" s="28" t="s">
        <v>45</v>
      </c>
      <c r="B14" s="29" t="str">
        <f>+Hoja16!G13</f>
        <v>[35]sigaf!i542</v>
      </c>
      <c r="C14" s="30">
        <v>0.09</v>
      </c>
      <c r="D14" s="29" t="e">
        <f>+Hoja15!G13</f>
        <v>#N/A</v>
      </c>
      <c r="E14" s="232">
        <f>+Hoja15!M13</f>
        <v>0</v>
      </c>
      <c r="F14" s="29" t="e">
        <f>+Hoja14!G13</f>
        <v>#N/A</v>
      </c>
      <c r="G14" s="30">
        <f>+Hoja14!H13</f>
        <v>0</v>
      </c>
      <c r="H14" s="128" t="e">
        <f>+Hoja13!G13</f>
        <v>#N/A</v>
      </c>
      <c r="I14" s="30" t="e">
        <f>+Hoja13!I13</f>
        <v>#N/A</v>
      </c>
      <c r="J14" s="128" t="e">
        <f>+Hoja12!G13</f>
        <v>#N/A</v>
      </c>
      <c r="K14" s="30" t="e">
        <f>+Hoja12!I13</f>
        <v>#N/A</v>
      </c>
      <c r="L14" s="128" t="e">
        <f>+Hoja11!G13</f>
        <v>#N/A</v>
      </c>
      <c r="M14" s="30">
        <f>+Hoja11!H13</f>
        <v>0</v>
      </c>
      <c r="N14" s="29" t="e">
        <f>+Hoja8!G13</f>
        <v>#N/A</v>
      </c>
      <c r="O14" s="30">
        <f>+Hoja8!H13</f>
        <v>0</v>
      </c>
      <c r="P14" s="233" t="e">
        <f>+Hoja7!G13</f>
        <v>#N/A</v>
      </c>
      <c r="Q14" s="30">
        <f>+Hoja7!H13</f>
        <v>0</v>
      </c>
      <c r="R14" s="128" t="e">
        <f>+Hoja7!L13</f>
        <v>#N/A</v>
      </c>
      <c r="S14" s="232">
        <v>0.54138361692075709</v>
      </c>
      <c r="T14" s="128" t="e">
        <f>+Hoja6!G13</f>
        <v>#N/A</v>
      </c>
      <c r="U14" s="30">
        <f>+Hoja6!H13</f>
        <v>0</v>
      </c>
      <c r="V14" s="29" t="e">
        <f>+Hoja5!G13</f>
        <v>#N/A</v>
      </c>
      <c r="W14" s="30">
        <f>+Hoja5!H13</f>
        <v>0</v>
      </c>
      <c r="X14" s="29" t="e">
        <f>+Hoja2!G13</f>
        <v>#N/A</v>
      </c>
      <c r="Y14" s="30">
        <f>+Hoja2!H13</f>
        <v>0</v>
      </c>
      <c r="Z14" s="29">
        <f>+'ANALISIS POR PROG'!G13</f>
        <v>77931178.549999997</v>
      </c>
      <c r="AA14" s="232">
        <f>+'ANALISIS POR PROG'!H13</f>
        <v>3.4445624735243596E-2</v>
      </c>
      <c r="AB14" s="216"/>
      <c r="AC14" s="219" t="s">
        <v>765</v>
      </c>
      <c r="AD14" s="227">
        <f t="shared" si="12"/>
        <v>0.1</v>
      </c>
      <c r="AE14" s="228">
        <f t="shared" si="13"/>
        <v>0</v>
      </c>
      <c r="AF14" s="229">
        <f t="shared" si="14"/>
        <v>0</v>
      </c>
      <c r="AG14" s="214" t="s">
        <v>46</v>
      </c>
      <c r="AH14" s="229">
        <f t="shared" si="0"/>
        <v>0.1</v>
      </c>
      <c r="AI14" s="229">
        <f t="shared" si="1"/>
        <v>0</v>
      </c>
      <c r="AJ14" s="229">
        <f t="shared" si="2"/>
        <v>0</v>
      </c>
      <c r="AK14" s="229" t="e">
        <f t="shared" si="3"/>
        <v>#N/A</v>
      </c>
      <c r="AL14" s="229" t="e">
        <f t="shared" si="4"/>
        <v>#N/A</v>
      </c>
      <c r="AM14" s="229">
        <f t="shared" si="5"/>
        <v>0</v>
      </c>
      <c r="AN14" s="229">
        <f t="shared" si="6"/>
        <v>0</v>
      </c>
      <c r="AO14" s="229">
        <f t="shared" si="7"/>
        <v>0</v>
      </c>
      <c r="AP14" s="229">
        <f t="shared" si="8"/>
        <v>0</v>
      </c>
      <c r="AQ14" s="229">
        <f t="shared" si="9"/>
        <v>0</v>
      </c>
      <c r="AR14" s="229">
        <f t="shared" si="10"/>
        <v>0</v>
      </c>
      <c r="AS14" s="229">
        <f t="shared" si="11"/>
        <v>9.9910576444056827E-3</v>
      </c>
      <c r="AT14" s="215"/>
      <c r="AU14" s="212"/>
      <c r="AV14" s="212"/>
      <c r="AW14" s="212"/>
      <c r="AX14" s="212"/>
      <c r="AY14" s="212"/>
      <c r="AZ14" s="212"/>
      <c r="BA14" s="212"/>
      <c r="BB14" s="212"/>
      <c r="BC14" s="212"/>
    </row>
    <row r="15" spans="1:55" x14ac:dyDescent="0.25">
      <c r="A15" s="28" t="s">
        <v>46</v>
      </c>
      <c r="B15" s="29" t="str">
        <f>+Hoja16!G14</f>
        <v>[35]sigaf!i611</v>
      </c>
      <c r="C15" s="30">
        <v>0.1</v>
      </c>
      <c r="D15" s="29" t="e">
        <f>+Hoja15!G14</f>
        <v>#N/A</v>
      </c>
      <c r="E15" s="232">
        <f>+Hoja15!M14</f>
        <v>0</v>
      </c>
      <c r="F15" s="29" t="e">
        <f>+Hoja14!G14</f>
        <v>#N/A</v>
      </c>
      <c r="G15" s="30">
        <f>+Hoja14!H14</f>
        <v>0</v>
      </c>
      <c r="H15" s="128" t="e">
        <f>+Hoja13!G14</f>
        <v>#N/A</v>
      </c>
      <c r="I15" s="30" t="e">
        <f>+Hoja13!I14</f>
        <v>#N/A</v>
      </c>
      <c r="J15" s="128" t="e">
        <f>+Hoja12!G14</f>
        <v>#N/A</v>
      </c>
      <c r="K15" s="30" t="e">
        <f>+Hoja12!I14</f>
        <v>#N/A</v>
      </c>
      <c r="L15" s="128" t="e">
        <f>+Hoja11!G14</f>
        <v>#N/A</v>
      </c>
      <c r="M15" s="30">
        <f>+Hoja11!H14</f>
        <v>0</v>
      </c>
      <c r="N15" s="29" t="e">
        <f>+Hoja8!G14</f>
        <v>#N/A</v>
      </c>
      <c r="O15" s="30">
        <f>+Hoja8!H14</f>
        <v>0</v>
      </c>
      <c r="P15" s="233" t="e">
        <f>+Hoja7!G14</f>
        <v>#N/A</v>
      </c>
      <c r="Q15" s="30">
        <f>+Hoja7!H14</f>
        <v>0</v>
      </c>
      <c r="R15" s="128" t="e">
        <f>+Hoja7!L14</f>
        <v>#N/A</v>
      </c>
      <c r="S15" s="232">
        <v>0.54138361692075709</v>
      </c>
      <c r="T15" s="128" t="e">
        <f>+Hoja6!G14</f>
        <v>#N/A</v>
      </c>
      <c r="U15" s="30">
        <f>+Hoja6!H14</f>
        <v>0</v>
      </c>
      <c r="V15" s="29" t="e">
        <f>+Hoja5!G14</f>
        <v>#N/A</v>
      </c>
      <c r="W15" s="30">
        <f>+Hoja5!H14</f>
        <v>0</v>
      </c>
      <c r="X15" s="29" t="e">
        <f>+Hoja2!G14</f>
        <v>#N/A</v>
      </c>
      <c r="Y15" s="30">
        <f>+Hoja2!H14</f>
        <v>0</v>
      </c>
      <c r="Z15" s="29">
        <f>+'ANALISIS POR PROG'!G14</f>
        <v>11556519.27</v>
      </c>
      <c r="AA15" s="232">
        <f>+'ANALISIS POR PROG'!H14</f>
        <v>9.9910576444056827E-3</v>
      </c>
      <c r="AB15" s="216"/>
      <c r="AC15" s="219" t="s">
        <v>765</v>
      </c>
      <c r="AD15" s="227">
        <f t="shared" si="12"/>
        <v>0</v>
      </c>
      <c r="AE15" s="228">
        <f t="shared" si="13"/>
        <v>0</v>
      </c>
      <c r="AF15" s="229">
        <f t="shared" si="14"/>
        <v>0</v>
      </c>
      <c r="AG15" s="214" t="s">
        <v>47</v>
      </c>
      <c r="AH15" s="229">
        <f t="shared" si="0"/>
        <v>0</v>
      </c>
      <c r="AI15" s="229">
        <f t="shared" si="1"/>
        <v>0</v>
      </c>
      <c r="AJ15" s="229">
        <f t="shared" si="2"/>
        <v>0</v>
      </c>
      <c r="AK15" s="229" t="e">
        <f t="shared" si="3"/>
        <v>#N/A</v>
      </c>
      <c r="AL15" s="229" t="e">
        <f t="shared" si="4"/>
        <v>#N/A</v>
      </c>
      <c r="AM15" s="229">
        <f t="shared" si="5"/>
        <v>0</v>
      </c>
      <c r="AN15" s="229">
        <f t="shared" si="6"/>
        <v>0</v>
      </c>
      <c r="AO15" s="229">
        <f t="shared" si="7"/>
        <v>0</v>
      </c>
      <c r="AP15" s="229">
        <f t="shared" si="8"/>
        <v>0</v>
      </c>
      <c r="AQ15" s="229">
        <f t="shared" si="9"/>
        <v>0</v>
      </c>
      <c r="AR15" s="229">
        <f t="shared" si="10"/>
        <v>0</v>
      </c>
      <c r="AS15" s="229">
        <f t="shared" si="11"/>
        <v>1.7302244020746118E-2</v>
      </c>
      <c r="AT15" s="215"/>
      <c r="AU15" s="212"/>
      <c r="AV15" s="212"/>
      <c r="AW15" s="212"/>
      <c r="AX15" s="212"/>
      <c r="AY15" s="212"/>
      <c r="AZ15" s="212"/>
      <c r="BA15" s="212"/>
      <c r="BB15" s="212"/>
      <c r="BC15" s="212"/>
    </row>
    <row r="16" spans="1:55" x14ac:dyDescent="0.25">
      <c r="A16" s="28" t="s">
        <v>47</v>
      </c>
      <c r="B16" s="29" t="str">
        <f>+Hoja16!G15</f>
        <v>[35]sigaf!i640</v>
      </c>
      <c r="C16" s="30">
        <v>0</v>
      </c>
      <c r="D16" s="29" t="e">
        <f>+Hoja15!G15</f>
        <v>#N/A</v>
      </c>
      <c r="E16" s="232">
        <f>+Hoja15!M15</f>
        <v>0</v>
      </c>
      <c r="F16" s="29" t="e">
        <f>+Hoja14!G15</f>
        <v>#N/A</v>
      </c>
      <c r="G16" s="30">
        <f>+Hoja14!H15</f>
        <v>0</v>
      </c>
      <c r="H16" s="128" t="e">
        <f>+Hoja13!G15</f>
        <v>#N/A</v>
      </c>
      <c r="I16" s="30" t="e">
        <f>+Hoja13!I15</f>
        <v>#N/A</v>
      </c>
      <c r="J16" s="128" t="e">
        <f>+Hoja12!G15</f>
        <v>#N/A</v>
      </c>
      <c r="K16" s="30" t="e">
        <f>+Hoja12!I15</f>
        <v>#N/A</v>
      </c>
      <c r="L16" s="128" t="e">
        <f>+Hoja11!G15</f>
        <v>#N/A</v>
      </c>
      <c r="M16" s="30">
        <f>+Hoja11!H15</f>
        <v>0</v>
      </c>
      <c r="N16" s="29" t="e">
        <f>+Hoja8!G15</f>
        <v>#N/A</v>
      </c>
      <c r="O16" s="30">
        <f>+Hoja8!H15</f>
        <v>0</v>
      </c>
      <c r="P16" s="233" t="e">
        <f>+Hoja7!G15</f>
        <v>#N/A</v>
      </c>
      <c r="Q16" s="30">
        <f>+Hoja7!H15</f>
        <v>0</v>
      </c>
      <c r="R16" s="128" t="e">
        <f>+Hoja7!L15</f>
        <v>#N/A</v>
      </c>
      <c r="S16" s="232">
        <v>0.54138361692075709</v>
      </c>
      <c r="T16" s="128" t="e">
        <f>+Hoja6!G15</f>
        <v>#N/A</v>
      </c>
      <c r="U16" s="30">
        <f>+Hoja6!H15</f>
        <v>0</v>
      </c>
      <c r="V16" s="29" t="e">
        <f>+Hoja5!G15</f>
        <v>#N/A</v>
      </c>
      <c r="W16" s="30">
        <f>+Hoja5!H15</f>
        <v>0</v>
      </c>
      <c r="X16" s="29" t="e">
        <f>+Hoja2!G15</f>
        <v>#N/A</v>
      </c>
      <c r="Y16" s="30">
        <f>+Hoja2!H15</f>
        <v>0</v>
      </c>
      <c r="Z16" s="29">
        <f>+'ANALISIS POR PROG'!G15</f>
        <v>120450727.34999999</v>
      </c>
      <c r="AA16" s="232">
        <f>+'ANALISIS POR PROG'!H15</f>
        <v>1.7302244020746118E-2</v>
      </c>
      <c r="AB16" s="216"/>
      <c r="AC16" s="219" t="s">
        <v>765</v>
      </c>
      <c r="AD16" s="227">
        <f t="shared" si="12"/>
        <v>0.09</v>
      </c>
      <c r="AE16" s="228">
        <f t="shared" si="13"/>
        <v>0</v>
      </c>
      <c r="AF16" s="229">
        <f t="shared" si="14"/>
        <v>0</v>
      </c>
      <c r="AG16" s="214" t="s">
        <v>48</v>
      </c>
      <c r="AH16" s="229">
        <f t="shared" si="0"/>
        <v>0.09</v>
      </c>
      <c r="AI16" s="229">
        <f t="shared" si="1"/>
        <v>0</v>
      </c>
      <c r="AJ16" s="229">
        <f t="shared" si="2"/>
        <v>0</v>
      </c>
      <c r="AK16" s="229" t="e">
        <f t="shared" si="3"/>
        <v>#N/A</v>
      </c>
      <c r="AL16" s="229" t="e">
        <f t="shared" si="4"/>
        <v>#N/A</v>
      </c>
      <c r="AM16" s="229">
        <f t="shared" si="5"/>
        <v>0</v>
      </c>
      <c r="AN16" s="229">
        <f t="shared" si="6"/>
        <v>0</v>
      </c>
      <c r="AO16" s="229">
        <f t="shared" si="7"/>
        <v>0</v>
      </c>
      <c r="AP16" s="229">
        <f t="shared" si="8"/>
        <v>0</v>
      </c>
      <c r="AQ16" s="229">
        <f t="shared" si="9"/>
        <v>0</v>
      </c>
      <c r="AR16" s="229">
        <f t="shared" si="10"/>
        <v>0</v>
      </c>
      <c r="AS16" s="229">
        <f t="shared" si="11"/>
        <v>4.4586873394606005E-3</v>
      </c>
      <c r="AT16" s="215"/>
      <c r="AU16" s="212"/>
      <c r="AV16" s="212"/>
      <c r="AW16" s="212"/>
      <c r="AX16" s="212"/>
      <c r="AY16" s="212"/>
      <c r="AZ16" s="212"/>
      <c r="BA16" s="212"/>
      <c r="BB16" s="212"/>
      <c r="BC16" s="212"/>
    </row>
    <row r="17" spans="1:55" x14ac:dyDescent="0.25">
      <c r="A17" s="28" t="s">
        <v>48</v>
      </c>
      <c r="B17" s="29" t="str">
        <f>+Hoja16!G16</f>
        <v>[35]sigaf!i668</v>
      </c>
      <c r="C17" s="30">
        <v>0.09</v>
      </c>
      <c r="D17" s="29" t="e">
        <f>+Hoja15!G16</f>
        <v>#N/A</v>
      </c>
      <c r="E17" s="232">
        <f>+Hoja15!M16</f>
        <v>0</v>
      </c>
      <c r="F17" s="29" t="e">
        <f>+Hoja14!G16</f>
        <v>#N/A</v>
      </c>
      <c r="G17" s="30">
        <f>+Hoja14!H16</f>
        <v>0</v>
      </c>
      <c r="H17" s="128" t="e">
        <f>+Hoja13!G16</f>
        <v>#N/A</v>
      </c>
      <c r="I17" s="30" t="e">
        <f>+Hoja13!I16</f>
        <v>#N/A</v>
      </c>
      <c r="J17" s="128" t="e">
        <f>+Hoja12!G16</f>
        <v>#N/A</v>
      </c>
      <c r="K17" s="30" t="e">
        <f>+Hoja12!I16</f>
        <v>#N/A</v>
      </c>
      <c r="L17" s="128" t="e">
        <f>+Hoja11!G16</f>
        <v>#N/A</v>
      </c>
      <c r="M17" s="30">
        <f>+Hoja11!H16</f>
        <v>0</v>
      </c>
      <c r="N17" s="29" t="e">
        <f>+Hoja8!G16</f>
        <v>#N/A</v>
      </c>
      <c r="O17" s="30">
        <f>+Hoja8!H16</f>
        <v>0</v>
      </c>
      <c r="P17" s="233" t="e">
        <f>+Hoja7!G16</f>
        <v>#N/A</v>
      </c>
      <c r="Q17" s="30">
        <f>+Hoja7!H16</f>
        <v>0</v>
      </c>
      <c r="R17" s="128" t="e">
        <f>+Hoja7!L16</f>
        <v>#N/A</v>
      </c>
      <c r="S17" s="232">
        <v>0.54261820773149705</v>
      </c>
      <c r="T17" s="128" t="e">
        <f>+Hoja6!G16</f>
        <v>#N/A</v>
      </c>
      <c r="U17" s="30">
        <f>+Hoja6!H16</f>
        <v>0</v>
      </c>
      <c r="V17" s="29" t="e">
        <f>+Hoja5!G16</f>
        <v>#N/A</v>
      </c>
      <c r="W17" s="30">
        <f>+Hoja5!H16</f>
        <v>0</v>
      </c>
      <c r="X17" s="29" t="e">
        <f>+Hoja2!G16</f>
        <v>#N/A</v>
      </c>
      <c r="Y17" s="30">
        <f>+Hoja2!H16</f>
        <v>0</v>
      </c>
      <c r="Z17" s="29">
        <f>+'ANALISIS POR PROG'!G16</f>
        <v>5641651.6799999997</v>
      </c>
      <c r="AA17" s="232">
        <f>+'ANALISIS POR PROG'!H16</f>
        <v>4.4586873394606005E-3</v>
      </c>
      <c r="AB17" s="216"/>
      <c r="AC17" s="219" t="s">
        <v>766</v>
      </c>
      <c r="AD17" s="227">
        <f t="shared" si="12"/>
        <v>0.12</v>
      </c>
      <c r="AE17" s="228">
        <f t="shared" si="13"/>
        <v>0</v>
      </c>
      <c r="AF17" s="229">
        <f t="shared" si="14"/>
        <v>0</v>
      </c>
      <c r="AG17" s="214" t="s">
        <v>49</v>
      </c>
      <c r="AH17" s="229">
        <f t="shared" si="0"/>
        <v>0.12</v>
      </c>
      <c r="AI17" s="229">
        <f t="shared" si="1"/>
        <v>0</v>
      </c>
      <c r="AJ17" s="229">
        <f t="shared" si="2"/>
        <v>0</v>
      </c>
      <c r="AK17" s="229" t="e">
        <f t="shared" si="3"/>
        <v>#N/A</v>
      </c>
      <c r="AL17" s="229" t="e">
        <f t="shared" si="4"/>
        <v>#N/A</v>
      </c>
      <c r="AM17" s="229">
        <f t="shared" si="5"/>
        <v>0</v>
      </c>
      <c r="AN17" s="229">
        <f t="shared" si="6"/>
        <v>0</v>
      </c>
      <c r="AO17" s="229">
        <f t="shared" si="7"/>
        <v>0</v>
      </c>
      <c r="AP17" s="229">
        <f t="shared" si="8"/>
        <v>0</v>
      </c>
      <c r="AQ17" s="229">
        <f t="shared" si="9"/>
        <v>0</v>
      </c>
      <c r="AR17" s="229">
        <f t="shared" si="10"/>
        <v>0</v>
      </c>
      <c r="AS17" s="229">
        <f t="shared" si="11"/>
        <v>0</v>
      </c>
      <c r="AT17" s="215"/>
      <c r="AU17" s="212"/>
      <c r="AV17" s="212"/>
      <c r="AW17" s="212"/>
      <c r="AX17" s="212"/>
      <c r="AY17" s="212"/>
      <c r="AZ17" s="212"/>
      <c r="BA17" s="212"/>
      <c r="BB17" s="212"/>
      <c r="BC17" s="212"/>
    </row>
    <row r="18" spans="1:55" x14ac:dyDescent="0.25">
      <c r="A18" s="28" t="s">
        <v>49</v>
      </c>
      <c r="B18" s="29" t="str">
        <f>+Hoja16!G17</f>
        <v>[35]sigaf!i748</v>
      </c>
      <c r="C18" s="30">
        <v>0.12</v>
      </c>
      <c r="D18" s="29" t="e">
        <f>+Hoja15!G17</f>
        <v>#N/A</v>
      </c>
      <c r="E18" s="232">
        <f>+Hoja15!M17</f>
        <v>0</v>
      </c>
      <c r="F18" s="29" t="e">
        <f>+Hoja14!G17</f>
        <v>#N/A</v>
      </c>
      <c r="G18" s="30">
        <f>+Hoja14!H17</f>
        <v>0</v>
      </c>
      <c r="H18" s="128" t="e">
        <f>+Hoja13!G17</f>
        <v>#N/A</v>
      </c>
      <c r="I18" s="30" t="e">
        <f>+Hoja13!I17</f>
        <v>#N/A</v>
      </c>
      <c r="J18" s="128" t="e">
        <f>+Hoja12!G17</f>
        <v>#N/A</v>
      </c>
      <c r="K18" s="30" t="e">
        <f>+Hoja12!I17</f>
        <v>#N/A</v>
      </c>
      <c r="L18" s="128" t="e">
        <f>+Hoja11!G17</f>
        <v>#N/A</v>
      </c>
      <c r="M18" s="30">
        <f>+Hoja11!H17</f>
        <v>0</v>
      </c>
      <c r="N18" s="29" t="e">
        <f>+Hoja8!G17</f>
        <v>#N/A</v>
      </c>
      <c r="O18" s="30">
        <f>+Hoja8!H17</f>
        <v>0</v>
      </c>
      <c r="P18" s="233" t="e">
        <f>+Hoja7!G17</f>
        <v>#N/A</v>
      </c>
      <c r="Q18" s="30">
        <f>+Hoja7!H17</f>
        <v>0</v>
      </c>
      <c r="R18" s="128" t="e">
        <f>+Hoja7!L17</f>
        <v>#N/A</v>
      </c>
      <c r="S18" s="232">
        <v>0.57130568807912907</v>
      </c>
      <c r="T18" s="128" t="e">
        <f>+Hoja6!G17</f>
        <v>#N/A</v>
      </c>
      <c r="U18" s="30">
        <f>+Hoja6!H17</f>
        <v>0</v>
      </c>
      <c r="V18" s="29" t="e">
        <f>+Hoja5!G17</f>
        <v>#N/A</v>
      </c>
      <c r="W18" s="30">
        <f>+Hoja5!H17</f>
        <v>0</v>
      </c>
      <c r="X18" s="29" t="e">
        <f>+Hoja2!G17</f>
        <v>#N/A</v>
      </c>
      <c r="Y18" s="30">
        <f>+Hoja2!H17</f>
        <v>0</v>
      </c>
      <c r="Z18" s="29">
        <f>+'ANALISIS POR PROG'!G17</f>
        <v>0</v>
      </c>
      <c r="AA18" s="232">
        <f>+'ANALISIS POR PROG'!H17</f>
        <v>0</v>
      </c>
      <c r="AB18" s="216"/>
      <c r="AC18" s="219" t="s">
        <v>767</v>
      </c>
      <c r="AD18" s="227">
        <f t="shared" si="12"/>
        <v>0.12</v>
      </c>
      <c r="AE18" s="228">
        <f t="shared" si="13"/>
        <v>0</v>
      </c>
      <c r="AF18" s="229">
        <f t="shared" si="14"/>
        <v>0</v>
      </c>
      <c r="AG18" s="214" t="s">
        <v>50</v>
      </c>
      <c r="AH18" s="229">
        <f t="shared" si="0"/>
        <v>0.12</v>
      </c>
      <c r="AI18" s="229">
        <f t="shared" si="1"/>
        <v>0</v>
      </c>
      <c r="AJ18" s="229">
        <f t="shared" si="2"/>
        <v>0</v>
      </c>
      <c r="AK18" s="229" t="e">
        <f t="shared" si="3"/>
        <v>#N/A</v>
      </c>
      <c r="AL18" s="229" t="e">
        <f t="shared" si="4"/>
        <v>#N/A</v>
      </c>
      <c r="AM18" s="229">
        <f t="shared" si="5"/>
        <v>0</v>
      </c>
      <c r="AN18" s="229">
        <f t="shared" si="6"/>
        <v>0</v>
      </c>
      <c r="AO18" s="229">
        <f t="shared" si="7"/>
        <v>0</v>
      </c>
      <c r="AP18" s="229">
        <f t="shared" si="8"/>
        <v>0</v>
      </c>
      <c r="AQ18" s="229">
        <f t="shared" si="9"/>
        <v>0</v>
      </c>
      <c r="AR18" s="229">
        <f t="shared" si="10"/>
        <v>0</v>
      </c>
      <c r="AS18" s="229">
        <f t="shared" si="11"/>
        <v>0</v>
      </c>
      <c r="AT18" s="215"/>
      <c r="AU18" s="212"/>
      <c r="AV18" s="212"/>
      <c r="AW18" s="212"/>
      <c r="AX18" s="212"/>
      <c r="AY18" s="212"/>
      <c r="AZ18" s="212"/>
      <c r="BA18" s="212"/>
      <c r="BB18" s="212"/>
      <c r="BC18" s="212"/>
    </row>
    <row r="19" spans="1:55" x14ac:dyDescent="0.25">
      <c r="A19" s="28" t="s">
        <v>50</v>
      </c>
      <c r="B19" s="29" t="str">
        <f>+Hoja16!G18</f>
        <v>[35]sigaf!i769</v>
      </c>
      <c r="C19" s="30">
        <v>0.12</v>
      </c>
      <c r="D19" s="29" t="e">
        <f>+Hoja15!G18</f>
        <v>#N/A</v>
      </c>
      <c r="E19" s="232">
        <f>+Hoja15!M18</f>
        <v>0</v>
      </c>
      <c r="F19" s="29" t="e">
        <f>+Hoja14!G18</f>
        <v>#N/A</v>
      </c>
      <c r="G19" s="30">
        <f>+Hoja14!H18</f>
        <v>0</v>
      </c>
      <c r="H19" s="128" t="e">
        <f>+Hoja13!G18</f>
        <v>#N/A</v>
      </c>
      <c r="I19" s="30" t="e">
        <f>+Hoja13!I18</f>
        <v>#N/A</v>
      </c>
      <c r="J19" s="128" t="e">
        <f>+Hoja12!G18</f>
        <v>#N/A</v>
      </c>
      <c r="K19" s="30" t="e">
        <f>+Hoja12!I18</f>
        <v>#N/A</v>
      </c>
      <c r="L19" s="128" t="e">
        <f>+Hoja11!G18</f>
        <v>#N/A</v>
      </c>
      <c r="M19" s="30">
        <f>+Hoja11!H18</f>
        <v>0</v>
      </c>
      <c r="N19" s="29" t="e">
        <f>+Hoja8!G18</f>
        <v>#N/A</v>
      </c>
      <c r="O19" s="30">
        <f>+Hoja8!H18</f>
        <v>0</v>
      </c>
      <c r="P19" s="233" t="e">
        <f>+Hoja7!G18</f>
        <v>#N/A</v>
      </c>
      <c r="Q19" s="30">
        <f>+Hoja7!H18</f>
        <v>0</v>
      </c>
      <c r="R19" s="128" t="e">
        <f>+Hoja7!L18</f>
        <v>#N/A</v>
      </c>
      <c r="S19" s="232">
        <v>0.50997884995430809</v>
      </c>
      <c r="T19" s="128" t="e">
        <f>+Hoja6!G18</f>
        <v>#N/A</v>
      </c>
      <c r="U19" s="30">
        <f>+Hoja6!H18</f>
        <v>0</v>
      </c>
      <c r="V19" s="29" t="e">
        <f>+Hoja5!G18</f>
        <v>#N/A</v>
      </c>
      <c r="W19" s="30">
        <f>+Hoja5!H18</f>
        <v>0</v>
      </c>
      <c r="X19" s="29" t="e">
        <f>+Hoja2!G18</f>
        <v>#N/A</v>
      </c>
      <c r="Y19" s="30">
        <f>+Hoja2!H18</f>
        <v>0</v>
      </c>
      <c r="Z19" s="29">
        <f>+'ANALISIS POR PROG'!G18</f>
        <v>0</v>
      </c>
      <c r="AA19" s="232">
        <f>+'ANALISIS POR PROG'!H18</f>
        <v>0</v>
      </c>
      <c r="AB19" s="216"/>
      <c r="AC19" s="219" t="s">
        <v>768</v>
      </c>
      <c r="AD19" s="227">
        <f t="shared" si="12"/>
        <v>0.12</v>
      </c>
      <c r="AE19" s="228">
        <f t="shared" si="13"/>
        <v>0</v>
      </c>
      <c r="AF19" s="229">
        <f t="shared" si="14"/>
        <v>0</v>
      </c>
      <c r="AG19" s="214" t="s">
        <v>51</v>
      </c>
      <c r="AH19" s="229">
        <f t="shared" si="0"/>
        <v>0.12</v>
      </c>
      <c r="AI19" s="229">
        <f t="shared" si="1"/>
        <v>0</v>
      </c>
      <c r="AJ19" s="229">
        <f t="shared" si="2"/>
        <v>0</v>
      </c>
      <c r="AK19" s="229" t="e">
        <f t="shared" si="3"/>
        <v>#N/A</v>
      </c>
      <c r="AL19" s="229" t="e">
        <f t="shared" si="4"/>
        <v>#N/A</v>
      </c>
      <c r="AM19" s="229">
        <f t="shared" si="5"/>
        <v>0</v>
      </c>
      <c r="AN19" s="229">
        <f t="shared" si="6"/>
        <v>0</v>
      </c>
      <c r="AO19" s="229">
        <f t="shared" si="7"/>
        <v>0</v>
      </c>
      <c r="AP19" s="229">
        <f t="shared" si="8"/>
        <v>0</v>
      </c>
      <c r="AQ19" s="229">
        <f t="shared" si="9"/>
        <v>0</v>
      </c>
      <c r="AR19" s="229">
        <f t="shared" si="10"/>
        <v>0</v>
      </c>
      <c r="AS19" s="229">
        <f t="shared" si="11"/>
        <v>6.9218152759819714E-5</v>
      </c>
      <c r="AT19" s="215"/>
      <c r="AU19" s="212"/>
      <c r="AV19" s="212"/>
      <c r="AW19" s="212"/>
      <c r="AX19" s="212"/>
      <c r="AY19" s="212"/>
      <c r="AZ19" s="212"/>
      <c r="BA19" s="212"/>
      <c r="BB19" s="212"/>
      <c r="BC19" s="212"/>
    </row>
    <row r="20" spans="1:55" x14ac:dyDescent="0.25">
      <c r="A20" s="28" t="s">
        <v>51</v>
      </c>
      <c r="B20" s="29" t="str">
        <f>+Hoja16!G19</f>
        <v>[35]sigaf!i794</v>
      </c>
      <c r="C20" s="30">
        <v>0.12</v>
      </c>
      <c r="D20" s="29" t="e">
        <f>+Hoja15!G19</f>
        <v>#N/A</v>
      </c>
      <c r="E20" s="232">
        <f>+Hoja15!M19</f>
        <v>0</v>
      </c>
      <c r="F20" s="29" t="e">
        <f>+Hoja14!G19</f>
        <v>#N/A</v>
      </c>
      <c r="G20" s="30">
        <f>+Hoja14!H19</f>
        <v>0</v>
      </c>
      <c r="H20" s="128" t="e">
        <f>+Hoja13!G19</f>
        <v>#N/A</v>
      </c>
      <c r="I20" s="30" t="e">
        <f>+Hoja13!I19</f>
        <v>#N/A</v>
      </c>
      <c r="J20" s="128" t="e">
        <f>+Hoja12!G19</f>
        <v>#N/A</v>
      </c>
      <c r="K20" s="30" t="e">
        <f>+Hoja12!I19</f>
        <v>#N/A</v>
      </c>
      <c r="L20" s="128" t="e">
        <f>+Hoja11!G19</f>
        <v>#N/A</v>
      </c>
      <c r="M20" s="30">
        <f>+Hoja11!H19</f>
        <v>0</v>
      </c>
      <c r="N20" s="29" t="e">
        <f>+Hoja8!G19</f>
        <v>#N/A</v>
      </c>
      <c r="O20" s="30">
        <f>+Hoja8!H19</f>
        <v>0</v>
      </c>
      <c r="P20" s="233" t="e">
        <f>+Hoja7!G19</f>
        <v>#N/A</v>
      </c>
      <c r="Q20" s="30">
        <f>+Hoja7!H19</f>
        <v>0</v>
      </c>
      <c r="R20" s="128" t="e">
        <f>+Hoja7!L19</f>
        <v>#N/A</v>
      </c>
      <c r="S20" s="232">
        <v>0.57968585922017402</v>
      </c>
      <c r="T20" s="128" t="e">
        <f>+Hoja6!G19</f>
        <v>#N/A</v>
      </c>
      <c r="U20" s="30">
        <f>+Hoja6!H19</f>
        <v>0</v>
      </c>
      <c r="V20" s="29" t="e">
        <f>+Hoja5!G19</f>
        <v>#N/A</v>
      </c>
      <c r="W20" s="30">
        <f>+Hoja5!H19</f>
        <v>0</v>
      </c>
      <c r="X20" s="29" t="e">
        <f>+Hoja2!G19</f>
        <v>#N/A</v>
      </c>
      <c r="Y20" s="30">
        <f>+Hoja2!H19</f>
        <v>0</v>
      </c>
      <c r="Z20" s="29">
        <f>+'ANALISIS POR PROG'!G19</f>
        <v>886800</v>
      </c>
      <c r="AA20" s="232">
        <f>+'ANALISIS POR PROG'!H19</f>
        <v>6.9218152759819714E-5</v>
      </c>
      <c r="AB20" s="216"/>
      <c r="AC20" s="219"/>
      <c r="AD20" s="219"/>
      <c r="AE20" s="234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6"/>
      <c r="AU20" s="212"/>
      <c r="AV20" s="212"/>
      <c r="AW20" s="212"/>
      <c r="AX20" s="212"/>
      <c r="AY20" s="212"/>
      <c r="AZ20" s="212"/>
      <c r="BA20" s="212"/>
      <c r="BB20" s="212"/>
      <c r="BC20" s="212"/>
    </row>
    <row r="21" spans="1:55" x14ac:dyDescent="0.25">
      <c r="A21" s="35" t="s">
        <v>23</v>
      </c>
      <c r="B21" s="36">
        <f>SUM(B7:B20)</f>
        <v>0</v>
      </c>
      <c r="C21" s="38" t="e">
        <f>+Hoja16!I20</f>
        <v>#DIV/0!</v>
      </c>
      <c r="D21" s="36" t="e">
        <f>SUM(D7:D20)</f>
        <v>#N/A</v>
      </c>
      <c r="E21" s="38" t="e">
        <f>+Hoja15!M20</f>
        <v>#N/A</v>
      </c>
      <c r="F21" s="36" t="e">
        <f>SUM(F7:F20)</f>
        <v>#N/A</v>
      </c>
      <c r="G21" s="237" t="e">
        <f>+Hoja14!H20</f>
        <v>#N/A</v>
      </c>
      <c r="H21" s="238" t="e">
        <f>SUM(H7:H20)</f>
        <v>#N/A</v>
      </c>
      <c r="I21" s="237" t="e">
        <f>+Hoja13!I20</f>
        <v>#N/A</v>
      </c>
      <c r="J21" s="36" t="e">
        <f>SUM(J7:J20)</f>
        <v>#N/A</v>
      </c>
      <c r="K21" s="38" t="e">
        <f>+Hoja12!I20</f>
        <v>#N/A</v>
      </c>
      <c r="L21" s="238" t="e">
        <f>SUM(L7:L20)</f>
        <v>#N/A</v>
      </c>
      <c r="M21" s="38" t="e">
        <f>+Hoja11!H20</f>
        <v>#N/A</v>
      </c>
      <c r="N21" s="238" t="e">
        <f>SUM(N7:N20)</f>
        <v>#N/A</v>
      </c>
      <c r="O21" s="38" t="e">
        <f>+Hoja8!H20</f>
        <v>#N/A</v>
      </c>
      <c r="P21" s="238" t="e">
        <f>SUM(P16:P20)</f>
        <v>#N/A</v>
      </c>
      <c r="Q21" s="38" t="e">
        <f>+Hoja7!H20</f>
        <v>#N/A</v>
      </c>
      <c r="R21" s="238" t="e">
        <f>SUM(R7:R20)</f>
        <v>#N/A</v>
      </c>
      <c r="S21" s="239"/>
      <c r="T21" s="238" t="e">
        <f>SUM(T7:T20)</f>
        <v>#N/A</v>
      </c>
      <c r="U21" s="38" t="e">
        <f>+Hoja6!H20</f>
        <v>#N/A</v>
      </c>
      <c r="V21" s="238" t="e">
        <f>SUM(V7:V20)</f>
        <v>#N/A</v>
      </c>
      <c r="W21" s="38" t="e">
        <f>+Hoja5!H20</f>
        <v>#N/A</v>
      </c>
      <c r="X21" s="238" t="e">
        <f>SUM(X7:X20)</f>
        <v>#N/A</v>
      </c>
      <c r="Y21" s="38" t="e">
        <f>+Hoja2!H20</f>
        <v>#N/A</v>
      </c>
      <c r="Z21" s="238">
        <f>SUM(Z7:Z20)</f>
        <v>2231171633.8499999</v>
      </c>
      <c r="AA21" s="38">
        <f>+'ANALISIS POR PROG'!H20</f>
        <v>1.5035010199838276E-2</v>
      </c>
      <c r="AB21" s="216"/>
      <c r="AC21" s="219"/>
      <c r="AD21" s="219"/>
      <c r="AE21" s="219"/>
      <c r="AF21" s="219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</row>
    <row r="22" spans="1:55" x14ac:dyDescent="0.25">
      <c r="A22" s="39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216"/>
      <c r="AE22" s="219"/>
      <c r="AF22" s="219"/>
      <c r="AG22" s="212"/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</row>
    <row r="23" spans="1:55" x14ac:dyDescent="0.25">
      <c r="AD23" s="216"/>
      <c r="AE23" s="219"/>
      <c r="AF23" s="219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</row>
    <row r="24" spans="1:55" x14ac:dyDescent="0.25">
      <c r="AE24" s="219"/>
      <c r="AF24" s="219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</row>
    <row r="25" spans="1:55" x14ac:dyDescent="0.25">
      <c r="AE25" s="219"/>
      <c r="AF25" s="219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</row>
    <row r="26" spans="1:55" x14ac:dyDescent="0.25">
      <c r="AE26" s="219"/>
      <c r="AF26" s="219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</row>
    <row r="27" spans="1:55" x14ac:dyDescent="0.25"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2"/>
      <c r="AW27" s="212"/>
      <c r="AX27" s="212"/>
      <c r="AY27" s="212"/>
      <c r="AZ27" s="212"/>
      <c r="BA27" s="212"/>
    </row>
    <row r="28" spans="1:55" x14ac:dyDescent="0.25"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2"/>
      <c r="AW28" s="212"/>
      <c r="AX28" s="212"/>
      <c r="AY28" s="212"/>
      <c r="AZ28" s="212"/>
      <c r="BA28" s="212"/>
    </row>
    <row r="29" spans="1:55" x14ac:dyDescent="0.25"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2"/>
      <c r="AW29" s="212"/>
      <c r="AX29" s="212"/>
      <c r="AY29" s="212"/>
      <c r="AZ29" s="212"/>
      <c r="BA29" s="212"/>
    </row>
    <row r="30" spans="1:55" x14ac:dyDescent="0.25"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2"/>
      <c r="AW30" s="212"/>
      <c r="AX30" s="212"/>
      <c r="AY30" s="212"/>
      <c r="AZ30" s="212"/>
      <c r="BA30" s="212"/>
    </row>
    <row r="31" spans="1:55" x14ac:dyDescent="0.25"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2"/>
      <c r="AW31" s="212"/>
      <c r="AX31" s="212"/>
      <c r="AY31" s="212"/>
      <c r="AZ31" s="212"/>
      <c r="BA31" s="212"/>
    </row>
    <row r="32" spans="1:55" x14ac:dyDescent="0.25"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2"/>
      <c r="AW32" s="212"/>
      <c r="AX32" s="212"/>
      <c r="AY32" s="212"/>
      <c r="AZ32" s="212"/>
      <c r="BA32" s="212"/>
    </row>
    <row r="33" spans="12:53" x14ac:dyDescent="0.25"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2"/>
      <c r="AW33" s="212"/>
      <c r="AX33" s="212"/>
      <c r="AY33" s="212"/>
      <c r="AZ33" s="212"/>
      <c r="BA33" s="212"/>
    </row>
    <row r="34" spans="12:53" x14ac:dyDescent="0.25"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2"/>
      <c r="AW34" s="212"/>
      <c r="AX34" s="212"/>
      <c r="AY34" s="212"/>
      <c r="AZ34" s="212"/>
      <c r="BA34" s="212"/>
    </row>
    <row r="35" spans="12:53" x14ac:dyDescent="0.25"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2"/>
      <c r="AW35" s="212"/>
      <c r="AX35" s="212"/>
      <c r="AY35" s="212"/>
      <c r="AZ35" s="212"/>
      <c r="BA35" s="212"/>
    </row>
    <row r="47" spans="12:53" x14ac:dyDescent="0.25">
      <c r="L47" s="240"/>
    </row>
  </sheetData>
  <sheetProtection selectLockedCells="1" selectUnlockedCells="1"/>
  <mergeCells count="13">
    <mergeCell ref="V5:W5"/>
    <mergeCell ref="X5:Y5"/>
    <mergeCell ref="Z5:AA5"/>
    <mergeCell ref="A1:AC1"/>
    <mergeCell ref="A2:AC2"/>
    <mergeCell ref="A3:AC3"/>
    <mergeCell ref="B5:C5"/>
    <mergeCell ref="D5:E5"/>
    <mergeCell ref="F5:G5"/>
    <mergeCell ref="J5:K5"/>
    <mergeCell ref="N5:O5"/>
    <mergeCell ref="P5:Q5"/>
    <mergeCell ref="T5:U5"/>
  </mergeCells>
  <pageMargins left="0.7" right="0.7" top="0.75" bottom="0.75" header="0.51180555555555551" footer="0.51180555555555551"/>
  <pageSetup firstPageNumber="0" orientation="portrait" horizontalDpi="300" verticalDpi="30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40"/>
  <sheetViews>
    <sheetView zoomScaleNormal="100" workbookViewId="0"/>
  </sheetViews>
  <sheetFormatPr baseColWidth="10" defaultRowHeight="15" x14ac:dyDescent="0.25"/>
  <cols>
    <col min="1" max="1" width="17.5703125" style="23" customWidth="1"/>
    <col min="2" max="2" width="17.42578125" style="23" customWidth="1"/>
    <col min="3" max="3" width="5.140625" style="23" customWidth="1"/>
    <col min="4" max="4" width="16.28515625" style="23" customWidth="1"/>
    <col min="5" max="5" width="9.42578125" style="23" customWidth="1"/>
    <col min="6" max="6" width="17.28515625" style="23" customWidth="1"/>
    <col min="7" max="7" width="6.140625" style="23" customWidth="1"/>
    <col min="8" max="8" width="17.85546875" style="23" customWidth="1"/>
    <col min="9" max="9" width="6.7109375" style="23" customWidth="1"/>
    <col min="10" max="10" width="17.85546875" style="23" customWidth="1"/>
    <col min="11" max="11" width="6.7109375" style="23" customWidth="1"/>
    <col min="12" max="12" width="17.85546875" style="23" customWidth="1"/>
    <col min="13" max="13" width="6.7109375" style="23" customWidth="1"/>
    <col min="14" max="14" width="17.85546875" style="23" customWidth="1"/>
    <col min="15" max="15" width="6.7109375" style="23" customWidth="1"/>
    <col min="16" max="16" width="18.7109375" style="23" customWidth="1"/>
    <col min="17" max="17" width="6.7109375" style="23" customWidth="1"/>
    <col min="18" max="18" width="18.5703125" style="23" hidden="1" customWidth="1"/>
    <col min="19" max="19" width="6.7109375" style="23" hidden="1" customWidth="1"/>
    <col min="20" max="20" width="17.85546875" style="23" customWidth="1"/>
    <col min="21" max="21" width="6.7109375" style="23" customWidth="1"/>
    <col min="22" max="22" width="18.28515625" style="23" customWidth="1"/>
    <col min="23" max="23" width="6.7109375" style="23" customWidth="1"/>
    <col min="24" max="24" width="18.140625" style="23" customWidth="1"/>
    <col min="25" max="25" width="7.42578125" style="23" customWidth="1"/>
    <col min="26" max="26" width="18" style="23" customWidth="1"/>
    <col min="27" max="27" width="9.140625" style="23" customWidth="1"/>
    <col min="28" max="28" width="18.140625" style="23" customWidth="1"/>
    <col min="29" max="29" width="7.42578125" style="23" customWidth="1"/>
    <col min="30" max="30" width="9.140625" style="23" customWidth="1"/>
    <col min="31" max="32" width="9.140625" style="207" customWidth="1"/>
    <col min="33" max="33" width="14.140625" style="207" customWidth="1"/>
    <col min="34" max="41" width="9.140625" style="207" customWidth="1"/>
    <col min="42" max="42" width="17.7109375" style="207" customWidth="1"/>
    <col min="43" max="47" width="9.140625" style="207" customWidth="1"/>
    <col min="48" max="55" width="9.140625" style="93" customWidth="1"/>
    <col min="56" max="256" width="9.140625" style="23" customWidth="1"/>
    <col min="257" max="16384" width="11.42578125" style="23"/>
  </cols>
  <sheetData>
    <row r="1" spans="1:55" ht="15.75" x14ac:dyDescent="0.25">
      <c r="A1" s="600" t="s">
        <v>770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</row>
    <row r="2" spans="1:55" ht="15.75" x14ac:dyDescent="0.25">
      <c r="A2" s="600" t="str">
        <f>+'ANALISIS POR PROG'!B2</f>
        <v xml:space="preserve">AL 31 DE DICIEMBRE 2020        </v>
      </c>
      <c r="B2" s="600"/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E2" s="209"/>
      <c r="AF2" s="210"/>
      <c r="AG2" s="210"/>
      <c r="AH2" s="210"/>
      <c r="AI2" s="210"/>
      <c r="AJ2" s="210"/>
      <c r="AK2" s="210"/>
      <c r="AL2" s="210"/>
      <c r="AM2" s="210"/>
      <c r="AN2" s="210"/>
      <c r="AO2" s="210"/>
      <c r="AP2" s="210"/>
      <c r="AQ2" s="210"/>
      <c r="AR2" s="210"/>
      <c r="AS2" s="210"/>
      <c r="AT2" s="211"/>
      <c r="AU2" s="212"/>
      <c r="AV2" s="212"/>
      <c r="AW2" s="212"/>
      <c r="AX2" s="212"/>
      <c r="AY2" s="212"/>
      <c r="AZ2" s="212"/>
      <c r="BA2" s="212"/>
      <c r="BB2" s="212"/>
      <c r="BC2" s="212"/>
    </row>
    <row r="3" spans="1:55" ht="15.75" x14ac:dyDescent="0.25">
      <c r="A3" s="600" t="s">
        <v>33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E3" s="213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5"/>
      <c r="AU3" s="212"/>
      <c r="AV3" s="212"/>
      <c r="AW3" s="212"/>
      <c r="AX3" s="212"/>
      <c r="AY3" s="212"/>
      <c r="AZ3" s="212"/>
      <c r="BA3" s="212"/>
      <c r="BB3" s="212"/>
      <c r="BC3" s="212"/>
    </row>
    <row r="4" spans="1:55" x14ac:dyDescent="0.25">
      <c r="AD4" s="216"/>
      <c r="AE4" s="213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5"/>
      <c r="AU4" s="212"/>
      <c r="AV4" s="212"/>
      <c r="AW4" s="212"/>
      <c r="AX4" s="212"/>
      <c r="AY4" s="212"/>
      <c r="AZ4" s="212"/>
      <c r="BA4" s="212"/>
      <c r="BB4" s="212"/>
      <c r="BC4" s="212"/>
    </row>
    <row r="5" spans="1:55" ht="15" customHeight="1" x14ac:dyDescent="0.25">
      <c r="A5" s="26" t="s">
        <v>34</v>
      </c>
      <c r="B5" s="616" t="s">
        <v>753</v>
      </c>
      <c r="C5" s="616"/>
      <c r="D5" s="616" t="s">
        <v>754</v>
      </c>
      <c r="E5" s="616"/>
      <c r="F5" s="617" t="s">
        <v>755</v>
      </c>
      <c r="G5" s="617"/>
      <c r="H5" s="217" t="s">
        <v>743</v>
      </c>
      <c r="I5" s="217"/>
      <c r="J5" s="616" t="s">
        <v>744</v>
      </c>
      <c r="K5" s="616"/>
      <c r="L5" s="218" t="s">
        <v>745</v>
      </c>
      <c r="M5" s="218"/>
      <c r="N5" s="616" t="s">
        <v>746</v>
      </c>
      <c r="O5" s="616"/>
      <c r="P5" s="616" t="s">
        <v>756</v>
      </c>
      <c r="Q5" s="616"/>
      <c r="R5" s="218" t="s">
        <v>757</v>
      </c>
      <c r="S5" s="218"/>
      <c r="T5" s="616" t="s">
        <v>758</v>
      </c>
      <c r="U5" s="616"/>
      <c r="V5" s="616" t="s">
        <v>759</v>
      </c>
      <c r="W5" s="616"/>
      <c r="X5" s="616" t="s">
        <v>760</v>
      </c>
      <c r="Y5" s="616"/>
      <c r="Z5" s="616" t="s">
        <v>761</v>
      </c>
      <c r="AA5" s="616"/>
      <c r="AB5" s="216"/>
      <c r="AC5" s="219"/>
      <c r="AD5" s="220" t="str">
        <f>+B5</f>
        <v>Enero</v>
      </c>
      <c r="AE5" s="221" t="str">
        <f>+D5</f>
        <v>Febrero</v>
      </c>
      <c r="AF5" s="222" t="s">
        <v>762</v>
      </c>
      <c r="AG5" s="214"/>
      <c r="AH5" s="223" t="str">
        <f>+B5</f>
        <v>Enero</v>
      </c>
      <c r="AI5" s="222" t="str">
        <f>+D5</f>
        <v>Febrero</v>
      </c>
      <c r="AJ5" s="222" t="s">
        <v>755</v>
      </c>
      <c r="AK5" s="222" t="s">
        <v>743</v>
      </c>
      <c r="AL5" s="222" t="s">
        <v>744</v>
      </c>
      <c r="AM5" s="222" t="s">
        <v>745</v>
      </c>
      <c r="AN5" s="222" t="s">
        <v>746</v>
      </c>
      <c r="AO5" s="222" t="s">
        <v>756</v>
      </c>
      <c r="AP5" s="222" t="s">
        <v>758</v>
      </c>
      <c r="AQ5" s="222" t="s">
        <v>759</v>
      </c>
      <c r="AR5" s="222" t="s">
        <v>760</v>
      </c>
      <c r="AS5" s="222" t="s">
        <v>761</v>
      </c>
      <c r="AT5" s="224"/>
      <c r="AU5" s="225"/>
      <c r="AV5" s="225"/>
      <c r="AW5" s="212"/>
      <c r="AX5" s="212"/>
      <c r="AY5" s="212"/>
      <c r="AZ5" s="212"/>
      <c r="BA5" s="212"/>
      <c r="BB5" s="212"/>
      <c r="BC5" s="212"/>
    </row>
    <row r="6" spans="1:55" x14ac:dyDescent="0.25">
      <c r="A6" s="226"/>
      <c r="B6" s="27" t="s">
        <v>763</v>
      </c>
      <c r="C6" s="27" t="s">
        <v>35</v>
      </c>
      <c r="D6" s="27" t="s">
        <v>763</v>
      </c>
      <c r="E6" s="27" t="s">
        <v>35</v>
      </c>
      <c r="F6" s="27" t="s">
        <v>763</v>
      </c>
      <c r="G6" s="27" t="s">
        <v>35</v>
      </c>
      <c r="H6" s="27" t="s">
        <v>763</v>
      </c>
      <c r="I6" s="27" t="s">
        <v>35</v>
      </c>
      <c r="J6" s="27" t="s">
        <v>763</v>
      </c>
      <c r="K6" s="27" t="s">
        <v>35</v>
      </c>
      <c r="L6" s="27" t="s">
        <v>763</v>
      </c>
      <c r="M6" s="27" t="s">
        <v>35</v>
      </c>
      <c r="N6" s="27" t="s">
        <v>763</v>
      </c>
      <c r="O6" s="27" t="s">
        <v>35</v>
      </c>
      <c r="P6" s="27" t="s">
        <v>763</v>
      </c>
      <c r="Q6" s="27" t="s">
        <v>35</v>
      </c>
      <c r="R6" s="27" t="s">
        <v>763</v>
      </c>
      <c r="S6" s="27" t="s">
        <v>35</v>
      </c>
      <c r="T6" s="27" t="s">
        <v>763</v>
      </c>
      <c r="U6" s="27" t="s">
        <v>35</v>
      </c>
      <c r="V6" s="27" t="s">
        <v>763</v>
      </c>
      <c r="W6" s="27" t="s">
        <v>35</v>
      </c>
      <c r="X6" s="27" t="s">
        <v>763</v>
      </c>
      <c r="Y6" s="27" t="s">
        <v>35</v>
      </c>
      <c r="Z6" s="27" t="s">
        <v>763</v>
      </c>
      <c r="AA6" s="27" t="s">
        <v>35</v>
      </c>
      <c r="AB6" s="216"/>
      <c r="AC6" s="219" t="s">
        <v>764</v>
      </c>
      <c r="AD6" s="227">
        <f>+C13</f>
        <v>0</v>
      </c>
      <c r="AE6" s="228">
        <f>+E13</f>
        <v>0</v>
      </c>
      <c r="AF6" s="229">
        <f>+G13</f>
        <v>0.01</v>
      </c>
      <c r="AG6" s="214" t="s">
        <v>38</v>
      </c>
      <c r="AH6" s="229" t="e">
        <f>NA()</f>
        <v>#N/A</v>
      </c>
      <c r="AI6" s="229" t="e">
        <f>NA()</f>
        <v>#N/A</v>
      </c>
      <c r="AJ6" s="229" t="e">
        <f>NA()</f>
        <v>#N/A</v>
      </c>
      <c r="AK6" s="229" t="e">
        <f>NA()</f>
        <v>#N/A</v>
      </c>
      <c r="AL6" s="229" t="e">
        <f>NA()</f>
        <v>#N/A</v>
      </c>
      <c r="AM6" s="229" t="e">
        <f>NA()</f>
        <v>#N/A</v>
      </c>
      <c r="AN6" s="229" t="e">
        <f>NA()</f>
        <v>#N/A</v>
      </c>
      <c r="AO6" s="229" t="e">
        <f>NA()</f>
        <v>#N/A</v>
      </c>
      <c r="AP6" s="229" t="e">
        <f>NA()</f>
        <v>#N/A</v>
      </c>
      <c r="AQ6" s="229" t="e">
        <f>NA()</f>
        <v>#N/A</v>
      </c>
      <c r="AR6" s="229" t="e">
        <f>NA()</f>
        <v>#N/A</v>
      </c>
      <c r="AS6" s="229" t="e">
        <f>NA()</f>
        <v>#N/A</v>
      </c>
      <c r="AT6" s="230"/>
      <c r="AU6" s="229"/>
      <c r="AV6" s="229"/>
      <c r="AW6" s="231"/>
      <c r="AX6" s="231"/>
      <c r="AY6" s="231"/>
      <c r="AZ6" s="231"/>
      <c r="BA6" s="231"/>
      <c r="BB6" s="231"/>
      <c r="BC6" s="231"/>
    </row>
    <row r="7" spans="1:55" x14ac:dyDescent="0.25">
      <c r="A7" s="28" t="s">
        <v>41</v>
      </c>
      <c r="B7" s="29" t="str">
        <f>+Hoja16!L9</f>
        <v>[35]sigaf!k244</v>
      </c>
      <c r="C7" s="30">
        <v>0.1</v>
      </c>
      <c r="D7" s="29" t="e">
        <f>+Hoja15!L9</f>
        <v>#N/A</v>
      </c>
      <c r="E7" s="232">
        <f>+Hoja15!M6</f>
        <v>0</v>
      </c>
      <c r="F7" s="29" t="e">
        <f>+Hoja14!L9</f>
        <v>#N/A</v>
      </c>
      <c r="G7" s="30">
        <v>0.23</v>
      </c>
      <c r="H7" s="128" t="e">
        <f>+Hoja13!L9</f>
        <v>#N/A</v>
      </c>
      <c r="I7" s="30">
        <v>0.28999999999999998</v>
      </c>
      <c r="J7" s="128" t="e">
        <f>+Hoja12!L9</f>
        <v>#N/A</v>
      </c>
      <c r="K7" s="30">
        <v>0.35</v>
      </c>
      <c r="L7" s="128" t="e">
        <f>+Hoja11!L9</f>
        <v>#N/A</v>
      </c>
      <c r="M7" s="30">
        <v>0.43</v>
      </c>
      <c r="N7" s="29" t="e">
        <f>+Hoja8!L9</f>
        <v>#N/A</v>
      </c>
      <c r="O7" s="30">
        <v>0.5</v>
      </c>
      <c r="P7" s="233" t="e">
        <f>+Hoja7!L9</f>
        <v>#N/A</v>
      </c>
      <c r="Q7" s="30">
        <v>0.57000000000000006</v>
      </c>
      <c r="R7" s="128" t="e">
        <f>+Hoja7!L9</f>
        <v>#N/A</v>
      </c>
      <c r="S7" s="232">
        <v>0.54138361692075709</v>
      </c>
      <c r="T7" s="128" t="e">
        <f>+Hoja6!L9</f>
        <v>#N/A</v>
      </c>
      <c r="U7" s="30">
        <v>0.65</v>
      </c>
      <c r="V7" s="29" t="e">
        <f>+Hoja5!L9</f>
        <v>#N/A</v>
      </c>
      <c r="W7" s="30">
        <v>0.73</v>
      </c>
      <c r="X7" s="29" t="e">
        <f>+Hoja2!L9</f>
        <v>#N/A</v>
      </c>
      <c r="Y7" s="30">
        <v>0.8</v>
      </c>
      <c r="Z7" s="29">
        <f>+'analisis 789 al 06'!K6</f>
        <v>70227882288.429993</v>
      </c>
      <c r="AA7" s="232">
        <f>+'analisis 789 al 06'!L6</f>
        <v>0.92703555727861331</v>
      </c>
      <c r="AB7" s="216"/>
      <c r="AC7" s="219" t="s">
        <v>765</v>
      </c>
      <c r="AD7" s="227">
        <f t="shared" ref="AD7:AD12" si="0">+C8</f>
        <v>0.06</v>
      </c>
      <c r="AE7" s="228">
        <f t="shared" ref="AE7:AE12" si="1">+E8</f>
        <v>0</v>
      </c>
      <c r="AF7" s="229">
        <f t="shared" ref="AF7:AF12" si="2">+G8</f>
        <v>0.19</v>
      </c>
      <c r="AG7" s="214" t="s">
        <v>42</v>
      </c>
      <c r="AH7" s="229">
        <f t="shared" ref="AH7:AH12" si="3">+C8</f>
        <v>0.06</v>
      </c>
      <c r="AI7" s="229">
        <f t="shared" ref="AI7:AI12" si="4">+E8</f>
        <v>0</v>
      </c>
      <c r="AJ7" s="229">
        <f t="shared" ref="AJ7:AJ12" si="5">+G8</f>
        <v>0.19</v>
      </c>
      <c r="AK7" s="229">
        <f t="shared" ref="AK7:AK12" si="6">+I8</f>
        <v>0.23</v>
      </c>
      <c r="AL7" s="229">
        <f t="shared" ref="AL7:AL12" si="7">+K8</f>
        <v>0.33</v>
      </c>
      <c r="AM7" s="229">
        <f t="shared" ref="AM7:AM12" si="8">+M8</f>
        <v>0.41</v>
      </c>
      <c r="AN7" s="229">
        <f t="shared" ref="AN7:AN12" si="9">+O8</f>
        <v>0.47</v>
      </c>
      <c r="AO7" s="229">
        <f t="shared" ref="AO7:AO12" si="10">+Q8</f>
        <v>0.52</v>
      </c>
      <c r="AP7" s="229">
        <f t="shared" ref="AP7:AP12" si="11">+U8</f>
        <v>0.61</v>
      </c>
      <c r="AQ7" s="229">
        <f t="shared" ref="AQ7:AQ12" si="12">+W8</f>
        <v>0.68</v>
      </c>
      <c r="AR7" s="229">
        <f t="shared" ref="AR7:AR12" si="13">+Y8</f>
        <v>0.73</v>
      </c>
      <c r="AS7" s="229">
        <f t="shared" ref="AS7:AS12" si="14">+AA8</f>
        <v>0.91864866722705674</v>
      </c>
      <c r="AT7" s="230"/>
      <c r="AU7" s="229"/>
      <c r="AV7" s="229"/>
      <c r="AW7" s="231"/>
      <c r="AX7" s="231"/>
      <c r="AY7" s="231"/>
      <c r="AZ7" s="231"/>
      <c r="BA7" s="231"/>
      <c r="BB7" s="231"/>
      <c r="BC7" s="231"/>
    </row>
    <row r="8" spans="1:55" x14ac:dyDescent="0.25">
      <c r="A8" s="28" t="s">
        <v>42</v>
      </c>
      <c r="B8" s="29" t="str">
        <f>+Hoja16!L10</f>
        <v>[35]sigaf!k370</v>
      </c>
      <c r="C8" s="30">
        <v>0.06</v>
      </c>
      <c r="D8" s="29" t="e">
        <f>+Hoja15!L10</f>
        <v>#N/A</v>
      </c>
      <c r="E8" s="232">
        <f>+Hoja15!M7</f>
        <v>0</v>
      </c>
      <c r="F8" s="29" t="e">
        <f>+Hoja14!L10</f>
        <v>#N/A</v>
      </c>
      <c r="G8" s="30">
        <v>0.19</v>
      </c>
      <c r="H8" s="128" t="e">
        <f>+Hoja13!L10</f>
        <v>#N/A</v>
      </c>
      <c r="I8" s="30">
        <v>0.23</v>
      </c>
      <c r="J8" s="128" t="e">
        <f>+Hoja12!L10</f>
        <v>#N/A</v>
      </c>
      <c r="K8" s="30">
        <v>0.33</v>
      </c>
      <c r="L8" s="128" t="e">
        <f>+Hoja11!L10</f>
        <v>#N/A</v>
      </c>
      <c r="M8" s="30">
        <v>0.41</v>
      </c>
      <c r="N8" s="29" t="e">
        <f>+Hoja8!L10</f>
        <v>#N/A</v>
      </c>
      <c r="O8" s="30">
        <v>0.47</v>
      </c>
      <c r="P8" s="233" t="e">
        <f>+Hoja7!L10</f>
        <v>#N/A</v>
      </c>
      <c r="Q8" s="30">
        <v>0.52</v>
      </c>
      <c r="R8" s="128" t="e">
        <f>+Hoja7!L10</f>
        <v>#N/A</v>
      </c>
      <c r="S8" s="232">
        <v>0.54138361692075709</v>
      </c>
      <c r="T8" s="128" t="e">
        <f>+Hoja6!L10</f>
        <v>#N/A</v>
      </c>
      <c r="U8" s="30">
        <v>0.61</v>
      </c>
      <c r="V8" s="29" t="e">
        <f>+Hoja5!L10</f>
        <v>#N/A</v>
      </c>
      <c r="W8" s="30">
        <v>0.68</v>
      </c>
      <c r="X8" s="29" t="e">
        <f>+Hoja2!L10</f>
        <v>#N/A</v>
      </c>
      <c r="Y8" s="30">
        <v>0.73</v>
      </c>
      <c r="Z8" s="29">
        <f>+'ANALISIS POR PROG'!K10</f>
        <v>25489145514.16</v>
      </c>
      <c r="AA8" s="232">
        <f>+'analisis 789 al 06'!L7</f>
        <v>0.91864866722705674</v>
      </c>
      <c r="AB8" s="216"/>
      <c r="AC8" s="219" t="s">
        <v>765</v>
      </c>
      <c r="AD8" s="227">
        <f t="shared" si="0"/>
        <v>0.06</v>
      </c>
      <c r="AE8" s="228">
        <f t="shared" si="1"/>
        <v>0</v>
      </c>
      <c r="AF8" s="229">
        <f t="shared" si="2"/>
        <v>0.18</v>
      </c>
      <c r="AG8" s="214" t="s">
        <v>43</v>
      </c>
      <c r="AH8" s="229">
        <f t="shared" si="3"/>
        <v>0.06</v>
      </c>
      <c r="AI8" s="229">
        <f t="shared" si="4"/>
        <v>0</v>
      </c>
      <c r="AJ8" s="229">
        <f t="shared" si="5"/>
        <v>0.18</v>
      </c>
      <c r="AK8" s="229">
        <f t="shared" si="6"/>
        <v>0.24</v>
      </c>
      <c r="AL8" s="229">
        <f t="shared" si="7"/>
        <v>0.31</v>
      </c>
      <c r="AM8" s="229">
        <f t="shared" si="8"/>
        <v>0.38</v>
      </c>
      <c r="AN8" s="229">
        <f t="shared" si="9"/>
        <v>0.46</v>
      </c>
      <c r="AO8" s="229">
        <f t="shared" si="10"/>
        <v>0.52</v>
      </c>
      <c r="AP8" s="229">
        <f t="shared" si="11"/>
        <v>0.59</v>
      </c>
      <c r="AQ8" s="229">
        <f t="shared" si="12"/>
        <v>0.65</v>
      </c>
      <c r="AR8" s="229">
        <f t="shared" si="13"/>
        <v>0.75</v>
      </c>
      <c r="AS8" s="229">
        <f t="shared" si="14"/>
        <v>0.89989949934264191</v>
      </c>
      <c r="AT8" s="215"/>
      <c r="AU8" s="212"/>
      <c r="AV8" s="212"/>
      <c r="AW8" s="212"/>
      <c r="AX8" s="212"/>
      <c r="AY8" s="212"/>
      <c r="AZ8" s="212"/>
      <c r="BA8" s="212"/>
      <c r="BB8" s="212"/>
      <c r="BC8" s="212"/>
    </row>
    <row r="9" spans="1:55" x14ac:dyDescent="0.25">
      <c r="A9" s="28" t="s">
        <v>43</v>
      </c>
      <c r="B9" s="29" t="str">
        <f>+Hoja16!L11</f>
        <v>[35]sigaf!k443</v>
      </c>
      <c r="C9" s="30">
        <v>0.06</v>
      </c>
      <c r="D9" s="29" t="e">
        <f>+Hoja15!L11</f>
        <v>#N/A</v>
      </c>
      <c r="E9" s="232">
        <f>+Hoja15!M8</f>
        <v>0</v>
      </c>
      <c r="F9" s="29" t="e">
        <f>+Hoja14!L11</f>
        <v>#N/A</v>
      </c>
      <c r="G9" s="30">
        <v>0.18</v>
      </c>
      <c r="H9" s="128" t="e">
        <f>+Hoja13!L11</f>
        <v>#N/A</v>
      </c>
      <c r="I9" s="30">
        <v>0.24</v>
      </c>
      <c r="J9" s="128" t="e">
        <f>+Hoja12!L11</f>
        <v>#N/A</v>
      </c>
      <c r="K9" s="30">
        <v>0.31</v>
      </c>
      <c r="L9" s="128" t="e">
        <f>+Hoja11!L11</f>
        <v>#N/A</v>
      </c>
      <c r="M9" s="30">
        <v>0.38</v>
      </c>
      <c r="N9" s="29" t="e">
        <f>+Hoja8!L11</f>
        <v>#N/A</v>
      </c>
      <c r="O9" s="30">
        <v>0.46</v>
      </c>
      <c r="P9" s="233" t="e">
        <f>+Hoja7!L11</f>
        <v>#N/A</v>
      </c>
      <c r="Q9" s="30">
        <v>0.52</v>
      </c>
      <c r="R9" s="128" t="e">
        <f>+Hoja7!L11</f>
        <v>#N/A</v>
      </c>
      <c r="S9" s="232">
        <v>0.54138361692075709</v>
      </c>
      <c r="T9" s="128" t="e">
        <f>+Hoja6!L11</f>
        <v>#N/A</v>
      </c>
      <c r="U9" s="30">
        <v>0.59</v>
      </c>
      <c r="V9" s="29" t="e">
        <f>+Hoja5!L11</f>
        <v>#N/A</v>
      </c>
      <c r="W9" s="30">
        <v>0.65</v>
      </c>
      <c r="X9" s="29" t="e">
        <f>+Hoja2!L11</f>
        <v>#N/A</v>
      </c>
      <c r="Y9" s="30">
        <v>0.75</v>
      </c>
      <c r="Z9" s="29">
        <f>+'ANALISIS POR PROG'!K11</f>
        <v>1894956303.8299999</v>
      </c>
      <c r="AA9" s="232">
        <f>+'analisis 789 al 06'!L8</f>
        <v>0.89989949934264191</v>
      </c>
      <c r="AB9" s="216"/>
      <c r="AC9" s="219" t="s">
        <v>765</v>
      </c>
      <c r="AD9" s="227">
        <f t="shared" si="0"/>
        <v>0.09</v>
      </c>
      <c r="AE9" s="228">
        <f t="shared" si="1"/>
        <v>0</v>
      </c>
      <c r="AF9" s="229">
        <f t="shared" si="2"/>
        <v>0.23</v>
      </c>
      <c r="AG9" s="214" t="s">
        <v>44</v>
      </c>
      <c r="AH9" s="229">
        <f t="shared" si="3"/>
        <v>0.09</v>
      </c>
      <c r="AI9" s="229">
        <f t="shared" si="4"/>
        <v>0</v>
      </c>
      <c r="AJ9" s="229">
        <f t="shared" si="5"/>
        <v>0.23</v>
      </c>
      <c r="AK9" s="229">
        <f t="shared" si="6"/>
        <v>0.28999999999999998</v>
      </c>
      <c r="AL9" s="229">
        <f t="shared" si="7"/>
        <v>0.37</v>
      </c>
      <c r="AM9" s="229">
        <f t="shared" si="8"/>
        <v>0.44</v>
      </c>
      <c r="AN9" s="229">
        <f t="shared" si="9"/>
        <v>0.5</v>
      </c>
      <c r="AO9" s="229">
        <f t="shared" si="10"/>
        <v>0.56000000000000005</v>
      </c>
      <c r="AP9" s="229">
        <f t="shared" si="11"/>
        <v>0.65</v>
      </c>
      <c r="AQ9" s="229">
        <f t="shared" si="12"/>
        <v>0.7</v>
      </c>
      <c r="AR9" s="229">
        <f t="shared" si="13"/>
        <v>0.76</v>
      </c>
      <c r="AS9" s="229">
        <f t="shared" si="14"/>
        <v>0.90613923393060436</v>
      </c>
      <c r="AT9" s="215"/>
      <c r="AU9" s="212"/>
      <c r="AV9" s="212"/>
      <c r="AW9" s="212"/>
      <c r="AX9" s="212"/>
      <c r="AY9" s="212"/>
      <c r="AZ9" s="212"/>
      <c r="BA9" s="212"/>
      <c r="BB9" s="212"/>
      <c r="BC9" s="212"/>
    </row>
    <row r="10" spans="1:55" x14ac:dyDescent="0.25">
      <c r="A10" s="28" t="s">
        <v>44</v>
      </c>
      <c r="B10" s="29" t="str">
        <f>+Hoja16!L12</f>
        <v>[35]sigaf!k497</v>
      </c>
      <c r="C10" s="30">
        <v>0.09</v>
      </c>
      <c r="D10" s="29" t="e">
        <f>+Hoja15!L12</f>
        <v>#N/A</v>
      </c>
      <c r="E10" s="232">
        <f>+Hoja15!M9</f>
        <v>0</v>
      </c>
      <c r="F10" s="29" t="e">
        <f>+Hoja14!L12</f>
        <v>#N/A</v>
      </c>
      <c r="G10" s="30">
        <v>0.23</v>
      </c>
      <c r="H10" s="128" t="e">
        <f>+Hoja13!L12</f>
        <v>#N/A</v>
      </c>
      <c r="I10" s="30">
        <v>0.28999999999999998</v>
      </c>
      <c r="J10" s="128" t="e">
        <f>+Hoja12!L12</f>
        <v>#N/A</v>
      </c>
      <c r="K10" s="30">
        <v>0.37</v>
      </c>
      <c r="L10" s="128" t="e">
        <f>+Hoja11!L12</f>
        <v>#N/A</v>
      </c>
      <c r="M10" s="30">
        <v>0.44</v>
      </c>
      <c r="N10" s="29" t="e">
        <f>+Hoja8!L12</f>
        <v>#N/A</v>
      </c>
      <c r="O10" s="30">
        <v>0.5</v>
      </c>
      <c r="P10" s="233" t="e">
        <f>+Hoja7!L12</f>
        <v>#N/A</v>
      </c>
      <c r="Q10" s="30">
        <v>0.56000000000000005</v>
      </c>
      <c r="R10" s="128" t="e">
        <f>+Hoja7!L12</f>
        <v>#N/A</v>
      </c>
      <c r="S10" s="232">
        <v>0.54138361692075709</v>
      </c>
      <c r="T10" s="128" t="e">
        <f>+Hoja6!L12</f>
        <v>#N/A</v>
      </c>
      <c r="U10" s="30">
        <v>0.65</v>
      </c>
      <c r="V10" s="29" t="e">
        <f>+Hoja5!L12</f>
        <v>#N/A</v>
      </c>
      <c r="W10" s="30">
        <v>0.7</v>
      </c>
      <c r="X10" s="29" t="e">
        <f>+Hoja2!L12</f>
        <v>#N/A</v>
      </c>
      <c r="Y10" s="30">
        <v>0.76</v>
      </c>
      <c r="Z10" s="29">
        <f>+'ANALISIS POR PROG'!K12</f>
        <v>1313606623.73</v>
      </c>
      <c r="AA10" s="232">
        <f>+'analisis 789 al 06'!L9</f>
        <v>0.90613923393060436</v>
      </c>
      <c r="AB10" s="216"/>
      <c r="AC10" s="219" t="s">
        <v>765</v>
      </c>
      <c r="AD10" s="227">
        <f t="shared" si="0"/>
        <v>0.09</v>
      </c>
      <c r="AE10" s="228">
        <f t="shared" si="1"/>
        <v>0</v>
      </c>
      <c r="AF10" s="229">
        <f t="shared" si="2"/>
        <v>0.22</v>
      </c>
      <c r="AG10" s="214" t="s">
        <v>45</v>
      </c>
      <c r="AH10" s="229">
        <f t="shared" si="3"/>
        <v>0.09</v>
      </c>
      <c r="AI10" s="229">
        <f t="shared" si="4"/>
        <v>0</v>
      </c>
      <c r="AJ10" s="229">
        <f t="shared" si="5"/>
        <v>0.22</v>
      </c>
      <c r="AK10" s="229">
        <f t="shared" si="6"/>
        <v>0.28999999999999998</v>
      </c>
      <c r="AL10" s="229">
        <f t="shared" si="7"/>
        <v>0.37</v>
      </c>
      <c r="AM10" s="229">
        <f t="shared" si="8"/>
        <v>0.43</v>
      </c>
      <c r="AN10" s="229">
        <f t="shared" si="9"/>
        <v>0.5</v>
      </c>
      <c r="AO10" s="229">
        <f t="shared" si="10"/>
        <v>0.56000000000000005</v>
      </c>
      <c r="AP10" s="229">
        <f t="shared" si="11"/>
        <v>0.63</v>
      </c>
      <c r="AQ10" s="229">
        <f t="shared" si="12"/>
        <v>0.69</v>
      </c>
      <c r="AR10" s="229">
        <f t="shared" si="13"/>
        <v>0.77</v>
      </c>
      <c r="AS10" s="229">
        <f t="shared" si="14"/>
        <v>0.89604929300947067</v>
      </c>
      <c r="AT10" s="215"/>
      <c r="AU10" s="212"/>
      <c r="AV10" s="212"/>
      <c r="AW10" s="212"/>
      <c r="AX10" s="212"/>
      <c r="AY10" s="212"/>
      <c r="AZ10" s="212"/>
      <c r="BA10" s="212"/>
      <c r="BB10" s="212"/>
      <c r="BC10" s="212"/>
    </row>
    <row r="11" spans="1:55" x14ac:dyDescent="0.25">
      <c r="A11" s="28" t="s">
        <v>45</v>
      </c>
      <c r="B11" s="29" t="str">
        <f>+Hoja16!L13</f>
        <v>[35]sigaf!k542</v>
      </c>
      <c r="C11" s="30">
        <v>0.09</v>
      </c>
      <c r="D11" s="29" t="e">
        <f>+Hoja15!L13</f>
        <v>#N/A</v>
      </c>
      <c r="E11" s="232">
        <f>+Hoja15!M10</f>
        <v>0</v>
      </c>
      <c r="F11" s="29" t="e">
        <f>+Hoja14!L13</f>
        <v>#N/A</v>
      </c>
      <c r="G11" s="30">
        <v>0.22</v>
      </c>
      <c r="H11" s="128" t="e">
        <f>+Hoja13!L13</f>
        <v>#N/A</v>
      </c>
      <c r="I11" s="30">
        <v>0.28999999999999998</v>
      </c>
      <c r="J11" s="128" t="e">
        <f>+Hoja12!L13</f>
        <v>#N/A</v>
      </c>
      <c r="K11" s="30">
        <v>0.37</v>
      </c>
      <c r="L11" s="128" t="e">
        <f>+Hoja11!L13</f>
        <v>#N/A</v>
      </c>
      <c r="M11" s="30">
        <v>0.43</v>
      </c>
      <c r="N11" s="29" t="e">
        <f>+Hoja8!L13</f>
        <v>#N/A</v>
      </c>
      <c r="O11" s="30">
        <v>0.5</v>
      </c>
      <c r="P11" s="233" t="e">
        <f>+Hoja7!L13</f>
        <v>#N/A</v>
      </c>
      <c r="Q11" s="30">
        <v>0.56000000000000005</v>
      </c>
      <c r="R11" s="128" t="e">
        <f>+Hoja7!L13</f>
        <v>#N/A</v>
      </c>
      <c r="S11" s="232">
        <v>0.54138361692075709</v>
      </c>
      <c r="T11" s="128" t="e">
        <f>+Hoja6!L13</f>
        <v>#N/A</v>
      </c>
      <c r="U11" s="30">
        <v>0.63</v>
      </c>
      <c r="V11" s="29" t="e">
        <f>+Hoja5!L13</f>
        <v>#N/A</v>
      </c>
      <c r="W11" s="30">
        <v>0.69</v>
      </c>
      <c r="X11" s="29" t="e">
        <f>+Hoja2!L13</f>
        <v>#N/A</v>
      </c>
      <c r="Y11" s="30">
        <v>0.77</v>
      </c>
      <c r="Z11" s="29">
        <f>+'ANALISIS POR PROG'!K13</f>
        <v>2027258265.1600001</v>
      </c>
      <c r="AA11" s="232">
        <f>+'analisis 789 al 06'!L10</f>
        <v>0.89604929300947067</v>
      </c>
      <c r="AB11" s="216"/>
      <c r="AC11" s="219" t="s">
        <v>765</v>
      </c>
      <c r="AD11" s="227">
        <f t="shared" si="0"/>
        <v>0.1</v>
      </c>
      <c r="AE11" s="228">
        <f t="shared" si="1"/>
        <v>0</v>
      </c>
      <c r="AF11" s="229">
        <f t="shared" si="2"/>
        <v>0.24</v>
      </c>
      <c r="AG11" s="214" t="s">
        <v>46</v>
      </c>
      <c r="AH11" s="229">
        <f t="shared" si="3"/>
        <v>0.1</v>
      </c>
      <c r="AI11" s="229">
        <f t="shared" si="4"/>
        <v>0</v>
      </c>
      <c r="AJ11" s="229">
        <f t="shared" si="5"/>
        <v>0.24</v>
      </c>
      <c r="AK11" s="229">
        <f t="shared" si="6"/>
        <v>0.31</v>
      </c>
      <c r="AL11" s="229">
        <f t="shared" si="7"/>
        <v>0.37</v>
      </c>
      <c r="AM11" s="229">
        <f t="shared" si="8"/>
        <v>0.43</v>
      </c>
      <c r="AN11" s="229">
        <f t="shared" si="9"/>
        <v>0.5</v>
      </c>
      <c r="AO11" s="229">
        <f t="shared" si="10"/>
        <v>0.57000000000000006</v>
      </c>
      <c r="AP11" s="229">
        <f t="shared" si="11"/>
        <v>0.63</v>
      </c>
      <c r="AQ11" s="229">
        <f t="shared" si="12"/>
        <v>0.7</v>
      </c>
      <c r="AR11" s="229">
        <f t="shared" si="13"/>
        <v>0.77</v>
      </c>
      <c r="AS11" s="229">
        <f t="shared" si="14"/>
        <v>0.89242275866475074</v>
      </c>
      <c r="AT11" s="215"/>
      <c r="AU11" s="212"/>
      <c r="AV11" s="212"/>
      <c r="AW11" s="212"/>
      <c r="AX11" s="212"/>
      <c r="AY11" s="212"/>
      <c r="AZ11" s="212"/>
      <c r="BA11" s="212"/>
      <c r="BB11" s="212"/>
      <c r="BC11" s="212"/>
    </row>
    <row r="12" spans="1:55" x14ac:dyDescent="0.25">
      <c r="A12" s="28" t="s">
        <v>46</v>
      </c>
      <c r="B12" s="29" t="str">
        <f>+Hoja16!L14</f>
        <v>[35]sigaf!k611</v>
      </c>
      <c r="C12" s="30">
        <v>0.1</v>
      </c>
      <c r="D12" s="29" t="e">
        <f>+Hoja15!L14</f>
        <v>#N/A</v>
      </c>
      <c r="E12" s="232">
        <f>+Hoja15!M11</f>
        <v>0</v>
      </c>
      <c r="F12" s="29" t="e">
        <f>+Hoja14!L14</f>
        <v>#N/A</v>
      </c>
      <c r="G12" s="30">
        <v>0.24</v>
      </c>
      <c r="H12" s="128" t="e">
        <f>+Hoja13!L14</f>
        <v>#N/A</v>
      </c>
      <c r="I12" s="30">
        <v>0.31</v>
      </c>
      <c r="J12" s="128" t="e">
        <f>+Hoja12!L14</f>
        <v>#N/A</v>
      </c>
      <c r="K12" s="30">
        <v>0.37</v>
      </c>
      <c r="L12" s="128" t="e">
        <f>+Hoja11!L14</f>
        <v>#N/A</v>
      </c>
      <c r="M12" s="30">
        <v>0.43</v>
      </c>
      <c r="N12" s="29" t="e">
        <f>+Hoja8!L14</f>
        <v>#N/A</v>
      </c>
      <c r="O12" s="30">
        <v>0.5</v>
      </c>
      <c r="P12" s="233" t="e">
        <f>+Hoja7!L14</f>
        <v>#N/A</v>
      </c>
      <c r="Q12" s="30">
        <v>0.57000000000000006</v>
      </c>
      <c r="R12" s="128" t="e">
        <f>+Hoja7!L14</f>
        <v>#N/A</v>
      </c>
      <c r="S12" s="232">
        <v>0.54138361692075709</v>
      </c>
      <c r="T12" s="128" t="e">
        <f>+Hoja6!L14</f>
        <v>#N/A</v>
      </c>
      <c r="U12" s="30">
        <v>0.63</v>
      </c>
      <c r="V12" s="29" t="e">
        <f>+Hoja5!L14</f>
        <v>#N/A</v>
      </c>
      <c r="W12" s="30">
        <v>0.7</v>
      </c>
      <c r="X12" s="29" t="e">
        <f>+Hoja2!L14</f>
        <v>#N/A</v>
      </c>
      <c r="Y12" s="30">
        <v>0.77</v>
      </c>
      <c r="Z12" s="29">
        <f>+'ANALISIS POR PROG'!K14</f>
        <v>1032253158.23</v>
      </c>
      <c r="AA12" s="232">
        <f>+'analisis 789 al 06'!L11</f>
        <v>0.89242275866475074</v>
      </c>
      <c r="AB12" s="216"/>
      <c r="AC12" s="219" t="s">
        <v>765</v>
      </c>
      <c r="AD12" s="227">
        <f t="shared" si="0"/>
        <v>0</v>
      </c>
      <c r="AE12" s="228">
        <f t="shared" si="1"/>
        <v>0</v>
      </c>
      <c r="AF12" s="229">
        <f t="shared" si="2"/>
        <v>0.01</v>
      </c>
      <c r="AG12" s="214" t="s">
        <v>47</v>
      </c>
      <c r="AH12" s="229">
        <f t="shared" si="3"/>
        <v>0</v>
      </c>
      <c r="AI12" s="229">
        <f t="shared" si="4"/>
        <v>0</v>
      </c>
      <c r="AJ12" s="229">
        <f t="shared" si="5"/>
        <v>0.01</v>
      </c>
      <c r="AK12" s="229">
        <f t="shared" si="6"/>
        <v>0.2</v>
      </c>
      <c r="AL12" s="229">
        <f t="shared" si="7"/>
        <v>0.28000000000000003</v>
      </c>
      <c r="AM12" s="229">
        <f t="shared" si="8"/>
        <v>0.36</v>
      </c>
      <c r="AN12" s="229">
        <f t="shared" si="9"/>
        <v>0.37</v>
      </c>
      <c r="AO12" s="229">
        <f t="shared" si="10"/>
        <v>0.5</v>
      </c>
      <c r="AP12" s="229">
        <f t="shared" si="11"/>
        <v>0.56000000000000005</v>
      </c>
      <c r="AQ12" s="229">
        <f t="shared" si="12"/>
        <v>0.62</v>
      </c>
      <c r="AR12" s="229">
        <f t="shared" si="13"/>
        <v>0.68</v>
      </c>
      <c r="AS12" s="229">
        <f t="shared" si="14"/>
        <v>0.86131552571821479</v>
      </c>
      <c r="AT12" s="215"/>
      <c r="AU12" s="212"/>
      <c r="AV12" s="212"/>
      <c r="AW12" s="212"/>
      <c r="AX12" s="212"/>
      <c r="AY12" s="212"/>
      <c r="AZ12" s="212"/>
      <c r="BA12" s="212"/>
      <c r="BB12" s="212"/>
      <c r="BC12" s="212"/>
    </row>
    <row r="13" spans="1:55" x14ac:dyDescent="0.25">
      <c r="A13" s="28" t="s">
        <v>47</v>
      </c>
      <c r="B13" s="29" t="str">
        <f>+Hoja16!L15</f>
        <v>[35]sigaf!k640</v>
      </c>
      <c r="C13" s="30">
        <v>0</v>
      </c>
      <c r="D13" s="29" t="e">
        <f>+Hoja15!L15</f>
        <v>#N/A</v>
      </c>
      <c r="E13" s="232">
        <f>+Hoja15!M12</f>
        <v>0</v>
      </c>
      <c r="F13" s="29" t="e">
        <f>+Hoja14!L15</f>
        <v>#N/A</v>
      </c>
      <c r="G13" s="30">
        <v>0.01</v>
      </c>
      <c r="H13" s="128" t="e">
        <f>+Hoja13!L15</f>
        <v>#N/A</v>
      </c>
      <c r="I13" s="30">
        <v>0.2</v>
      </c>
      <c r="J13" s="128" t="e">
        <f>+Hoja12!L15</f>
        <v>#N/A</v>
      </c>
      <c r="K13" s="30">
        <v>0.28000000000000003</v>
      </c>
      <c r="L13" s="128" t="e">
        <f>+Hoja11!L15</f>
        <v>#N/A</v>
      </c>
      <c r="M13" s="30">
        <v>0.36</v>
      </c>
      <c r="N13" s="29" t="e">
        <f>+Hoja8!L15</f>
        <v>#N/A</v>
      </c>
      <c r="O13" s="30">
        <v>0.37</v>
      </c>
      <c r="P13" s="233" t="e">
        <f>+Hoja7!L15</f>
        <v>#N/A</v>
      </c>
      <c r="Q13" s="30">
        <v>0.5</v>
      </c>
      <c r="R13" s="128" t="e">
        <f>+Hoja7!L15</f>
        <v>#N/A</v>
      </c>
      <c r="S13" s="232">
        <v>0.54138361692075709</v>
      </c>
      <c r="T13" s="128" t="e">
        <f>+Hoja6!L15</f>
        <v>#N/A</v>
      </c>
      <c r="U13" s="30">
        <v>0.56000000000000005</v>
      </c>
      <c r="V13" s="29" t="e">
        <f>+Hoja5!L15</f>
        <v>#N/A</v>
      </c>
      <c r="W13" s="30">
        <v>0.62</v>
      </c>
      <c r="X13" s="29" t="e">
        <f>+Hoja2!L15</f>
        <v>#N/A</v>
      </c>
      <c r="Y13" s="30">
        <v>0.68</v>
      </c>
      <c r="Z13" s="29">
        <f>+'ANALISIS POR PROG'!K15</f>
        <v>5996105558.6899996</v>
      </c>
      <c r="AA13" s="232">
        <f>+'analisis 789 al 06'!L12</f>
        <v>0.86131552571821479</v>
      </c>
      <c r="AB13" s="216"/>
      <c r="AC13" s="219" t="s">
        <v>765</v>
      </c>
      <c r="AD13" s="227" t="e">
        <f>NA()</f>
        <v>#N/A</v>
      </c>
      <c r="AE13" s="228" t="e">
        <f>NA()</f>
        <v>#N/A</v>
      </c>
      <c r="AF13" s="229" t="e">
        <f>NA()</f>
        <v>#N/A</v>
      </c>
      <c r="AG13" s="214" t="s">
        <v>48</v>
      </c>
      <c r="AH13" s="229" t="e">
        <f>NA()</f>
        <v>#N/A</v>
      </c>
      <c r="AI13" s="229" t="e">
        <f>NA()</f>
        <v>#N/A</v>
      </c>
      <c r="AJ13" s="229" t="e">
        <f>NA()</f>
        <v>#N/A</v>
      </c>
      <c r="AK13" s="229" t="e">
        <f>NA()</f>
        <v>#N/A</v>
      </c>
      <c r="AL13" s="229" t="e">
        <f>NA()</f>
        <v>#N/A</v>
      </c>
      <c r="AM13" s="229" t="e">
        <f>NA()</f>
        <v>#N/A</v>
      </c>
      <c r="AN13" s="229" t="e">
        <f>NA()</f>
        <v>#N/A</v>
      </c>
      <c r="AO13" s="229" t="e">
        <f>NA()</f>
        <v>#N/A</v>
      </c>
      <c r="AP13" s="229" t="e">
        <f>NA()</f>
        <v>#N/A</v>
      </c>
      <c r="AQ13" s="229" t="e">
        <f>NA()</f>
        <v>#N/A</v>
      </c>
      <c r="AR13" s="229" t="e">
        <f>NA()</f>
        <v>#N/A</v>
      </c>
      <c r="AS13" s="229" t="e">
        <f>NA()</f>
        <v>#N/A</v>
      </c>
      <c r="AT13" s="215"/>
      <c r="AU13" s="212"/>
      <c r="AV13" s="212"/>
      <c r="AW13" s="212"/>
      <c r="AX13" s="212"/>
      <c r="AY13" s="212"/>
      <c r="AZ13" s="212"/>
      <c r="BA13" s="212"/>
      <c r="BB13" s="212"/>
      <c r="BC13" s="212"/>
    </row>
    <row r="14" spans="1:55" x14ac:dyDescent="0.25">
      <c r="A14" s="35" t="s">
        <v>23</v>
      </c>
      <c r="B14" s="36">
        <f>SUM(B7:B13)</f>
        <v>0</v>
      </c>
      <c r="C14" s="38">
        <v>7.0000000000000007E-2</v>
      </c>
      <c r="D14" s="36" t="e">
        <f>SUM(D7:D13)</f>
        <v>#N/A</v>
      </c>
      <c r="E14" s="38">
        <v>0.125</v>
      </c>
      <c r="F14" s="36" t="e">
        <f>SUM(F7:F13)</f>
        <v>#N/A</v>
      </c>
      <c r="G14" s="237">
        <v>0.19</v>
      </c>
      <c r="H14" s="238" t="e">
        <f>SUM(H7:H13)</f>
        <v>#N/A</v>
      </c>
      <c r="I14" s="38">
        <v>0.26</v>
      </c>
      <c r="J14" s="36" t="e">
        <f>SUM(J7:J13)</f>
        <v>#N/A</v>
      </c>
      <c r="K14" s="38">
        <v>0.34</v>
      </c>
      <c r="L14" s="238" t="e">
        <f>SUM(L7:L13)</f>
        <v>#N/A</v>
      </c>
      <c r="M14" s="38">
        <v>0.41</v>
      </c>
      <c r="N14" s="238" t="e">
        <f>SUM(N7:N13)</f>
        <v>#N/A</v>
      </c>
      <c r="O14" s="38">
        <v>0.47</v>
      </c>
      <c r="P14" s="238" t="e">
        <f>SUM(P7:P13)</f>
        <v>#N/A</v>
      </c>
      <c r="Q14" s="38">
        <v>0.54</v>
      </c>
      <c r="R14" s="238" t="e">
        <f>SUM(R7:R13)</f>
        <v>#N/A</v>
      </c>
      <c r="S14" s="239"/>
      <c r="T14" s="238" t="e">
        <f>SUM(T7:T13)</f>
        <v>#N/A</v>
      </c>
      <c r="U14" s="38">
        <v>0.62</v>
      </c>
      <c r="V14" s="238" t="e">
        <f>SUM(V7:V13)</f>
        <v>#N/A</v>
      </c>
      <c r="W14" s="38">
        <v>0.68</v>
      </c>
      <c r="X14" s="238" t="e">
        <f>SUM(X7:X13)</f>
        <v>#N/A</v>
      </c>
      <c r="Y14" s="38">
        <v>0.75</v>
      </c>
      <c r="Z14" s="238">
        <f>SUM(Z7:Z13)</f>
        <v>107981207712.23</v>
      </c>
      <c r="AA14" s="38">
        <v>0.9</v>
      </c>
      <c r="AB14" s="216"/>
      <c r="AC14" s="219"/>
      <c r="AD14" s="219"/>
      <c r="AE14" s="219"/>
      <c r="AF14" s="219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</row>
    <row r="15" spans="1:55" x14ac:dyDescent="0.25">
      <c r="A15" s="39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216"/>
      <c r="AE15" s="219"/>
      <c r="AF15" s="219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</row>
    <row r="16" spans="1:55" x14ac:dyDescent="0.25">
      <c r="AD16" s="216"/>
      <c r="AE16" s="219"/>
      <c r="AF16" s="219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</row>
    <row r="17" spans="31:55" x14ac:dyDescent="0.25">
      <c r="AE17" s="219"/>
      <c r="AF17" s="219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</row>
    <row r="18" spans="31:55" x14ac:dyDescent="0.25">
      <c r="AE18" s="219"/>
      <c r="AF18" s="219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</row>
    <row r="19" spans="31:55" x14ac:dyDescent="0.25">
      <c r="AE19" s="219"/>
      <c r="AF19" s="219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</row>
    <row r="20" spans="31:55" x14ac:dyDescent="0.25"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2"/>
      <c r="AW20" s="212"/>
      <c r="AX20" s="212"/>
      <c r="AY20" s="212"/>
      <c r="AZ20" s="212"/>
      <c r="BA20" s="212"/>
    </row>
    <row r="21" spans="31:55" x14ac:dyDescent="0.25"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2"/>
      <c r="AW21" s="212"/>
      <c r="AX21" s="212"/>
      <c r="AY21" s="212"/>
      <c r="AZ21" s="212"/>
      <c r="BA21" s="212"/>
    </row>
    <row r="22" spans="31:55" x14ac:dyDescent="0.25"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2"/>
      <c r="AW22" s="212"/>
      <c r="AX22" s="212"/>
      <c r="AY22" s="212"/>
      <c r="AZ22" s="212"/>
      <c r="BA22" s="212"/>
    </row>
    <row r="23" spans="31:55" x14ac:dyDescent="0.25"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2"/>
      <c r="AW23" s="212"/>
      <c r="AX23" s="212"/>
      <c r="AY23" s="212"/>
      <c r="AZ23" s="212"/>
      <c r="BA23" s="212"/>
    </row>
    <row r="24" spans="31:55" x14ac:dyDescent="0.25"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2"/>
      <c r="AW24" s="212"/>
      <c r="AX24" s="212"/>
      <c r="AY24" s="212"/>
      <c r="AZ24" s="212"/>
      <c r="BA24" s="212"/>
    </row>
    <row r="25" spans="31:55" x14ac:dyDescent="0.25"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2"/>
      <c r="AW25" s="212"/>
      <c r="AX25" s="212"/>
      <c r="AY25" s="212"/>
      <c r="AZ25" s="212"/>
      <c r="BA25" s="212"/>
    </row>
    <row r="26" spans="31:55" x14ac:dyDescent="0.25"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2"/>
      <c r="AW26" s="212"/>
      <c r="AX26" s="212"/>
      <c r="AY26" s="212"/>
      <c r="AZ26" s="212"/>
      <c r="BA26" s="212"/>
    </row>
    <row r="27" spans="31:55" x14ac:dyDescent="0.25"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2"/>
      <c r="AW27" s="212"/>
      <c r="AX27" s="212"/>
      <c r="AY27" s="212"/>
      <c r="AZ27" s="212"/>
      <c r="BA27" s="212"/>
    </row>
    <row r="28" spans="31:55" x14ac:dyDescent="0.25"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2"/>
      <c r="AW28" s="212"/>
      <c r="AX28" s="212"/>
      <c r="AY28" s="212"/>
      <c r="AZ28" s="212"/>
      <c r="BA28" s="212"/>
    </row>
    <row r="40" spans="12:12" x14ac:dyDescent="0.25">
      <c r="L40" s="240"/>
    </row>
  </sheetData>
  <sheetProtection selectLockedCells="1" selectUnlockedCells="1"/>
  <mergeCells count="13">
    <mergeCell ref="V5:W5"/>
    <mergeCell ref="X5:Y5"/>
    <mergeCell ref="Z5:AA5"/>
    <mergeCell ref="A1:AC1"/>
    <mergeCell ref="A2:AC2"/>
    <mergeCell ref="A3:AC3"/>
    <mergeCell ref="B5:C5"/>
    <mergeCell ref="D5:E5"/>
    <mergeCell ref="F5:G5"/>
    <mergeCell ref="J5:K5"/>
    <mergeCell ref="N5:O5"/>
    <mergeCell ref="P5:Q5"/>
    <mergeCell ref="T5:U5"/>
  </mergeCells>
  <pageMargins left="0.7" right="0.7" top="0.75" bottom="0.75" header="0.51180555555555551" footer="0.51180555555555551"/>
  <pageSetup firstPageNumber="0" orientation="portrait" horizontalDpi="300" verticalDpi="30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40"/>
  <sheetViews>
    <sheetView zoomScaleNormal="100" workbookViewId="0"/>
  </sheetViews>
  <sheetFormatPr baseColWidth="10" defaultRowHeight="15" x14ac:dyDescent="0.25"/>
  <cols>
    <col min="1" max="1" width="17.5703125" style="23" customWidth="1"/>
    <col min="2" max="2" width="17.42578125" style="23" customWidth="1"/>
    <col min="3" max="3" width="8.7109375" style="23" customWidth="1"/>
    <col min="4" max="4" width="16.28515625" style="23" customWidth="1"/>
    <col min="5" max="5" width="6.140625" style="23" customWidth="1"/>
    <col min="6" max="6" width="17.28515625" style="23" customWidth="1"/>
    <col min="7" max="7" width="6.140625" style="23" customWidth="1"/>
    <col min="8" max="8" width="17.85546875" style="23" customWidth="1"/>
    <col min="9" max="9" width="6.7109375" style="23" customWidth="1"/>
    <col min="10" max="10" width="17.85546875" style="23" customWidth="1"/>
    <col min="11" max="11" width="6.7109375" style="23" customWidth="1"/>
    <col min="12" max="12" width="17.85546875" style="23" customWidth="1"/>
    <col min="13" max="13" width="6.7109375" style="23" customWidth="1"/>
    <col min="14" max="14" width="17.85546875" style="23" customWidth="1"/>
    <col min="15" max="15" width="6.7109375" style="23" customWidth="1"/>
    <col min="16" max="16" width="18.7109375" style="23" customWidth="1"/>
    <col min="17" max="17" width="6.7109375" style="23" customWidth="1"/>
    <col min="18" max="18" width="18.5703125" style="23" hidden="1" customWidth="1"/>
    <col min="19" max="19" width="6.7109375" style="23" hidden="1" customWidth="1"/>
    <col min="20" max="20" width="17.85546875" style="23" customWidth="1"/>
    <col min="21" max="21" width="6.7109375" style="23" customWidth="1"/>
    <col min="22" max="22" width="18.28515625" style="23" customWidth="1"/>
    <col min="23" max="23" width="6.7109375" style="23" customWidth="1"/>
    <col min="24" max="24" width="18.140625" style="23" customWidth="1"/>
    <col min="25" max="25" width="7.42578125" style="23" customWidth="1"/>
    <col min="26" max="26" width="18" style="23" customWidth="1"/>
    <col min="27" max="27" width="9.140625" style="23" customWidth="1"/>
    <col min="28" max="28" width="18.140625" style="23" customWidth="1"/>
    <col min="29" max="29" width="7.42578125" style="23" customWidth="1"/>
    <col min="30" max="30" width="9.140625" style="23" customWidth="1"/>
    <col min="31" max="32" width="11" style="207" hidden="1" customWidth="1"/>
    <col min="33" max="33" width="14.140625" style="207" hidden="1" customWidth="1"/>
    <col min="34" max="41" width="11" style="207" hidden="1" customWidth="1"/>
    <col min="42" max="42" width="17.7109375" style="207" hidden="1" customWidth="1"/>
    <col min="43" max="47" width="11" style="207" hidden="1" customWidth="1"/>
    <col min="48" max="49" width="11" style="93" hidden="1" customWidth="1"/>
    <col min="50" max="55" width="9.140625" style="93" customWidth="1"/>
    <col min="56" max="256" width="9.140625" style="23" customWidth="1"/>
    <col min="257" max="16384" width="11.42578125" style="23"/>
  </cols>
  <sheetData>
    <row r="1" spans="1:55" ht="15.75" x14ac:dyDescent="0.25">
      <c r="A1" s="600" t="s">
        <v>769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</row>
    <row r="2" spans="1:55" ht="15.75" x14ac:dyDescent="0.25">
      <c r="A2" s="600" t="str">
        <f>+'ANALISIS POR PROG'!B2</f>
        <v xml:space="preserve">AL 31 DE DICIEMBRE 2020        </v>
      </c>
      <c r="B2" s="600"/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E2" s="209"/>
      <c r="AF2" s="210"/>
      <c r="AG2" s="210"/>
      <c r="AH2" s="210"/>
      <c r="AI2" s="210"/>
      <c r="AJ2" s="210"/>
      <c r="AK2" s="210"/>
      <c r="AL2" s="210"/>
      <c r="AM2" s="210"/>
      <c r="AN2" s="210"/>
      <c r="AO2" s="210"/>
      <c r="AP2" s="210"/>
      <c r="AQ2" s="210"/>
      <c r="AR2" s="210"/>
      <c r="AS2" s="210"/>
      <c r="AT2" s="211"/>
      <c r="AU2" s="212"/>
      <c r="AV2" s="212"/>
      <c r="AW2" s="212"/>
      <c r="AX2" s="212"/>
      <c r="AY2" s="212"/>
      <c r="AZ2" s="212"/>
      <c r="BA2" s="212"/>
      <c r="BB2" s="212"/>
      <c r="BC2" s="212"/>
    </row>
    <row r="3" spans="1:55" ht="15.75" x14ac:dyDescent="0.25">
      <c r="A3" s="600" t="s">
        <v>33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E3" s="213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5"/>
      <c r="AU3" s="212"/>
      <c r="AV3" s="212"/>
      <c r="AW3" s="212"/>
      <c r="AX3" s="212"/>
      <c r="AY3" s="212"/>
      <c r="AZ3" s="212"/>
      <c r="BA3" s="212"/>
      <c r="BB3" s="212"/>
      <c r="BC3" s="212"/>
    </row>
    <row r="4" spans="1:55" x14ac:dyDescent="0.25">
      <c r="AD4" s="216"/>
      <c r="AE4" s="213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5"/>
      <c r="AU4" s="212"/>
      <c r="AV4" s="212"/>
      <c r="AW4" s="212"/>
      <c r="AX4" s="212"/>
      <c r="AY4" s="212"/>
      <c r="AZ4" s="212"/>
      <c r="BA4" s="212"/>
      <c r="BB4" s="212"/>
      <c r="BC4" s="212"/>
    </row>
    <row r="5" spans="1:55" ht="15" customHeight="1" x14ac:dyDescent="0.25">
      <c r="A5" s="26" t="s">
        <v>34</v>
      </c>
      <c r="B5" s="616" t="s">
        <v>753</v>
      </c>
      <c r="C5" s="616"/>
      <c r="D5" s="616" t="s">
        <v>754</v>
      </c>
      <c r="E5" s="616"/>
      <c r="F5" s="617" t="s">
        <v>755</v>
      </c>
      <c r="G5" s="617"/>
      <c r="H5" s="217" t="s">
        <v>743</v>
      </c>
      <c r="I5" s="217"/>
      <c r="J5" s="616" t="s">
        <v>744</v>
      </c>
      <c r="K5" s="616"/>
      <c r="L5" s="218" t="s">
        <v>745</v>
      </c>
      <c r="M5" s="218"/>
      <c r="N5" s="616" t="s">
        <v>746</v>
      </c>
      <c r="O5" s="616"/>
      <c r="P5" s="616" t="s">
        <v>756</v>
      </c>
      <c r="Q5" s="616"/>
      <c r="R5" s="218" t="s">
        <v>757</v>
      </c>
      <c r="S5" s="218"/>
      <c r="T5" s="616" t="s">
        <v>758</v>
      </c>
      <c r="U5" s="616"/>
      <c r="V5" s="616" t="s">
        <v>759</v>
      </c>
      <c r="W5" s="616"/>
      <c r="X5" s="616" t="s">
        <v>760</v>
      </c>
      <c r="Y5" s="616"/>
      <c r="Z5" s="616" t="s">
        <v>761</v>
      </c>
      <c r="AA5" s="616"/>
      <c r="AB5" s="216"/>
      <c r="AC5" s="219"/>
      <c r="AD5" s="220" t="str">
        <f>+B5</f>
        <v>Enero</v>
      </c>
      <c r="AE5" s="221" t="str">
        <f>+D5</f>
        <v>Febrero</v>
      </c>
      <c r="AF5" s="222" t="s">
        <v>762</v>
      </c>
      <c r="AG5" s="214"/>
      <c r="AH5" s="223" t="str">
        <f>+B5</f>
        <v>Enero</v>
      </c>
      <c r="AI5" s="222" t="str">
        <f>+D5</f>
        <v>Febrero</v>
      </c>
      <c r="AJ5" s="222" t="s">
        <v>755</v>
      </c>
      <c r="AK5" s="222" t="s">
        <v>743</v>
      </c>
      <c r="AL5" s="222" t="s">
        <v>744</v>
      </c>
      <c r="AM5" s="222" t="s">
        <v>745</v>
      </c>
      <c r="AN5" s="222" t="s">
        <v>746</v>
      </c>
      <c r="AO5" s="222" t="s">
        <v>756</v>
      </c>
      <c r="AP5" s="222" t="s">
        <v>758</v>
      </c>
      <c r="AQ5" s="222" t="s">
        <v>759</v>
      </c>
      <c r="AR5" s="222" t="s">
        <v>760</v>
      </c>
      <c r="AS5" s="222" t="s">
        <v>761</v>
      </c>
      <c r="AT5" s="224"/>
      <c r="AU5" s="225"/>
      <c r="AV5" s="225"/>
      <c r="AW5" s="212"/>
      <c r="AX5" s="212"/>
      <c r="AY5" s="212"/>
      <c r="AZ5" s="212"/>
      <c r="BA5" s="212"/>
      <c r="BB5" s="212"/>
      <c r="BC5" s="212"/>
    </row>
    <row r="6" spans="1:55" x14ac:dyDescent="0.25">
      <c r="A6" s="226"/>
      <c r="B6" s="27" t="s">
        <v>763</v>
      </c>
      <c r="C6" s="27" t="s">
        <v>35</v>
      </c>
      <c r="D6" s="27" t="s">
        <v>763</v>
      </c>
      <c r="E6" s="27" t="s">
        <v>35</v>
      </c>
      <c r="F6" s="27" t="s">
        <v>763</v>
      </c>
      <c r="G6" s="27" t="s">
        <v>35</v>
      </c>
      <c r="H6" s="27" t="s">
        <v>763</v>
      </c>
      <c r="I6" s="27" t="s">
        <v>35</v>
      </c>
      <c r="J6" s="27" t="s">
        <v>763</v>
      </c>
      <c r="K6" s="27" t="s">
        <v>35</v>
      </c>
      <c r="L6" s="27" t="s">
        <v>763</v>
      </c>
      <c r="M6" s="27" t="s">
        <v>35</v>
      </c>
      <c r="N6" s="27" t="s">
        <v>763</v>
      </c>
      <c r="O6" s="27" t="s">
        <v>35</v>
      </c>
      <c r="P6" s="27" t="s">
        <v>763</v>
      </c>
      <c r="Q6" s="27" t="s">
        <v>35</v>
      </c>
      <c r="R6" s="27" t="s">
        <v>763</v>
      </c>
      <c r="S6" s="27" t="s">
        <v>35</v>
      </c>
      <c r="T6" s="27" t="s">
        <v>763</v>
      </c>
      <c r="U6" s="27" t="s">
        <v>35</v>
      </c>
      <c r="V6" s="27" t="s">
        <v>763</v>
      </c>
      <c r="W6" s="27" t="s">
        <v>35</v>
      </c>
      <c r="X6" s="27" t="s">
        <v>763</v>
      </c>
      <c r="Y6" s="27" t="s">
        <v>35</v>
      </c>
      <c r="Z6" s="27" t="s">
        <v>763</v>
      </c>
      <c r="AA6" s="27" t="s">
        <v>35</v>
      </c>
      <c r="AB6" s="216"/>
      <c r="AC6" s="219" t="s">
        <v>764</v>
      </c>
      <c r="AD6" s="227">
        <f>+C13</f>
        <v>0</v>
      </c>
      <c r="AE6" s="228">
        <f>+E13</f>
        <v>0</v>
      </c>
      <c r="AF6" s="229">
        <f>+G13</f>
        <v>0</v>
      </c>
      <c r="AG6" s="214" t="s">
        <v>38</v>
      </c>
      <c r="AH6" s="229" t="e">
        <f>NA()</f>
        <v>#N/A</v>
      </c>
      <c r="AI6" s="229" t="e">
        <f>NA()</f>
        <v>#N/A</v>
      </c>
      <c r="AJ6" s="229" t="e">
        <f>NA()</f>
        <v>#N/A</v>
      </c>
      <c r="AK6" s="229" t="e">
        <f>NA()</f>
        <v>#N/A</v>
      </c>
      <c r="AL6" s="229" t="e">
        <f>NA()</f>
        <v>#N/A</v>
      </c>
      <c r="AM6" s="229" t="e">
        <f>NA()</f>
        <v>#N/A</v>
      </c>
      <c r="AN6" s="229" t="e">
        <f>NA()</f>
        <v>#N/A</v>
      </c>
      <c r="AO6" s="229" t="e">
        <f>NA()</f>
        <v>#N/A</v>
      </c>
      <c r="AP6" s="229" t="e">
        <f>NA()</f>
        <v>#N/A</v>
      </c>
      <c r="AQ6" s="229" t="e">
        <f>NA()</f>
        <v>#N/A</v>
      </c>
      <c r="AR6" s="229" t="e">
        <f>NA()</f>
        <v>#N/A</v>
      </c>
      <c r="AS6" s="229" t="e">
        <f>NA()</f>
        <v>#N/A</v>
      </c>
      <c r="AT6" s="230"/>
      <c r="AU6" s="229"/>
      <c r="AV6" s="229"/>
      <c r="AW6" s="231"/>
      <c r="AX6" s="231"/>
      <c r="AY6" s="231"/>
      <c r="AZ6" s="231"/>
      <c r="BA6" s="231"/>
      <c r="BB6" s="231"/>
      <c r="BC6" s="231"/>
    </row>
    <row r="7" spans="1:55" x14ac:dyDescent="0.25">
      <c r="A7" s="28" t="s">
        <v>41</v>
      </c>
      <c r="B7" s="29" t="str">
        <f>+Hoja16!G9</f>
        <v>[35]sigaf!i244</v>
      </c>
      <c r="C7" s="30">
        <v>0.1</v>
      </c>
      <c r="D7" s="29" t="e">
        <f>+Hoja15!G9</f>
        <v>#N/A</v>
      </c>
      <c r="E7" s="232">
        <f>+Hoja15!M9</f>
        <v>0</v>
      </c>
      <c r="F7" s="29" t="e">
        <f>+Hoja14!G9</f>
        <v>#N/A</v>
      </c>
      <c r="G7" s="30">
        <f>+Hoja14!H9</f>
        <v>0</v>
      </c>
      <c r="H7" s="128" t="e">
        <f>+Hoja13!G9</f>
        <v>#N/A</v>
      </c>
      <c r="I7" s="30" t="e">
        <f>+Hoja13!I9</f>
        <v>#N/A</v>
      </c>
      <c r="J7" s="128" t="e">
        <f>+Hoja12!G9</f>
        <v>#N/A</v>
      </c>
      <c r="K7" s="30" t="e">
        <f>+Hoja12!I9</f>
        <v>#N/A</v>
      </c>
      <c r="L7" s="128" t="e">
        <f>+Hoja11!G9</f>
        <v>#N/A</v>
      </c>
      <c r="M7" s="30">
        <f>+Hoja11!H9</f>
        <v>0</v>
      </c>
      <c r="N7" s="29" t="e">
        <f>+Hoja8!G9</f>
        <v>#N/A</v>
      </c>
      <c r="O7" s="30">
        <f>+Hoja8!H9</f>
        <v>0</v>
      </c>
      <c r="P7" s="233" t="e">
        <f>+Hoja7!G9</f>
        <v>#N/A</v>
      </c>
      <c r="Q7" s="30">
        <f>+Hoja7!H9</f>
        <v>0</v>
      </c>
      <c r="R7" s="128" t="e">
        <f>+Hoja7!L9</f>
        <v>#N/A</v>
      </c>
      <c r="S7" s="232">
        <v>0.54138361692075709</v>
      </c>
      <c r="T7" s="128" t="e">
        <f>+Hoja6!G9</f>
        <v>#N/A</v>
      </c>
      <c r="U7" s="30">
        <f>+Hoja6!H9</f>
        <v>0</v>
      </c>
      <c r="V7" s="29" t="e">
        <f>+Hoja5!G9</f>
        <v>#N/A</v>
      </c>
      <c r="W7" s="30">
        <f>+Hoja5!H9</f>
        <v>0</v>
      </c>
      <c r="X7" s="29" t="e">
        <f>+Hoja2!G9</f>
        <v>#N/A</v>
      </c>
      <c r="Y7" s="30">
        <f>+Hoja2!H9</f>
        <v>0</v>
      </c>
      <c r="Z7" s="29">
        <f>+'ANALISIS POR PROG'!G9</f>
        <v>1104426827.1500001</v>
      </c>
      <c r="AA7" s="232">
        <f>+'ANALISIS POR PROG'!H9</f>
        <v>1.4578866766556745E-2</v>
      </c>
      <c r="AB7" s="216"/>
      <c r="AC7" s="219" t="s">
        <v>765</v>
      </c>
      <c r="AD7" s="227">
        <f t="shared" ref="AD7:AD12" si="0">+C8</f>
        <v>0.06</v>
      </c>
      <c r="AE7" s="228">
        <f t="shared" ref="AE7:AE12" si="1">+E8</f>
        <v>0</v>
      </c>
      <c r="AF7" s="229">
        <f t="shared" ref="AF7:AF12" si="2">+G8</f>
        <v>0</v>
      </c>
      <c r="AG7" s="214" t="s">
        <v>42</v>
      </c>
      <c r="AH7" s="229">
        <f t="shared" ref="AH7:AH12" si="3">+C8</f>
        <v>0.06</v>
      </c>
      <c r="AI7" s="229">
        <f t="shared" ref="AI7:AI12" si="4">+E8</f>
        <v>0</v>
      </c>
      <c r="AJ7" s="229">
        <f t="shared" ref="AJ7:AJ12" si="5">+G8</f>
        <v>0</v>
      </c>
      <c r="AK7" s="229" t="e">
        <f t="shared" ref="AK7:AK12" si="6">+I8</f>
        <v>#N/A</v>
      </c>
      <c r="AL7" s="229" t="e">
        <f t="shared" ref="AL7:AL12" si="7">+K8</f>
        <v>#N/A</v>
      </c>
      <c r="AM7" s="229">
        <f t="shared" ref="AM7:AM12" si="8">+M8</f>
        <v>0</v>
      </c>
      <c r="AN7" s="229">
        <f t="shared" ref="AN7:AN12" si="9">+O8</f>
        <v>0</v>
      </c>
      <c r="AO7" s="229">
        <f t="shared" ref="AO7:AO12" si="10">+Q8</f>
        <v>0</v>
      </c>
      <c r="AP7" s="229">
        <f t="shared" ref="AP7:AP12" si="11">+U8</f>
        <v>0</v>
      </c>
      <c r="AQ7" s="229">
        <f t="shared" ref="AQ7:AQ12" si="12">+W8</f>
        <v>0</v>
      </c>
      <c r="AR7" s="229">
        <f t="shared" ref="AR7:AR12" si="13">+Y8</f>
        <v>0</v>
      </c>
      <c r="AS7" s="229">
        <f t="shared" ref="AS7:AS12" si="14">+AA8</f>
        <v>2.755572092670901E-2</v>
      </c>
      <c r="AT7" s="230"/>
      <c r="AU7" s="229"/>
      <c r="AV7" s="229"/>
      <c r="AW7" s="231"/>
      <c r="AX7" s="231"/>
      <c r="AY7" s="231"/>
      <c r="AZ7" s="231"/>
      <c r="BA7" s="231"/>
      <c r="BB7" s="231"/>
      <c r="BC7" s="231"/>
    </row>
    <row r="8" spans="1:55" x14ac:dyDescent="0.25">
      <c r="A8" s="28" t="s">
        <v>42</v>
      </c>
      <c r="B8" s="29" t="str">
        <f>+Hoja16!G10</f>
        <v>[35]sigaf!i370</v>
      </c>
      <c r="C8" s="30">
        <v>0.06</v>
      </c>
      <c r="D8" s="29" t="e">
        <f>+Hoja15!G10</f>
        <v>#N/A</v>
      </c>
      <c r="E8" s="232">
        <f>+Hoja15!M10</f>
        <v>0</v>
      </c>
      <c r="F8" s="29" t="e">
        <f>+Hoja14!G10</f>
        <v>#N/A</v>
      </c>
      <c r="G8" s="30">
        <f>+Hoja14!H10</f>
        <v>0</v>
      </c>
      <c r="H8" s="128" t="e">
        <f>+Hoja13!G10</f>
        <v>#N/A</v>
      </c>
      <c r="I8" s="30" t="e">
        <f>+Hoja13!I10</f>
        <v>#N/A</v>
      </c>
      <c r="J8" s="128" t="e">
        <f>+Hoja12!G10</f>
        <v>#N/A</v>
      </c>
      <c r="K8" s="30" t="e">
        <f>+Hoja12!I10</f>
        <v>#N/A</v>
      </c>
      <c r="L8" s="128" t="e">
        <f>+Hoja11!G10</f>
        <v>#N/A</v>
      </c>
      <c r="M8" s="30">
        <f>+Hoja11!H10</f>
        <v>0</v>
      </c>
      <c r="N8" s="29" t="e">
        <f>+Hoja8!G10</f>
        <v>#N/A</v>
      </c>
      <c r="O8" s="30">
        <f>+Hoja8!H10</f>
        <v>0</v>
      </c>
      <c r="P8" s="233" t="e">
        <f>+Hoja7!G10</f>
        <v>#N/A</v>
      </c>
      <c r="Q8" s="30">
        <f>+Hoja7!H10</f>
        <v>0</v>
      </c>
      <c r="R8" s="128" t="e">
        <f>+Hoja7!L10</f>
        <v>#N/A</v>
      </c>
      <c r="S8" s="232">
        <v>0.54138361692075709</v>
      </c>
      <c r="T8" s="128" t="e">
        <f>+Hoja6!G10</f>
        <v>#N/A</v>
      </c>
      <c r="U8" s="30">
        <f>+Hoja6!H10</f>
        <v>0</v>
      </c>
      <c r="V8" s="29" t="e">
        <f>+Hoja5!G10</f>
        <v>#N/A</v>
      </c>
      <c r="W8" s="30">
        <f>+Hoja5!H10</f>
        <v>0</v>
      </c>
      <c r="X8" s="29" t="e">
        <f>+Hoja2!G10</f>
        <v>#N/A</v>
      </c>
      <c r="Y8" s="30">
        <f>+Hoja2!H10</f>
        <v>0</v>
      </c>
      <c r="Z8" s="29">
        <f>+'ANALISIS POR PROG'!G10</f>
        <v>764570619.33000004</v>
      </c>
      <c r="AA8" s="232">
        <f>+'ANALISIS POR PROG'!H10</f>
        <v>2.755572092670901E-2</v>
      </c>
      <c r="AB8" s="216"/>
      <c r="AC8" s="219" t="s">
        <v>765</v>
      </c>
      <c r="AD8" s="227">
        <f t="shared" si="0"/>
        <v>0.06</v>
      </c>
      <c r="AE8" s="228">
        <f t="shared" si="1"/>
        <v>0</v>
      </c>
      <c r="AF8" s="229">
        <f t="shared" si="2"/>
        <v>0</v>
      </c>
      <c r="AG8" s="214" t="s">
        <v>43</v>
      </c>
      <c r="AH8" s="229">
        <f t="shared" si="3"/>
        <v>0.06</v>
      </c>
      <c r="AI8" s="229">
        <f t="shared" si="4"/>
        <v>0</v>
      </c>
      <c r="AJ8" s="229">
        <f t="shared" si="5"/>
        <v>0</v>
      </c>
      <c r="AK8" s="229" t="e">
        <f t="shared" si="6"/>
        <v>#N/A</v>
      </c>
      <c r="AL8" s="229" t="e">
        <f t="shared" si="7"/>
        <v>#N/A</v>
      </c>
      <c r="AM8" s="229">
        <f t="shared" si="8"/>
        <v>0</v>
      </c>
      <c r="AN8" s="229">
        <f t="shared" si="9"/>
        <v>0</v>
      </c>
      <c r="AO8" s="229">
        <f t="shared" si="10"/>
        <v>0</v>
      </c>
      <c r="AP8" s="229">
        <f t="shared" si="11"/>
        <v>0</v>
      </c>
      <c r="AQ8" s="229">
        <f t="shared" si="12"/>
        <v>0</v>
      </c>
      <c r="AR8" s="229">
        <f t="shared" si="13"/>
        <v>0</v>
      </c>
      <c r="AS8" s="229">
        <f t="shared" si="14"/>
        <v>2.9333290758319992E-2</v>
      </c>
      <c r="AT8" s="215"/>
      <c r="AU8" s="212"/>
      <c r="AV8" s="212"/>
      <c r="AW8" s="212"/>
      <c r="AX8" s="212"/>
      <c r="AY8" s="212"/>
      <c r="AZ8" s="212"/>
      <c r="BA8" s="212"/>
      <c r="BB8" s="212"/>
      <c r="BC8" s="212"/>
    </row>
    <row r="9" spans="1:55" x14ac:dyDescent="0.25">
      <c r="A9" s="28" t="s">
        <v>43</v>
      </c>
      <c r="B9" s="29" t="str">
        <f>+Hoja16!G11</f>
        <v>[35]sigaf!i443</v>
      </c>
      <c r="C9" s="30">
        <v>0.06</v>
      </c>
      <c r="D9" s="29" t="e">
        <f>+Hoja15!G11</f>
        <v>#N/A</v>
      </c>
      <c r="E9" s="232">
        <f>+Hoja15!M11</f>
        <v>0</v>
      </c>
      <c r="F9" s="29" t="e">
        <f>+Hoja14!G11</f>
        <v>#N/A</v>
      </c>
      <c r="G9" s="30">
        <f>+Hoja14!H11</f>
        <v>0</v>
      </c>
      <c r="H9" s="128" t="e">
        <f>+Hoja13!G11</f>
        <v>#N/A</v>
      </c>
      <c r="I9" s="30" t="e">
        <f>+Hoja13!I11</f>
        <v>#N/A</v>
      </c>
      <c r="J9" s="128" t="e">
        <f>+Hoja12!G11</f>
        <v>#N/A</v>
      </c>
      <c r="K9" s="30" t="e">
        <f>+Hoja12!I11</f>
        <v>#N/A</v>
      </c>
      <c r="L9" s="128" t="e">
        <f>+Hoja11!G11</f>
        <v>#N/A</v>
      </c>
      <c r="M9" s="30">
        <f>+Hoja11!H11</f>
        <v>0</v>
      </c>
      <c r="N9" s="29" t="e">
        <f>+Hoja8!G11</f>
        <v>#N/A</v>
      </c>
      <c r="O9" s="30">
        <f>+Hoja8!H11</f>
        <v>0</v>
      </c>
      <c r="P9" s="233" t="e">
        <f>+Hoja7!G11</f>
        <v>#N/A</v>
      </c>
      <c r="Q9" s="30">
        <f>+Hoja7!H11</f>
        <v>0</v>
      </c>
      <c r="R9" s="128" t="e">
        <f>+Hoja7!L11</f>
        <v>#N/A</v>
      </c>
      <c r="S9" s="232">
        <v>0.54138361692075709</v>
      </c>
      <c r="T9" s="128" t="e">
        <f>+Hoja6!G11</f>
        <v>#N/A</v>
      </c>
      <c r="U9" s="30">
        <f>+Hoja6!H11</f>
        <v>0</v>
      </c>
      <c r="V9" s="29" t="e">
        <f>+Hoja5!G11</f>
        <v>#N/A</v>
      </c>
      <c r="W9" s="30">
        <f>+Hoja5!H11</f>
        <v>0</v>
      </c>
      <c r="X9" s="29" t="e">
        <f>+Hoja2!G11</f>
        <v>#N/A</v>
      </c>
      <c r="Y9" s="30">
        <f>+Hoja2!H11</f>
        <v>0</v>
      </c>
      <c r="Z9" s="29">
        <f>+'ANALISIS POR PROG'!G11</f>
        <v>61768346.659999996</v>
      </c>
      <c r="AA9" s="232">
        <f>+'ANALISIS POR PROG'!H11</f>
        <v>2.9333290758319992E-2</v>
      </c>
      <c r="AB9" s="216"/>
      <c r="AC9" s="219" t="s">
        <v>765</v>
      </c>
      <c r="AD9" s="227">
        <f t="shared" si="0"/>
        <v>0.09</v>
      </c>
      <c r="AE9" s="228">
        <f t="shared" si="1"/>
        <v>0</v>
      </c>
      <c r="AF9" s="229">
        <f t="shared" si="2"/>
        <v>0</v>
      </c>
      <c r="AG9" s="214" t="s">
        <v>44</v>
      </c>
      <c r="AH9" s="229">
        <f t="shared" si="3"/>
        <v>0.09</v>
      </c>
      <c r="AI9" s="229">
        <f t="shared" si="4"/>
        <v>0</v>
      </c>
      <c r="AJ9" s="229">
        <f t="shared" si="5"/>
        <v>0</v>
      </c>
      <c r="AK9" s="229" t="e">
        <f t="shared" si="6"/>
        <v>#N/A</v>
      </c>
      <c r="AL9" s="229" t="e">
        <f t="shared" si="7"/>
        <v>#N/A</v>
      </c>
      <c r="AM9" s="229">
        <f t="shared" si="8"/>
        <v>0</v>
      </c>
      <c r="AN9" s="229">
        <f t="shared" si="9"/>
        <v>0</v>
      </c>
      <c r="AO9" s="229">
        <f t="shared" si="10"/>
        <v>0</v>
      </c>
      <c r="AP9" s="229">
        <f t="shared" si="11"/>
        <v>0</v>
      </c>
      <c r="AQ9" s="229">
        <f t="shared" si="12"/>
        <v>0</v>
      </c>
      <c r="AR9" s="229">
        <f t="shared" si="13"/>
        <v>0</v>
      </c>
      <c r="AS9" s="229">
        <f t="shared" si="14"/>
        <v>1.3131706183765503E-2</v>
      </c>
      <c r="AT9" s="215"/>
      <c r="AU9" s="212"/>
      <c r="AV9" s="212"/>
      <c r="AW9" s="212"/>
      <c r="AX9" s="212"/>
      <c r="AY9" s="212"/>
      <c r="AZ9" s="212"/>
      <c r="BA9" s="212"/>
      <c r="BB9" s="212"/>
      <c r="BC9" s="212"/>
    </row>
    <row r="10" spans="1:55" x14ac:dyDescent="0.25">
      <c r="A10" s="28" t="s">
        <v>44</v>
      </c>
      <c r="B10" s="29" t="str">
        <f>+Hoja16!G12</f>
        <v>[35]sigaf!i497</v>
      </c>
      <c r="C10" s="30">
        <v>0.09</v>
      </c>
      <c r="D10" s="29" t="e">
        <f>+Hoja15!G12</f>
        <v>#N/A</v>
      </c>
      <c r="E10" s="232">
        <f>+Hoja15!M12</f>
        <v>0</v>
      </c>
      <c r="F10" s="29" t="e">
        <f>+Hoja14!G12</f>
        <v>#N/A</v>
      </c>
      <c r="G10" s="30">
        <f>+Hoja14!H12</f>
        <v>0</v>
      </c>
      <c r="H10" s="128" t="e">
        <f>+Hoja13!G12</f>
        <v>#N/A</v>
      </c>
      <c r="I10" s="30" t="e">
        <f>+Hoja13!I12</f>
        <v>#N/A</v>
      </c>
      <c r="J10" s="128" t="e">
        <f>+Hoja12!G12</f>
        <v>#N/A</v>
      </c>
      <c r="K10" s="30" t="e">
        <f>+Hoja12!I12</f>
        <v>#N/A</v>
      </c>
      <c r="L10" s="128" t="e">
        <f>+Hoja11!G12</f>
        <v>#N/A</v>
      </c>
      <c r="M10" s="30">
        <f>+Hoja11!H12</f>
        <v>0</v>
      </c>
      <c r="N10" s="29" t="e">
        <f>+Hoja8!G12</f>
        <v>#N/A</v>
      </c>
      <c r="O10" s="30">
        <f>+Hoja8!H12</f>
        <v>0</v>
      </c>
      <c r="P10" s="233" t="e">
        <f>+Hoja7!G12</f>
        <v>#N/A</v>
      </c>
      <c r="Q10" s="30">
        <f>+Hoja7!H12</f>
        <v>0</v>
      </c>
      <c r="R10" s="128" t="e">
        <f>+Hoja7!L12</f>
        <v>#N/A</v>
      </c>
      <c r="S10" s="232">
        <v>0.54138361692075709</v>
      </c>
      <c r="T10" s="128" t="e">
        <f>+Hoja6!G12</f>
        <v>#N/A</v>
      </c>
      <c r="U10" s="30">
        <f>+Hoja6!H12</f>
        <v>0</v>
      </c>
      <c r="V10" s="29" t="e">
        <f>+Hoja5!G12</f>
        <v>#N/A</v>
      </c>
      <c r="W10" s="30">
        <f>+Hoja5!H12</f>
        <v>0</v>
      </c>
      <c r="X10" s="29" t="e">
        <f>+Hoja2!G12</f>
        <v>#N/A</v>
      </c>
      <c r="Y10" s="30">
        <f>+Hoja2!H12</f>
        <v>0</v>
      </c>
      <c r="Z10" s="29">
        <f>+'ANALISIS POR PROG'!G12</f>
        <v>19036695</v>
      </c>
      <c r="AA10" s="232">
        <f>+'ANALISIS POR PROG'!H12</f>
        <v>1.3131706183765503E-2</v>
      </c>
      <c r="AB10" s="216"/>
      <c r="AC10" s="219" t="s">
        <v>765</v>
      </c>
      <c r="AD10" s="227">
        <f t="shared" si="0"/>
        <v>0.09</v>
      </c>
      <c r="AE10" s="228">
        <f t="shared" si="1"/>
        <v>0</v>
      </c>
      <c r="AF10" s="229">
        <f t="shared" si="2"/>
        <v>0</v>
      </c>
      <c r="AG10" s="214" t="s">
        <v>45</v>
      </c>
      <c r="AH10" s="229">
        <f t="shared" si="3"/>
        <v>0.09</v>
      </c>
      <c r="AI10" s="229">
        <f t="shared" si="4"/>
        <v>0</v>
      </c>
      <c r="AJ10" s="229">
        <f t="shared" si="5"/>
        <v>0</v>
      </c>
      <c r="AK10" s="229" t="e">
        <f t="shared" si="6"/>
        <v>#N/A</v>
      </c>
      <c r="AL10" s="229" t="e">
        <f t="shared" si="7"/>
        <v>#N/A</v>
      </c>
      <c r="AM10" s="229">
        <f t="shared" si="8"/>
        <v>0</v>
      </c>
      <c r="AN10" s="229">
        <f t="shared" si="9"/>
        <v>0</v>
      </c>
      <c r="AO10" s="229">
        <f t="shared" si="10"/>
        <v>0</v>
      </c>
      <c r="AP10" s="229">
        <f t="shared" si="11"/>
        <v>0</v>
      </c>
      <c r="AQ10" s="229">
        <f t="shared" si="12"/>
        <v>0</v>
      </c>
      <c r="AR10" s="229">
        <f t="shared" si="13"/>
        <v>0</v>
      </c>
      <c r="AS10" s="229">
        <f t="shared" si="14"/>
        <v>3.4445624735243596E-2</v>
      </c>
      <c r="AT10" s="215"/>
      <c r="AU10" s="212"/>
      <c r="AV10" s="212"/>
      <c r="AW10" s="212"/>
      <c r="AX10" s="212"/>
      <c r="AY10" s="212"/>
      <c r="AZ10" s="212"/>
      <c r="BA10" s="212"/>
      <c r="BB10" s="212"/>
      <c r="BC10" s="212"/>
    </row>
    <row r="11" spans="1:55" x14ac:dyDescent="0.25">
      <c r="A11" s="28" t="s">
        <v>45</v>
      </c>
      <c r="B11" s="29" t="str">
        <f>+Hoja16!G13</f>
        <v>[35]sigaf!i542</v>
      </c>
      <c r="C11" s="30">
        <v>0.09</v>
      </c>
      <c r="D11" s="29" t="e">
        <f>+Hoja15!G13</f>
        <v>#N/A</v>
      </c>
      <c r="E11" s="232">
        <f>+Hoja15!M13</f>
        <v>0</v>
      </c>
      <c r="F11" s="29" t="e">
        <f>+Hoja14!G13</f>
        <v>#N/A</v>
      </c>
      <c r="G11" s="30">
        <f>+Hoja14!H13</f>
        <v>0</v>
      </c>
      <c r="H11" s="128" t="e">
        <f>+Hoja13!G13</f>
        <v>#N/A</v>
      </c>
      <c r="I11" s="30" t="e">
        <f>+Hoja13!I13</f>
        <v>#N/A</v>
      </c>
      <c r="J11" s="128" t="e">
        <f>+Hoja12!G13</f>
        <v>#N/A</v>
      </c>
      <c r="K11" s="30" t="e">
        <f>+Hoja12!I13</f>
        <v>#N/A</v>
      </c>
      <c r="L11" s="128" t="e">
        <f>+Hoja11!G13</f>
        <v>#N/A</v>
      </c>
      <c r="M11" s="30">
        <f>+Hoja11!H13</f>
        <v>0</v>
      </c>
      <c r="N11" s="29" t="e">
        <f>+Hoja8!G13</f>
        <v>#N/A</v>
      </c>
      <c r="O11" s="30">
        <f>+Hoja8!H13</f>
        <v>0</v>
      </c>
      <c r="P11" s="233" t="e">
        <f>+Hoja7!G13</f>
        <v>#N/A</v>
      </c>
      <c r="Q11" s="30">
        <f>+Hoja7!H13</f>
        <v>0</v>
      </c>
      <c r="R11" s="128" t="e">
        <f>+Hoja7!L13</f>
        <v>#N/A</v>
      </c>
      <c r="S11" s="232">
        <v>0.54138361692075709</v>
      </c>
      <c r="T11" s="128" t="e">
        <f>+Hoja6!G13</f>
        <v>#N/A</v>
      </c>
      <c r="U11" s="30">
        <f>+Hoja6!H13</f>
        <v>0</v>
      </c>
      <c r="V11" s="29" t="e">
        <f>+Hoja5!G13</f>
        <v>#N/A</v>
      </c>
      <c r="W11" s="30">
        <f>+Hoja5!H13</f>
        <v>0</v>
      </c>
      <c r="X11" s="29" t="e">
        <f>+Hoja2!G13</f>
        <v>#N/A</v>
      </c>
      <c r="Y11" s="30">
        <f>+Hoja2!H13</f>
        <v>0</v>
      </c>
      <c r="Z11" s="29">
        <f>+'ANALISIS POR PROG'!G13</f>
        <v>77931178.549999997</v>
      </c>
      <c r="AA11" s="232">
        <f>+'ANALISIS POR PROG'!H13</f>
        <v>3.4445624735243596E-2</v>
      </c>
      <c r="AB11" s="216"/>
      <c r="AC11" s="219" t="s">
        <v>765</v>
      </c>
      <c r="AD11" s="227">
        <f t="shared" si="0"/>
        <v>0.1</v>
      </c>
      <c r="AE11" s="228">
        <f t="shared" si="1"/>
        <v>0</v>
      </c>
      <c r="AF11" s="229">
        <f t="shared" si="2"/>
        <v>0</v>
      </c>
      <c r="AG11" s="214" t="s">
        <v>46</v>
      </c>
      <c r="AH11" s="229">
        <f t="shared" si="3"/>
        <v>0.1</v>
      </c>
      <c r="AI11" s="229">
        <f t="shared" si="4"/>
        <v>0</v>
      </c>
      <c r="AJ11" s="229">
        <f t="shared" si="5"/>
        <v>0</v>
      </c>
      <c r="AK11" s="229" t="e">
        <f t="shared" si="6"/>
        <v>#N/A</v>
      </c>
      <c r="AL11" s="229" t="e">
        <f t="shared" si="7"/>
        <v>#N/A</v>
      </c>
      <c r="AM11" s="229">
        <f t="shared" si="8"/>
        <v>0</v>
      </c>
      <c r="AN11" s="229">
        <f t="shared" si="9"/>
        <v>0</v>
      </c>
      <c r="AO11" s="229">
        <f t="shared" si="10"/>
        <v>0</v>
      </c>
      <c r="AP11" s="229">
        <f t="shared" si="11"/>
        <v>0</v>
      </c>
      <c r="AQ11" s="229">
        <f t="shared" si="12"/>
        <v>0</v>
      </c>
      <c r="AR11" s="229">
        <f t="shared" si="13"/>
        <v>0</v>
      </c>
      <c r="AS11" s="229">
        <f t="shared" si="14"/>
        <v>9.9910576444056827E-3</v>
      </c>
      <c r="AT11" s="215"/>
      <c r="AU11" s="212"/>
      <c r="AV11" s="212"/>
      <c r="AW11" s="212"/>
      <c r="AX11" s="212"/>
      <c r="AY11" s="212"/>
      <c r="AZ11" s="212"/>
      <c r="BA11" s="212"/>
      <c r="BB11" s="212"/>
      <c r="BC11" s="212"/>
    </row>
    <row r="12" spans="1:55" x14ac:dyDescent="0.25">
      <c r="A12" s="28" t="s">
        <v>46</v>
      </c>
      <c r="B12" s="29" t="str">
        <f>+Hoja16!G14</f>
        <v>[35]sigaf!i611</v>
      </c>
      <c r="C12" s="30">
        <v>0.1</v>
      </c>
      <c r="D12" s="29" t="e">
        <f>+Hoja15!G14</f>
        <v>#N/A</v>
      </c>
      <c r="E12" s="232">
        <f>+Hoja15!M14</f>
        <v>0</v>
      </c>
      <c r="F12" s="29" t="e">
        <f>+Hoja14!G14</f>
        <v>#N/A</v>
      </c>
      <c r="G12" s="30">
        <f>+Hoja14!H14</f>
        <v>0</v>
      </c>
      <c r="H12" s="128" t="e">
        <f>+Hoja13!G14</f>
        <v>#N/A</v>
      </c>
      <c r="I12" s="30" t="e">
        <f>+Hoja13!I14</f>
        <v>#N/A</v>
      </c>
      <c r="J12" s="128" t="e">
        <f>+Hoja12!G14</f>
        <v>#N/A</v>
      </c>
      <c r="K12" s="30" t="e">
        <f>+Hoja12!I14</f>
        <v>#N/A</v>
      </c>
      <c r="L12" s="128" t="e">
        <f>+Hoja11!G14</f>
        <v>#N/A</v>
      </c>
      <c r="M12" s="30">
        <f>+Hoja11!H14</f>
        <v>0</v>
      </c>
      <c r="N12" s="29" t="e">
        <f>+Hoja8!G14</f>
        <v>#N/A</v>
      </c>
      <c r="O12" s="30">
        <f>+Hoja8!H14</f>
        <v>0</v>
      </c>
      <c r="P12" s="233" t="e">
        <f>+Hoja7!G14</f>
        <v>#N/A</v>
      </c>
      <c r="Q12" s="30">
        <f>+Hoja7!H14</f>
        <v>0</v>
      </c>
      <c r="R12" s="128" t="e">
        <f>+Hoja7!L14</f>
        <v>#N/A</v>
      </c>
      <c r="S12" s="232">
        <v>0.54138361692075709</v>
      </c>
      <c r="T12" s="128" t="e">
        <f>+Hoja6!G14</f>
        <v>#N/A</v>
      </c>
      <c r="U12" s="30">
        <f>+Hoja6!H14</f>
        <v>0</v>
      </c>
      <c r="V12" s="29" t="e">
        <f>+Hoja5!G14</f>
        <v>#N/A</v>
      </c>
      <c r="W12" s="30">
        <f>+Hoja5!H14</f>
        <v>0</v>
      </c>
      <c r="X12" s="29" t="e">
        <f>+Hoja2!G14</f>
        <v>#N/A</v>
      </c>
      <c r="Y12" s="30">
        <f>+Hoja2!H14</f>
        <v>0</v>
      </c>
      <c r="Z12" s="29">
        <f>+'ANALISIS POR PROG'!G14</f>
        <v>11556519.27</v>
      </c>
      <c r="AA12" s="232">
        <f>+'ANALISIS POR PROG'!H14</f>
        <v>9.9910576444056827E-3</v>
      </c>
      <c r="AB12" s="216"/>
      <c r="AC12" s="219" t="s">
        <v>765</v>
      </c>
      <c r="AD12" s="227">
        <f t="shared" si="0"/>
        <v>0</v>
      </c>
      <c r="AE12" s="228">
        <f t="shared" si="1"/>
        <v>0</v>
      </c>
      <c r="AF12" s="229">
        <f t="shared" si="2"/>
        <v>0</v>
      </c>
      <c r="AG12" s="214" t="s">
        <v>47</v>
      </c>
      <c r="AH12" s="229">
        <f t="shared" si="3"/>
        <v>0</v>
      </c>
      <c r="AI12" s="229">
        <f t="shared" si="4"/>
        <v>0</v>
      </c>
      <c r="AJ12" s="229">
        <f t="shared" si="5"/>
        <v>0</v>
      </c>
      <c r="AK12" s="229" t="e">
        <f t="shared" si="6"/>
        <v>#N/A</v>
      </c>
      <c r="AL12" s="229" t="e">
        <f t="shared" si="7"/>
        <v>#N/A</v>
      </c>
      <c r="AM12" s="229">
        <f t="shared" si="8"/>
        <v>0</v>
      </c>
      <c r="AN12" s="229">
        <f t="shared" si="9"/>
        <v>0</v>
      </c>
      <c r="AO12" s="229">
        <f t="shared" si="10"/>
        <v>0</v>
      </c>
      <c r="AP12" s="229">
        <f t="shared" si="11"/>
        <v>0</v>
      </c>
      <c r="AQ12" s="229">
        <f t="shared" si="12"/>
        <v>0</v>
      </c>
      <c r="AR12" s="229">
        <f t="shared" si="13"/>
        <v>0</v>
      </c>
      <c r="AS12" s="229">
        <f t="shared" si="14"/>
        <v>1.7302244020746118E-2</v>
      </c>
      <c r="AT12" s="215"/>
      <c r="AU12" s="212"/>
      <c r="AV12" s="212"/>
      <c r="AW12" s="212"/>
      <c r="AX12" s="212"/>
      <c r="AY12" s="212"/>
      <c r="AZ12" s="212"/>
      <c r="BA12" s="212"/>
      <c r="BB12" s="212"/>
      <c r="BC12" s="212"/>
    </row>
    <row r="13" spans="1:55" x14ac:dyDescent="0.25">
      <c r="A13" s="28" t="s">
        <v>47</v>
      </c>
      <c r="B13" s="29" t="str">
        <f>+Hoja16!G15</f>
        <v>[35]sigaf!i640</v>
      </c>
      <c r="C13" s="30">
        <v>0</v>
      </c>
      <c r="D13" s="29" t="e">
        <f>+Hoja15!G15</f>
        <v>#N/A</v>
      </c>
      <c r="E13" s="232">
        <f>+Hoja15!M15</f>
        <v>0</v>
      </c>
      <c r="F13" s="29" t="e">
        <f>+Hoja14!G15</f>
        <v>#N/A</v>
      </c>
      <c r="G13" s="30">
        <f>+Hoja14!H15</f>
        <v>0</v>
      </c>
      <c r="H13" s="128" t="e">
        <f>+Hoja13!G15</f>
        <v>#N/A</v>
      </c>
      <c r="I13" s="30" t="e">
        <f>+Hoja13!I15</f>
        <v>#N/A</v>
      </c>
      <c r="J13" s="128" t="e">
        <f>+Hoja12!G15</f>
        <v>#N/A</v>
      </c>
      <c r="K13" s="30" t="e">
        <f>+Hoja12!I15</f>
        <v>#N/A</v>
      </c>
      <c r="L13" s="128" t="e">
        <f>+Hoja11!G15</f>
        <v>#N/A</v>
      </c>
      <c r="M13" s="30">
        <f>+Hoja11!H15</f>
        <v>0</v>
      </c>
      <c r="N13" s="29" t="e">
        <f>+Hoja8!G15</f>
        <v>#N/A</v>
      </c>
      <c r="O13" s="30">
        <f>+Hoja8!H15</f>
        <v>0</v>
      </c>
      <c r="P13" s="233" t="e">
        <f>+Hoja7!G15</f>
        <v>#N/A</v>
      </c>
      <c r="Q13" s="30">
        <f>+Hoja7!H15</f>
        <v>0</v>
      </c>
      <c r="R13" s="128" t="e">
        <f>+Hoja7!L15</f>
        <v>#N/A</v>
      </c>
      <c r="S13" s="232">
        <v>0.54138361692075709</v>
      </c>
      <c r="T13" s="128" t="e">
        <f>+Hoja6!G15</f>
        <v>#N/A</v>
      </c>
      <c r="U13" s="30">
        <f>+Hoja6!H15</f>
        <v>0</v>
      </c>
      <c r="V13" s="29" t="e">
        <f>+Hoja5!G15</f>
        <v>#N/A</v>
      </c>
      <c r="W13" s="30">
        <f>+Hoja5!H15</f>
        <v>0</v>
      </c>
      <c r="X13" s="29" t="e">
        <f>+Hoja2!G15</f>
        <v>#N/A</v>
      </c>
      <c r="Y13" s="30">
        <f>+Hoja2!H15</f>
        <v>0</v>
      </c>
      <c r="Z13" s="29">
        <f>+'ANALISIS POR PROG'!G15</f>
        <v>120450727.34999999</v>
      </c>
      <c r="AA13" s="232">
        <f>+'ANALISIS POR PROG'!H15</f>
        <v>1.7302244020746118E-2</v>
      </c>
      <c r="AB13" s="216"/>
      <c r="AC13" s="219" t="s">
        <v>765</v>
      </c>
      <c r="AD13" s="227" t="e">
        <f>NA()</f>
        <v>#N/A</v>
      </c>
      <c r="AE13" s="228" t="e">
        <f>NA()</f>
        <v>#N/A</v>
      </c>
      <c r="AF13" s="229" t="e">
        <f>NA()</f>
        <v>#N/A</v>
      </c>
      <c r="AG13" s="214" t="s">
        <v>48</v>
      </c>
      <c r="AH13" s="229" t="e">
        <f>NA()</f>
        <v>#N/A</v>
      </c>
      <c r="AI13" s="229" t="e">
        <f>NA()</f>
        <v>#N/A</v>
      </c>
      <c r="AJ13" s="229" t="e">
        <f>NA()</f>
        <v>#N/A</v>
      </c>
      <c r="AK13" s="229" t="e">
        <f>NA()</f>
        <v>#N/A</v>
      </c>
      <c r="AL13" s="229" t="e">
        <f>NA()</f>
        <v>#N/A</v>
      </c>
      <c r="AM13" s="229" t="e">
        <f>NA()</f>
        <v>#N/A</v>
      </c>
      <c r="AN13" s="229" t="e">
        <f>NA()</f>
        <v>#N/A</v>
      </c>
      <c r="AO13" s="229" t="e">
        <f>NA()</f>
        <v>#N/A</v>
      </c>
      <c r="AP13" s="229" t="e">
        <f>NA()</f>
        <v>#N/A</v>
      </c>
      <c r="AQ13" s="229" t="e">
        <f>NA()</f>
        <v>#N/A</v>
      </c>
      <c r="AR13" s="229" t="e">
        <f>NA()</f>
        <v>#N/A</v>
      </c>
      <c r="AS13" s="229" t="e">
        <f>NA()</f>
        <v>#N/A</v>
      </c>
      <c r="AT13" s="215"/>
      <c r="AU13" s="212"/>
      <c r="AV13" s="212"/>
      <c r="AW13" s="212"/>
      <c r="AX13" s="212"/>
      <c r="AY13" s="212"/>
      <c r="AZ13" s="212"/>
      <c r="BA13" s="212"/>
      <c r="BB13" s="212"/>
      <c r="BC13" s="212"/>
    </row>
    <row r="14" spans="1:55" x14ac:dyDescent="0.25">
      <c r="A14" s="35" t="s">
        <v>23</v>
      </c>
      <c r="B14" s="36">
        <f>SUM(B7:B13)</f>
        <v>0</v>
      </c>
      <c r="C14" s="38">
        <v>7.0000000000000007E-2</v>
      </c>
      <c r="D14" s="36" t="e">
        <f>SUM(D7:D13)</f>
        <v>#N/A</v>
      </c>
      <c r="E14" s="38">
        <v>0.123</v>
      </c>
      <c r="F14" s="36" t="e">
        <f>SUM(F7:F13)</f>
        <v>#N/A</v>
      </c>
      <c r="G14" s="237">
        <v>0.13</v>
      </c>
      <c r="H14" s="238" t="e">
        <f>SUM(H7:H13)</f>
        <v>#N/A</v>
      </c>
      <c r="I14" s="237">
        <v>0.11</v>
      </c>
      <c r="J14" s="36" t="e">
        <f>SUM(J7:J13)</f>
        <v>#N/A</v>
      </c>
      <c r="K14" s="38">
        <v>0.1</v>
      </c>
      <c r="L14" s="238" t="e">
        <f>SUM(L7:L13)</f>
        <v>#N/A</v>
      </c>
      <c r="M14" s="38">
        <v>0.09</v>
      </c>
      <c r="N14" s="238" t="e">
        <f>SUM(N7:N13)</f>
        <v>#N/A</v>
      </c>
      <c r="O14" s="38">
        <v>0.1</v>
      </c>
      <c r="P14" s="238" t="e">
        <f>SUM(P13:P13)</f>
        <v>#N/A</v>
      </c>
      <c r="Q14" s="38">
        <v>0.09</v>
      </c>
      <c r="R14" s="238" t="e">
        <f>SUM(R7:R13)</f>
        <v>#N/A</v>
      </c>
      <c r="S14" s="239"/>
      <c r="T14" s="238" t="e">
        <f>SUM(T7:T13)</f>
        <v>#N/A</v>
      </c>
      <c r="U14" s="38">
        <v>7.0000000000000007E-2</v>
      </c>
      <c r="V14" s="238" t="e">
        <f>SUM(V7:V13)</f>
        <v>#N/A</v>
      </c>
      <c r="W14" s="38">
        <v>0.05</v>
      </c>
      <c r="X14" s="238" t="e">
        <f>SUM(X7:X13)</f>
        <v>#N/A</v>
      </c>
      <c r="Y14" s="38">
        <v>0.09</v>
      </c>
      <c r="Z14" s="238">
        <f>SUM(Z7:Z13)</f>
        <v>2159740913.3099999</v>
      </c>
      <c r="AA14" s="38">
        <v>2.1000000000000001E-2</v>
      </c>
      <c r="AB14" s="216"/>
      <c r="AC14" s="219"/>
      <c r="AD14" s="219"/>
      <c r="AE14" s="219"/>
      <c r="AF14" s="219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</row>
    <row r="15" spans="1:55" x14ac:dyDescent="0.25">
      <c r="A15" s="39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216"/>
      <c r="AE15" s="219"/>
      <c r="AF15" s="219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</row>
    <row r="16" spans="1:55" x14ac:dyDescent="0.25">
      <c r="AD16" s="216"/>
      <c r="AE16" s="219"/>
      <c r="AF16" s="219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</row>
    <row r="17" spans="31:55" x14ac:dyDescent="0.25">
      <c r="AE17" s="219"/>
      <c r="AF17" s="219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</row>
    <row r="18" spans="31:55" x14ac:dyDescent="0.25">
      <c r="AE18" s="219"/>
      <c r="AF18" s="219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</row>
    <row r="19" spans="31:55" x14ac:dyDescent="0.25">
      <c r="AE19" s="219"/>
      <c r="AF19" s="219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</row>
    <row r="20" spans="31:55" x14ac:dyDescent="0.25"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2"/>
      <c r="AW20" s="212"/>
      <c r="AX20" s="212"/>
      <c r="AY20" s="212"/>
      <c r="AZ20" s="212"/>
      <c r="BA20" s="212"/>
    </row>
    <row r="21" spans="31:55" x14ac:dyDescent="0.25"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2"/>
      <c r="AW21" s="212"/>
      <c r="AX21" s="212"/>
      <c r="AY21" s="212"/>
      <c r="AZ21" s="212"/>
      <c r="BA21" s="212"/>
    </row>
    <row r="22" spans="31:55" x14ac:dyDescent="0.25"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2"/>
      <c r="AW22" s="212"/>
      <c r="AX22" s="212"/>
      <c r="AY22" s="212"/>
      <c r="AZ22" s="212"/>
      <c r="BA22" s="212"/>
    </row>
    <row r="23" spans="31:55" x14ac:dyDescent="0.25"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2"/>
      <c r="AW23" s="212"/>
      <c r="AX23" s="212"/>
      <c r="AY23" s="212"/>
      <c r="AZ23" s="212"/>
      <c r="BA23" s="212"/>
    </row>
    <row r="24" spans="31:55" x14ac:dyDescent="0.25"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2"/>
      <c r="AW24" s="212"/>
      <c r="AX24" s="212"/>
      <c r="AY24" s="212"/>
      <c r="AZ24" s="212"/>
      <c r="BA24" s="212"/>
    </row>
    <row r="25" spans="31:55" x14ac:dyDescent="0.25"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2"/>
      <c r="AW25" s="212"/>
      <c r="AX25" s="212"/>
      <c r="AY25" s="212"/>
      <c r="AZ25" s="212"/>
      <c r="BA25" s="212"/>
    </row>
    <row r="26" spans="31:55" x14ac:dyDescent="0.25"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2"/>
      <c r="AW26" s="212"/>
      <c r="AX26" s="212"/>
      <c r="AY26" s="212"/>
      <c r="AZ26" s="212"/>
      <c r="BA26" s="212"/>
    </row>
    <row r="27" spans="31:55" x14ac:dyDescent="0.25"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2"/>
      <c r="AW27" s="212"/>
      <c r="AX27" s="212"/>
      <c r="AY27" s="212"/>
      <c r="AZ27" s="212"/>
      <c r="BA27" s="212"/>
    </row>
    <row r="28" spans="31:55" x14ac:dyDescent="0.25"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2"/>
      <c r="AW28" s="212"/>
      <c r="AX28" s="212"/>
      <c r="AY28" s="212"/>
      <c r="AZ28" s="212"/>
      <c r="BA28" s="212"/>
    </row>
    <row r="40" spans="12:12" x14ac:dyDescent="0.25">
      <c r="L40" s="240"/>
    </row>
  </sheetData>
  <sheetProtection selectLockedCells="1" selectUnlockedCells="1"/>
  <mergeCells count="13">
    <mergeCell ref="V5:W5"/>
    <mergeCell ref="X5:Y5"/>
    <mergeCell ref="Z5:AA5"/>
    <mergeCell ref="A1:AC1"/>
    <mergeCell ref="A2:AC2"/>
    <mergeCell ref="A3:AC3"/>
    <mergeCell ref="B5:C5"/>
    <mergeCell ref="D5:E5"/>
    <mergeCell ref="F5:G5"/>
    <mergeCell ref="J5:K5"/>
    <mergeCell ref="N5:O5"/>
    <mergeCell ref="P5:Q5"/>
    <mergeCell ref="T5:U5"/>
  </mergeCells>
  <pageMargins left="0.7" right="0.7" top="0.75" bottom="0.75" header="0.51180555555555551" footer="0.51180555555555551"/>
  <pageSetup firstPageNumber="0" orientation="portrait" horizontalDpi="300" verticalDpi="300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"/>
  <sheetViews>
    <sheetView topLeftCell="B1" zoomScaleNormal="100" workbookViewId="0"/>
  </sheetViews>
  <sheetFormatPr baseColWidth="10" defaultColWidth="11" defaultRowHeight="15" x14ac:dyDescent="0.25"/>
  <cols>
    <col min="1" max="1" width="11" hidden="1" customWidth="1"/>
    <col min="2" max="2" width="24.5703125" customWidth="1"/>
    <col min="3" max="3" width="21.7109375" customWidth="1"/>
    <col min="4" max="4" width="19.42578125" customWidth="1"/>
  </cols>
  <sheetData>
    <row r="1" spans="1:5" ht="18.75" customHeight="1" x14ac:dyDescent="0.25">
      <c r="B1" s="618" t="s">
        <v>771</v>
      </c>
      <c r="C1" s="618"/>
      <c r="D1" s="618"/>
      <c r="E1" s="618"/>
    </row>
    <row r="2" spans="1:5" ht="24" customHeight="1" x14ac:dyDescent="0.25">
      <c r="B2" s="241" t="s">
        <v>772</v>
      </c>
      <c r="C2" s="241" t="s">
        <v>12</v>
      </c>
      <c r="D2" s="241" t="s">
        <v>773</v>
      </c>
      <c r="E2" s="242" t="s">
        <v>774</v>
      </c>
    </row>
    <row r="3" spans="1:5" ht="15.75" x14ac:dyDescent="0.25">
      <c r="B3" s="243" t="e">
        <f>+$B$7+$B$11+$B$15+$B$19+$B$23</f>
        <v>#VALUE!</v>
      </c>
      <c r="C3" s="243" t="e">
        <f>+$C$7+$C$11+$C$15+$C$19+$C$23</f>
        <v>#VALUE!</v>
      </c>
      <c r="D3" s="243" t="e">
        <f>+$D$7+$D$11+$D$15+$D$19+$D$23</f>
        <v>#VALUE!</v>
      </c>
      <c r="E3" s="244" t="e">
        <f>+C3/B3</f>
        <v>#VALUE!</v>
      </c>
    </row>
    <row r="4" spans="1:5" ht="15.75" x14ac:dyDescent="0.25">
      <c r="B4" s="245"/>
      <c r="C4" s="245"/>
      <c r="D4" s="245"/>
      <c r="E4" s="245"/>
    </row>
    <row r="5" spans="1:5" ht="18.75" customHeight="1" x14ac:dyDescent="0.25">
      <c r="B5" s="619" t="e">
        <f>#N/A</f>
        <v>#N/A</v>
      </c>
      <c r="C5" s="619"/>
      <c r="D5" s="619"/>
      <c r="E5" s="619"/>
    </row>
    <row r="6" spans="1:5" ht="31.5" x14ac:dyDescent="0.25">
      <c r="B6" s="241" t="s">
        <v>772</v>
      </c>
      <c r="C6" s="241" t="s">
        <v>12</v>
      </c>
      <c r="D6" s="241" t="s">
        <v>773</v>
      </c>
      <c r="E6" s="242" t="s">
        <v>774</v>
      </c>
    </row>
    <row r="7" spans="1:5" ht="15.75" x14ac:dyDescent="0.25">
      <c r="A7">
        <v>214779</v>
      </c>
      <c r="B7" s="243" t="e">
        <f>SUMIF(,$A7,)</f>
        <v>#VALUE!</v>
      </c>
      <c r="C7" s="243" t="e">
        <f>SUMIF(,$A7,)</f>
        <v>#VALUE!</v>
      </c>
      <c r="D7" s="243" t="e">
        <f>SUMIF(,$A7,)</f>
        <v>#VALUE!</v>
      </c>
      <c r="E7" s="244" t="e">
        <f>+C7/B7</f>
        <v>#VALUE!</v>
      </c>
    </row>
    <row r="8" spans="1:5" ht="15.75" x14ac:dyDescent="0.25">
      <c r="B8" s="245"/>
      <c r="C8" s="245"/>
      <c r="D8" s="245"/>
      <c r="E8" s="245"/>
    </row>
    <row r="9" spans="1:5" ht="18.75" customHeight="1" x14ac:dyDescent="0.25">
      <c r="B9" s="619" t="e">
        <f>#N/A</f>
        <v>#N/A</v>
      </c>
      <c r="C9" s="619"/>
      <c r="D9" s="619"/>
      <c r="E9" s="619"/>
    </row>
    <row r="10" spans="1:5" ht="31.5" x14ac:dyDescent="0.25">
      <c r="B10" s="241" t="s">
        <v>772</v>
      </c>
      <c r="C10" s="241" t="s">
        <v>12</v>
      </c>
      <c r="D10" s="241" t="s">
        <v>773</v>
      </c>
      <c r="E10" s="242" t="s">
        <v>774</v>
      </c>
    </row>
    <row r="11" spans="1:5" ht="15.75" x14ac:dyDescent="0.25">
      <c r="A11">
        <v>214780</v>
      </c>
      <c r="B11" s="243" t="e">
        <f>SUMIF(,$A11,)</f>
        <v>#VALUE!</v>
      </c>
      <c r="C11" s="243" t="e">
        <f>SUMIF(,$A11,)</f>
        <v>#VALUE!</v>
      </c>
      <c r="D11" s="243" t="e">
        <f>SUMIF(,$A11,)</f>
        <v>#VALUE!</v>
      </c>
      <c r="E11" s="244" t="e">
        <f>+C11/B11</f>
        <v>#VALUE!</v>
      </c>
    </row>
    <row r="12" spans="1:5" ht="15.75" x14ac:dyDescent="0.25">
      <c r="B12" s="246"/>
      <c r="C12" s="246"/>
      <c r="D12" s="246"/>
      <c r="E12" s="246"/>
    </row>
    <row r="13" spans="1:5" ht="18.75" customHeight="1" x14ac:dyDescent="0.25">
      <c r="B13" s="619" t="e">
        <f>#N/A</f>
        <v>#N/A</v>
      </c>
      <c r="C13" s="619"/>
      <c r="D13" s="619"/>
      <c r="E13" s="619"/>
    </row>
    <row r="14" spans="1:5" ht="31.5" x14ac:dyDescent="0.25">
      <c r="B14" s="241" t="s">
        <v>772</v>
      </c>
      <c r="C14" s="241" t="s">
        <v>12</v>
      </c>
      <c r="D14" s="241" t="s">
        <v>773</v>
      </c>
      <c r="E14" s="242" t="s">
        <v>774</v>
      </c>
    </row>
    <row r="15" spans="1:5" ht="15.75" x14ac:dyDescent="0.25">
      <c r="A15">
        <v>214781</v>
      </c>
      <c r="B15" s="243" t="e">
        <f>SUMIF(,$A15,)</f>
        <v>#VALUE!</v>
      </c>
      <c r="C15" s="243" t="e">
        <f>SUMIF(,$A15,)</f>
        <v>#VALUE!</v>
      </c>
      <c r="D15" s="243" t="e">
        <f>SUMIF(,$A15,)</f>
        <v>#VALUE!</v>
      </c>
      <c r="E15" s="244" t="e">
        <f>+C15/B15</f>
        <v>#VALUE!</v>
      </c>
    </row>
    <row r="16" spans="1:5" ht="15.75" x14ac:dyDescent="0.25">
      <c r="B16" s="246"/>
      <c r="C16" s="246"/>
      <c r="D16" s="246"/>
      <c r="E16" s="246"/>
    </row>
    <row r="17" spans="1:5" ht="18.75" customHeight="1" x14ac:dyDescent="0.25">
      <c r="B17" s="619" t="e">
        <f>#N/A</f>
        <v>#N/A</v>
      </c>
      <c r="C17" s="619"/>
      <c r="D17" s="619"/>
      <c r="E17" s="619"/>
    </row>
    <row r="18" spans="1:5" ht="31.5" x14ac:dyDescent="0.25">
      <c r="B18" s="241" t="s">
        <v>772</v>
      </c>
      <c r="C18" s="241" t="s">
        <v>12</v>
      </c>
      <c r="D18" s="241" t="s">
        <v>773</v>
      </c>
      <c r="E18" s="242" t="s">
        <v>774</v>
      </c>
    </row>
    <row r="19" spans="1:5" ht="15.75" x14ac:dyDescent="0.25">
      <c r="A19">
        <v>214783</v>
      </c>
      <c r="B19" s="243" t="e">
        <f>SUMIF(,$A19,)</f>
        <v>#VALUE!</v>
      </c>
      <c r="C19" s="243" t="e">
        <f>SUMIF(,$A19,)</f>
        <v>#VALUE!</v>
      </c>
      <c r="D19" s="243" t="e">
        <f>SUMIF(,$A19,)</f>
        <v>#VALUE!</v>
      </c>
      <c r="E19" s="244" t="e">
        <f>+C19/B19</f>
        <v>#VALUE!</v>
      </c>
    </row>
    <row r="20" spans="1:5" ht="15.75" x14ac:dyDescent="0.25">
      <c r="B20" s="246"/>
      <c r="C20" s="246"/>
      <c r="D20" s="246"/>
      <c r="E20" s="246"/>
    </row>
    <row r="21" spans="1:5" ht="18.75" customHeight="1" x14ac:dyDescent="0.25">
      <c r="B21" s="619" t="e">
        <f>#N/A</f>
        <v>#N/A</v>
      </c>
      <c r="C21" s="619"/>
      <c r="D21" s="619"/>
      <c r="E21" s="619"/>
    </row>
    <row r="22" spans="1:5" ht="31.5" x14ac:dyDescent="0.25">
      <c r="B22" s="241" t="s">
        <v>772</v>
      </c>
      <c r="C22" s="241" t="s">
        <v>12</v>
      </c>
      <c r="D22" s="241" t="s">
        <v>773</v>
      </c>
      <c r="E22" s="242" t="s">
        <v>774</v>
      </c>
    </row>
    <row r="23" spans="1:5" ht="15.75" x14ac:dyDescent="0.25">
      <c r="A23">
        <v>214784</v>
      </c>
      <c r="B23" s="243" t="e">
        <f>SUMIF(,$A23,)</f>
        <v>#VALUE!</v>
      </c>
      <c r="C23" s="243" t="e">
        <f>SUMIF(,$A23,)</f>
        <v>#VALUE!</v>
      </c>
      <c r="D23" s="243" t="e">
        <f>SUMIF(,$A23,)</f>
        <v>#VALUE!</v>
      </c>
      <c r="E23" s="244" t="e">
        <f>+C23/B23</f>
        <v>#VALUE!</v>
      </c>
    </row>
    <row r="24" spans="1:5" ht="15.75" x14ac:dyDescent="0.25">
      <c r="B24" s="247"/>
      <c r="C24" s="247"/>
      <c r="D24" s="247"/>
      <c r="E24" s="247"/>
    </row>
    <row r="25" spans="1:5" ht="15.75" x14ac:dyDescent="0.25">
      <c r="B25" s="247"/>
      <c r="C25" s="247"/>
      <c r="D25" s="247"/>
      <c r="E25" s="247"/>
    </row>
    <row r="26" spans="1:5" ht="15.75" x14ac:dyDescent="0.25">
      <c r="B26" s="247"/>
      <c r="C26" s="247"/>
      <c r="D26" s="247"/>
      <c r="E26" s="247"/>
    </row>
  </sheetData>
  <sheetProtection selectLockedCells="1" selectUnlockedCells="1"/>
  <mergeCells count="6">
    <mergeCell ref="B1:E1"/>
    <mergeCell ref="B5:E5"/>
    <mergeCell ref="B9:E9"/>
    <mergeCell ref="B13:E13"/>
    <mergeCell ref="B17:E17"/>
    <mergeCell ref="B21:E21"/>
  </mergeCell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topLeftCell="B1" zoomScaleNormal="100" workbookViewId="0"/>
  </sheetViews>
  <sheetFormatPr baseColWidth="10" defaultColWidth="17.5703125" defaultRowHeight="15" x14ac:dyDescent="0.25"/>
  <cols>
    <col min="1" max="1" width="25.140625" style="23" hidden="1" customWidth="1"/>
    <col min="2" max="2" width="14.5703125" style="23" customWidth="1"/>
    <col min="3" max="3" width="20.140625" style="23" customWidth="1"/>
    <col min="4" max="4" width="5" style="23" customWidth="1"/>
    <col min="5" max="5" width="17.42578125" style="23" customWidth="1"/>
    <col min="6" max="6" width="12" style="23" customWidth="1"/>
    <col min="7" max="7" width="19.140625" style="23" customWidth="1"/>
    <col min="8" max="8" width="12" style="23" customWidth="1"/>
    <col min="9" max="9" width="17.5703125" style="23"/>
    <col min="10" max="10" width="8.5703125" style="23" customWidth="1"/>
    <col min="11" max="11" width="20.140625" style="23" customWidth="1"/>
    <col min="12" max="12" width="10.140625" style="23" customWidth="1"/>
    <col min="13" max="13" width="18.42578125" style="23" customWidth="1"/>
    <col min="14" max="14" width="11.28515625" style="23" customWidth="1"/>
    <col min="15" max="15" width="7.85546875" style="23" customWidth="1"/>
    <col min="16" max="17" width="17.5703125" style="23"/>
    <col min="18" max="18" width="27" style="23" customWidth="1"/>
    <col min="19" max="16384" width="17.5703125" style="23"/>
  </cols>
  <sheetData>
    <row r="1" spans="1:18" ht="15.75" x14ac:dyDescent="0.25">
      <c r="B1" s="600" t="s">
        <v>32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</row>
    <row r="2" spans="1:18" ht="15.75" x14ac:dyDescent="0.25">
      <c r="B2" s="600" t="str">
        <f>+Estado!A4</f>
        <v xml:space="preserve">AL 31 DE DICIEMBRE 2020        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</row>
    <row r="3" spans="1:18" ht="15.75" x14ac:dyDescent="0.25">
      <c r="B3" s="600" t="s">
        <v>33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</row>
    <row r="4" spans="1:18" x14ac:dyDescent="0.25">
      <c r="K4" s="24"/>
    </row>
    <row r="5" spans="1:18" ht="29.25" customHeight="1" x14ac:dyDescent="0.25">
      <c r="A5" s="25"/>
      <c r="B5" s="26" t="s">
        <v>34</v>
      </c>
      <c r="C5" s="27" t="s">
        <v>3</v>
      </c>
      <c r="D5" s="27" t="s">
        <v>35</v>
      </c>
      <c r="E5" s="27" t="s">
        <v>5</v>
      </c>
      <c r="F5" s="27"/>
      <c r="G5" s="27" t="s">
        <v>10</v>
      </c>
      <c r="H5" s="27" t="s">
        <v>36</v>
      </c>
      <c r="I5" s="27" t="s">
        <v>11</v>
      </c>
      <c r="J5" s="27" t="s">
        <v>35</v>
      </c>
      <c r="K5" s="27" t="s">
        <v>12</v>
      </c>
      <c r="L5" s="27" t="s">
        <v>37</v>
      </c>
      <c r="M5" s="27" t="s">
        <v>7</v>
      </c>
      <c r="N5" s="27" t="s">
        <v>9</v>
      </c>
    </row>
    <row r="6" spans="1:18" ht="24.75" hidden="1" customHeight="1" x14ac:dyDescent="0.25">
      <c r="B6" s="28" t="s">
        <v>38</v>
      </c>
      <c r="C6" s="29">
        <f>+'SIGAF DIC 20'!F3</f>
        <v>2081037982</v>
      </c>
      <c r="D6" s="30">
        <f t="shared" ref="D6:D19" si="0">IFERROR(C6/$C$20,0)</f>
        <v>1.4023317081900639E-2</v>
      </c>
      <c r="E6" s="29">
        <f>+'SIGAF DIC 20'!H3</f>
        <v>0</v>
      </c>
      <c r="F6" s="31">
        <f t="shared" ref="F6:F20" si="1">+E6/C6</f>
        <v>0</v>
      </c>
      <c r="G6" s="29">
        <f>+'SIGAF DIC 20'!I3</f>
        <v>2427295.7400000002</v>
      </c>
      <c r="H6" s="32">
        <f t="shared" ref="H6:H19" si="2">IFERROR(G6/C6,0)</f>
        <v>1.1663870438670351E-3</v>
      </c>
      <c r="I6" s="29">
        <f>+'SIGAF DIC 20'!J3</f>
        <v>0</v>
      </c>
      <c r="J6" s="32">
        <f t="shared" ref="J6:J19" si="3">IFERROR(I6/C6,0)</f>
        <v>0</v>
      </c>
      <c r="K6" s="29">
        <f>+'SIGAF DIC 20'!K3</f>
        <v>1801767250</v>
      </c>
      <c r="L6" s="30">
        <f t="shared" ref="L6:L19" si="4">IFERROR(K6/C6,0)</f>
        <v>0.86580219370546785</v>
      </c>
      <c r="M6" s="29">
        <f>+'SIGAF DIC 20'!O3</f>
        <v>276843436.25999999</v>
      </c>
      <c r="N6" s="30">
        <f t="shared" ref="N6:N19" si="5">IFERROR(M6/C6,0)</f>
        <v>0.13303141925066508</v>
      </c>
      <c r="O6" s="33">
        <f t="shared" ref="O6:O19" si="6">+K6/$K$20</f>
        <v>1.3187192519139287E-2</v>
      </c>
      <c r="P6" s="20">
        <f>(+E20+G20+I20+K20)/C20</f>
        <v>0.93573277622664308</v>
      </c>
    </row>
    <row r="7" spans="1:18" ht="24.75" hidden="1" customHeight="1" x14ac:dyDescent="0.25">
      <c r="B7" s="28" t="s">
        <v>39</v>
      </c>
      <c r="C7" s="29">
        <f>+'SIGAF DIC 20'!F62</f>
        <v>3467509456</v>
      </c>
      <c r="D7" s="30">
        <f t="shared" si="0"/>
        <v>2.3366216766137232E-2</v>
      </c>
      <c r="E7" s="29">
        <f>+'SIGAF DIC 20'!H62</f>
        <v>0</v>
      </c>
      <c r="F7" s="31">
        <f t="shared" si="1"/>
        <v>0</v>
      </c>
      <c r="G7" s="29">
        <f>+'SIGAF DIC 20'!I62</f>
        <v>26742682.59</v>
      </c>
      <c r="H7" s="32">
        <f t="shared" si="2"/>
        <v>7.7123603927671596E-3</v>
      </c>
      <c r="I7" s="29">
        <f>+'SIGAF DIC 20'!J62</f>
        <v>0</v>
      </c>
      <c r="J7" s="32">
        <f t="shared" si="3"/>
        <v>0</v>
      </c>
      <c r="K7" s="29">
        <f>+'SIGAF DIC 20'!K62</f>
        <v>3222776445.5100002</v>
      </c>
      <c r="L7" s="30">
        <f t="shared" si="4"/>
        <v>0.92942109788149929</v>
      </c>
      <c r="M7" s="29">
        <f>+'SIGAF DIC 20'!O62</f>
        <v>217990327.90000001</v>
      </c>
      <c r="N7" s="30">
        <f t="shared" si="5"/>
        <v>6.2866541725733652E-2</v>
      </c>
      <c r="O7" s="33">
        <f t="shared" si="6"/>
        <v>2.358760457716599E-2</v>
      </c>
    </row>
    <row r="8" spans="1:18" ht="24.75" hidden="1" customHeight="1" x14ac:dyDescent="0.25">
      <c r="B8" s="28" t="s">
        <v>40</v>
      </c>
      <c r="C8" s="29">
        <f>+'SIGAF DIC 20'!F144</f>
        <v>2849531919</v>
      </c>
      <c r="D8" s="30">
        <f t="shared" si="0"/>
        <v>1.9201903079505547E-2</v>
      </c>
      <c r="E8" s="29">
        <f>+'SIGAF DIC 20'!H144</f>
        <v>0</v>
      </c>
      <c r="F8" s="31">
        <f t="shared" si="1"/>
        <v>0</v>
      </c>
      <c r="G8" s="29">
        <f>+'SIGAF DIC 20'!I144</f>
        <v>35732290.530000001</v>
      </c>
      <c r="H8" s="32">
        <f t="shared" si="2"/>
        <v>1.2539705308000096E-2</v>
      </c>
      <c r="I8" s="29">
        <f>+'SIGAF DIC 20'!J144</f>
        <v>0</v>
      </c>
      <c r="J8" s="32">
        <f t="shared" si="3"/>
        <v>0</v>
      </c>
      <c r="K8" s="29">
        <f>+'SIGAF DIC 20'!K144</f>
        <v>2376037696.3600001</v>
      </c>
      <c r="L8" s="30">
        <f t="shared" si="4"/>
        <v>0.83383438540103616</v>
      </c>
      <c r="M8" s="29">
        <f>+'SIGAF DIC 20'!O144</f>
        <v>437761932.11000001</v>
      </c>
      <c r="N8" s="30">
        <f t="shared" si="5"/>
        <v>0.15362590929096381</v>
      </c>
      <c r="O8" s="33">
        <f t="shared" si="6"/>
        <v>1.7390296407391988E-2</v>
      </c>
    </row>
    <row r="9" spans="1:18" ht="24.75" customHeight="1" x14ac:dyDescent="0.25">
      <c r="B9" s="28" t="s">
        <v>41</v>
      </c>
      <c r="C9" s="29">
        <f>+'SIGAF DIC 20'!F246</f>
        <v>75755327546</v>
      </c>
      <c r="D9" s="30">
        <f t="shared" si="0"/>
        <v>0.51048610741829303</v>
      </c>
      <c r="E9" s="29">
        <f>+'SIGAF DIC 20'!H246</f>
        <v>0</v>
      </c>
      <c r="F9" s="31">
        <f t="shared" si="1"/>
        <v>0</v>
      </c>
      <c r="G9" s="29">
        <f>+'SIGAF DIC 20'!I246</f>
        <v>1104426827.1500001</v>
      </c>
      <c r="H9" s="32">
        <f t="shared" si="2"/>
        <v>1.4578866766556745E-2</v>
      </c>
      <c r="I9" s="29">
        <f>+'SIGAF DIC 20'!J246</f>
        <v>0</v>
      </c>
      <c r="J9" s="32">
        <f t="shared" si="3"/>
        <v>0</v>
      </c>
      <c r="K9" s="29">
        <f>+'SIGAF DIC 20'!K246</f>
        <v>70227882288.429993</v>
      </c>
      <c r="L9" s="30">
        <f t="shared" si="4"/>
        <v>0.92703555727861331</v>
      </c>
      <c r="M9" s="29">
        <f>+'SIGAF DIC 20'!O246</f>
        <v>4423018430.4200001</v>
      </c>
      <c r="N9" s="30">
        <f t="shared" si="5"/>
        <v>5.8385575954829891E-2</v>
      </c>
      <c r="O9" s="33">
        <f t="shared" si="6"/>
        <v>0.51400013178671022</v>
      </c>
    </row>
    <row r="10" spans="1:18" ht="24.75" customHeight="1" x14ac:dyDescent="0.25">
      <c r="B10" s="28" t="s">
        <v>42</v>
      </c>
      <c r="C10" s="29">
        <f>+'SIGAF DIC 20'!F373</f>
        <v>27746347895</v>
      </c>
      <c r="D10" s="30">
        <f t="shared" si="0"/>
        <v>0.18697200039682474</v>
      </c>
      <c r="E10" s="29">
        <f>+'SIGAF DIC 20'!H373</f>
        <v>0</v>
      </c>
      <c r="F10" s="31">
        <f t="shared" si="1"/>
        <v>0</v>
      </c>
      <c r="G10" s="29">
        <f>+'SIGAF DIC 20'!I373</f>
        <v>764570619.33000004</v>
      </c>
      <c r="H10" s="32">
        <f t="shared" si="2"/>
        <v>2.755572092670901E-2</v>
      </c>
      <c r="I10" s="29">
        <f>+'SIGAF DIC 20'!J373</f>
        <v>0</v>
      </c>
      <c r="J10" s="32">
        <f t="shared" si="3"/>
        <v>0</v>
      </c>
      <c r="K10" s="29">
        <f>+'SIGAF DIC 20'!K373</f>
        <v>25489145514.16</v>
      </c>
      <c r="L10" s="30">
        <f t="shared" si="4"/>
        <v>0.91864866722705674</v>
      </c>
      <c r="M10" s="29">
        <f>+'SIGAF DIC 20'!O373</f>
        <v>1492631761.51</v>
      </c>
      <c r="N10" s="30">
        <f t="shared" si="5"/>
        <v>5.3795611846234298E-2</v>
      </c>
      <c r="O10" s="33">
        <f t="shared" si="6"/>
        <v>0.18655587676132057</v>
      </c>
    </row>
    <row r="11" spans="1:18" ht="24.75" customHeight="1" x14ac:dyDescent="0.25">
      <c r="B11" s="28" t="s">
        <v>43</v>
      </c>
      <c r="C11" s="29">
        <f>+'SIGAF DIC 20'!F450</f>
        <v>2105742147</v>
      </c>
      <c r="D11" s="30">
        <f t="shared" si="0"/>
        <v>1.4189788978153896E-2</v>
      </c>
      <c r="E11" s="29">
        <f>+'SIGAF DIC 20'!H450</f>
        <v>0</v>
      </c>
      <c r="F11" s="31">
        <f t="shared" si="1"/>
        <v>0</v>
      </c>
      <c r="G11" s="29">
        <f>+'SIGAF DIC 20'!I450</f>
        <v>61768346.659999996</v>
      </c>
      <c r="H11" s="32">
        <f t="shared" si="2"/>
        <v>2.9333290758319992E-2</v>
      </c>
      <c r="I11" s="29">
        <f>+'SIGAF DIC 20'!J450</f>
        <v>0</v>
      </c>
      <c r="J11" s="32">
        <f t="shared" si="3"/>
        <v>0</v>
      </c>
      <c r="K11" s="29">
        <f>+'SIGAF DIC 20'!K450</f>
        <v>1894956303.8299999</v>
      </c>
      <c r="L11" s="30">
        <f t="shared" si="4"/>
        <v>0.89989949934264191</v>
      </c>
      <c r="M11" s="29">
        <f>+'SIGAF DIC 20'!O450</f>
        <v>149017496.50999999</v>
      </c>
      <c r="N11" s="30">
        <f t="shared" si="5"/>
        <v>7.0767209899038022E-2</v>
      </c>
      <c r="O11" s="33">
        <f t="shared" si="6"/>
        <v>1.3869246204781895E-2</v>
      </c>
    </row>
    <row r="12" spans="1:18" ht="24.75" customHeight="1" x14ac:dyDescent="0.25">
      <c r="B12" s="28" t="s">
        <v>44</v>
      </c>
      <c r="C12" s="29">
        <f>+'SIGAF DIC 20'!F504</f>
        <v>1449674150</v>
      </c>
      <c r="D12" s="30">
        <f t="shared" si="0"/>
        <v>9.7687982856262869E-3</v>
      </c>
      <c r="E12" s="29">
        <f>+'SIGAF DIC 20'!H504</f>
        <v>0</v>
      </c>
      <c r="F12" s="31">
        <f t="shared" si="1"/>
        <v>0</v>
      </c>
      <c r="G12" s="29">
        <f>+'SIGAF DIC 20'!I504</f>
        <v>19036695</v>
      </c>
      <c r="H12" s="32">
        <f t="shared" si="2"/>
        <v>1.3131706183765503E-2</v>
      </c>
      <c r="I12" s="29">
        <f>+'SIGAF DIC 20'!J504</f>
        <v>0</v>
      </c>
      <c r="J12" s="32">
        <f t="shared" si="3"/>
        <v>0</v>
      </c>
      <c r="K12" s="29">
        <f>+'SIGAF DIC 20'!K504</f>
        <v>1313606623.73</v>
      </c>
      <c r="L12" s="30">
        <f t="shared" si="4"/>
        <v>0.90613923393060436</v>
      </c>
      <c r="M12" s="29">
        <f>+'SIGAF DIC 20'!O504</f>
        <v>117030831.27</v>
      </c>
      <c r="N12" s="30">
        <f t="shared" si="5"/>
        <v>8.0729059885630158E-2</v>
      </c>
      <c r="O12" s="33">
        <f t="shared" si="6"/>
        <v>9.6143291768368382E-3</v>
      </c>
      <c r="R12" s="34">
        <f>11000000000+115812311113.04+10500000000</f>
        <v>137312311113.03999</v>
      </c>
    </row>
    <row r="13" spans="1:18" ht="24.75" customHeight="1" x14ac:dyDescent="0.25">
      <c r="B13" s="28" t="s">
        <v>45</v>
      </c>
      <c r="C13" s="29">
        <f>+'SIGAF DIC 20'!F551</f>
        <v>2262440561</v>
      </c>
      <c r="D13" s="30">
        <f t="shared" si="0"/>
        <v>1.5245719511262704E-2</v>
      </c>
      <c r="E13" s="29">
        <f>+'SIGAF DIC 20'!H551</f>
        <v>0</v>
      </c>
      <c r="F13" s="31">
        <f t="shared" si="1"/>
        <v>0</v>
      </c>
      <c r="G13" s="29">
        <f>+'SIGAF DIC 20'!I551</f>
        <v>77931178.549999997</v>
      </c>
      <c r="H13" s="32">
        <f t="shared" si="2"/>
        <v>3.4445624735243596E-2</v>
      </c>
      <c r="I13" s="29">
        <f>+'SIGAF DIC 20'!J551</f>
        <v>0</v>
      </c>
      <c r="J13" s="32">
        <f t="shared" si="3"/>
        <v>0</v>
      </c>
      <c r="K13" s="29">
        <f>+'SIGAF DIC 20'!K551</f>
        <v>2027258265.1600001</v>
      </c>
      <c r="L13" s="30">
        <f t="shared" si="4"/>
        <v>0.89604929300947067</v>
      </c>
      <c r="M13" s="29">
        <f>+'SIGAF DIC 20'!O551</f>
        <v>157251117.28999999</v>
      </c>
      <c r="N13" s="30">
        <f t="shared" si="5"/>
        <v>6.9505082255285816E-2</v>
      </c>
      <c r="O13" s="33">
        <f t="shared" si="6"/>
        <v>1.4837568519841419E-2</v>
      </c>
      <c r="R13" s="33">
        <f>137312311113.04/148398411720</f>
        <v>0.92529501846773532</v>
      </c>
    </row>
    <row r="14" spans="1:18" ht="24.75" customHeight="1" x14ac:dyDescent="0.25">
      <c r="B14" s="28" t="s">
        <v>46</v>
      </c>
      <c r="C14" s="29">
        <f>+'SIGAF DIC 20'!F623</f>
        <v>1156686277</v>
      </c>
      <c r="D14" s="30">
        <f t="shared" si="0"/>
        <v>7.7944653422736777E-3</v>
      </c>
      <c r="E14" s="29">
        <f>+'SIGAF DIC 20'!H623</f>
        <v>0</v>
      </c>
      <c r="F14" s="31">
        <f t="shared" si="1"/>
        <v>0</v>
      </c>
      <c r="G14" s="29">
        <f>+'SIGAF DIC 20'!I623</f>
        <v>11556519.27</v>
      </c>
      <c r="H14" s="32">
        <f t="shared" si="2"/>
        <v>9.9910576444056827E-3</v>
      </c>
      <c r="I14" s="29">
        <f>+'SIGAF DIC 20'!J623</f>
        <v>0</v>
      </c>
      <c r="J14" s="32">
        <f t="shared" si="3"/>
        <v>0</v>
      </c>
      <c r="K14" s="29">
        <f>+'SIGAF DIC 20'!K623</f>
        <v>1032253158.23</v>
      </c>
      <c r="L14" s="30">
        <f t="shared" si="4"/>
        <v>0.89242275866475074</v>
      </c>
      <c r="M14" s="29">
        <f>+'SIGAF DIC 20'!O623</f>
        <v>112876599.5</v>
      </c>
      <c r="N14" s="30">
        <f t="shared" si="5"/>
        <v>9.7586183690843598E-2</v>
      </c>
      <c r="O14" s="33">
        <f t="shared" si="6"/>
        <v>7.5550941033413503E-3</v>
      </c>
    </row>
    <row r="15" spans="1:18" ht="24.75" customHeight="1" x14ac:dyDescent="0.25">
      <c r="B15" s="28" t="s">
        <v>47</v>
      </c>
      <c r="C15" s="29">
        <f>+'SIGAF DIC 20'!F654</f>
        <v>6961566789</v>
      </c>
      <c r="D15" s="30">
        <f t="shared" si="0"/>
        <v>4.6911329496808714E-2</v>
      </c>
      <c r="E15" s="29">
        <f>+'SIGAF DIC 20'!H654</f>
        <v>0</v>
      </c>
      <c r="F15" s="31">
        <f t="shared" si="1"/>
        <v>0</v>
      </c>
      <c r="G15" s="29">
        <f>+'SIGAF DIC 20'!I654</f>
        <v>120450727.34999999</v>
      </c>
      <c r="H15" s="32">
        <f t="shared" si="2"/>
        <v>1.7302244020746118E-2</v>
      </c>
      <c r="I15" s="29">
        <f>+'SIGAF DIC 20'!J654</f>
        <v>0</v>
      </c>
      <c r="J15" s="32">
        <f t="shared" si="3"/>
        <v>0</v>
      </c>
      <c r="K15" s="29">
        <f>+'SIGAF DIC 20'!K654</f>
        <v>5996105558.6899996</v>
      </c>
      <c r="L15" s="30">
        <f t="shared" si="4"/>
        <v>0.86131552571821479</v>
      </c>
      <c r="M15" s="29">
        <f>+'SIGAF DIC 20'!O654</f>
        <v>845010502.96000004</v>
      </c>
      <c r="N15" s="30">
        <f t="shared" si="5"/>
        <v>0.12138223026103902</v>
      </c>
      <c r="O15" s="33">
        <f t="shared" si="6"/>
        <v>4.388568965693336E-2</v>
      </c>
    </row>
    <row r="16" spans="1:18" ht="24.75" hidden="1" customHeight="1" x14ac:dyDescent="0.25">
      <c r="B16" s="28" t="s">
        <v>48</v>
      </c>
      <c r="C16" s="29">
        <f>+'SIGAF DIC 20'!F686</f>
        <v>1265316729</v>
      </c>
      <c r="D16" s="30">
        <f t="shared" si="0"/>
        <v>8.5264843089251901E-3</v>
      </c>
      <c r="E16" s="29">
        <f>+'SIGAF DIC 20'!H686</f>
        <v>0</v>
      </c>
      <c r="F16" s="31">
        <f t="shared" si="1"/>
        <v>0</v>
      </c>
      <c r="G16" s="29">
        <f>+'SIGAF DIC 20'!I686</f>
        <v>5641651.6799999997</v>
      </c>
      <c r="H16" s="32">
        <f t="shared" si="2"/>
        <v>4.4586873394606005E-3</v>
      </c>
      <c r="I16" s="29">
        <f>+'SIGAF DIC 20'!J686</f>
        <v>0</v>
      </c>
      <c r="J16" s="32">
        <f t="shared" si="3"/>
        <v>0</v>
      </c>
      <c r="K16" s="29">
        <f>+'SIGAF DIC 20'!K686</f>
        <v>1095325472.8499999</v>
      </c>
      <c r="L16" s="30">
        <f t="shared" si="4"/>
        <v>0.86565319792748896</v>
      </c>
      <c r="M16" s="29">
        <f>+'SIGAF DIC 20'!O686</f>
        <v>164349604.47</v>
      </c>
      <c r="N16" s="30">
        <f t="shared" si="5"/>
        <v>0.12988811473305037</v>
      </c>
      <c r="O16" s="33">
        <f t="shared" si="6"/>
        <v>8.0167224049555903E-3</v>
      </c>
    </row>
    <row r="17" spans="1:15" ht="24.75" hidden="1" customHeight="1" x14ac:dyDescent="0.25">
      <c r="B17" s="28" t="s">
        <v>49</v>
      </c>
      <c r="C17" s="29">
        <f>+'SIGAF DIC 20'!F766</f>
        <v>7590011399</v>
      </c>
      <c r="D17" s="30">
        <f t="shared" si="0"/>
        <v>5.1146176775267171E-2</v>
      </c>
      <c r="E17" s="29">
        <f>+'SIGAF DIC 20'!H766</f>
        <v>0</v>
      </c>
      <c r="F17" s="31">
        <f t="shared" si="1"/>
        <v>0</v>
      </c>
      <c r="G17" s="29">
        <f>+'SIGAF DIC 20'!I766</f>
        <v>0</v>
      </c>
      <c r="H17" s="32">
        <f t="shared" si="2"/>
        <v>0</v>
      </c>
      <c r="I17" s="29">
        <f>+'SIGAF DIC 20'!J766</f>
        <v>0</v>
      </c>
      <c r="J17" s="32">
        <f t="shared" si="3"/>
        <v>0</v>
      </c>
      <c r="K17" s="29">
        <f>+'SIGAF DIC 20'!K766</f>
        <v>7224328134.7299995</v>
      </c>
      <c r="L17" s="30">
        <f t="shared" si="4"/>
        <v>0.95182045914737623</v>
      </c>
      <c r="M17" s="29">
        <f>+'SIGAF DIC 20'!O766</f>
        <v>365683264.26999998</v>
      </c>
      <c r="N17" s="30">
        <f t="shared" si="5"/>
        <v>4.8179540852623687E-2</v>
      </c>
      <c r="O17" s="33">
        <f t="shared" si="6"/>
        <v>5.2875090239385213E-2</v>
      </c>
    </row>
    <row r="18" spans="1:15" ht="24.75" hidden="1" customHeight="1" x14ac:dyDescent="0.25">
      <c r="B18" s="28" t="s">
        <v>50</v>
      </c>
      <c r="C18" s="29">
        <f>+'SIGAF DIC 20'!F791</f>
        <v>895550765</v>
      </c>
      <c r="D18" s="30">
        <f t="shared" si="0"/>
        <v>6.0347732473696319E-3</v>
      </c>
      <c r="E18" s="29">
        <f>+'SIGAF DIC 20'!H791</f>
        <v>0</v>
      </c>
      <c r="F18" s="31">
        <f t="shared" si="1"/>
        <v>0</v>
      </c>
      <c r="G18" s="29">
        <f>+'SIGAF DIC 20'!I791</f>
        <v>0</v>
      </c>
      <c r="H18" s="32">
        <f t="shared" si="2"/>
        <v>0</v>
      </c>
      <c r="I18" s="29">
        <f>+'SIGAF DIC 20'!J791</f>
        <v>0</v>
      </c>
      <c r="J18" s="32">
        <f t="shared" si="3"/>
        <v>0</v>
      </c>
      <c r="K18" s="29">
        <f>+'SIGAF DIC 20'!K791</f>
        <v>882074571.79999995</v>
      </c>
      <c r="L18" s="30">
        <f t="shared" si="4"/>
        <v>0.98495206109281808</v>
      </c>
      <c r="M18" s="29">
        <f>+'SIGAF DIC 20'!O791</f>
        <v>13476193.199999999</v>
      </c>
      <c r="N18" s="30">
        <f t="shared" si="5"/>
        <v>1.5047938907181884E-2</v>
      </c>
      <c r="O18" s="33">
        <f t="shared" si="6"/>
        <v>6.4559321935527192E-3</v>
      </c>
    </row>
    <row r="19" spans="1:15" ht="24.75" hidden="1" customHeight="1" x14ac:dyDescent="0.25">
      <c r="B19" s="28" t="s">
        <v>51</v>
      </c>
      <c r="C19" s="29">
        <f>+'SIGAF DIC 20'!F819</f>
        <v>12811668105</v>
      </c>
      <c r="D19" s="30">
        <f t="shared" si="0"/>
        <v>8.6332919311651518E-2</v>
      </c>
      <c r="E19" s="29">
        <f>+'SIGAF DIC 20'!H819</f>
        <v>0</v>
      </c>
      <c r="F19" s="31">
        <f t="shared" si="1"/>
        <v>0</v>
      </c>
      <c r="G19" s="29">
        <f>+'SIGAF DIC 20'!I819</f>
        <v>886800</v>
      </c>
      <c r="H19" s="32">
        <f t="shared" si="2"/>
        <v>6.9218152759819714E-5</v>
      </c>
      <c r="I19" s="29">
        <f>+'SIGAF DIC 20'!J819</f>
        <v>0</v>
      </c>
      <c r="J19" s="32">
        <f t="shared" si="3"/>
        <v>0</v>
      </c>
      <c r="K19" s="29">
        <f>+'SIGAF DIC 20'!K819</f>
        <v>12046568869.049999</v>
      </c>
      <c r="L19" s="30">
        <f t="shared" si="4"/>
        <v>0.94028106022732461</v>
      </c>
      <c r="M19" s="29">
        <f>+'SIGAF DIC 20'!O819</f>
        <v>764212435.95000005</v>
      </c>
      <c r="N19" s="30">
        <f t="shared" si="5"/>
        <v>5.9649721619915476E-2</v>
      </c>
      <c r="O19" s="33">
        <f t="shared" si="6"/>
        <v>8.8169225448643487E-2</v>
      </c>
    </row>
    <row r="20" spans="1:15" ht="24.75" customHeight="1" x14ac:dyDescent="0.25">
      <c r="A20" s="25"/>
      <c r="B20" s="35" t="s">
        <v>23</v>
      </c>
      <c r="C20" s="36">
        <f>SUM(C6:C19)</f>
        <v>148398411720</v>
      </c>
      <c r="D20" s="37"/>
      <c r="E20" s="36">
        <f>SUM(E6:E19)</f>
        <v>0</v>
      </c>
      <c r="F20" s="37">
        <f t="shared" si="1"/>
        <v>0</v>
      </c>
      <c r="G20" s="36">
        <f>SUM(G6:G19)</f>
        <v>2231171633.8499999</v>
      </c>
      <c r="H20" s="37">
        <f>+G20/C20</f>
        <v>1.5035010199838276E-2</v>
      </c>
      <c r="I20" s="36">
        <f>SUM(I6:I19)</f>
        <v>0</v>
      </c>
      <c r="J20" s="37">
        <f>+I20/C20</f>
        <v>0</v>
      </c>
      <c r="K20" s="36">
        <f>SUM(K6:K19)</f>
        <v>136630086152.53</v>
      </c>
      <c r="L20" s="38">
        <f>+K20/C20</f>
        <v>0.92069776602680475</v>
      </c>
      <c r="M20" s="36">
        <f>SUM(M6:M19)</f>
        <v>9537153933.6200027</v>
      </c>
      <c r="N20" s="38">
        <f>+M20/C20</f>
        <v>6.4267223773356988E-2</v>
      </c>
    </row>
    <row r="21" spans="1:15" x14ac:dyDescent="0.25">
      <c r="B21" s="39"/>
      <c r="C21" s="40">
        <f>+C20-Estado!C10</f>
        <v>0</v>
      </c>
      <c r="D21" s="40"/>
      <c r="E21" s="40">
        <f>+E20-Estado!E10</f>
        <v>0</v>
      </c>
      <c r="F21" s="40"/>
      <c r="G21" s="40">
        <f>+G20-Estado!G10</f>
        <v>0</v>
      </c>
      <c r="H21" s="40"/>
      <c r="I21" s="40"/>
      <c r="J21" s="40"/>
      <c r="K21" s="40">
        <f>+K20-Estado!K10</f>
        <v>0</v>
      </c>
      <c r="L21" s="40"/>
      <c r="M21" s="40">
        <f>+M20-Estado!O10</f>
        <v>0</v>
      </c>
      <c r="N21" s="41"/>
    </row>
    <row r="22" spans="1:15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42"/>
      <c r="N22" s="39"/>
    </row>
    <row r="26" spans="1:15" x14ac:dyDescent="0.25">
      <c r="B26" s="43"/>
      <c r="C26" s="43"/>
      <c r="D26" s="43"/>
    </row>
    <row r="27" spans="1:15" x14ac:dyDescent="0.25">
      <c r="B27" s="43"/>
      <c r="C27" s="43"/>
      <c r="D27" s="43"/>
    </row>
    <row r="28" spans="1:15" x14ac:dyDescent="0.25">
      <c r="B28" s="43"/>
      <c r="C28" s="43"/>
      <c r="D28" s="43"/>
    </row>
    <row r="29" spans="1:15" x14ac:dyDescent="0.25">
      <c r="B29" s="43"/>
      <c r="C29" s="43"/>
      <c r="D29" s="43"/>
    </row>
  </sheetData>
  <sheetProtection selectLockedCells="1" selectUnlockedCells="1"/>
  <mergeCells count="3">
    <mergeCell ref="B1:N1"/>
    <mergeCell ref="B2:N2"/>
    <mergeCell ref="B3:N3"/>
  </mergeCells>
  <pageMargins left="0.7" right="0.7" top="0.75" bottom="0.75" header="0.51180555555555551" footer="0.51180555555555551"/>
  <pageSetup firstPageNumber="0" orientation="portrait" horizontalDpi="300" verticalDpi="30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topLeftCell="B1" zoomScaleNormal="100" workbookViewId="0"/>
  </sheetViews>
  <sheetFormatPr baseColWidth="10" defaultColWidth="17.5703125" defaultRowHeight="15" x14ac:dyDescent="0.25"/>
  <cols>
    <col min="1" max="1" width="25.140625" style="23" hidden="1" customWidth="1"/>
    <col min="2" max="2" width="14.5703125" style="23" customWidth="1"/>
    <col min="3" max="3" width="20.140625" style="23" customWidth="1"/>
    <col min="4" max="4" width="5" style="23" customWidth="1"/>
    <col min="5" max="5" width="16.28515625" style="23" customWidth="1"/>
    <col min="6" max="6" width="6.5703125" style="23" customWidth="1"/>
    <col min="7" max="7" width="19.140625" style="23" customWidth="1"/>
    <col min="8" max="8" width="12" style="23" hidden="1" customWidth="1"/>
    <col min="9" max="9" width="6.5703125" style="23" customWidth="1"/>
    <col min="10" max="10" width="14.5703125" style="23" customWidth="1"/>
    <col min="11" max="11" width="8.5703125" style="23" customWidth="1"/>
    <col min="12" max="12" width="20.140625" style="23" customWidth="1"/>
    <col min="13" max="13" width="13.85546875" style="23" customWidth="1"/>
    <col min="14" max="14" width="23.42578125" style="23" customWidth="1"/>
    <col min="15" max="15" width="9.42578125" style="23" customWidth="1"/>
    <col min="16" max="16" width="7.85546875" style="23" customWidth="1"/>
    <col min="17" max="16384" width="17.5703125" style="23"/>
  </cols>
  <sheetData>
    <row r="1" spans="1:17" ht="15.75" x14ac:dyDescent="0.25">
      <c r="B1" s="600" t="s">
        <v>32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</row>
    <row r="2" spans="1:17" ht="15.75" x14ac:dyDescent="0.25">
      <c r="B2" s="600" t="e">
        <f>#N/A</f>
        <v>#N/A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</row>
    <row r="3" spans="1:17" ht="15.75" x14ac:dyDescent="0.25">
      <c r="B3" s="600" t="s">
        <v>1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</row>
    <row r="4" spans="1:17" x14ac:dyDescent="0.25">
      <c r="L4" s="24"/>
    </row>
    <row r="5" spans="1:17" ht="25.5" x14ac:dyDescent="0.25">
      <c r="A5" s="25"/>
      <c r="B5" s="26" t="s">
        <v>34</v>
      </c>
      <c r="C5" s="27" t="s">
        <v>3</v>
      </c>
      <c r="D5" s="27" t="s">
        <v>35</v>
      </c>
      <c r="E5" s="27" t="s">
        <v>5</v>
      </c>
      <c r="F5" s="27"/>
      <c r="G5" s="27" t="s">
        <v>10</v>
      </c>
      <c r="H5" s="27" t="s">
        <v>36</v>
      </c>
      <c r="I5" s="27"/>
      <c r="J5" s="27" t="s">
        <v>11</v>
      </c>
      <c r="K5" s="27" t="s">
        <v>35</v>
      </c>
      <c r="L5" s="27" t="s">
        <v>12</v>
      </c>
      <c r="M5" s="27" t="s">
        <v>775</v>
      </c>
      <c r="N5" s="27" t="s">
        <v>7</v>
      </c>
      <c r="O5" s="27" t="s">
        <v>689</v>
      </c>
    </row>
    <row r="6" spans="1:17" x14ac:dyDescent="0.25">
      <c r="B6" s="28" t="s">
        <v>764</v>
      </c>
      <c r="C6" s="29" t="e">
        <f>#N/A</f>
        <v>#N/A</v>
      </c>
      <c r="D6" s="30">
        <f t="shared" ref="D6:D10" si="0">IFERROR(C6/$C$11,0)</f>
        <v>0</v>
      </c>
      <c r="E6" s="29" t="e">
        <f t="shared" ref="E6:E10" si="1">#N/A</f>
        <v>#N/A</v>
      </c>
      <c r="F6" s="31" t="e">
        <f t="shared" ref="F6:F11" si="2">+E6/C6</f>
        <v>#N/A</v>
      </c>
      <c r="G6" s="29" t="e">
        <f t="shared" ref="G6:G10" si="3">#N/A</f>
        <v>#N/A</v>
      </c>
      <c r="H6" s="32">
        <f t="shared" ref="H6:H10" si="4">IFERROR(G6/C6,0)</f>
        <v>0</v>
      </c>
      <c r="I6" s="32" t="e">
        <f t="shared" ref="I6:I11" si="5">+G6/C6</f>
        <v>#N/A</v>
      </c>
      <c r="J6" s="29" t="e">
        <f t="shared" ref="J6:J10" si="6">#N/A</f>
        <v>#N/A</v>
      </c>
      <c r="K6" s="32">
        <f t="shared" ref="K6:K10" si="7">IFERROR(J6/G6,0)</f>
        <v>0</v>
      </c>
      <c r="L6" s="29" t="e">
        <f t="shared" ref="L6:L10" si="8">#N/A</f>
        <v>#N/A</v>
      </c>
      <c r="M6" s="30">
        <f t="shared" ref="M6:M10" si="9">IFERROR(L6/C6,0)</f>
        <v>0</v>
      </c>
      <c r="N6" s="29" t="e">
        <f t="shared" ref="N6:N10" si="10">#N/A</f>
        <v>#N/A</v>
      </c>
      <c r="O6" s="30">
        <f t="shared" ref="O6:O10" si="11">IFERROR(N6/C6,0)</f>
        <v>0</v>
      </c>
      <c r="P6" s="43"/>
      <c r="Q6" s="20" t="e">
        <f>(+E11+G11+J11+L11)/C11</f>
        <v>#N/A</v>
      </c>
    </row>
    <row r="7" spans="1:17" x14ac:dyDescent="0.25">
      <c r="B7" s="28" t="s">
        <v>765</v>
      </c>
      <c r="C7" s="29" t="e">
        <f t="shared" ref="C7:C10" si="12">#N/A</f>
        <v>#N/A</v>
      </c>
      <c r="D7" s="30">
        <f t="shared" si="0"/>
        <v>0</v>
      </c>
      <c r="E7" s="29" t="e">
        <f t="shared" si="1"/>
        <v>#N/A</v>
      </c>
      <c r="F7" s="31" t="e">
        <f t="shared" si="2"/>
        <v>#N/A</v>
      </c>
      <c r="G7" s="29" t="e">
        <f t="shared" si="3"/>
        <v>#N/A</v>
      </c>
      <c r="H7" s="32">
        <f t="shared" si="4"/>
        <v>0</v>
      </c>
      <c r="I7" s="32" t="e">
        <f t="shared" si="5"/>
        <v>#N/A</v>
      </c>
      <c r="J7" s="29" t="e">
        <f t="shared" si="6"/>
        <v>#N/A</v>
      </c>
      <c r="K7" s="32">
        <f t="shared" si="7"/>
        <v>0</v>
      </c>
      <c r="L7" s="29" t="e">
        <f t="shared" si="8"/>
        <v>#N/A</v>
      </c>
      <c r="M7" s="30">
        <f t="shared" si="9"/>
        <v>0</v>
      </c>
      <c r="N7" s="29" t="e">
        <f t="shared" si="10"/>
        <v>#N/A</v>
      </c>
      <c r="O7" s="30">
        <f t="shared" si="11"/>
        <v>0</v>
      </c>
      <c r="P7" s="43"/>
    </row>
    <row r="8" spans="1:17" x14ac:dyDescent="0.25">
      <c r="B8" s="28" t="s">
        <v>766</v>
      </c>
      <c r="C8" s="29" t="e">
        <f t="shared" si="12"/>
        <v>#N/A</v>
      </c>
      <c r="D8" s="30">
        <f t="shared" si="0"/>
        <v>0</v>
      </c>
      <c r="E8" s="29" t="e">
        <f t="shared" si="1"/>
        <v>#N/A</v>
      </c>
      <c r="F8" s="31" t="e">
        <f t="shared" si="2"/>
        <v>#N/A</v>
      </c>
      <c r="G8" s="29" t="e">
        <f t="shared" si="3"/>
        <v>#N/A</v>
      </c>
      <c r="H8" s="32">
        <f t="shared" si="4"/>
        <v>0</v>
      </c>
      <c r="I8" s="32" t="e">
        <f t="shared" si="5"/>
        <v>#N/A</v>
      </c>
      <c r="J8" s="29" t="e">
        <f t="shared" si="6"/>
        <v>#N/A</v>
      </c>
      <c r="K8" s="32">
        <f t="shared" si="7"/>
        <v>0</v>
      </c>
      <c r="L8" s="29" t="e">
        <f t="shared" si="8"/>
        <v>#N/A</v>
      </c>
      <c r="M8" s="30">
        <f t="shared" si="9"/>
        <v>0</v>
      </c>
      <c r="N8" s="29" t="e">
        <f t="shared" si="10"/>
        <v>#N/A</v>
      </c>
      <c r="O8" s="30">
        <f t="shared" si="11"/>
        <v>0</v>
      </c>
    </row>
    <row r="9" spans="1:17" x14ac:dyDescent="0.25">
      <c r="B9" s="28" t="s">
        <v>767</v>
      </c>
      <c r="C9" s="29" t="e">
        <f t="shared" si="12"/>
        <v>#N/A</v>
      </c>
      <c r="D9" s="30">
        <f t="shared" si="0"/>
        <v>0</v>
      </c>
      <c r="E9" s="29" t="e">
        <f t="shared" si="1"/>
        <v>#N/A</v>
      </c>
      <c r="F9" s="31" t="e">
        <f t="shared" si="2"/>
        <v>#N/A</v>
      </c>
      <c r="G9" s="29" t="e">
        <f t="shared" si="3"/>
        <v>#N/A</v>
      </c>
      <c r="H9" s="32">
        <f t="shared" si="4"/>
        <v>0</v>
      </c>
      <c r="I9" s="32" t="e">
        <f t="shared" si="5"/>
        <v>#N/A</v>
      </c>
      <c r="J9" s="29" t="e">
        <f t="shared" si="6"/>
        <v>#N/A</v>
      </c>
      <c r="K9" s="32">
        <f t="shared" si="7"/>
        <v>0</v>
      </c>
      <c r="L9" s="29" t="e">
        <f t="shared" si="8"/>
        <v>#N/A</v>
      </c>
      <c r="M9" s="30">
        <f t="shared" si="9"/>
        <v>0</v>
      </c>
      <c r="N9" s="29" t="e">
        <f t="shared" si="10"/>
        <v>#N/A</v>
      </c>
      <c r="O9" s="30">
        <f t="shared" si="11"/>
        <v>0</v>
      </c>
    </row>
    <row r="10" spans="1:17" x14ac:dyDescent="0.25">
      <c r="B10" s="28" t="s">
        <v>768</v>
      </c>
      <c r="C10" s="29" t="e">
        <f t="shared" si="12"/>
        <v>#N/A</v>
      </c>
      <c r="D10" s="30">
        <f t="shared" si="0"/>
        <v>0</v>
      </c>
      <c r="E10" s="29" t="e">
        <f t="shared" si="1"/>
        <v>#N/A</v>
      </c>
      <c r="F10" s="31" t="e">
        <f t="shared" si="2"/>
        <v>#N/A</v>
      </c>
      <c r="G10" s="29" t="e">
        <f t="shared" si="3"/>
        <v>#N/A</v>
      </c>
      <c r="H10" s="32">
        <f t="shared" si="4"/>
        <v>0</v>
      </c>
      <c r="I10" s="32" t="e">
        <f t="shared" si="5"/>
        <v>#N/A</v>
      </c>
      <c r="J10" s="29" t="e">
        <f t="shared" si="6"/>
        <v>#N/A</v>
      </c>
      <c r="K10" s="32">
        <f t="shared" si="7"/>
        <v>0</v>
      </c>
      <c r="L10" s="29" t="e">
        <f t="shared" si="8"/>
        <v>#N/A</v>
      </c>
      <c r="M10" s="30">
        <f t="shared" si="9"/>
        <v>0</v>
      </c>
      <c r="N10" s="29" t="e">
        <f t="shared" si="10"/>
        <v>#N/A</v>
      </c>
      <c r="O10" s="30">
        <f t="shared" si="11"/>
        <v>0</v>
      </c>
    </row>
    <row r="11" spans="1:17" x14ac:dyDescent="0.25">
      <c r="A11" s="25"/>
      <c r="B11" s="35" t="s">
        <v>23</v>
      </c>
      <c r="C11" s="36" t="e">
        <f>SUM(C6:C10)</f>
        <v>#N/A</v>
      </c>
      <c r="D11" s="37"/>
      <c r="E11" s="36" t="e">
        <f>SUM(E6:E10)</f>
        <v>#N/A</v>
      </c>
      <c r="F11" s="37" t="e">
        <f t="shared" si="2"/>
        <v>#N/A</v>
      </c>
      <c r="G11" s="36" t="e">
        <f>SUM(G6:G10)</f>
        <v>#N/A</v>
      </c>
      <c r="H11" s="37" t="e">
        <f>+G11/C11</f>
        <v>#N/A</v>
      </c>
      <c r="I11" s="239" t="e">
        <f t="shared" si="5"/>
        <v>#N/A</v>
      </c>
      <c r="J11" s="36" t="e">
        <f>SUM(J6:J10)</f>
        <v>#N/A</v>
      </c>
      <c r="K11" s="37" t="e">
        <f>+J11/G11</f>
        <v>#N/A</v>
      </c>
      <c r="L11" s="36" t="e">
        <f>SUM(L6:L10)</f>
        <v>#N/A</v>
      </c>
      <c r="M11" s="237" t="e">
        <f>+L11/C11</f>
        <v>#N/A</v>
      </c>
      <c r="N11" s="36" t="e">
        <f>SUM(N6:N10)</f>
        <v>#N/A</v>
      </c>
      <c r="O11" s="237" t="e">
        <f>+N11/C11</f>
        <v>#N/A</v>
      </c>
    </row>
    <row r="12" spans="1:17" x14ac:dyDescent="0.25">
      <c r="B12" s="39"/>
      <c r="C12" s="40" t="e">
        <f>#N/A</f>
        <v>#N/A</v>
      </c>
      <c r="D12" s="40"/>
      <c r="E12" s="40" t="e">
        <f>#N/A</f>
        <v>#N/A</v>
      </c>
      <c r="F12" s="40"/>
      <c r="G12" s="40" t="e">
        <f>#N/A</f>
        <v>#N/A</v>
      </c>
      <c r="H12" s="40"/>
      <c r="I12" s="40"/>
      <c r="J12" s="40"/>
      <c r="K12" s="40"/>
      <c r="L12" s="40" t="e">
        <f>#N/A</f>
        <v>#N/A</v>
      </c>
      <c r="M12" s="40"/>
      <c r="N12" s="40" t="e">
        <f>#N/A</f>
        <v>#N/A</v>
      </c>
      <c r="O12" s="41"/>
    </row>
    <row r="13" spans="1:17" x14ac:dyDescent="0.25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42"/>
      <c r="O13" s="39"/>
    </row>
    <row r="17" spans="2:4" x14ac:dyDescent="0.25">
      <c r="B17" s="43"/>
      <c r="C17" s="43"/>
      <c r="D17" s="43"/>
    </row>
    <row r="18" spans="2:4" x14ac:dyDescent="0.25">
      <c r="B18" s="43"/>
      <c r="C18" s="43"/>
      <c r="D18" s="43"/>
    </row>
    <row r="19" spans="2:4" x14ac:dyDescent="0.25">
      <c r="B19" s="43"/>
      <c r="C19" s="43"/>
      <c r="D19" s="43"/>
    </row>
    <row r="20" spans="2:4" x14ac:dyDescent="0.25">
      <c r="B20" s="43"/>
      <c r="C20" s="43"/>
      <c r="D20" s="43"/>
    </row>
  </sheetData>
  <sheetProtection selectLockedCells="1" selectUnlockedCells="1"/>
  <mergeCells count="3">
    <mergeCell ref="B1:O1"/>
    <mergeCell ref="B2:O2"/>
    <mergeCell ref="B3:O3"/>
  </mergeCells>
  <pageMargins left="0.7" right="0.7" top="0.75" bottom="0.75" header="0.51180555555555551" footer="0.51180555555555551"/>
  <pageSetup firstPageNumber="0" orientation="portrait" horizontalDpi="300" verticalDpi="300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32"/>
  <sheetViews>
    <sheetView zoomScaleNormal="100" workbookViewId="0"/>
  </sheetViews>
  <sheetFormatPr baseColWidth="10" defaultColWidth="36.28515625" defaultRowHeight="15" x14ac:dyDescent="0.25"/>
  <cols>
    <col min="1" max="1" width="15.7109375" customWidth="1"/>
    <col min="2" max="2" width="20.28515625" hidden="1" customWidth="1"/>
    <col min="3" max="3" width="11.28515625" hidden="1" customWidth="1"/>
    <col min="4" max="4" width="6.5703125" customWidth="1"/>
    <col min="5" max="5" width="19.28515625" hidden="1" customWidth="1"/>
    <col min="6" max="6" width="21" customWidth="1"/>
    <col min="7" max="7" width="18.42578125" hidden="1" customWidth="1"/>
    <col min="8" max="8" width="16.7109375" customWidth="1"/>
    <col min="9" max="9" width="18.5703125" customWidth="1"/>
    <col min="10" max="10" width="21.85546875" hidden="1" customWidth="1"/>
    <col min="11" max="12" width="17.42578125" customWidth="1"/>
    <col min="13" max="13" width="19.42578125" customWidth="1"/>
    <col min="14" max="14" width="29" hidden="1" customWidth="1"/>
  </cols>
  <sheetData>
    <row r="1" spans="1:14" x14ac:dyDescent="0.25">
      <c r="A1" s="248" t="s">
        <v>52</v>
      </c>
      <c r="B1" s="249" t="s">
        <v>53</v>
      </c>
      <c r="C1" s="250" t="s">
        <v>54</v>
      </c>
      <c r="D1" s="248" t="s">
        <v>55</v>
      </c>
      <c r="E1" s="251" t="s">
        <v>56</v>
      </c>
      <c r="F1" s="248" t="s">
        <v>57</v>
      </c>
      <c r="G1" s="251" t="s">
        <v>58</v>
      </c>
      <c r="H1" s="252" t="s">
        <v>59</v>
      </c>
      <c r="I1" s="253" t="s">
        <v>60</v>
      </c>
      <c r="J1" s="252" t="s">
        <v>61</v>
      </c>
      <c r="K1" s="252" t="s">
        <v>12</v>
      </c>
      <c r="L1" s="254" t="s">
        <v>63</v>
      </c>
      <c r="M1" s="253" t="s">
        <v>65</v>
      </c>
      <c r="N1" s="249" t="s">
        <v>67</v>
      </c>
    </row>
    <row r="2" spans="1:14" s="143" customFormat="1" x14ac:dyDescent="0.25">
      <c r="A2" s="255" t="s">
        <v>68</v>
      </c>
      <c r="D2" s="256" t="s">
        <v>69</v>
      </c>
      <c r="E2" s="257">
        <v>153020984000</v>
      </c>
      <c r="F2" s="258">
        <v>153114450517.42001</v>
      </c>
      <c r="G2" s="257">
        <v>120203375180.34</v>
      </c>
      <c r="H2" s="259">
        <v>158546646.13</v>
      </c>
      <c r="I2" s="260">
        <v>26184548161.060001</v>
      </c>
      <c r="J2" s="261">
        <v>44274656.159999996</v>
      </c>
      <c r="K2" s="259">
        <v>21963766700.700001</v>
      </c>
      <c r="L2" s="262">
        <v>21803201899.52</v>
      </c>
      <c r="M2" s="260">
        <v>104763314353.37</v>
      </c>
      <c r="N2" s="257">
        <v>71852239016.289993</v>
      </c>
    </row>
    <row r="3" spans="1:14" s="143" customFormat="1" x14ac:dyDescent="0.25">
      <c r="A3" s="263">
        <v>214786</v>
      </c>
      <c r="D3" s="264" t="s">
        <v>69</v>
      </c>
      <c r="E3" s="257">
        <v>2252563898</v>
      </c>
      <c r="F3" s="265">
        <v>2252563898</v>
      </c>
      <c r="G3" s="257">
        <v>1972762673</v>
      </c>
      <c r="H3" s="266">
        <v>0</v>
      </c>
      <c r="I3" s="267">
        <v>328434996.44999999</v>
      </c>
      <c r="J3" s="266">
        <v>0</v>
      </c>
      <c r="K3" s="266">
        <v>312374727.11000001</v>
      </c>
      <c r="L3" s="268">
        <v>312374727.11000001</v>
      </c>
      <c r="M3" s="267">
        <v>1611754174.4400001</v>
      </c>
      <c r="N3" s="257">
        <v>1331952949.4400001</v>
      </c>
    </row>
    <row r="4" spans="1:14" s="143" customFormat="1" hidden="1" x14ac:dyDescent="0.25">
      <c r="A4" s="143" t="s">
        <v>696</v>
      </c>
      <c r="B4" s="143" t="s">
        <v>71</v>
      </c>
      <c r="C4" s="143" t="s">
        <v>72</v>
      </c>
      <c r="D4" s="143" t="s">
        <v>69</v>
      </c>
      <c r="E4" s="257">
        <v>1845529688</v>
      </c>
      <c r="F4" s="257">
        <v>1845529688</v>
      </c>
      <c r="G4" s="257">
        <v>1772657034.4000001</v>
      </c>
      <c r="H4" s="257">
        <v>0</v>
      </c>
      <c r="I4" s="257">
        <v>244652213</v>
      </c>
      <c r="J4" s="269">
        <v>0</v>
      </c>
      <c r="K4" s="257">
        <v>251524233.11000001</v>
      </c>
      <c r="L4" s="257">
        <v>251524233.11000001</v>
      </c>
      <c r="M4" s="257">
        <v>1349353241.8900001</v>
      </c>
      <c r="N4" s="257">
        <v>1276480588.29</v>
      </c>
    </row>
    <row r="5" spans="1:14" s="143" customFormat="1" hidden="1" x14ac:dyDescent="0.25">
      <c r="A5" s="143" t="s">
        <v>696</v>
      </c>
      <c r="B5" s="143" t="s">
        <v>73</v>
      </c>
      <c r="C5" s="143" t="s">
        <v>74</v>
      </c>
      <c r="D5" s="143" t="s">
        <v>69</v>
      </c>
      <c r="E5" s="257">
        <v>712211400</v>
      </c>
      <c r="F5" s="257">
        <v>712211400</v>
      </c>
      <c r="G5" s="257">
        <v>642503746.39999998</v>
      </c>
      <c r="H5" s="257">
        <v>0</v>
      </c>
      <c r="I5" s="257">
        <v>0</v>
      </c>
      <c r="J5" s="269">
        <v>0</v>
      </c>
      <c r="K5" s="257">
        <v>102323347.81999999</v>
      </c>
      <c r="L5" s="257">
        <v>102323347.81999999</v>
      </c>
      <c r="M5" s="257">
        <v>609888052.17999995</v>
      </c>
      <c r="N5" s="257">
        <v>540180398.58000004</v>
      </c>
    </row>
    <row r="6" spans="1:14" s="143" customFormat="1" hidden="1" x14ac:dyDescent="0.25">
      <c r="A6" s="143" t="s">
        <v>696</v>
      </c>
      <c r="B6" s="143" t="s">
        <v>75</v>
      </c>
      <c r="C6" s="143" t="s">
        <v>76</v>
      </c>
      <c r="D6" s="143" t="s">
        <v>69</v>
      </c>
      <c r="E6" s="257">
        <v>712211400</v>
      </c>
      <c r="F6" s="257">
        <v>712211400</v>
      </c>
      <c r="G6" s="257">
        <v>642503746.39999998</v>
      </c>
      <c r="H6" s="257">
        <v>0</v>
      </c>
      <c r="I6" s="257">
        <v>0</v>
      </c>
      <c r="J6" s="269">
        <v>0</v>
      </c>
      <c r="K6" s="257">
        <v>102323347.81999999</v>
      </c>
      <c r="L6" s="257">
        <v>102323347.81999999</v>
      </c>
      <c r="M6" s="257">
        <v>609888052.17999995</v>
      </c>
      <c r="N6" s="257">
        <v>540180398.58000004</v>
      </c>
    </row>
    <row r="7" spans="1:14" s="143" customFormat="1" hidden="1" x14ac:dyDescent="0.25">
      <c r="A7" s="143" t="s">
        <v>696</v>
      </c>
      <c r="B7" s="143" t="s">
        <v>77</v>
      </c>
      <c r="C7" s="143" t="s">
        <v>78</v>
      </c>
      <c r="D7" s="143" t="s">
        <v>69</v>
      </c>
      <c r="E7" s="257">
        <v>851789535</v>
      </c>
      <c r="F7" s="257">
        <v>851789535</v>
      </c>
      <c r="G7" s="257">
        <v>848624535</v>
      </c>
      <c r="H7" s="257">
        <v>0</v>
      </c>
      <c r="I7" s="257">
        <v>0</v>
      </c>
      <c r="J7" s="269">
        <v>0</v>
      </c>
      <c r="K7" s="257">
        <v>112324345.29000001</v>
      </c>
      <c r="L7" s="257">
        <v>112324345.29000001</v>
      </c>
      <c r="M7" s="257">
        <v>739465189.71000004</v>
      </c>
      <c r="N7" s="257">
        <v>736300189.71000004</v>
      </c>
    </row>
    <row r="8" spans="1:14" s="143" customFormat="1" hidden="1" x14ac:dyDescent="0.25">
      <c r="A8" s="143" t="s">
        <v>696</v>
      </c>
      <c r="B8" s="143" t="s">
        <v>79</v>
      </c>
      <c r="C8" s="143" t="s">
        <v>80</v>
      </c>
      <c r="D8" s="143" t="s">
        <v>69</v>
      </c>
      <c r="E8" s="257">
        <v>171630900</v>
      </c>
      <c r="F8" s="257">
        <v>171630900</v>
      </c>
      <c r="G8" s="257">
        <v>171630900</v>
      </c>
      <c r="H8" s="257">
        <v>0</v>
      </c>
      <c r="I8" s="257">
        <v>0</v>
      </c>
      <c r="J8" s="269">
        <v>0</v>
      </c>
      <c r="K8" s="257">
        <v>25194766.039999999</v>
      </c>
      <c r="L8" s="257">
        <v>25194766.039999999</v>
      </c>
      <c r="M8" s="257">
        <v>146436133.96000001</v>
      </c>
      <c r="N8" s="257">
        <v>146436133.96000001</v>
      </c>
    </row>
    <row r="9" spans="1:14" s="143" customFormat="1" hidden="1" x14ac:dyDescent="0.25">
      <c r="A9" s="143" t="s">
        <v>696</v>
      </c>
      <c r="B9" s="143" t="s">
        <v>81</v>
      </c>
      <c r="C9" s="143" t="s">
        <v>82</v>
      </c>
      <c r="D9" s="143" t="s">
        <v>69</v>
      </c>
      <c r="E9" s="257">
        <v>362005040</v>
      </c>
      <c r="F9" s="257">
        <v>362005040</v>
      </c>
      <c r="G9" s="257">
        <v>362005040</v>
      </c>
      <c r="H9" s="257">
        <v>0</v>
      </c>
      <c r="I9" s="257">
        <v>0</v>
      </c>
      <c r="J9" s="269">
        <v>0</v>
      </c>
      <c r="K9" s="257">
        <v>48183499.350000001</v>
      </c>
      <c r="L9" s="257">
        <v>48183499.350000001</v>
      </c>
      <c r="M9" s="257">
        <v>313821540.64999998</v>
      </c>
      <c r="N9" s="257">
        <v>313821540.64999998</v>
      </c>
    </row>
    <row r="10" spans="1:14" s="143" customFormat="1" hidden="1" x14ac:dyDescent="0.25">
      <c r="A10" s="143" t="s">
        <v>696</v>
      </c>
      <c r="B10" s="143" t="s">
        <v>86</v>
      </c>
      <c r="C10" s="143" t="s">
        <v>87</v>
      </c>
      <c r="D10" s="143" t="s">
        <v>69</v>
      </c>
      <c r="E10" s="257">
        <v>110671900</v>
      </c>
      <c r="F10" s="257">
        <v>110671900</v>
      </c>
      <c r="G10" s="257">
        <v>110671900</v>
      </c>
      <c r="H10" s="257">
        <v>0</v>
      </c>
      <c r="I10" s="257">
        <v>0</v>
      </c>
      <c r="J10" s="269">
        <v>0</v>
      </c>
      <c r="K10" s="257">
        <v>26177497.469999999</v>
      </c>
      <c r="L10" s="257">
        <v>26177497.469999999</v>
      </c>
      <c r="M10" s="257">
        <v>84494402.530000001</v>
      </c>
      <c r="N10" s="257">
        <v>84494402.530000001</v>
      </c>
    </row>
    <row r="11" spans="1:14" s="143" customFormat="1" hidden="1" x14ac:dyDescent="0.25">
      <c r="A11" s="143" t="s">
        <v>696</v>
      </c>
      <c r="B11" s="143" t="s">
        <v>88</v>
      </c>
      <c r="C11" s="143" t="s">
        <v>89</v>
      </c>
      <c r="D11" s="143" t="s">
        <v>69</v>
      </c>
      <c r="E11" s="257">
        <v>87218400</v>
      </c>
      <c r="F11" s="257">
        <v>87218400</v>
      </c>
      <c r="G11" s="257">
        <v>87218400</v>
      </c>
      <c r="H11" s="257">
        <v>0</v>
      </c>
      <c r="I11" s="257">
        <v>0</v>
      </c>
      <c r="J11" s="269">
        <v>0</v>
      </c>
      <c r="K11" s="257">
        <v>12768582.43</v>
      </c>
      <c r="L11" s="257">
        <v>12768582.43</v>
      </c>
      <c r="M11" s="257">
        <v>74449817.569999993</v>
      </c>
      <c r="N11" s="257">
        <v>74449817.569999993</v>
      </c>
    </row>
    <row r="12" spans="1:14" s="143" customFormat="1" hidden="1" x14ac:dyDescent="0.25">
      <c r="A12" s="143" t="s">
        <v>696</v>
      </c>
      <c r="B12" s="143" t="s">
        <v>83</v>
      </c>
      <c r="C12" s="143" t="s">
        <v>84</v>
      </c>
      <c r="D12" s="143" t="s">
        <v>85</v>
      </c>
      <c r="E12" s="257">
        <v>120263295</v>
      </c>
      <c r="F12" s="257">
        <v>120263295</v>
      </c>
      <c r="G12" s="257">
        <v>117098295</v>
      </c>
      <c r="H12" s="257">
        <v>0</v>
      </c>
      <c r="I12" s="257">
        <v>0</v>
      </c>
      <c r="J12" s="269">
        <v>0</v>
      </c>
      <c r="K12" s="257">
        <v>0</v>
      </c>
      <c r="L12" s="257">
        <v>0</v>
      </c>
      <c r="M12" s="257">
        <v>120263295</v>
      </c>
      <c r="N12" s="257">
        <v>117098295</v>
      </c>
    </row>
    <row r="13" spans="1:14" s="143" customFormat="1" hidden="1" x14ac:dyDescent="0.25">
      <c r="A13" s="143" t="s">
        <v>696</v>
      </c>
      <c r="B13" s="143" t="s">
        <v>90</v>
      </c>
      <c r="C13" s="143" t="s">
        <v>91</v>
      </c>
      <c r="D13" s="143" t="s">
        <v>69</v>
      </c>
      <c r="E13" s="257">
        <v>140764376</v>
      </c>
      <c r="F13" s="257">
        <v>140764376</v>
      </c>
      <c r="G13" s="257">
        <v>140764376</v>
      </c>
      <c r="H13" s="257">
        <v>0</v>
      </c>
      <c r="I13" s="257">
        <v>122245434</v>
      </c>
      <c r="J13" s="269">
        <v>0</v>
      </c>
      <c r="K13" s="257">
        <v>18518942</v>
      </c>
      <c r="L13" s="257">
        <v>18518942</v>
      </c>
      <c r="M13" s="257">
        <v>0</v>
      </c>
      <c r="N13" s="257">
        <v>0</v>
      </c>
    </row>
    <row r="14" spans="1:14" s="143" customFormat="1" hidden="1" x14ac:dyDescent="0.25">
      <c r="A14" s="143" t="s">
        <v>696</v>
      </c>
      <c r="B14" s="143" t="s">
        <v>416</v>
      </c>
      <c r="C14" s="143" t="s">
        <v>697</v>
      </c>
      <c r="D14" s="143" t="s">
        <v>69</v>
      </c>
      <c r="E14" s="257">
        <v>133545724</v>
      </c>
      <c r="F14" s="257">
        <v>133545724</v>
      </c>
      <c r="G14" s="257">
        <v>133545724</v>
      </c>
      <c r="H14" s="257">
        <v>0</v>
      </c>
      <c r="I14" s="257">
        <v>115976459</v>
      </c>
      <c r="J14" s="269">
        <v>0</v>
      </c>
      <c r="K14" s="257">
        <v>17569265</v>
      </c>
      <c r="L14" s="257">
        <v>17569265</v>
      </c>
      <c r="M14" s="257">
        <v>0</v>
      </c>
      <c r="N14" s="257">
        <v>0</v>
      </c>
    </row>
    <row r="15" spans="1:14" s="143" customFormat="1" hidden="1" x14ac:dyDescent="0.25">
      <c r="A15" s="143" t="s">
        <v>696</v>
      </c>
      <c r="B15" s="143" t="s">
        <v>433</v>
      </c>
      <c r="C15" s="143" t="s">
        <v>95</v>
      </c>
      <c r="D15" s="143" t="s">
        <v>69</v>
      </c>
      <c r="E15" s="257">
        <v>7218652</v>
      </c>
      <c r="F15" s="257">
        <v>7218652</v>
      </c>
      <c r="G15" s="257">
        <v>7218652</v>
      </c>
      <c r="H15" s="257">
        <v>0</v>
      </c>
      <c r="I15" s="257">
        <v>6268975</v>
      </c>
      <c r="J15" s="269">
        <v>0</v>
      </c>
      <c r="K15" s="257">
        <v>949677</v>
      </c>
      <c r="L15" s="257">
        <v>949677</v>
      </c>
      <c r="M15" s="257">
        <v>0</v>
      </c>
      <c r="N15" s="257">
        <v>0</v>
      </c>
    </row>
    <row r="16" spans="1:14" s="143" customFormat="1" hidden="1" x14ac:dyDescent="0.25">
      <c r="A16" s="143" t="s">
        <v>696</v>
      </c>
      <c r="B16" s="143" t="s">
        <v>96</v>
      </c>
      <c r="C16" s="143" t="s">
        <v>97</v>
      </c>
      <c r="D16" s="143" t="s">
        <v>69</v>
      </c>
      <c r="E16" s="257">
        <v>140764377</v>
      </c>
      <c r="F16" s="257">
        <v>140764377</v>
      </c>
      <c r="G16" s="257">
        <v>140764377</v>
      </c>
      <c r="H16" s="257">
        <v>0</v>
      </c>
      <c r="I16" s="257">
        <v>122406779</v>
      </c>
      <c r="J16" s="269">
        <v>0</v>
      </c>
      <c r="K16" s="257">
        <v>18357598</v>
      </c>
      <c r="L16" s="257">
        <v>18357598</v>
      </c>
      <c r="M16" s="257">
        <v>0</v>
      </c>
      <c r="N16" s="257">
        <v>0</v>
      </c>
    </row>
    <row r="17" spans="1:14" s="143" customFormat="1" hidden="1" x14ac:dyDescent="0.25">
      <c r="A17" s="143" t="s">
        <v>696</v>
      </c>
      <c r="B17" s="143" t="s">
        <v>451</v>
      </c>
      <c r="C17" s="143" t="s">
        <v>698</v>
      </c>
      <c r="D17" s="143" t="s">
        <v>69</v>
      </c>
      <c r="E17" s="257">
        <v>75796203</v>
      </c>
      <c r="F17" s="257">
        <v>75796203</v>
      </c>
      <c r="G17" s="257">
        <v>75796203</v>
      </c>
      <c r="H17" s="257">
        <v>0</v>
      </c>
      <c r="I17" s="257">
        <v>65985819</v>
      </c>
      <c r="J17">
        <v>0</v>
      </c>
      <c r="K17" s="257">
        <v>9810384</v>
      </c>
      <c r="L17" s="257">
        <v>9810384</v>
      </c>
      <c r="M17" s="257">
        <v>0</v>
      </c>
      <c r="N17" s="257">
        <v>0</v>
      </c>
    </row>
    <row r="18" spans="1:14" s="143" customFormat="1" hidden="1" x14ac:dyDescent="0.25">
      <c r="A18" s="143" t="s">
        <v>696</v>
      </c>
      <c r="B18" s="143" t="s">
        <v>468</v>
      </c>
      <c r="C18" s="143" t="s">
        <v>699</v>
      </c>
      <c r="D18" s="143" t="s">
        <v>69</v>
      </c>
      <c r="E18" s="257">
        <v>21656058</v>
      </c>
      <c r="F18" s="257">
        <v>21656058</v>
      </c>
      <c r="G18" s="257">
        <v>21656058</v>
      </c>
      <c r="H18" s="257">
        <v>0</v>
      </c>
      <c r="I18" s="257">
        <v>18806984</v>
      </c>
      <c r="J18" s="252">
        <v>0</v>
      </c>
      <c r="K18" s="257">
        <v>2849074</v>
      </c>
      <c r="L18" s="257">
        <v>2849074</v>
      </c>
      <c r="M18" s="257">
        <v>0</v>
      </c>
      <c r="N18" s="257">
        <v>0</v>
      </c>
    </row>
    <row r="19" spans="1:14" s="143" customFormat="1" hidden="1" x14ac:dyDescent="0.25">
      <c r="A19" s="143" t="s">
        <v>696</v>
      </c>
      <c r="B19" s="143" t="s">
        <v>485</v>
      </c>
      <c r="C19" s="143" t="s">
        <v>700</v>
      </c>
      <c r="D19" s="143" t="s">
        <v>69</v>
      </c>
      <c r="E19" s="257">
        <v>43312116</v>
      </c>
      <c r="F19" s="257">
        <v>43312116</v>
      </c>
      <c r="G19" s="257">
        <v>43312116</v>
      </c>
      <c r="H19" s="257">
        <v>0</v>
      </c>
      <c r="I19" s="257">
        <v>37613976</v>
      </c>
      <c r="J19" s="261">
        <v>0</v>
      </c>
      <c r="K19" s="257">
        <v>5698140</v>
      </c>
      <c r="L19" s="257">
        <v>5698140</v>
      </c>
      <c r="M19" s="257">
        <v>0</v>
      </c>
      <c r="N19" s="257">
        <v>0</v>
      </c>
    </row>
    <row r="20" spans="1:14" s="143" customFormat="1" hidden="1" x14ac:dyDescent="0.25">
      <c r="A20" s="143" t="s">
        <v>696</v>
      </c>
      <c r="B20" s="143" t="s">
        <v>104</v>
      </c>
      <c r="C20" s="143" t="s">
        <v>105</v>
      </c>
      <c r="D20" s="143" t="s">
        <v>69</v>
      </c>
      <c r="E20" s="257">
        <v>83371900</v>
      </c>
      <c r="F20" s="257">
        <v>83371900</v>
      </c>
      <c r="G20" s="257">
        <v>83371899.599999994</v>
      </c>
      <c r="H20" s="257">
        <v>0</v>
      </c>
      <c r="I20" s="257">
        <v>43917975.450000003</v>
      </c>
      <c r="J20" s="266">
        <v>0</v>
      </c>
      <c r="K20" s="257">
        <v>629860</v>
      </c>
      <c r="L20" s="257">
        <v>629860</v>
      </c>
      <c r="M20" s="257">
        <v>38824064.549999997</v>
      </c>
      <c r="N20" s="257">
        <v>38824064.149999999</v>
      </c>
    </row>
    <row r="21" spans="1:14" s="143" customFormat="1" hidden="1" x14ac:dyDescent="0.25">
      <c r="A21" s="143" t="s">
        <v>696</v>
      </c>
      <c r="B21" s="143" t="s">
        <v>106</v>
      </c>
      <c r="C21" s="143" t="s">
        <v>107</v>
      </c>
      <c r="D21" s="143" t="s">
        <v>69</v>
      </c>
      <c r="E21" s="257">
        <v>55749325</v>
      </c>
      <c r="F21" s="257">
        <v>55749325</v>
      </c>
      <c r="G21" s="257">
        <v>55749324.600000001</v>
      </c>
      <c r="H21" s="257">
        <v>0</v>
      </c>
      <c r="I21" s="257">
        <v>29594135.449999999</v>
      </c>
      <c r="J21" s="269">
        <v>0</v>
      </c>
      <c r="K21" s="257">
        <v>0</v>
      </c>
      <c r="L21" s="257">
        <v>0</v>
      </c>
      <c r="M21" s="257">
        <v>26155189.550000001</v>
      </c>
      <c r="N21" s="257">
        <v>26155189.149999999</v>
      </c>
    </row>
    <row r="22" spans="1:14" s="143" customFormat="1" hidden="1" x14ac:dyDescent="0.25">
      <c r="A22" s="143" t="s">
        <v>696</v>
      </c>
      <c r="B22" s="143" t="s">
        <v>108</v>
      </c>
      <c r="C22" s="143" t="s">
        <v>109</v>
      </c>
      <c r="D22" s="143" t="s">
        <v>69</v>
      </c>
      <c r="E22" s="257">
        <v>55664325</v>
      </c>
      <c r="F22" s="257">
        <v>55664325</v>
      </c>
      <c r="G22" s="257">
        <v>55664324.600000001</v>
      </c>
      <c r="H22" s="257">
        <v>0</v>
      </c>
      <c r="I22" s="257">
        <v>29594135.449999999</v>
      </c>
      <c r="J22" s="269">
        <v>0</v>
      </c>
      <c r="K22" s="257">
        <v>0</v>
      </c>
      <c r="L22" s="257">
        <v>0</v>
      </c>
      <c r="M22" s="257">
        <v>26070189.550000001</v>
      </c>
      <c r="N22" s="257">
        <v>26070189.149999999</v>
      </c>
    </row>
    <row r="23" spans="1:14" s="143" customFormat="1" hidden="1" x14ac:dyDescent="0.25">
      <c r="A23" s="143" t="s">
        <v>696</v>
      </c>
      <c r="B23" s="143" t="s">
        <v>110</v>
      </c>
      <c r="C23" s="143" t="s">
        <v>111</v>
      </c>
      <c r="D23" s="143" t="s">
        <v>69</v>
      </c>
      <c r="E23" s="257">
        <v>85000</v>
      </c>
      <c r="F23" s="257">
        <v>85000</v>
      </c>
      <c r="G23" s="257">
        <v>85000</v>
      </c>
      <c r="H23" s="257">
        <v>0</v>
      </c>
      <c r="I23" s="257">
        <v>0</v>
      </c>
      <c r="J23" s="269">
        <v>0</v>
      </c>
      <c r="K23" s="257">
        <v>0</v>
      </c>
      <c r="L23" s="257">
        <v>0</v>
      </c>
      <c r="M23" s="257">
        <v>85000</v>
      </c>
      <c r="N23" s="257">
        <v>85000</v>
      </c>
    </row>
    <row r="24" spans="1:14" s="143" customFormat="1" hidden="1" x14ac:dyDescent="0.25">
      <c r="A24" s="143" t="s">
        <v>696</v>
      </c>
      <c r="B24" s="143" t="s">
        <v>124</v>
      </c>
      <c r="C24" s="143" t="s">
        <v>125</v>
      </c>
      <c r="D24" s="143" t="s">
        <v>69</v>
      </c>
      <c r="E24" s="257">
        <v>1900000</v>
      </c>
      <c r="F24" s="257">
        <v>1900000</v>
      </c>
      <c r="G24" s="257">
        <v>1900000</v>
      </c>
      <c r="H24" s="257">
        <v>0</v>
      </c>
      <c r="I24" s="257">
        <v>264000</v>
      </c>
      <c r="J24" s="269">
        <v>0</v>
      </c>
      <c r="K24" s="257">
        <v>0</v>
      </c>
      <c r="L24" s="257">
        <v>0</v>
      </c>
      <c r="M24" s="257">
        <v>1636000</v>
      </c>
      <c r="N24" s="257">
        <v>1636000</v>
      </c>
    </row>
    <row r="25" spans="1:14" s="143" customFormat="1" hidden="1" x14ac:dyDescent="0.25">
      <c r="A25" s="143" t="s">
        <v>696</v>
      </c>
      <c r="B25" s="143" t="s">
        <v>128</v>
      </c>
      <c r="C25" s="143" t="s">
        <v>129</v>
      </c>
      <c r="D25" s="143" t="s">
        <v>69</v>
      </c>
      <c r="E25" s="257">
        <v>1250000</v>
      </c>
      <c r="F25" s="257">
        <v>1250000</v>
      </c>
      <c r="G25" s="257">
        <v>1250000</v>
      </c>
      <c r="H25" s="257">
        <v>0</v>
      </c>
      <c r="I25" s="257">
        <v>0</v>
      </c>
      <c r="J25" s="269">
        <v>0</v>
      </c>
      <c r="K25" s="257">
        <v>0</v>
      </c>
      <c r="L25" s="257">
        <v>0</v>
      </c>
      <c r="M25" s="257">
        <v>1250000</v>
      </c>
      <c r="N25" s="257">
        <v>1250000</v>
      </c>
    </row>
    <row r="26" spans="1:14" s="143" customFormat="1" hidden="1" x14ac:dyDescent="0.25">
      <c r="A26" s="143" t="s">
        <v>696</v>
      </c>
      <c r="B26" s="143" t="s">
        <v>130</v>
      </c>
      <c r="C26" s="143" t="s">
        <v>131</v>
      </c>
      <c r="D26" s="143" t="s">
        <v>69</v>
      </c>
      <c r="E26" s="257">
        <v>50000</v>
      </c>
      <c r="F26" s="257">
        <v>50000</v>
      </c>
      <c r="G26" s="257">
        <v>50000</v>
      </c>
      <c r="H26" s="257">
        <v>0</v>
      </c>
      <c r="I26" s="257">
        <v>0</v>
      </c>
      <c r="J26" s="269">
        <v>0</v>
      </c>
      <c r="K26" s="257">
        <v>0</v>
      </c>
      <c r="L26" s="257">
        <v>0</v>
      </c>
      <c r="M26" s="257">
        <v>50000</v>
      </c>
      <c r="N26" s="257">
        <v>50000</v>
      </c>
    </row>
    <row r="27" spans="1:14" s="143" customFormat="1" hidden="1" x14ac:dyDescent="0.25">
      <c r="A27" s="143" t="s">
        <v>696</v>
      </c>
      <c r="B27" s="143" t="s">
        <v>132</v>
      </c>
      <c r="C27" s="143" t="s">
        <v>133</v>
      </c>
      <c r="D27" s="143" t="s">
        <v>69</v>
      </c>
      <c r="E27" s="257">
        <v>600000</v>
      </c>
      <c r="F27" s="257">
        <v>600000</v>
      </c>
      <c r="G27" s="257">
        <v>600000</v>
      </c>
      <c r="H27" s="257">
        <v>0</v>
      </c>
      <c r="I27" s="257">
        <v>264000</v>
      </c>
      <c r="J27" s="269">
        <v>0</v>
      </c>
      <c r="K27" s="257">
        <v>0</v>
      </c>
      <c r="L27" s="257">
        <v>0</v>
      </c>
      <c r="M27" s="257">
        <v>336000</v>
      </c>
      <c r="N27" s="257">
        <v>336000</v>
      </c>
    </row>
    <row r="28" spans="1:14" s="143" customFormat="1" hidden="1" x14ac:dyDescent="0.25">
      <c r="A28" s="143" t="s">
        <v>696</v>
      </c>
      <c r="B28" s="143" t="s">
        <v>140</v>
      </c>
      <c r="C28" s="143" t="s">
        <v>141</v>
      </c>
      <c r="D28" s="143" t="s">
        <v>69</v>
      </c>
      <c r="E28" s="257">
        <v>25000000</v>
      </c>
      <c r="F28" s="257">
        <v>25000000</v>
      </c>
      <c r="G28" s="257">
        <v>25000000</v>
      </c>
      <c r="H28" s="257">
        <v>0</v>
      </c>
      <c r="I28" s="257">
        <v>13659840</v>
      </c>
      <c r="J28" s="269">
        <v>0</v>
      </c>
      <c r="K28" s="257">
        <v>629860</v>
      </c>
      <c r="L28" s="257">
        <v>629860</v>
      </c>
      <c r="M28" s="257">
        <v>10710300</v>
      </c>
      <c r="N28" s="257">
        <v>10710300</v>
      </c>
    </row>
    <row r="29" spans="1:14" s="143" customFormat="1" hidden="1" x14ac:dyDescent="0.25">
      <c r="A29" s="143" t="s">
        <v>696</v>
      </c>
      <c r="B29" s="143" t="s">
        <v>142</v>
      </c>
      <c r="C29" s="143" t="s">
        <v>143</v>
      </c>
      <c r="D29" s="143" t="s">
        <v>69</v>
      </c>
      <c r="E29" s="257">
        <v>100000</v>
      </c>
      <c r="F29" s="257">
        <v>100000</v>
      </c>
      <c r="G29" s="257">
        <v>100000</v>
      </c>
      <c r="H29" s="257">
        <v>0</v>
      </c>
      <c r="I29" s="257">
        <v>64340</v>
      </c>
      <c r="J29" s="269">
        <v>0</v>
      </c>
      <c r="K29" s="257">
        <v>35660</v>
      </c>
      <c r="L29" s="257">
        <v>35660</v>
      </c>
      <c r="M29" s="257">
        <v>0</v>
      </c>
      <c r="N29" s="257">
        <v>0</v>
      </c>
    </row>
    <row r="30" spans="1:14" s="143" customFormat="1" hidden="1" x14ac:dyDescent="0.25">
      <c r="A30" s="143" t="s">
        <v>696</v>
      </c>
      <c r="B30" s="143" t="s">
        <v>144</v>
      </c>
      <c r="C30" s="143" t="s">
        <v>145</v>
      </c>
      <c r="D30" s="143" t="s">
        <v>69</v>
      </c>
      <c r="E30" s="257">
        <v>8085000</v>
      </c>
      <c r="F30" s="257">
        <v>8085000</v>
      </c>
      <c r="G30" s="257">
        <v>8085000</v>
      </c>
      <c r="H30" s="257">
        <v>0</v>
      </c>
      <c r="I30" s="257">
        <v>7290500</v>
      </c>
      <c r="J30" s="269">
        <v>0</v>
      </c>
      <c r="K30" s="257">
        <v>594200</v>
      </c>
      <c r="L30" s="257">
        <v>594200</v>
      </c>
      <c r="M30" s="257">
        <v>200300</v>
      </c>
      <c r="N30" s="257">
        <v>200300</v>
      </c>
    </row>
    <row r="31" spans="1:14" s="143" customFormat="1" hidden="1" x14ac:dyDescent="0.25">
      <c r="A31" s="143" t="s">
        <v>696</v>
      </c>
      <c r="B31" s="143" t="s">
        <v>146</v>
      </c>
      <c r="C31" s="143" t="s">
        <v>147</v>
      </c>
      <c r="D31" s="143" t="s">
        <v>69</v>
      </c>
      <c r="E31" s="257">
        <v>8295000</v>
      </c>
      <c r="F31" s="257">
        <v>8295000</v>
      </c>
      <c r="G31" s="257">
        <v>8295000</v>
      </c>
      <c r="H31" s="257">
        <v>0</v>
      </c>
      <c r="I31" s="257">
        <v>2045000</v>
      </c>
      <c r="J31" s="269">
        <v>0</v>
      </c>
      <c r="K31" s="257">
        <v>0</v>
      </c>
      <c r="L31" s="257">
        <v>0</v>
      </c>
      <c r="M31" s="257">
        <v>6250000</v>
      </c>
      <c r="N31" s="257">
        <v>6250000</v>
      </c>
    </row>
    <row r="32" spans="1:14" s="143" customFormat="1" hidden="1" x14ac:dyDescent="0.25">
      <c r="A32" s="143" t="s">
        <v>696</v>
      </c>
      <c r="B32" s="143" t="s">
        <v>148</v>
      </c>
      <c r="C32" s="143" t="s">
        <v>149</v>
      </c>
      <c r="D32" s="143" t="s">
        <v>69</v>
      </c>
      <c r="E32" s="257">
        <v>8520000</v>
      </c>
      <c r="F32" s="257">
        <v>8520000</v>
      </c>
      <c r="G32" s="257">
        <v>8520000</v>
      </c>
      <c r="H32" s="257">
        <v>0</v>
      </c>
      <c r="I32" s="257">
        <v>4260000</v>
      </c>
      <c r="J32" s="269">
        <v>0</v>
      </c>
      <c r="K32" s="257">
        <v>0</v>
      </c>
      <c r="L32" s="257">
        <v>0</v>
      </c>
      <c r="M32" s="257">
        <v>4260000</v>
      </c>
      <c r="N32" s="257">
        <v>4260000</v>
      </c>
    </row>
    <row r="33" spans="1:14" s="143" customFormat="1" hidden="1" x14ac:dyDescent="0.25">
      <c r="A33" s="143" t="s">
        <v>696</v>
      </c>
      <c r="B33" s="143" t="s">
        <v>154</v>
      </c>
      <c r="C33" s="143" t="s">
        <v>155</v>
      </c>
      <c r="D33" s="143" t="s">
        <v>69</v>
      </c>
      <c r="E33" s="257">
        <v>400000</v>
      </c>
      <c r="F33" s="257">
        <v>400000</v>
      </c>
      <c r="G33" s="257">
        <v>400000</v>
      </c>
      <c r="H33" s="257">
        <v>0</v>
      </c>
      <c r="I33" s="257">
        <v>400000</v>
      </c>
      <c r="J33" s="269">
        <v>0</v>
      </c>
      <c r="K33" s="257">
        <v>0</v>
      </c>
      <c r="L33" s="257">
        <v>0</v>
      </c>
      <c r="M33" s="257">
        <v>0</v>
      </c>
      <c r="N33" s="257">
        <v>0</v>
      </c>
    </row>
    <row r="34" spans="1:14" s="143" customFormat="1" hidden="1" x14ac:dyDescent="0.25">
      <c r="A34" s="143" t="s">
        <v>696</v>
      </c>
      <c r="B34" s="143" t="s">
        <v>160</v>
      </c>
      <c r="C34" s="143" t="s">
        <v>161</v>
      </c>
      <c r="D34" s="143" t="s">
        <v>69</v>
      </c>
      <c r="E34" s="257">
        <v>400000</v>
      </c>
      <c r="F34" s="257">
        <v>400000</v>
      </c>
      <c r="G34" s="257">
        <v>400000</v>
      </c>
      <c r="H34" s="257">
        <v>0</v>
      </c>
      <c r="I34" s="257">
        <v>400000</v>
      </c>
      <c r="J34">
        <v>0</v>
      </c>
      <c r="K34" s="257">
        <v>0</v>
      </c>
      <c r="L34" s="257">
        <v>0</v>
      </c>
      <c r="M34" s="257">
        <v>0</v>
      </c>
      <c r="N34" s="257">
        <v>0</v>
      </c>
    </row>
    <row r="35" spans="1:14" s="143" customFormat="1" hidden="1" x14ac:dyDescent="0.25">
      <c r="A35" s="143" t="s">
        <v>696</v>
      </c>
      <c r="B35" s="143" t="s">
        <v>162</v>
      </c>
      <c r="C35" s="143" t="s">
        <v>163</v>
      </c>
      <c r="D35" s="143" t="s">
        <v>69</v>
      </c>
      <c r="E35" s="257">
        <v>322575</v>
      </c>
      <c r="F35" s="257">
        <v>322575</v>
      </c>
      <c r="G35" s="257">
        <v>322575</v>
      </c>
      <c r="H35" s="257">
        <v>0</v>
      </c>
      <c r="I35" s="257">
        <v>0</v>
      </c>
      <c r="J35" s="252">
        <v>0</v>
      </c>
      <c r="K35" s="257">
        <v>0</v>
      </c>
      <c r="L35" s="257">
        <v>0</v>
      </c>
      <c r="M35" s="257">
        <v>322575</v>
      </c>
      <c r="N35" s="257">
        <v>322575</v>
      </c>
    </row>
    <row r="36" spans="1:14" s="143" customFormat="1" hidden="1" x14ac:dyDescent="0.25">
      <c r="A36" s="143" t="s">
        <v>696</v>
      </c>
      <c r="B36" s="143" t="s">
        <v>170</v>
      </c>
      <c r="C36" s="143" t="s">
        <v>171</v>
      </c>
      <c r="D36" s="143" t="s">
        <v>69</v>
      </c>
      <c r="E36" s="257">
        <v>322575</v>
      </c>
      <c r="F36" s="257">
        <v>322575</v>
      </c>
      <c r="G36" s="257">
        <v>322575</v>
      </c>
      <c r="H36" s="257">
        <v>0</v>
      </c>
      <c r="I36" s="257">
        <v>0</v>
      </c>
      <c r="J36" s="261">
        <v>0</v>
      </c>
      <c r="K36" s="257">
        <v>0</v>
      </c>
      <c r="L36" s="257">
        <v>0</v>
      </c>
      <c r="M36" s="257">
        <v>322575</v>
      </c>
      <c r="N36" s="257">
        <v>322575</v>
      </c>
    </row>
    <row r="37" spans="1:14" s="143" customFormat="1" hidden="1" x14ac:dyDescent="0.25">
      <c r="A37" s="143" t="s">
        <v>696</v>
      </c>
      <c r="B37" s="143" t="s">
        <v>184</v>
      </c>
      <c r="C37" s="143" t="s">
        <v>185</v>
      </c>
      <c r="D37" s="143" t="s">
        <v>69</v>
      </c>
      <c r="E37" s="257">
        <v>4976400</v>
      </c>
      <c r="F37" s="257">
        <v>4976400</v>
      </c>
      <c r="G37" s="257">
        <v>4976400</v>
      </c>
      <c r="H37" s="257">
        <v>0</v>
      </c>
      <c r="I37" s="257">
        <v>497652</v>
      </c>
      <c r="J37" s="266">
        <v>0</v>
      </c>
      <c r="K37" s="257">
        <v>0</v>
      </c>
      <c r="L37" s="257">
        <v>0</v>
      </c>
      <c r="M37" s="257">
        <v>4478748</v>
      </c>
      <c r="N37" s="257">
        <v>4478748</v>
      </c>
    </row>
    <row r="38" spans="1:14" s="143" customFormat="1" hidden="1" x14ac:dyDescent="0.25">
      <c r="A38" s="143" t="s">
        <v>696</v>
      </c>
      <c r="B38" s="143" t="s">
        <v>186</v>
      </c>
      <c r="C38" s="143" t="s">
        <v>187</v>
      </c>
      <c r="D38" s="143" t="s">
        <v>69</v>
      </c>
      <c r="E38" s="257">
        <v>43000</v>
      </c>
      <c r="F38" s="257">
        <v>43000</v>
      </c>
      <c r="G38" s="257">
        <v>43000</v>
      </c>
      <c r="H38" s="257">
        <v>0</v>
      </c>
      <c r="I38" s="257">
        <v>0</v>
      </c>
      <c r="J38" s="269">
        <v>0</v>
      </c>
      <c r="K38" s="257">
        <v>0</v>
      </c>
      <c r="L38" s="257">
        <v>0</v>
      </c>
      <c r="M38" s="257">
        <v>43000</v>
      </c>
      <c r="N38" s="257">
        <v>43000</v>
      </c>
    </row>
    <row r="39" spans="1:14" s="143" customFormat="1" hidden="1" x14ac:dyDescent="0.25">
      <c r="A39" s="143" t="s">
        <v>696</v>
      </c>
      <c r="B39" s="143" t="s">
        <v>192</v>
      </c>
      <c r="C39" s="143" t="s">
        <v>193</v>
      </c>
      <c r="D39" s="143" t="s">
        <v>69</v>
      </c>
      <c r="E39" s="257">
        <v>43000</v>
      </c>
      <c r="F39" s="257">
        <v>43000</v>
      </c>
      <c r="G39" s="257">
        <v>43000</v>
      </c>
      <c r="H39" s="257">
        <v>0</v>
      </c>
      <c r="I39" s="257">
        <v>0</v>
      </c>
      <c r="J39" s="269">
        <v>0</v>
      </c>
      <c r="K39" s="257">
        <v>0</v>
      </c>
      <c r="L39" s="257">
        <v>0</v>
      </c>
      <c r="M39" s="257">
        <v>43000</v>
      </c>
      <c r="N39" s="257">
        <v>43000</v>
      </c>
    </row>
    <row r="40" spans="1:14" s="143" customFormat="1" hidden="1" x14ac:dyDescent="0.25">
      <c r="A40" s="143" t="s">
        <v>696</v>
      </c>
      <c r="B40" s="143" t="s">
        <v>206</v>
      </c>
      <c r="C40" s="143" t="s">
        <v>207</v>
      </c>
      <c r="D40" s="143" t="s">
        <v>69</v>
      </c>
      <c r="E40" s="257">
        <v>49000</v>
      </c>
      <c r="F40" s="257">
        <v>49000</v>
      </c>
      <c r="G40" s="257">
        <v>49000</v>
      </c>
      <c r="H40" s="257">
        <v>0</v>
      </c>
      <c r="I40" s="257">
        <v>0</v>
      </c>
      <c r="J40" s="269">
        <v>0</v>
      </c>
      <c r="K40" s="257">
        <v>0</v>
      </c>
      <c r="L40" s="257">
        <v>0</v>
      </c>
      <c r="M40" s="257">
        <v>49000</v>
      </c>
      <c r="N40" s="257">
        <v>49000</v>
      </c>
    </row>
    <row r="41" spans="1:14" s="143" customFormat="1" hidden="1" x14ac:dyDescent="0.25">
      <c r="A41" s="143" t="s">
        <v>696</v>
      </c>
      <c r="B41" s="143" t="s">
        <v>208</v>
      </c>
      <c r="C41" s="143" t="s">
        <v>209</v>
      </c>
      <c r="D41" s="143" t="s">
        <v>69</v>
      </c>
      <c r="E41" s="257">
        <v>49000</v>
      </c>
      <c r="F41" s="257">
        <v>49000</v>
      </c>
      <c r="G41" s="257">
        <v>49000</v>
      </c>
      <c r="H41" s="257">
        <v>0</v>
      </c>
      <c r="I41" s="257">
        <v>0</v>
      </c>
      <c r="J41" s="269">
        <v>0</v>
      </c>
      <c r="K41" s="257">
        <v>0</v>
      </c>
      <c r="L41" s="257">
        <v>0</v>
      </c>
      <c r="M41" s="257">
        <v>49000</v>
      </c>
      <c r="N41" s="257">
        <v>49000</v>
      </c>
    </row>
    <row r="42" spans="1:14" s="143" customFormat="1" hidden="1" x14ac:dyDescent="0.25">
      <c r="A42" s="143" t="s">
        <v>696</v>
      </c>
      <c r="B42" s="143" t="s">
        <v>212</v>
      </c>
      <c r="C42" s="143" t="s">
        <v>213</v>
      </c>
      <c r="D42" s="143" t="s">
        <v>69</v>
      </c>
      <c r="E42" s="257">
        <v>4884400</v>
      </c>
      <c r="F42" s="257">
        <v>4884400</v>
      </c>
      <c r="G42" s="257">
        <v>4884400</v>
      </c>
      <c r="H42" s="257">
        <v>0</v>
      </c>
      <c r="I42" s="257">
        <v>497652</v>
      </c>
      <c r="J42" s="269">
        <v>0</v>
      </c>
      <c r="K42" s="257">
        <v>0</v>
      </c>
      <c r="L42" s="257">
        <v>0</v>
      </c>
      <c r="M42" s="257">
        <v>4386748</v>
      </c>
      <c r="N42" s="257">
        <v>4386748</v>
      </c>
    </row>
    <row r="43" spans="1:14" s="143" customFormat="1" hidden="1" x14ac:dyDescent="0.25">
      <c r="A43" s="143" t="s">
        <v>696</v>
      </c>
      <c r="B43" s="143" t="s">
        <v>214</v>
      </c>
      <c r="C43" s="143" t="s">
        <v>215</v>
      </c>
      <c r="D43" s="143" t="s">
        <v>69</v>
      </c>
      <c r="E43" s="257">
        <v>2500000</v>
      </c>
      <c r="F43" s="257">
        <v>2500000</v>
      </c>
      <c r="G43" s="257">
        <v>2500000</v>
      </c>
      <c r="H43" s="257">
        <v>0</v>
      </c>
      <c r="I43" s="257">
        <v>0</v>
      </c>
      <c r="J43" s="269">
        <v>0</v>
      </c>
      <c r="K43" s="257">
        <v>0</v>
      </c>
      <c r="L43" s="257">
        <v>0</v>
      </c>
      <c r="M43" s="257">
        <v>2500000</v>
      </c>
      <c r="N43" s="257">
        <v>2500000</v>
      </c>
    </row>
    <row r="44" spans="1:14" s="143" customFormat="1" hidden="1" x14ac:dyDescent="0.25">
      <c r="A44" s="143" t="s">
        <v>696</v>
      </c>
      <c r="B44" s="143" t="s">
        <v>218</v>
      </c>
      <c r="C44" s="143" t="s">
        <v>219</v>
      </c>
      <c r="D44" s="143" t="s">
        <v>69</v>
      </c>
      <c r="E44" s="257">
        <v>1800000</v>
      </c>
      <c r="F44" s="257">
        <v>1800000</v>
      </c>
      <c r="G44" s="257">
        <v>1800000</v>
      </c>
      <c r="H44" s="257">
        <v>0</v>
      </c>
      <c r="I44" s="257">
        <v>497652</v>
      </c>
      <c r="J44" s="269">
        <v>0</v>
      </c>
      <c r="K44" s="257">
        <v>0</v>
      </c>
      <c r="L44" s="257">
        <v>0</v>
      </c>
      <c r="M44" s="257">
        <v>1302348</v>
      </c>
      <c r="N44" s="257">
        <v>1302348</v>
      </c>
    </row>
    <row r="45" spans="1:14" s="143" customFormat="1" hidden="1" x14ac:dyDescent="0.25">
      <c r="A45" s="143" t="s">
        <v>696</v>
      </c>
      <c r="B45" s="143" t="s">
        <v>222</v>
      </c>
      <c r="C45" s="143" t="s">
        <v>223</v>
      </c>
      <c r="D45" s="143" t="s">
        <v>69</v>
      </c>
      <c r="E45" s="257">
        <v>500000</v>
      </c>
      <c r="F45" s="257">
        <v>500000</v>
      </c>
      <c r="G45" s="257">
        <v>500000</v>
      </c>
      <c r="H45" s="257">
        <v>0</v>
      </c>
      <c r="I45" s="257">
        <v>0</v>
      </c>
      <c r="J45" s="269">
        <v>0</v>
      </c>
      <c r="K45" s="257">
        <v>0</v>
      </c>
      <c r="L45" s="257">
        <v>0</v>
      </c>
      <c r="M45" s="257">
        <v>500000</v>
      </c>
      <c r="N45" s="257">
        <v>500000</v>
      </c>
    </row>
    <row r="46" spans="1:14" s="143" customFormat="1" hidden="1" x14ac:dyDescent="0.25">
      <c r="A46" s="143" t="s">
        <v>696</v>
      </c>
      <c r="B46" s="143" t="s">
        <v>226</v>
      </c>
      <c r="C46" s="143" t="s">
        <v>227</v>
      </c>
      <c r="D46" s="143" t="s">
        <v>69</v>
      </c>
      <c r="E46" s="257">
        <v>37400</v>
      </c>
      <c r="F46" s="257">
        <v>37400</v>
      </c>
      <c r="G46" s="257">
        <v>37400</v>
      </c>
      <c r="H46" s="257">
        <v>0</v>
      </c>
      <c r="I46" s="257">
        <v>0</v>
      </c>
      <c r="J46" s="269">
        <v>0</v>
      </c>
      <c r="K46" s="257">
        <v>0</v>
      </c>
      <c r="L46" s="257">
        <v>0</v>
      </c>
      <c r="M46" s="257">
        <v>37400</v>
      </c>
      <c r="N46" s="257">
        <v>37400</v>
      </c>
    </row>
    <row r="47" spans="1:14" s="143" customFormat="1" hidden="1" x14ac:dyDescent="0.25">
      <c r="A47" s="143" t="s">
        <v>696</v>
      </c>
      <c r="B47" s="143" t="s">
        <v>228</v>
      </c>
      <c r="C47" s="143" t="s">
        <v>229</v>
      </c>
      <c r="D47" s="143" t="s">
        <v>69</v>
      </c>
      <c r="E47" s="257">
        <v>47000</v>
      </c>
      <c r="F47" s="257">
        <v>47000</v>
      </c>
      <c r="G47" s="257">
        <v>47000</v>
      </c>
      <c r="H47" s="257">
        <v>0</v>
      </c>
      <c r="I47" s="257">
        <v>0</v>
      </c>
      <c r="J47" s="269">
        <v>0</v>
      </c>
      <c r="K47" s="257">
        <v>0</v>
      </c>
      <c r="L47" s="257">
        <v>0</v>
      </c>
      <c r="M47" s="257">
        <v>47000</v>
      </c>
      <c r="N47" s="257">
        <v>47000</v>
      </c>
    </row>
    <row r="48" spans="1:14" s="143" customFormat="1" hidden="1" x14ac:dyDescent="0.25">
      <c r="A48" s="143" t="s">
        <v>696</v>
      </c>
      <c r="B48" s="143" t="s">
        <v>248</v>
      </c>
      <c r="C48" s="143" t="s">
        <v>249</v>
      </c>
      <c r="D48" s="143" t="s">
        <v>69</v>
      </c>
      <c r="E48" s="257">
        <v>314465910</v>
      </c>
      <c r="F48" s="257">
        <v>314465910</v>
      </c>
      <c r="G48" s="257">
        <v>107537339</v>
      </c>
      <c r="H48" s="257">
        <v>0</v>
      </c>
      <c r="I48" s="257">
        <v>39367156</v>
      </c>
      <c r="J48" s="269">
        <v>0</v>
      </c>
      <c r="K48" s="257">
        <v>60220634</v>
      </c>
      <c r="L48" s="257">
        <v>60220634</v>
      </c>
      <c r="M48" s="257">
        <v>214878120</v>
      </c>
      <c r="N48" s="257">
        <v>7949549</v>
      </c>
    </row>
    <row r="49" spans="1:14" s="143" customFormat="1" hidden="1" x14ac:dyDescent="0.25">
      <c r="A49" s="143" t="s">
        <v>696</v>
      </c>
      <c r="B49" s="143" t="s">
        <v>250</v>
      </c>
      <c r="C49" s="143" t="s">
        <v>251</v>
      </c>
      <c r="D49" s="143" t="s">
        <v>69</v>
      </c>
      <c r="E49" s="257">
        <v>281465910</v>
      </c>
      <c r="F49" s="257">
        <v>281465910</v>
      </c>
      <c r="G49" s="257">
        <v>97537339</v>
      </c>
      <c r="H49" s="257">
        <v>0</v>
      </c>
      <c r="I49" s="257">
        <v>39367156</v>
      </c>
      <c r="J49" s="269">
        <v>0</v>
      </c>
      <c r="K49" s="257">
        <v>58170182</v>
      </c>
      <c r="L49" s="257">
        <v>58170182</v>
      </c>
      <c r="M49" s="257">
        <v>183928572</v>
      </c>
      <c r="N49" s="257">
        <v>1</v>
      </c>
    </row>
    <row r="50" spans="1:14" s="143" customFormat="1" hidden="1" x14ac:dyDescent="0.25">
      <c r="A50" s="143" t="s">
        <v>696</v>
      </c>
      <c r="B50" s="143" t="s">
        <v>619</v>
      </c>
      <c r="C50" s="143" t="s">
        <v>701</v>
      </c>
      <c r="D50" s="143" t="s">
        <v>69</v>
      </c>
      <c r="E50" s="257">
        <v>257500000</v>
      </c>
      <c r="F50" s="257">
        <v>257500000</v>
      </c>
      <c r="G50" s="257">
        <v>73571429</v>
      </c>
      <c r="H50" s="257">
        <v>0</v>
      </c>
      <c r="I50" s="257">
        <v>18392857</v>
      </c>
      <c r="J50" s="269">
        <v>0</v>
      </c>
      <c r="K50" s="257">
        <v>55178571</v>
      </c>
      <c r="L50" s="257">
        <v>55178571</v>
      </c>
      <c r="M50" s="257">
        <v>183928572</v>
      </c>
      <c r="N50" s="257">
        <v>1</v>
      </c>
    </row>
    <row r="51" spans="1:14" s="143" customFormat="1" hidden="1" x14ac:dyDescent="0.25">
      <c r="A51" s="143" t="s">
        <v>696</v>
      </c>
      <c r="B51" s="143" t="s">
        <v>625</v>
      </c>
      <c r="C51" s="143" t="s">
        <v>702</v>
      </c>
      <c r="D51" s="143" t="s">
        <v>69</v>
      </c>
      <c r="E51" s="257">
        <v>20356634</v>
      </c>
      <c r="F51" s="257">
        <v>20356634</v>
      </c>
      <c r="G51" s="257">
        <v>20356634</v>
      </c>
      <c r="H51" s="257">
        <v>0</v>
      </c>
      <c r="I51" s="257">
        <v>17839868</v>
      </c>
      <c r="J51">
        <v>0</v>
      </c>
      <c r="K51" s="257">
        <v>2516766</v>
      </c>
      <c r="L51" s="257">
        <v>2516766</v>
      </c>
      <c r="M51" s="257">
        <v>0</v>
      </c>
      <c r="N51" s="257">
        <v>0</v>
      </c>
    </row>
    <row r="52" spans="1:14" s="143" customFormat="1" hidden="1" x14ac:dyDescent="0.25">
      <c r="A52" s="143" t="s">
        <v>696</v>
      </c>
      <c r="B52" s="143" t="s">
        <v>640</v>
      </c>
      <c r="C52" s="143" t="s">
        <v>703</v>
      </c>
      <c r="D52" s="143" t="s">
        <v>69</v>
      </c>
      <c r="E52" s="257">
        <v>3609276</v>
      </c>
      <c r="F52" s="257">
        <v>3609276</v>
      </c>
      <c r="G52" s="257">
        <v>3609276</v>
      </c>
      <c r="H52" s="257">
        <v>0</v>
      </c>
      <c r="I52" s="257">
        <v>3134431</v>
      </c>
      <c r="J52" s="252">
        <v>0</v>
      </c>
      <c r="K52" s="257">
        <v>474845</v>
      </c>
      <c r="L52" s="257">
        <v>474845</v>
      </c>
      <c r="M52" s="257">
        <v>0</v>
      </c>
      <c r="N52" s="257">
        <v>0</v>
      </c>
    </row>
    <row r="53" spans="1:14" s="143" customFormat="1" hidden="1" x14ac:dyDescent="0.25">
      <c r="A53" s="143" t="s">
        <v>696</v>
      </c>
      <c r="B53" s="143" t="s">
        <v>260</v>
      </c>
      <c r="C53" s="143" t="s">
        <v>261</v>
      </c>
      <c r="D53" s="143" t="s">
        <v>69</v>
      </c>
      <c r="E53" s="257">
        <v>33000000</v>
      </c>
      <c r="F53" s="257">
        <v>33000000</v>
      </c>
      <c r="G53" s="257">
        <v>10000000</v>
      </c>
      <c r="H53" s="257">
        <v>0</v>
      </c>
      <c r="I53" s="257">
        <v>0</v>
      </c>
      <c r="J53" s="261">
        <v>0</v>
      </c>
      <c r="K53" s="257">
        <v>2050452</v>
      </c>
      <c r="L53" s="257">
        <v>2050452</v>
      </c>
      <c r="M53" s="257">
        <v>30949548</v>
      </c>
      <c r="N53" s="257">
        <v>7949548</v>
      </c>
    </row>
    <row r="54" spans="1:14" s="143" customFormat="1" hidden="1" x14ac:dyDescent="0.25">
      <c r="A54" s="143" t="s">
        <v>696</v>
      </c>
      <c r="B54" s="143" t="s">
        <v>262</v>
      </c>
      <c r="C54" s="143" t="s">
        <v>263</v>
      </c>
      <c r="D54" s="143" t="s">
        <v>69</v>
      </c>
      <c r="E54" s="257">
        <v>23000000</v>
      </c>
      <c r="F54" s="257">
        <v>23000000</v>
      </c>
      <c r="G54" s="257">
        <v>0</v>
      </c>
      <c r="H54" s="257">
        <v>0</v>
      </c>
      <c r="I54" s="257">
        <v>0</v>
      </c>
      <c r="J54" s="266">
        <v>0</v>
      </c>
      <c r="K54" s="257">
        <v>0</v>
      </c>
      <c r="L54" s="257">
        <v>0</v>
      </c>
      <c r="M54" s="257">
        <v>23000000</v>
      </c>
      <c r="N54" s="257">
        <v>0</v>
      </c>
    </row>
    <row r="55" spans="1:14" s="143" customFormat="1" hidden="1" x14ac:dyDescent="0.25">
      <c r="A55" s="143" t="s">
        <v>696</v>
      </c>
      <c r="B55" s="143" t="s">
        <v>264</v>
      </c>
      <c r="C55" s="143" t="s">
        <v>265</v>
      </c>
      <c r="D55" s="143" t="s">
        <v>69</v>
      </c>
      <c r="E55" s="257">
        <v>10000000</v>
      </c>
      <c r="F55" s="257">
        <v>10000000</v>
      </c>
      <c r="G55" s="257">
        <v>10000000</v>
      </c>
      <c r="H55" s="257">
        <v>0</v>
      </c>
      <c r="I55" s="257">
        <v>0</v>
      </c>
      <c r="J55" s="269">
        <v>0</v>
      </c>
      <c r="K55" s="257">
        <v>2050452</v>
      </c>
      <c r="L55" s="257">
        <v>2050452</v>
      </c>
      <c r="M55" s="257">
        <v>7949548</v>
      </c>
      <c r="N55" s="257">
        <v>7949548</v>
      </c>
    </row>
    <row r="56" spans="1:14" s="143" customFormat="1" hidden="1" x14ac:dyDescent="0.25">
      <c r="A56" s="143" t="s">
        <v>696</v>
      </c>
      <c r="B56" s="143" t="s">
        <v>230</v>
      </c>
      <c r="C56" s="143" t="s">
        <v>231</v>
      </c>
      <c r="D56" s="143" t="s">
        <v>85</v>
      </c>
      <c r="E56" s="257">
        <v>4220000</v>
      </c>
      <c r="F56" s="257">
        <v>4220000</v>
      </c>
      <c r="G56" s="257">
        <v>4220000</v>
      </c>
      <c r="H56" s="257">
        <v>0</v>
      </c>
      <c r="I56" s="257">
        <v>0</v>
      </c>
      <c r="J56" s="269">
        <v>0</v>
      </c>
      <c r="K56" s="257">
        <v>0</v>
      </c>
      <c r="L56" s="257">
        <v>0</v>
      </c>
      <c r="M56" s="257">
        <v>4220000</v>
      </c>
      <c r="N56" s="257">
        <v>4220000</v>
      </c>
    </row>
    <row r="57" spans="1:14" s="143" customFormat="1" hidden="1" x14ac:dyDescent="0.25">
      <c r="A57" s="143" t="s">
        <v>696</v>
      </c>
      <c r="B57" s="143" t="s">
        <v>232</v>
      </c>
      <c r="C57" s="143" t="s">
        <v>233</v>
      </c>
      <c r="D57" s="143" t="s">
        <v>85</v>
      </c>
      <c r="E57" s="257">
        <v>3320000</v>
      </c>
      <c r="F57" s="257">
        <v>3320000</v>
      </c>
      <c r="G57" s="257">
        <v>3320000</v>
      </c>
      <c r="H57" s="257">
        <v>0</v>
      </c>
      <c r="I57" s="257">
        <v>0</v>
      </c>
      <c r="J57" s="269">
        <v>0</v>
      </c>
      <c r="K57" s="257">
        <v>0</v>
      </c>
      <c r="L57" s="257">
        <v>0</v>
      </c>
      <c r="M57" s="257">
        <v>3320000</v>
      </c>
      <c r="N57" s="257">
        <v>3320000</v>
      </c>
    </row>
    <row r="58" spans="1:14" s="143" customFormat="1" hidden="1" x14ac:dyDescent="0.25">
      <c r="A58" s="143" t="s">
        <v>696</v>
      </c>
      <c r="B58" s="143" t="s">
        <v>236</v>
      </c>
      <c r="C58" s="143" t="s">
        <v>237</v>
      </c>
      <c r="D58" s="143" t="s">
        <v>85</v>
      </c>
      <c r="E58" s="257">
        <v>120000</v>
      </c>
      <c r="F58" s="257">
        <v>120000</v>
      </c>
      <c r="G58" s="257">
        <v>120000</v>
      </c>
      <c r="H58" s="257">
        <v>0</v>
      </c>
      <c r="I58" s="257">
        <v>0</v>
      </c>
      <c r="J58" s="269">
        <v>0</v>
      </c>
      <c r="K58" s="257">
        <v>0</v>
      </c>
      <c r="L58" s="257">
        <v>0</v>
      </c>
      <c r="M58" s="257">
        <v>120000</v>
      </c>
      <c r="N58" s="257">
        <v>120000</v>
      </c>
    </row>
    <row r="59" spans="1:14" s="143" customFormat="1" hidden="1" x14ac:dyDescent="0.25">
      <c r="A59" s="143" t="s">
        <v>696</v>
      </c>
      <c r="B59" s="143" t="s">
        <v>238</v>
      </c>
      <c r="C59" s="143" t="s">
        <v>239</v>
      </c>
      <c r="D59" s="143" t="s">
        <v>85</v>
      </c>
      <c r="E59" s="257">
        <v>3200000</v>
      </c>
      <c r="F59" s="257">
        <v>3200000</v>
      </c>
      <c r="G59" s="257">
        <v>3200000</v>
      </c>
      <c r="H59" s="257">
        <v>0</v>
      </c>
      <c r="I59" s="257">
        <v>0</v>
      </c>
      <c r="J59" s="269">
        <v>0</v>
      </c>
      <c r="K59" s="257">
        <v>0</v>
      </c>
      <c r="L59" s="257">
        <v>0</v>
      </c>
      <c r="M59" s="257">
        <v>3200000</v>
      </c>
      <c r="N59" s="257">
        <v>3200000</v>
      </c>
    </row>
    <row r="60" spans="1:14" s="143" customFormat="1" hidden="1" x14ac:dyDescent="0.25">
      <c r="A60" s="143" t="s">
        <v>696</v>
      </c>
      <c r="B60" s="143" t="s">
        <v>244</v>
      </c>
      <c r="C60" s="143" t="s">
        <v>245</v>
      </c>
      <c r="D60" s="143" t="s">
        <v>85</v>
      </c>
      <c r="E60" s="257">
        <v>900000</v>
      </c>
      <c r="F60" s="257">
        <v>900000</v>
      </c>
      <c r="G60" s="257">
        <v>900000</v>
      </c>
      <c r="H60" s="257">
        <v>0</v>
      </c>
      <c r="I60" s="257">
        <v>0</v>
      </c>
      <c r="J60" s="269">
        <v>0</v>
      </c>
      <c r="K60" s="257">
        <v>0</v>
      </c>
      <c r="L60" s="257">
        <v>0</v>
      </c>
      <c r="M60" s="257">
        <v>900000</v>
      </c>
      <c r="N60" s="257">
        <v>900000</v>
      </c>
    </row>
    <row r="61" spans="1:14" s="143" customFormat="1" hidden="1" x14ac:dyDescent="0.25">
      <c r="A61" s="143" t="s">
        <v>696</v>
      </c>
      <c r="B61" s="143" t="s">
        <v>246</v>
      </c>
      <c r="C61" s="143" t="s">
        <v>247</v>
      </c>
      <c r="D61" s="143" t="s">
        <v>85</v>
      </c>
      <c r="E61" s="257">
        <v>900000</v>
      </c>
      <c r="F61" s="257">
        <v>900000</v>
      </c>
      <c r="G61" s="257">
        <v>900000</v>
      </c>
      <c r="H61" s="257">
        <v>0</v>
      </c>
      <c r="I61" s="257">
        <v>0</v>
      </c>
      <c r="J61" s="269">
        <v>0</v>
      </c>
      <c r="K61" s="257">
        <v>0</v>
      </c>
      <c r="L61" s="257">
        <v>0</v>
      </c>
      <c r="M61" s="257">
        <v>900000</v>
      </c>
      <c r="N61" s="257">
        <v>900000</v>
      </c>
    </row>
    <row r="62" spans="1:14" s="143" customFormat="1" x14ac:dyDescent="0.25">
      <c r="A62" s="270">
        <v>214787</v>
      </c>
      <c r="D62" s="271" t="s">
        <v>69</v>
      </c>
      <c r="E62" s="257">
        <v>3672713874</v>
      </c>
      <c r="F62" s="272">
        <v>3672713874</v>
      </c>
      <c r="G62" s="257">
        <v>3007501197.1599998</v>
      </c>
      <c r="H62" s="269">
        <v>507108.14</v>
      </c>
      <c r="I62" s="273">
        <v>572668064.99000001</v>
      </c>
      <c r="J62" s="269">
        <v>1893605.72</v>
      </c>
      <c r="K62" s="269">
        <v>516104246.88999999</v>
      </c>
      <c r="L62" s="274">
        <v>515882846.88999999</v>
      </c>
      <c r="M62" s="273">
        <v>2581540848.2600002</v>
      </c>
      <c r="N62" s="257">
        <v>1916328171.4200001</v>
      </c>
    </row>
    <row r="63" spans="1:14" s="143" customFormat="1" hidden="1" x14ac:dyDescent="0.25">
      <c r="A63" s="143" t="s">
        <v>704</v>
      </c>
      <c r="B63" s="143" t="s">
        <v>71</v>
      </c>
      <c r="C63" s="143" t="s">
        <v>72</v>
      </c>
      <c r="D63" s="143" t="s">
        <v>69</v>
      </c>
      <c r="E63" s="257">
        <v>2848782596</v>
      </c>
      <c r="F63" s="257">
        <v>2848782596</v>
      </c>
      <c r="G63" s="257">
        <v>2613061971</v>
      </c>
      <c r="H63" s="257">
        <v>0</v>
      </c>
      <c r="I63" s="257">
        <v>361220611</v>
      </c>
      <c r="J63" s="269">
        <v>0</v>
      </c>
      <c r="K63" s="257">
        <v>426404976.29000002</v>
      </c>
      <c r="L63" s="257">
        <v>426404976.29000002</v>
      </c>
      <c r="M63" s="257">
        <v>2061157008.71</v>
      </c>
      <c r="N63" s="257">
        <v>1825436383.71</v>
      </c>
    </row>
    <row r="64" spans="1:14" s="143" customFormat="1" hidden="1" x14ac:dyDescent="0.25">
      <c r="A64" s="143" t="s">
        <v>704</v>
      </c>
      <c r="B64" s="143" t="s">
        <v>73</v>
      </c>
      <c r="C64" s="143" t="s">
        <v>74</v>
      </c>
      <c r="D64" s="143" t="s">
        <v>69</v>
      </c>
      <c r="E64" s="257">
        <v>1118901696</v>
      </c>
      <c r="F64" s="257">
        <v>1118901696</v>
      </c>
      <c r="G64" s="257">
        <v>892262926</v>
      </c>
      <c r="H64" s="257">
        <v>0</v>
      </c>
      <c r="I64" s="257">
        <v>0</v>
      </c>
      <c r="J64" s="269">
        <v>0</v>
      </c>
      <c r="K64" s="257">
        <v>169090883.33000001</v>
      </c>
      <c r="L64" s="257">
        <v>169090883.33000001</v>
      </c>
      <c r="M64" s="257">
        <v>949810812.66999996</v>
      </c>
      <c r="N64" s="257">
        <v>723172042.66999996</v>
      </c>
    </row>
    <row r="65" spans="1:14" s="143" customFormat="1" hidden="1" x14ac:dyDescent="0.25">
      <c r="A65" s="143" t="s">
        <v>704</v>
      </c>
      <c r="B65" s="143" t="s">
        <v>75</v>
      </c>
      <c r="C65" s="143" t="s">
        <v>76</v>
      </c>
      <c r="D65" s="143" t="s">
        <v>69</v>
      </c>
      <c r="E65" s="257">
        <v>1118901696</v>
      </c>
      <c r="F65" s="257">
        <v>1118901696</v>
      </c>
      <c r="G65" s="257">
        <v>892262926</v>
      </c>
      <c r="H65" s="257">
        <v>0</v>
      </c>
      <c r="I65" s="257">
        <v>0</v>
      </c>
      <c r="J65" s="269">
        <v>0</v>
      </c>
      <c r="K65" s="257">
        <v>169090883.33000001</v>
      </c>
      <c r="L65" s="257">
        <v>169090883.33000001</v>
      </c>
      <c r="M65" s="257">
        <v>949810812.66999996</v>
      </c>
      <c r="N65" s="257">
        <v>723172042.66999996</v>
      </c>
    </row>
    <row r="66" spans="1:14" s="143" customFormat="1" hidden="1" x14ac:dyDescent="0.25">
      <c r="A66" s="143" t="s">
        <v>704</v>
      </c>
      <c r="B66" s="143" t="s">
        <v>77</v>
      </c>
      <c r="C66" s="143" t="s">
        <v>78</v>
      </c>
      <c r="D66" s="143" t="s">
        <v>69</v>
      </c>
      <c r="E66" s="257">
        <v>1295309720</v>
      </c>
      <c r="F66" s="257">
        <v>1295309720</v>
      </c>
      <c r="G66" s="257">
        <v>1286227865</v>
      </c>
      <c r="H66" s="257">
        <v>0</v>
      </c>
      <c r="I66" s="257">
        <v>0</v>
      </c>
      <c r="J66" s="269">
        <v>0</v>
      </c>
      <c r="K66" s="257">
        <v>183963523.96000001</v>
      </c>
      <c r="L66" s="257">
        <v>183963523.96000001</v>
      </c>
      <c r="M66" s="257">
        <v>1111346196.04</v>
      </c>
      <c r="N66" s="257">
        <v>1102264341.04</v>
      </c>
    </row>
    <row r="67" spans="1:14" s="143" customFormat="1" hidden="1" x14ac:dyDescent="0.25">
      <c r="A67" s="143" t="s">
        <v>704</v>
      </c>
      <c r="B67" s="143" t="s">
        <v>79</v>
      </c>
      <c r="C67" s="143" t="s">
        <v>80</v>
      </c>
      <c r="D67" s="143" t="s">
        <v>69</v>
      </c>
      <c r="E67" s="257">
        <v>329734600</v>
      </c>
      <c r="F67" s="257">
        <v>329734600</v>
      </c>
      <c r="G67" s="257">
        <v>329734600</v>
      </c>
      <c r="H67" s="257">
        <v>0</v>
      </c>
      <c r="I67" s="257">
        <v>0</v>
      </c>
      <c r="J67" s="269">
        <v>0</v>
      </c>
      <c r="K67" s="257">
        <v>51018704.840000004</v>
      </c>
      <c r="L67" s="257">
        <v>51018704.840000004</v>
      </c>
      <c r="M67" s="257">
        <v>278715895.16000003</v>
      </c>
      <c r="N67" s="257">
        <v>278715895.16000003</v>
      </c>
    </row>
    <row r="68" spans="1:14" s="143" customFormat="1" hidden="1" x14ac:dyDescent="0.25">
      <c r="A68" s="143" t="s">
        <v>704</v>
      </c>
      <c r="B68" s="143" t="s">
        <v>81</v>
      </c>
      <c r="C68" s="143" t="s">
        <v>82</v>
      </c>
      <c r="D68" s="143" t="s">
        <v>69</v>
      </c>
      <c r="E68" s="257">
        <v>442514922</v>
      </c>
      <c r="F68" s="257">
        <v>442514922</v>
      </c>
      <c r="G68" s="257">
        <v>442514922</v>
      </c>
      <c r="H68" s="257">
        <v>0</v>
      </c>
      <c r="I68" s="257">
        <v>0</v>
      </c>
      <c r="J68">
        <v>0</v>
      </c>
      <c r="K68" s="257">
        <v>66312960.990000002</v>
      </c>
      <c r="L68" s="257">
        <v>66312960.990000002</v>
      </c>
      <c r="M68" s="257">
        <v>376201961.00999999</v>
      </c>
      <c r="N68" s="257">
        <v>376201961.00999999</v>
      </c>
    </row>
    <row r="69" spans="1:14" s="143" customFormat="1" hidden="1" x14ac:dyDescent="0.25">
      <c r="A69" s="143" t="s">
        <v>704</v>
      </c>
      <c r="B69" s="143" t="s">
        <v>86</v>
      </c>
      <c r="C69" s="143" t="s">
        <v>87</v>
      </c>
      <c r="D69" s="143" t="s">
        <v>69</v>
      </c>
      <c r="E69" s="257">
        <v>170646400</v>
      </c>
      <c r="F69" s="257">
        <v>170646400</v>
      </c>
      <c r="G69" s="257">
        <v>170646400</v>
      </c>
      <c r="H69" s="257">
        <v>0</v>
      </c>
      <c r="I69" s="257">
        <v>0</v>
      </c>
      <c r="J69" s="252">
        <v>0</v>
      </c>
      <c r="K69" s="257">
        <v>40448779.990000002</v>
      </c>
      <c r="L69" s="257">
        <v>40448779.990000002</v>
      </c>
      <c r="M69" s="257">
        <v>130197620.01000001</v>
      </c>
      <c r="N69" s="257">
        <v>130197620.01000001</v>
      </c>
    </row>
    <row r="70" spans="1:14" s="143" customFormat="1" hidden="1" x14ac:dyDescent="0.25">
      <c r="A70" s="143" t="s">
        <v>704</v>
      </c>
      <c r="B70" s="143" t="s">
        <v>88</v>
      </c>
      <c r="C70" s="143" t="s">
        <v>89</v>
      </c>
      <c r="D70" s="143" t="s">
        <v>69</v>
      </c>
      <c r="E70" s="257">
        <v>166773800</v>
      </c>
      <c r="F70" s="257">
        <v>166773800</v>
      </c>
      <c r="G70" s="257">
        <v>166773800</v>
      </c>
      <c r="H70" s="257">
        <v>0</v>
      </c>
      <c r="I70" s="257">
        <v>0</v>
      </c>
      <c r="J70" s="261">
        <v>0</v>
      </c>
      <c r="K70" s="257">
        <v>26183078.140000001</v>
      </c>
      <c r="L70" s="257">
        <v>26183078.140000001</v>
      </c>
      <c r="M70" s="257">
        <v>140590721.86000001</v>
      </c>
      <c r="N70" s="257">
        <v>140590721.86000001</v>
      </c>
    </row>
    <row r="71" spans="1:14" s="143" customFormat="1" hidden="1" x14ac:dyDescent="0.25">
      <c r="A71" s="143" t="s">
        <v>704</v>
      </c>
      <c r="B71" s="143" t="s">
        <v>83</v>
      </c>
      <c r="C71" s="143" t="s">
        <v>84</v>
      </c>
      <c r="D71" s="143" t="s">
        <v>85</v>
      </c>
      <c r="E71" s="257">
        <v>185639998</v>
      </c>
      <c r="F71" s="257">
        <v>185639998</v>
      </c>
      <c r="G71" s="257">
        <v>176558143</v>
      </c>
      <c r="H71" s="257">
        <v>0</v>
      </c>
      <c r="I71" s="257">
        <v>0</v>
      </c>
      <c r="J71" s="266">
        <v>0</v>
      </c>
      <c r="K71" s="257">
        <v>0</v>
      </c>
      <c r="L71" s="257">
        <v>0</v>
      </c>
      <c r="M71" s="257">
        <v>185639998</v>
      </c>
      <c r="N71" s="257">
        <v>176558143</v>
      </c>
    </row>
    <row r="72" spans="1:14" s="143" customFormat="1" hidden="1" x14ac:dyDescent="0.25">
      <c r="A72" s="143" t="s">
        <v>704</v>
      </c>
      <c r="B72" s="143" t="s">
        <v>90</v>
      </c>
      <c r="C72" s="143" t="s">
        <v>91</v>
      </c>
      <c r="D72" s="143" t="s">
        <v>69</v>
      </c>
      <c r="E72" s="257">
        <v>217285640</v>
      </c>
      <c r="F72" s="257">
        <v>217285640</v>
      </c>
      <c r="G72" s="257">
        <v>217285640</v>
      </c>
      <c r="H72" s="257">
        <v>0</v>
      </c>
      <c r="I72" s="257">
        <v>180422572</v>
      </c>
      <c r="J72" s="269">
        <v>0</v>
      </c>
      <c r="K72" s="257">
        <v>36863068</v>
      </c>
      <c r="L72" s="257">
        <v>36863068</v>
      </c>
      <c r="M72" s="257">
        <v>0</v>
      </c>
      <c r="N72" s="257">
        <v>0</v>
      </c>
    </row>
    <row r="73" spans="1:14" s="143" customFormat="1" hidden="1" x14ac:dyDescent="0.25">
      <c r="A73" s="143" t="s">
        <v>704</v>
      </c>
      <c r="B73" s="143" t="s">
        <v>418</v>
      </c>
      <c r="C73" s="143" t="s">
        <v>697</v>
      </c>
      <c r="D73" s="143" t="s">
        <v>69</v>
      </c>
      <c r="E73" s="257">
        <v>206142800</v>
      </c>
      <c r="F73" s="257">
        <v>206142800</v>
      </c>
      <c r="G73" s="257">
        <v>206142800</v>
      </c>
      <c r="H73" s="257">
        <v>0</v>
      </c>
      <c r="I73" s="257">
        <v>171170141</v>
      </c>
      <c r="J73" s="269">
        <v>0</v>
      </c>
      <c r="K73" s="257">
        <v>34972659</v>
      </c>
      <c r="L73" s="257">
        <v>34972659</v>
      </c>
      <c r="M73" s="257">
        <v>0</v>
      </c>
      <c r="N73" s="257">
        <v>0</v>
      </c>
    </row>
    <row r="74" spans="1:14" s="143" customFormat="1" hidden="1" x14ac:dyDescent="0.25">
      <c r="A74" s="143" t="s">
        <v>704</v>
      </c>
      <c r="B74" s="143" t="s">
        <v>435</v>
      </c>
      <c r="C74" s="143" t="s">
        <v>95</v>
      </c>
      <c r="D74" s="143" t="s">
        <v>69</v>
      </c>
      <c r="E74" s="257">
        <v>11142840</v>
      </c>
      <c r="F74" s="257">
        <v>11142840</v>
      </c>
      <c r="G74" s="257">
        <v>11142840</v>
      </c>
      <c r="H74" s="257">
        <v>0</v>
      </c>
      <c r="I74" s="257">
        <v>9252431</v>
      </c>
      <c r="J74" s="269">
        <v>0</v>
      </c>
      <c r="K74" s="257">
        <v>1890409</v>
      </c>
      <c r="L74" s="257">
        <v>1890409</v>
      </c>
      <c r="M74" s="257">
        <v>0</v>
      </c>
      <c r="N74" s="257">
        <v>0</v>
      </c>
    </row>
    <row r="75" spans="1:14" s="143" customFormat="1" hidden="1" x14ac:dyDescent="0.25">
      <c r="A75" s="143" t="s">
        <v>704</v>
      </c>
      <c r="B75" s="143" t="s">
        <v>96</v>
      </c>
      <c r="C75" s="143" t="s">
        <v>97</v>
      </c>
      <c r="D75" s="143" t="s">
        <v>69</v>
      </c>
      <c r="E75" s="257">
        <v>217285540</v>
      </c>
      <c r="F75" s="257">
        <v>217285540</v>
      </c>
      <c r="G75" s="257">
        <v>217285540</v>
      </c>
      <c r="H75" s="257">
        <v>0</v>
      </c>
      <c r="I75" s="257">
        <v>180798039</v>
      </c>
      <c r="J75" s="269">
        <v>0</v>
      </c>
      <c r="K75" s="257">
        <v>36487501</v>
      </c>
      <c r="L75" s="257">
        <v>36487501</v>
      </c>
      <c r="M75" s="257">
        <v>0</v>
      </c>
      <c r="N75" s="257">
        <v>0</v>
      </c>
    </row>
    <row r="76" spans="1:14" s="143" customFormat="1" hidden="1" x14ac:dyDescent="0.25">
      <c r="A76" s="143" t="s">
        <v>704</v>
      </c>
      <c r="B76" s="143" t="s">
        <v>453</v>
      </c>
      <c r="C76" s="143" t="s">
        <v>698</v>
      </c>
      <c r="D76" s="143" t="s">
        <v>69</v>
      </c>
      <c r="E76" s="257">
        <v>116999976</v>
      </c>
      <c r="F76" s="257">
        <v>116999976</v>
      </c>
      <c r="G76" s="257">
        <v>116999976</v>
      </c>
      <c r="H76" s="257">
        <v>0</v>
      </c>
      <c r="I76" s="257">
        <v>97526206</v>
      </c>
      <c r="J76" s="269">
        <v>0</v>
      </c>
      <c r="K76" s="257">
        <v>19473770</v>
      </c>
      <c r="L76" s="257">
        <v>19473770</v>
      </c>
      <c r="M76" s="257">
        <v>0</v>
      </c>
      <c r="N76" s="257">
        <v>0</v>
      </c>
    </row>
    <row r="77" spans="1:14" s="143" customFormat="1" hidden="1" x14ac:dyDescent="0.25">
      <c r="A77" s="143" t="s">
        <v>704</v>
      </c>
      <c r="B77" s="143" t="s">
        <v>470</v>
      </c>
      <c r="C77" s="143" t="s">
        <v>699</v>
      </c>
      <c r="D77" s="143" t="s">
        <v>69</v>
      </c>
      <c r="E77" s="257">
        <v>33428521</v>
      </c>
      <c r="F77" s="257">
        <v>33428521</v>
      </c>
      <c r="G77" s="257">
        <v>33428521</v>
      </c>
      <c r="H77" s="257">
        <v>0</v>
      </c>
      <c r="I77" s="257">
        <v>27757274</v>
      </c>
      <c r="J77" s="269">
        <v>0</v>
      </c>
      <c r="K77" s="257">
        <v>5671247</v>
      </c>
      <c r="L77" s="257">
        <v>5671247</v>
      </c>
      <c r="M77" s="257">
        <v>0</v>
      </c>
      <c r="N77" s="257">
        <v>0</v>
      </c>
    </row>
    <row r="78" spans="1:14" s="143" customFormat="1" hidden="1" x14ac:dyDescent="0.25">
      <c r="A78" s="143" t="s">
        <v>704</v>
      </c>
      <c r="B78" s="143" t="s">
        <v>487</v>
      </c>
      <c r="C78" s="143" t="s">
        <v>700</v>
      </c>
      <c r="D78" s="143" t="s">
        <v>69</v>
      </c>
      <c r="E78" s="257">
        <v>66857043</v>
      </c>
      <c r="F78" s="257">
        <v>66857043</v>
      </c>
      <c r="G78" s="257">
        <v>66857043</v>
      </c>
      <c r="H78" s="257">
        <v>0</v>
      </c>
      <c r="I78" s="257">
        <v>55514559</v>
      </c>
      <c r="J78" s="269">
        <v>0</v>
      </c>
      <c r="K78" s="257">
        <v>11342484</v>
      </c>
      <c r="L78" s="257">
        <v>11342484</v>
      </c>
      <c r="M78" s="257">
        <v>0</v>
      </c>
      <c r="N78" s="257">
        <v>0</v>
      </c>
    </row>
    <row r="79" spans="1:14" s="143" customFormat="1" hidden="1" x14ac:dyDescent="0.25">
      <c r="A79" s="143" t="s">
        <v>704</v>
      </c>
      <c r="B79" s="143" t="s">
        <v>104</v>
      </c>
      <c r="C79" s="143" t="s">
        <v>105</v>
      </c>
      <c r="D79" s="143" t="s">
        <v>69</v>
      </c>
      <c r="E79" s="257">
        <v>261541565</v>
      </c>
      <c r="F79" s="257">
        <v>261541565</v>
      </c>
      <c r="G79" s="257">
        <v>171528185.16</v>
      </c>
      <c r="H79" s="257">
        <v>507108.14</v>
      </c>
      <c r="I79" s="257">
        <v>136598952.28999999</v>
      </c>
      <c r="J79" s="269">
        <v>68881.72</v>
      </c>
      <c r="K79" s="257">
        <v>9197845.3000000007</v>
      </c>
      <c r="L79" s="257">
        <v>8976445.3000000007</v>
      </c>
      <c r="M79" s="257">
        <v>115168777.55</v>
      </c>
      <c r="N79" s="257">
        <v>25155397.710000001</v>
      </c>
    </row>
    <row r="80" spans="1:14" s="143" customFormat="1" hidden="1" x14ac:dyDescent="0.25">
      <c r="A80" s="143" t="s">
        <v>704</v>
      </c>
      <c r="B80" s="143" t="s">
        <v>106</v>
      </c>
      <c r="C80" s="143" t="s">
        <v>107</v>
      </c>
      <c r="D80" s="143" t="s">
        <v>69</v>
      </c>
      <c r="E80" s="257">
        <v>90013380</v>
      </c>
      <c r="F80" s="257">
        <v>90013380</v>
      </c>
      <c r="G80" s="257">
        <v>0.16</v>
      </c>
      <c r="H80" s="257">
        <v>0</v>
      </c>
      <c r="I80" s="257">
        <v>14137549.84</v>
      </c>
      <c r="J80" s="269">
        <v>0</v>
      </c>
      <c r="K80" s="257">
        <v>0</v>
      </c>
      <c r="L80" s="257">
        <v>0</v>
      </c>
      <c r="M80" s="257">
        <v>75875830.159999996</v>
      </c>
      <c r="N80" s="257">
        <v>-14137549.68</v>
      </c>
    </row>
    <row r="81" spans="1:14" s="143" customFormat="1" hidden="1" x14ac:dyDescent="0.25">
      <c r="A81" s="143" t="s">
        <v>704</v>
      </c>
      <c r="B81" s="143" t="s">
        <v>108</v>
      </c>
      <c r="C81" s="143" t="s">
        <v>109</v>
      </c>
      <c r="D81" s="143" t="s">
        <v>69</v>
      </c>
      <c r="E81" s="257">
        <v>0</v>
      </c>
      <c r="F81" s="257">
        <v>0</v>
      </c>
      <c r="G81" s="257">
        <v>0</v>
      </c>
      <c r="H81" s="257">
        <v>0</v>
      </c>
      <c r="I81" s="257">
        <v>14137549.84</v>
      </c>
      <c r="J81" s="269">
        <v>0</v>
      </c>
      <c r="K81" s="257">
        <v>0</v>
      </c>
      <c r="L81" s="257">
        <v>0</v>
      </c>
      <c r="M81" s="257">
        <v>-14137549.84</v>
      </c>
      <c r="N81" s="257">
        <v>-14137549.84</v>
      </c>
    </row>
    <row r="82" spans="1:14" s="143" customFormat="1" hidden="1" x14ac:dyDescent="0.25">
      <c r="A82" s="143" t="s">
        <v>704</v>
      </c>
      <c r="B82" s="143" t="s">
        <v>304</v>
      </c>
      <c r="C82" s="143" t="s">
        <v>305</v>
      </c>
      <c r="D82" s="143" t="s">
        <v>69</v>
      </c>
      <c r="E82" s="257">
        <v>90013380</v>
      </c>
      <c r="F82" s="257">
        <v>90013380</v>
      </c>
      <c r="G82" s="257">
        <v>0.16</v>
      </c>
      <c r="H82" s="257">
        <v>0</v>
      </c>
      <c r="I82" s="257">
        <v>0</v>
      </c>
      <c r="J82" s="269">
        <v>0</v>
      </c>
      <c r="K82" s="257">
        <v>0</v>
      </c>
      <c r="L82" s="257">
        <v>0</v>
      </c>
      <c r="M82" s="257">
        <v>90013380</v>
      </c>
      <c r="N82" s="257">
        <v>0.16</v>
      </c>
    </row>
    <row r="83" spans="1:14" s="143" customFormat="1" hidden="1" x14ac:dyDescent="0.25">
      <c r="A83" s="143" t="s">
        <v>704</v>
      </c>
      <c r="B83" s="143" t="s">
        <v>112</v>
      </c>
      <c r="C83" s="143" t="s">
        <v>113</v>
      </c>
      <c r="D83" s="143" t="s">
        <v>69</v>
      </c>
      <c r="E83" s="257">
        <v>105953785</v>
      </c>
      <c r="F83" s="257">
        <v>105953785</v>
      </c>
      <c r="G83" s="257">
        <v>105953785</v>
      </c>
      <c r="H83" s="257">
        <v>0</v>
      </c>
      <c r="I83" s="257">
        <v>96698809.689999998</v>
      </c>
      <c r="J83" s="269">
        <v>0</v>
      </c>
      <c r="K83" s="257">
        <v>8834975.3000000007</v>
      </c>
      <c r="L83" s="257">
        <v>8834975.3000000007</v>
      </c>
      <c r="M83" s="257">
        <v>420000.01</v>
      </c>
      <c r="N83" s="257">
        <v>420000.01</v>
      </c>
    </row>
    <row r="84" spans="1:14" s="143" customFormat="1" hidden="1" x14ac:dyDescent="0.25">
      <c r="A84" s="143" t="s">
        <v>704</v>
      </c>
      <c r="B84" s="143" t="s">
        <v>114</v>
      </c>
      <c r="C84" s="143" t="s">
        <v>115</v>
      </c>
      <c r="D84" s="143" t="s">
        <v>69</v>
      </c>
      <c r="E84" s="257">
        <v>8169861</v>
      </c>
      <c r="F84" s="257">
        <v>8169861</v>
      </c>
      <c r="G84" s="257">
        <v>8169861</v>
      </c>
      <c r="H84" s="257">
        <v>0</v>
      </c>
      <c r="I84" s="257">
        <v>7582038</v>
      </c>
      <c r="J84" s="269">
        <v>0</v>
      </c>
      <c r="K84" s="257">
        <v>587823</v>
      </c>
      <c r="L84" s="257">
        <v>587823</v>
      </c>
      <c r="M84" s="257">
        <v>0</v>
      </c>
      <c r="N84" s="257">
        <v>0</v>
      </c>
    </row>
    <row r="85" spans="1:14" s="143" customFormat="1" hidden="1" x14ac:dyDescent="0.25">
      <c r="A85" s="143" t="s">
        <v>704</v>
      </c>
      <c r="B85" s="143" t="s">
        <v>116</v>
      </c>
      <c r="C85" s="143" t="s">
        <v>117</v>
      </c>
      <c r="D85" s="143" t="s">
        <v>69</v>
      </c>
      <c r="E85" s="257">
        <v>49884000</v>
      </c>
      <c r="F85" s="257">
        <v>49884000</v>
      </c>
      <c r="G85" s="257">
        <v>49884000</v>
      </c>
      <c r="H85" s="257">
        <v>0</v>
      </c>
      <c r="I85" s="257">
        <v>41655772.700000003</v>
      </c>
      <c r="J85">
        <v>0</v>
      </c>
      <c r="K85" s="257">
        <v>8228227.2999999998</v>
      </c>
      <c r="L85" s="257">
        <v>8228227.2999999998</v>
      </c>
      <c r="M85" s="257">
        <v>0</v>
      </c>
      <c r="N85" s="257">
        <v>0</v>
      </c>
    </row>
    <row r="86" spans="1:14" s="143" customFormat="1" hidden="1" x14ac:dyDescent="0.25">
      <c r="A86" s="143" t="s">
        <v>704</v>
      </c>
      <c r="B86" s="143" t="s">
        <v>118</v>
      </c>
      <c r="C86" s="143" t="s">
        <v>119</v>
      </c>
      <c r="D86" s="143" t="s">
        <v>69</v>
      </c>
      <c r="E86" s="257">
        <v>19924</v>
      </c>
      <c r="F86" s="257">
        <v>19924</v>
      </c>
      <c r="G86" s="257">
        <v>19924</v>
      </c>
      <c r="H86" s="257">
        <v>0</v>
      </c>
      <c r="I86" s="257">
        <v>999</v>
      </c>
      <c r="J86" s="252">
        <v>0</v>
      </c>
      <c r="K86" s="257">
        <v>18925</v>
      </c>
      <c r="L86" s="257">
        <v>18925</v>
      </c>
      <c r="M86" s="257">
        <v>0</v>
      </c>
      <c r="N86" s="257">
        <v>0</v>
      </c>
    </row>
    <row r="87" spans="1:14" s="143" customFormat="1" hidden="1" x14ac:dyDescent="0.25">
      <c r="A87" s="143" t="s">
        <v>704</v>
      </c>
      <c r="B87" s="143" t="s">
        <v>120</v>
      </c>
      <c r="C87" s="143" t="s">
        <v>121</v>
      </c>
      <c r="D87" s="143" t="s">
        <v>69</v>
      </c>
      <c r="E87" s="257">
        <v>47460000</v>
      </c>
      <c r="F87" s="257">
        <v>47460000</v>
      </c>
      <c r="G87" s="257">
        <v>47460000</v>
      </c>
      <c r="H87" s="257">
        <v>0</v>
      </c>
      <c r="I87" s="257">
        <v>47459999.990000002</v>
      </c>
      <c r="J87" s="261">
        <v>0</v>
      </c>
      <c r="K87" s="257">
        <v>0</v>
      </c>
      <c r="L87" s="257">
        <v>0</v>
      </c>
      <c r="M87" s="257">
        <v>0.01</v>
      </c>
      <c r="N87" s="257">
        <v>0.01</v>
      </c>
    </row>
    <row r="88" spans="1:14" s="143" customFormat="1" hidden="1" x14ac:dyDescent="0.25">
      <c r="A88" s="143" t="s">
        <v>704</v>
      </c>
      <c r="B88" s="143" t="s">
        <v>122</v>
      </c>
      <c r="C88" s="143" t="s">
        <v>123</v>
      </c>
      <c r="D88" s="143" t="s">
        <v>69</v>
      </c>
      <c r="E88" s="257">
        <v>420000</v>
      </c>
      <c r="F88" s="257">
        <v>420000</v>
      </c>
      <c r="G88" s="257">
        <v>420000</v>
      </c>
      <c r="H88" s="257">
        <v>0</v>
      </c>
      <c r="I88" s="257">
        <v>0</v>
      </c>
      <c r="J88" s="266">
        <v>0</v>
      </c>
      <c r="K88" s="257">
        <v>0</v>
      </c>
      <c r="L88" s="257">
        <v>0</v>
      </c>
      <c r="M88" s="257">
        <v>420000</v>
      </c>
      <c r="N88" s="257">
        <v>420000</v>
      </c>
    </row>
    <row r="89" spans="1:14" s="143" customFormat="1" hidden="1" x14ac:dyDescent="0.25">
      <c r="A89" s="143" t="s">
        <v>704</v>
      </c>
      <c r="B89" s="143" t="s">
        <v>124</v>
      </c>
      <c r="C89" s="143" t="s">
        <v>125</v>
      </c>
      <c r="D89" s="143" t="s">
        <v>69</v>
      </c>
      <c r="E89" s="257">
        <v>8000000</v>
      </c>
      <c r="F89" s="257">
        <v>8000000</v>
      </c>
      <c r="G89" s="257">
        <v>8000000</v>
      </c>
      <c r="H89" s="257">
        <v>0</v>
      </c>
      <c r="I89" s="257">
        <v>6600441.1200000001</v>
      </c>
      <c r="J89" s="269">
        <v>68881.72</v>
      </c>
      <c r="K89" s="257">
        <v>317370</v>
      </c>
      <c r="L89" s="257">
        <v>95970</v>
      </c>
      <c r="M89" s="257">
        <v>1013307.16</v>
      </c>
      <c r="N89" s="257">
        <v>1013307.16</v>
      </c>
    </row>
    <row r="90" spans="1:14" s="143" customFormat="1" hidden="1" x14ac:dyDescent="0.25">
      <c r="A90" s="143" t="s">
        <v>704</v>
      </c>
      <c r="B90" s="143" t="s">
        <v>126</v>
      </c>
      <c r="C90" s="143" t="s">
        <v>127</v>
      </c>
      <c r="D90" s="143" t="s">
        <v>69</v>
      </c>
      <c r="E90" s="257">
        <v>7000000</v>
      </c>
      <c r="F90" s="257">
        <v>7000000</v>
      </c>
      <c r="G90" s="257">
        <v>7000000</v>
      </c>
      <c r="H90" s="257">
        <v>0</v>
      </c>
      <c r="I90" s="257">
        <v>6600441.1200000001</v>
      </c>
      <c r="J90" s="269">
        <v>68881.72</v>
      </c>
      <c r="K90" s="257">
        <v>317370</v>
      </c>
      <c r="L90" s="257">
        <v>95970</v>
      </c>
      <c r="M90" s="257">
        <v>13307.16</v>
      </c>
      <c r="N90" s="257">
        <v>13307.16</v>
      </c>
    </row>
    <row r="91" spans="1:14" s="143" customFormat="1" hidden="1" x14ac:dyDescent="0.25">
      <c r="A91" s="143" t="s">
        <v>704</v>
      </c>
      <c r="B91" s="143" t="s">
        <v>132</v>
      </c>
      <c r="C91" s="143" t="s">
        <v>133</v>
      </c>
      <c r="D91" s="143" t="s">
        <v>69</v>
      </c>
      <c r="E91" s="257">
        <v>1000000</v>
      </c>
      <c r="F91" s="257">
        <v>1000000</v>
      </c>
      <c r="G91" s="257">
        <v>1000000</v>
      </c>
      <c r="H91" s="257">
        <v>0</v>
      </c>
      <c r="I91" s="257">
        <v>0</v>
      </c>
      <c r="J91" s="269">
        <v>0</v>
      </c>
      <c r="K91" s="257">
        <v>0</v>
      </c>
      <c r="L91" s="257">
        <v>0</v>
      </c>
      <c r="M91" s="257">
        <v>1000000</v>
      </c>
      <c r="N91" s="257">
        <v>1000000</v>
      </c>
    </row>
    <row r="92" spans="1:14" s="143" customFormat="1" hidden="1" x14ac:dyDescent="0.25">
      <c r="A92" s="143" t="s">
        <v>704</v>
      </c>
      <c r="B92" s="143" t="s">
        <v>134</v>
      </c>
      <c r="C92" s="143" t="s">
        <v>135</v>
      </c>
      <c r="D92" s="143" t="s">
        <v>69</v>
      </c>
      <c r="E92" s="257">
        <v>3480000</v>
      </c>
      <c r="F92" s="257">
        <v>3480000</v>
      </c>
      <c r="G92" s="257">
        <v>3480000</v>
      </c>
      <c r="H92" s="257">
        <v>0</v>
      </c>
      <c r="I92" s="257">
        <v>1128036</v>
      </c>
      <c r="J92" s="269">
        <v>0</v>
      </c>
      <c r="K92" s="257">
        <v>0</v>
      </c>
      <c r="L92" s="257">
        <v>0</v>
      </c>
      <c r="M92" s="257">
        <v>2351964</v>
      </c>
      <c r="N92" s="257">
        <v>2351964</v>
      </c>
    </row>
    <row r="93" spans="1:14" s="143" customFormat="1" hidden="1" x14ac:dyDescent="0.25">
      <c r="A93" s="143" t="s">
        <v>704</v>
      </c>
      <c r="B93" s="143" t="s">
        <v>136</v>
      </c>
      <c r="C93" s="143" t="s">
        <v>137</v>
      </c>
      <c r="D93" s="143" t="s">
        <v>69</v>
      </c>
      <c r="E93" s="257">
        <v>2000000</v>
      </c>
      <c r="F93" s="257">
        <v>2000000</v>
      </c>
      <c r="G93" s="257">
        <v>2000000</v>
      </c>
      <c r="H93" s="257">
        <v>0</v>
      </c>
      <c r="I93" s="257">
        <v>0</v>
      </c>
      <c r="J93" s="269">
        <v>0</v>
      </c>
      <c r="K93" s="257">
        <v>0</v>
      </c>
      <c r="L93" s="257">
        <v>0</v>
      </c>
      <c r="M93" s="257">
        <v>2000000</v>
      </c>
      <c r="N93" s="257">
        <v>2000000</v>
      </c>
    </row>
    <row r="94" spans="1:14" s="143" customFormat="1" hidden="1" x14ac:dyDescent="0.25">
      <c r="A94" s="143" t="s">
        <v>704</v>
      </c>
      <c r="B94" s="143" t="s">
        <v>138</v>
      </c>
      <c r="C94" s="143" t="s">
        <v>139</v>
      </c>
      <c r="D94" s="143" t="s">
        <v>69</v>
      </c>
      <c r="E94" s="257">
        <v>1480000</v>
      </c>
      <c r="F94" s="257">
        <v>1480000</v>
      </c>
      <c r="G94" s="257">
        <v>1480000</v>
      </c>
      <c r="H94" s="257">
        <v>0</v>
      </c>
      <c r="I94" s="257">
        <v>1128036</v>
      </c>
      <c r="J94" s="269">
        <v>0</v>
      </c>
      <c r="K94" s="257">
        <v>0</v>
      </c>
      <c r="L94" s="257">
        <v>0</v>
      </c>
      <c r="M94" s="257">
        <v>351964</v>
      </c>
      <c r="N94" s="257">
        <v>351964</v>
      </c>
    </row>
    <row r="95" spans="1:14" s="143" customFormat="1" hidden="1" x14ac:dyDescent="0.25">
      <c r="A95" s="143" t="s">
        <v>704</v>
      </c>
      <c r="B95" s="143" t="s">
        <v>140</v>
      </c>
      <c r="C95" s="143" t="s">
        <v>141</v>
      </c>
      <c r="D95" s="143" t="s">
        <v>69</v>
      </c>
      <c r="E95" s="257">
        <v>1500000</v>
      </c>
      <c r="F95" s="257">
        <v>1500000</v>
      </c>
      <c r="G95" s="257">
        <v>1500000</v>
      </c>
      <c r="H95" s="257">
        <v>0</v>
      </c>
      <c r="I95" s="257">
        <v>1454500</v>
      </c>
      <c r="J95" s="269">
        <v>0</v>
      </c>
      <c r="K95" s="257">
        <v>45500</v>
      </c>
      <c r="L95" s="257">
        <v>45500</v>
      </c>
      <c r="M95" s="257">
        <v>0</v>
      </c>
      <c r="N95" s="257">
        <v>0</v>
      </c>
    </row>
    <row r="96" spans="1:14" s="143" customFormat="1" hidden="1" x14ac:dyDescent="0.25">
      <c r="A96" s="143" t="s">
        <v>704</v>
      </c>
      <c r="B96" s="143" t="s">
        <v>144</v>
      </c>
      <c r="C96" s="143" t="s">
        <v>145</v>
      </c>
      <c r="D96" s="143" t="s">
        <v>69</v>
      </c>
      <c r="E96" s="257">
        <v>1500000</v>
      </c>
      <c r="F96" s="257">
        <v>1500000</v>
      </c>
      <c r="G96" s="257">
        <v>1500000</v>
      </c>
      <c r="H96" s="257">
        <v>0</v>
      </c>
      <c r="I96" s="257">
        <v>1454500</v>
      </c>
      <c r="J96" s="269">
        <v>0</v>
      </c>
      <c r="K96" s="257">
        <v>45500</v>
      </c>
      <c r="L96" s="257">
        <v>45500</v>
      </c>
      <c r="M96" s="257">
        <v>0</v>
      </c>
      <c r="N96" s="257">
        <v>0</v>
      </c>
    </row>
    <row r="97" spans="1:14" s="143" customFormat="1" hidden="1" x14ac:dyDescent="0.25">
      <c r="A97" s="143" t="s">
        <v>704</v>
      </c>
      <c r="B97" s="143" t="s">
        <v>150</v>
      </c>
      <c r="C97" s="143" t="s">
        <v>151</v>
      </c>
      <c r="D97" s="143" t="s">
        <v>69</v>
      </c>
      <c r="E97" s="257">
        <v>29000000</v>
      </c>
      <c r="F97" s="257">
        <v>29000000</v>
      </c>
      <c r="G97" s="257">
        <v>29000000</v>
      </c>
      <c r="H97" s="257">
        <v>0</v>
      </c>
      <c r="I97" s="257">
        <v>0</v>
      </c>
      <c r="J97" s="269">
        <v>0</v>
      </c>
      <c r="K97" s="257">
        <v>0</v>
      </c>
      <c r="L97" s="257">
        <v>0</v>
      </c>
      <c r="M97" s="257">
        <v>29000000</v>
      </c>
      <c r="N97" s="257">
        <v>29000000</v>
      </c>
    </row>
    <row r="98" spans="1:14" s="143" customFormat="1" hidden="1" x14ac:dyDescent="0.25">
      <c r="A98" s="143" t="s">
        <v>704</v>
      </c>
      <c r="B98" s="143" t="s">
        <v>152</v>
      </c>
      <c r="C98" s="143" t="s">
        <v>153</v>
      </c>
      <c r="D98" s="143" t="s">
        <v>69</v>
      </c>
      <c r="E98" s="257">
        <v>29000000</v>
      </c>
      <c r="F98" s="257">
        <v>29000000</v>
      </c>
      <c r="G98" s="257">
        <v>29000000</v>
      </c>
      <c r="H98" s="257">
        <v>0</v>
      </c>
      <c r="I98" s="257">
        <v>0</v>
      </c>
      <c r="J98" s="269">
        <v>0</v>
      </c>
      <c r="K98" s="257">
        <v>0</v>
      </c>
      <c r="L98" s="257">
        <v>0</v>
      </c>
      <c r="M98" s="257">
        <v>29000000</v>
      </c>
      <c r="N98" s="257">
        <v>29000000</v>
      </c>
    </row>
    <row r="99" spans="1:14" s="143" customFormat="1" hidden="1" x14ac:dyDescent="0.25">
      <c r="A99" s="143" t="s">
        <v>704</v>
      </c>
      <c r="B99" s="143" t="s">
        <v>154</v>
      </c>
      <c r="C99" s="143" t="s">
        <v>155</v>
      </c>
      <c r="D99" s="143" t="s">
        <v>69</v>
      </c>
      <c r="E99" s="257">
        <v>200000</v>
      </c>
      <c r="F99" s="257">
        <v>200000</v>
      </c>
      <c r="G99" s="257">
        <v>200000</v>
      </c>
      <c r="H99" s="257">
        <v>0</v>
      </c>
      <c r="I99" s="257">
        <v>200000</v>
      </c>
      <c r="J99" s="269">
        <v>0</v>
      </c>
      <c r="K99" s="257">
        <v>0</v>
      </c>
      <c r="L99" s="257">
        <v>0</v>
      </c>
      <c r="M99" s="257">
        <v>0</v>
      </c>
      <c r="N99" s="257">
        <v>0</v>
      </c>
    </row>
    <row r="100" spans="1:14" s="143" customFormat="1" hidden="1" x14ac:dyDescent="0.25">
      <c r="A100" s="143" t="s">
        <v>704</v>
      </c>
      <c r="B100" s="143" t="s">
        <v>160</v>
      </c>
      <c r="C100" s="143" t="s">
        <v>161</v>
      </c>
      <c r="D100" s="143" t="s">
        <v>69</v>
      </c>
      <c r="E100" s="257">
        <v>200000</v>
      </c>
      <c r="F100" s="257">
        <v>200000</v>
      </c>
      <c r="G100" s="257">
        <v>200000</v>
      </c>
      <c r="H100" s="257">
        <v>0</v>
      </c>
      <c r="I100" s="257">
        <v>200000</v>
      </c>
      <c r="J100" s="269">
        <v>0</v>
      </c>
      <c r="K100" s="257">
        <v>0</v>
      </c>
      <c r="L100" s="257">
        <v>0</v>
      </c>
      <c r="M100" s="257">
        <v>0</v>
      </c>
      <c r="N100" s="257">
        <v>0</v>
      </c>
    </row>
    <row r="101" spans="1:14" s="143" customFormat="1" hidden="1" x14ac:dyDescent="0.25">
      <c r="A101" s="143" t="s">
        <v>704</v>
      </c>
      <c r="B101" s="143" t="s">
        <v>162</v>
      </c>
      <c r="C101" s="143" t="s">
        <v>163</v>
      </c>
      <c r="D101" s="143" t="s">
        <v>69</v>
      </c>
      <c r="E101" s="257">
        <v>21394400</v>
      </c>
      <c r="F101" s="257">
        <v>21394400</v>
      </c>
      <c r="G101" s="257">
        <v>21394400</v>
      </c>
      <c r="H101" s="257">
        <v>507108.14</v>
      </c>
      <c r="I101" s="257">
        <v>14379615.640000001</v>
      </c>
      <c r="J101" s="269">
        <v>0</v>
      </c>
      <c r="K101" s="257">
        <v>0</v>
      </c>
      <c r="L101" s="257">
        <v>0</v>
      </c>
      <c r="M101" s="257">
        <v>6507676.2199999997</v>
      </c>
      <c r="N101" s="257">
        <v>6507676.2199999997</v>
      </c>
    </row>
    <row r="102" spans="1:14" s="143" customFormat="1" hidden="1" x14ac:dyDescent="0.25">
      <c r="A102" s="143" t="s">
        <v>704</v>
      </c>
      <c r="B102" s="143" t="s">
        <v>166</v>
      </c>
      <c r="C102" s="143" t="s">
        <v>167</v>
      </c>
      <c r="D102" s="143" t="s">
        <v>69</v>
      </c>
      <c r="E102" s="257">
        <v>13000000</v>
      </c>
      <c r="F102" s="257">
        <v>13000000</v>
      </c>
      <c r="G102" s="257">
        <v>13000000</v>
      </c>
      <c r="H102" s="257">
        <v>0</v>
      </c>
      <c r="I102" s="257">
        <v>11504385</v>
      </c>
      <c r="J102">
        <v>0</v>
      </c>
      <c r="K102" s="257">
        <v>0</v>
      </c>
      <c r="L102" s="257">
        <v>0</v>
      </c>
      <c r="M102" s="257">
        <v>1495615</v>
      </c>
      <c r="N102" s="257">
        <v>1495615</v>
      </c>
    </row>
    <row r="103" spans="1:14" s="143" customFormat="1" hidden="1" x14ac:dyDescent="0.25">
      <c r="A103" s="143" t="s">
        <v>704</v>
      </c>
      <c r="B103" s="143" t="s">
        <v>168</v>
      </c>
      <c r="C103" s="143" t="s">
        <v>169</v>
      </c>
      <c r="D103" s="143" t="s">
        <v>69</v>
      </c>
      <c r="E103" s="257">
        <v>6194400</v>
      </c>
      <c r="F103" s="257">
        <v>6194400</v>
      </c>
      <c r="G103" s="257">
        <v>6194400</v>
      </c>
      <c r="H103" s="257">
        <v>0</v>
      </c>
      <c r="I103" s="257">
        <v>1758000</v>
      </c>
      <c r="J103" s="252">
        <v>0</v>
      </c>
      <c r="K103" s="257">
        <v>0</v>
      </c>
      <c r="L103" s="257">
        <v>0</v>
      </c>
      <c r="M103" s="257">
        <v>4436400</v>
      </c>
      <c r="N103" s="257">
        <v>4436400</v>
      </c>
    </row>
    <row r="104" spans="1:14" s="143" customFormat="1" hidden="1" x14ac:dyDescent="0.25">
      <c r="A104" s="143" t="s">
        <v>704</v>
      </c>
      <c r="B104" s="143" t="s">
        <v>172</v>
      </c>
      <c r="C104" s="143" t="s">
        <v>173</v>
      </c>
      <c r="D104" s="143" t="s">
        <v>69</v>
      </c>
      <c r="E104" s="257">
        <v>2200000</v>
      </c>
      <c r="F104" s="257">
        <v>2200000</v>
      </c>
      <c r="G104" s="257">
        <v>2200000</v>
      </c>
      <c r="H104" s="257">
        <v>507108.14</v>
      </c>
      <c r="I104" s="257">
        <v>1117230.6399999999</v>
      </c>
      <c r="J104" s="261">
        <v>0</v>
      </c>
      <c r="K104" s="257">
        <v>0</v>
      </c>
      <c r="L104" s="257">
        <v>0</v>
      </c>
      <c r="M104" s="257">
        <v>575661.22</v>
      </c>
      <c r="N104" s="257">
        <v>575661.22</v>
      </c>
    </row>
    <row r="105" spans="1:14" s="143" customFormat="1" hidden="1" x14ac:dyDescent="0.25">
      <c r="A105" s="143" t="s">
        <v>704</v>
      </c>
      <c r="B105" s="143" t="s">
        <v>174</v>
      </c>
      <c r="C105" s="143" t="s">
        <v>175</v>
      </c>
      <c r="D105" s="143" t="s">
        <v>69</v>
      </c>
      <c r="E105" s="257">
        <v>1000000</v>
      </c>
      <c r="F105" s="257">
        <v>1000000</v>
      </c>
      <c r="G105" s="257">
        <v>1000000</v>
      </c>
      <c r="H105" s="257">
        <v>0</v>
      </c>
      <c r="I105" s="257">
        <v>1000000</v>
      </c>
      <c r="J105" s="266">
        <v>0</v>
      </c>
      <c r="K105" s="257">
        <v>0</v>
      </c>
      <c r="L105" s="257">
        <v>0</v>
      </c>
      <c r="M105" s="257">
        <v>0</v>
      </c>
      <c r="N105" s="257">
        <v>0</v>
      </c>
    </row>
    <row r="106" spans="1:14" s="143" customFormat="1" hidden="1" x14ac:dyDescent="0.25">
      <c r="A106" s="143" t="s">
        <v>704</v>
      </c>
      <c r="B106" s="143" t="s">
        <v>176</v>
      </c>
      <c r="C106" s="143" t="s">
        <v>177</v>
      </c>
      <c r="D106" s="143" t="s">
        <v>69</v>
      </c>
      <c r="E106" s="257">
        <v>1000000</v>
      </c>
      <c r="F106" s="257">
        <v>1000000</v>
      </c>
      <c r="G106" s="257">
        <v>1000000</v>
      </c>
      <c r="H106" s="257">
        <v>0</v>
      </c>
      <c r="I106" s="257">
        <v>1000000</v>
      </c>
      <c r="J106" s="269">
        <v>0</v>
      </c>
      <c r="K106" s="257">
        <v>0</v>
      </c>
      <c r="L106" s="257">
        <v>0</v>
      </c>
      <c r="M106" s="257">
        <v>0</v>
      </c>
      <c r="N106" s="257">
        <v>0</v>
      </c>
    </row>
    <row r="107" spans="1:14" s="143" customFormat="1" hidden="1" x14ac:dyDescent="0.25">
      <c r="A107" s="143" t="s">
        <v>704</v>
      </c>
      <c r="B107" s="143" t="s">
        <v>178</v>
      </c>
      <c r="C107" s="143" t="s">
        <v>179</v>
      </c>
      <c r="D107" s="143" t="s">
        <v>69</v>
      </c>
      <c r="E107" s="257">
        <v>1000000</v>
      </c>
      <c r="F107" s="257">
        <v>1000000</v>
      </c>
      <c r="G107" s="257">
        <v>1000000</v>
      </c>
      <c r="H107" s="257">
        <v>0</v>
      </c>
      <c r="I107" s="257">
        <v>1000000</v>
      </c>
      <c r="J107" s="269">
        <v>0</v>
      </c>
      <c r="K107" s="257">
        <v>0</v>
      </c>
      <c r="L107" s="257">
        <v>0</v>
      </c>
      <c r="M107" s="257">
        <v>0</v>
      </c>
      <c r="N107" s="257">
        <v>0</v>
      </c>
    </row>
    <row r="108" spans="1:14" s="143" customFormat="1" hidden="1" x14ac:dyDescent="0.25">
      <c r="A108" s="143" t="s">
        <v>704</v>
      </c>
      <c r="B108" s="143" t="s">
        <v>182</v>
      </c>
      <c r="C108" s="143" t="s">
        <v>183</v>
      </c>
      <c r="D108" s="143" t="s">
        <v>69</v>
      </c>
      <c r="E108" s="257">
        <v>1000000</v>
      </c>
      <c r="F108" s="257">
        <v>1000000</v>
      </c>
      <c r="G108" s="257">
        <v>1000000</v>
      </c>
      <c r="H108" s="257">
        <v>0</v>
      </c>
      <c r="I108" s="257">
        <v>1000000</v>
      </c>
      <c r="J108" s="269">
        <v>0</v>
      </c>
      <c r="K108" s="257">
        <v>0</v>
      </c>
      <c r="L108" s="257">
        <v>0</v>
      </c>
      <c r="M108" s="257">
        <v>0</v>
      </c>
      <c r="N108" s="257">
        <v>0</v>
      </c>
    </row>
    <row r="109" spans="1:14" s="143" customFormat="1" hidden="1" x14ac:dyDescent="0.25">
      <c r="A109" s="143" t="s">
        <v>704</v>
      </c>
      <c r="B109" s="143" t="s">
        <v>184</v>
      </c>
      <c r="C109" s="143" t="s">
        <v>185</v>
      </c>
      <c r="D109" s="143" t="s">
        <v>69</v>
      </c>
      <c r="E109" s="257">
        <v>40981500</v>
      </c>
      <c r="F109" s="257">
        <v>40981500</v>
      </c>
      <c r="G109" s="257">
        <v>40981500</v>
      </c>
      <c r="H109" s="257">
        <v>0</v>
      </c>
      <c r="I109" s="257">
        <v>9279167.8000000007</v>
      </c>
      <c r="J109" s="269">
        <v>1824724</v>
      </c>
      <c r="K109" s="257">
        <v>1365562.2</v>
      </c>
      <c r="L109" s="257">
        <v>1365562.2</v>
      </c>
      <c r="M109" s="257">
        <v>28512046</v>
      </c>
      <c r="N109" s="257">
        <v>28512046</v>
      </c>
    </row>
    <row r="110" spans="1:14" s="143" customFormat="1" hidden="1" x14ac:dyDescent="0.25">
      <c r="A110" s="143" t="s">
        <v>704</v>
      </c>
      <c r="B110" s="143" t="s">
        <v>186</v>
      </c>
      <c r="C110" s="143" t="s">
        <v>187</v>
      </c>
      <c r="D110" s="143" t="s">
        <v>69</v>
      </c>
      <c r="E110" s="257">
        <v>14621000</v>
      </c>
      <c r="F110" s="257">
        <v>14621000</v>
      </c>
      <c r="G110" s="257">
        <v>14621000</v>
      </c>
      <c r="H110" s="257">
        <v>0</v>
      </c>
      <c r="I110" s="257">
        <v>8234437.7999999998</v>
      </c>
      <c r="J110" s="269">
        <v>0</v>
      </c>
      <c r="K110" s="257">
        <v>1365562.2</v>
      </c>
      <c r="L110" s="257">
        <v>1365562.2</v>
      </c>
      <c r="M110" s="257">
        <v>5021000</v>
      </c>
      <c r="N110" s="257">
        <v>5021000</v>
      </c>
    </row>
    <row r="111" spans="1:14" s="143" customFormat="1" hidden="1" x14ac:dyDescent="0.25">
      <c r="A111" s="143" t="s">
        <v>704</v>
      </c>
      <c r="B111" s="143" t="s">
        <v>188</v>
      </c>
      <c r="C111" s="143" t="s">
        <v>189</v>
      </c>
      <c r="D111" s="143" t="s">
        <v>69</v>
      </c>
      <c r="E111" s="257">
        <v>9600000</v>
      </c>
      <c r="F111" s="257">
        <v>9600000</v>
      </c>
      <c r="G111" s="257">
        <v>9600000</v>
      </c>
      <c r="H111" s="257">
        <v>0</v>
      </c>
      <c r="I111" s="257">
        <v>8234437.7999999998</v>
      </c>
      <c r="J111" s="269">
        <v>0</v>
      </c>
      <c r="K111" s="257">
        <v>1365562.2</v>
      </c>
      <c r="L111" s="257">
        <v>1365562.2</v>
      </c>
      <c r="M111" s="257">
        <v>0</v>
      </c>
      <c r="N111" s="257">
        <v>0</v>
      </c>
    </row>
    <row r="112" spans="1:14" s="143" customFormat="1" hidden="1" x14ac:dyDescent="0.25">
      <c r="A112" s="143" t="s">
        <v>704</v>
      </c>
      <c r="B112" s="143" t="s">
        <v>190</v>
      </c>
      <c r="C112" s="143" t="s">
        <v>191</v>
      </c>
      <c r="D112" s="143" t="s">
        <v>69</v>
      </c>
      <c r="E112" s="257">
        <v>5000000</v>
      </c>
      <c r="F112" s="257">
        <v>5000000</v>
      </c>
      <c r="G112" s="257">
        <v>5000000</v>
      </c>
      <c r="H112" s="257">
        <v>0</v>
      </c>
      <c r="I112" s="257">
        <v>0</v>
      </c>
      <c r="J112" s="269">
        <v>0</v>
      </c>
      <c r="K112" s="257">
        <v>0</v>
      </c>
      <c r="L112" s="257">
        <v>0</v>
      </c>
      <c r="M112" s="257">
        <v>5000000</v>
      </c>
      <c r="N112" s="257">
        <v>5000000</v>
      </c>
    </row>
    <row r="113" spans="1:14" s="143" customFormat="1" hidden="1" x14ac:dyDescent="0.25">
      <c r="A113" s="143" t="s">
        <v>704</v>
      </c>
      <c r="B113" s="143" t="s">
        <v>192</v>
      </c>
      <c r="C113" s="143" t="s">
        <v>193</v>
      </c>
      <c r="D113" s="143" t="s">
        <v>69</v>
      </c>
      <c r="E113" s="257">
        <v>21000</v>
      </c>
      <c r="F113" s="257">
        <v>21000</v>
      </c>
      <c r="G113" s="257">
        <v>21000</v>
      </c>
      <c r="H113" s="257">
        <v>0</v>
      </c>
      <c r="I113" s="257">
        <v>0</v>
      </c>
      <c r="J113" s="269">
        <v>0</v>
      </c>
      <c r="K113" s="257">
        <v>0</v>
      </c>
      <c r="L113" s="257">
        <v>0</v>
      </c>
      <c r="M113" s="257">
        <v>21000</v>
      </c>
      <c r="N113" s="257">
        <v>21000</v>
      </c>
    </row>
    <row r="114" spans="1:14" s="143" customFormat="1" hidden="1" x14ac:dyDescent="0.25">
      <c r="A114" s="143" t="s">
        <v>704</v>
      </c>
      <c r="B114" s="143" t="s">
        <v>196</v>
      </c>
      <c r="C114" s="143" t="s">
        <v>197</v>
      </c>
      <c r="D114" s="143" t="s">
        <v>69</v>
      </c>
      <c r="E114" s="257">
        <v>3000000</v>
      </c>
      <c r="F114" s="257">
        <v>3000000</v>
      </c>
      <c r="G114" s="257">
        <v>3000000</v>
      </c>
      <c r="H114" s="257">
        <v>0</v>
      </c>
      <c r="I114" s="257">
        <v>754479</v>
      </c>
      <c r="J114" s="269">
        <v>0</v>
      </c>
      <c r="K114" s="257">
        <v>0</v>
      </c>
      <c r="L114" s="257">
        <v>0</v>
      </c>
      <c r="M114" s="257">
        <v>2245521</v>
      </c>
      <c r="N114" s="257">
        <v>2245521</v>
      </c>
    </row>
    <row r="115" spans="1:14" s="143" customFormat="1" hidden="1" x14ac:dyDescent="0.25">
      <c r="A115" s="143" t="s">
        <v>704</v>
      </c>
      <c r="B115" s="143" t="s">
        <v>198</v>
      </c>
      <c r="C115" s="143" t="s">
        <v>199</v>
      </c>
      <c r="D115" s="143" t="s">
        <v>69</v>
      </c>
      <c r="E115" s="257">
        <v>3000000</v>
      </c>
      <c r="F115" s="257">
        <v>3000000</v>
      </c>
      <c r="G115" s="257">
        <v>3000000</v>
      </c>
      <c r="H115" s="257">
        <v>0</v>
      </c>
      <c r="I115" s="257">
        <v>754479</v>
      </c>
      <c r="J115" s="269">
        <v>0</v>
      </c>
      <c r="K115" s="257">
        <v>0</v>
      </c>
      <c r="L115" s="257">
        <v>0</v>
      </c>
      <c r="M115" s="257">
        <v>2245521</v>
      </c>
      <c r="N115" s="257">
        <v>2245521</v>
      </c>
    </row>
    <row r="116" spans="1:14" s="143" customFormat="1" hidden="1" x14ac:dyDescent="0.25">
      <c r="A116" s="143" t="s">
        <v>704</v>
      </c>
      <c r="B116" s="143" t="s">
        <v>206</v>
      </c>
      <c r="C116" s="143" t="s">
        <v>207</v>
      </c>
      <c r="D116" s="143" t="s">
        <v>69</v>
      </c>
      <c r="E116" s="257">
        <v>355000</v>
      </c>
      <c r="F116" s="257">
        <v>355000</v>
      </c>
      <c r="G116" s="257">
        <v>355000</v>
      </c>
      <c r="H116" s="257">
        <v>0</v>
      </c>
      <c r="I116" s="257">
        <v>12615</v>
      </c>
      <c r="J116" s="269">
        <v>0</v>
      </c>
      <c r="K116" s="257">
        <v>0</v>
      </c>
      <c r="L116" s="257">
        <v>0</v>
      </c>
      <c r="M116" s="257">
        <v>342385</v>
      </c>
      <c r="N116" s="257">
        <v>342385</v>
      </c>
    </row>
    <row r="117" spans="1:14" s="143" customFormat="1" hidden="1" x14ac:dyDescent="0.25">
      <c r="A117" s="143" t="s">
        <v>704</v>
      </c>
      <c r="B117" s="143" t="s">
        <v>208</v>
      </c>
      <c r="C117" s="143" t="s">
        <v>209</v>
      </c>
      <c r="D117" s="143" t="s">
        <v>69</v>
      </c>
      <c r="E117" s="257">
        <v>130000</v>
      </c>
      <c r="F117" s="257">
        <v>130000</v>
      </c>
      <c r="G117" s="257">
        <v>130000</v>
      </c>
      <c r="H117" s="257">
        <v>0</v>
      </c>
      <c r="I117" s="257">
        <v>12615</v>
      </c>
      <c r="J117" s="269">
        <v>0</v>
      </c>
      <c r="K117" s="257">
        <v>0</v>
      </c>
      <c r="L117" s="257">
        <v>0</v>
      </c>
      <c r="M117" s="257">
        <v>117385</v>
      </c>
      <c r="N117" s="257">
        <v>117385</v>
      </c>
    </row>
    <row r="118" spans="1:14" s="143" customFormat="1" hidden="1" x14ac:dyDescent="0.25">
      <c r="A118" s="143" t="s">
        <v>704</v>
      </c>
      <c r="B118" s="143" t="s">
        <v>210</v>
      </c>
      <c r="C118" s="143" t="s">
        <v>211</v>
      </c>
      <c r="D118" s="143" t="s">
        <v>69</v>
      </c>
      <c r="E118" s="257">
        <v>225000</v>
      </c>
      <c r="F118" s="257">
        <v>225000</v>
      </c>
      <c r="G118" s="257">
        <v>225000</v>
      </c>
      <c r="H118" s="257">
        <v>0</v>
      </c>
      <c r="I118" s="257">
        <v>0</v>
      </c>
      <c r="J118" s="269">
        <v>0</v>
      </c>
      <c r="K118" s="257">
        <v>0</v>
      </c>
      <c r="L118" s="257">
        <v>0</v>
      </c>
      <c r="M118" s="257">
        <v>225000</v>
      </c>
      <c r="N118" s="257">
        <v>225000</v>
      </c>
    </row>
    <row r="119" spans="1:14" s="143" customFormat="1" hidden="1" x14ac:dyDescent="0.25">
      <c r="A119" s="143" t="s">
        <v>704</v>
      </c>
      <c r="B119" s="143" t="s">
        <v>212</v>
      </c>
      <c r="C119" s="143" t="s">
        <v>213</v>
      </c>
      <c r="D119" s="143" t="s">
        <v>69</v>
      </c>
      <c r="E119" s="257">
        <v>23005500</v>
      </c>
      <c r="F119" s="257">
        <v>23005500</v>
      </c>
      <c r="G119" s="257">
        <v>23005500</v>
      </c>
      <c r="H119" s="257">
        <v>0</v>
      </c>
      <c r="I119" s="257">
        <v>277636</v>
      </c>
      <c r="J119">
        <v>1824724</v>
      </c>
      <c r="K119" s="257">
        <v>0</v>
      </c>
      <c r="L119" s="257">
        <v>0</v>
      </c>
      <c r="M119" s="257">
        <v>20903140</v>
      </c>
      <c r="N119" s="257">
        <v>20903140</v>
      </c>
    </row>
    <row r="120" spans="1:14" s="143" customFormat="1" hidden="1" x14ac:dyDescent="0.25">
      <c r="A120" s="143" t="s">
        <v>704</v>
      </c>
      <c r="B120" s="143" t="s">
        <v>214</v>
      </c>
      <c r="C120" s="143" t="s">
        <v>215</v>
      </c>
      <c r="D120" s="143" t="s">
        <v>69</v>
      </c>
      <c r="E120" s="257">
        <v>2600000</v>
      </c>
      <c r="F120" s="257">
        <v>2600000</v>
      </c>
      <c r="G120" s="257">
        <v>2600000</v>
      </c>
      <c r="H120" s="257">
        <v>0</v>
      </c>
      <c r="I120" s="257">
        <v>0</v>
      </c>
      <c r="J120" s="252">
        <v>0</v>
      </c>
      <c r="K120" s="257">
        <v>0</v>
      </c>
      <c r="L120" s="257">
        <v>0</v>
      </c>
      <c r="M120" s="257">
        <v>2600000</v>
      </c>
      <c r="N120" s="257">
        <v>2600000</v>
      </c>
    </row>
    <row r="121" spans="1:14" s="143" customFormat="1" hidden="1" x14ac:dyDescent="0.25">
      <c r="A121" s="143" t="s">
        <v>704</v>
      </c>
      <c r="B121" s="143" t="s">
        <v>216</v>
      </c>
      <c r="C121" s="143" t="s">
        <v>217</v>
      </c>
      <c r="D121" s="143" t="s">
        <v>69</v>
      </c>
      <c r="E121" s="257">
        <v>562500</v>
      </c>
      <c r="F121" s="257">
        <v>562500</v>
      </c>
      <c r="G121" s="257">
        <v>562500</v>
      </c>
      <c r="H121" s="257">
        <v>0</v>
      </c>
      <c r="I121" s="257">
        <v>0</v>
      </c>
      <c r="J121" s="261">
        <v>0</v>
      </c>
      <c r="K121" s="257">
        <v>0</v>
      </c>
      <c r="L121" s="257">
        <v>0</v>
      </c>
      <c r="M121" s="257">
        <v>562500</v>
      </c>
      <c r="N121" s="257">
        <v>562500</v>
      </c>
    </row>
    <row r="122" spans="1:14" s="143" customFormat="1" hidden="1" x14ac:dyDescent="0.25">
      <c r="A122" s="143" t="s">
        <v>704</v>
      </c>
      <c r="B122" s="143" t="s">
        <v>218</v>
      </c>
      <c r="C122" s="143" t="s">
        <v>219</v>
      </c>
      <c r="D122" s="143" t="s">
        <v>69</v>
      </c>
      <c r="E122" s="257">
        <v>8000000</v>
      </c>
      <c r="F122" s="257">
        <v>8000000</v>
      </c>
      <c r="G122" s="257">
        <v>8000000</v>
      </c>
      <c r="H122" s="257">
        <v>0</v>
      </c>
      <c r="I122" s="257">
        <v>100000</v>
      </c>
      <c r="J122" s="266">
        <v>1824724</v>
      </c>
      <c r="K122" s="257">
        <v>0</v>
      </c>
      <c r="L122" s="257">
        <v>0</v>
      </c>
      <c r="M122" s="257">
        <v>6075276</v>
      </c>
      <c r="N122" s="257">
        <v>6075276</v>
      </c>
    </row>
    <row r="123" spans="1:14" s="143" customFormat="1" hidden="1" x14ac:dyDescent="0.25">
      <c r="A123" s="143" t="s">
        <v>704</v>
      </c>
      <c r="B123" s="143" t="s">
        <v>222</v>
      </c>
      <c r="C123" s="143" t="s">
        <v>223</v>
      </c>
      <c r="D123" s="143" t="s">
        <v>69</v>
      </c>
      <c r="E123" s="257">
        <v>11000000</v>
      </c>
      <c r="F123" s="257">
        <v>11000000</v>
      </c>
      <c r="G123" s="257">
        <v>11000000</v>
      </c>
      <c r="H123" s="257">
        <v>0</v>
      </c>
      <c r="I123" s="257">
        <v>177636</v>
      </c>
      <c r="J123" s="269">
        <v>0</v>
      </c>
      <c r="K123" s="257">
        <v>0</v>
      </c>
      <c r="L123" s="257">
        <v>0</v>
      </c>
      <c r="M123" s="257">
        <v>10822364</v>
      </c>
      <c r="N123" s="257">
        <v>10822364</v>
      </c>
    </row>
    <row r="124" spans="1:14" s="143" customFormat="1" hidden="1" x14ac:dyDescent="0.25">
      <c r="A124" s="143" t="s">
        <v>704</v>
      </c>
      <c r="B124" s="143" t="s">
        <v>224</v>
      </c>
      <c r="C124" s="143" t="s">
        <v>225</v>
      </c>
      <c r="D124" s="143" t="s">
        <v>69</v>
      </c>
      <c r="E124" s="257">
        <v>800000</v>
      </c>
      <c r="F124" s="257">
        <v>800000</v>
      </c>
      <c r="G124" s="257">
        <v>800000</v>
      </c>
      <c r="H124" s="257">
        <v>0</v>
      </c>
      <c r="I124" s="257">
        <v>0</v>
      </c>
      <c r="J124" s="269">
        <v>0</v>
      </c>
      <c r="K124" s="257">
        <v>0</v>
      </c>
      <c r="L124" s="257">
        <v>0</v>
      </c>
      <c r="M124" s="257">
        <v>800000</v>
      </c>
      <c r="N124" s="257">
        <v>800000</v>
      </c>
    </row>
    <row r="125" spans="1:14" s="143" customFormat="1" hidden="1" x14ac:dyDescent="0.25">
      <c r="A125" s="143" t="s">
        <v>704</v>
      </c>
      <c r="B125" s="143" t="s">
        <v>226</v>
      </c>
      <c r="C125" s="143" t="s">
        <v>227</v>
      </c>
      <c r="D125" s="143" t="s">
        <v>69</v>
      </c>
      <c r="E125" s="257">
        <v>10000</v>
      </c>
      <c r="F125" s="257">
        <v>10000</v>
      </c>
      <c r="G125" s="257">
        <v>10000</v>
      </c>
      <c r="H125" s="257">
        <v>0</v>
      </c>
      <c r="I125" s="257">
        <v>0</v>
      </c>
      <c r="J125" s="269">
        <v>0</v>
      </c>
      <c r="K125" s="257">
        <v>0</v>
      </c>
      <c r="L125" s="257">
        <v>0</v>
      </c>
      <c r="M125" s="257">
        <v>10000</v>
      </c>
      <c r="N125" s="257">
        <v>10000</v>
      </c>
    </row>
    <row r="126" spans="1:14" s="143" customFormat="1" hidden="1" x14ac:dyDescent="0.25">
      <c r="A126" s="143" t="s">
        <v>704</v>
      </c>
      <c r="B126" s="143" t="s">
        <v>228</v>
      </c>
      <c r="C126" s="143" t="s">
        <v>229</v>
      </c>
      <c r="D126" s="143" t="s">
        <v>69</v>
      </c>
      <c r="E126" s="257">
        <v>33000</v>
      </c>
      <c r="F126" s="257">
        <v>33000</v>
      </c>
      <c r="G126" s="257">
        <v>33000</v>
      </c>
      <c r="H126" s="257">
        <v>0</v>
      </c>
      <c r="I126" s="257">
        <v>0</v>
      </c>
      <c r="J126" s="269">
        <v>0</v>
      </c>
      <c r="K126" s="257">
        <v>0</v>
      </c>
      <c r="L126" s="257">
        <v>0</v>
      </c>
      <c r="M126" s="257">
        <v>33000</v>
      </c>
      <c r="N126" s="257">
        <v>33000</v>
      </c>
    </row>
    <row r="127" spans="1:14" s="143" customFormat="1" hidden="1" x14ac:dyDescent="0.25">
      <c r="A127" s="143" t="s">
        <v>704</v>
      </c>
      <c r="B127" s="143" t="s">
        <v>248</v>
      </c>
      <c r="C127" s="143" t="s">
        <v>249</v>
      </c>
      <c r="D127" s="143" t="s">
        <v>69</v>
      </c>
      <c r="E127" s="257">
        <v>509299073</v>
      </c>
      <c r="F127" s="257">
        <v>509299073</v>
      </c>
      <c r="G127" s="257">
        <v>169820401</v>
      </c>
      <c r="H127" s="257">
        <v>0</v>
      </c>
      <c r="I127" s="257">
        <v>65569333.899999999</v>
      </c>
      <c r="J127" s="269">
        <v>0</v>
      </c>
      <c r="K127" s="257">
        <v>79135863.099999994</v>
      </c>
      <c r="L127" s="257">
        <v>79135863.099999994</v>
      </c>
      <c r="M127" s="257">
        <v>364593876</v>
      </c>
      <c r="N127" s="257">
        <v>25115204</v>
      </c>
    </row>
    <row r="128" spans="1:14" s="143" customFormat="1" hidden="1" x14ac:dyDescent="0.25">
      <c r="A128" s="143" t="s">
        <v>704</v>
      </c>
      <c r="B128" s="143" t="s">
        <v>250</v>
      </c>
      <c r="C128" s="143" t="s">
        <v>251</v>
      </c>
      <c r="D128" s="143" t="s">
        <v>69</v>
      </c>
      <c r="E128" s="257">
        <v>38994178</v>
      </c>
      <c r="F128" s="257">
        <v>38994178</v>
      </c>
      <c r="G128" s="257">
        <v>38994178</v>
      </c>
      <c r="H128" s="257">
        <v>0</v>
      </c>
      <c r="I128" s="257">
        <v>31093580</v>
      </c>
      <c r="J128" s="269">
        <v>0</v>
      </c>
      <c r="K128" s="257">
        <v>7900598</v>
      </c>
      <c r="L128" s="257">
        <v>7900598</v>
      </c>
      <c r="M128" s="257">
        <v>0</v>
      </c>
      <c r="N128" s="257">
        <v>0</v>
      </c>
    </row>
    <row r="129" spans="1:14" s="143" customFormat="1" hidden="1" x14ac:dyDescent="0.25">
      <c r="A129" s="143" t="s">
        <v>704</v>
      </c>
      <c r="B129" s="143" t="s">
        <v>617</v>
      </c>
      <c r="C129" s="143" t="s">
        <v>253</v>
      </c>
      <c r="D129" s="143" t="s">
        <v>69</v>
      </c>
      <c r="E129" s="257">
        <v>2000000</v>
      </c>
      <c r="F129" s="257">
        <v>2000000</v>
      </c>
      <c r="G129" s="257">
        <v>2000000</v>
      </c>
      <c r="H129" s="257">
        <v>0</v>
      </c>
      <c r="I129" s="257">
        <v>0</v>
      </c>
      <c r="J129" s="269">
        <v>0</v>
      </c>
      <c r="K129" s="257">
        <v>2000000</v>
      </c>
      <c r="L129" s="257">
        <v>2000000</v>
      </c>
      <c r="M129" s="257">
        <v>0</v>
      </c>
      <c r="N129" s="257">
        <v>0</v>
      </c>
    </row>
    <row r="130" spans="1:14" s="143" customFormat="1" hidden="1" x14ac:dyDescent="0.25">
      <c r="A130" s="143" t="s">
        <v>704</v>
      </c>
      <c r="B130" s="143" t="s">
        <v>627</v>
      </c>
      <c r="C130" s="143" t="s">
        <v>702</v>
      </c>
      <c r="D130" s="143" t="s">
        <v>69</v>
      </c>
      <c r="E130" s="257">
        <v>31422808</v>
      </c>
      <c r="F130" s="257">
        <v>31422808</v>
      </c>
      <c r="G130" s="257">
        <v>31422808</v>
      </c>
      <c r="H130" s="257">
        <v>0</v>
      </c>
      <c r="I130" s="257">
        <v>26467417</v>
      </c>
      <c r="J130" s="269">
        <v>0</v>
      </c>
      <c r="K130" s="257">
        <v>4955391</v>
      </c>
      <c r="L130" s="257">
        <v>4955391</v>
      </c>
      <c r="M130" s="257">
        <v>0</v>
      </c>
      <c r="N130" s="257">
        <v>0</v>
      </c>
    </row>
    <row r="131" spans="1:14" s="143" customFormat="1" hidden="1" x14ac:dyDescent="0.25">
      <c r="A131" s="143" t="s">
        <v>704</v>
      </c>
      <c r="B131" s="143" t="s">
        <v>642</v>
      </c>
      <c r="C131" s="143" t="s">
        <v>703</v>
      </c>
      <c r="D131" s="143" t="s">
        <v>69</v>
      </c>
      <c r="E131" s="257">
        <v>5571370</v>
      </c>
      <c r="F131" s="257">
        <v>5571370</v>
      </c>
      <c r="G131" s="257">
        <v>5571370</v>
      </c>
      <c r="H131" s="257">
        <v>0</v>
      </c>
      <c r="I131" s="257">
        <v>4626163</v>
      </c>
      <c r="J131" s="269">
        <v>0</v>
      </c>
      <c r="K131" s="257">
        <v>945207</v>
      </c>
      <c r="L131" s="257">
        <v>945207</v>
      </c>
      <c r="M131" s="257">
        <v>0</v>
      </c>
      <c r="N131" s="257">
        <v>0</v>
      </c>
    </row>
    <row r="132" spans="1:14" s="143" customFormat="1" hidden="1" x14ac:dyDescent="0.25">
      <c r="A132" s="143" t="s">
        <v>704</v>
      </c>
      <c r="B132" s="143" t="s">
        <v>260</v>
      </c>
      <c r="C132" s="143" t="s">
        <v>261</v>
      </c>
      <c r="D132" s="143" t="s">
        <v>69</v>
      </c>
      <c r="E132" s="257">
        <v>47000000</v>
      </c>
      <c r="F132" s="257">
        <v>47000000</v>
      </c>
      <c r="G132" s="257">
        <v>25000000</v>
      </c>
      <c r="H132" s="257">
        <v>0</v>
      </c>
      <c r="I132" s="257">
        <v>0</v>
      </c>
      <c r="J132" s="269">
        <v>0</v>
      </c>
      <c r="K132" s="257">
        <v>138324</v>
      </c>
      <c r="L132" s="257">
        <v>138324</v>
      </c>
      <c r="M132" s="257">
        <v>46861676</v>
      </c>
      <c r="N132" s="257">
        <v>24861676</v>
      </c>
    </row>
    <row r="133" spans="1:14" s="143" customFormat="1" hidden="1" x14ac:dyDescent="0.25">
      <c r="A133" s="143" t="s">
        <v>704</v>
      </c>
      <c r="B133" s="143" t="s">
        <v>262</v>
      </c>
      <c r="C133" s="143" t="s">
        <v>263</v>
      </c>
      <c r="D133" s="143" t="s">
        <v>69</v>
      </c>
      <c r="E133" s="257">
        <v>22000000</v>
      </c>
      <c r="F133" s="257">
        <v>22000000</v>
      </c>
      <c r="G133" s="257">
        <v>0</v>
      </c>
      <c r="H133" s="257">
        <v>0</v>
      </c>
      <c r="I133" s="257">
        <v>0</v>
      </c>
      <c r="J133" s="269">
        <v>0</v>
      </c>
      <c r="K133" s="257">
        <v>0</v>
      </c>
      <c r="L133" s="257">
        <v>0</v>
      </c>
      <c r="M133" s="257">
        <v>22000000</v>
      </c>
      <c r="N133" s="257">
        <v>0</v>
      </c>
    </row>
    <row r="134" spans="1:14" s="143" customFormat="1" hidden="1" x14ac:dyDescent="0.25">
      <c r="A134" s="143" t="s">
        <v>704</v>
      </c>
      <c r="B134" s="143" t="s">
        <v>264</v>
      </c>
      <c r="C134" s="143" t="s">
        <v>265</v>
      </c>
      <c r="D134" s="143" t="s">
        <v>69</v>
      </c>
      <c r="E134" s="257">
        <v>25000000</v>
      </c>
      <c r="F134" s="257">
        <v>25000000</v>
      </c>
      <c r="G134" s="257">
        <v>25000000</v>
      </c>
      <c r="H134" s="257">
        <v>0</v>
      </c>
      <c r="I134" s="257">
        <v>0</v>
      </c>
      <c r="J134" s="269">
        <v>0</v>
      </c>
      <c r="K134" s="257">
        <v>138324</v>
      </c>
      <c r="L134" s="257">
        <v>138324</v>
      </c>
      <c r="M134" s="257">
        <v>24861676</v>
      </c>
      <c r="N134" s="257">
        <v>24861676</v>
      </c>
    </row>
    <row r="135" spans="1:14" s="143" customFormat="1" hidden="1" x14ac:dyDescent="0.25">
      <c r="A135" s="143" t="s">
        <v>704</v>
      </c>
      <c r="B135" s="143" t="s">
        <v>266</v>
      </c>
      <c r="C135" s="143" t="s">
        <v>267</v>
      </c>
      <c r="D135" s="143" t="s">
        <v>69</v>
      </c>
      <c r="E135" s="257">
        <v>423304895</v>
      </c>
      <c r="F135" s="257">
        <v>423304895</v>
      </c>
      <c r="G135" s="257">
        <v>105826223</v>
      </c>
      <c r="H135" s="257">
        <v>0</v>
      </c>
      <c r="I135" s="257">
        <v>34475753.899999999</v>
      </c>
      <c r="J135" s="269">
        <v>0</v>
      </c>
      <c r="K135" s="257">
        <v>71096941.099999994</v>
      </c>
      <c r="L135" s="257">
        <v>71096941.099999994</v>
      </c>
      <c r="M135" s="257">
        <v>317732200</v>
      </c>
      <c r="N135" s="257">
        <v>253528</v>
      </c>
    </row>
    <row r="136" spans="1:14" s="143" customFormat="1" hidden="1" x14ac:dyDescent="0.25">
      <c r="A136" s="143" t="s">
        <v>704</v>
      </c>
      <c r="B136" s="143" t="s">
        <v>664</v>
      </c>
      <c r="C136" s="143" t="s">
        <v>269</v>
      </c>
      <c r="D136" s="143" t="s">
        <v>69</v>
      </c>
      <c r="E136" s="257">
        <v>406300000</v>
      </c>
      <c r="F136" s="257">
        <v>406300000</v>
      </c>
      <c r="G136" s="257">
        <v>101828528</v>
      </c>
      <c r="H136" s="257">
        <v>0</v>
      </c>
      <c r="I136" s="257">
        <v>33858334</v>
      </c>
      <c r="J136">
        <v>0</v>
      </c>
      <c r="K136" s="257">
        <v>67716666</v>
      </c>
      <c r="L136" s="257">
        <v>67716666</v>
      </c>
      <c r="M136" s="257">
        <v>304725000</v>
      </c>
      <c r="N136" s="257">
        <v>253528</v>
      </c>
    </row>
    <row r="137" spans="1:14" s="143" customFormat="1" hidden="1" x14ac:dyDescent="0.25">
      <c r="A137" s="143" t="s">
        <v>704</v>
      </c>
      <c r="B137" s="143" t="s">
        <v>666</v>
      </c>
      <c r="C137" s="143" t="s">
        <v>705</v>
      </c>
      <c r="D137" s="143" t="s">
        <v>69</v>
      </c>
      <c r="E137" s="257">
        <v>13007200</v>
      </c>
      <c r="F137" s="257">
        <v>13007200</v>
      </c>
      <c r="G137" s="257">
        <v>0</v>
      </c>
      <c r="H137" s="257">
        <v>0</v>
      </c>
      <c r="I137" s="257">
        <v>0</v>
      </c>
      <c r="J137" s="252">
        <v>0</v>
      </c>
      <c r="K137" s="257">
        <v>0</v>
      </c>
      <c r="L137" s="257">
        <v>0</v>
      </c>
      <c r="M137" s="257">
        <v>13007200</v>
      </c>
      <c r="N137" s="257">
        <v>0</v>
      </c>
    </row>
    <row r="138" spans="1:14" s="143" customFormat="1" hidden="1" x14ac:dyDescent="0.25">
      <c r="A138" s="143" t="s">
        <v>704</v>
      </c>
      <c r="B138" s="143" t="s">
        <v>668</v>
      </c>
      <c r="C138" s="143" t="s">
        <v>273</v>
      </c>
      <c r="D138" s="143" t="s">
        <v>69</v>
      </c>
      <c r="E138" s="257">
        <v>3997695</v>
      </c>
      <c r="F138" s="257">
        <v>3997695</v>
      </c>
      <c r="G138" s="257">
        <v>3997695</v>
      </c>
      <c r="H138" s="257">
        <v>0</v>
      </c>
      <c r="I138" s="257">
        <v>617419.9</v>
      </c>
      <c r="J138" s="261">
        <v>0</v>
      </c>
      <c r="K138" s="257">
        <v>3380275.1</v>
      </c>
      <c r="L138" s="257">
        <v>3380275.1</v>
      </c>
      <c r="M138" s="257">
        <v>0</v>
      </c>
      <c r="N138" s="257">
        <v>0</v>
      </c>
    </row>
    <row r="139" spans="1:14" s="143" customFormat="1" hidden="1" x14ac:dyDescent="0.25">
      <c r="A139" s="143" t="s">
        <v>704</v>
      </c>
      <c r="B139" s="143" t="s">
        <v>230</v>
      </c>
      <c r="C139" s="143" t="s">
        <v>231</v>
      </c>
      <c r="D139" s="143" t="s">
        <v>85</v>
      </c>
      <c r="E139" s="257">
        <v>12109140</v>
      </c>
      <c r="F139" s="257">
        <v>12109140</v>
      </c>
      <c r="G139" s="257">
        <v>12109140</v>
      </c>
      <c r="H139" s="257">
        <v>0</v>
      </c>
      <c r="I139" s="257">
        <v>0</v>
      </c>
      <c r="J139" s="266">
        <v>0</v>
      </c>
      <c r="K139" s="257">
        <v>0</v>
      </c>
      <c r="L139" s="257">
        <v>0</v>
      </c>
      <c r="M139" s="257">
        <v>12109140</v>
      </c>
      <c r="N139" s="257">
        <v>12109140</v>
      </c>
    </row>
    <row r="140" spans="1:14" s="143" customFormat="1" hidden="1" x14ac:dyDescent="0.25">
      <c r="A140" s="143" t="s">
        <v>704</v>
      </c>
      <c r="B140" s="143" t="s">
        <v>232</v>
      </c>
      <c r="C140" s="143" t="s">
        <v>233</v>
      </c>
      <c r="D140" s="143" t="s">
        <v>85</v>
      </c>
      <c r="E140" s="257">
        <v>12109140</v>
      </c>
      <c r="F140" s="257">
        <v>12109140</v>
      </c>
      <c r="G140" s="257">
        <v>12109140</v>
      </c>
      <c r="H140" s="257">
        <v>0</v>
      </c>
      <c r="I140" s="257">
        <v>0</v>
      </c>
      <c r="J140" s="269">
        <v>0</v>
      </c>
      <c r="K140" s="257">
        <v>0</v>
      </c>
      <c r="L140" s="257">
        <v>0</v>
      </c>
      <c r="M140" s="257">
        <v>12109140</v>
      </c>
      <c r="N140" s="257">
        <v>12109140</v>
      </c>
    </row>
    <row r="141" spans="1:14" s="143" customFormat="1" hidden="1" x14ac:dyDescent="0.25">
      <c r="A141" s="143" t="s">
        <v>704</v>
      </c>
      <c r="B141" s="143" t="s">
        <v>234</v>
      </c>
      <c r="C141" s="143" t="s">
        <v>235</v>
      </c>
      <c r="D141" s="143" t="s">
        <v>85</v>
      </c>
      <c r="E141" s="257">
        <v>120000</v>
      </c>
      <c r="F141" s="257">
        <v>120000</v>
      </c>
      <c r="G141" s="257">
        <v>120000</v>
      </c>
      <c r="H141" s="257">
        <v>0</v>
      </c>
      <c r="I141" s="257">
        <v>0</v>
      </c>
      <c r="J141" s="269">
        <v>0</v>
      </c>
      <c r="K141" s="257">
        <v>0</v>
      </c>
      <c r="L141" s="257">
        <v>0</v>
      </c>
      <c r="M141" s="257">
        <v>120000</v>
      </c>
      <c r="N141" s="257">
        <v>120000</v>
      </c>
    </row>
    <row r="142" spans="1:14" s="143" customFormat="1" hidden="1" x14ac:dyDescent="0.25">
      <c r="A142" s="143" t="s">
        <v>704</v>
      </c>
      <c r="B142" s="143" t="s">
        <v>236</v>
      </c>
      <c r="C142" s="143" t="s">
        <v>237</v>
      </c>
      <c r="D142" s="143" t="s">
        <v>85</v>
      </c>
      <c r="E142" s="257">
        <v>620000</v>
      </c>
      <c r="F142" s="257">
        <v>620000</v>
      </c>
      <c r="G142" s="257">
        <v>620000</v>
      </c>
      <c r="H142" s="257">
        <v>0</v>
      </c>
      <c r="I142" s="257">
        <v>0</v>
      </c>
      <c r="J142" s="269">
        <v>0</v>
      </c>
      <c r="K142" s="257">
        <v>0</v>
      </c>
      <c r="L142" s="257">
        <v>0</v>
      </c>
      <c r="M142" s="257">
        <v>620000</v>
      </c>
      <c r="N142" s="257">
        <v>620000</v>
      </c>
    </row>
    <row r="143" spans="1:14" s="143" customFormat="1" hidden="1" x14ac:dyDescent="0.25">
      <c r="A143" s="143" t="s">
        <v>704</v>
      </c>
      <c r="B143" s="143" t="s">
        <v>238</v>
      </c>
      <c r="C143" s="143" t="s">
        <v>239</v>
      </c>
      <c r="D143" s="143" t="s">
        <v>85</v>
      </c>
      <c r="E143" s="257">
        <v>11369140</v>
      </c>
      <c r="F143" s="257">
        <v>11369140</v>
      </c>
      <c r="G143" s="257">
        <v>11369140</v>
      </c>
      <c r="H143" s="257">
        <v>0</v>
      </c>
      <c r="I143" s="257">
        <v>0</v>
      </c>
      <c r="J143" s="269">
        <v>0</v>
      </c>
      <c r="K143" s="257">
        <v>0</v>
      </c>
      <c r="L143" s="257">
        <v>0</v>
      </c>
      <c r="M143" s="257">
        <v>11369140</v>
      </c>
      <c r="N143" s="257">
        <v>11369140</v>
      </c>
    </row>
    <row r="144" spans="1:14" s="143" customFormat="1" x14ac:dyDescent="0.25">
      <c r="A144" s="270">
        <v>214788</v>
      </c>
      <c r="D144" s="271" t="s">
        <v>69</v>
      </c>
      <c r="E144" s="257">
        <v>3537393833</v>
      </c>
      <c r="F144" s="272">
        <v>3537393833</v>
      </c>
      <c r="G144" s="257">
        <v>1809696229.0999999</v>
      </c>
      <c r="H144" s="269">
        <v>9473095.2300000004</v>
      </c>
      <c r="I144" s="273">
        <v>382223231.72000003</v>
      </c>
      <c r="J144" s="269">
        <v>18961.43</v>
      </c>
      <c r="K144" s="269">
        <v>259185185.50999999</v>
      </c>
      <c r="L144" s="274">
        <v>258727399.50999999</v>
      </c>
      <c r="M144" s="273">
        <v>2886493359.1100001</v>
      </c>
      <c r="N144" s="257">
        <v>1158795755.21</v>
      </c>
    </row>
    <row r="145" spans="1:14" s="143" customFormat="1" hidden="1" x14ac:dyDescent="0.25">
      <c r="A145" s="143" t="s">
        <v>706</v>
      </c>
      <c r="B145" s="143" t="s">
        <v>71</v>
      </c>
      <c r="C145" s="143" t="s">
        <v>72</v>
      </c>
      <c r="D145" s="143" t="s">
        <v>69</v>
      </c>
      <c r="E145" s="257">
        <v>1329087181</v>
      </c>
      <c r="F145" s="257">
        <v>1329087181</v>
      </c>
      <c r="G145" s="257">
        <v>1232980543</v>
      </c>
      <c r="H145" s="257">
        <v>0</v>
      </c>
      <c r="I145" s="257">
        <v>165465933.31999999</v>
      </c>
      <c r="J145" s="269">
        <v>0</v>
      </c>
      <c r="K145" s="257">
        <v>240298289.75</v>
      </c>
      <c r="L145" s="257">
        <v>240298289.75</v>
      </c>
      <c r="M145" s="257">
        <v>923322957.92999995</v>
      </c>
      <c r="N145" s="257">
        <v>827216319.92999995</v>
      </c>
    </row>
    <row r="146" spans="1:14" s="143" customFormat="1" hidden="1" x14ac:dyDescent="0.25">
      <c r="A146" s="143" t="s">
        <v>706</v>
      </c>
      <c r="B146" s="143" t="s">
        <v>73</v>
      </c>
      <c r="C146" s="143" t="s">
        <v>74</v>
      </c>
      <c r="D146" s="143" t="s">
        <v>69</v>
      </c>
      <c r="E146" s="257">
        <v>512821400</v>
      </c>
      <c r="F146" s="257">
        <v>512821400</v>
      </c>
      <c r="G146" s="257">
        <v>416714762</v>
      </c>
      <c r="H146" s="257">
        <v>0</v>
      </c>
      <c r="I146" s="257">
        <v>0</v>
      </c>
      <c r="J146" s="269">
        <v>0</v>
      </c>
      <c r="K146" s="257">
        <v>72608404.75</v>
      </c>
      <c r="L146" s="257">
        <v>72608404.75</v>
      </c>
      <c r="M146" s="257">
        <v>440212995.25</v>
      </c>
      <c r="N146" s="257">
        <v>344106357.25</v>
      </c>
    </row>
    <row r="147" spans="1:14" s="143" customFormat="1" hidden="1" x14ac:dyDescent="0.25">
      <c r="A147" s="143" t="s">
        <v>706</v>
      </c>
      <c r="B147" s="143" t="s">
        <v>75</v>
      </c>
      <c r="C147" s="143" t="s">
        <v>76</v>
      </c>
      <c r="D147" s="143" t="s">
        <v>69</v>
      </c>
      <c r="E147" s="257">
        <v>507821400</v>
      </c>
      <c r="F147" s="257">
        <v>507821400</v>
      </c>
      <c r="G147" s="257">
        <v>411714762</v>
      </c>
      <c r="H147" s="257">
        <v>0</v>
      </c>
      <c r="I147" s="257">
        <v>0</v>
      </c>
      <c r="J147" s="269">
        <v>0</v>
      </c>
      <c r="K147" s="257">
        <v>72608404.75</v>
      </c>
      <c r="L147" s="257">
        <v>72608404.75</v>
      </c>
      <c r="M147" s="257">
        <v>435212995.25</v>
      </c>
      <c r="N147" s="257">
        <v>339106357.25</v>
      </c>
    </row>
    <row r="148" spans="1:14" s="143" customFormat="1" hidden="1" x14ac:dyDescent="0.25">
      <c r="A148" s="143" t="s">
        <v>706</v>
      </c>
      <c r="B148" s="143" t="s">
        <v>291</v>
      </c>
      <c r="C148" s="143" t="s">
        <v>292</v>
      </c>
      <c r="D148" s="143" t="s">
        <v>69</v>
      </c>
      <c r="E148" s="257">
        <v>5000000</v>
      </c>
      <c r="F148" s="257">
        <v>5000000</v>
      </c>
      <c r="G148" s="257">
        <v>5000000</v>
      </c>
      <c r="H148" s="257">
        <v>0</v>
      </c>
      <c r="I148" s="257">
        <v>0</v>
      </c>
      <c r="J148" s="269">
        <v>0</v>
      </c>
      <c r="K148" s="257">
        <v>0</v>
      </c>
      <c r="L148" s="257">
        <v>0</v>
      </c>
      <c r="M148" s="257">
        <v>5000000</v>
      </c>
      <c r="N148" s="257">
        <v>5000000</v>
      </c>
    </row>
    <row r="149" spans="1:14" s="143" customFormat="1" hidden="1" x14ac:dyDescent="0.25">
      <c r="A149" s="143" t="s">
        <v>706</v>
      </c>
      <c r="B149" s="143" t="s">
        <v>293</v>
      </c>
      <c r="C149" s="143" t="s">
        <v>294</v>
      </c>
      <c r="D149" s="143" t="s">
        <v>69</v>
      </c>
      <c r="E149" s="257">
        <v>11000000</v>
      </c>
      <c r="F149" s="257">
        <v>11000000</v>
      </c>
      <c r="G149" s="257">
        <v>11000000</v>
      </c>
      <c r="H149" s="257">
        <v>0</v>
      </c>
      <c r="I149" s="257">
        <v>0</v>
      </c>
      <c r="J149" s="269">
        <v>0</v>
      </c>
      <c r="K149" s="257">
        <v>598225.81999999995</v>
      </c>
      <c r="L149" s="257">
        <v>598225.81999999995</v>
      </c>
      <c r="M149" s="257">
        <v>10401774.18</v>
      </c>
      <c r="N149" s="257">
        <v>10401774.18</v>
      </c>
    </row>
    <row r="150" spans="1:14" s="143" customFormat="1" hidden="1" x14ac:dyDescent="0.25">
      <c r="A150" s="143" t="s">
        <v>706</v>
      </c>
      <c r="B150" s="143" t="s">
        <v>295</v>
      </c>
      <c r="C150" s="143" t="s">
        <v>296</v>
      </c>
      <c r="D150" s="143" t="s">
        <v>69</v>
      </c>
      <c r="E150" s="257">
        <v>11000000</v>
      </c>
      <c r="F150" s="257">
        <v>11000000</v>
      </c>
      <c r="G150" s="257">
        <v>11000000</v>
      </c>
      <c r="H150" s="257">
        <v>0</v>
      </c>
      <c r="I150" s="257">
        <v>0</v>
      </c>
      <c r="J150" s="269">
        <v>0</v>
      </c>
      <c r="K150" s="257">
        <v>598225.81999999995</v>
      </c>
      <c r="L150" s="257">
        <v>598225.81999999995</v>
      </c>
      <c r="M150" s="257">
        <v>10401774.18</v>
      </c>
      <c r="N150" s="257">
        <v>10401774.18</v>
      </c>
    </row>
    <row r="151" spans="1:14" s="143" customFormat="1" hidden="1" x14ac:dyDescent="0.25">
      <c r="A151" s="143" t="s">
        <v>706</v>
      </c>
      <c r="B151" s="143" t="s">
        <v>77</v>
      </c>
      <c r="C151" s="143" t="s">
        <v>78</v>
      </c>
      <c r="D151" s="143" t="s">
        <v>69</v>
      </c>
      <c r="E151" s="257">
        <v>602518513</v>
      </c>
      <c r="F151" s="257">
        <v>602518513</v>
      </c>
      <c r="G151" s="257">
        <v>602518513</v>
      </c>
      <c r="H151" s="257">
        <v>0</v>
      </c>
      <c r="I151" s="257">
        <v>0</v>
      </c>
      <c r="J151" s="269">
        <v>0</v>
      </c>
      <c r="K151" s="257">
        <v>129810324.5</v>
      </c>
      <c r="L151" s="257">
        <v>129810324.5</v>
      </c>
      <c r="M151" s="257">
        <v>472708188.5</v>
      </c>
      <c r="N151" s="257">
        <v>472708188.5</v>
      </c>
    </row>
    <row r="152" spans="1:14" s="143" customFormat="1" hidden="1" x14ac:dyDescent="0.25">
      <c r="A152" s="143" t="s">
        <v>706</v>
      </c>
      <c r="B152" s="143" t="s">
        <v>79</v>
      </c>
      <c r="C152" s="143" t="s">
        <v>80</v>
      </c>
      <c r="D152" s="143" t="s">
        <v>69</v>
      </c>
      <c r="E152" s="257">
        <v>160994500</v>
      </c>
      <c r="F152" s="257">
        <v>160994500</v>
      </c>
      <c r="G152" s="257">
        <v>160994500</v>
      </c>
      <c r="H152" s="257">
        <v>0</v>
      </c>
      <c r="I152" s="257">
        <v>0</v>
      </c>
      <c r="J152" s="269">
        <v>0</v>
      </c>
      <c r="K152" s="257">
        <v>22837861.719999999</v>
      </c>
      <c r="L152" s="257">
        <v>22837861.719999999</v>
      </c>
      <c r="M152" s="257">
        <v>138156638.28</v>
      </c>
      <c r="N152" s="257">
        <v>138156638.28</v>
      </c>
    </row>
    <row r="153" spans="1:14" s="143" customFormat="1" hidden="1" x14ac:dyDescent="0.25">
      <c r="A153" s="143" t="s">
        <v>706</v>
      </c>
      <c r="B153" s="143" t="s">
        <v>81</v>
      </c>
      <c r="C153" s="143" t="s">
        <v>82</v>
      </c>
      <c r="D153" s="143" t="s">
        <v>69</v>
      </c>
      <c r="E153" s="257">
        <v>218799248</v>
      </c>
      <c r="F153" s="257">
        <v>218799248</v>
      </c>
      <c r="G153" s="257">
        <v>218799248</v>
      </c>
      <c r="H153" s="257">
        <v>0</v>
      </c>
      <c r="I153" s="257">
        <v>0</v>
      </c>
      <c r="J153">
        <v>0</v>
      </c>
      <c r="K153" s="257">
        <v>28486434.82</v>
      </c>
      <c r="L153" s="257">
        <v>28486434.82</v>
      </c>
      <c r="M153" s="257">
        <v>190312813.18000001</v>
      </c>
      <c r="N153" s="257">
        <v>190312813.18000001</v>
      </c>
    </row>
    <row r="154" spans="1:14" s="143" customFormat="1" hidden="1" x14ac:dyDescent="0.25">
      <c r="A154" s="143" t="s">
        <v>706</v>
      </c>
      <c r="B154" s="143" t="s">
        <v>86</v>
      </c>
      <c r="C154" s="143" t="s">
        <v>87</v>
      </c>
      <c r="D154" s="143" t="s">
        <v>69</v>
      </c>
      <c r="E154" s="257">
        <v>79437600</v>
      </c>
      <c r="F154" s="257">
        <v>79437600</v>
      </c>
      <c r="G154" s="257">
        <v>79437600</v>
      </c>
      <c r="H154" s="257">
        <v>0</v>
      </c>
      <c r="I154" s="257">
        <v>0</v>
      </c>
      <c r="J154" s="252">
        <v>0</v>
      </c>
      <c r="K154" s="257">
        <v>70505091.120000005</v>
      </c>
      <c r="L154" s="257">
        <v>70505091.120000005</v>
      </c>
      <c r="M154" s="257">
        <v>8932508.8800000008</v>
      </c>
      <c r="N154" s="257">
        <v>8932508.8800000008</v>
      </c>
    </row>
    <row r="155" spans="1:14" s="143" customFormat="1" hidden="1" x14ac:dyDescent="0.25">
      <c r="A155" s="143" t="s">
        <v>706</v>
      </c>
      <c r="B155" s="143" t="s">
        <v>88</v>
      </c>
      <c r="C155" s="143" t="s">
        <v>89</v>
      </c>
      <c r="D155" s="143" t="s">
        <v>69</v>
      </c>
      <c r="E155" s="257">
        <v>56677700</v>
      </c>
      <c r="F155" s="257">
        <v>56677700</v>
      </c>
      <c r="G155" s="257">
        <v>56677700</v>
      </c>
      <c r="H155" s="257">
        <v>0</v>
      </c>
      <c r="I155" s="257">
        <v>0</v>
      </c>
      <c r="J155" s="261">
        <v>0</v>
      </c>
      <c r="K155" s="257">
        <v>7980936.8399999999</v>
      </c>
      <c r="L155" s="257">
        <v>7980936.8399999999</v>
      </c>
      <c r="M155" s="257">
        <v>48696763.159999996</v>
      </c>
      <c r="N155" s="257">
        <v>48696763.159999996</v>
      </c>
    </row>
    <row r="156" spans="1:14" s="143" customFormat="1" hidden="1" x14ac:dyDescent="0.25">
      <c r="A156" s="143" t="s">
        <v>706</v>
      </c>
      <c r="B156" s="143" t="s">
        <v>83</v>
      </c>
      <c r="C156" s="143" t="s">
        <v>84</v>
      </c>
      <c r="D156" s="143" t="s">
        <v>85</v>
      </c>
      <c r="E156" s="257">
        <v>86609465</v>
      </c>
      <c r="F156" s="257">
        <v>86609465</v>
      </c>
      <c r="G156" s="257">
        <v>86609465</v>
      </c>
      <c r="H156" s="257">
        <v>0</v>
      </c>
      <c r="I156" s="257">
        <v>0</v>
      </c>
      <c r="J156" s="266">
        <v>0</v>
      </c>
      <c r="K156" s="257">
        <v>0</v>
      </c>
      <c r="L156" s="257">
        <v>0</v>
      </c>
      <c r="M156" s="257">
        <v>86609465</v>
      </c>
      <c r="N156" s="257">
        <v>86609465</v>
      </c>
    </row>
    <row r="157" spans="1:14" s="143" customFormat="1" hidden="1" x14ac:dyDescent="0.25">
      <c r="A157" s="143" t="s">
        <v>706</v>
      </c>
      <c r="B157" s="143" t="s">
        <v>90</v>
      </c>
      <c r="C157" s="143" t="s">
        <v>91</v>
      </c>
      <c r="D157" s="143" t="s">
        <v>69</v>
      </c>
      <c r="E157" s="257">
        <v>101373634</v>
      </c>
      <c r="F157" s="257">
        <v>101373634</v>
      </c>
      <c r="G157" s="257">
        <v>101373634</v>
      </c>
      <c r="H157" s="257">
        <v>0</v>
      </c>
      <c r="I157" s="257">
        <v>82501041.109999999</v>
      </c>
      <c r="J157" s="269">
        <v>0</v>
      </c>
      <c r="K157" s="257">
        <v>18872592.890000001</v>
      </c>
      <c r="L157" s="257">
        <v>18872592.890000001</v>
      </c>
      <c r="M157" s="257">
        <v>0</v>
      </c>
      <c r="N157" s="257">
        <v>0</v>
      </c>
    </row>
    <row r="158" spans="1:14" s="143" customFormat="1" hidden="1" x14ac:dyDescent="0.25">
      <c r="A158" s="143" t="s">
        <v>706</v>
      </c>
      <c r="B158" s="143" t="s">
        <v>419</v>
      </c>
      <c r="C158" s="143" t="s">
        <v>697</v>
      </c>
      <c r="D158" s="143" t="s">
        <v>69</v>
      </c>
      <c r="E158" s="257">
        <v>96175035</v>
      </c>
      <c r="F158" s="257">
        <v>96175035</v>
      </c>
      <c r="G158" s="257">
        <v>96175035</v>
      </c>
      <c r="H158" s="257">
        <v>0</v>
      </c>
      <c r="I158" s="257">
        <v>78270183.040000007</v>
      </c>
      <c r="J158" s="269">
        <v>0</v>
      </c>
      <c r="K158" s="257">
        <v>17904851.960000001</v>
      </c>
      <c r="L158" s="257">
        <v>17904851.960000001</v>
      </c>
      <c r="M158" s="257">
        <v>0</v>
      </c>
      <c r="N158" s="257">
        <v>0</v>
      </c>
    </row>
    <row r="159" spans="1:14" s="143" customFormat="1" hidden="1" x14ac:dyDescent="0.25">
      <c r="A159" s="143" t="s">
        <v>706</v>
      </c>
      <c r="B159" s="143" t="s">
        <v>436</v>
      </c>
      <c r="C159" s="143" t="s">
        <v>95</v>
      </c>
      <c r="D159" s="143" t="s">
        <v>69</v>
      </c>
      <c r="E159" s="257">
        <v>5198599</v>
      </c>
      <c r="F159" s="257">
        <v>5198599</v>
      </c>
      <c r="G159" s="257">
        <v>5198599</v>
      </c>
      <c r="H159" s="257">
        <v>0</v>
      </c>
      <c r="I159" s="257">
        <v>4230858.07</v>
      </c>
      <c r="J159" s="269">
        <v>0</v>
      </c>
      <c r="K159" s="257">
        <v>967740.93</v>
      </c>
      <c r="L159" s="257">
        <v>967740.93</v>
      </c>
      <c r="M159" s="257">
        <v>0</v>
      </c>
      <c r="N159" s="257">
        <v>0</v>
      </c>
    </row>
    <row r="160" spans="1:14" s="143" customFormat="1" hidden="1" x14ac:dyDescent="0.25">
      <c r="A160" s="143" t="s">
        <v>706</v>
      </c>
      <c r="B160" s="143" t="s">
        <v>96</v>
      </c>
      <c r="C160" s="143" t="s">
        <v>97</v>
      </c>
      <c r="D160" s="143" t="s">
        <v>69</v>
      </c>
      <c r="E160" s="257">
        <v>101373634</v>
      </c>
      <c r="F160" s="257">
        <v>101373634</v>
      </c>
      <c r="G160" s="257">
        <v>101373634</v>
      </c>
      <c r="H160" s="257">
        <v>0</v>
      </c>
      <c r="I160" s="257">
        <v>82964892.209999993</v>
      </c>
      <c r="J160" s="269">
        <v>0</v>
      </c>
      <c r="K160" s="257">
        <v>18408741.789999999</v>
      </c>
      <c r="L160" s="257">
        <v>18408741.789999999</v>
      </c>
      <c r="M160" s="257">
        <v>0</v>
      </c>
      <c r="N160" s="257">
        <v>0</v>
      </c>
    </row>
    <row r="161" spans="1:14" s="143" customFormat="1" hidden="1" x14ac:dyDescent="0.25">
      <c r="A161" s="143" t="s">
        <v>706</v>
      </c>
      <c r="B161" s="143" t="s">
        <v>454</v>
      </c>
      <c r="C161" s="143" t="s">
        <v>698</v>
      </c>
      <c r="D161" s="143" t="s">
        <v>69</v>
      </c>
      <c r="E161" s="257">
        <v>54585842</v>
      </c>
      <c r="F161" s="257">
        <v>54585842</v>
      </c>
      <c r="G161" s="257">
        <v>54585842</v>
      </c>
      <c r="H161" s="257">
        <v>0</v>
      </c>
      <c r="I161" s="257">
        <v>44886788.609999999</v>
      </c>
      <c r="J161" s="269">
        <v>0</v>
      </c>
      <c r="K161" s="257">
        <v>9699053.3900000006</v>
      </c>
      <c r="L161" s="257">
        <v>9699053.3900000006</v>
      </c>
      <c r="M161" s="257">
        <v>0</v>
      </c>
      <c r="N161" s="257">
        <v>0</v>
      </c>
    </row>
    <row r="162" spans="1:14" s="143" customFormat="1" hidden="1" x14ac:dyDescent="0.25">
      <c r="A162" s="143" t="s">
        <v>706</v>
      </c>
      <c r="B162" s="143" t="s">
        <v>471</v>
      </c>
      <c r="C162" s="143" t="s">
        <v>699</v>
      </c>
      <c r="D162" s="143" t="s">
        <v>69</v>
      </c>
      <c r="E162" s="257">
        <v>15595897</v>
      </c>
      <c r="F162" s="257">
        <v>15595897</v>
      </c>
      <c r="G162" s="257">
        <v>15595897</v>
      </c>
      <c r="H162" s="257">
        <v>0</v>
      </c>
      <c r="I162" s="257">
        <v>12692665.279999999</v>
      </c>
      <c r="J162" s="269">
        <v>0</v>
      </c>
      <c r="K162" s="257">
        <v>2903231.72</v>
      </c>
      <c r="L162" s="257">
        <v>2903231.72</v>
      </c>
      <c r="M162" s="257">
        <v>0</v>
      </c>
      <c r="N162" s="257">
        <v>0</v>
      </c>
    </row>
    <row r="163" spans="1:14" s="143" customFormat="1" hidden="1" x14ac:dyDescent="0.25">
      <c r="A163" s="143" t="s">
        <v>706</v>
      </c>
      <c r="B163" s="143" t="s">
        <v>488</v>
      </c>
      <c r="C163" s="143" t="s">
        <v>700</v>
      </c>
      <c r="D163" s="143" t="s">
        <v>69</v>
      </c>
      <c r="E163" s="257">
        <v>31191895</v>
      </c>
      <c r="F163" s="257">
        <v>31191895</v>
      </c>
      <c r="G163" s="257">
        <v>31191895</v>
      </c>
      <c r="H163" s="257">
        <v>0</v>
      </c>
      <c r="I163" s="257">
        <v>25385438.32</v>
      </c>
      <c r="J163" s="269">
        <v>0</v>
      </c>
      <c r="K163" s="257">
        <v>5806456.6799999997</v>
      </c>
      <c r="L163" s="257">
        <v>5806456.6799999997</v>
      </c>
      <c r="M163" s="257">
        <v>0</v>
      </c>
      <c r="N163" s="257">
        <v>0</v>
      </c>
    </row>
    <row r="164" spans="1:14" s="143" customFormat="1" hidden="1" x14ac:dyDescent="0.25">
      <c r="A164" s="143" t="s">
        <v>706</v>
      </c>
      <c r="B164" s="143" t="s">
        <v>104</v>
      </c>
      <c r="C164" s="143" t="s">
        <v>105</v>
      </c>
      <c r="D164" s="143" t="s">
        <v>69</v>
      </c>
      <c r="E164" s="257">
        <v>1188545520</v>
      </c>
      <c r="F164" s="257">
        <v>1188545520</v>
      </c>
      <c r="G164" s="257">
        <v>298598655.10000002</v>
      </c>
      <c r="H164" s="257">
        <v>9406244.2300000004</v>
      </c>
      <c r="I164" s="257">
        <v>197363195.41999999</v>
      </c>
      <c r="J164" s="269">
        <v>18961.43</v>
      </c>
      <c r="K164" s="257">
        <v>12893006.289999999</v>
      </c>
      <c r="L164" s="257">
        <v>12465508.289999999</v>
      </c>
      <c r="M164" s="257">
        <v>968864112.63</v>
      </c>
      <c r="N164" s="257">
        <v>78917247.730000004</v>
      </c>
    </row>
    <row r="165" spans="1:14" s="143" customFormat="1" hidden="1" x14ac:dyDescent="0.25">
      <c r="A165" s="143" t="s">
        <v>706</v>
      </c>
      <c r="B165" s="143" t="s">
        <v>106</v>
      </c>
      <c r="C165" s="143" t="s">
        <v>107</v>
      </c>
      <c r="D165" s="143" t="s">
        <v>69</v>
      </c>
      <c r="E165" s="257">
        <v>411755980</v>
      </c>
      <c r="F165" s="257">
        <v>411755980</v>
      </c>
      <c r="G165" s="257">
        <v>102349996</v>
      </c>
      <c r="H165" s="257">
        <v>5275534.95</v>
      </c>
      <c r="I165" s="257">
        <v>67653927.840000004</v>
      </c>
      <c r="J165" s="269">
        <v>0</v>
      </c>
      <c r="K165" s="257">
        <v>0</v>
      </c>
      <c r="L165" s="257">
        <v>0</v>
      </c>
      <c r="M165" s="257">
        <v>338826517.20999998</v>
      </c>
      <c r="N165" s="257">
        <v>29420533.210000001</v>
      </c>
    </row>
    <row r="166" spans="1:14" s="143" customFormat="1" hidden="1" x14ac:dyDescent="0.25">
      <c r="A166" s="143" t="s">
        <v>706</v>
      </c>
      <c r="B166" s="143" t="s">
        <v>280</v>
      </c>
      <c r="C166" s="143" t="s">
        <v>281</v>
      </c>
      <c r="D166" s="143" t="s">
        <v>69</v>
      </c>
      <c r="E166" s="257">
        <v>168555500</v>
      </c>
      <c r="F166" s="257">
        <v>168555500</v>
      </c>
      <c r="G166" s="257">
        <v>46338875</v>
      </c>
      <c r="H166" s="257">
        <v>5275534.95</v>
      </c>
      <c r="I166" s="257">
        <v>38521906.799999997</v>
      </c>
      <c r="J166" s="269">
        <v>0</v>
      </c>
      <c r="K166" s="257">
        <v>0</v>
      </c>
      <c r="L166" s="257">
        <v>0</v>
      </c>
      <c r="M166" s="257">
        <v>124758058.25</v>
      </c>
      <c r="N166" s="257">
        <v>2541433.25</v>
      </c>
    </row>
    <row r="167" spans="1:14" s="143" customFormat="1" hidden="1" x14ac:dyDescent="0.25">
      <c r="A167" s="143" t="s">
        <v>706</v>
      </c>
      <c r="B167" s="143" t="s">
        <v>302</v>
      </c>
      <c r="C167" s="143" t="s">
        <v>303</v>
      </c>
      <c r="D167" s="143" t="s">
        <v>69</v>
      </c>
      <c r="E167" s="257">
        <v>3869560</v>
      </c>
      <c r="F167" s="257">
        <v>3869560</v>
      </c>
      <c r="G167" s="257">
        <v>967390</v>
      </c>
      <c r="H167" s="257">
        <v>0</v>
      </c>
      <c r="I167" s="257">
        <v>0</v>
      </c>
      <c r="J167" s="269">
        <v>0</v>
      </c>
      <c r="K167" s="257">
        <v>0</v>
      </c>
      <c r="L167" s="257">
        <v>0</v>
      </c>
      <c r="M167" s="257">
        <v>3869560</v>
      </c>
      <c r="N167" s="257">
        <v>967390</v>
      </c>
    </row>
    <row r="168" spans="1:14" s="143" customFormat="1" hidden="1" x14ac:dyDescent="0.25">
      <c r="A168" s="143" t="s">
        <v>706</v>
      </c>
      <c r="B168" s="143" t="s">
        <v>108</v>
      </c>
      <c r="C168" s="143" t="s">
        <v>109</v>
      </c>
      <c r="D168" s="143" t="s">
        <v>69</v>
      </c>
      <c r="E168" s="257">
        <v>194561670</v>
      </c>
      <c r="F168" s="257">
        <v>194561670</v>
      </c>
      <c r="G168" s="257">
        <v>43640418</v>
      </c>
      <c r="H168" s="257">
        <v>0</v>
      </c>
      <c r="I168" s="257">
        <v>21287680.289999999</v>
      </c>
      <c r="J168" s="269">
        <v>0</v>
      </c>
      <c r="K168" s="257">
        <v>0</v>
      </c>
      <c r="L168" s="257">
        <v>0</v>
      </c>
      <c r="M168" s="257">
        <v>173273989.71000001</v>
      </c>
      <c r="N168" s="257">
        <v>22352737.710000001</v>
      </c>
    </row>
    <row r="169" spans="1:14" s="143" customFormat="1" hidden="1" x14ac:dyDescent="0.25">
      <c r="A169" s="143" t="s">
        <v>706</v>
      </c>
      <c r="B169" s="143" t="s">
        <v>304</v>
      </c>
      <c r="C169" s="143" t="s">
        <v>305</v>
      </c>
      <c r="D169" s="143" t="s">
        <v>69</v>
      </c>
      <c r="E169" s="257">
        <v>1649720</v>
      </c>
      <c r="F169" s="257">
        <v>1649720</v>
      </c>
      <c r="G169" s="257">
        <v>623430</v>
      </c>
      <c r="H169" s="257">
        <v>0</v>
      </c>
      <c r="I169" s="257">
        <v>567946.22</v>
      </c>
      <c r="J169" s="269">
        <v>0</v>
      </c>
      <c r="K169" s="257">
        <v>0</v>
      </c>
      <c r="L169" s="257">
        <v>0</v>
      </c>
      <c r="M169" s="257">
        <v>1081773.78</v>
      </c>
      <c r="N169" s="257">
        <v>55483.78</v>
      </c>
    </row>
    <row r="170" spans="1:14" s="143" customFormat="1" hidden="1" x14ac:dyDescent="0.25">
      <c r="A170" s="143" t="s">
        <v>706</v>
      </c>
      <c r="B170" s="143" t="s">
        <v>110</v>
      </c>
      <c r="C170" s="143" t="s">
        <v>111</v>
      </c>
      <c r="D170" s="143" t="s">
        <v>69</v>
      </c>
      <c r="E170" s="257">
        <v>43119530</v>
      </c>
      <c r="F170" s="257">
        <v>43119530</v>
      </c>
      <c r="G170" s="257">
        <v>10779883</v>
      </c>
      <c r="H170" s="257">
        <v>0</v>
      </c>
      <c r="I170" s="257">
        <v>7276394.5300000003</v>
      </c>
      <c r="J170">
        <v>0</v>
      </c>
      <c r="K170" s="257">
        <v>0</v>
      </c>
      <c r="L170" s="257">
        <v>0</v>
      </c>
      <c r="M170" s="257">
        <v>35843135.469999999</v>
      </c>
      <c r="N170" s="257">
        <v>3503488.47</v>
      </c>
    </row>
    <row r="171" spans="1:14" s="143" customFormat="1" hidden="1" x14ac:dyDescent="0.25">
      <c r="A171" s="143" t="s">
        <v>706</v>
      </c>
      <c r="B171" s="143" t="s">
        <v>112</v>
      </c>
      <c r="C171" s="143" t="s">
        <v>113</v>
      </c>
      <c r="D171" s="143" t="s">
        <v>69</v>
      </c>
      <c r="E171" s="257">
        <v>114662680</v>
      </c>
      <c r="F171" s="257">
        <v>114662680</v>
      </c>
      <c r="G171" s="257">
        <v>28665670</v>
      </c>
      <c r="H171" s="257">
        <v>924809.28</v>
      </c>
      <c r="I171" s="257">
        <v>14003111.199999999</v>
      </c>
      <c r="J171" s="252">
        <v>0</v>
      </c>
      <c r="K171" s="257">
        <v>8478015.7899999991</v>
      </c>
      <c r="L171" s="257">
        <v>8314617.79</v>
      </c>
      <c r="M171" s="257">
        <v>91256743.730000004</v>
      </c>
      <c r="N171" s="257">
        <v>5259733.7300000004</v>
      </c>
    </row>
    <row r="172" spans="1:14" s="143" customFormat="1" hidden="1" x14ac:dyDescent="0.25">
      <c r="A172" s="143" t="s">
        <v>706</v>
      </c>
      <c r="B172" s="143" t="s">
        <v>114</v>
      </c>
      <c r="C172" s="143" t="s">
        <v>115</v>
      </c>
      <c r="D172" s="143" t="s">
        <v>69</v>
      </c>
      <c r="E172" s="257">
        <v>19200000</v>
      </c>
      <c r="F172" s="257">
        <v>19200000</v>
      </c>
      <c r="G172" s="257">
        <v>4800000</v>
      </c>
      <c r="H172" s="257">
        <v>0</v>
      </c>
      <c r="I172" s="257">
        <v>2906707.01</v>
      </c>
      <c r="J172" s="261">
        <v>0</v>
      </c>
      <c r="K172" s="257">
        <v>1858214</v>
      </c>
      <c r="L172" s="257">
        <v>1858214</v>
      </c>
      <c r="M172" s="257">
        <v>14435078.99</v>
      </c>
      <c r="N172" s="257">
        <v>35078.99</v>
      </c>
    </row>
    <row r="173" spans="1:14" s="143" customFormat="1" hidden="1" x14ac:dyDescent="0.25">
      <c r="A173" s="143" t="s">
        <v>706</v>
      </c>
      <c r="B173" s="143" t="s">
        <v>116</v>
      </c>
      <c r="C173" s="143" t="s">
        <v>117</v>
      </c>
      <c r="D173" s="143" t="s">
        <v>69</v>
      </c>
      <c r="E173" s="257">
        <v>37800000</v>
      </c>
      <c r="F173" s="257">
        <v>37800000</v>
      </c>
      <c r="G173" s="257">
        <v>9450000</v>
      </c>
      <c r="H173" s="257">
        <v>0</v>
      </c>
      <c r="I173" s="257">
        <v>5026120</v>
      </c>
      <c r="J173" s="266">
        <v>0</v>
      </c>
      <c r="K173" s="257">
        <v>3257185</v>
      </c>
      <c r="L173" s="257">
        <v>3257185</v>
      </c>
      <c r="M173" s="257">
        <v>29516695</v>
      </c>
      <c r="N173" s="257">
        <v>1166695</v>
      </c>
    </row>
    <row r="174" spans="1:14" s="143" customFormat="1" hidden="1" x14ac:dyDescent="0.25">
      <c r="A174" s="143" t="s">
        <v>706</v>
      </c>
      <c r="B174" s="143" t="s">
        <v>118</v>
      </c>
      <c r="C174" s="143" t="s">
        <v>119</v>
      </c>
      <c r="D174" s="143" t="s">
        <v>69</v>
      </c>
      <c r="E174" s="257">
        <v>7200000</v>
      </c>
      <c r="F174" s="257">
        <v>7200000</v>
      </c>
      <c r="G174" s="257">
        <v>1800000</v>
      </c>
      <c r="H174" s="257">
        <v>0</v>
      </c>
      <c r="I174" s="257">
        <v>742992</v>
      </c>
      <c r="J174" s="269">
        <v>0</v>
      </c>
      <c r="K174" s="257">
        <v>449598</v>
      </c>
      <c r="L174" s="257">
        <v>286200</v>
      </c>
      <c r="M174" s="257">
        <v>6007410</v>
      </c>
      <c r="N174" s="257">
        <v>607410</v>
      </c>
    </row>
    <row r="175" spans="1:14" s="143" customFormat="1" hidden="1" x14ac:dyDescent="0.25">
      <c r="A175" s="143" t="s">
        <v>706</v>
      </c>
      <c r="B175" s="143" t="s">
        <v>120</v>
      </c>
      <c r="C175" s="143" t="s">
        <v>121</v>
      </c>
      <c r="D175" s="143" t="s">
        <v>69</v>
      </c>
      <c r="E175" s="257">
        <v>45662680</v>
      </c>
      <c r="F175" s="257">
        <v>45662680</v>
      </c>
      <c r="G175" s="257">
        <v>11415670</v>
      </c>
      <c r="H175" s="257">
        <v>924809.28</v>
      </c>
      <c r="I175" s="257">
        <v>5327292.1900000004</v>
      </c>
      <c r="J175" s="269">
        <v>0</v>
      </c>
      <c r="K175" s="257">
        <v>2913018.79</v>
      </c>
      <c r="L175" s="257">
        <v>2913018.79</v>
      </c>
      <c r="M175" s="257">
        <v>36497559.740000002</v>
      </c>
      <c r="N175" s="257">
        <v>2250549.7400000002</v>
      </c>
    </row>
    <row r="176" spans="1:14" s="143" customFormat="1" hidden="1" x14ac:dyDescent="0.25">
      <c r="A176" s="143" t="s">
        <v>706</v>
      </c>
      <c r="B176" s="143" t="s">
        <v>122</v>
      </c>
      <c r="C176" s="143" t="s">
        <v>123</v>
      </c>
      <c r="D176" s="143" t="s">
        <v>69</v>
      </c>
      <c r="E176" s="257">
        <v>4800000</v>
      </c>
      <c r="F176" s="257">
        <v>4800000</v>
      </c>
      <c r="G176" s="257">
        <v>1200000</v>
      </c>
      <c r="H176" s="257">
        <v>0</v>
      </c>
      <c r="I176" s="257">
        <v>0</v>
      </c>
      <c r="J176" s="269">
        <v>0</v>
      </c>
      <c r="K176" s="257">
        <v>0</v>
      </c>
      <c r="L176" s="257">
        <v>0</v>
      </c>
      <c r="M176" s="257">
        <v>4800000</v>
      </c>
      <c r="N176" s="257">
        <v>1200000</v>
      </c>
    </row>
    <row r="177" spans="1:14" s="143" customFormat="1" hidden="1" x14ac:dyDescent="0.25">
      <c r="A177" s="143" t="s">
        <v>706</v>
      </c>
      <c r="B177" s="143" t="s">
        <v>124</v>
      </c>
      <c r="C177" s="143" t="s">
        <v>125</v>
      </c>
      <c r="D177" s="143" t="s">
        <v>69</v>
      </c>
      <c r="E177" s="257">
        <v>5424230</v>
      </c>
      <c r="F177" s="257">
        <v>5424230</v>
      </c>
      <c r="G177" s="257">
        <v>1679558</v>
      </c>
      <c r="H177" s="257">
        <v>0</v>
      </c>
      <c r="I177" s="257">
        <v>376122.09</v>
      </c>
      <c r="J177" s="269">
        <v>18961.43</v>
      </c>
      <c r="K177" s="257">
        <v>133005.63</v>
      </c>
      <c r="L177" s="257">
        <v>133005.63</v>
      </c>
      <c r="M177" s="257">
        <v>4896140.8499999996</v>
      </c>
      <c r="N177" s="257">
        <v>1151468.8500000001</v>
      </c>
    </row>
    <row r="178" spans="1:14" s="143" customFormat="1" hidden="1" x14ac:dyDescent="0.25">
      <c r="A178" s="143" t="s">
        <v>706</v>
      </c>
      <c r="B178" s="143" t="s">
        <v>126</v>
      </c>
      <c r="C178" s="143" t="s">
        <v>127</v>
      </c>
      <c r="D178" s="143" t="s">
        <v>69</v>
      </c>
      <c r="E178" s="257">
        <v>500000</v>
      </c>
      <c r="F178" s="257">
        <v>500000</v>
      </c>
      <c r="G178" s="257">
        <v>368500</v>
      </c>
      <c r="H178" s="257">
        <v>0</v>
      </c>
      <c r="I178" s="257">
        <v>248896.8</v>
      </c>
      <c r="J178" s="269">
        <v>0</v>
      </c>
      <c r="K178" s="257">
        <v>110530</v>
      </c>
      <c r="L178" s="257">
        <v>110530</v>
      </c>
      <c r="M178" s="257">
        <v>140573.20000000001</v>
      </c>
      <c r="N178" s="257">
        <v>9073.2000000000007</v>
      </c>
    </row>
    <row r="179" spans="1:14" s="143" customFormat="1" hidden="1" x14ac:dyDescent="0.25">
      <c r="A179" s="143" t="s">
        <v>706</v>
      </c>
      <c r="B179" s="143" t="s">
        <v>128</v>
      </c>
      <c r="C179" s="143" t="s">
        <v>129</v>
      </c>
      <c r="D179" s="143" t="s">
        <v>69</v>
      </c>
      <c r="E179" s="257">
        <v>1000000</v>
      </c>
      <c r="F179" s="257">
        <v>1000000</v>
      </c>
      <c r="G179" s="257">
        <v>250000</v>
      </c>
      <c r="H179" s="257">
        <v>0</v>
      </c>
      <c r="I179" s="257">
        <v>0</v>
      </c>
      <c r="J179" s="269">
        <v>0</v>
      </c>
      <c r="K179" s="257">
        <v>7615</v>
      </c>
      <c r="L179" s="257">
        <v>7615</v>
      </c>
      <c r="M179" s="257">
        <v>992385</v>
      </c>
      <c r="N179" s="257">
        <v>242385</v>
      </c>
    </row>
    <row r="180" spans="1:14" s="143" customFormat="1" hidden="1" x14ac:dyDescent="0.25">
      <c r="A180" s="143" t="s">
        <v>706</v>
      </c>
      <c r="B180" s="143" t="s">
        <v>130</v>
      </c>
      <c r="C180" s="143" t="s">
        <v>131</v>
      </c>
      <c r="D180" s="143" t="s">
        <v>69</v>
      </c>
      <c r="E180" s="257">
        <v>138100</v>
      </c>
      <c r="F180" s="257">
        <v>138100</v>
      </c>
      <c r="G180" s="257">
        <v>114525</v>
      </c>
      <c r="H180" s="257">
        <v>0</v>
      </c>
      <c r="I180" s="257">
        <v>99654.21</v>
      </c>
      <c r="J180" s="269">
        <v>0</v>
      </c>
      <c r="K180" s="257">
        <v>14860.63</v>
      </c>
      <c r="L180" s="257">
        <v>14860.63</v>
      </c>
      <c r="M180" s="257">
        <v>23585.16</v>
      </c>
      <c r="N180" s="257">
        <v>10.16</v>
      </c>
    </row>
    <row r="181" spans="1:14" s="143" customFormat="1" hidden="1" x14ac:dyDescent="0.25">
      <c r="A181" s="143" t="s">
        <v>706</v>
      </c>
      <c r="B181" s="143" t="s">
        <v>132</v>
      </c>
      <c r="C181" s="143" t="s">
        <v>133</v>
      </c>
      <c r="D181" s="143" t="s">
        <v>69</v>
      </c>
      <c r="E181" s="257">
        <v>3786130</v>
      </c>
      <c r="F181" s="257">
        <v>3786130</v>
      </c>
      <c r="G181" s="257">
        <v>946533</v>
      </c>
      <c r="H181" s="257">
        <v>0</v>
      </c>
      <c r="I181" s="257">
        <v>27571.08</v>
      </c>
      <c r="J181" s="269">
        <v>18961.43</v>
      </c>
      <c r="K181" s="257">
        <v>0</v>
      </c>
      <c r="L181" s="257">
        <v>0</v>
      </c>
      <c r="M181" s="257">
        <v>3739597.49</v>
      </c>
      <c r="N181" s="257">
        <v>900000.49</v>
      </c>
    </row>
    <row r="182" spans="1:14" s="143" customFormat="1" hidden="1" x14ac:dyDescent="0.25">
      <c r="A182" s="143" t="s">
        <v>706</v>
      </c>
      <c r="B182" s="143" t="s">
        <v>134</v>
      </c>
      <c r="C182" s="143" t="s">
        <v>135</v>
      </c>
      <c r="D182" s="143" t="s">
        <v>69</v>
      </c>
      <c r="E182" s="257">
        <v>385113260</v>
      </c>
      <c r="F182" s="257">
        <v>385113260</v>
      </c>
      <c r="G182" s="257">
        <v>107978315</v>
      </c>
      <c r="H182" s="257">
        <v>0</v>
      </c>
      <c r="I182" s="257">
        <v>94689777.840000004</v>
      </c>
      <c r="J182" s="269">
        <v>0</v>
      </c>
      <c r="K182" s="257">
        <v>0</v>
      </c>
      <c r="L182" s="257">
        <v>0</v>
      </c>
      <c r="M182" s="257">
        <v>290423482.16000003</v>
      </c>
      <c r="N182" s="257">
        <v>13288537.16</v>
      </c>
    </row>
    <row r="183" spans="1:14" s="143" customFormat="1" hidden="1" x14ac:dyDescent="0.25">
      <c r="A183" s="143" t="s">
        <v>706</v>
      </c>
      <c r="B183" s="143" t="s">
        <v>306</v>
      </c>
      <c r="C183" s="143" t="s">
        <v>307</v>
      </c>
      <c r="D183" s="143" t="s">
        <v>69</v>
      </c>
      <c r="E183" s="257">
        <v>2000000</v>
      </c>
      <c r="F183" s="257">
        <v>2000000</v>
      </c>
      <c r="G183" s="257">
        <v>500000</v>
      </c>
      <c r="H183" s="257">
        <v>0</v>
      </c>
      <c r="I183" s="257">
        <v>0</v>
      </c>
      <c r="J183" s="269">
        <v>0</v>
      </c>
      <c r="K183" s="257">
        <v>0</v>
      </c>
      <c r="L183" s="257">
        <v>0</v>
      </c>
      <c r="M183" s="257">
        <v>2000000</v>
      </c>
      <c r="N183" s="257">
        <v>500000</v>
      </c>
    </row>
    <row r="184" spans="1:14" s="143" customFormat="1" hidden="1" x14ac:dyDescent="0.25">
      <c r="A184" s="143" t="s">
        <v>706</v>
      </c>
      <c r="B184" s="143" t="s">
        <v>136</v>
      </c>
      <c r="C184" s="143" t="s">
        <v>137</v>
      </c>
      <c r="D184" s="143" t="s">
        <v>69</v>
      </c>
      <c r="E184" s="257">
        <v>373281100</v>
      </c>
      <c r="F184" s="257">
        <v>373281100</v>
      </c>
      <c r="G184" s="257">
        <v>100920275</v>
      </c>
      <c r="H184" s="257">
        <v>0</v>
      </c>
      <c r="I184" s="257">
        <v>89471211.939999998</v>
      </c>
      <c r="J184" s="269">
        <v>0</v>
      </c>
      <c r="K184" s="257">
        <v>0</v>
      </c>
      <c r="L184" s="257">
        <v>0</v>
      </c>
      <c r="M184" s="257">
        <v>283809888.06</v>
      </c>
      <c r="N184" s="257">
        <v>11449063.060000001</v>
      </c>
    </row>
    <row r="185" spans="1:14" s="143" customFormat="1" hidden="1" x14ac:dyDescent="0.25">
      <c r="A185" s="143" t="s">
        <v>706</v>
      </c>
      <c r="B185" s="143" t="s">
        <v>138</v>
      </c>
      <c r="C185" s="143" t="s">
        <v>139</v>
      </c>
      <c r="D185" s="143" t="s">
        <v>69</v>
      </c>
      <c r="E185" s="257">
        <v>9832160</v>
      </c>
      <c r="F185" s="257">
        <v>9832160</v>
      </c>
      <c r="G185" s="257">
        <v>6558040</v>
      </c>
      <c r="H185" s="257">
        <v>0</v>
      </c>
      <c r="I185" s="257">
        <v>5218565.9000000004</v>
      </c>
      <c r="J185" s="269">
        <v>0</v>
      </c>
      <c r="K185" s="257">
        <v>0</v>
      </c>
      <c r="L185" s="257">
        <v>0</v>
      </c>
      <c r="M185" s="257">
        <v>4613594.0999999996</v>
      </c>
      <c r="N185" s="257">
        <v>1339474.1000000001</v>
      </c>
    </row>
    <row r="186" spans="1:14" s="143" customFormat="1" hidden="1" x14ac:dyDescent="0.25">
      <c r="A186" s="143" t="s">
        <v>706</v>
      </c>
      <c r="B186" s="143" t="s">
        <v>140</v>
      </c>
      <c r="C186" s="143" t="s">
        <v>141</v>
      </c>
      <c r="D186" s="143" t="s">
        <v>69</v>
      </c>
      <c r="E186" s="257">
        <v>35800000</v>
      </c>
      <c r="F186" s="257">
        <v>35800000</v>
      </c>
      <c r="G186" s="257">
        <v>11971616</v>
      </c>
      <c r="H186" s="257">
        <v>0</v>
      </c>
      <c r="I186" s="257">
        <v>7201148.2699999996</v>
      </c>
      <c r="J186" s="269">
        <v>0</v>
      </c>
      <c r="K186" s="257">
        <v>2793791.73</v>
      </c>
      <c r="L186" s="257">
        <v>2529691.73</v>
      </c>
      <c r="M186" s="257">
        <v>25805060</v>
      </c>
      <c r="N186" s="257">
        <v>1976676</v>
      </c>
    </row>
    <row r="187" spans="1:14" s="143" customFormat="1" hidden="1" x14ac:dyDescent="0.25">
      <c r="A187" s="143" t="s">
        <v>706</v>
      </c>
      <c r="B187" s="143" t="s">
        <v>142</v>
      </c>
      <c r="C187" s="143" t="s">
        <v>143</v>
      </c>
      <c r="D187" s="143" t="s">
        <v>69</v>
      </c>
      <c r="E187" s="257">
        <v>1800000</v>
      </c>
      <c r="F187" s="257">
        <v>1800000</v>
      </c>
      <c r="G187" s="257">
        <v>812575</v>
      </c>
      <c r="H187" s="257">
        <v>0</v>
      </c>
      <c r="I187" s="257">
        <v>474448.27</v>
      </c>
      <c r="J187">
        <v>0</v>
      </c>
      <c r="K187" s="257">
        <v>169291.73</v>
      </c>
      <c r="L187" s="257">
        <v>169291.73</v>
      </c>
      <c r="M187" s="257">
        <v>1156260</v>
      </c>
      <c r="N187" s="257">
        <v>168835</v>
      </c>
    </row>
    <row r="188" spans="1:14" s="143" customFormat="1" hidden="1" x14ac:dyDescent="0.25">
      <c r="A188" s="143" t="s">
        <v>706</v>
      </c>
      <c r="B188" s="143" t="s">
        <v>144</v>
      </c>
      <c r="C188" s="143" t="s">
        <v>145</v>
      </c>
      <c r="D188" s="143" t="s">
        <v>69</v>
      </c>
      <c r="E188" s="257">
        <v>34000000</v>
      </c>
      <c r="F188" s="257">
        <v>34000000</v>
      </c>
      <c r="G188" s="257">
        <v>11159041</v>
      </c>
      <c r="H188" s="257">
        <v>0</v>
      </c>
      <c r="I188" s="257">
        <v>6726700</v>
      </c>
      <c r="J188" s="252">
        <v>0</v>
      </c>
      <c r="K188" s="257">
        <v>2624500</v>
      </c>
      <c r="L188" s="257">
        <v>2360400</v>
      </c>
      <c r="M188" s="257">
        <v>24648800</v>
      </c>
      <c r="N188" s="257">
        <v>1807841</v>
      </c>
    </row>
    <row r="189" spans="1:14" s="143" customFormat="1" hidden="1" x14ac:dyDescent="0.25">
      <c r="A189" s="143" t="s">
        <v>706</v>
      </c>
      <c r="B189" s="143" t="s">
        <v>150</v>
      </c>
      <c r="C189" s="143" t="s">
        <v>151</v>
      </c>
      <c r="D189" s="143" t="s">
        <v>69</v>
      </c>
      <c r="E189" s="257">
        <v>113000000</v>
      </c>
      <c r="F189" s="257">
        <v>113000000</v>
      </c>
      <c r="G189" s="257">
        <v>15094175</v>
      </c>
      <c r="H189" s="257">
        <v>0</v>
      </c>
      <c r="I189" s="257">
        <v>6138093.54</v>
      </c>
      <c r="J189" s="261">
        <v>0</v>
      </c>
      <c r="K189" s="257">
        <v>0</v>
      </c>
      <c r="L189" s="257">
        <v>0</v>
      </c>
      <c r="M189" s="257">
        <v>106861906.45999999</v>
      </c>
      <c r="N189" s="257">
        <v>8956081.4600000009</v>
      </c>
    </row>
    <row r="190" spans="1:14" s="143" customFormat="1" hidden="1" x14ac:dyDescent="0.25">
      <c r="A190" s="143" t="s">
        <v>706</v>
      </c>
      <c r="B190" s="143" t="s">
        <v>152</v>
      </c>
      <c r="C190" s="143" t="s">
        <v>153</v>
      </c>
      <c r="D190" s="143" t="s">
        <v>69</v>
      </c>
      <c r="E190" s="257">
        <v>113000000</v>
      </c>
      <c r="F190" s="257">
        <v>113000000</v>
      </c>
      <c r="G190" s="257">
        <v>15094175</v>
      </c>
      <c r="H190" s="257">
        <v>0</v>
      </c>
      <c r="I190" s="257">
        <v>6138093.54</v>
      </c>
      <c r="J190" s="266">
        <v>0</v>
      </c>
      <c r="K190" s="257">
        <v>0</v>
      </c>
      <c r="L190" s="257">
        <v>0</v>
      </c>
      <c r="M190" s="257">
        <v>106861906.45999999</v>
      </c>
      <c r="N190" s="257">
        <v>8956081.4600000009</v>
      </c>
    </row>
    <row r="191" spans="1:14" s="143" customFormat="1" hidden="1" x14ac:dyDescent="0.25">
      <c r="A191" s="143" t="s">
        <v>706</v>
      </c>
      <c r="B191" s="143" t="s">
        <v>162</v>
      </c>
      <c r="C191" s="143" t="s">
        <v>163</v>
      </c>
      <c r="D191" s="143" t="s">
        <v>69</v>
      </c>
      <c r="E191" s="257">
        <v>119064370</v>
      </c>
      <c r="F191" s="257">
        <v>119064370</v>
      </c>
      <c r="G191" s="257">
        <v>29616575.100000001</v>
      </c>
      <c r="H191" s="257">
        <v>3205900</v>
      </c>
      <c r="I191" s="257">
        <v>6583472.6399999997</v>
      </c>
      <c r="J191" s="269">
        <v>0</v>
      </c>
      <c r="K191" s="257">
        <v>1488193.14</v>
      </c>
      <c r="L191" s="257">
        <v>1488193.14</v>
      </c>
      <c r="M191" s="257">
        <v>107786804.22</v>
      </c>
      <c r="N191" s="257">
        <v>18339009.32</v>
      </c>
    </row>
    <row r="192" spans="1:14" s="143" customFormat="1" hidden="1" x14ac:dyDescent="0.25">
      <c r="A192" s="143" t="s">
        <v>706</v>
      </c>
      <c r="B192" s="143" t="s">
        <v>310</v>
      </c>
      <c r="C192" s="143" t="s">
        <v>311</v>
      </c>
      <c r="D192" s="143" t="s">
        <v>69</v>
      </c>
      <c r="E192" s="257">
        <v>25816590</v>
      </c>
      <c r="F192" s="257">
        <v>25816590</v>
      </c>
      <c r="G192" s="257">
        <v>6454148</v>
      </c>
      <c r="H192" s="257">
        <v>0</v>
      </c>
      <c r="I192" s="257">
        <v>1252258.8500000001</v>
      </c>
      <c r="J192" s="269">
        <v>0</v>
      </c>
      <c r="K192" s="257">
        <v>0</v>
      </c>
      <c r="L192" s="257">
        <v>0</v>
      </c>
      <c r="M192" s="257">
        <v>24564331.149999999</v>
      </c>
      <c r="N192" s="257">
        <v>5201889.1500000004</v>
      </c>
    </row>
    <row r="193" spans="1:14" s="143" customFormat="1" hidden="1" x14ac:dyDescent="0.25">
      <c r="A193" s="143" t="s">
        <v>706</v>
      </c>
      <c r="B193" s="143" t="s">
        <v>164</v>
      </c>
      <c r="C193" s="143" t="s">
        <v>165</v>
      </c>
      <c r="D193" s="143" t="s">
        <v>69</v>
      </c>
      <c r="E193" s="257">
        <v>4358000</v>
      </c>
      <c r="F193" s="257">
        <v>4358000</v>
      </c>
      <c r="G193" s="257">
        <v>1089500</v>
      </c>
      <c r="H193" s="257">
        <v>0</v>
      </c>
      <c r="I193" s="257">
        <v>0</v>
      </c>
      <c r="J193" s="269">
        <v>0</v>
      </c>
      <c r="K193" s="257">
        <v>0</v>
      </c>
      <c r="L193" s="257">
        <v>0</v>
      </c>
      <c r="M193" s="257">
        <v>4358000</v>
      </c>
      <c r="N193" s="257">
        <v>1089500</v>
      </c>
    </row>
    <row r="194" spans="1:14" s="143" customFormat="1" hidden="1" x14ac:dyDescent="0.25">
      <c r="A194" s="143" t="s">
        <v>706</v>
      </c>
      <c r="B194" s="143" t="s">
        <v>166</v>
      </c>
      <c r="C194" s="143" t="s">
        <v>167</v>
      </c>
      <c r="D194" s="143" t="s">
        <v>69</v>
      </c>
      <c r="E194" s="257">
        <v>28300000</v>
      </c>
      <c r="F194" s="257">
        <v>28300000</v>
      </c>
      <c r="G194" s="257">
        <v>6925482.0999999996</v>
      </c>
      <c r="H194" s="257">
        <v>0</v>
      </c>
      <c r="I194" s="257">
        <v>3545283.31</v>
      </c>
      <c r="J194" s="269">
        <v>0</v>
      </c>
      <c r="K194" s="257">
        <v>1488193.14</v>
      </c>
      <c r="L194" s="257">
        <v>1488193.14</v>
      </c>
      <c r="M194" s="257">
        <v>23266523.550000001</v>
      </c>
      <c r="N194" s="257">
        <v>1892005.65</v>
      </c>
    </row>
    <row r="195" spans="1:14" s="143" customFormat="1" hidden="1" x14ac:dyDescent="0.25">
      <c r="A195" s="143" t="s">
        <v>706</v>
      </c>
      <c r="B195" s="143" t="s">
        <v>312</v>
      </c>
      <c r="C195" s="143" t="s">
        <v>313</v>
      </c>
      <c r="D195" s="143" t="s">
        <v>69</v>
      </c>
      <c r="E195" s="257">
        <v>8695420</v>
      </c>
      <c r="F195" s="257">
        <v>8695420</v>
      </c>
      <c r="G195" s="257">
        <v>2173855</v>
      </c>
      <c r="H195" s="257">
        <v>0</v>
      </c>
      <c r="I195" s="257">
        <v>0</v>
      </c>
      <c r="J195" s="269">
        <v>0</v>
      </c>
      <c r="K195" s="257">
        <v>0</v>
      </c>
      <c r="L195" s="257">
        <v>0</v>
      </c>
      <c r="M195" s="257">
        <v>8695420</v>
      </c>
      <c r="N195" s="257">
        <v>2173855</v>
      </c>
    </row>
    <row r="196" spans="1:14" s="143" customFormat="1" hidden="1" x14ac:dyDescent="0.25">
      <c r="A196" s="143" t="s">
        <v>706</v>
      </c>
      <c r="B196" s="143" t="s">
        <v>168</v>
      </c>
      <c r="C196" s="143" t="s">
        <v>169</v>
      </c>
      <c r="D196" s="143" t="s">
        <v>69</v>
      </c>
      <c r="E196" s="257">
        <v>19689160</v>
      </c>
      <c r="F196" s="257">
        <v>19689160</v>
      </c>
      <c r="G196" s="257">
        <v>4922290</v>
      </c>
      <c r="H196" s="257">
        <v>0</v>
      </c>
      <c r="I196" s="257">
        <v>1785930.48</v>
      </c>
      <c r="J196" s="269">
        <v>0</v>
      </c>
      <c r="K196" s="257">
        <v>0</v>
      </c>
      <c r="L196" s="257">
        <v>0</v>
      </c>
      <c r="M196" s="257">
        <v>17903229.52</v>
      </c>
      <c r="N196" s="257">
        <v>3136359.52</v>
      </c>
    </row>
    <row r="197" spans="1:14" s="143" customFormat="1" hidden="1" x14ac:dyDescent="0.25">
      <c r="A197" s="143" t="s">
        <v>706</v>
      </c>
      <c r="B197" s="143" t="s">
        <v>170</v>
      </c>
      <c r="C197" s="143" t="s">
        <v>171</v>
      </c>
      <c r="D197" s="143" t="s">
        <v>69</v>
      </c>
      <c r="E197" s="257">
        <v>26663380</v>
      </c>
      <c r="F197" s="257">
        <v>26663380</v>
      </c>
      <c r="G197" s="257">
        <v>6665845</v>
      </c>
      <c r="H197" s="257">
        <v>3205900</v>
      </c>
      <c r="I197" s="257">
        <v>0</v>
      </c>
      <c r="J197" s="269">
        <v>0</v>
      </c>
      <c r="K197" s="257">
        <v>0</v>
      </c>
      <c r="L197" s="257">
        <v>0</v>
      </c>
      <c r="M197" s="257">
        <v>23457480</v>
      </c>
      <c r="N197" s="257">
        <v>3459945</v>
      </c>
    </row>
    <row r="198" spans="1:14" s="143" customFormat="1" hidden="1" x14ac:dyDescent="0.25">
      <c r="A198" s="143" t="s">
        <v>706</v>
      </c>
      <c r="B198" s="143" t="s">
        <v>172</v>
      </c>
      <c r="C198" s="143" t="s">
        <v>173</v>
      </c>
      <c r="D198" s="143" t="s">
        <v>69</v>
      </c>
      <c r="E198" s="257">
        <v>5541820</v>
      </c>
      <c r="F198" s="257">
        <v>5541820</v>
      </c>
      <c r="G198" s="257">
        <v>1385455</v>
      </c>
      <c r="H198" s="257">
        <v>0</v>
      </c>
      <c r="I198" s="257">
        <v>0</v>
      </c>
      <c r="J198" s="269">
        <v>0</v>
      </c>
      <c r="K198" s="257">
        <v>0</v>
      </c>
      <c r="L198" s="257">
        <v>0</v>
      </c>
      <c r="M198" s="257">
        <v>5541820</v>
      </c>
      <c r="N198" s="257">
        <v>1385455</v>
      </c>
    </row>
    <row r="199" spans="1:14" s="143" customFormat="1" hidden="1" x14ac:dyDescent="0.25">
      <c r="A199" s="143" t="s">
        <v>706</v>
      </c>
      <c r="B199" s="143" t="s">
        <v>174</v>
      </c>
      <c r="C199" s="143" t="s">
        <v>175</v>
      </c>
      <c r="D199" s="143" t="s">
        <v>69</v>
      </c>
      <c r="E199" s="257">
        <v>1525000</v>
      </c>
      <c r="F199" s="257">
        <v>1525000</v>
      </c>
      <c r="G199" s="257">
        <v>592250</v>
      </c>
      <c r="H199" s="257">
        <v>0</v>
      </c>
      <c r="I199" s="257">
        <v>567542</v>
      </c>
      <c r="J199" s="269">
        <v>0</v>
      </c>
      <c r="K199" s="257">
        <v>0</v>
      </c>
      <c r="L199" s="257">
        <v>0</v>
      </c>
      <c r="M199" s="257">
        <v>957458</v>
      </c>
      <c r="N199" s="257">
        <v>24708</v>
      </c>
    </row>
    <row r="200" spans="1:14" s="143" customFormat="1" hidden="1" x14ac:dyDescent="0.25">
      <c r="A200" s="143" t="s">
        <v>706</v>
      </c>
      <c r="B200" s="143" t="s">
        <v>176</v>
      </c>
      <c r="C200" s="143" t="s">
        <v>177</v>
      </c>
      <c r="D200" s="143" t="s">
        <v>69</v>
      </c>
      <c r="E200" s="257">
        <v>1525000</v>
      </c>
      <c r="F200" s="257">
        <v>1525000</v>
      </c>
      <c r="G200" s="257">
        <v>592250</v>
      </c>
      <c r="H200" s="257">
        <v>0</v>
      </c>
      <c r="I200" s="257">
        <v>567542</v>
      </c>
      <c r="J200" s="269">
        <v>0</v>
      </c>
      <c r="K200" s="257">
        <v>0</v>
      </c>
      <c r="L200" s="257">
        <v>0</v>
      </c>
      <c r="M200" s="257">
        <v>957458</v>
      </c>
      <c r="N200" s="257">
        <v>24708</v>
      </c>
    </row>
    <row r="201" spans="1:14" s="143" customFormat="1" hidden="1" x14ac:dyDescent="0.25">
      <c r="A201" s="143" t="s">
        <v>706</v>
      </c>
      <c r="B201" s="143" t="s">
        <v>178</v>
      </c>
      <c r="C201" s="143" t="s">
        <v>179</v>
      </c>
      <c r="D201" s="143" t="s">
        <v>69</v>
      </c>
      <c r="E201" s="257">
        <v>2200000</v>
      </c>
      <c r="F201" s="257">
        <v>2200000</v>
      </c>
      <c r="G201" s="257">
        <v>650500</v>
      </c>
      <c r="H201" s="257">
        <v>0</v>
      </c>
      <c r="I201" s="257">
        <v>150000</v>
      </c>
      <c r="J201" s="269">
        <v>0</v>
      </c>
      <c r="K201" s="257">
        <v>0</v>
      </c>
      <c r="L201" s="257">
        <v>0</v>
      </c>
      <c r="M201" s="257">
        <v>2050000</v>
      </c>
      <c r="N201" s="257">
        <v>500500</v>
      </c>
    </row>
    <row r="202" spans="1:14" s="143" customFormat="1" hidden="1" x14ac:dyDescent="0.25">
      <c r="A202" s="143" t="s">
        <v>706</v>
      </c>
      <c r="B202" s="143" t="s">
        <v>180</v>
      </c>
      <c r="C202" s="143" t="s">
        <v>181</v>
      </c>
      <c r="D202" s="143" t="s">
        <v>69</v>
      </c>
      <c r="E202" s="257">
        <v>200000</v>
      </c>
      <c r="F202" s="257">
        <v>200000</v>
      </c>
      <c r="G202" s="257">
        <v>150500</v>
      </c>
      <c r="H202" s="257">
        <v>0</v>
      </c>
      <c r="I202" s="257">
        <v>150000</v>
      </c>
      <c r="J202" s="269">
        <v>0</v>
      </c>
      <c r="K202" s="257">
        <v>0</v>
      </c>
      <c r="L202" s="257">
        <v>0</v>
      </c>
      <c r="M202" s="257">
        <v>50000</v>
      </c>
      <c r="N202" s="257">
        <v>500</v>
      </c>
    </row>
    <row r="203" spans="1:14" s="143" customFormat="1" hidden="1" x14ac:dyDescent="0.25">
      <c r="A203" s="143" t="s">
        <v>706</v>
      </c>
      <c r="B203" s="143" t="s">
        <v>182</v>
      </c>
      <c r="C203" s="143" t="s">
        <v>183</v>
      </c>
      <c r="D203" s="143" t="s">
        <v>69</v>
      </c>
      <c r="E203" s="257">
        <v>2000000</v>
      </c>
      <c r="F203" s="257">
        <v>2000000</v>
      </c>
      <c r="G203" s="257">
        <v>500000</v>
      </c>
      <c r="H203" s="257">
        <v>0</v>
      </c>
      <c r="I203" s="257">
        <v>0</v>
      </c>
      <c r="J203" s="269">
        <v>0</v>
      </c>
      <c r="K203" s="257">
        <v>0</v>
      </c>
      <c r="L203" s="257">
        <v>0</v>
      </c>
      <c r="M203" s="257">
        <v>2000000</v>
      </c>
      <c r="N203" s="257">
        <v>500000</v>
      </c>
    </row>
    <row r="204" spans="1:14" s="143" customFormat="1" hidden="1" x14ac:dyDescent="0.25">
      <c r="A204" s="143" t="s">
        <v>706</v>
      </c>
      <c r="B204" s="143" t="s">
        <v>184</v>
      </c>
      <c r="C204" s="143" t="s">
        <v>185</v>
      </c>
      <c r="D204" s="143" t="s">
        <v>69</v>
      </c>
      <c r="E204" s="257">
        <v>56348380</v>
      </c>
      <c r="F204" s="257">
        <v>56348380</v>
      </c>
      <c r="G204" s="257">
        <v>15383920</v>
      </c>
      <c r="H204" s="257">
        <v>66851</v>
      </c>
      <c r="I204" s="257">
        <v>5131796.3099999996</v>
      </c>
      <c r="J204">
        <v>0</v>
      </c>
      <c r="K204" s="257">
        <v>2295200.14</v>
      </c>
      <c r="L204" s="257">
        <v>2264912.14</v>
      </c>
      <c r="M204" s="257">
        <v>48854532.549999997</v>
      </c>
      <c r="N204" s="257">
        <v>7890072.5499999998</v>
      </c>
    </row>
    <row r="205" spans="1:14" s="143" customFormat="1" hidden="1" x14ac:dyDescent="0.25">
      <c r="A205" s="143" t="s">
        <v>706</v>
      </c>
      <c r="B205" s="143" t="s">
        <v>186</v>
      </c>
      <c r="C205" s="143" t="s">
        <v>187</v>
      </c>
      <c r="D205" s="143" t="s">
        <v>69</v>
      </c>
      <c r="E205" s="257">
        <v>30858480</v>
      </c>
      <c r="F205" s="257">
        <v>30858480</v>
      </c>
      <c r="G205" s="257">
        <v>7794620</v>
      </c>
      <c r="H205" s="257">
        <v>0</v>
      </c>
      <c r="I205" s="257">
        <v>4816636.3099999996</v>
      </c>
      <c r="J205" s="252">
        <v>0</v>
      </c>
      <c r="K205" s="257">
        <v>1299401.1399999999</v>
      </c>
      <c r="L205" s="257">
        <v>1299401.1399999999</v>
      </c>
      <c r="M205" s="257">
        <v>24742442.550000001</v>
      </c>
      <c r="N205" s="257">
        <v>1678582.55</v>
      </c>
    </row>
    <row r="206" spans="1:14" s="143" customFormat="1" hidden="1" x14ac:dyDescent="0.25">
      <c r="A206" s="143" t="s">
        <v>706</v>
      </c>
      <c r="B206" s="143" t="s">
        <v>188</v>
      </c>
      <c r="C206" s="143" t="s">
        <v>189</v>
      </c>
      <c r="D206" s="143" t="s">
        <v>69</v>
      </c>
      <c r="E206" s="257">
        <v>25379000</v>
      </c>
      <c r="F206" s="257">
        <v>25379000</v>
      </c>
      <c r="G206" s="257">
        <v>6424750</v>
      </c>
      <c r="H206" s="257">
        <v>0</v>
      </c>
      <c r="I206" s="257">
        <v>4758832.1900000004</v>
      </c>
      <c r="J206" s="261">
        <v>0</v>
      </c>
      <c r="K206" s="257">
        <v>1288336.1399999999</v>
      </c>
      <c r="L206" s="257">
        <v>1288336.1399999999</v>
      </c>
      <c r="M206" s="257">
        <v>19331831.670000002</v>
      </c>
      <c r="N206" s="257">
        <v>377581.67</v>
      </c>
    </row>
    <row r="207" spans="1:14" s="143" customFormat="1" hidden="1" x14ac:dyDescent="0.25">
      <c r="A207" s="143" t="s">
        <v>706</v>
      </c>
      <c r="B207" s="143" t="s">
        <v>190</v>
      </c>
      <c r="C207" s="143" t="s">
        <v>191</v>
      </c>
      <c r="D207" s="143" t="s">
        <v>69</v>
      </c>
      <c r="E207" s="257">
        <v>231600</v>
      </c>
      <c r="F207" s="257">
        <v>231600</v>
      </c>
      <c r="G207" s="257">
        <v>57900</v>
      </c>
      <c r="H207" s="257">
        <v>0</v>
      </c>
      <c r="I207" s="257">
        <v>0</v>
      </c>
      <c r="J207" s="266">
        <v>0</v>
      </c>
      <c r="K207" s="257">
        <v>0</v>
      </c>
      <c r="L207" s="257">
        <v>0</v>
      </c>
      <c r="M207" s="257">
        <v>231600</v>
      </c>
      <c r="N207" s="257">
        <v>57900</v>
      </c>
    </row>
    <row r="208" spans="1:14" s="143" customFormat="1" hidden="1" x14ac:dyDescent="0.25">
      <c r="A208" s="143" t="s">
        <v>706</v>
      </c>
      <c r="B208" s="143" t="s">
        <v>192</v>
      </c>
      <c r="C208" s="143" t="s">
        <v>193</v>
      </c>
      <c r="D208" s="143" t="s">
        <v>69</v>
      </c>
      <c r="E208" s="257">
        <v>4850880</v>
      </c>
      <c r="F208" s="257">
        <v>4850880</v>
      </c>
      <c r="G208" s="257">
        <v>1212720</v>
      </c>
      <c r="H208" s="257">
        <v>0</v>
      </c>
      <c r="I208" s="257">
        <v>57804.12</v>
      </c>
      <c r="J208" s="269">
        <v>0</v>
      </c>
      <c r="K208" s="257">
        <v>11065</v>
      </c>
      <c r="L208" s="257">
        <v>11065</v>
      </c>
      <c r="M208" s="257">
        <v>4782010.88</v>
      </c>
      <c r="N208" s="257">
        <v>1143850.8799999999</v>
      </c>
    </row>
    <row r="209" spans="1:14" s="143" customFormat="1" hidden="1" x14ac:dyDescent="0.25">
      <c r="A209" s="143" t="s">
        <v>706</v>
      </c>
      <c r="B209" s="143" t="s">
        <v>194</v>
      </c>
      <c r="C209" s="143" t="s">
        <v>195</v>
      </c>
      <c r="D209" s="143" t="s">
        <v>69</v>
      </c>
      <c r="E209" s="257">
        <v>397000</v>
      </c>
      <c r="F209" s="257">
        <v>397000</v>
      </c>
      <c r="G209" s="257">
        <v>99250</v>
      </c>
      <c r="H209" s="257">
        <v>0</v>
      </c>
      <c r="I209" s="257">
        <v>0</v>
      </c>
      <c r="J209" s="269">
        <v>0</v>
      </c>
      <c r="K209" s="257">
        <v>0</v>
      </c>
      <c r="L209" s="257">
        <v>0</v>
      </c>
      <c r="M209" s="257">
        <v>397000</v>
      </c>
      <c r="N209" s="257">
        <v>99250</v>
      </c>
    </row>
    <row r="210" spans="1:14" s="143" customFormat="1" hidden="1" x14ac:dyDescent="0.25">
      <c r="A210" s="143" t="s">
        <v>706</v>
      </c>
      <c r="B210" s="143" t="s">
        <v>200</v>
      </c>
      <c r="C210" s="143" t="s">
        <v>201</v>
      </c>
      <c r="D210" s="143" t="s">
        <v>69</v>
      </c>
      <c r="E210" s="257">
        <v>5536500</v>
      </c>
      <c r="F210" s="257">
        <v>5536500</v>
      </c>
      <c r="G210" s="257">
        <v>1404125</v>
      </c>
      <c r="H210" s="257">
        <v>0</v>
      </c>
      <c r="I210" s="257">
        <v>3160</v>
      </c>
      <c r="J210" s="269">
        <v>0</v>
      </c>
      <c r="K210" s="257">
        <v>483923</v>
      </c>
      <c r="L210" s="257">
        <v>483923</v>
      </c>
      <c r="M210" s="257">
        <v>5049417</v>
      </c>
      <c r="N210" s="257">
        <v>917042</v>
      </c>
    </row>
    <row r="211" spans="1:14" s="143" customFormat="1" hidden="1" x14ac:dyDescent="0.25">
      <c r="A211" s="143" t="s">
        <v>706</v>
      </c>
      <c r="B211" s="143" t="s">
        <v>314</v>
      </c>
      <c r="C211" s="143" t="s">
        <v>315</v>
      </c>
      <c r="D211" s="143" t="s">
        <v>69</v>
      </c>
      <c r="E211" s="257">
        <v>1274000</v>
      </c>
      <c r="F211" s="257">
        <v>1274000</v>
      </c>
      <c r="G211" s="257">
        <v>338500</v>
      </c>
      <c r="H211" s="257">
        <v>0</v>
      </c>
      <c r="I211" s="257">
        <v>0</v>
      </c>
      <c r="J211" s="269">
        <v>0</v>
      </c>
      <c r="K211" s="257">
        <v>338498</v>
      </c>
      <c r="L211" s="257">
        <v>338498</v>
      </c>
      <c r="M211" s="257">
        <v>935502</v>
      </c>
      <c r="N211" s="257">
        <v>2</v>
      </c>
    </row>
    <row r="212" spans="1:14" s="143" customFormat="1" hidden="1" x14ac:dyDescent="0.25">
      <c r="A212" s="143" t="s">
        <v>706</v>
      </c>
      <c r="B212" s="143" t="s">
        <v>316</v>
      </c>
      <c r="C212" s="143" t="s">
        <v>317</v>
      </c>
      <c r="D212" s="143" t="s">
        <v>69</v>
      </c>
      <c r="E212" s="257">
        <v>290000</v>
      </c>
      <c r="F212" s="257">
        <v>290000</v>
      </c>
      <c r="G212" s="257">
        <v>72500</v>
      </c>
      <c r="H212" s="257">
        <v>0</v>
      </c>
      <c r="I212" s="257">
        <v>0</v>
      </c>
      <c r="J212" s="269">
        <v>0</v>
      </c>
      <c r="K212" s="257">
        <v>0</v>
      </c>
      <c r="L212" s="257">
        <v>0</v>
      </c>
      <c r="M212" s="257">
        <v>290000</v>
      </c>
      <c r="N212" s="257">
        <v>72500</v>
      </c>
    </row>
    <row r="213" spans="1:14" s="143" customFormat="1" hidden="1" x14ac:dyDescent="0.25">
      <c r="A213" s="143" t="s">
        <v>706</v>
      </c>
      <c r="B213" s="143" t="s">
        <v>318</v>
      </c>
      <c r="C213" s="143" t="s">
        <v>319</v>
      </c>
      <c r="D213" s="143" t="s">
        <v>69</v>
      </c>
      <c r="E213" s="257">
        <v>100000</v>
      </c>
      <c r="F213" s="257">
        <v>100000</v>
      </c>
      <c r="G213" s="257">
        <v>25000</v>
      </c>
      <c r="H213" s="257">
        <v>0</v>
      </c>
      <c r="I213" s="257">
        <v>0</v>
      </c>
      <c r="J213" s="269">
        <v>0</v>
      </c>
      <c r="K213" s="257">
        <v>0</v>
      </c>
      <c r="L213" s="257">
        <v>0</v>
      </c>
      <c r="M213" s="257">
        <v>100000</v>
      </c>
      <c r="N213" s="257">
        <v>25000</v>
      </c>
    </row>
    <row r="214" spans="1:14" s="143" customFormat="1" hidden="1" x14ac:dyDescent="0.25">
      <c r="A214" s="143" t="s">
        <v>706</v>
      </c>
      <c r="B214" s="143" t="s">
        <v>202</v>
      </c>
      <c r="C214" s="143" t="s">
        <v>203</v>
      </c>
      <c r="D214" s="143" t="s">
        <v>69</v>
      </c>
      <c r="E214" s="257">
        <v>2782500</v>
      </c>
      <c r="F214" s="257">
        <v>2782500</v>
      </c>
      <c r="G214" s="257">
        <v>695625</v>
      </c>
      <c r="H214" s="257">
        <v>0</v>
      </c>
      <c r="I214" s="257">
        <v>0</v>
      </c>
      <c r="J214" s="269">
        <v>0</v>
      </c>
      <c r="K214" s="257">
        <v>0</v>
      </c>
      <c r="L214" s="257">
        <v>0</v>
      </c>
      <c r="M214" s="257">
        <v>2782500</v>
      </c>
      <c r="N214" s="257">
        <v>695625</v>
      </c>
    </row>
    <row r="215" spans="1:14" s="143" customFormat="1" hidden="1" x14ac:dyDescent="0.25">
      <c r="A215" s="143" t="s">
        <v>706</v>
      </c>
      <c r="B215" s="143" t="s">
        <v>204</v>
      </c>
      <c r="C215" s="143" t="s">
        <v>205</v>
      </c>
      <c r="D215" s="143" t="s">
        <v>69</v>
      </c>
      <c r="E215" s="257">
        <v>200000</v>
      </c>
      <c r="F215" s="257">
        <v>200000</v>
      </c>
      <c r="G215" s="257">
        <v>50000</v>
      </c>
      <c r="H215" s="257">
        <v>0</v>
      </c>
      <c r="I215" s="257">
        <v>0</v>
      </c>
      <c r="J215" s="269">
        <v>0</v>
      </c>
      <c r="K215" s="257">
        <v>0</v>
      </c>
      <c r="L215" s="257">
        <v>0</v>
      </c>
      <c r="M215" s="257">
        <v>200000</v>
      </c>
      <c r="N215" s="257">
        <v>50000</v>
      </c>
    </row>
    <row r="216" spans="1:14" s="143" customFormat="1" hidden="1" x14ac:dyDescent="0.25">
      <c r="A216" s="143" t="s">
        <v>706</v>
      </c>
      <c r="B216" s="143" t="s">
        <v>322</v>
      </c>
      <c r="C216" s="143" t="s">
        <v>323</v>
      </c>
      <c r="D216" s="143" t="s">
        <v>69</v>
      </c>
      <c r="E216" s="257">
        <v>890000</v>
      </c>
      <c r="F216" s="257">
        <v>890000</v>
      </c>
      <c r="G216" s="257">
        <v>222500</v>
      </c>
      <c r="H216" s="257">
        <v>0</v>
      </c>
      <c r="I216" s="257">
        <v>3160</v>
      </c>
      <c r="J216" s="269">
        <v>0</v>
      </c>
      <c r="K216" s="257">
        <v>145425</v>
      </c>
      <c r="L216" s="257">
        <v>145425</v>
      </c>
      <c r="M216" s="257">
        <v>741415</v>
      </c>
      <c r="N216" s="257">
        <v>73915</v>
      </c>
    </row>
    <row r="217" spans="1:14" s="143" customFormat="1" hidden="1" x14ac:dyDescent="0.25">
      <c r="A217" s="143" t="s">
        <v>706</v>
      </c>
      <c r="B217" s="143" t="s">
        <v>206</v>
      </c>
      <c r="C217" s="143" t="s">
        <v>207</v>
      </c>
      <c r="D217" s="143" t="s">
        <v>69</v>
      </c>
      <c r="E217" s="257">
        <v>3341900</v>
      </c>
      <c r="F217" s="257">
        <v>3341900</v>
      </c>
      <c r="G217" s="257">
        <v>835475</v>
      </c>
      <c r="H217" s="257">
        <v>66851</v>
      </c>
      <c r="I217" s="257">
        <v>0</v>
      </c>
      <c r="J217" s="269">
        <v>0</v>
      </c>
      <c r="K217" s="257">
        <v>45250</v>
      </c>
      <c r="L217" s="257">
        <v>45250</v>
      </c>
      <c r="M217" s="257">
        <v>3229799</v>
      </c>
      <c r="N217" s="257">
        <v>723374</v>
      </c>
    </row>
    <row r="218" spans="1:14" s="143" customFormat="1" hidden="1" x14ac:dyDescent="0.25">
      <c r="A218" s="143" t="s">
        <v>706</v>
      </c>
      <c r="B218" s="143" t="s">
        <v>208</v>
      </c>
      <c r="C218" s="143" t="s">
        <v>209</v>
      </c>
      <c r="D218" s="143" t="s">
        <v>69</v>
      </c>
      <c r="E218" s="257">
        <v>671900</v>
      </c>
      <c r="F218" s="257">
        <v>671900</v>
      </c>
      <c r="G218" s="257">
        <v>167975</v>
      </c>
      <c r="H218" s="257">
        <v>0</v>
      </c>
      <c r="I218" s="257">
        <v>0</v>
      </c>
      <c r="J218" s="269">
        <v>0</v>
      </c>
      <c r="K218" s="257">
        <v>45250</v>
      </c>
      <c r="L218" s="257">
        <v>45250</v>
      </c>
      <c r="M218" s="257">
        <v>626650</v>
      </c>
      <c r="N218" s="257">
        <v>122725</v>
      </c>
    </row>
    <row r="219" spans="1:14" s="143" customFormat="1" hidden="1" x14ac:dyDescent="0.25">
      <c r="A219" s="143" t="s">
        <v>706</v>
      </c>
      <c r="B219" s="143" t="s">
        <v>210</v>
      </c>
      <c r="C219" s="143" t="s">
        <v>211</v>
      </c>
      <c r="D219" s="143" t="s">
        <v>69</v>
      </c>
      <c r="E219" s="257">
        <v>2670000</v>
      </c>
      <c r="F219" s="257">
        <v>2670000</v>
      </c>
      <c r="G219" s="257">
        <v>667500</v>
      </c>
      <c r="H219" s="257">
        <v>66851</v>
      </c>
      <c r="I219" s="257">
        <v>0</v>
      </c>
      <c r="J219" s="269">
        <v>0</v>
      </c>
      <c r="K219" s="257">
        <v>0</v>
      </c>
      <c r="L219" s="257">
        <v>0</v>
      </c>
      <c r="M219" s="257">
        <v>2603149</v>
      </c>
      <c r="N219" s="257">
        <v>600649</v>
      </c>
    </row>
    <row r="220" spans="1:14" s="143" customFormat="1" hidden="1" x14ac:dyDescent="0.25">
      <c r="A220" s="143" t="s">
        <v>706</v>
      </c>
      <c r="B220" s="143" t="s">
        <v>212</v>
      </c>
      <c r="C220" s="143" t="s">
        <v>213</v>
      </c>
      <c r="D220" s="143" t="s">
        <v>69</v>
      </c>
      <c r="E220" s="257">
        <v>16611500</v>
      </c>
      <c r="F220" s="257">
        <v>16611500</v>
      </c>
      <c r="G220" s="257">
        <v>5349700</v>
      </c>
      <c r="H220" s="257">
        <v>0</v>
      </c>
      <c r="I220" s="257">
        <v>312000</v>
      </c>
      <c r="J220" s="269">
        <v>0</v>
      </c>
      <c r="K220" s="257">
        <v>466626</v>
      </c>
      <c r="L220" s="257">
        <v>436338</v>
      </c>
      <c r="M220" s="257">
        <v>15832874</v>
      </c>
      <c r="N220" s="257">
        <v>4571074</v>
      </c>
    </row>
    <row r="221" spans="1:14" s="143" customFormat="1" hidden="1" x14ac:dyDescent="0.25">
      <c r="A221" s="143" t="s">
        <v>706</v>
      </c>
      <c r="B221" s="143" t="s">
        <v>214</v>
      </c>
      <c r="C221" s="143" t="s">
        <v>215</v>
      </c>
      <c r="D221" s="143" t="s">
        <v>69</v>
      </c>
      <c r="E221" s="257">
        <v>5232000</v>
      </c>
      <c r="F221" s="257">
        <v>5232000</v>
      </c>
      <c r="G221" s="257">
        <v>1308000</v>
      </c>
      <c r="H221" s="257">
        <v>0</v>
      </c>
      <c r="I221" s="257">
        <v>0</v>
      </c>
      <c r="J221">
        <v>0</v>
      </c>
      <c r="K221" s="257">
        <v>30288</v>
      </c>
      <c r="L221" s="257">
        <v>0</v>
      </c>
      <c r="M221" s="257">
        <v>5201712</v>
      </c>
      <c r="N221" s="257">
        <v>1277712</v>
      </c>
    </row>
    <row r="222" spans="1:14" s="143" customFormat="1" hidden="1" x14ac:dyDescent="0.25">
      <c r="A222" s="143" t="s">
        <v>706</v>
      </c>
      <c r="B222" s="143" t="s">
        <v>218</v>
      </c>
      <c r="C222" s="143" t="s">
        <v>219</v>
      </c>
      <c r="D222" s="143" t="s">
        <v>69</v>
      </c>
      <c r="E222" s="257">
        <v>6600000</v>
      </c>
      <c r="F222" s="257">
        <v>6600000</v>
      </c>
      <c r="G222" s="257">
        <v>1650000</v>
      </c>
      <c r="H222" s="257">
        <v>0</v>
      </c>
      <c r="I222" s="257">
        <v>309400</v>
      </c>
      <c r="J222" s="252">
        <v>0</v>
      </c>
      <c r="K222" s="257">
        <v>84498</v>
      </c>
      <c r="L222" s="257">
        <v>84498</v>
      </c>
      <c r="M222" s="257">
        <v>6206102</v>
      </c>
      <c r="N222" s="257">
        <v>1256102</v>
      </c>
    </row>
    <row r="223" spans="1:14" s="143" customFormat="1" hidden="1" x14ac:dyDescent="0.25">
      <c r="A223" s="143" t="s">
        <v>706</v>
      </c>
      <c r="B223" s="143" t="s">
        <v>220</v>
      </c>
      <c r="C223" s="143" t="s">
        <v>221</v>
      </c>
      <c r="D223" s="143" t="s">
        <v>69</v>
      </c>
      <c r="E223" s="257">
        <v>340000</v>
      </c>
      <c r="F223" s="257">
        <v>340000</v>
      </c>
      <c r="G223" s="257">
        <v>85000</v>
      </c>
      <c r="H223" s="257">
        <v>0</v>
      </c>
      <c r="I223" s="257">
        <v>0</v>
      </c>
      <c r="J223" s="261">
        <v>0</v>
      </c>
      <c r="K223" s="257">
        <v>0</v>
      </c>
      <c r="L223" s="257">
        <v>0</v>
      </c>
      <c r="M223" s="257">
        <v>340000</v>
      </c>
      <c r="N223" s="257">
        <v>85000</v>
      </c>
    </row>
    <row r="224" spans="1:14" s="143" customFormat="1" hidden="1" x14ac:dyDescent="0.25">
      <c r="A224" s="143" t="s">
        <v>706</v>
      </c>
      <c r="B224" s="143" t="s">
        <v>222</v>
      </c>
      <c r="C224" s="143" t="s">
        <v>223</v>
      </c>
      <c r="D224" s="143" t="s">
        <v>69</v>
      </c>
      <c r="E224" s="257">
        <v>1393100</v>
      </c>
      <c r="F224" s="257">
        <v>1393100</v>
      </c>
      <c r="G224" s="257">
        <v>1393100</v>
      </c>
      <c r="H224" s="257">
        <v>0</v>
      </c>
      <c r="I224" s="257">
        <v>0</v>
      </c>
      <c r="J224" s="266">
        <v>0</v>
      </c>
      <c r="K224" s="257">
        <v>0</v>
      </c>
      <c r="L224" s="257">
        <v>0</v>
      </c>
      <c r="M224" s="257">
        <v>1393100</v>
      </c>
      <c r="N224" s="257">
        <v>1393100</v>
      </c>
    </row>
    <row r="225" spans="1:14" s="143" customFormat="1" hidden="1" x14ac:dyDescent="0.25">
      <c r="A225" s="143" t="s">
        <v>706</v>
      </c>
      <c r="B225" s="143" t="s">
        <v>224</v>
      </c>
      <c r="C225" s="143" t="s">
        <v>225</v>
      </c>
      <c r="D225" s="143" t="s">
        <v>69</v>
      </c>
      <c r="E225" s="257">
        <v>2296200</v>
      </c>
      <c r="F225" s="257">
        <v>2296200</v>
      </c>
      <c r="G225" s="257">
        <v>574050</v>
      </c>
      <c r="H225" s="257">
        <v>0</v>
      </c>
      <c r="I225" s="257">
        <v>0</v>
      </c>
      <c r="J225" s="269">
        <v>0</v>
      </c>
      <c r="K225" s="257">
        <v>15000</v>
      </c>
      <c r="L225" s="257">
        <v>15000</v>
      </c>
      <c r="M225" s="257">
        <v>2281200</v>
      </c>
      <c r="N225" s="257">
        <v>559050</v>
      </c>
    </row>
    <row r="226" spans="1:14" s="143" customFormat="1" hidden="1" x14ac:dyDescent="0.25">
      <c r="A226" s="143" t="s">
        <v>706</v>
      </c>
      <c r="B226" s="143" t="s">
        <v>228</v>
      </c>
      <c r="C226" s="143" t="s">
        <v>229</v>
      </c>
      <c r="D226" s="143" t="s">
        <v>69</v>
      </c>
      <c r="E226" s="257">
        <v>750200</v>
      </c>
      <c r="F226" s="257">
        <v>750200</v>
      </c>
      <c r="G226" s="257">
        <v>339550</v>
      </c>
      <c r="H226" s="257">
        <v>0</v>
      </c>
      <c r="I226" s="257">
        <v>2600</v>
      </c>
      <c r="J226" s="269">
        <v>0</v>
      </c>
      <c r="K226" s="257">
        <v>336840</v>
      </c>
      <c r="L226" s="257">
        <v>336840</v>
      </c>
      <c r="M226" s="257">
        <v>410760</v>
      </c>
      <c r="N226" s="257">
        <v>110</v>
      </c>
    </row>
    <row r="227" spans="1:14" s="143" customFormat="1" hidden="1" x14ac:dyDescent="0.25">
      <c r="A227" s="143" t="s">
        <v>706</v>
      </c>
      <c r="B227" s="143" t="s">
        <v>248</v>
      </c>
      <c r="C227" s="143" t="s">
        <v>249</v>
      </c>
      <c r="D227" s="143" t="s">
        <v>69</v>
      </c>
      <c r="E227" s="257">
        <v>218960452</v>
      </c>
      <c r="F227" s="257">
        <v>218960452</v>
      </c>
      <c r="G227" s="257">
        <v>76620036</v>
      </c>
      <c r="H227" s="257">
        <v>0</v>
      </c>
      <c r="I227" s="257">
        <v>14262306.67</v>
      </c>
      <c r="J227" s="269">
        <v>0</v>
      </c>
      <c r="K227" s="257">
        <v>3698689.33</v>
      </c>
      <c r="L227" s="257">
        <v>3698689.33</v>
      </c>
      <c r="M227" s="257">
        <v>200999456</v>
      </c>
      <c r="N227" s="257">
        <v>58659040</v>
      </c>
    </row>
    <row r="228" spans="1:14" s="143" customFormat="1" hidden="1" x14ac:dyDescent="0.25">
      <c r="A228" s="143" t="s">
        <v>706</v>
      </c>
      <c r="B228" s="143" t="s">
        <v>250</v>
      </c>
      <c r="C228" s="143" t="s">
        <v>251</v>
      </c>
      <c r="D228" s="143" t="s">
        <v>69</v>
      </c>
      <c r="E228" s="257">
        <v>17259352</v>
      </c>
      <c r="F228" s="257">
        <v>17259352</v>
      </c>
      <c r="G228" s="257">
        <v>17259352</v>
      </c>
      <c r="H228" s="257">
        <v>0</v>
      </c>
      <c r="I228" s="257">
        <v>14262306.67</v>
      </c>
      <c r="J228" s="269">
        <v>0</v>
      </c>
      <c r="K228" s="257">
        <v>2997045.33</v>
      </c>
      <c r="L228" s="257">
        <v>2997045.33</v>
      </c>
      <c r="M228" s="257">
        <v>0</v>
      </c>
      <c r="N228" s="257">
        <v>0</v>
      </c>
    </row>
    <row r="229" spans="1:14" s="143" customFormat="1" hidden="1" x14ac:dyDescent="0.25">
      <c r="A229" s="143" t="s">
        <v>706</v>
      </c>
      <c r="B229" s="143" t="s">
        <v>628</v>
      </c>
      <c r="C229" s="143" t="s">
        <v>702</v>
      </c>
      <c r="D229" s="143" t="s">
        <v>69</v>
      </c>
      <c r="E229" s="257">
        <v>14660103</v>
      </c>
      <c r="F229" s="257">
        <v>14660103</v>
      </c>
      <c r="G229" s="257">
        <v>14660103</v>
      </c>
      <c r="H229" s="257">
        <v>0</v>
      </c>
      <c r="I229" s="257">
        <v>12147248.48</v>
      </c>
      <c r="J229" s="269">
        <v>0</v>
      </c>
      <c r="K229" s="257">
        <v>2512854.52</v>
      </c>
      <c r="L229" s="257">
        <v>2512854.52</v>
      </c>
      <c r="M229" s="257">
        <v>0</v>
      </c>
      <c r="N229" s="257">
        <v>0</v>
      </c>
    </row>
    <row r="230" spans="1:14" s="143" customFormat="1" hidden="1" x14ac:dyDescent="0.25">
      <c r="A230" s="143" t="s">
        <v>706</v>
      </c>
      <c r="B230" s="143" t="s">
        <v>643</v>
      </c>
      <c r="C230" s="143" t="s">
        <v>703</v>
      </c>
      <c r="D230" s="143" t="s">
        <v>69</v>
      </c>
      <c r="E230" s="257">
        <v>2599249</v>
      </c>
      <c r="F230" s="257">
        <v>2599249</v>
      </c>
      <c r="G230" s="257">
        <v>2599249</v>
      </c>
      <c r="H230" s="257">
        <v>0</v>
      </c>
      <c r="I230" s="257">
        <v>2115058.19</v>
      </c>
      <c r="J230" s="269">
        <v>0</v>
      </c>
      <c r="K230" s="257">
        <v>484190.81</v>
      </c>
      <c r="L230" s="257">
        <v>484190.81</v>
      </c>
      <c r="M230" s="257">
        <v>0</v>
      </c>
      <c r="N230" s="257">
        <v>0</v>
      </c>
    </row>
    <row r="231" spans="1:14" s="143" customFormat="1" hidden="1" x14ac:dyDescent="0.25">
      <c r="A231" s="143" t="s">
        <v>706</v>
      </c>
      <c r="B231" s="143" t="s">
        <v>260</v>
      </c>
      <c r="C231" s="143" t="s">
        <v>261</v>
      </c>
      <c r="D231" s="143" t="s">
        <v>69</v>
      </c>
      <c r="E231" s="257">
        <v>195701100</v>
      </c>
      <c r="F231" s="257">
        <v>195701100</v>
      </c>
      <c r="G231" s="257">
        <v>57860684</v>
      </c>
      <c r="H231" s="257">
        <v>0</v>
      </c>
      <c r="I231" s="257">
        <v>0</v>
      </c>
      <c r="J231" s="269">
        <v>0</v>
      </c>
      <c r="K231" s="257">
        <v>701644</v>
      </c>
      <c r="L231" s="257">
        <v>701644</v>
      </c>
      <c r="M231" s="257">
        <v>194999456</v>
      </c>
      <c r="N231" s="257">
        <v>57159040</v>
      </c>
    </row>
    <row r="232" spans="1:14" s="143" customFormat="1" hidden="1" x14ac:dyDescent="0.25">
      <c r="A232" s="143" t="s">
        <v>706</v>
      </c>
      <c r="B232" s="143" t="s">
        <v>262</v>
      </c>
      <c r="C232" s="143" t="s">
        <v>263</v>
      </c>
      <c r="D232" s="143" t="s">
        <v>69</v>
      </c>
      <c r="E232" s="257">
        <v>165701100</v>
      </c>
      <c r="F232" s="257">
        <v>165701100</v>
      </c>
      <c r="G232" s="257">
        <v>27860684</v>
      </c>
      <c r="H232" s="257">
        <v>0</v>
      </c>
      <c r="I232" s="257">
        <v>0</v>
      </c>
      <c r="J232" s="269">
        <v>0</v>
      </c>
      <c r="K232" s="257">
        <v>0</v>
      </c>
      <c r="L232" s="257">
        <v>0</v>
      </c>
      <c r="M232" s="257">
        <v>165701100</v>
      </c>
      <c r="N232" s="257">
        <v>27860684</v>
      </c>
    </row>
    <row r="233" spans="1:14" s="143" customFormat="1" hidden="1" x14ac:dyDescent="0.25">
      <c r="A233" s="143" t="s">
        <v>706</v>
      </c>
      <c r="B233" s="143" t="s">
        <v>264</v>
      </c>
      <c r="C233" s="143" t="s">
        <v>265</v>
      </c>
      <c r="D233" s="143" t="s">
        <v>69</v>
      </c>
      <c r="E233" s="257">
        <v>30000000</v>
      </c>
      <c r="F233" s="257">
        <v>30000000</v>
      </c>
      <c r="G233" s="257">
        <v>30000000</v>
      </c>
      <c r="H233" s="257">
        <v>0</v>
      </c>
      <c r="I233" s="257">
        <v>0</v>
      </c>
      <c r="J233" s="269">
        <v>0</v>
      </c>
      <c r="K233" s="257">
        <v>701644</v>
      </c>
      <c r="L233" s="257">
        <v>701644</v>
      </c>
      <c r="M233" s="257">
        <v>29298356</v>
      </c>
      <c r="N233" s="257">
        <v>29298356</v>
      </c>
    </row>
    <row r="234" spans="1:14" s="143" customFormat="1" hidden="1" x14ac:dyDescent="0.25">
      <c r="A234" s="143" t="s">
        <v>706</v>
      </c>
      <c r="B234" s="143" t="s">
        <v>286</v>
      </c>
      <c r="C234" s="143" t="s">
        <v>287</v>
      </c>
      <c r="D234" s="143" t="s">
        <v>69</v>
      </c>
      <c r="E234" s="257">
        <v>6000000</v>
      </c>
      <c r="F234" s="257">
        <v>6000000</v>
      </c>
      <c r="G234" s="257">
        <v>1500000</v>
      </c>
      <c r="H234" s="257">
        <v>0</v>
      </c>
      <c r="I234" s="257">
        <v>0</v>
      </c>
      <c r="J234" s="269">
        <v>0</v>
      </c>
      <c r="K234" s="257">
        <v>0</v>
      </c>
      <c r="L234" s="257">
        <v>0</v>
      </c>
      <c r="M234" s="257">
        <v>6000000</v>
      </c>
      <c r="N234" s="257">
        <v>1500000</v>
      </c>
    </row>
    <row r="235" spans="1:14" s="143" customFormat="1" hidden="1" x14ac:dyDescent="0.25">
      <c r="A235" s="143" t="s">
        <v>706</v>
      </c>
      <c r="B235" s="143" t="s">
        <v>288</v>
      </c>
      <c r="C235" s="143" t="s">
        <v>289</v>
      </c>
      <c r="D235" s="143" t="s">
        <v>69</v>
      </c>
      <c r="E235" s="257">
        <v>6000000</v>
      </c>
      <c r="F235" s="257">
        <v>6000000</v>
      </c>
      <c r="G235" s="257">
        <v>1500000</v>
      </c>
      <c r="H235" s="257">
        <v>0</v>
      </c>
      <c r="I235" s="257">
        <v>0</v>
      </c>
      <c r="J235" s="269">
        <v>0</v>
      </c>
      <c r="K235" s="257">
        <v>0</v>
      </c>
      <c r="L235" s="257">
        <v>0</v>
      </c>
      <c r="M235" s="257">
        <v>6000000</v>
      </c>
      <c r="N235" s="257">
        <v>1500000</v>
      </c>
    </row>
    <row r="236" spans="1:14" s="143" customFormat="1" hidden="1" x14ac:dyDescent="0.25">
      <c r="A236" s="143" t="s">
        <v>706</v>
      </c>
      <c r="B236" s="143" t="s">
        <v>230</v>
      </c>
      <c r="C236" s="143" t="s">
        <v>231</v>
      </c>
      <c r="D236" s="143" t="s">
        <v>85</v>
      </c>
      <c r="E236" s="257">
        <v>744452300</v>
      </c>
      <c r="F236" s="257">
        <v>744452300</v>
      </c>
      <c r="G236" s="257">
        <v>186113075</v>
      </c>
      <c r="H236" s="257">
        <v>0</v>
      </c>
      <c r="I236" s="257">
        <v>0</v>
      </c>
      <c r="J236" s="269">
        <v>0</v>
      </c>
      <c r="K236" s="257">
        <v>0</v>
      </c>
      <c r="L236" s="257">
        <v>0</v>
      </c>
      <c r="M236" s="257">
        <v>744452300</v>
      </c>
      <c r="N236" s="257">
        <v>186113075</v>
      </c>
    </row>
    <row r="237" spans="1:14" s="143" customFormat="1" hidden="1" x14ac:dyDescent="0.25">
      <c r="A237" s="143" t="s">
        <v>706</v>
      </c>
      <c r="B237" s="143" t="s">
        <v>232</v>
      </c>
      <c r="C237" s="143" t="s">
        <v>233</v>
      </c>
      <c r="D237" s="143" t="s">
        <v>85</v>
      </c>
      <c r="E237" s="257">
        <v>67752300</v>
      </c>
      <c r="F237" s="257">
        <v>67752300</v>
      </c>
      <c r="G237" s="257">
        <v>16938075</v>
      </c>
      <c r="H237" s="257">
        <v>0</v>
      </c>
      <c r="I237" s="257">
        <v>0</v>
      </c>
      <c r="J237" s="269">
        <v>0</v>
      </c>
      <c r="K237" s="257">
        <v>0</v>
      </c>
      <c r="L237" s="257">
        <v>0</v>
      </c>
      <c r="M237" s="257">
        <v>67752300</v>
      </c>
      <c r="N237" s="257">
        <v>16938075</v>
      </c>
    </row>
    <row r="238" spans="1:14" s="143" customFormat="1" hidden="1" x14ac:dyDescent="0.25">
      <c r="A238" s="143" t="s">
        <v>706</v>
      </c>
      <c r="B238" s="143" t="s">
        <v>238</v>
      </c>
      <c r="C238" s="143" t="s">
        <v>239</v>
      </c>
      <c r="D238" s="143" t="s">
        <v>85</v>
      </c>
      <c r="E238" s="257">
        <v>45252300</v>
      </c>
      <c r="F238" s="257">
        <v>45252300</v>
      </c>
      <c r="G238" s="257">
        <v>11313075</v>
      </c>
      <c r="H238" s="257">
        <v>0</v>
      </c>
      <c r="I238" s="257">
        <v>0</v>
      </c>
      <c r="J238">
        <v>0</v>
      </c>
      <c r="K238" s="257">
        <v>0</v>
      </c>
      <c r="L238" s="257">
        <v>0</v>
      </c>
      <c r="M238" s="257">
        <v>45252300</v>
      </c>
      <c r="N238" s="257">
        <v>11313075</v>
      </c>
    </row>
    <row r="239" spans="1:14" s="143" customFormat="1" hidden="1" x14ac:dyDescent="0.25">
      <c r="A239" s="143" t="s">
        <v>706</v>
      </c>
      <c r="B239" s="143" t="s">
        <v>282</v>
      </c>
      <c r="C239" s="143" t="s">
        <v>283</v>
      </c>
      <c r="D239" s="143" t="s">
        <v>85</v>
      </c>
      <c r="E239" s="257">
        <v>22500000</v>
      </c>
      <c r="F239" s="257">
        <v>22500000</v>
      </c>
      <c r="G239" s="257">
        <v>5625000</v>
      </c>
      <c r="H239" s="257">
        <v>0</v>
      </c>
      <c r="I239" s="257">
        <v>0</v>
      </c>
      <c r="J239" s="252">
        <v>0</v>
      </c>
      <c r="K239" s="257">
        <v>0</v>
      </c>
      <c r="L239" s="257">
        <v>0</v>
      </c>
      <c r="M239" s="257">
        <v>22500000</v>
      </c>
      <c r="N239" s="257">
        <v>5625000</v>
      </c>
    </row>
    <row r="240" spans="1:14" s="143" customFormat="1" hidden="1" x14ac:dyDescent="0.25">
      <c r="A240" s="143" t="s">
        <v>706</v>
      </c>
      <c r="B240" s="143" t="s">
        <v>328</v>
      </c>
      <c r="C240" s="143" t="s">
        <v>329</v>
      </c>
      <c r="D240" s="143" t="s">
        <v>85</v>
      </c>
      <c r="E240" s="257">
        <v>630000000</v>
      </c>
      <c r="F240" s="257">
        <v>630000000</v>
      </c>
      <c r="G240" s="257">
        <v>157500000</v>
      </c>
      <c r="H240" s="257">
        <v>0</v>
      </c>
      <c r="I240" s="257">
        <v>0</v>
      </c>
      <c r="J240" s="261">
        <v>0</v>
      </c>
      <c r="K240" s="257">
        <v>0</v>
      </c>
      <c r="L240" s="257">
        <v>0</v>
      </c>
      <c r="M240" s="257">
        <v>630000000</v>
      </c>
      <c r="N240" s="257">
        <v>157500000</v>
      </c>
    </row>
    <row r="241" spans="1:14" s="143" customFormat="1" hidden="1" x14ac:dyDescent="0.25">
      <c r="A241" s="143" t="s">
        <v>706</v>
      </c>
      <c r="B241" s="143" t="s">
        <v>330</v>
      </c>
      <c r="C241" s="143" t="s">
        <v>331</v>
      </c>
      <c r="D241" s="143" t="s">
        <v>85</v>
      </c>
      <c r="E241" s="257">
        <v>630000000</v>
      </c>
      <c r="F241" s="257">
        <v>630000000</v>
      </c>
      <c r="G241" s="257">
        <v>157500000</v>
      </c>
      <c r="H241" s="257">
        <v>0</v>
      </c>
      <c r="I241" s="257">
        <v>0</v>
      </c>
      <c r="J241" s="266">
        <v>0</v>
      </c>
      <c r="K241" s="257">
        <v>0</v>
      </c>
      <c r="L241" s="257">
        <v>0</v>
      </c>
      <c r="M241" s="257">
        <v>630000000</v>
      </c>
      <c r="N241" s="257">
        <v>157500000</v>
      </c>
    </row>
    <row r="242" spans="1:14" s="143" customFormat="1" hidden="1" x14ac:dyDescent="0.25">
      <c r="A242" s="143" t="s">
        <v>706</v>
      </c>
      <c r="B242" s="143" t="s">
        <v>244</v>
      </c>
      <c r="C242" s="143" t="s">
        <v>245</v>
      </c>
      <c r="D242" s="143" t="s">
        <v>85</v>
      </c>
      <c r="E242" s="257">
        <v>46700000</v>
      </c>
      <c r="F242" s="257">
        <v>46700000</v>
      </c>
      <c r="G242" s="257">
        <v>11675000</v>
      </c>
      <c r="H242" s="257">
        <v>0</v>
      </c>
      <c r="I242" s="257">
        <v>0</v>
      </c>
      <c r="J242" s="269">
        <v>0</v>
      </c>
      <c r="K242" s="257">
        <v>0</v>
      </c>
      <c r="L242" s="257">
        <v>0</v>
      </c>
      <c r="M242" s="257">
        <v>46700000</v>
      </c>
      <c r="N242" s="257">
        <v>11675000</v>
      </c>
    </row>
    <row r="243" spans="1:14" s="143" customFormat="1" hidden="1" x14ac:dyDescent="0.25">
      <c r="A243" s="143" t="s">
        <v>706</v>
      </c>
      <c r="B243" s="143" t="s">
        <v>246</v>
      </c>
      <c r="C243" s="143" t="s">
        <v>247</v>
      </c>
      <c r="D243" s="143" t="s">
        <v>85</v>
      </c>
      <c r="E243" s="257">
        <v>46700000</v>
      </c>
      <c r="F243" s="257">
        <v>46700000</v>
      </c>
      <c r="G243" s="257">
        <v>11675000</v>
      </c>
      <c r="H243" s="257">
        <v>0</v>
      </c>
      <c r="I243" s="257">
        <v>0</v>
      </c>
      <c r="J243" s="269">
        <v>0</v>
      </c>
      <c r="K243" s="257">
        <v>0</v>
      </c>
      <c r="L243" s="257">
        <v>0</v>
      </c>
      <c r="M243" s="257">
        <v>46700000</v>
      </c>
      <c r="N243" s="257">
        <v>11675000</v>
      </c>
    </row>
    <row r="244" spans="1:14" s="143" customFormat="1" x14ac:dyDescent="0.25">
      <c r="A244" s="270">
        <v>214789</v>
      </c>
      <c r="D244" s="271" t="s">
        <v>69</v>
      </c>
      <c r="E244" s="257">
        <v>77210852108</v>
      </c>
      <c r="F244" s="272">
        <v>77304318625.419998</v>
      </c>
      <c r="G244" s="257">
        <v>64196517579</v>
      </c>
      <c r="H244" s="269">
        <v>142018830.75999999</v>
      </c>
      <c r="I244" s="273">
        <v>17113285594.92</v>
      </c>
      <c r="J244" s="269">
        <v>42362089.009999998</v>
      </c>
      <c r="K244" s="269">
        <v>12558370880.290001</v>
      </c>
      <c r="L244" s="274">
        <v>12419753625.02</v>
      </c>
      <c r="M244" s="273">
        <v>47448281230.440002</v>
      </c>
      <c r="N244" s="257">
        <v>34340480184.02</v>
      </c>
    </row>
    <row r="245" spans="1:14" s="143" customFormat="1" hidden="1" x14ac:dyDescent="0.25">
      <c r="A245" s="143" t="s">
        <v>707</v>
      </c>
      <c r="B245" s="143" t="s">
        <v>71</v>
      </c>
      <c r="C245" s="143" t="s">
        <v>72</v>
      </c>
      <c r="D245" s="143" t="s">
        <v>69</v>
      </c>
      <c r="E245" s="257">
        <v>48966684366</v>
      </c>
      <c r="F245" s="257">
        <v>48966684366</v>
      </c>
      <c r="G245" s="257">
        <v>44045781979</v>
      </c>
      <c r="H245" s="257">
        <v>0</v>
      </c>
      <c r="I245" s="257">
        <v>5631830429</v>
      </c>
      <c r="J245" s="269">
        <v>0</v>
      </c>
      <c r="K245" s="257">
        <v>10263008962.790001</v>
      </c>
      <c r="L245" s="257">
        <v>10263008962.790001</v>
      </c>
      <c r="M245" s="257">
        <v>33071844974.209999</v>
      </c>
      <c r="N245" s="257">
        <v>28150942587.209999</v>
      </c>
    </row>
    <row r="246" spans="1:14" s="143" customFormat="1" hidden="1" x14ac:dyDescent="0.25">
      <c r="A246" s="143" t="s">
        <v>707</v>
      </c>
      <c r="B246" s="143" t="s">
        <v>73</v>
      </c>
      <c r="C246" s="143" t="s">
        <v>74</v>
      </c>
      <c r="D246" s="143" t="s">
        <v>69</v>
      </c>
      <c r="E246" s="257">
        <v>17541843984</v>
      </c>
      <c r="F246" s="257">
        <v>17541843984</v>
      </c>
      <c r="G246" s="257">
        <v>13668137673</v>
      </c>
      <c r="H246" s="257">
        <v>0</v>
      </c>
      <c r="I246" s="257">
        <v>0</v>
      </c>
      <c r="J246" s="269">
        <v>0</v>
      </c>
      <c r="K246" s="257">
        <v>2726339835.5300002</v>
      </c>
      <c r="L246" s="257">
        <v>2726339835.5300002</v>
      </c>
      <c r="M246" s="257">
        <v>14815504148.469999</v>
      </c>
      <c r="N246" s="257">
        <v>10941797837.469999</v>
      </c>
    </row>
    <row r="247" spans="1:14" s="143" customFormat="1" hidden="1" x14ac:dyDescent="0.25">
      <c r="A247" s="143" t="s">
        <v>707</v>
      </c>
      <c r="B247" s="143" t="s">
        <v>75</v>
      </c>
      <c r="C247" s="143" t="s">
        <v>76</v>
      </c>
      <c r="D247" s="143" t="s">
        <v>69</v>
      </c>
      <c r="E247" s="257">
        <v>17541843984</v>
      </c>
      <c r="F247" s="257">
        <v>17541843984</v>
      </c>
      <c r="G247" s="257">
        <v>13668137673</v>
      </c>
      <c r="H247" s="257">
        <v>0</v>
      </c>
      <c r="I247" s="257">
        <v>0</v>
      </c>
      <c r="J247" s="269">
        <v>0</v>
      </c>
      <c r="K247" s="257">
        <v>2726339835.5300002</v>
      </c>
      <c r="L247" s="257">
        <v>2726339835.5300002</v>
      </c>
      <c r="M247" s="257">
        <v>14815504148.469999</v>
      </c>
      <c r="N247" s="257">
        <v>10941797837.469999</v>
      </c>
    </row>
    <row r="248" spans="1:14" s="143" customFormat="1" hidden="1" x14ac:dyDescent="0.25">
      <c r="A248" s="143" t="s">
        <v>707</v>
      </c>
      <c r="B248" s="143" t="s">
        <v>293</v>
      </c>
      <c r="C248" s="143" t="s">
        <v>294</v>
      </c>
      <c r="D248" s="143" t="s">
        <v>69</v>
      </c>
      <c r="E248" s="257">
        <v>3681614000</v>
      </c>
      <c r="F248" s="257">
        <v>3681614000</v>
      </c>
      <c r="G248" s="257">
        <v>3681614000</v>
      </c>
      <c r="H248" s="257">
        <v>0</v>
      </c>
      <c r="I248" s="257">
        <v>0</v>
      </c>
      <c r="J248" s="269">
        <v>0</v>
      </c>
      <c r="K248" s="257">
        <v>613164313.37</v>
      </c>
      <c r="L248" s="257">
        <v>613164313.37</v>
      </c>
      <c r="M248" s="257">
        <v>3068449686.6300001</v>
      </c>
      <c r="N248" s="257">
        <v>3068449686.6300001</v>
      </c>
    </row>
    <row r="249" spans="1:14" s="143" customFormat="1" hidden="1" x14ac:dyDescent="0.25">
      <c r="A249" s="143" t="s">
        <v>707</v>
      </c>
      <c r="B249" s="143" t="s">
        <v>295</v>
      </c>
      <c r="C249" s="143" t="s">
        <v>296</v>
      </c>
      <c r="D249" s="143" t="s">
        <v>69</v>
      </c>
      <c r="E249" s="257">
        <v>8000000</v>
      </c>
      <c r="F249" s="257">
        <v>8000000</v>
      </c>
      <c r="G249" s="257">
        <v>8000000</v>
      </c>
      <c r="H249" s="257">
        <v>0</v>
      </c>
      <c r="I249" s="257">
        <v>0</v>
      </c>
      <c r="J249" s="269">
        <v>0</v>
      </c>
      <c r="K249" s="257">
        <v>2178843.6800000002</v>
      </c>
      <c r="L249" s="257">
        <v>2178843.6800000002</v>
      </c>
      <c r="M249" s="257">
        <v>5821156.3200000003</v>
      </c>
      <c r="N249" s="257">
        <v>5821156.3200000003</v>
      </c>
    </row>
    <row r="250" spans="1:14" s="143" customFormat="1" hidden="1" x14ac:dyDescent="0.25">
      <c r="A250" s="143" t="s">
        <v>707</v>
      </c>
      <c r="B250" s="143" t="s">
        <v>337</v>
      </c>
      <c r="C250" s="143" t="s">
        <v>338</v>
      </c>
      <c r="D250" s="143" t="s">
        <v>69</v>
      </c>
      <c r="E250" s="257">
        <v>25000000</v>
      </c>
      <c r="F250" s="257">
        <v>25000000</v>
      </c>
      <c r="G250" s="257">
        <v>25000000</v>
      </c>
      <c r="H250" s="257">
        <v>0</v>
      </c>
      <c r="I250" s="257">
        <v>0</v>
      </c>
      <c r="J250" s="269">
        <v>0</v>
      </c>
      <c r="K250" s="257">
        <v>354490</v>
      </c>
      <c r="L250" s="257">
        <v>354490</v>
      </c>
      <c r="M250" s="257">
        <v>24645510</v>
      </c>
      <c r="N250" s="257">
        <v>24645510</v>
      </c>
    </row>
    <row r="251" spans="1:14" s="143" customFormat="1" hidden="1" x14ac:dyDescent="0.25">
      <c r="A251" s="143" t="s">
        <v>707</v>
      </c>
      <c r="B251" s="143" t="s">
        <v>339</v>
      </c>
      <c r="C251" s="143" t="s">
        <v>340</v>
      </c>
      <c r="D251" s="143" t="s">
        <v>69</v>
      </c>
      <c r="E251" s="257">
        <v>3648614000</v>
      </c>
      <c r="F251" s="257">
        <v>3648614000</v>
      </c>
      <c r="G251" s="257">
        <v>3648614000</v>
      </c>
      <c r="H251" s="257">
        <v>0</v>
      </c>
      <c r="I251" s="257">
        <v>0</v>
      </c>
      <c r="J251" s="269">
        <v>0</v>
      </c>
      <c r="K251" s="257">
        <v>610630979.69000006</v>
      </c>
      <c r="L251" s="257">
        <v>610630979.69000006</v>
      </c>
      <c r="M251" s="257">
        <v>3037983020.3099999</v>
      </c>
      <c r="N251" s="257">
        <v>3037983020.3099999</v>
      </c>
    </row>
    <row r="252" spans="1:14" s="143" customFormat="1" hidden="1" x14ac:dyDescent="0.25">
      <c r="A252" s="143" t="s">
        <v>707</v>
      </c>
      <c r="B252" s="143" t="s">
        <v>77</v>
      </c>
      <c r="C252" s="143" t="s">
        <v>78</v>
      </c>
      <c r="D252" s="143" t="s">
        <v>69</v>
      </c>
      <c r="E252" s="257">
        <v>20273537632</v>
      </c>
      <c r="F252" s="257">
        <v>20273537632</v>
      </c>
      <c r="G252" s="257">
        <v>19226341556</v>
      </c>
      <c r="H252" s="257">
        <v>0</v>
      </c>
      <c r="I252" s="257">
        <v>0</v>
      </c>
      <c r="J252" s="269">
        <v>0</v>
      </c>
      <c r="K252" s="257">
        <v>5085646492.8900003</v>
      </c>
      <c r="L252" s="257">
        <v>5085646492.8900003</v>
      </c>
      <c r="M252" s="257">
        <v>15187891139.110001</v>
      </c>
      <c r="N252" s="257">
        <v>14140695063.110001</v>
      </c>
    </row>
    <row r="253" spans="1:14" s="143" customFormat="1" hidden="1" x14ac:dyDescent="0.25">
      <c r="A253" s="143" t="s">
        <v>707</v>
      </c>
      <c r="B253" s="143" t="s">
        <v>79</v>
      </c>
      <c r="C253" s="143" t="s">
        <v>80</v>
      </c>
      <c r="D253" s="143" t="s">
        <v>69</v>
      </c>
      <c r="E253" s="257">
        <v>7240363600</v>
      </c>
      <c r="F253" s="257">
        <v>7240363600</v>
      </c>
      <c r="G253" s="257">
        <v>7240363600</v>
      </c>
      <c r="H253" s="257">
        <v>0</v>
      </c>
      <c r="I253" s="257">
        <v>0</v>
      </c>
      <c r="J253" s="269">
        <v>0</v>
      </c>
      <c r="K253" s="257">
        <v>1134991894.53</v>
      </c>
      <c r="L253" s="257">
        <v>1134991894.53</v>
      </c>
      <c r="M253" s="257">
        <v>6105371705.4700003</v>
      </c>
      <c r="N253" s="257">
        <v>6105371705.4700003</v>
      </c>
    </row>
    <row r="254" spans="1:14" s="143" customFormat="1" hidden="1" x14ac:dyDescent="0.25">
      <c r="A254" s="143" t="s">
        <v>707</v>
      </c>
      <c r="B254" s="143" t="s">
        <v>81</v>
      </c>
      <c r="C254" s="143" t="s">
        <v>82</v>
      </c>
      <c r="D254" s="143" t="s">
        <v>69</v>
      </c>
      <c r="E254" s="257">
        <v>646663149</v>
      </c>
      <c r="F254" s="257">
        <v>646663149</v>
      </c>
      <c r="G254" s="257">
        <v>646663149</v>
      </c>
      <c r="H254" s="257">
        <v>0</v>
      </c>
      <c r="I254" s="257">
        <v>0</v>
      </c>
      <c r="J254" s="269">
        <v>0</v>
      </c>
      <c r="K254" s="257">
        <v>78556266.650000006</v>
      </c>
      <c r="L254" s="257">
        <v>78556266.650000006</v>
      </c>
      <c r="M254" s="257">
        <v>568106882.35000002</v>
      </c>
      <c r="N254" s="257">
        <v>568106882.35000002</v>
      </c>
    </row>
    <row r="255" spans="1:14" s="143" customFormat="1" hidden="1" x14ac:dyDescent="0.25">
      <c r="A255" s="143" t="s">
        <v>707</v>
      </c>
      <c r="B255" s="143" t="s">
        <v>86</v>
      </c>
      <c r="C255" s="143" t="s">
        <v>87</v>
      </c>
      <c r="D255" s="143" t="s">
        <v>69</v>
      </c>
      <c r="E255" s="257">
        <v>2924191700</v>
      </c>
      <c r="F255" s="257">
        <v>2924191700</v>
      </c>
      <c r="G255" s="257">
        <v>2924191700</v>
      </c>
      <c r="H255" s="257">
        <v>0</v>
      </c>
      <c r="I255" s="257">
        <v>0</v>
      </c>
      <c r="J255">
        <v>0</v>
      </c>
      <c r="K255" s="257">
        <v>2864019903.27</v>
      </c>
      <c r="L255" s="257">
        <v>2864019903.27</v>
      </c>
      <c r="M255" s="257">
        <v>60171796.729999997</v>
      </c>
      <c r="N255" s="257">
        <v>60171796.729999997</v>
      </c>
    </row>
    <row r="256" spans="1:14" s="143" customFormat="1" hidden="1" x14ac:dyDescent="0.25">
      <c r="A256" s="143" t="s">
        <v>707</v>
      </c>
      <c r="B256" s="143" t="s">
        <v>88</v>
      </c>
      <c r="C256" s="143" t="s">
        <v>89</v>
      </c>
      <c r="D256" s="143" t="s">
        <v>69</v>
      </c>
      <c r="E256" s="257">
        <v>6271421300</v>
      </c>
      <c r="F256" s="257">
        <v>6271421300</v>
      </c>
      <c r="G256" s="257">
        <v>6271421300</v>
      </c>
      <c r="H256" s="257">
        <v>0</v>
      </c>
      <c r="I256" s="257">
        <v>0</v>
      </c>
      <c r="J256" s="252">
        <v>0</v>
      </c>
      <c r="K256" s="257">
        <v>1007925619.64</v>
      </c>
      <c r="L256" s="257">
        <v>1007925619.64</v>
      </c>
      <c r="M256" s="257">
        <v>5263495680.3599997</v>
      </c>
      <c r="N256" s="257">
        <v>5263495680.3599997</v>
      </c>
    </row>
    <row r="257" spans="1:14" s="143" customFormat="1" hidden="1" x14ac:dyDescent="0.25">
      <c r="A257" s="143" t="s">
        <v>707</v>
      </c>
      <c r="B257" s="143" t="s">
        <v>83</v>
      </c>
      <c r="C257" s="143" t="s">
        <v>84</v>
      </c>
      <c r="D257" s="143" t="s">
        <v>85</v>
      </c>
      <c r="E257" s="257">
        <v>3190897883</v>
      </c>
      <c r="F257" s="257">
        <v>3190897883</v>
      </c>
      <c r="G257" s="257">
        <v>2143701807</v>
      </c>
      <c r="H257" s="257">
        <v>0</v>
      </c>
      <c r="I257" s="257">
        <v>0</v>
      </c>
      <c r="J257" s="261">
        <v>0</v>
      </c>
      <c r="K257" s="257">
        <v>152808.79999999999</v>
      </c>
      <c r="L257" s="257">
        <v>152808.79999999999</v>
      </c>
      <c r="M257" s="257">
        <v>3190745074.1999998</v>
      </c>
      <c r="N257" s="257">
        <v>2143548998.2</v>
      </c>
    </row>
    <row r="258" spans="1:14" s="143" customFormat="1" hidden="1" x14ac:dyDescent="0.25">
      <c r="A258" s="143" t="s">
        <v>707</v>
      </c>
      <c r="B258" s="143" t="s">
        <v>90</v>
      </c>
      <c r="C258" s="143" t="s">
        <v>91</v>
      </c>
      <c r="D258" s="143" t="s">
        <v>69</v>
      </c>
      <c r="E258" s="257">
        <v>3734844376</v>
      </c>
      <c r="F258" s="257">
        <v>3734844376</v>
      </c>
      <c r="G258" s="257">
        <v>3734844376</v>
      </c>
      <c r="H258" s="257">
        <v>0</v>
      </c>
      <c r="I258" s="257">
        <v>2810159592</v>
      </c>
      <c r="J258" s="266">
        <v>0</v>
      </c>
      <c r="K258" s="257">
        <v>924684784</v>
      </c>
      <c r="L258" s="257">
        <v>924684784</v>
      </c>
      <c r="M258" s="257">
        <v>0</v>
      </c>
      <c r="N258" s="257">
        <v>0</v>
      </c>
    </row>
    <row r="259" spans="1:14" s="143" customFormat="1" hidden="1" x14ac:dyDescent="0.25">
      <c r="A259" s="143" t="s">
        <v>707</v>
      </c>
      <c r="B259" s="143" t="s">
        <v>420</v>
      </c>
      <c r="C259" s="143" t="s">
        <v>697</v>
      </c>
      <c r="D259" s="143" t="s">
        <v>69</v>
      </c>
      <c r="E259" s="257">
        <v>3543313962</v>
      </c>
      <c r="F259" s="257">
        <v>3543313962</v>
      </c>
      <c r="G259" s="257">
        <v>3543313962</v>
      </c>
      <c r="H259" s="257">
        <v>0</v>
      </c>
      <c r="I259" s="257">
        <v>2666043908</v>
      </c>
      <c r="J259" s="269">
        <v>0</v>
      </c>
      <c r="K259" s="257">
        <v>877270054</v>
      </c>
      <c r="L259" s="257">
        <v>877270054</v>
      </c>
      <c r="M259" s="257">
        <v>0</v>
      </c>
      <c r="N259" s="257">
        <v>0</v>
      </c>
    </row>
    <row r="260" spans="1:14" s="143" customFormat="1" hidden="1" x14ac:dyDescent="0.25">
      <c r="A260" s="143" t="s">
        <v>707</v>
      </c>
      <c r="B260" s="143" t="s">
        <v>437</v>
      </c>
      <c r="C260" s="143" t="s">
        <v>95</v>
      </c>
      <c r="D260" s="143" t="s">
        <v>69</v>
      </c>
      <c r="E260" s="257">
        <v>191530414</v>
      </c>
      <c r="F260" s="257">
        <v>191530414</v>
      </c>
      <c r="G260" s="257">
        <v>191530414</v>
      </c>
      <c r="H260" s="257">
        <v>0</v>
      </c>
      <c r="I260" s="257">
        <v>144115684</v>
      </c>
      <c r="J260" s="269">
        <v>0</v>
      </c>
      <c r="K260" s="257">
        <v>47414730</v>
      </c>
      <c r="L260" s="257">
        <v>47414730</v>
      </c>
      <c r="M260" s="257">
        <v>0</v>
      </c>
      <c r="N260" s="257">
        <v>0</v>
      </c>
    </row>
    <row r="261" spans="1:14" s="143" customFormat="1" hidden="1" x14ac:dyDescent="0.25">
      <c r="A261" s="143" t="s">
        <v>707</v>
      </c>
      <c r="B261" s="143" t="s">
        <v>96</v>
      </c>
      <c r="C261" s="143" t="s">
        <v>97</v>
      </c>
      <c r="D261" s="143" t="s">
        <v>69</v>
      </c>
      <c r="E261" s="257">
        <v>3734844374</v>
      </c>
      <c r="F261" s="257">
        <v>3734844374</v>
      </c>
      <c r="G261" s="257">
        <v>3734844374</v>
      </c>
      <c r="H261" s="257">
        <v>0</v>
      </c>
      <c r="I261" s="257">
        <v>2821670837</v>
      </c>
      <c r="J261" s="269">
        <v>0</v>
      </c>
      <c r="K261" s="257">
        <v>913173537</v>
      </c>
      <c r="L261" s="257">
        <v>913173537</v>
      </c>
      <c r="M261" s="257">
        <v>0</v>
      </c>
      <c r="N261" s="257">
        <v>0</v>
      </c>
    </row>
    <row r="262" spans="1:14" s="143" customFormat="1" hidden="1" x14ac:dyDescent="0.25">
      <c r="A262" s="143" t="s">
        <v>707</v>
      </c>
      <c r="B262" s="143" t="s">
        <v>455</v>
      </c>
      <c r="C262" s="143" t="s">
        <v>698</v>
      </c>
      <c r="D262" s="143" t="s">
        <v>69</v>
      </c>
      <c r="E262" s="257">
        <v>2011070048</v>
      </c>
      <c r="F262" s="257">
        <v>2011070048</v>
      </c>
      <c r="G262" s="257">
        <v>2011070048</v>
      </c>
      <c r="H262" s="257">
        <v>0</v>
      </c>
      <c r="I262" s="257">
        <v>1524629215</v>
      </c>
      <c r="J262" s="269">
        <v>0</v>
      </c>
      <c r="K262" s="257">
        <v>486440833</v>
      </c>
      <c r="L262" s="257">
        <v>486440833</v>
      </c>
      <c r="M262" s="257">
        <v>0</v>
      </c>
      <c r="N262" s="257">
        <v>0</v>
      </c>
    </row>
    <row r="263" spans="1:14" s="143" customFormat="1" hidden="1" x14ac:dyDescent="0.25">
      <c r="A263" s="143" t="s">
        <v>707</v>
      </c>
      <c r="B263" s="143" t="s">
        <v>472</v>
      </c>
      <c r="C263" s="143" t="s">
        <v>699</v>
      </c>
      <c r="D263" s="143" t="s">
        <v>69</v>
      </c>
      <c r="E263" s="257">
        <v>574591442</v>
      </c>
      <c r="F263" s="257">
        <v>574591442</v>
      </c>
      <c r="G263" s="257">
        <v>574591442</v>
      </c>
      <c r="H263" s="257">
        <v>0</v>
      </c>
      <c r="I263" s="257">
        <v>432347200</v>
      </c>
      <c r="J263" s="269">
        <v>0</v>
      </c>
      <c r="K263" s="257">
        <v>142244242</v>
      </c>
      <c r="L263" s="257">
        <v>142244242</v>
      </c>
      <c r="M263" s="257">
        <v>0</v>
      </c>
      <c r="N263" s="257">
        <v>0</v>
      </c>
    </row>
    <row r="264" spans="1:14" s="143" customFormat="1" hidden="1" x14ac:dyDescent="0.25">
      <c r="A264" s="143" t="s">
        <v>707</v>
      </c>
      <c r="B264" s="143" t="s">
        <v>489</v>
      </c>
      <c r="C264" s="143" t="s">
        <v>700</v>
      </c>
      <c r="D264" s="143" t="s">
        <v>69</v>
      </c>
      <c r="E264" s="257">
        <v>1149182884</v>
      </c>
      <c r="F264" s="257">
        <v>1149182884</v>
      </c>
      <c r="G264" s="257">
        <v>1149182884</v>
      </c>
      <c r="H264" s="257">
        <v>0</v>
      </c>
      <c r="I264" s="257">
        <v>864694422</v>
      </c>
      <c r="J264" s="269">
        <v>0</v>
      </c>
      <c r="K264" s="257">
        <v>284488462</v>
      </c>
      <c r="L264" s="257">
        <v>284488462</v>
      </c>
      <c r="M264" s="257">
        <v>0</v>
      </c>
      <c r="N264" s="257">
        <v>0</v>
      </c>
    </row>
    <row r="265" spans="1:14" s="143" customFormat="1" hidden="1" x14ac:dyDescent="0.25">
      <c r="A265" s="143" t="s">
        <v>707</v>
      </c>
      <c r="B265" s="143" t="s">
        <v>104</v>
      </c>
      <c r="C265" s="143" t="s">
        <v>105</v>
      </c>
      <c r="D265" s="143" t="s">
        <v>69</v>
      </c>
      <c r="E265" s="257">
        <v>6509291577</v>
      </c>
      <c r="F265" s="257">
        <v>6509291577</v>
      </c>
      <c r="G265" s="257">
        <v>2648470302</v>
      </c>
      <c r="H265" s="257">
        <v>94823000.760000005</v>
      </c>
      <c r="I265" s="257">
        <v>873381796.5</v>
      </c>
      <c r="J265" s="269">
        <v>11974134.199999999</v>
      </c>
      <c r="K265" s="257">
        <v>324269613.63999999</v>
      </c>
      <c r="L265" s="257">
        <v>272089805.45999998</v>
      </c>
      <c r="M265" s="257">
        <v>5204843031.8999996</v>
      </c>
      <c r="N265" s="257">
        <v>1344021756.9000001</v>
      </c>
    </row>
    <row r="266" spans="1:14" s="143" customFormat="1" hidden="1" x14ac:dyDescent="0.25">
      <c r="A266" s="143" t="s">
        <v>707</v>
      </c>
      <c r="B266" s="143" t="s">
        <v>106</v>
      </c>
      <c r="C266" s="143" t="s">
        <v>107</v>
      </c>
      <c r="D266" s="143" t="s">
        <v>69</v>
      </c>
      <c r="E266" s="257">
        <v>3002893777</v>
      </c>
      <c r="F266" s="257">
        <v>3002893777</v>
      </c>
      <c r="G266" s="257">
        <v>750723444</v>
      </c>
      <c r="H266" s="257">
        <v>91224800.760000005</v>
      </c>
      <c r="I266" s="257">
        <v>345081615.56</v>
      </c>
      <c r="J266" s="269">
        <v>0</v>
      </c>
      <c r="K266" s="257">
        <v>88275383.129999995</v>
      </c>
      <c r="L266" s="257">
        <v>67578670.879999995</v>
      </c>
      <c r="M266" s="257">
        <v>2478311977.5500002</v>
      </c>
      <c r="N266" s="257">
        <v>226141644.55000001</v>
      </c>
    </row>
    <row r="267" spans="1:14" s="143" customFormat="1" hidden="1" x14ac:dyDescent="0.25">
      <c r="A267" s="143" t="s">
        <v>707</v>
      </c>
      <c r="B267" s="143" t="s">
        <v>280</v>
      </c>
      <c r="C267" s="143" t="s">
        <v>281</v>
      </c>
      <c r="D267" s="143" t="s">
        <v>69</v>
      </c>
      <c r="E267" s="257">
        <v>540000000</v>
      </c>
      <c r="F267" s="257">
        <v>540000000</v>
      </c>
      <c r="G267" s="257">
        <v>135000000</v>
      </c>
      <c r="H267" s="257">
        <v>929999.9</v>
      </c>
      <c r="I267" s="257">
        <v>78334846.540000007</v>
      </c>
      <c r="J267" s="269">
        <v>0</v>
      </c>
      <c r="K267" s="257">
        <v>38171169.960000001</v>
      </c>
      <c r="L267" s="257">
        <v>25765089.760000002</v>
      </c>
      <c r="M267" s="257">
        <v>422563983.60000002</v>
      </c>
      <c r="N267" s="257">
        <v>17563983.600000001</v>
      </c>
    </row>
    <row r="268" spans="1:14" s="143" customFormat="1" hidden="1" x14ac:dyDescent="0.25">
      <c r="A268" s="143" t="s">
        <v>707</v>
      </c>
      <c r="B268" s="143" t="s">
        <v>108</v>
      </c>
      <c r="C268" s="143" t="s">
        <v>109</v>
      </c>
      <c r="D268" s="143" t="s">
        <v>69</v>
      </c>
      <c r="E268" s="257">
        <v>974595134</v>
      </c>
      <c r="F268" s="257">
        <v>974595134</v>
      </c>
      <c r="G268" s="257">
        <v>243648783</v>
      </c>
      <c r="H268" s="257">
        <v>90294800.859999999</v>
      </c>
      <c r="I268" s="257">
        <v>44516459.219999999</v>
      </c>
      <c r="J268" s="269">
        <v>0</v>
      </c>
      <c r="K268" s="257">
        <v>6340405.6299999999</v>
      </c>
      <c r="L268" s="257">
        <v>0</v>
      </c>
      <c r="M268" s="257">
        <v>833443468.28999996</v>
      </c>
      <c r="N268" s="257">
        <v>102497117.29000001</v>
      </c>
    </row>
    <row r="269" spans="1:14" s="143" customFormat="1" hidden="1" x14ac:dyDescent="0.25">
      <c r="A269" s="143" t="s">
        <v>707</v>
      </c>
      <c r="B269" s="143" t="s">
        <v>304</v>
      </c>
      <c r="C269" s="143" t="s">
        <v>305</v>
      </c>
      <c r="D269" s="143" t="s">
        <v>69</v>
      </c>
      <c r="E269" s="257">
        <v>114061860</v>
      </c>
      <c r="F269" s="257">
        <v>114061860</v>
      </c>
      <c r="G269" s="257">
        <v>28515465</v>
      </c>
      <c r="H269" s="257">
        <v>0</v>
      </c>
      <c r="I269" s="257">
        <v>8742059.2300000004</v>
      </c>
      <c r="J269" s="269">
        <v>0</v>
      </c>
      <c r="K269" s="257">
        <v>0</v>
      </c>
      <c r="L269" s="257">
        <v>0</v>
      </c>
      <c r="M269" s="257">
        <v>105319800.77</v>
      </c>
      <c r="N269" s="257">
        <v>19773405.77</v>
      </c>
    </row>
    <row r="270" spans="1:14" s="143" customFormat="1" hidden="1" x14ac:dyDescent="0.25">
      <c r="A270" s="143" t="s">
        <v>707</v>
      </c>
      <c r="B270" s="143" t="s">
        <v>110</v>
      </c>
      <c r="C270" s="143" t="s">
        <v>111</v>
      </c>
      <c r="D270" s="143" t="s">
        <v>69</v>
      </c>
      <c r="E270" s="257">
        <v>1374236783</v>
      </c>
      <c r="F270" s="257">
        <v>1374236783</v>
      </c>
      <c r="G270" s="257">
        <v>343559196</v>
      </c>
      <c r="H270" s="257">
        <v>0</v>
      </c>
      <c r="I270" s="257">
        <v>213488250.56999999</v>
      </c>
      <c r="J270" s="269">
        <v>0</v>
      </c>
      <c r="K270" s="257">
        <v>43763807.539999999</v>
      </c>
      <c r="L270" s="257">
        <v>41813581.119999997</v>
      </c>
      <c r="M270" s="257">
        <v>1116984724.8900001</v>
      </c>
      <c r="N270" s="257">
        <v>86307137.890000001</v>
      </c>
    </row>
    <row r="271" spans="1:14" s="143" customFormat="1" hidden="1" x14ac:dyDescent="0.25">
      <c r="A271" s="143" t="s">
        <v>707</v>
      </c>
      <c r="B271" s="143" t="s">
        <v>112</v>
      </c>
      <c r="C271" s="143" t="s">
        <v>113</v>
      </c>
      <c r="D271" s="143" t="s">
        <v>69</v>
      </c>
      <c r="E271" s="257">
        <v>758051064</v>
      </c>
      <c r="F271" s="257">
        <v>758051064</v>
      </c>
      <c r="G271" s="257">
        <v>369332254</v>
      </c>
      <c r="H271" s="257">
        <v>0</v>
      </c>
      <c r="I271" s="257">
        <v>104737502.44</v>
      </c>
      <c r="J271" s="269">
        <v>0</v>
      </c>
      <c r="K271" s="257">
        <v>176646271.81</v>
      </c>
      <c r="L271" s="257">
        <v>169747347.27000001</v>
      </c>
      <c r="M271" s="257">
        <v>476667289.75</v>
      </c>
      <c r="N271" s="257">
        <v>87948479.75</v>
      </c>
    </row>
    <row r="272" spans="1:14" s="143" customFormat="1" hidden="1" x14ac:dyDescent="0.25">
      <c r="A272" s="143" t="s">
        <v>707</v>
      </c>
      <c r="B272" s="143" t="s">
        <v>114</v>
      </c>
      <c r="C272" s="143" t="s">
        <v>115</v>
      </c>
      <c r="D272" s="143" t="s">
        <v>69</v>
      </c>
      <c r="E272" s="257">
        <v>18001000</v>
      </c>
      <c r="F272" s="257">
        <v>18001000</v>
      </c>
      <c r="G272" s="257">
        <v>4500250</v>
      </c>
      <c r="H272" s="257">
        <v>0</v>
      </c>
      <c r="I272" s="257">
        <v>4500250</v>
      </c>
      <c r="J272">
        <v>0</v>
      </c>
      <c r="K272" s="257">
        <v>0</v>
      </c>
      <c r="L272" s="257">
        <v>0</v>
      </c>
      <c r="M272" s="257">
        <v>13500750</v>
      </c>
      <c r="N272" s="257">
        <v>0</v>
      </c>
    </row>
    <row r="273" spans="1:14" s="143" customFormat="1" hidden="1" x14ac:dyDescent="0.25">
      <c r="A273" s="143" t="s">
        <v>707</v>
      </c>
      <c r="B273" s="143" t="s">
        <v>116</v>
      </c>
      <c r="C273" s="143" t="s">
        <v>117</v>
      </c>
      <c r="D273" s="143" t="s">
        <v>69</v>
      </c>
      <c r="E273" s="257">
        <v>244470000</v>
      </c>
      <c r="F273" s="257">
        <v>244470000</v>
      </c>
      <c r="G273" s="257">
        <v>152705724</v>
      </c>
      <c r="H273" s="257">
        <v>0</v>
      </c>
      <c r="I273" s="257">
        <v>6157752</v>
      </c>
      <c r="J273" s="252">
        <v>0</v>
      </c>
      <c r="K273" s="257">
        <v>146404281.31999999</v>
      </c>
      <c r="L273" s="257">
        <v>141993896.31999999</v>
      </c>
      <c r="M273" s="257">
        <v>91907966.680000007</v>
      </c>
      <c r="N273" s="257">
        <v>143690.68</v>
      </c>
    </row>
    <row r="274" spans="1:14" s="143" customFormat="1" hidden="1" x14ac:dyDescent="0.25">
      <c r="A274" s="143" t="s">
        <v>707</v>
      </c>
      <c r="B274" s="143" t="s">
        <v>118</v>
      </c>
      <c r="C274" s="143" t="s">
        <v>119</v>
      </c>
      <c r="D274" s="143" t="s">
        <v>69</v>
      </c>
      <c r="E274" s="257">
        <v>6000000</v>
      </c>
      <c r="F274" s="257">
        <v>6000000</v>
      </c>
      <c r="G274" s="257">
        <v>1500000</v>
      </c>
      <c r="H274" s="257">
        <v>0</v>
      </c>
      <c r="I274" s="257">
        <v>1350000</v>
      </c>
      <c r="J274" s="261">
        <v>0</v>
      </c>
      <c r="K274" s="257">
        <v>150000</v>
      </c>
      <c r="L274" s="257">
        <v>150000</v>
      </c>
      <c r="M274" s="257">
        <v>4500000</v>
      </c>
      <c r="N274" s="257">
        <v>0</v>
      </c>
    </row>
    <row r="275" spans="1:14" s="143" customFormat="1" hidden="1" x14ac:dyDescent="0.25">
      <c r="A275" s="143" t="s">
        <v>707</v>
      </c>
      <c r="B275" s="143" t="s">
        <v>120</v>
      </c>
      <c r="C275" s="143" t="s">
        <v>121</v>
      </c>
      <c r="D275" s="143" t="s">
        <v>69</v>
      </c>
      <c r="E275" s="257">
        <v>411938379</v>
      </c>
      <c r="F275" s="257">
        <v>411938379</v>
      </c>
      <c r="G275" s="257">
        <v>132984595</v>
      </c>
      <c r="H275" s="257">
        <v>0</v>
      </c>
      <c r="I275" s="257">
        <v>76736172.640000001</v>
      </c>
      <c r="J275" s="266">
        <v>0</v>
      </c>
      <c r="K275" s="257">
        <v>25512174.210000001</v>
      </c>
      <c r="L275" s="257">
        <v>25512174.210000001</v>
      </c>
      <c r="M275" s="257">
        <v>309690032.14999998</v>
      </c>
      <c r="N275" s="257">
        <v>30736248.149999999</v>
      </c>
    </row>
    <row r="276" spans="1:14" s="143" customFormat="1" hidden="1" x14ac:dyDescent="0.25">
      <c r="A276" s="143" t="s">
        <v>707</v>
      </c>
      <c r="B276" s="143" t="s">
        <v>122</v>
      </c>
      <c r="C276" s="143" t="s">
        <v>123</v>
      </c>
      <c r="D276" s="143" t="s">
        <v>69</v>
      </c>
      <c r="E276" s="257">
        <v>77641685</v>
      </c>
      <c r="F276" s="257">
        <v>77641685</v>
      </c>
      <c r="G276" s="257">
        <v>77641685</v>
      </c>
      <c r="H276" s="257">
        <v>0</v>
      </c>
      <c r="I276" s="257">
        <v>15993327.800000001</v>
      </c>
      <c r="J276" s="269">
        <v>0</v>
      </c>
      <c r="K276" s="257">
        <v>4579816.28</v>
      </c>
      <c r="L276" s="257">
        <v>2091276.74</v>
      </c>
      <c r="M276" s="257">
        <v>57068540.920000002</v>
      </c>
      <c r="N276" s="257">
        <v>57068540.920000002</v>
      </c>
    </row>
    <row r="277" spans="1:14" s="143" customFormat="1" hidden="1" x14ac:dyDescent="0.25">
      <c r="A277" s="143" t="s">
        <v>707</v>
      </c>
      <c r="B277" s="143" t="s">
        <v>124</v>
      </c>
      <c r="C277" s="143" t="s">
        <v>125</v>
      </c>
      <c r="D277" s="143" t="s">
        <v>69</v>
      </c>
      <c r="E277" s="257">
        <v>9633760</v>
      </c>
      <c r="F277" s="257">
        <v>9633760</v>
      </c>
      <c r="G277" s="257">
        <v>9633760</v>
      </c>
      <c r="H277" s="257">
        <v>0</v>
      </c>
      <c r="I277" s="257">
        <v>3000000</v>
      </c>
      <c r="J277" s="269">
        <v>0</v>
      </c>
      <c r="K277" s="257">
        <v>0</v>
      </c>
      <c r="L277" s="257">
        <v>0</v>
      </c>
      <c r="M277" s="257">
        <v>6633760</v>
      </c>
      <c r="N277" s="257">
        <v>6633760</v>
      </c>
    </row>
    <row r="278" spans="1:14" s="143" customFormat="1" hidden="1" x14ac:dyDescent="0.25">
      <c r="A278" s="143" t="s">
        <v>707</v>
      </c>
      <c r="B278" s="143" t="s">
        <v>126</v>
      </c>
      <c r="C278" s="143" t="s">
        <v>127</v>
      </c>
      <c r="D278" s="143" t="s">
        <v>69</v>
      </c>
      <c r="E278" s="257">
        <v>5513760</v>
      </c>
      <c r="F278" s="257">
        <v>5513760</v>
      </c>
      <c r="G278" s="257">
        <v>5513760</v>
      </c>
      <c r="H278" s="257">
        <v>0</v>
      </c>
      <c r="I278" s="257">
        <v>3000000</v>
      </c>
      <c r="J278" s="269">
        <v>0</v>
      </c>
      <c r="K278" s="257">
        <v>0</v>
      </c>
      <c r="L278" s="257">
        <v>0</v>
      </c>
      <c r="M278" s="257">
        <v>2513760</v>
      </c>
      <c r="N278" s="257">
        <v>2513760</v>
      </c>
    </row>
    <row r="279" spans="1:14" s="143" customFormat="1" hidden="1" x14ac:dyDescent="0.25">
      <c r="A279" s="143" t="s">
        <v>707</v>
      </c>
      <c r="B279" s="143" t="s">
        <v>128</v>
      </c>
      <c r="C279" s="143" t="s">
        <v>129</v>
      </c>
      <c r="D279" s="143" t="s">
        <v>69</v>
      </c>
      <c r="E279" s="257">
        <v>2620000</v>
      </c>
      <c r="F279" s="257">
        <v>2620000</v>
      </c>
      <c r="G279" s="257">
        <v>2620000</v>
      </c>
      <c r="H279" s="257">
        <v>0</v>
      </c>
      <c r="I279" s="257">
        <v>0</v>
      </c>
      <c r="J279" s="269">
        <v>0</v>
      </c>
      <c r="K279" s="257">
        <v>0</v>
      </c>
      <c r="L279" s="257">
        <v>0</v>
      </c>
      <c r="M279" s="257">
        <v>2620000</v>
      </c>
      <c r="N279" s="257">
        <v>2620000</v>
      </c>
    </row>
    <row r="280" spans="1:14" s="143" customFormat="1" hidden="1" x14ac:dyDescent="0.25">
      <c r="A280" s="143" t="s">
        <v>707</v>
      </c>
      <c r="B280" s="143" t="s">
        <v>132</v>
      </c>
      <c r="C280" s="143" t="s">
        <v>133</v>
      </c>
      <c r="D280" s="143" t="s">
        <v>69</v>
      </c>
      <c r="E280" s="257">
        <v>1500000</v>
      </c>
      <c r="F280" s="257">
        <v>1500000</v>
      </c>
      <c r="G280" s="257">
        <v>1500000</v>
      </c>
      <c r="H280" s="257">
        <v>0</v>
      </c>
      <c r="I280" s="257">
        <v>0</v>
      </c>
      <c r="J280" s="269">
        <v>0</v>
      </c>
      <c r="K280" s="257">
        <v>0</v>
      </c>
      <c r="L280" s="257">
        <v>0</v>
      </c>
      <c r="M280" s="257">
        <v>1500000</v>
      </c>
      <c r="N280" s="257">
        <v>1500000</v>
      </c>
    </row>
    <row r="281" spans="1:14" s="143" customFormat="1" hidden="1" x14ac:dyDescent="0.25">
      <c r="A281" s="143" t="s">
        <v>707</v>
      </c>
      <c r="B281" s="143" t="s">
        <v>134</v>
      </c>
      <c r="C281" s="143" t="s">
        <v>135</v>
      </c>
      <c r="D281" s="143" t="s">
        <v>69</v>
      </c>
      <c r="E281" s="257">
        <v>312558343</v>
      </c>
      <c r="F281" s="257">
        <v>312558343</v>
      </c>
      <c r="G281" s="257">
        <v>312558343</v>
      </c>
      <c r="H281" s="257">
        <v>0</v>
      </c>
      <c r="I281" s="257">
        <v>129768345.03</v>
      </c>
      <c r="J281" s="269">
        <v>10571674.720000001</v>
      </c>
      <c r="K281" s="257">
        <v>7387975.1399999997</v>
      </c>
      <c r="L281" s="257">
        <v>3697851.54</v>
      </c>
      <c r="M281" s="257">
        <v>164830348.11000001</v>
      </c>
      <c r="N281" s="257">
        <v>164830348.11000001</v>
      </c>
    </row>
    <row r="282" spans="1:14" s="143" customFormat="1" hidden="1" x14ac:dyDescent="0.25">
      <c r="A282" s="143" t="s">
        <v>707</v>
      </c>
      <c r="B282" s="143" t="s">
        <v>346</v>
      </c>
      <c r="C282" s="143" t="s">
        <v>347</v>
      </c>
      <c r="D282" s="143" t="s">
        <v>69</v>
      </c>
      <c r="E282" s="257">
        <v>34001608</v>
      </c>
      <c r="F282" s="257">
        <v>34001608</v>
      </c>
      <c r="G282" s="257">
        <v>34001608</v>
      </c>
      <c r="H282" s="257">
        <v>0</v>
      </c>
      <c r="I282" s="257">
        <v>28807296</v>
      </c>
      <c r="J282" s="269">
        <v>0</v>
      </c>
      <c r="K282" s="257">
        <v>0</v>
      </c>
      <c r="L282" s="257">
        <v>0</v>
      </c>
      <c r="M282" s="257">
        <v>5194312</v>
      </c>
      <c r="N282" s="257">
        <v>5194312</v>
      </c>
    </row>
    <row r="283" spans="1:14" s="143" customFormat="1" hidden="1" x14ac:dyDescent="0.25">
      <c r="A283" s="143" t="s">
        <v>707</v>
      </c>
      <c r="B283" s="143" t="s">
        <v>308</v>
      </c>
      <c r="C283" s="143" t="s">
        <v>309</v>
      </c>
      <c r="D283" s="143" t="s">
        <v>69</v>
      </c>
      <c r="E283" s="257">
        <v>95000000</v>
      </c>
      <c r="F283" s="257">
        <v>95000000</v>
      </c>
      <c r="G283" s="257">
        <v>95000000</v>
      </c>
      <c r="H283" s="257">
        <v>0</v>
      </c>
      <c r="I283" s="257">
        <v>39237204.509999998</v>
      </c>
      <c r="J283" s="269">
        <v>2497000</v>
      </c>
      <c r="K283" s="257">
        <v>981500</v>
      </c>
      <c r="L283" s="257">
        <v>0</v>
      </c>
      <c r="M283" s="257">
        <v>52284295.490000002</v>
      </c>
      <c r="N283" s="257">
        <v>52284295.490000002</v>
      </c>
    </row>
    <row r="284" spans="1:14" s="143" customFormat="1" hidden="1" x14ac:dyDescent="0.25">
      <c r="A284" s="143" t="s">
        <v>707</v>
      </c>
      <c r="B284" s="143" t="s">
        <v>136</v>
      </c>
      <c r="C284" s="143" t="s">
        <v>137</v>
      </c>
      <c r="D284" s="143" t="s">
        <v>69</v>
      </c>
      <c r="E284" s="257">
        <v>131200000</v>
      </c>
      <c r="F284" s="257">
        <v>131200000</v>
      </c>
      <c r="G284" s="257">
        <v>131200000</v>
      </c>
      <c r="H284" s="257">
        <v>0</v>
      </c>
      <c r="I284" s="257">
        <v>57569910.329999998</v>
      </c>
      <c r="J284" s="269">
        <v>8074674.7199999997</v>
      </c>
      <c r="K284" s="257">
        <v>3697851.54</v>
      </c>
      <c r="L284" s="257">
        <v>3697851.54</v>
      </c>
      <c r="M284" s="257">
        <v>61857563.409999996</v>
      </c>
      <c r="N284" s="257">
        <v>61857563.409999996</v>
      </c>
    </row>
    <row r="285" spans="1:14" s="143" customFormat="1" hidden="1" x14ac:dyDescent="0.25">
      <c r="A285" s="143" t="s">
        <v>707</v>
      </c>
      <c r="B285" s="143" t="s">
        <v>138</v>
      </c>
      <c r="C285" s="143" t="s">
        <v>139</v>
      </c>
      <c r="D285" s="143" t="s">
        <v>69</v>
      </c>
      <c r="E285" s="257">
        <v>52356735</v>
      </c>
      <c r="F285" s="257">
        <v>52356735</v>
      </c>
      <c r="G285" s="257">
        <v>52356735</v>
      </c>
      <c r="H285" s="257">
        <v>0</v>
      </c>
      <c r="I285" s="257">
        <v>4153934.19</v>
      </c>
      <c r="J285" s="269">
        <v>0</v>
      </c>
      <c r="K285" s="257">
        <v>2708623.6</v>
      </c>
      <c r="L285" s="257">
        <v>0</v>
      </c>
      <c r="M285" s="257">
        <v>45494177.210000001</v>
      </c>
      <c r="N285" s="257">
        <v>45494177.210000001</v>
      </c>
    </row>
    <row r="286" spans="1:14" s="143" customFormat="1" hidden="1" x14ac:dyDescent="0.25">
      <c r="A286" s="143" t="s">
        <v>707</v>
      </c>
      <c r="B286" s="143" t="s">
        <v>140</v>
      </c>
      <c r="C286" s="143" t="s">
        <v>141</v>
      </c>
      <c r="D286" s="143" t="s">
        <v>69</v>
      </c>
      <c r="E286" s="257">
        <v>134000000</v>
      </c>
      <c r="F286" s="257">
        <v>134000000</v>
      </c>
      <c r="G286" s="257">
        <v>33500000</v>
      </c>
      <c r="H286" s="257">
        <v>238200</v>
      </c>
      <c r="I286" s="257">
        <v>13860493</v>
      </c>
      <c r="J286" s="269">
        <v>0</v>
      </c>
      <c r="K286" s="257">
        <v>9909144</v>
      </c>
      <c r="L286" s="257">
        <v>9235444</v>
      </c>
      <c r="M286" s="257">
        <v>109992163</v>
      </c>
      <c r="N286" s="257">
        <v>9492163</v>
      </c>
    </row>
    <row r="287" spans="1:14" s="143" customFormat="1" hidden="1" x14ac:dyDescent="0.25">
      <c r="A287" s="143" t="s">
        <v>707</v>
      </c>
      <c r="B287" s="143" t="s">
        <v>142</v>
      </c>
      <c r="C287" s="143" t="s">
        <v>143</v>
      </c>
      <c r="D287" s="143" t="s">
        <v>69</v>
      </c>
      <c r="E287" s="257">
        <v>4000000</v>
      </c>
      <c r="F287" s="257">
        <v>4000000</v>
      </c>
      <c r="G287" s="257">
        <v>1000000</v>
      </c>
      <c r="H287" s="257">
        <v>0</v>
      </c>
      <c r="I287" s="257">
        <v>659775</v>
      </c>
      <c r="J287" s="269">
        <v>0</v>
      </c>
      <c r="K287" s="257">
        <v>334980</v>
      </c>
      <c r="L287" s="257">
        <v>334980</v>
      </c>
      <c r="M287" s="257">
        <v>3005245</v>
      </c>
      <c r="N287" s="257">
        <v>5245</v>
      </c>
    </row>
    <row r="288" spans="1:14" s="143" customFormat="1" hidden="1" x14ac:dyDescent="0.25">
      <c r="A288" s="143" t="s">
        <v>707</v>
      </c>
      <c r="B288" s="143" t="s">
        <v>144</v>
      </c>
      <c r="C288" s="143" t="s">
        <v>145</v>
      </c>
      <c r="D288" s="143" t="s">
        <v>69</v>
      </c>
      <c r="E288" s="257">
        <v>130000000</v>
      </c>
      <c r="F288" s="257">
        <v>130000000</v>
      </c>
      <c r="G288" s="257">
        <v>32500000</v>
      </c>
      <c r="H288" s="257">
        <v>238200</v>
      </c>
      <c r="I288" s="257">
        <v>13200718</v>
      </c>
      <c r="J288" s="269">
        <v>0</v>
      </c>
      <c r="K288" s="257">
        <v>9574164</v>
      </c>
      <c r="L288" s="257">
        <v>8900464</v>
      </c>
      <c r="M288" s="257">
        <v>106986918</v>
      </c>
      <c r="N288" s="257">
        <v>9486918</v>
      </c>
    </row>
    <row r="289" spans="1:14" s="143" customFormat="1" hidden="1" x14ac:dyDescent="0.25">
      <c r="A289" s="143" t="s">
        <v>707</v>
      </c>
      <c r="B289" s="143" t="s">
        <v>150</v>
      </c>
      <c r="C289" s="143" t="s">
        <v>151</v>
      </c>
      <c r="D289" s="143" t="s">
        <v>69</v>
      </c>
      <c r="E289" s="257">
        <v>1300000000</v>
      </c>
      <c r="F289" s="257">
        <v>1300000000</v>
      </c>
      <c r="G289" s="257">
        <v>314024680</v>
      </c>
      <c r="H289" s="257">
        <v>0</v>
      </c>
      <c r="I289" s="257">
        <v>1822041.7</v>
      </c>
      <c r="J289">
        <v>0</v>
      </c>
      <c r="K289" s="257">
        <v>0</v>
      </c>
      <c r="L289" s="257">
        <v>0</v>
      </c>
      <c r="M289" s="257">
        <v>1298177958.3</v>
      </c>
      <c r="N289" s="257">
        <v>312202638.30000001</v>
      </c>
    </row>
    <row r="290" spans="1:14" s="143" customFormat="1" hidden="1" x14ac:dyDescent="0.25">
      <c r="A290" s="143" t="s">
        <v>707</v>
      </c>
      <c r="B290" s="143" t="s">
        <v>152</v>
      </c>
      <c r="C290" s="143" t="s">
        <v>153</v>
      </c>
      <c r="D290" s="143" t="s">
        <v>69</v>
      </c>
      <c r="E290" s="257">
        <v>1300000000</v>
      </c>
      <c r="F290" s="257">
        <v>1300000000</v>
      </c>
      <c r="G290" s="257">
        <v>314024680</v>
      </c>
      <c r="H290" s="257">
        <v>0</v>
      </c>
      <c r="I290" s="257">
        <v>1822041.7</v>
      </c>
      <c r="J290" s="252">
        <v>0</v>
      </c>
      <c r="K290" s="257">
        <v>0</v>
      </c>
      <c r="L290" s="257">
        <v>0</v>
      </c>
      <c r="M290" s="257">
        <v>1298177958.3</v>
      </c>
      <c r="N290" s="257">
        <v>312202638.30000001</v>
      </c>
    </row>
    <row r="291" spans="1:14" s="143" customFormat="1" hidden="1" x14ac:dyDescent="0.25">
      <c r="A291" s="143" t="s">
        <v>707</v>
      </c>
      <c r="B291" s="143" t="s">
        <v>154</v>
      </c>
      <c r="C291" s="143" t="s">
        <v>155</v>
      </c>
      <c r="D291" s="143" t="s">
        <v>69</v>
      </c>
      <c r="E291" s="257">
        <v>5000000</v>
      </c>
      <c r="F291" s="257">
        <v>5000000</v>
      </c>
      <c r="G291" s="257">
        <v>5000000</v>
      </c>
      <c r="H291" s="257">
        <v>1326000</v>
      </c>
      <c r="I291" s="257">
        <v>0</v>
      </c>
      <c r="J291" s="261">
        <v>0</v>
      </c>
      <c r="K291" s="257">
        <v>0</v>
      </c>
      <c r="L291" s="257">
        <v>0</v>
      </c>
      <c r="M291" s="257">
        <v>3674000</v>
      </c>
      <c r="N291" s="257">
        <v>3674000</v>
      </c>
    </row>
    <row r="292" spans="1:14" s="143" customFormat="1" hidden="1" x14ac:dyDescent="0.25">
      <c r="A292" s="143" t="s">
        <v>707</v>
      </c>
      <c r="B292" s="143" t="s">
        <v>156</v>
      </c>
      <c r="C292" s="143" t="s">
        <v>157</v>
      </c>
      <c r="D292" s="143" t="s">
        <v>69</v>
      </c>
      <c r="E292" s="257">
        <v>5000000</v>
      </c>
      <c r="F292" s="257">
        <v>5000000</v>
      </c>
      <c r="G292" s="257">
        <v>5000000</v>
      </c>
      <c r="H292" s="257">
        <v>1326000</v>
      </c>
      <c r="I292" s="257">
        <v>0</v>
      </c>
      <c r="J292" s="266">
        <v>0</v>
      </c>
      <c r="K292" s="257">
        <v>0</v>
      </c>
      <c r="L292" s="257">
        <v>0</v>
      </c>
      <c r="M292" s="257">
        <v>3674000</v>
      </c>
      <c r="N292" s="257">
        <v>3674000</v>
      </c>
    </row>
    <row r="293" spans="1:14" s="143" customFormat="1" hidden="1" x14ac:dyDescent="0.25">
      <c r="A293" s="143" t="s">
        <v>707</v>
      </c>
      <c r="B293" s="143" t="s">
        <v>162</v>
      </c>
      <c r="C293" s="143" t="s">
        <v>163</v>
      </c>
      <c r="D293" s="143" t="s">
        <v>69</v>
      </c>
      <c r="E293" s="257">
        <v>932264008</v>
      </c>
      <c r="F293" s="257">
        <v>932264008</v>
      </c>
      <c r="G293" s="257">
        <v>839772008</v>
      </c>
      <c r="H293" s="257">
        <v>2034000</v>
      </c>
      <c r="I293" s="257">
        <v>268658719.61000001</v>
      </c>
      <c r="J293" s="269">
        <v>1402459.48</v>
      </c>
      <c r="K293" s="257">
        <v>41471821.93</v>
      </c>
      <c r="L293" s="257">
        <v>21251474.140000001</v>
      </c>
      <c r="M293" s="257">
        <v>618697006.98000002</v>
      </c>
      <c r="N293" s="257">
        <v>526205006.98000002</v>
      </c>
    </row>
    <row r="294" spans="1:14" s="143" customFormat="1" hidden="1" x14ac:dyDescent="0.25">
      <c r="A294" s="143" t="s">
        <v>707</v>
      </c>
      <c r="B294" s="143" t="s">
        <v>310</v>
      </c>
      <c r="C294" s="143" t="s">
        <v>311</v>
      </c>
      <c r="D294" s="143" t="s">
        <v>69</v>
      </c>
      <c r="E294" s="257">
        <v>120656000</v>
      </c>
      <c r="F294" s="257">
        <v>120656000</v>
      </c>
      <c r="G294" s="257">
        <v>28164000</v>
      </c>
      <c r="H294" s="257">
        <v>0</v>
      </c>
      <c r="I294" s="257">
        <v>4953674.25</v>
      </c>
      <c r="J294" s="269">
        <v>0</v>
      </c>
      <c r="K294" s="257">
        <v>0</v>
      </c>
      <c r="L294" s="257">
        <v>0</v>
      </c>
      <c r="M294" s="257">
        <v>115702325.75</v>
      </c>
      <c r="N294" s="257">
        <v>23210325.75</v>
      </c>
    </row>
    <row r="295" spans="1:14" s="143" customFormat="1" hidden="1" x14ac:dyDescent="0.25">
      <c r="A295" s="143" t="s">
        <v>707</v>
      </c>
      <c r="B295" s="143" t="s">
        <v>164</v>
      </c>
      <c r="C295" s="143" t="s">
        <v>165</v>
      </c>
      <c r="D295" s="143" t="s">
        <v>69</v>
      </c>
      <c r="E295" s="257">
        <v>504520000</v>
      </c>
      <c r="F295" s="257">
        <v>504520000</v>
      </c>
      <c r="G295" s="257">
        <v>504520000</v>
      </c>
      <c r="H295" s="257">
        <v>0</v>
      </c>
      <c r="I295" s="257">
        <v>142803620.31</v>
      </c>
      <c r="J295" s="269">
        <v>1402459.48</v>
      </c>
      <c r="K295" s="257">
        <v>40497465.609999999</v>
      </c>
      <c r="L295" s="257">
        <v>20358056.140000001</v>
      </c>
      <c r="M295" s="257">
        <v>319816454.60000002</v>
      </c>
      <c r="N295" s="257">
        <v>319816454.60000002</v>
      </c>
    </row>
    <row r="296" spans="1:14" s="143" customFormat="1" hidden="1" x14ac:dyDescent="0.25">
      <c r="A296" s="143" t="s">
        <v>707</v>
      </c>
      <c r="B296" s="143" t="s">
        <v>166</v>
      </c>
      <c r="C296" s="143" t="s">
        <v>167</v>
      </c>
      <c r="D296" s="143" t="s">
        <v>69</v>
      </c>
      <c r="E296" s="257">
        <v>95028648</v>
      </c>
      <c r="F296" s="257">
        <v>95028648</v>
      </c>
      <c r="G296" s="257">
        <v>95028648</v>
      </c>
      <c r="H296" s="257">
        <v>2034000</v>
      </c>
      <c r="I296" s="257">
        <v>65134109.619999997</v>
      </c>
      <c r="J296" s="269">
        <v>0</v>
      </c>
      <c r="K296" s="257">
        <v>318418.32</v>
      </c>
      <c r="L296" s="257">
        <v>237480</v>
      </c>
      <c r="M296" s="257">
        <v>27542120.059999999</v>
      </c>
      <c r="N296" s="257">
        <v>27542120.059999999</v>
      </c>
    </row>
    <row r="297" spans="1:14" s="143" customFormat="1" hidden="1" x14ac:dyDescent="0.25">
      <c r="A297" s="143" t="s">
        <v>707</v>
      </c>
      <c r="B297" s="143" t="s">
        <v>312</v>
      </c>
      <c r="C297" s="143" t="s">
        <v>313</v>
      </c>
      <c r="D297" s="143" t="s">
        <v>69</v>
      </c>
      <c r="E297" s="257">
        <v>3000000</v>
      </c>
      <c r="F297" s="257">
        <v>3000000</v>
      </c>
      <c r="G297" s="257">
        <v>3000000</v>
      </c>
      <c r="H297" s="257">
        <v>0</v>
      </c>
      <c r="I297" s="257">
        <v>0</v>
      </c>
      <c r="J297" s="269">
        <v>0</v>
      </c>
      <c r="K297" s="257">
        <v>0</v>
      </c>
      <c r="L297" s="257">
        <v>0</v>
      </c>
      <c r="M297" s="257">
        <v>3000000</v>
      </c>
      <c r="N297" s="257">
        <v>3000000</v>
      </c>
    </row>
    <row r="298" spans="1:14" s="143" customFormat="1" hidden="1" x14ac:dyDescent="0.25">
      <c r="A298" s="143" t="s">
        <v>707</v>
      </c>
      <c r="B298" s="143" t="s">
        <v>168</v>
      </c>
      <c r="C298" s="143" t="s">
        <v>169</v>
      </c>
      <c r="D298" s="143" t="s">
        <v>69</v>
      </c>
      <c r="E298" s="257">
        <v>16864852</v>
      </c>
      <c r="F298" s="257">
        <v>16864852</v>
      </c>
      <c r="G298" s="257">
        <v>16864852</v>
      </c>
      <c r="H298" s="257">
        <v>0</v>
      </c>
      <c r="I298" s="257">
        <v>5585242.9199999999</v>
      </c>
      <c r="J298" s="269">
        <v>0</v>
      </c>
      <c r="K298" s="257">
        <v>0</v>
      </c>
      <c r="L298" s="257">
        <v>0</v>
      </c>
      <c r="M298" s="257">
        <v>11279609.08</v>
      </c>
      <c r="N298" s="257">
        <v>11279609.08</v>
      </c>
    </row>
    <row r="299" spans="1:14" s="143" customFormat="1" hidden="1" x14ac:dyDescent="0.25">
      <c r="A299" s="143" t="s">
        <v>707</v>
      </c>
      <c r="B299" s="143" t="s">
        <v>170</v>
      </c>
      <c r="C299" s="143" t="s">
        <v>171</v>
      </c>
      <c r="D299" s="143" t="s">
        <v>69</v>
      </c>
      <c r="E299" s="257">
        <v>40562000</v>
      </c>
      <c r="F299" s="257">
        <v>40562000</v>
      </c>
      <c r="G299" s="257">
        <v>40562000</v>
      </c>
      <c r="H299" s="257">
        <v>0</v>
      </c>
      <c r="I299" s="257">
        <v>11606638.15</v>
      </c>
      <c r="J299" s="269">
        <v>0</v>
      </c>
      <c r="K299" s="257">
        <v>0</v>
      </c>
      <c r="L299" s="257">
        <v>0</v>
      </c>
      <c r="M299" s="257">
        <v>28955361.850000001</v>
      </c>
      <c r="N299" s="257">
        <v>28955361.850000001</v>
      </c>
    </row>
    <row r="300" spans="1:14" s="143" customFormat="1" hidden="1" x14ac:dyDescent="0.25">
      <c r="A300" s="143" t="s">
        <v>707</v>
      </c>
      <c r="B300" s="143" t="s">
        <v>172</v>
      </c>
      <c r="C300" s="143" t="s">
        <v>173</v>
      </c>
      <c r="D300" s="143" t="s">
        <v>69</v>
      </c>
      <c r="E300" s="257">
        <v>151632508</v>
      </c>
      <c r="F300" s="257">
        <v>151632508</v>
      </c>
      <c r="G300" s="257">
        <v>151632508</v>
      </c>
      <c r="H300" s="257">
        <v>0</v>
      </c>
      <c r="I300" s="257">
        <v>38575434.359999999</v>
      </c>
      <c r="J300" s="269">
        <v>0</v>
      </c>
      <c r="K300" s="257">
        <v>655938</v>
      </c>
      <c r="L300" s="257">
        <v>655938</v>
      </c>
      <c r="M300" s="257">
        <v>112401135.64</v>
      </c>
      <c r="N300" s="257">
        <v>112401135.64</v>
      </c>
    </row>
    <row r="301" spans="1:14" s="143" customFormat="1" hidden="1" x14ac:dyDescent="0.25">
      <c r="A301" s="143" t="s">
        <v>707</v>
      </c>
      <c r="B301" s="143" t="s">
        <v>164</v>
      </c>
      <c r="C301" s="143" t="s">
        <v>165</v>
      </c>
      <c r="D301" s="143" t="s">
        <v>85</v>
      </c>
      <c r="E301" s="257">
        <v>0</v>
      </c>
      <c r="F301" s="257">
        <v>0</v>
      </c>
      <c r="G301" s="257">
        <v>0</v>
      </c>
      <c r="H301" s="257">
        <v>0</v>
      </c>
      <c r="I301" s="257">
        <v>0</v>
      </c>
      <c r="J301" s="269">
        <v>0</v>
      </c>
      <c r="K301" s="257">
        <v>0</v>
      </c>
      <c r="L301" s="257">
        <v>0</v>
      </c>
      <c r="M301" s="257">
        <v>0</v>
      </c>
      <c r="N301" s="257">
        <v>0</v>
      </c>
    </row>
    <row r="302" spans="1:14" s="143" customFormat="1" hidden="1" x14ac:dyDescent="0.25">
      <c r="A302" s="143" t="s">
        <v>707</v>
      </c>
      <c r="B302" s="143" t="s">
        <v>174</v>
      </c>
      <c r="C302" s="143" t="s">
        <v>175</v>
      </c>
      <c r="D302" s="143" t="s">
        <v>69</v>
      </c>
      <c r="E302" s="257">
        <v>18000000</v>
      </c>
      <c r="F302" s="257">
        <v>18000000</v>
      </c>
      <c r="G302" s="257">
        <v>4500000</v>
      </c>
      <c r="H302" s="257">
        <v>0</v>
      </c>
      <c r="I302" s="257">
        <v>1363520</v>
      </c>
      <c r="J302" s="269">
        <v>0</v>
      </c>
      <c r="K302" s="257">
        <v>136480</v>
      </c>
      <c r="L302" s="257">
        <v>136480</v>
      </c>
      <c r="M302" s="257">
        <v>16500000</v>
      </c>
      <c r="N302" s="257">
        <v>3000000</v>
      </c>
    </row>
    <row r="303" spans="1:14" s="143" customFormat="1" hidden="1" x14ac:dyDescent="0.25">
      <c r="A303" s="143" t="s">
        <v>707</v>
      </c>
      <c r="B303" s="143" t="s">
        <v>176</v>
      </c>
      <c r="C303" s="143" t="s">
        <v>177</v>
      </c>
      <c r="D303" s="143" t="s">
        <v>69</v>
      </c>
      <c r="E303" s="257">
        <v>18000000</v>
      </c>
      <c r="F303" s="257">
        <v>18000000</v>
      </c>
      <c r="G303" s="257">
        <v>4500000</v>
      </c>
      <c r="H303" s="257">
        <v>0</v>
      </c>
      <c r="I303" s="257">
        <v>1363520</v>
      </c>
      <c r="J303" s="269">
        <v>0</v>
      </c>
      <c r="K303" s="257">
        <v>136480</v>
      </c>
      <c r="L303" s="257">
        <v>136480</v>
      </c>
      <c r="M303" s="257">
        <v>16500000</v>
      </c>
      <c r="N303" s="257">
        <v>3000000</v>
      </c>
    </row>
    <row r="304" spans="1:14" s="143" customFormat="1" hidden="1" x14ac:dyDescent="0.25">
      <c r="A304" s="143" t="s">
        <v>707</v>
      </c>
      <c r="B304" s="143" t="s">
        <v>178</v>
      </c>
      <c r="C304" s="143" t="s">
        <v>179</v>
      </c>
      <c r="D304" s="143" t="s">
        <v>69</v>
      </c>
      <c r="E304" s="257">
        <v>36890625</v>
      </c>
      <c r="F304" s="257">
        <v>36890625</v>
      </c>
      <c r="G304" s="257">
        <v>9425813</v>
      </c>
      <c r="H304" s="257">
        <v>0</v>
      </c>
      <c r="I304" s="257">
        <v>5089559.16</v>
      </c>
      <c r="J304" s="269">
        <v>0</v>
      </c>
      <c r="K304" s="257">
        <v>442537.63</v>
      </c>
      <c r="L304" s="257">
        <v>442537.63</v>
      </c>
      <c r="M304" s="257">
        <v>31358528.210000001</v>
      </c>
      <c r="N304" s="257">
        <v>3893716.21</v>
      </c>
    </row>
    <row r="305" spans="1:14" s="143" customFormat="1" hidden="1" x14ac:dyDescent="0.25">
      <c r="A305" s="143" t="s">
        <v>707</v>
      </c>
      <c r="B305" s="143" t="s">
        <v>348</v>
      </c>
      <c r="C305" s="143" t="s">
        <v>349</v>
      </c>
      <c r="D305" s="143" t="s">
        <v>69</v>
      </c>
      <c r="E305" s="257">
        <v>3000000</v>
      </c>
      <c r="F305" s="257">
        <v>3000000</v>
      </c>
      <c r="G305" s="257">
        <v>953157</v>
      </c>
      <c r="H305" s="257">
        <v>0</v>
      </c>
      <c r="I305" s="257">
        <v>477453.06</v>
      </c>
      <c r="J305" s="269">
        <v>0</v>
      </c>
      <c r="K305" s="257">
        <v>442537.63</v>
      </c>
      <c r="L305" s="257">
        <v>442537.63</v>
      </c>
      <c r="M305" s="257">
        <v>2080009.31</v>
      </c>
      <c r="N305" s="257">
        <v>33166.31</v>
      </c>
    </row>
    <row r="306" spans="1:14" s="143" customFormat="1" hidden="1" x14ac:dyDescent="0.25">
      <c r="A306" s="143" t="s">
        <v>707</v>
      </c>
      <c r="B306" s="143" t="s">
        <v>180</v>
      </c>
      <c r="C306" s="143" t="s">
        <v>181</v>
      </c>
      <c r="D306" s="143" t="s">
        <v>69</v>
      </c>
      <c r="E306" s="257">
        <v>19500000</v>
      </c>
      <c r="F306" s="257">
        <v>19500000</v>
      </c>
      <c r="G306" s="257">
        <v>4875000</v>
      </c>
      <c r="H306" s="257">
        <v>0</v>
      </c>
      <c r="I306" s="257">
        <v>1426615.85</v>
      </c>
      <c r="J306">
        <v>0</v>
      </c>
      <c r="K306" s="257">
        <v>0</v>
      </c>
      <c r="L306" s="257">
        <v>0</v>
      </c>
      <c r="M306" s="257">
        <v>18073384.149999999</v>
      </c>
      <c r="N306" s="257">
        <v>3448384.15</v>
      </c>
    </row>
    <row r="307" spans="1:14" s="143" customFormat="1" hidden="1" x14ac:dyDescent="0.25">
      <c r="A307" s="143" t="s">
        <v>707</v>
      </c>
      <c r="B307" s="143" t="s">
        <v>182</v>
      </c>
      <c r="C307" s="143" t="s">
        <v>183</v>
      </c>
      <c r="D307" s="143" t="s">
        <v>69</v>
      </c>
      <c r="E307" s="257">
        <v>14390625</v>
      </c>
      <c r="F307" s="257">
        <v>14390625</v>
      </c>
      <c r="G307" s="257">
        <v>3597656</v>
      </c>
      <c r="H307" s="257">
        <v>0</v>
      </c>
      <c r="I307" s="257">
        <v>3185490.25</v>
      </c>
      <c r="J307" s="252">
        <v>0</v>
      </c>
      <c r="K307" s="257">
        <v>0</v>
      </c>
      <c r="L307" s="257">
        <v>0</v>
      </c>
      <c r="M307" s="257">
        <v>11205134.75</v>
      </c>
      <c r="N307" s="257">
        <v>412165.75</v>
      </c>
    </row>
    <row r="308" spans="1:14" s="143" customFormat="1" hidden="1" x14ac:dyDescent="0.25">
      <c r="A308" s="143" t="s">
        <v>707</v>
      </c>
      <c r="B308" s="143" t="s">
        <v>184</v>
      </c>
      <c r="C308" s="143" t="s">
        <v>185</v>
      </c>
      <c r="D308" s="143" t="s">
        <v>69</v>
      </c>
      <c r="E308" s="257">
        <v>5938711949</v>
      </c>
      <c r="F308" s="257">
        <v>5938711949</v>
      </c>
      <c r="G308" s="257">
        <v>5309518666</v>
      </c>
      <c r="H308" s="257">
        <v>47195830</v>
      </c>
      <c r="I308" s="257">
        <v>1154314038.95</v>
      </c>
      <c r="J308" s="261">
        <v>30387954.809999999</v>
      </c>
      <c r="K308" s="257">
        <v>764082404.04999995</v>
      </c>
      <c r="L308" s="257">
        <v>733144956.96000004</v>
      </c>
      <c r="M308" s="257">
        <v>3942731721.1900001</v>
      </c>
      <c r="N308" s="257">
        <v>3313538438.1900001</v>
      </c>
    </row>
    <row r="309" spans="1:14" s="143" customFormat="1" hidden="1" x14ac:dyDescent="0.25">
      <c r="A309" s="143" t="s">
        <v>707</v>
      </c>
      <c r="B309" s="143" t="s">
        <v>186</v>
      </c>
      <c r="C309" s="143" t="s">
        <v>187</v>
      </c>
      <c r="D309" s="143" t="s">
        <v>69</v>
      </c>
      <c r="E309" s="257">
        <v>1018969461</v>
      </c>
      <c r="F309" s="257">
        <v>1018969461</v>
      </c>
      <c r="G309" s="257">
        <v>467135861</v>
      </c>
      <c r="H309" s="257">
        <v>0</v>
      </c>
      <c r="I309" s="257">
        <v>257945770.71000001</v>
      </c>
      <c r="J309" s="266">
        <v>0</v>
      </c>
      <c r="K309" s="257">
        <v>90642168.25</v>
      </c>
      <c r="L309" s="257">
        <v>86516146.510000005</v>
      </c>
      <c r="M309" s="257">
        <v>670381522.03999996</v>
      </c>
      <c r="N309" s="257">
        <v>118547922.04000001</v>
      </c>
    </row>
    <row r="310" spans="1:14" s="143" customFormat="1" hidden="1" x14ac:dyDescent="0.25">
      <c r="A310" s="143" t="s">
        <v>707</v>
      </c>
      <c r="B310" s="143" t="s">
        <v>188</v>
      </c>
      <c r="C310" s="143" t="s">
        <v>189</v>
      </c>
      <c r="D310" s="143" t="s">
        <v>69</v>
      </c>
      <c r="E310" s="257">
        <v>735778133</v>
      </c>
      <c r="F310" s="257">
        <v>735778133</v>
      </c>
      <c r="G310" s="257">
        <v>183944533</v>
      </c>
      <c r="H310" s="257">
        <v>0</v>
      </c>
      <c r="I310" s="257">
        <v>46808680.789999999</v>
      </c>
      <c r="J310" s="269">
        <v>0</v>
      </c>
      <c r="K310" s="257">
        <v>89104608.25</v>
      </c>
      <c r="L310" s="257">
        <v>84978586.510000005</v>
      </c>
      <c r="M310" s="257">
        <v>599864843.96000004</v>
      </c>
      <c r="N310" s="257">
        <v>48031243.960000001</v>
      </c>
    </row>
    <row r="311" spans="1:14" s="143" customFormat="1" hidden="1" x14ac:dyDescent="0.25">
      <c r="A311" s="143" t="s">
        <v>707</v>
      </c>
      <c r="B311" s="143" t="s">
        <v>190</v>
      </c>
      <c r="C311" s="143" t="s">
        <v>191</v>
      </c>
      <c r="D311" s="143" t="s">
        <v>69</v>
      </c>
      <c r="E311" s="257">
        <v>224830540</v>
      </c>
      <c r="F311" s="257">
        <v>224830540</v>
      </c>
      <c r="G311" s="257">
        <v>224830540</v>
      </c>
      <c r="H311" s="257">
        <v>0</v>
      </c>
      <c r="I311" s="257">
        <v>209000000</v>
      </c>
      <c r="J311" s="269">
        <v>0</v>
      </c>
      <c r="K311" s="257">
        <v>311400</v>
      </c>
      <c r="L311" s="257">
        <v>311400</v>
      </c>
      <c r="M311" s="257">
        <v>15519140</v>
      </c>
      <c r="N311" s="257">
        <v>15519140</v>
      </c>
    </row>
    <row r="312" spans="1:14" s="143" customFormat="1" hidden="1" x14ac:dyDescent="0.25">
      <c r="A312" s="143" t="s">
        <v>707</v>
      </c>
      <c r="B312" s="143" t="s">
        <v>350</v>
      </c>
      <c r="C312" s="143" t="s">
        <v>351</v>
      </c>
      <c r="D312" s="143" t="s">
        <v>69</v>
      </c>
      <c r="E312" s="257">
        <v>12909188</v>
      </c>
      <c r="F312" s="257">
        <v>12909188</v>
      </c>
      <c r="G312" s="257">
        <v>12909188</v>
      </c>
      <c r="H312" s="257">
        <v>0</v>
      </c>
      <c r="I312" s="257">
        <v>2137089.92</v>
      </c>
      <c r="J312" s="269">
        <v>0</v>
      </c>
      <c r="K312" s="257">
        <v>0</v>
      </c>
      <c r="L312" s="257">
        <v>0</v>
      </c>
      <c r="M312" s="257">
        <v>10772098.08</v>
      </c>
      <c r="N312" s="257">
        <v>10772098.08</v>
      </c>
    </row>
    <row r="313" spans="1:14" s="143" customFormat="1" hidden="1" x14ac:dyDescent="0.25">
      <c r="A313" s="143" t="s">
        <v>707</v>
      </c>
      <c r="B313" s="143" t="s">
        <v>192</v>
      </c>
      <c r="C313" s="143" t="s">
        <v>193</v>
      </c>
      <c r="D313" s="143" t="s">
        <v>69</v>
      </c>
      <c r="E313" s="257">
        <v>40465200</v>
      </c>
      <c r="F313" s="257">
        <v>40465200</v>
      </c>
      <c r="G313" s="257">
        <v>40465200</v>
      </c>
      <c r="H313" s="257">
        <v>0</v>
      </c>
      <c r="I313" s="257">
        <v>0</v>
      </c>
      <c r="J313" s="269">
        <v>0</v>
      </c>
      <c r="K313" s="257">
        <v>0</v>
      </c>
      <c r="L313" s="257">
        <v>0</v>
      </c>
      <c r="M313" s="257">
        <v>40465200</v>
      </c>
      <c r="N313" s="257">
        <v>40465200</v>
      </c>
    </row>
    <row r="314" spans="1:14" s="143" customFormat="1" hidden="1" x14ac:dyDescent="0.25">
      <c r="A314" s="143" t="s">
        <v>707</v>
      </c>
      <c r="B314" s="143" t="s">
        <v>194</v>
      </c>
      <c r="C314" s="143" t="s">
        <v>195</v>
      </c>
      <c r="D314" s="143" t="s">
        <v>69</v>
      </c>
      <c r="E314" s="257">
        <v>4986400</v>
      </c>
      <c r="F314" s="257">
        <v>4986400</v>
      </c>
      <c r="G314" s="257">
        <v>4986400</v>
      </c>
      <c r="H314" s="257">
        <v>0</v>
      </c>
      <c r="I314" s="257">
        <v>0</v>
      </c>
      <c r="J314" s="269">
        <v>0</v>
      </c>
      <c r="K314" s="257">
        <v>1226160</v>
      </c>
      <c r="L314" s="257">
        <v>1226160</v>
      </c>
      <c r="M314" s="257">
        <v>3760240</v>
      </c>
      <c r="N314" s="257">
        <v>3760240</v>
      </c>
    </row>
    <row r="315" spans="1:14" s="143" customFormat="1" hidden="1" x14ac:dyDescent="0.25">
      <c r="A315" s="143" t="s">
        <v>707</v>
      </c>
      <c r="B315" s="143" t="s">
        <v>196</v>
      </c>
      <c r="C315" s="143" t="s">
        <v>197</v>
      </c>
      <c r="D315" s="143" t="s">
        <v>69</v>
      </c>
      <c r="E315" s="257">
        <v>1012911000</v>
      </c>
      <c r="F315" s="257">
        <v>1012911000</v>
      </c>
      <c r="G315" s="257">
        <v>993477750</v>
      </c>
      <c r="H315" s="257">
        <v>0</v>
      </c>
      <c r="I315" s="257">
        <v>358887221.49000001</v>
      </c>
      <c r="J315" s="269">
        <v>12183971.800000001</v>
      </c>
      <c r="K315" s="257">
        <v>604948468.86000001</v>
      </c>
      <c r="L315" s="257">
        <v>604948468.86000001</v>
      </c>
      <c r="M315" s="257">
        <v>36891337.850000001</v>
      </c>
      <c r="N315" s="257">
        <v>17458087.850000001</v>
      </c>
    </row>
    <row r="316" spans="1:14" s="143" customFormat="1" hidden="1" x14ac:dyDescent="0.25">
      <c r="A316" s="143" t="s">
        <v>707</v>
      </c>
      <c r="B316" s="143" t="s">
        <v>198</v>
      </c>
      <c r="C316" s="143" t="s">
        <v>199</v>
      </c>
      <c r="D316" s="143" t="s">
        <v>69</v>
      </c>
      <c r="E316" s="257">
        <v>987000000</v>
      </c>
      <c r="F316" s="257">
        <v>987000000</v>
      </c>
      <c r="G316" s="257">
        <v>987000000</v>
      </c>
      <c r="H316" s="257">
        <v>0</v>
      </c>
      <c r="I316" s="257">
        <v>353211071.49000001</v>
      </c>
      <c r="J316" s="269">
        <v>12183971.800000001</v>
      </c>
      <c r="K316" s="257">
        <v>604948468.86000001</v>
      </c>
      <c r="L316" s="257">
        <v>604948468.86000001</v>
      </c>
      <c r="M316" s="257">
        <v>16656487.85</v>
      </c>
      <c r="N316" s="257">
        <v>16656487.85</v>
      </c>
    </row>
    <row r="317" spans="1:14" s="143" customFormat="1" hidden="1" x14ac:dyDescent="0.25">
      <c r="A317" s="143" t="s">
        <v>707</v>
      </c>
      <c r="B317" s="143" t="s">
        <v>352</v>
      </c>
      <c r="C317" s="143" t="s">
        <v>353</v>
      </c>
      <c r="D317" s="143" t="s">
        <v>69</v>
      </c>
      <c r="E317" s="257">
        <v>25911000</v>
      </c>
      <c r="F317" s="257">
        <v>25911000</v>
      </c>
      <c r="G317" s="257">
        <v>6477750</v>
      </c>
      <c r="H317" s="257">
        <v>0</v>
      </c>
      <c r="I317" s="257">
        <v>5676150</v>
      </c>
      <c r="J317" s="269">
        <v>0</v>
      </c>
      <c r="K317" s="257">
        <v>0</v>
      </c>
      <c r="L317" s="257">
        <v>0</v>
      </c>
      <c r="M317" s="257">
        <v>20234850</v>
      </c>
      <c r="N317" s="257">
        <v>801600</v>
      </c>
    </row>
    <row r="318" spans="1:14" s="143" customFormat="1" hidden="1" x14ac:dyDescent="0.25">
      <c r="A318" s="143" t="s">
        <v>707</v>
      </c>
      <c r="B318" s="143" t="s">
        <v>200</v>
      </c>
      <c r="C318" s="143" t="s">
        <v>201</v>
      </c>
      <c r="D318" s="143" t="s">
        <v>69</v>
      </c>
      <c r="E318" s="257">
        <v>492133633</v>
      </c>
      <c r="F318" s="257">
        <v>492133633</v>
      </c>
      <c r="G318" s="257">
        <v>474549671</v>
      </c>
      <c r="H318" s="257">
        <v>12021240</v>
      </c>
      <c r="I318" s="257">
        <v>41693080.549999997</v>
      </c>
      <c r="J318" s="269">
        <v>13509271.710000001</v>
      </c>
      <c r="K318" s="257">
        <v>39974003.579999998</v>
      </c>
      <c r="L318" s="257">
        <v>13567589.33</v>
      </c>
      <c r="M318" s="257">
        <v>384936037.16000003</v>
      </c>
      <c r="N318" s="257">
        <v>367352075.16000003</v>
      </c>
    </row>
    <row r="319" spans="1:14" s="143" customFormat="1" hidden="1" x14ac:dyDescent="0.25">
      <c r="A319" s="143" t="s">
        <v>707</v>
      </c>
      <c r="B319" s="143" t="s">
        <v>314</v>
      </c>
      <c r="C319" s="143" t="s">
        <v>315</v>
      </c>
      <c r="D319" s="143" t="s">
        <v>69</v>
      </c>
      <c r="E319" s="257">
        <v>116502163</v>
      </c>
      <c r="F319" s="257">
        <v>116502163</v>
      </c>
      <c r="G319" s="257">
        <v>116502163</v>
      </c>
      <c r="H319" s="257">
        <v>0</v>
      </c>
      <c r="I319" s="257">
        <v>233830.15</v>
      </c>
      <c r="J319" s="269">
        <v>0</v>
      </c>
      <c r="K319" s="257">
        <v>2913372.5</v>
      </c>
      <c r="L319" s="257">
        <v>2913372.5</v>
      </c>
      <c r="M319" s="257">
        <v>113354960.34999999</v>
      </c>
      <c r="N319" s="257">
        <v>113354960.34999999</v>
      </c>
    </row>
    <row r="320" spans="1:14" s="143" customFormat="1" hidden="1" x14ac:dyDescent="0.25">
      <c r="A320" s="143" t="s">
        <v>707</v>
      </c>
      <c r="B320" s="143" t="s">
        <v>316</v>
      </c>
      <c r="C320" s="143" t="s">
        <v>317</v>
      </c>
      <c r="D320" s="143" t="s">
        <v>69</v>
      </c>
      <c r="E320" s="257">
        <v>100168000</v>
      </c>
      <c r="F320" s="257">
        <v>100168000</v>
      </c>
      <c r="G320" s="257">
        <v>100168000</v>
      </c>
      <c r="H320" s="257">
        <v>12021240</v>
      </c>
      <c r="I320" s="257">
        <v>26974920</v>
      </c>
      <c r="J320" s="269">
        <v>0</v>
      </c>
      <c r="K320" s="257">
        <v>13647970</v>
      </c>
      <c r="L320" s="257">
        <v>3001110</v>
      </c>
      <c r="M320" s="257">
        <v>47523870</v>
      </c>
      <c r="N320" s="257">
        <v>47523870</v>
      </c>
    </row>
    <row r="321" spans="1:14" s="143" customFormat="1" hidden="1" x14ac:dyDescent="0.25">
      <c r="A321" s="143" t="s">
        <v>707</v>
      </c>
      <c r="B321" s="143" t="s">
        <v>318</v>
      </c>
      <c r="C321" s="143" t="s">
        <v>319</v>
      </c>
      <c r="D321" s="143" t="s">
        <v>69</v>
      </c>
      <c r="E321" s="257">
        <v>88546837</v>
      </c>
      <c r="F321" s="257">
        <v>88546837</v>
      </c>
      <c r="G321" s="257">
        <v>88546837</v>
      </c>
      <c r="H321" s="257">
        <v>0</v>
      </c>
      <c r="I321" s="257">
        <v>9156070</v>
      </c>
      <c r="J321" s="269">
        <v>11664000</v>
      </c>
      <c r="K321" s="257">
        <v>15620000</v>
      </c>
      <c r="L321" s="257">
        <v>0</v>
      </c>
      <c r="M321" s="257">
        <v>52106767</v>
      </c>
      <c r="N321" s="257">
        <v>52106767</v>
      </c>
    </row>
    <row r="322" spans="1:14" s="143" customFormat="1" hidden="1" x14ac:dyDescent="0.25">
      <c r="A322" s="143" t="s">
        <v>707</v>
      </c>
      <c r="B322" s="143" t="s">
        <v>202</v>
      </c>
      <c r="C322" s="143" t="s">
        <v>203</v>
      </c>
      <c r="D322" s="143" t="s">
        <v>69</v>
      </c>
      <c r="E322" s="257">
        <v>110456300</v>
      </c>
      <c r="F322" s="257">
        <v>110456300</v>
      </c>
      <c r="G322" s="257">
        <v>110456299</v>
      </c>
      <c r="H322" s="257">
        <v>0</v>
      </c>
      <c r="I322" s="257">
        <v>1540836.43</v>
      </c>
      <c r="J322" s="269">
        <v>0</v>
      </c>
      <c r="K322" s="257">
        <v>1196024.3</v>
      </c>
      <c r="L322" s="257">
        <v>1196024.3</v>
      </c>
      <c r="M322" s="257">
        <v>107719439.27</v>
      </c>
      <c r="N322" s="257">
        <v>107719438.27</v>
      </c>
    </row>
    <row r="323" spans="1:14" s="143" customFormat="1" hidden="1" x14ac:dyDescent="0.25">
      <c r="A323" s="143" t="s">
        <v>707</v>
      </c>
      <c r="B323" s="143" t="s">
        <v>320</v>
      </c>
      <c r="C323" s="143" t="s">
        <v>321</v>
      </c>
      <c r="D323" s="143" t="s">
        <v>69</v>
      </c>
      <c r="E323" s="257">
        <v>2261183</v>
      </c>
      <c r="F323" s="257">
        <v>2261183</v>
      </c>
      <c r="G323" s="257">
        <v>2261183</v>
      </c>
      <c r="H323" s="257">
        <v>0</v>
      </c>
      <c r="I323" s="257">
        <v>0</v>
      </c>
      <c r="J323">
        <v>0</v>
      </c>
      <c r="K323" s="257">
        <v>0</v>
      </c>
      <c r="L323" s="257">
        <v>0</v>
      </c>
      <c r="M323" s="257">
        <v>2261183</v>
      </c>
      <c r="N323" s="257">
        <v>2261183</v>
      </c>
    </row>
    <row r="324" spans="1:14" s="143" customFormat="1" hidden="1" x14ac:dyDescent="0.25">
      <c r="A324" s="143" t="s">
        <v>707</v>
      </c>
      <c r="B324" s="143" t="s">
        <v>204</v>
      </c>
      <c r="C324" s="143" t="s">
        <v>205</v>
      </c>
      <c r="D324" s="143" t="s">
        <v>69</v>
      </c>
      <c r="E324" s="257">
        <v>51120350</v>
      </c>
      <c r="F324" s="257">
        <v>51120350</v>
      </c>
      <c r="G324" s="257">
        <v>33536389</v>
      </c>
      <c r="H324" s="257">
        <v>0</v>
      </c>
      <c r="I324" s="257">
        <v>390764.17</v>
      </c>
      <c r="J324" s="252">
        <v>0</v>
      </c>
      <c r="K324" s="257">
        <v>2311164.38</v>
      </c>
      <c r="L324" s="257">
        <v>2171610.13</v>
      </c>
      <c r="M324" s="257">
        <v>48418421.450000003</v>
      </c>
      <c r="N324" s="257">
        <v>30834460.449999999</v>
      </c>
    </row>
    <row r="325" spans="1:14" s="143" customFormat="1" hidden="1" x14ac:dyDescent="0.25">
      <c r="A325" s="143" t="s">
        <v>707</v>
      </c>
      <c r="B325" s="143" t="s">
        <v>322</v>
      </c>
      <c r="C325" s="143" t="s">
        <v>323</v>
      </c>
      <c r="D325" s="143" t="s">
        <v>69</v>
      </c>
      <c r="E325" s="257">
        <v>23078800</v>
      </c>
      <c r="F325" s="257">
        <v>23078800</v>
      </c>
      <c r="G325" s="257">
        <v>23078800</v>
      </c>
      <c r="H325" s="257">
        <v>0</v>
      </c>
      <c r="I325" s="257">
        <v>3396659.8</v>
      </c>
      <c r="J325" s="261">
        <v>1845271.71</v>
      </c>
      <c r="K325" s="257">
        <v>4285472.4000000004</v>
      </c>
      <c r="L325" s="257">
        <v>4285472.4000000004</v>
      </c>
      <c r="M325" s="257">
        <v>13551396.09</v>
      </c>
      <c r="N325" s="257">
        <v>13551396.09</v>
      </c>
    </row>
    <row r="326" spans="1:14" s="143" customFormat="1" hidden="1" x14ac:dyDescent="0.25">
      <c r="A326" s="143" t="s">
        <v>707</v>
      </c>
      <c r="B326" s="143" t="s">
        <v>206</v>
      </c>
      <c r="C326" s="143" t="s">
        <v>207</v>
      </c>
      <c r="D326" s="143" t="s">
        <v>69</v>
      </c>
      <c r="E326" s="257">
        <v>144803139</v>
      </c>
      <c r="F326" s="257">
        <v>144803139</v>
      </c>
      <c r="G326" s="257">
        <v>144803139</v>
      </c>
      <c r="H326" s="257">
        <v>35174590</v>
      </c>
      <c r="I326" s="257">
        <v>55047116.350000001</v>
      </c>
      <c r="J326" s="266">
        <v>0</v>
      </c>
      <c r="K326" s="257">
        <v>0</v>
      </c>
      <c r="L326" s="257">
        <v>0</v>
      </c>
      <c r="M326" s="257">
        <v>54581432.649999999</v>
      </c>
      <c r="N326" s="257">
        <v>54581432.649999999</v>
      </c>
    </row>
    <row r="327" spans="1:14" s="143" customFormat="1" hidden="1" x14ac:dyDescent="0.25">
      <c r="A327" s="143" t="s">
        <v>707</v>
      </c>
      <c r="B327" s="143" t="s">
        <v>208</v>
      </c>
      <c r="C327" s="143" t="s">
        <v>209</v>
      </c>
      <c r="D327" s="143" t="s">
        <v>69</v>
      </c>
      <c r="E327" s="257">
        <v>17162500</v>
      </c>
      <c r="F327" s="257">
        <v>17162500</v>
      </c>
      <c r="G327" s="257">
        <v>17162500</v>
      </c>
      <c r="H327" s="257">
        <v>23181000</v>
      </c>
      <c r="I327" s="257">
        <v>223480</v>
      </c>
      <c r="J327" s="269">
        <v>0</v>
      </c>
      <c r="K327" s="257">
        <v>0</v>
      </c>
      <c r="L327" s="257">
        <v>0</v>
      </c>
      <c r="M327" s="275">
        <v>-6241980</v>
      </c>
      <c r="N327" s="275">
        <v>-6241980</v>
      </c>
    </row>
    <row r="328" spans="1:14" s="143" customFormat="1" hidden="1" x14ac:dyDescent="0.25">
      <c r="A328" s="143" t="s">
        <v>707</v>
      </c>
      <c r="B328" s="143" t="s">
        <v>210</v>
      </c>
      <c r="C328" s="143" t="s">
        <v>211</v>
      </c>
      <c r="D328" s="143" t="s">
        <v>69</v>
      </c>
      <c r="E328" s="257">
        <v>127640639</v>
      </c>
      <c r="F328" s="257">
        <v>127640639</v>
      </c>
      <c r="G328" s="257">
        <v>127640639</v>
      </c>
      <c r="H328" s="257">
        <v>11993590</v>
      </c>
      <c r="I328" s="257">
        <v>54823636.350000001</v>
      </c>
      <c r="J328" s="269">
        <v>0</v>
      </c>
      <c r="K328" s="257">
        <v>0</v>
      </c>
      <c r="L328" s="257">
        <v>0</v>
      </c>
      <c r="M328" s="257">
        <v>60823412.649999999</v>
      </c>
      <c r="N328" s="257">
        <v>60823412.649999999</v>
      </c>
    </row>
    <row r="329" spans="1:14" s="143" customFormat="1" hidden="1" x14ac:dyDescent="0.25">
      <c r="A329" s="143" t="s">
        <v>707</v>
      </c>
      <c r="B329" s="143" t="s">
        <v>212</v>
      </c>
      <c r="C329" s="143" t="s">
        <v>213</v>
      </c>
      <c r="D329" s="143" t="s">
        <v>69</v>
      </c>
      <c r="E329" s="257">
        <v>3269894716</v>
      </c>
      <c r="F329" s="257">
        <v>3269894716</v>
      </c>
      <c r="G329" s="257">
        <v>3229552245</v>
      </c>
      <c r="H329" s="257">
        <v>0</v>
      </c>
      <c r="I329" s="257">
        <v>440740849.85000002</v>
      </c>
      <c r="J329" s="269">
        <v>4694711.3</v>
      </c>
      <c r="K329" s="257">
        <v>28517763.359999999</v>
      </c>
      <c r="L329" s="257">
        <v>28112752.260000002</v>
      </c>
      <c r="M329" s="257">
        <v>2795941391.4899998</v>
      </c>
      <c r="N329" s="257">
        <v>2755598920.4899998</v>
      </c>
    </row>
    <row r="330" spans="1:14" s="143" customFormat="1" hidden="1" x14ac:dyDescent="0.25">
      <c r="A330" s="143" t="s">
        <v>707</v>
      </c>
      <c r="B330" s="143" t="s">
        <v>214</v>
      </c>
      <c r="C330" s="143" t="s">
        <v>215</v>
      </c>
      <c r="D330" s="143" t="s">
        <v>69</v>
      </c>
      <c r="E330" s="257">
        <v>34070136</v>
      </c>
      <c r="F330" s="257">
        <v>34070136</v>
      </c>
      <c r="G330" s="257">
        <v>34070136</v>
      </c>
      <c r="H330" s="257">
        <v>0</v>
      </c>
      <c r="I330" s="257">
        <v>597182.5</v>
      </c>
      <c r="J330" s="269">
        <v>0</v>
      </c>
      <c r="K330" s="257">
        <v>0</v>
      </c>
      <c r="L330" s="257">
        <v>0</v>
      </c>
      <c r="M330" s="257">
        <v>33472953.5</v>
      </c>
      <c r="N330" s="257">
        <v>33472953.5</v>
      </c>
    </row>
    <row r="331" spans="1:14" s="143" customFormat="1" hidden="1" x14ac:dyDescent="0.25">
      <c r="A331" s="143" t="s">
        <v>707</v>
      </c>
      <c r="B331" s="143" t="s">
        <v>216</v>
      </c>
      <c r="C331" s="143" t="s">
        <v>217</v>
      </c>
      <c r="D331" s="143" t="s">
        <v>69</v>
      </c>
      <c r="E331" s="257">
        <v>26479307</v>
      </c>
      <c r="F331" s="257">
        <v>26479307</v>
      </c>
      <c r="G331" s="257">
        <v>26479307</v>
      </c>
      <c r="H331" s="257">
        <v>0</v>
      </c>
      <c r="I331" s="257">
        <v>7015047.6799999997</v>
      </c>
      <c r="J331" s="269">
        <v>695543.3</v>
      </c>
      <c r="K331" s="257">
        <v>1487900</v>
      </c>
      <c r="L331" s="257">
        <v>1487900</v>
      </c>
      <c r="M331" s="257">
        <v>17280816.02</v>
      </c>
      <c r="N331" s="257">
        <v>17280816.02</v>
      </c>
    </row>
    <row r="332" spans="1:14" s="143" customFormat="1" hidden="1" x14ac:dyDescent="0.25">
      <c r="A332" s="143" t="s">
        <v>707</v>
      </c>
      <c r="B332" s="143" t="s">
        <v>218</v>
      </c>
      <c r="C332" s="143" t="s">
        <v>219</v>
      </c>
      <c r="D332" s="143" t="s">
        <v>69</v>
      </c>
      <c r="E332" s="257">
        <v>140601000</v>
      </c>
      <c r="F332" s="257">
        <v>140601000</v>
      </c>
      <c r="G332" s="257">
        <v>140601000</v>
      </c>
      <c r="H332" s="257">
        <v>0</v>
      </c>
      <c r="I332" s="257">
        <v>49259304</v>
      </c>
      <c r="J332" s="269">
        <v>3999168</v>
      </c>
      <c r="K332" s="257">
        <v>19816860</v>
      </c>
      <c r="L332" s="257">
        <v>19816860</v>
      </c>
      <c r="M332" s="257">
        <v>67525668</v>
      </c>
      <c r="N332" s="257">
        <v>67525668</v>
      </c>
    </row>
    <row r="333" spans="1:14" s="143" customFormat="1" hidden="1" x14ac:dyDescent="0.25">
      <c r="A333" s="143" t="s">
        <v>707</v>
      </c>
      <c r="B333" s="143" t="s">
        <v>220</v>
      </c>
      <c r="C333" s="143" t="s">
        <v>221</v>
      </c>
      <c r="D333" s="143" t="s">
        <v>69</v>
      </c>
      <c r="E333" s="257">
        <v>1260371675</v>
      </c>
      <c r="F333" s="257">
        <v>1260371675</v>
      </c>
      <c r="G333" s="257">
        <v>1249371675</v>
      </c>
      <c r="H333" s="257">
        <v>0</v>
      </c>
      <c r="I333" s="257">
        <v>43046622.640000001</v>
      </c>
      <c r="J333" s="269">
        <v>0</v>
      </c>
      <c r="K333" s="257">
        <v>0</v>
      </c>
      <c r="L333" s="257">
        <v>0</v>
      </c>
      <c r="M333" s="257">
        <v>1217325052.3599999</v>
      </c>
      <c r="N333" s="257">
        <v>1206325052.3599999</v>
      </c>
    </row>
    <row r="334" spans="1:14" s="143" customFormat="1" hidden="1" x14ac:dyDescent="0.25">
      <c r="A334" s="143" t="s">
        <v>707</v>
      </c>
      <c r="B334" s="143" t="s">
        <v>222</v>
      </c>
      <c r="C334" s="143" t="s">
        <v>223</v>
      </c>
      <c r="D334" s="143" t="s">
        <v>69</v>
      </c>
      <c r="E334" s="257">
        <v>291010979</v>
      </c>
      <c r="F334" s="257">
        <v>291010979</v>
      </c>
      <c r="G334" s="257">
        <v>261668508</v>
      </c>
      <c r="H334" s="257">
        <v>0</v>
      </c>
      <c r="I334" s="257">
        <v>125423610.59999999</v>
      </c>
      <c r="J334" s="269">
        <v>0</v>
      </c>
      <c r="K334" s="257">
        <v>576011.1</v>
      </c>
      <c r="L334" s="257">
        <v>171000</v>
      </c>
      <c r="M334" s="257">
        <v>165011357.30000001</v>
      </c>
      <c r="N334" s="257">
        <v>135668886.30000001</v>
      </c>
    </row>
    <row r="335" spans="1:14" s="143" customFormat="1" hidden="1" x14ac:dyDescent="0.25">
      <c r="A335" s="143" t="s">
        <v>707</v>
      </c>
      <c r="B335" s="143" t="s">
        <v>224</v>
      </c>
      <c r="C335" s="143" t="s">
        <v>225</v>
      </c>
      <c r="D335" s="143" t="s">
        <v>69</v>
      </c>
      <c r="E335" s="257">
        <v>1243089320</v>
      </c>
      <c r="F335" s="257">
        <v>1243089320</v>
      </c>
      <c r="G335" s="257">
        <v>1243089320</v>
      </c>
      <c r="H335" s="257">
        <v>0</v>
      </c>
      <c r="I335" s="257">
        <v>121032000</v>
      </c>
      <c r="J335" s="269">
        <v>0</v>
      </c>
      <c r="K335" s="257">
        <v>1414230</v>
      </c>
      <c r="L335" s="257">
        <v>1414230</v>
      </c>
      <c r="M335" s="257">
        <v>1120643090</v>
      </c>
      <c r="N335" s="257">
        <v>1120643090</v>
      </c>
    </row>
    <row r="336" spans="1:14" s="143" customFormat="1" hidden="1" x14ac:dyDescent="0.25">
      <c r="A336" s="143" t="s">
        <v>707</v>
      </c>
      <c r="B336" s="143" t="s">
        <v>226</v>
      </c>
      <c r="C336" s="143" t="s">
        <v>227</v>
      </c>
      <c r="D336" s="143" t="s">
        <v>69</v>
      </c>
      <c r="E336" s="257">
        <v>90632447</v>
      </c>
      <c r="F336" s="257">
        <v>90632447</v>
      </c>
      <c r="G336" s="257">
        <v>90632447</v>
      </c>
      <c r="H336" s="257">
        <v>0</v>
      </c>
      <c r="I336" s="257">
        <v>0</v>
      </c>
      <c r="J336" s="269">
        <v>0</v>
      </c>
      <c r="K336" s="257">
        <v>2072760</v>
      </c>
      <c r="L336" s="257">
        <v>2072760</v>
      </c>
      <c r="M336" s="257">
        <v>88559687</v>
      </c>
      <c r="N336" s="257">
        <v>88559687</v>
      </c>
    </row>
    <row r="337" spans="1:14" s="143" customFormat="1" hidden="1" x14ac:dyDescent="0.25">
      <c r="A337" s="143" t="s">
        <v>707</v>
      </c>
      <c r="B337" s="143" t="s">
        <v>228</v>
      </c>
      <c r="C337" s="143" t="s">
        <v>229</v>
      </c>
      <c r="D337" s="143" t="s">
        <v>69</v>
      </c>
      <c r="E337" s="257">
        <v>183639852</v>
      </c>
      <c r="F337" s="257">
        <v>183639852</v>
      </c>
      <c r="G337" s="257">
        <v>183639852</v>
      </c>
      <c r="H337" s="257">
        <v>0</v>
      </c>
      <c r="I337" s="257">
        <v>94367082.430000007</v>
      </c>
      <c r="J337" s="269">
        <v>0</v>
      </c>
      <c r="K337" s="257">
        <v>3150002.26</v>
      </c>
      <c r="L337" s="257">
        <v>3150002.26</v>
      </c>
      <c r="M337" s="257">
        <v>86122767.310000002</v>
      </c>
      <c r="N337" s="257">
        <v>86122767.310000002</v>
      </c>
    </row>
    <row r="338" spans="1:14" s="143" customFormat="1" hidden="1" x14ac:dyDescent="0.25">
      <c r="A338" s="143" t="s">
        <v>707</v>
      </c>
      <c r="B338" s="143" t="s">
        <v>248</v>
      </c>
      <c r="C338" s="143" t="s">
        <v>249</v>
      </c>
      <c r="D338" s="143" t="s">
        <v>69</v>
      </c>
      <c r="E338" s="257">
        <v>13160774264</v>
      </c>
      <c r="F338" s="257">
        <v>13160774264</v>
      </c>
      <c r="G338" s="257">
        <v>10639571557</v>
      </c>
      <c r="H338" s="257">
        <v>0</v>
      </c>
      <c r="I338" s="257">
        <v>8965937222.7800007</v>
      </c>
      <c r="J338" s="269">
        <v>0</v>
      </c>
      <c r="K338" s="257">
        <v>1158212430.21</v>
      </c>
      <c r="L338" s="257">
        <v>1102712430.21</v>
      </c>
      <c r="M338" s="257">
        <v>3036624611.0100002</v>
      </c>
      <c r="N338" s="257">
        <v>515421904.00999999</v>
      </c>
    </row>
    <row r="339" spans="1:14" s="143" customFormat="1" hidden="1" x14ac:dyDescent="0.25">
      <c r="A339" s="143" t="s">
        <v>707</v>
      </c>
      <c r="B339" s="143" t="s">
        <v>250</v>
      </c>
      <c r="C339" s="143" t="s">
        <v>251</v>
      </c>
      <c r="D339" s="143" t="s">
        <v>69</v>
      </c>
      <c r="E339" s="257">
        <v>11073271142</v>
      </c>
      <c r="F339" s="257">
        <v>11073271142</v>
      </c>
      <c r="G339" s="257">
        <v>9873813594</v>
      </c>
      <c r="H339" s="257">
        <v>0</v>
      </c>
      <c r="I339" s="257">
        <v>8753913938.1100006</v>
      </c>
      <c r="J339" s="269">
        <v>0</v>
      </c>
      <c r="K339" s="257">
        <v>1001447101.89</v>
      </c>
      <c r="L339" s="257">
        <v>1001447101.89</v>
      </c>
      <c r="M339" s="257">
        <v>1317910102</v>
      </c>
      <c r="N339" s="257">
        <v>118452554</v>
      </c>
    </row>
    <row r="340" spans="1:14" s="143" customFormat="1" hidden="1" x14ac:dyDescent="0.25">
      <c r="A340" s="143" t="s">
        <v>707</v>
      </c>
      <c r="B340" s="143" t="s">
        <v>621</v>
      </c>
      <c r="C340" s="143" t="s">
        <v>708</v>
      </c>
      <c r="D340" s="143" t="s">
        <v>69</v>
      </c>
      <c r="E340" s="257">
        <v>44000000</v>
      </c>
      <c r="F340" s="257">
        <v>44000000</v>
      </c>
      <c r="G340" s="257">
        <v>11000000</v>
      </c>
      <c r="H340" s="257">
        <v>0</v>
      </c>
      <c r="I340" s="257">
        <v>0</v>
      </c>
      <c r="J340">
        <v>0</v>
      </c>
      <c r="K340" s="257">
        <v>0</v>
      </c>
      <c r="L340" s="257">
        <v>0</v>
      </c>
      <c r="M340" s="257">
        <v>44000000</v>
      </c>
      <c r="N340" s="257">
        <v>11000000</v>
      </c>
    </row>
    <row r="341" spans="1:14" s="143" customFormat="1" hidden="1" x14ac:dyDescent="0.25">
      <c r="A341" s="143" t="s">
        <v>707</v>
      </c>
      <c r="B341" s="143" t="s">
        <v>629</v>
      </c>
      <c r="C341" s="143" t="s">
        <v>702</v>
      </c>
      <c r="D341" s="143" t="s">
        <v>69</v>
      </c>
      <c r="E341" s="257">
        <v>540115935</v>
      </c>
      <c r="F341" s="257">
        <v>540115935</v>
      </c>
      <c r="G341" s="257">
        <v>540115935</v>
      </c>
      <c r="H341" s="257">
        <v>0</v>
      </c>
      <c r="I341" s="257">
        <v>417738762</v>
      </c>
      <c r="J341" s="252">
        <v>0</v>
      </c>
      <c r="K341" s="257">
        <v>122377173</v>
      </c>
      <c r="L341" s="257">
        <v>122377173</v>
      </c>
      <c r="M341" s="257">
        <v>0</v>
      </c>
      <c r="N341" s="257">
        <v>0</v>
      </c>
    </row>
    <row r="342" spans="1:14" s="143" customFormat="1" hidden="1" x14ac:dyDescent="0.25">
      <c r="A342" s="143" t="s">
        <v>707</v>
      </c>
      <c r="B342" s="143" t="s">
        <v>644</v>
      </c>
      <c r="C342" s="143" t="s">
        <v>703</v>
      </c>
      <c r="D342" s="143" t="s">
        <v>69</v>
      </c>
      <c r="E342" s="257">
        <v>95765207</v>
      </c>
      <c r="F342" s="257">
        <v>95765207</v>
      </c>
      <c r="G342" s="257">
        <v>95765207</v>
      </c>
      <c r="H342" s="257">
        <v>0</v>
      </c>
      <c r="I342" s="257">
        <v>72057822</v>
      </c>
      <c r="J342" s="261">
        <v>0</v>
      </c>
      <c r="K342" s="257">
        <v>23707385</v>
      </c>
      <c r="L342" s="257">
        <v>23707385</v>
      </c>
      <c r="M342" s="257">
        <v>0</v>
      </c>
      <c r="N342" s="257">
        <v>0</v>
      </c>
    </row>
    <row r="343" spans="1:14" s="143" customFormat="1" hidden="1" x14ac:dyDescent="0.25">
      <c r="A343" s="143" t="s">
        <v>707</v>
      </c>
      <c r="B343" s="143" t="s">
        <v>655</v>
      </c>
      <c r="C343" s="143" t="s">
        <v>709</v>
      </c>
      <c r="D343" s="143" t="s">
        <v>69</v>
      </c>
      <c r="E343" s="257">
        <v>10393390000</v>
      </c>
      <c r="F343" s="257">
        <v>10393390000</v>
      </c>
      <c r="G343" s="257">
        <v>9226932452</v>
      </c>
      <c r="H343" s="257">
        <v>0</v>
      </c>
      <c r="I343" s="257">
        <v>8264117354.1099997</v>
      </c>
      <c r="J343" s="266">
        <v>0</v>
      </c>
      <c r="K343" s="257">
        <v>855362543.88999999</v>
      </c>
      <c r="L343" s="257">
        <v>855362543.88999999</v>
      </c>
      <c r="M343" s="257">
        <v>1273910102</v>
      </c>
      <c r="N343" s="257">
        <v>107452554</v>
      </c>
    </row>
    <row r="344" spans="1:14" s="143" customFormat="1" hidden="1" x14ac:dyDescent="0.25">
      <c r="A344" s="143" t="s">
        <v>707</v>
      </c>
      <c r="B344" s="143" t="s">
        <v>366</v>
      </c>
      <c r="C344" s="143" t="s">
        <v>367</v>
      </c>
      <c r="D344" s="143" t="s">
        <v>69</v>
      </c>
      <c r="E344" s="257">
        <v>666000000</v>
      </c>
      <c r="F344" s="257">
        <v>666000000</v>
      </c>
      <c r="G344" s="257">
        <v>166500000</v>
      </c>
      <c r="H344" s="257">
        <v>0</v>
      </c>
      <c r="I344" s="257">
        <v>55500000</v>
      </c>
      <c r="J344" s="269">
        <v>0</v>
      </c>
      <c r="K344" s="257">
        <v>111000000</v>
      </c>
      <c r="L344" s="257">
        <v>55500000</v>
      </c>
      <c r="M344" s="257">
        <v>499500000</v>
      </c>
      <c r="N344" s="257">
        <v>0</v>
      </c>
    </row>
    <row r="345" spans="1:14" s="143" customFormat="1" hidden="1" x14ac:dyDescent="0.25">
      <c r="A345" s="143" t="s">
        <v>707</v>
      </c>
      <c r="B345" s="143" t="s">
        <v>368</v>
      </c>
      <c r="C345" s="143" t="s">
        <v>369</v>
      </c>
      <c r="D345" s="143" t="s">
        <v>69</v>
      </c>
      <c r="E345" s="257">
        <v>666000000</v>
      </c>
      <c r="F345" s="257">
        <v>666000000</v>
      </c>
      <c r="G345" s="257">
        <v>166500000</v>
      </c>
      <c r="H345" s="257">
        <v>0</v>
      </c>
      <c r="I345" s="257">
        <v>55500000</v>
      </c>
      <c r="J345" s="269">
        <v>0</v>
      </c>
      <c r="K345" s="257">
        <v>111000000</v>
      </c>
      <c r="L345" s="257">
        <v>55500000</v>
      </c>
      <c r="M345" s="257">
        <v>499500000</v>
      </c>
      <c r="N345" s="257">
        <v>0</v>
      </c>
    </row>
    <row r="346" spans="1:14" s="143" customFormat="1" hidden="1" x14ac:dyDescent="0.25">
      <c r="A346" s="143" t="s">
        <v>707</v>
      </c>
      <c r="B346" s="143" t="s">
        <v>260</v>
      </c>
      <c r="C346" s="143" t="s">
        <v>261</v>
      </c>
      <c r="D346" s="143" t="s">
        <v>69</v>
      </c>
      <c r="E346" s="257">
        <v>1271503122</v>
      </c>
      <c r="F346" s="257">
        <v>1271503122</v>
      </c>
      <c r="G346" s="257">
        <v>521500780</v>
      </c>
      <c r="H346" s="257">
        <v>0</v>
      </c>
      <c r="I346" s="257">
        <v>99485082.569999993</v>
      </c>
      <c r="J346" s="269">
        <v>0</v>
      </c>
      <c r="K346" s="257">
        <v>25046348.100000001</v>
      </c>
      <c r="L346" s="257">
        <v>25046348.100000001</v>
      </c>
      <c r="M346" s="257">
        <v>1146971691.3299999</v>
      </c>
      <c r="N346" s="257">
        <v>396969349.32999998</v>
      </c>
    </row>
    <row r="347" spans="1:14" s="143" customFormat="1" hidden="1" x14ac:dyDescent="0.25">
      <c r="A347" s="143" t="s">
        <v>707</v>
      </c>
      <c r="B347" s="143" t="s">
        <v>262</v>
      </c>
      <c r="C347" s="143" t="s">
        <v>263</v>
      </c>
      <c r="D347" s="143" t="s">
        <v>69</v>
      </c>
      <c r="E347" s="257">
        <v>1000003122</v>
      </c>
      <c r="F347" s="257">
        <v>1000003122</v>
      </c>
      <c r="G347" s="257">
        <v>250000780</v>
      </c>
      <c r="H347" s="257">
        <v>0</v>
      </c>
      <c r="I347" s="257">
        <v>99485082.569999993</v>
      </c>
      <c r="J347" s="269">
        <v>0</v>
      </c>
      <c r="K347" s="257">
        <v>18076109.100000001</v>
      </c>
      <c r="L347" s="257">
        <v>18076109.100000001</v>
      </c>
      <c r="M347" s="257">
        <v>882441930.33000004</v>
      </c>
      <c r="N347" s="257">
        <v>132439588.33</v>
      </c>
    </row>
    <row r="348" spans="1:14" s="143" customFormat="1" hidden="1" x14ac:dyDescent="0.25">
      <c r="A348" s="143" t="s">
        <v>707</v>
      </c>
      <c r="B348" s="143" t="s">
        <v>264</v>
      </c>
      <c r="C348" s="143" t="s">
        <v>265</v>
      </c>
      <c r="D348" s="143" t="s">
        <v>69</v>
      </c>
      <c r="E348" s="257">
        <v>271500000</v>
      </c>
      <c r="F348" s="257">
        <v>271500000</v>
      </c>
      <c r="G348" s="257">
        <v>271500000</v>
      </c>
      <c r="H348" s="257">
        <v>0</v>
      </c>
      <c r="I348" s="257">
        <v>0</v>
      </c>
      <c r="J348" s="269">
        <v>0</v>
      </c>
      <c r="K348" s="257">
        <v>6970239</v>
      </c>
      <c r="L348" s="257">
        <v>6970239</v>
      </c>
      <c r="M348" s="257">
        <v>264529761</v>
      </c>
      <c r="N348" s="257">
        <v>264529761</v>
      </c>
    </row>
    <row r="349" spans="1:14" s="143" customFormat="1" hidden="1" x14ac:dyDescent="0.25">
      <c r="A349" s="143" t="s">
        <v>707</v>
      </c>
      <c r="B349" s="143" t="s">
        <v>286</v>
      </c>
      <c r="C349" s="143" t="s">
        <v>287</v>
      </c>
      <c r="D349" s="143" t="s">
        <v>69</v>
      </c>
      <c r="E349" s="257">
        <v>150000000</v>
      </c>
      <c r="F349" s="257">
        <v>150000000</v>
      </c>
      <c r="G349" s="257">
        <v>77757183</v>
      </c>
      <c r="H349" s="257">
        <v>0</v>
      </c>
      <c r="I349" s="257">
        <v>57038202.100000001</v>
      </c>
      <c r="J349" s="269">
        <v>0</v>
      </c>
      <c r="K349" s="257">
        <v>20718980.219999999</v>
      </c>
      <c r="L349" s="257">
        <v>20718980.219999999</v>
      </c>
      <c r="M349" s="257">
        <v>72242817.680000007</v>
      </c>
      <c r="N349" s="257">
        <v>0.68</v>
      </c>
    </row>
    <row r="350" spans="1:14" s="143" customFormat="1" hidden="1" x14ac:dyDescent="0.25">
      <c r="A350" s="143" t="s">
        <v>707</v>
      </c>
      <c r="B350" s="143" t="s">
        <v>288</v>
      </c>
      <c r="C350" s="143" t="s">
        <v>289</v>
      </c>
      <c r="D350" s="143" t="s">
        <v>69</v>
      </c>
      <c r="E350" s="257">
        <v>100000000</v>
      </c>
      <c r="F350" s="257">
        <v>100000000</v>
      </c>
      <c r="G350" s="257">
        <v>50257183</v>
      </c>
      <c r="H350" s="257">
        <v>0</v>
      </c>
      <c r="I350" s="257">
        <v>50204836.640000001</v>
      </c>
      <c r="J350" s="269">
        <v>0</v>
      </c>
      <c r="K350" s="257">
        <v>52345.68</v>
      </c>
      <c r="L350" s="257">
        <v>52345.68</v>
      </c>
      <c r="M350" s="257">
        <v>49742817.68</v>
      </c>
      <c r="N350" s="257">
        <v>0.68</v>
      </c>
    </row>
    <row r="351" spans="1:14" s="143" customFormat="1" hidden="1" x14ac:dyDescent="0.25">
      <c r="A351" s="143" t="s">
        <v>707</v>
      </c>
      <c r="B351" s="143" t="s">
        <v>370</v>
      </c>
      <c r="C351" s="143" t="s">
        <v>371</v>
      </c>
      <c r="D351" s="143" t="s">
        <v>69</v>
      </c>
      <c r="E351" s="257">
        <v>50000000</v>
      </c>
      <c r="F351" s="257">
        <v>50000000</v>
      </c>
      <c r="G351" s="257">
        <v>27500000</v>
      </c>
      <c r="H351" s="257">
        <v>0</v>
      </c>
      <c r="I351" s="257">
        <v>6833365.46</v>
      </c>
      <c r="J351" s="269">
        <v>0</v>
      </c>
      <c r="K351" s="257">
        <v>20666634.539999999</v>
      </c>
      <c r="L351" s="257">
        <v>20666634.539999999</v>
      </c>
      <c r="M351" s="257">
        <v>22500000</v>
      </c>
      <c r="N351" s="257">
        <v>0</v>
      </c>
    </row>
    <row r="352" spans="1:14" s="143" customFormat="1" hidden="1" x14ac:dyDescent="0.25">
      <c r="A352" s="143" t="s">
        <v>707</v>
      </c>
      <c r="B352" s="143" t="s">
        <v>230</v>
      </c>
      <c r="C352" s="143" t="s">
        <v>231</v>
      </c>
      <c r="D352" s="143" t="s">
        <v>85</v>
      </c>
      <c r="E352" s="257">
        <v>2053989952</v>
      </c>
      <c r="F352" s="257">
        <v>2053989952</v>
      </c>
      <c r="G352" s="257">
        <v>1546203884</v>
      </c>
      <c r="H352" s="257">
        <v>0</v>
      </c>
      <c r="I352" s="257">
        <v>394355595</v>
      </c>
      <c r="J352" s="269">
        <v>0</v>
      </c>
      <c r="K352" s="257">
        <v>48797469.600000001</v>
      </c>
      <c r="L352" s="257">
        <v>48797469.600000001</v>
      </c>
      <c r="M352" s="257">
        <v>1610836887.4000001</v>
      </c>
      <c r="N352" s="257">
        <v>1103050819.4000001</v>
      </c>
    </row>
    <row r="353" spans="1:14" s="143" customFormat="1" hidden="1" x14ac:dyDescent="0.25">
      <c r="A353" s="143" t="s">
        <v>707</v>
      </c>
      <c r="B353" s="143" t="s">
        <v>232</v>
      </c>
      <c r="C353" s="143" t="s">
        <v>233</v>
      </c>
      <c r="D353" s="143" t="s">
        <v>85</v>
      </c>
      <c r="E353" s="257">
        <v>1511257014</v>
      </c>
      <c r="F353" s="257">
        <v>1511257014</v>
      </c>
      <c r="G353" s="257">
        <v>1410520650</v>
      </c>
      <c r="H353" s="257">
        <v>0</v>
      </c>
      <c r="I353" s="257">
        <v>393939400</v>
      </c>
      <c r="J353" s="269">
        <v>0</v>
      </c>
      <c r="K353" s="257">
        <v>48199598</v>
      </c>
      <c r="L353" s="257">
        <v>48199598</v>
      </c>
      <c r="M353" s="257">
        <v>1069118016</v>
      </c>
      <c r="N353" s="257">
        <v>968381652</v>
      </c>
    </row>
    <row r="354" spans="1:14" s="143" customFormat="1" hidden="1" x14ac:dyDescent="0.25">
      <c r="A354" s="143" t="s">
        <v>707</v>
      </c>
      <c r="B354" s="143" t="s">
        <v>234</v>
      </c>
      <c r="C354" s="143" t="s">
        <v>235</v>
      </c>
      <c r="D354" s="143" t="s">
        <v>85</v>
      </c>
      <c r="E354" s="257">
        <v>46000000</v>
      </c>
      <c r="F354" s="257">
        <v>46000000</v>
      </c>
      <c r="G354" s="257">
        <v>46000000</v>
      </c>
      <c r="H354" s="257">
        <v>0</v>
      </c>
      <c r="I354" s="257">
        <v>0</v>
      </c>
      <c r="J354" s="269">
        <v>0</v>
      </c>
      <c r="K354" s="257">
        <v>0</v>
      </c>
      <c r="L354" s="257">
        <v>0</v>
      </c>
      <c r="M354" s="257">
        <v>46000000</v>
      </c>
      <c r="N354" s="257">
        <v>46000000</v>
      </c>
    </row>
    <row r="355" spans="1:14" s="143" customFormat="1" hidden="1" x14ac:dyDescent="0.25">
      <c r="A355" s="143" t="s">
        <v>707</v>
      </c>
      <c r="B355" s="143" t="s">
        <v>324</v>
      </c>
      <c r="C355" s="143" t="s">
        <v>325</v>
      </c>
      <c r="D355" s="143" t="s">
        <v>85</v>
      </c>
      <c r="E355" s="257">
        <v>0</v>
      </c>
      <c r="F355" s="257">
        <v>0</v>
      </c>
      <c r="G355" s="257">
        <v>0</v>
      </c>
      <c r="H355" s="257">
        <v>0</v>
      </c>
      <c r="I355" s="257">
        <v>815400</v>
      </c>
      <c r="J355" s="269">
        <v>0</v>
      </c>
      <c r="K355" s="257">
        <v>0</v>
      </c>
      <c r="L355" s="257">
        <v>0</v>
      </c>
      <c r="M355" s="275">
        <v>-815400</v>
      </c>
      <c r="N355" s="275">
        <v>-815400</v>
      </c>
    </row>
    <row r="356" spans="1:14" s="143" customFormat="1" hidden="1" x14ac:dyDescent="0.25">
      <c r="A356" s="143" t="s">
        <v>707</v>
      </c>
      <c r="B356" s="143" t="s">
        <v>236</v>
      </c>
      <c r="C356" s="143" t="s">
        <v>237</v>
      </c>
      <c r="D356" s="143" t="s">
        <v>85</v>
      </c>
      <c r="E356" s="257">
        <v>302703422</v>
      </c>
      <c r="F356" s="257">
        <v>302703422</v>
      </c>
      <c r="G356" s="257">
        <v>287703422</v>
      </c>
      <c r="H356" s="257">
        <v>0</v>
      </c>
      <c r="I356" s="257">
        <v>0</v>
      </c>
      <c r="J356" s="269">
        <v>0</v>
      </c>
      <c r="K356" s="257">
        <v>0</v>
      </c>
      <c r="L356" s="257">
        <v>0</v>
      </c>
      <c r="M356" s="257">
        <v>302703422</v>
      </c>
      <c r="N356" s="257">
        <v>287703422</v>
      </c>
    </row>
    <row r="357" spans="1:14" s="143" customFormat="1" hidden="1" x14ac:dyDescent="0.25">
      <c r="A357" s="143" t="s">
        <v>707</v>
      </c>
      <c r="B357" s="143" t="s">
        <v>238</v>
      </c>
      <c r="C357" s="143" t="s">
        <v>239</v>
      </c>
      <c r="D357" s="143" t="s">
        <v>85</v>
      </c>
      <c r="E357" s="257">
        <v>68995579</v>
      </c>
      <c r="F357" s="257">
        <v>68995579</v>
      </c>
      <c r="G357" s="257">
        <v>68995579</v>
      </c>
      <c r="H357" s="257">
        <v>0</v>
      </c>
      <c r="I357" s="257">
        <v>0</v>
      </c>
      <c r="J357">
        <v>0</v>
      </c>
      <c r="K357" s="257">
        <v>43357170</v>
      </c>
      <c r="L357" s="257">
        <v>43357170</v>
      </c>
      <c r="M357" s="257">
        <v>25638409</v>
      </c>
      <c r="N357" s="257">
        <v>25638409</v>
      </c>
    </row>
    <row r="358" spans="1:14" s="143" customFormat="1" hidden="1" x14ac:dyDescent="0.25">
      <c r="A358" s="143" t="s">
        <v>707</v>
      </c>
      <c r="B358" s="143" t="s">
        <v>282</v>
      </c>
      <c r="C358" s="143" t="s">
        <v>283</v>
      </c>
      <c r="D358" s="143" t="s">
        <v>85</v>
      </c>
      <c r="E358" s="257">
        <v>100000000</v>
      </c>
      <c r="F358" s="257">
        <v>100000000</v>
      </c>
      <c r="G358" s="257">
        <v>100000000</v>
      </c>
      <c r="H358" s="257">
        <v>0</v>
      </c>
      <c r="I358" s="257">
        <v>0</v>
      </c>
      <c r="J358" s="252">
        <v>0</v>
      </c>
      <c r="K358" s="257">
        <v>0</v>
      </c>
      <c r="L358" s="257">
        <v>0</v>
      </c>
      <c r="M358" s="257">
        <v>100000000</v>
      </c>
      <c r="N358" s="257">
        <v>100000000</v>
      </c>
    </row>
    <row r="359" spans="1:14" s="143" customFormat="1" hidden="1" x14ac:dyDescent="0.25">
      <c r="A359" s="143" t="s">
        <v>707</v>
      </c>
      <c r="B359" s="143" t="s">
        <v>326</v>
      </c>
      <c r="C359" s="143" t="s">
        <v>327</v>
      </c>
      <c r="D359" s="143" t="s">
        <v>85</v>
      </c>
      <c r="E359" s="257">
        <v>1200000</v>
      </c>
      <c r="F359" s="257">
        <v>1200000</v>
      </c>
      <c r="G359" s="257">
        <v>1200000</v>
      </c>
      <c r="H359" s="257">
        <v>0</v>
      </c>
      <c r="I359" s="257">
        <v>0</v>
      </c>
      <c r="J359" s="261">
        <v>0</v>
      </c>
      <c r="K359" s="257">
        <v>0</v>
      </c>
      <c r="L359" s="257">
        <v>0</v>
      </c>
      <c r="M359" s="257">
        <v>1200000</v>
      </c>
      <c r="N359" s="257">
        <v>1200000</v>
      </c>
    </row>
    <row r="360" spans="1:14" s="143" customFormat="1" hidden="1" x14ac:dyDescent="0.25">
      <c r="A360" s="143" t="s">
        <v>707</v>
      </c>
      <c r="B360" s="143" t="s">
        <v>240</v>
      </c>
      <c r="C360" s="143" t="s">
        <v>241</v>
      </c>
      <c r="D360" s="143" t="s">
        <v>85</v>
      </c>
      <c r="E360" s="257">
        <v>2700000</v>
      </c>
      <c r="F360" s="257">
        <v>2700000</v>
      </c>
      <c r="G360" s="257">
        <v>2700000</v>
      </c>
      <c r="H360" s="257">
        <v>0</v>
      </c>
      <c r="I360" s="257">
        <v>0</v>
      </c>
      <c r="J360" s="266">
        <v>0</v>
      </c>
      <c r="K360" s="257">
        <v>0</v>
      </c>
      <c r="L360" s="257">
        <v>0</v>
      </c>
      <c r="M360" s="257">
        <v>2700000</v>
      </c>
      <c r="N360" s="257">
        <v>2700000</v>
      </c>
    </row>
    <row r="361" spans="1:14" s="143" customFormat="1" hidden="1" x14ac:dyDescent="0.25">
      <c r="A361" s="143" t="s">
        <v>707</v>
      </c>
      <c r="B361" s="143" t="s">
        <v>242</v>
      </c>
      <c r="C361" s="143" t="s">
        <v>243</v>
      </c>
      <c r="D361" s="143" t="s">
        <v>85</v>
      </c>
      <c r="E361" s="257">
        <v>989658013</v>
      </c>
      <c r="F361" s="257">
        <v>989658013</v>
      </c>
      <c r="G361" s="257">
        <v>903921649</v>
      </c>
      <c r="H361" s="257">
        <v>0</v>
      </c>
      <c r="I361" s="257">
        <v>393124000</v>
      </c>
      <c r="J361" s="269">
        <v>0</v>
      </c>
      <c r="K361" s="257">
        <v>4842428</v>
      </c>
      <c r="L361" s="257">
        <v>4842428</v>
      </c>
      <c r="M361" s="257">
        <v>591691585</v>
      </c>
      <c r="N361" s="257">
        <v>505955221</v>
      </c>
    </row>
    <row r="362" spans="1:14" s="143" customFormat="1" hidden="1" x14ac:dyDescent="0.25">
      <c r="A362" s="143" t="s">
        <v>707</v>
      </c>
      <c r="B362" s="143" t="s">
        <v>328</v>
      </c>
      <c r="C362" s="143" t="s">
        <v>329</v>
      </c>
      <c r="D362" s="143" t="s">
        <v>85</v>
      </c>
      <c r="E362" s="257">
        <v>94148000</v>
      </c>
      <c r="F362" s="257">
        <v>94148000</v>
      </c>
      <c r="G362" s="257">
        <v>23537000</v>
      </c>
      <c r="H362" s="257">
        <v>0</v>
      </c>
      <c r="I362" s="257">
        <v>416195</v>
      </c>
      <c r="J362" s="269">
        <v>0</v>
      </c>
      <c r="K362" s="257">
        <v>597871.6</v>
      </c>
      <c r="L362" s="257">
        <v>597871.6</v>
      </c>
      <c r="M362" s="257">
        <v>93133933.400000006</v>
      </c>
      <c r="N362" s="257">
        <v>22522933.399999999</v>
      </c>
    </row>
    <row r="363" spans="1:14" s="143" customFormat="1" hidden="1" x14ac:dyDescent="0.25">
      <c r="A363" s="143" t="s">
        <v>707</v>
      </c>
      <c r="B363" s="143" t="s">
        <v>330</v>
      </c>
      <c r="C363" s="143" t="s">
        <v>331</v>
      </c>
      <c r="D363" s="143" t="s">
        <v>85</v>
      </c>
      <c r="E363" s="257">
        <v>92800000</v>
      </c>
      <c r="F363" s="257">
        <v>92800000</v>
      </c>
      <c r="G363" s="257">
        <v>22189000</v>
      </c>
      <c r="H363" s="257">
        <v>0</v>
      </c>
      <c r="I363" s="257">
        <v>0</v>
      </c>
      <c r="J363" s="269">
        <v>0</v>
      </c>
      <c r="K363" s="257">
        <v>597871.6</v>
      </c>
      <c r="L363" s="257">
        <v>597871.6</v>
      </c>
      <c r="M363" s="257">
        <v>92202128.400000006</v>
      </c>
      <c r="N363" s="257">
        <v>21591128.399999999</v>
      </c>
    </row>
    <row r="364" spans="1:14" s="143" customFormat="1" hidden="1" x14ac:dyDescent="0.25">
      <c r="A364" s="143" t="s">
        <v>707</v>
      </c>
      <c r="B364" s="143" t="s">
        <v>358</v>
      </c>
      <c r="C364" s="143" t="s">
        <v>359</v>
      </c>
      <c r="D364" s="143" t="s">
        <v>85</v>
      </c>
      <c r="E364" s="257">
        <v>1348000</v>
      </c>
      <c r="F364" s="257">
        <v>1348000</v>
      </c>
      <c r="G364" s="257">
        <v>1348000</v>
      </c>
      <c r="H364" s="257">
        <v>0</v>
      </c>
      <c r="I364" s="257">
        <v>416195</v>
      </c>
      <c r="J364" s="269">
        <v>0</v>
      </c>
      <c r="K364" s="257">
        <v>0</v>
      </c>
      <c r="L364" s="257">
        <v>0</v>
      </c>
      <c r="M364" s="257">
        <v>931805</v>
      </c>
      <c r="N364" s="257">
        <v>931805</v>
      </c>
    </row>
    <row r="365" spans="1:14" s="143" customFormat="1" hidden="1" x14ac:dyDescent="0.25">
      <c r="A365" s="143" t="s">
        <v>707</v>
      </c>
      <c r="B365" s="143" t="s">
        <v>244</v>
      </c>
      <c r="C365" s="143" t="s">
        <v>245</v>
      </c>
      <c r="D365" s="143" t="s">
        <v>85</v>
      </c>
      <c r="E365" s="257">
        <v>448584938</v>
      </c>
      <c r="F365" s="257">
        <v>448584938</v>
      </c>
      <c r="G365" s="257">
        <v>112146234</v>
      </c>
      <c r="H365" s="257">
        <v>0</v>
      </c>
      <c r="I365" s="257">
        <v>0</v>
      </c>
      <c r="J365" s="269">
        <v>0</v>
      </c>
      <c r="K365" s="257">
        <v>0</v>
      </c>
      <c r="L365" s="257">
        <v>0</v>
      </c>
      <c r="M365" s="257">
        <v>448584938</v>
      </c>
      <c r="N365" s="257">
        <v>112146234</v>
      </c>
    </row>
    <row r="366" spans="1:14" s="143" customFormat="1" hidden="1" x14ac:dyDescent="0.25">
      <c r="A366" s="143" t="s">
        <v>707</v>
      </c>
      <c r="B366" s="143" t="s">
        <v>246</v>
      </c>
      <c r="C366" s="143" t="s">
        <v>247</v>
      </c>
      <c r="D366" s="143" t="s">
        <v>85</v>
      </c>
      <c r="E366" s="257">
        <v>448584938</v>
      </c>
      <c r="F366" s="257">
        <v>448584938</v>
      </c>
      <c r="G366" s="257">
        <v>112146234</v>
      </c>
      <c r="H366" s="257">
        <v>0</v>
      </c>
      <c r="I366" s="257">
        <v>0</v>
      </c>
      <c r="J366" s="269">
        <v>0</v>
      </c>
      <c r="K366" s="257">
        <v>0</v>
      </c>
      <c r="L366" s="257">
        <v>0</v>
      </c>
      <c r="M366" s="257">
        <v>448584938</v>
      </c>
      <c r="N366" s="257">
        <v>112146234</v>
      </c>
    </row>
    <row r="367" spans="1:14" s="143" customFormat="1" hidden="1" x14ac:dyDescent="0.25">
      <c r="A367" s="143" t="s">
        <v>707</v>
      </c>
      <c r="B367" s="143" t="s">
        <v>372</v>
      </c>
      <c r="C367" s="143" t="s">
        <v>373</v>
      </c>
      <c r="D367" s="143" t="s">
        <v>85</v>
      </c>
      <c r="E367" s="257">
        <v>581400000</v>
      </c>
      <c r="F367" s="257">
        <v>674866517.41999996</v>
      </c>
      <c r="G367" s="257">
        <v>6971191</v>
      </c>
      <c r="H367" s="257">
        <v>0</v>
      </c>
      <c r="I367" s="257">
        <v>93466512.689999998</v>
      </c>
      <c r="J367" s="269">
        <v>0</v>
      </c>
      <c r="K367" s="257">
        <v>0</v>
      </c>
      <c r="L367" s="257">
        <v>0</v>
      </c>
      <c r="M367" s="257">
        <v>581400004.73000002</v>
      </c>
      <c r="N367" s="257">
        <v>-86495321.689999998</v>
      </c>
    </row>
    <row r="368" spans="1:14" s="143" customFormat="1" hidden="1" x14ac:dyDescent="0.25">
      <c r="A368" s="143" t="s">
        <v>707</v>
      </c>
      <c r="B368" s="143" t="s">
        <v>374</v>
      </c>
      <c r="C368" s="143" t="s">
        <v>375</v>
      </c>
      <c r="D368" s="143" t="s">
        <v>85</v>
      </c>
      <c r="E368" s="257">
        <v>581400000</v>
      </c>
      <c r="F368" s="257">
        <v>674866517.41999996</v>
      </c>
      <c r="G368" s="257">
        <v>6971191</v>
      </c>
      <c r="H368" s="257">
        <v>0</v>
      </c>
      <c r="I368" s="257">
        <v>93466512.689999998</v>
      </c>
      <c r="J368" s="269">
        <v>0</v>
      </c>
      <c r="K368" s="257">
        <v>0</v>
      </c>
      <c r="L368" s="257">
        <v>0</v>
      </c>
      <c r="M368" s="257">
        <v>581400004.73000002</v>
      </c>
      <c r="N368" s="257">
        <v>-86495321.689999998</v>
      </c>
    </row>
    <row r="369" spans="1:14" s="143" customFormat="1" hidden="1" x14ac:dyDescent="0.25">
      <c r="A369" s="143" t="s">
        <v>707</v>
      </c>
      <c r="B369" s="143" t="s">
        <v>674</v>
      </c>
      <c r="C369" s="143" t="s">
        <v>710</v>
      </c>
      <c r="D369" s="143" t="s">
        <v>85</v>
      </c>
      <c r="E369" s="257">
        <v>581400000</v>
      </c>
      <c r="F369" s="257">
        <v>581400000</v>
      </c>
      <c r="G369" s="257">
        <v>6971191</v>
      </c>
      <c r="H369" s="257">
        <v>0</v>
      </c>
      <c r="I369" s="257">
        <v>0</v>
      </c>
      <c r="J369" s="269">
        <v>0</v>
      </c>
      <c r="K369" s="257">
        <v>0</v>
      </c>
      <c r="L369" s="257">
        <v>0</v>
      </c>
      <c r="M369" s="257">
        <v>581400000</v>
      </c>
      <c r="N369" s="257">
        <v>6971191</v>
      </c>
    </row>
    <row r="370" spans="1:14" s="143" customFormat="1" hidden="1" x14ac:dyDescent="0.25">
      <c r="A370" s="143" t="s">
        <v>707</v>
      </c>
      <c r="B370" s="143" t="s">
        <v>676</v>
      </c>
      <c r="C370" s="143" t="s">
        <v>776</v>
      </c>
      <c r="D370" s="143" t="s">
        <v>777</v>
      </c>
      <c r="E370" s="257">
        <v>0</v>
      </c>
      <c r="F370" s="257">
        <v>93466517.420000002</v>
      </c>
      <c r="G370" s="257">
        <v>0</v>
      </c>
      <c r="H370" s="257">
        <v>0</v>
      </c>
      <c r="I370" s="257">
        <v>93466512.689999998</v>
      </c>
      <c r="J370" s="269">
        <v>0</v>
      </c>
      <c r="K370" s="257">
        <v>0</v>
      </c>
      <c r="L370" s="257">
        <v>0</v>
      </c>
      <c r="M370" s="257">
        <v>4.7300000000000004</v>
      </c>
      <c r="N370" s="257">
        <v>-93466512.689999998</v>
      </c>
    </row>
    <row r="371" spans="1:14" s="143" customFormat="1" x14ac:dyDescent="0.25">
      <c r="A371" s="270">
        <v>214789001</v>
      </c>
      <c r="D371" s="271" t="s">
        <v>69</v>
      </c>
      <c r="E371" s="257">
        <v>27896892306</v>
      </c>
      <c r="F371" s="272">
        <v>27896892306</v>
      </c>
      <c r="G371" s="257">
        <v>17662847647</v>
      </c>
      <c r="H371" s="269">
        <v>0</v>
      </c>
      <c r="I371" s="273">
        <v>3645770897.3600001</v>
      </c>
      <c r="J371" s="269">
        <v>0</v>
      </c>
      <c r="K371" s="269">
        <v>2717151625.71</v>
      </c>
      <c r="L371" s="274">
        <v>2703581157.0300002</v>
      </c>
      <c r="M371" s="273">
        <v>21533969782.93</v>
      </c>
      <c r="N371" s="257">
        <v>11299925123.93</v>
      </c>
    </row>
    <row r="372" spans="1:14" s="143" customFormat="1" hidden="1" x14ac:dyDescent="0.25">
      <c r="A372" s="143" t="s">
        <v>711</v>
      </c>
      <c r="B372" s="143" t="s">
        <v>71</v>
      </c>
      <c r="C372" s="143" t="s">
        <v>72</v>
      </c>
      <c r="D372" s="143" t="s">
        <v>69</v>
      </c>
      <c r="E372" s="257">
        <v>13888392480</v>
      </c>
      <c r="F372" s="257">
        <v>13888392480</v>
      </c>
      <c r="G372" s="257">
        <v>13888392480</v>
      </c>
      <c r="H372" s="257">
        <v>0</v>
      </c>
      <c r="I372" s="257">
        <v>1829702098</v>
      </c>
      <c r="J372" s="269">
        <v>0</v>
      </c>
      <c r="K372" s="257">
        <v>2583890597.2399998</v>
      </c>
      <c r="L372" s="257">
        <v>2583890597.2399998</v>
      </c>
      <c r="M372" s="257">
        <v>9474799784.7600002</v>
      </c>
      <c r="N372" s="257">
        <v>9474799784.7600002</v>
      </c>
    </row>
    <row r="373" spans="1:14" s="143" customFormat="1" hidden="1" x14ac:dyDescent="0.25">
      <c r="A373" s="143" t="s">
        <v>711</v>
      </c>
      <c r="B373" s="143" t="s">
        <v>73</v>
      </c>
      <c r="C373" s="143" t="s">
        <v>74</v>
      </c>
      <c r="D373" s="143" t="s">
        <v>69</v>
      </c>
      <c r="E373" s="257">
        <v>5229936552</v>
      </c>
      <c r="F373" s="257">
        <v>5229936552</v>
      </c>
      <c r="G373" s="257">
        <v>5229936552</v>
      </c>
      <c r="H373" s="257">
        <v>0</v>
      </c>
      <c r="I373" s="257">
        <v>0</v>
      </c>
      <c r="J373" s="269">
        <v>0</v>
      </c>
      <c r="K373" s="257">
        <v>780562100.20000005</v>
      </c>
      <c r="L373" s="257">
        <v>780562100.20000005</v>
      </c>
      <c r="M373" s="257">
        <v>4449374451.8000002</v>
      </c>
      <c r="N373" s="257">
        <v>4449374451.8000002</v>
      </c>
    </row>
    <row r="374" spans="1:14" s="143" customFormat="1" hidden="1" x14ac:dyDescent="0.25">
      <c r="A374" s="143" t="s">
        <v>711</v>
      </c>
      <c r="B374" s="143" t="s">
        <v>75</v>
      </c>
      <c r="C374" s="143" t="s">
        <v>76</v>
      </c>
      <c r="D374" s="143" t="s">
        <v>69</v>
      </c>
      <c r="E374" s="257">
        <v>5229936552</v>
      </c>
      <c r="F374" s="257">
        <v>5229936552</v>
      </c>
      <c r="G374" s="257">
        <v>5229936552</v>
      </c>
      <c r="H374" s="257">
        <v>0</v>
      </c>
      <c r="I374" s="257">
        <v>0</v>
      </c>
      <c r="J374">
        <v>0</v>
      </c>
      <c r="K374" s="257">
        <v>780562100.20000005</v>
      </c>
      <c r="L374" s="257">
        <v>780562100.20000005</v>
      </c>
      <c r="M374" s="257">
        <v>4449374451.8000002</v>
      </c>
      <c r="N374" s="257">
        <v>4449374451.8000002</v>
      </c>
    </row>
    <row r="375" spans="1:14" s="143" customFormat="1" hidden="1" x14ac:dyDescent="0.25">
      <c r="A375" s="143" t="s">
        <v>711</v>
      </c>
      <c r="B375" s="143" t="s">
        <v>293</v>
      </c>
      <c r="C375" s="143" t="s">
        <v>294</v>
      </c>
      <c r="D375" s="143" t="s">
        <v>69</v>
      </c>
      <c r="E375" s="257">
        <v>26335200</v>
      </c>
      <c r="F375" s="257">
        <v>26335200</v>
      </c>
      <c r="G375" s="257">
        <v>26335200</v>
      </c>
      <c r="H375" s="257">
        <v>0</v>
      </c>
      <c r="I375" s="257">
        <v>0</v>
      </c>
      <c r="J375" s="252">
        <v>0</v>
      </c>
      <c r="K375" s="257">
        <v>852026.5</v>
      </c>
      <c r="L375" s="257">
        <v>852026.5</v>
      </c>
      <c r="M375" s="257">
        <v>25483173.5</v>
      </c>
      <c r="N375" s="257">
        <v>25483173.5</v>
      </c>
    </row>
    <row r="376" spans="1:14" s="143" customFormat="1" hidden="1" x14ac:dyDescent="0.25">
      <c r="A376" s="143" t="s">
        <v>711</v>
      </c>
      <c r="B376" s="143" t="s">
        <v>339</v>
      </c>
      <c r="C376" s="143" t="s">
        <v>340</v>
      </c>
      <c r="D376" s="143" t="s">
        <v>69</v>
      </c>
      <c r="E376" s="257">
        <v>26335200</v>
      </c>
      <c r="F376" s="257">
        <v>26335200</v>
      </c>
      <c r="G376" s="257">
        <v>26335200</v>
      </c>
      <c r="H376" s="257">
        <v>0</v>
      </c>
      <c r="I376" s="257">
        <v>0</v>
      </c>
      <c r="J376" s="261">
        <v>0</v>
      </c>
      <c r="K376" s="257">
        <v>852026.5</v>
      </c>
      <c r="L376" s="257">
        <v>852026.5</v>
      </c>
      <c r="M376" s="257">
        <v>25483173.5</v>
      </c>
      <c r="N376" s="257">
        <v>25483173.5</v>
      </c>
    </row>
    <row r="377" spans="1:14" s="143" customFormat="1" hidden="1" x14ac:dyDescent="0.25">
      <c r="A377" s="143" t="s">
        <v>711</v>
      </c>
      <c r="B377" s="143" t="s">
        <v>77</v>
      </c>
      <c r="C377" s="143" t="s">
        <v>78</v>
      </c>
      <c r="D377" s="143" t="s">
        <v>69</v>
      </c>
      <c r="E377" s="257">
        <v>6513497315</v>
      </c>
      <c r="F377" s="257">
        <v>6513497315</v>
      </c>
      <c r="G377" s="257">
        <v>6513497315</v>
      </c>
      <c r="H377" s="257">
        <v>0</v>
      </c>
      <c r="I377" s="257">
        <v>0</v>
      </c>
      <c r="J377" s="266">
        <v>0</v>
      </c>
      <c r="K377" s="257">
        <v>1513555155.54</v>
      </c>
      <c r="L377" s="257">
        <v>1513555155.54</v>
      </c>
      <c r="M377" s="257">
        <v>4999942159.46</v>
      </c>
      <c r="N377" s="257">
        <v>4999942159.46</v>
      </c>
    </row>
    <row r="378" spans="1:14" s="143" customFormat="1" hidden="1" x14ac:dyDescent="0.25">
      <c r="A378" s="143" t="s">
        <v>711</v>
      </c>
      <c r="B378" s="143" t="s">
        <v>79</v>
      </c>
      <c r="C378" s="143" t="s">
        <v>80</v>
      </c>
      <c r="D378" s="143" t="s">
        <v>69</v>
      </c>
      <c r="E378" s="257">
        <v>1819317700</v>
      </c>
      <c r="F378" s="257">
        <v>1819317700</v>
      </c>
      <c r="G378" s="257">
        <v>1819317700</v>
      </c>
      <c r="H378" s="257">
        <v>0</v>
      </c>
      <c r="I378" s="257">
        <v>0</v>
      </c>
      <c r="J378" s="269">
        <v>0</v>
      </c>
      <c r="K378" s="257">
        <v>258813709.09999999</v>
      </c>
      <c r="L378" s="257">
        <v>258813709.09999999</v>
      </c>
      <c r="M378" s="257">
        <v>1560503990.9000001</v>
      </c>
      <c r="N378" s="257">
        <v>1560503990.9000001</v>
      </c>
    </row>
    <row r="379" spans="1:14" s="143" customFormat="1" hidden="1" x14ac:dyDescent="0.25">
      <c r="A379" s="143" t="s">
        <v>711</v>
      </c>
      <c r="B379" s="143" t="s">
        <v>81</v>
      </c>
      <c r="C379" s="143" t="s">
        <v>82</v>
      </c>
      <c r="D379" s="143" t="s">
        <v>69</v>
      </c>
      <c r="E379" s="257">
        <v>1750176673</v>
      </c>
      <c r="F379" s="257">
        <v>1750176673</v>
      </c>
      <c r="G379" s="257">
        <v>1750176673</v>
      </c>
      <c r="H379" s="257">
        <v>0</v>
      </c>
      <c r="I379" s="257">
        <v>0</v>
      </c>
      <c r="J379" s="269">
        <v>0</v>
      </c>
      <c r="K379" s="257">
        <v>260553065.61000001</v>
      </c>
      <c r="L379" s="257">
        <v>260553065.61000001</v>
      </c>
      <c r="M379" s="257">
        <v>1489623607.3900001</v>
      </c>
      <c r="N379" s="257">
        <v>1489623607.3900001</v>
      </c>
    </row>
    <row r="380" spans="1:14" s="143" customFormat="1" hidden="1" x14ac:dyDescent="0.25">
      <c r="A380" s="143" t="s">
        <v>711</v>
      </c>
      <c r="B380" s="143" t="s">
        <v>86</v>
      </c>
      <c r="C380" s="143" t="s">
        <v>87</v>
      </c>
      <c r="D380" s="143" t="s">
        <v>69</v>
      </c>
      <c r="E380" s="257">
        <v>831593600</v>
      </c>
      <c r="F380" s="257">
        <v>831593600</v>
      </c>
      <c r="G380" s="257">
        <v>831593600</v>
      </c>
      <c r="H380" s="257">
        <v>0</v>
      </c>
      <c r="I380" s="257">
        <v>0</v>
      </c>
      <c r="J380" s="269">
        <v>0</v>
      </c>
      <c r="K380" s="257">
        <v>804786810.5</v>
      </c>
      <c r="L380" s="257">
        <v>804786810.5</v>
      </c>
      <c r="M380" s="257">
        <v>26806789.5</v>
      </c>
      <c r="N380" s="257">
        <v>26806789.5</v>
      </c>
    </row>
    <row r="381" spans="1:14" s="143" customFormat="1" hidden="1" x14ac:dyDescent="0.25">
      <c r="A381" s="143" t="s">
        <v>711</v>
      </c>
      <c r="B381" s="143" t="s">
        <v>88</v>
      </c>
      <c r="C381" s="143" t="s">
        <v>89</v>
      </c>
      <c r="D381" s="143" t="s">
        <v>69</v>
      </c>
      <c r="E381" s="257">
        <v>1207376800</v>
      </c>
      <c r="F381" s="257">
        <v>1207376800</v>
      </c>
      <c r="G381" s="257">
        <v>1207376800</v>
      </c>
      <c r="H381" s="257">
        <v>0</v>
      </c>
      <c r="I381" s="257">
        <v>0</v>
      </c>
      <c r="J381" s="269">
        <v>0</v>
      </c>
      <c r="K381" s="257">
        <v>189179926.22</v>
      </c>
      <c r="L381" s="257">
        <v>189179926.22</v>
      </c>
      <c r="M381" s="257">
        <v>1018196873.78</v>
      </c>
      <c r="N381" s="257">
        <v>1018196873.78</v>
      </c>
    </row>
    <row r="382" spans="1:14" s="143" customFormat="1" hidden="1" x14ac:dyDescent="0.25">
      <c r="A382" s="143" t="s">
        <v>711</v>
      </c>
      <c r="B382" s="143" t="s">
        <v>83</v>
      </c>
      <c r="C382" s="143" t="s">
        <v>84</v>
      </c>
      <c r="D382" s="143" t="s">
        <v>85</v>
      </c>
      <c r="E382" s="257">
        <v>905032542</v>
      </c>
      <c r="F382" s="257">
        <v>905032542</v>
      </c>
      <c r="G382" s="257">
        <v>905032542</v>
      </c>
      <c r="H382" s="257">
        <v>0</v>
      </c>
      <c r="I382" s="257">
        <v>0</v>
      </c>
      <c r="J382" s="269">
        <v>0</v>
      </c>
      <c r="K382" s="257">
        <v>221644.11</v>
      </c>
      <c r="L382" s="257">
        <v>221644.11</v>
      </c>
      <c r="M382" s="257">
        <v>904810897.88999999</v>
      </c>
      <c r="N382" s="257">
        <v>904810897.88999999</v>
      </c>
    </row>
    <row r="383" spans="1:14" s="143" customFormat="1" hidden="1" x14ac:dyDescent="0.25">
      <c r="A383" s="143" t="s">
        <v>711</v>
      </c>
      <c r="B383" s="143" t="s">
        <v>90</v>
      </c>
      <c r="C383" s="143" t="s">
        <v>91</v>
      </c>
      <c r="D383" s="143" t="s">
        <v>69</v>
      </c>
      <c r="E383" s="257">
        <v>1059311707</v>
      </c>
      <c r="F383" s="257">
        <v>1059311707</v>
      </c>
      <c r="G383" s="257">
        <v>1059311707</v>
      </c>
      <c r="H383" s="257">
        <v>0</v>
      </c>
      <c r="I383" s="257">
        <v>914226044</v>
      </c>
      <c r="J383" s="269">
        <v>0</v>
      </c>
      <c r="K383" s="257">
        <v>145085663</v>
      </c>
      <c r="L383" s="257">
        <v>145085663</v>
      </c>
      <c r="M383" s="257">
        <v>0</v>
      </c>
      <c r="N383" s="257">
        <v>0</v>
      </c>
    </row>
    <row r="384" spans="1:14" s="143" customFormat="1" hidden="1" x14ac:dyDescent="0.25">
      <c r="A384" s="143" t="s">
        <v>711</v>
      </c>
      <c r="B384" s="143" t="s">
        <v>421</v>
      </c>
      <c r="C384" s="143" t="s">
        <v>697</v>
      </c>
      <c r="D384" s="143" t="s">
        <v>69</v>
      </c>
      <c r="E384" s="257">
        <v>1004988079</v>
      </c>
      <c r="F384" s="257">
        <v>1004988079</v>
      </c>
      <c r="G384" s="257">
        <v>1004988079</v>
      </c>
      <c r="H384" s="257">
        <v>0</v>
      </c>
      <c r="I384" s="257">
        <v>867342706</v>
      </c>
      <c r="J384" s="269">
        <v>0</v>
      </c>
      <c r="K384" s="257">
        <v>137645373</v>
      </c>
      <c r="L384" s="257">
        <v>137645373</v>
      </c>
      <c r="M384" s="257">
        <v>0</v>
      </c>
      <c r="N384" s="257">
        <v>0</v>
      </c>
    </row>
    <row r="385" spans="1:14" s="143" customFormat="1" hidden="1" x14ac:dyDescent="0.25">
      <c r="A385" s="143" t="s">
        <v>711</v>
      </c>
      <c r="B385" s="143" t="s">
        <v>438</v>
      </c>
      <c r="C385" s="143" t="s">
        <v>95</v>
      </c>
      <c r="D385" s="143" t="s">
        <v>69</v>
      </c>
      <c r="E385" s="257">
        <v>54323628</v>
      </c>
      <c r="F385" s="257">
        <v>54323628</v>
      </c>
      <c r="G385" s="257">
        <v>54323628</v>
      </c>
      <c r="H385" s="257">
        <v>0</v>
      </c>
      <c r="I385" s="257">
        <v>46883338</v>
      </c>
      <c r="J385" s="269">
        <v>0</v>
      </c>
      <c r="K385" s="257">
        <v>7440290</v>
      </c>
      <c r="L385" s="257">
        <v>7440290</v>
      </c>
      <c r="M385" s="257">
        <v>0</v>
      </c>
      <c r="N385" s="257">
        <v>0</v>
      </c>
    </row>
    <row r="386" spans="1:14" s="143" customFormat="1" hidden="1" x14ac:dyDescent="0.25">
      <c r="A386" s="143" t="s">
        <v>711</v>
      </c>
      <c r="B386" s="143" t="s">
        <v>96</v>
      </c>
      <c r="C386" s="143" t="s">
        <v>97</v>
      </c>
      <c r="D386" s="143" t="s">
        <v>69</v>
      </c>
      <c r="E386" s="257">
        <v>1059311706</v>
      </c>
      <c r="F386" s="257">
        <v>1059311706</v>
      </c>
      <c r="G386" s="257">
        <v>1059311706</v>
      </c>
      <c r="H386" s="257">
        <v>0</v>
      </c>
      <c r="I386" s="257">
        <v>915476054</v>
      </c>
      <c r="J386" s="269">
        <v>0</v>
      </c>
      <c r="K386" s="257">
        <v>143835652</v>
      </c>
      <c r="L386" s="257">
        <v>143835652</v>
      </c>
      <c r="M386" s="257">
        <v>0</v>
      </c>
      <c r="N386" s="257">
        <v>0</v>
      </c>
    </row>
    <row r="387" spans="1:14" s="143" customFormat="1" hidden="1" x14ac:dyDescent="0.25">
      <c r="A387" s="143" t="s">
        <v>711</v>
      </c>
      <c r="B387" s="143" t="s">
        <v>456</v>
      </c>
      <c r="C387" s="143" t="s">
        <v>698</v>
      </c>
      <c r="D387" s="143" t="s">
        <v>69</v>
      </c>
      <c r="E387" s="257">
        <v>570398650</v>
      </c>
      <c r="F387" s="257">
        <v>570398650</v>
      </c>
      <c r="G387" s="257">
        <v>570398650</v>
      </c>
      <c r="H387" s="257">
        <v>0</v>
      </c>
      <c r="I387" s="257">
        <v>493525612</v>
      </c>
      <c r="J387" s="269">
        <v>0</v>
      </c>
      <c r="K387" s="257">
        <v>76873038</v>
      </c>
      <c r="L387" s="257">
        <v>76873038</v>
      </c>
      <c r="M387" s="257">
        <v>0</v>
      </c>
      <c r="N387" s="257">
        <v>0</v>
      </c>
    </row>
    <row r="388" spans="1:14" s="143" customFormat="1" hidden="1" x14ac:dyDescent="0.25">
      <c r="A388" s="143" t="s">
        <v>711</v>
      </c>
      <c r="B388" s="143" t="s">
        <v>473</v>
      </c>
      <c r="C388" s="143" t="s">
        <v>699</v>
      </c>
      <c r="D388" s="143" t="s">
        <v>69</v>
      </c>
      <c r="E388" s="257">
        <v>162970985</v>
      </c>
      <c r="F388" s="257">
        <v>162970985</v>
      </c>
      <c r="G388" s="257">
        <v>162970985</v>
      </c>
      <c r="H388" s="257">
        <v>0</v>
      </c>
      <c r="I388" s="257">
        <v>140650114</v>
      </c>
      <c r="J388" s="269">
        <v>0</v>
      </c>
      <c r="K388" s="257">
        <v>22320871</v>
      </c>
      <c r="L388" s="257">
        <v>22320871</v>
      </c>
      <c r="M388" s="257">
        <v>0</v>
      </c>
      <c r="N388" s="257">
        <v>0</v>
      </c>
    </row>
    <row r="389" spans="1:14" s="143" customFormat="1" hidden="1" x14ac:dyDescent="0.25">
      <c r="A389" s="143" t="s">
        <v>711</v>
      </c>
      <c r="B389" s="143" t="s">
        <v>490</v>
      </c>
      <c r="C389" s="143" t="s">
        <v>700</v>
      </c>
      <c r="D389" s="143" t="s">
        <v>69</v>
      </c>
      <c r="E389" s="257">
        <v>325942071</v>
      </c>
      <c r="F389" s="257">
        <v>325942071</v>
      </c>
      <c r="G389" s="257">
        <v>325942071</v>
      </c>
      <c r="H389" s="257">
        <v>0</v>
      </c>
      <c r="I389" s="257">
        <v>281300328</v>
      </c>
      <c r="J389" s="269">
        <v>0</v>
      </c>
      <c r="K389" s="257">
        <v>44641743</v>
      </c>
      <c r="L389" s="257">
        <v>44641743</v>
      </c>
      <c r="M389" s="257">
        <v>0</v>
      </c>
      <c r="N389" s="257">
        <v>0</v>
      </c>
    </row>
    <row r="390" spans="1:14" s="143" customFormat="1" hidden="1" x14ac:dyDescent="0.25">
      <c r="A390" s="143" t="s">
        <v>711</v>
      </c>
      <c r="B390" s="143" t="s">
        <v>104</v>
      </c>
      <c r="C390" s="143" t="s">
        <v>105</v>
      </c>
      <c r="D390" s="143" t="s">
        <v>69</v>
      </c>
      <c r="E390" s="257">
        <v>3955829992</v>
      </c>
      <c r="F390" s="257">
        <v>3955829992</v>
      </c>
      <c r="G390" s="257">
        <v>1073557498</v>
      </c>
      <c r="H390" s="257">
        <v>0</v>
      </c>
      <c r="I390" s="257">
        <v>839460830.75999999</v>
      </c>
      <c r="J390" s="269">
        <v>0</v>
      </c>
      <c r="K390" s="257">
        <v>100208921.47</v>
      </c>
      <c r="L390" s="257">
        <v>92983687.790000007</v>
      </c>
      <c r="M390" s="257">
        <v>3016160239.77</v>
      </c>
      <c r="N390" s="257">
        <v>133887745.77</v>
      </c>
    </row>
    <row r="391" spans="1:14" s="143" customFormat="1" hidden="1" x14ac:dyDescent="0.25">
      <c r="A391" s="143" t="s">
        <v>711</v>
      </c>
      <c r="B391" s="143" t="s">
        <v>112</v>
      </c>
      <c r="C391" s="143" t="s">
        <v>113</v>
      </c>
      <c r="D391" s="143" t="s">
        <v>69</v>
      </c>
      <c r="E391" s="257">
        <v>3954369992</v>
      </c>
      <c r="F391" s="257">
        <v>3954369992</v>
      </c>
      <c r="G391" s="257">
        <v>1072097498</v>
      </c>
      <c r="H391" s="257">
        <v>0</v>
      </c>
      <c r="I391" s="257">
        <v>839460830.75999999</v>
      </c>
      <c r="J391">
        <v>0</v>
      </c>
      <c r="K391" s="257">
        <v>100208921.47</v>
      </c>
      <c r="L391" s="257">
        <v>92983687.790000007</v>
      </c>
      <c r="M391" s="257">
        <v>3014700239.77</v>
      </c>
      <c r="N391" s="257">
        <v>132427745.77</v>
      </c>
    </row>
    <row r="392" spans="1:14" s="143" customFormat="1" hidden="1" x14ac:dyDescent="0.25">
      <c r="A392" s="143" t="s">
        <v>711</v>
      </c>
      <c r="B392" s="143" t="s">
        <v>114</v>
      </c>
      <c r="C392" s="143" t="s">
        <v>115</v>
      </c>
      <c r="D392" s="143" t="s">
        <v>69</v>
      </c>
      <c r="E392" s="257">
        <v>2664489000</v>
      </c>
      <c r="F392" s="257">
        <v>2664489000</v>
      </c>
      <c r="G392" s="257">
        <v>665027250</v>
      </c>
      <c r="H392" s="257">
        <v>0</v>
      </c>
      <c r="I392" s="257">
        <v>569802333.91999996</v>
      </c>
      <c r="J392" s="252">
        <v>0</v>
      </c>
      <c r="K392" s="257">
        <v>95224916.079999998</v>
      </c>
      <c r="L392" s="257">
        <v>88014506.939999998</v>
      </c>
      <c r="M392" s="257">
        <v>1999461750</v>
      </c>
      <c r="N392" s="257">
        <v>0</v>
      </c>
    </row>
    <row r="393" spans="1:14" s="143" customFormat="1" hidden="1" x14ac:dyDescent="0.25">
      <c r="A393" s="143" t="s">
        <v>711</v>
      </c>
      <c r="B393" s="143" t="s">
        <v>116</v>
      </c>
      <c r="C393" s="143" t="s">
        <v>117</v>
      </c>
      <c r="D393" s="143" t="s">
        <v>69</v>
      </c>
      <c r="E393" s="257">
        <v>1052390992</v>
      </c>
      <c r="F393" s="257">
        <v>1052390992</v>
      </c>
      <c r="G393" s="257">
        <v>263097748</v>
      </c>
      <c r="H393" s="257">
        <v>0</v>
      </c>
      <c r="I393" s="257">
        <v>258128567.15000001</v>
      </c>
      <c r="J393" s="261">
        <v>0</v>
      </c>
      <c r="K393" s="257">
        <v>4969180.8499999996</v>
      </c>
      <c r="L393" s="257">
        <v>4969180.8499999996</v>
      </c>
      <c r="M393" s="257">
        <v>789293244</v>
      </c>
      <c r="N393" s="257">
        <v>0</v>
      </c>
    </row>
    <row r="394" spans="1:14" s="143" customFormat="1" hidden="1" x14ac:dyDescent="0.25">
      <c r="A394" s="143" t="s">
        <v>711</v>
      </c>
      <c r="B394" s="143" t="s">
        <v>120</v>
      </c>
      <c r="C394" s="143" t="s">
        <v>121</v>
      </c>
      <c r="D394" s="143" t="s">
        <v>69</v>
      </c>
      <c r="E394" s="257">
        <v>124690000</v>
      </c>
      <c r="F394" s="257">
        <v>124690000</v>
      </c>
      <c r="G394" s="257">
        <v>31172500</v>
      </c>
      <c r="H394" s="257">
        <v>0</v>
      </c>
      <c r="I394" s="257">
        <v>0</v>
      </c>
      <c r="J394" s="266">
        <v>0</v>
      </c>
      <c r="K394" s="257">
        <v>0</v>
      </c>
      <c r="L394" s="257">
        <v>0</v>
      </c>
      <c r="M394" s="257">
        <v>124690000</v>
      </c>
      <c r="N394" s="257">
        <v>31172500</v>
      </c>
    </row>
    <row r="395" spans="1:14" s="143" customFormat="1" hidden="1" x14ac:dyDescent="0.25">
      <c r="A395" s="143" t="s">
        <v>711</v>
      </c>
      <c r="B395" s="143" t="s">
        <v>122</v>
      </c>
      <c r="C395" s="143" t="s">
        <v>123</v>
      </c>
      <c r="D395" s="143" t="s">
        <v>69</v>
      </c>
      <c r="E395" s="257">
        <v>112800000</v>
      </c>
      <c r="F395" s="257">
        <v>112800000</v>
      </c>
      <c r="G395" s="257">
        <v>112800000</v>
      </c>
      <c r="H395" s="257">
        <v>0</v>
      </c>
      <c r="I395" s="257">
        <v>11529929.689999999</v>
      </c>
      <c r="J395" s="269">
        <v>0</v>
      </c>
      <c r="K395" s="257">
        <v>14824.54</v>
      </c>
      <c r="L395" s="257">
        <v>0</v>
      </c>
      <c r="M395" s="257">
        <v>101255245.77</v>
      </c>
      <c r="N395" s="257">
        <v>101255245.77</v>
      </c>
    </row>
    <row r="396" spans="1:14" s="143" customFormat="1" hidden="1" x14ac:dyDescent="0.25">
      <c r="A396" s="143" t="s">
        <v>711</v>
      </c>
      <c r="B396" s="143" t="s">
        <v>134</v>
      </c>
      <c r="C396" s="143" t="s">
        <v>135</v>
      </c>
      <c r="D396" s="143" t="s">
        <v>69</v>
      </c>
      <c r="E396" s="257">
        <v>340000</v>
      </c>
      <c r="F396" s="257">
        <v>340000</v>
      </c>
      <c r="G396" s="257">
        <v>340000</v>
      </c>
      <c r="H396" s="257">
        <v>0</v>
      </c>
      <c r="I396" s="257">
        <v>0</v>
      </c>
      <c r="J396" s="269">
        <v>0</v>
      </c>
      <c r="K396" s="257">
        <v>0</v>
      </c>
      <c r="L396" s="257">
        <v>0</v>
      </c>
      <c r="M396" s="257">
        <v>340000</v>
      </c>
      <c r="N396" s="257">
        <v>340000</v>
      </c>
    </row>
    <row r="397" spans="1:14" s="143" customFormat="1" hidden="1" x14ac:dyDescent="0.25">
      <c r="A397" s="143" t="s">
        <v>711</v>
      </c>
      <c r="B397" s="143" t="s">
        <v>346</v>
      </c>
      <c r="C397" s="143" t="s">
        <v>347</v>
      </c>
      <c r="D397" s="143" t="s">
        <v>69</v>
      </c>
      <c r="E397" s="257">
        <v>180000</v>
      </c>
      <c r="F397" s="257">
        <v>180000</v>
      </c>
      <c r="G397" s="257">
        <v>180000</v>
      </c>
      <c r="H397" s="257">
        <v>0</v>
      </c>
      <c r="I397" s="257">
        <v>0</v>
      </c>
      <c r="J397" s="269">
        <v>0</v>
      </c>
      <c r="K397" s="257">
        <v>0</v>
      </c>
      <c r="L397" s="257">
        <v>0</v>
      </c>
      <c r="M397" s="257">
        <v>180000</v>
      </c>
      <c r="N397" s="257">
        <v>180000</v>
      </c>
    </row>
    <row r="398" spans="1:14" s="143" customFormat="1" hidden="1" x14ac:dyDescent="0.25">
      <c r="A398" s="143" t="s">
        <v>711</v>
      </c>
      <c r="B398" s="143" t="s">
        <v>138</v>
      </c>
      <c r="C398" s="143" t="s">
        <v>139</v>
      </c>
      <c r="D398" s="143" t="s">
        <v>69</v>
      </c>
      <c r="E398" s="257">
        <v>160000</v>
      </c>
      <c r="F398" s="257">
        <v>160000</v>
      </c>
      <c r="G398" s="257">
        <v>160000</v>
      </c>
      <c r="H398" s="257">
        <v>0</v>
      </c>
      <c r="I398" s="257">
        <v>0</v>
      </c>
      <c r="J398" s="269">
        <v>0</v>
      </c>
      <c r="K398" s="257">
        <v>0</v>
      </c>
      <c r="L398" s="257">
        <v>0</v>
      </c>
      <c r="M398" s="257">
        <v>160000</v>
      </c>
      <c r="N398" s="257">
        <v>160000</v>
      </c>
    </row>
    <row r="399" spans="1:14" s="143" customFormat="1" hidden="1" x14ac:dyDescent="0.25">
      <c r="A399" s="143" t="s">
        <v>711</v>
      </c>
      <c r="B399" s="143" t="s">
        <v>162</v>
      </c>
      <c r="C399" s="143" t="s">
        <v>163</v>
      </c>
      <c r="D399" s="143" t="s">
        <v>69</v>
      </c>
      <c r="E399" s="257">
        <v>1120000</v>
      </c>
      <c r="F399" s="257">
        <v>1120000</v>
      </c>
      <c r="G399" s="257">
        <v>1120000</v>
      </c>
      <c r="H399" s="257">
        <v>0</v>
      </c>
      <c r="I399" s="257">
        <v>0</v>
      </c>
      <c r="J399" s="269">
        <v>0</v>
      </c>
      <c r="K399" s="257">
        <v>0</v>
      </c>
      <c r="L399" s="257">
        <v>0</v>
      </c>
      <c r="M399" s="257">
        <v>1120000</v>
      </c>
      <c r="N399" s="257">
        <v>1120000</v>
      </c>
    </row>
    <row r="400" spans="1:14" s="143" customFormat="1" hidden="1" x14ac:dyDescent="0.25">
      <c r="A400" s="143" t="s">
        <v>711</v>
      </c>
      <c r="B400" s="143" t="s">
        <v>164</v>
      </c>
      <c r="C400" s="143" t="s">
        <v>165</v>
      </c>
      <c r="D400" s="143" t="s">
        <v>69</v>
      </c>
      <c r="E400" s="257">
        <v>800000</v>
      </c>
      <c r="F400" s="257">
        <v>800000</v>
      </c>
      <c r="G400" s="257">
        <v>800000</v>
      </c>
      <c r="H400" s="257">
        <v>0</v>
      </c>
      <c r="I400" s="257">
        <v>0</v>
      </c>
      <c r="J400" s="269">
        <v>0</v>
      </c>
      <c r="K400" s="257">
        <v>0</v>
      </c>
      <c r="L400" s="257">
        <v>0</v>
      </c>
      <c r="M400" s="257">
        <v>800000</v>
      </c>
      <c r="N400" s="257">
        <v>800000</v>
      </c>
    </row>
    <row r="401" spans="1:14" s="143" customFormat="1" hidden="1" x14ac:dyDescent="0.25">
      <c r="A401" s="143" t="s">
        <v>711</v>
      </c>
      <c r="B401" s="143" t="s">
        <v>172</v>
      </c>
      <c r="C401" s="143" t="s">
        <v>173</v>
      </c>
      <c r="D401" s="143" t="s">
        <v>69</v>
      </c>
      <c r="E401" s="257">
        <v>320000</v>
      </c>
      <c r="F401" s="257">
        <v>320000</v>
      </c>
      <c r="G401" s="257">
        <v>320000</v>
      </c>
      <c r="H401" s="257">
        <v>0</v>
      </c>
      <c r="I401" s="257">
        <v>0</v>
      </c>
      <c r="J401" s="269">
        <v>0</v>
      </c>
      <c r="K401" s="257">
        <v>0</v>
      </c>
      <c r="L401" s="257">
        <v>0</v>
      </c>
      <c r="M401" s="257">
        <v>320000</v>
      </c>
      <c r="N401" s="257">
        <v>320000</v>
      </c>
    </row>
    <row r="402" spans="1:14" s="143" customFormat="1" hidden="1" x14ac:dyDescent="0.25">
      <c r="A402" s="143" t="s">
        <v>711</v>
      </c>
      <c r="B402" s="143" t="s">
        <v>184</v>
      </c>
      <c r="C402" s="143" t="s">
        <v>185</v>
      </c>
      <c r="D402" s="143" t="s">
        <v>69</v>
      </c>
      <c r="E402" s="257">
        <v>9762991308</v>
      </c>
      <c r="F402" s="257">
        <v>9762991308</v>
      </c>
      <c r="G402" s="257">
        <v>2414339143</v>
      </c>
      <c r="H402" s="257">
        <v>0</v>
      </c>
      <c r="I402" s="257">
        <v>819705195.60000002</v>
      </c>
      <c r="J402" s="269">
        <v>0</v>
      </c>
      <c r="K402" s="257">
        <v>6345235</v>
      </c>
      <c r="L402" s="257">
        <v>0</v>
      </c>
      <c r="M402" s="257">
        <v>8936940877.3999996</v>
      </c>
      <c r="N402" s="257">
        <v>1588288712.4000001</v>
      </c>
    </row>
    <row r="403" spans="1:14" s="143" customFormat="1" hidden="1" x14ac:dyDescent="0.25">
      <c r="A403" s="143" t="s">
        <v>711</v>
      </c>
      <c r="B403" s="143" t="s">
        <v>186</v>
      </c>
      <c r="C403" s="143" t="s">
        <v>187</v>
      </c>
      <c r="D403" s="143" t="s">
        <v>69</v>
      </c>
      <c r="E403" s="257">
        <v>20114885</v>
      </c>
      <c r="F403" s="257">
        <v>20114885</v>
      </c>
      <c r="G403" s="257">
        <v>15073815</v>
      </c>
      <c r="H403" s="257">
        <v>0</v>
      </c>
      <c r="I403" s="257">
        <v>0</v>
      </c>
      <c r="J403" s="269">
        <v>0</v>
      </c>
      <c r="K403" s="257">
        <v>0</v>
      </c>
      <c r="L403" s="257">
        <v>0</v>
      </c>
      <c r="M403" s="257">
        <v>20114885</v>
      </c>
      <c r="N403" s="257">
        <v>15073815</v>
      </c>
    </row>
    <row r="404" spans="1:14" s="143" customFormat="1" hidden="1" x14ac:dyDescent="0.25">
      <c r="A404" s="143" t="s">
        <v>711</v>
      </c>
      <c r="B404" s="143" t="s">
        <v>188</v>
      </c>
      <c r="C404" s="143" t="s">
        <v>189</v>
      </c>
      <c r="D404" s="143" t="s">
        <v>69</v>
      </c>
      <c r="E404" s="257">
        <v>4558400</v>
      </c>
      <c r="F404" s="257">
        <v>4558400</v>
      </c>
      <c r="G404" s="257">
        <v>1139600</v>
      </c>
      <c r="H404" s="257">
        <v>0</v>
      </c>
      <c r="I404" s="257">
        <v>0</v>
      </c>
      <c r="J404" s="269">
        <v>0</v>
      </c>
      <c r="K404" s="257">
        <v>0</v>
      </c>
      <c r="L404" s="257">
        <v>0</v>
      </c>
      <c r="M404" s="257">
        <v>4558400</v>
      </c>
      <c r="N404" s="257">
        <v>1139600</v>
      </c>
    </row>
    <row r="405" spans="1:14" s="143" customFormat="1" hidden="1" x14ac:dyDescent="0.25">
      <c r="A405" s="143" t="s">
        <v>711</v>
      </c>
      <c r="B405" s="143" t="s">
        <v>190</v>
      </c>
      <c r="C405" s="143" t="s">
        <v>191</v>
      </c>
      <c r="D405" s="143" t="s">
        <v>69</v>
      </c>
      <c r="E405" s="257">
        <v>1998283</v>
      </c>
      <c r="F405" s="257">
        <v>1998283</v>
      </c>
      <c r="G405" s="257">
        <v>1998283</v>
      </c>
      <c r="H405" s="257">
        <v>0</v>
      </c>
      <c r="I405" s="257">
        <v>0</v>
      </c>
      <c r="J405" s="269">
        <v>0</v>
      </c>
      <c r="K405" s="257">
        <v>0</v>
      </c>
      <c r="L405" s="257">
        <v>0</v>
      </c>
      <c r="M405" s="257">
        <v>1998283</v>
      </c>
      <c r="N405" s="257">
        <v>1998283</v>
      </c>
    </row>
    <row r="406" spans="1:14" s="143" customFormat="1" hidden="1" x14ac:dyDescent="0.25">
      <c r="A406" s="143" t="s">
        <v>711</v>
      </c>
      <c r="B406" s="143" t="s">
        <v>350</v>
      </c>
      <c r="C406" s="143" t="s">
        <v>351</v>
      </c>
      <c r="D406" s="143" t="s">
        <v>69</v>
      </c>
      <c r="E406" s="257">
        <v>1432676</v>
      </c>
      <c r="F406" s="257">
        <v>1432676</v>
      </c>
      <c r="G406" s="257">
        <v>1432676</v>
      </c>
      <c r="H406" s="257">
        <v>0</v>
      </c>
      <c r="I406" s="257">
        <v>0</v>
      </c>
      <c r="J406" s="269">
        <v>0</v>
      </c>
      <c r="K406" s="257">
        <v>0</v>
      </c>
      <c r="L406" s="257">
        <v>0</v>
      </c>
      <c r="M406" s="257">
        <v>1432676</v>
      </c>
      <c r="N406" s="257">
        <v>1432676</v>
      </c>
    </row>
    <row r="407" spans="1:14" s="143" customFormat="1" hidden="1" x14ac:dyDescent="0.25">
      <c r="A407" s="143" t="s">
        <v>711</v>
      </c>
      <c r="B407" s="143" t="s">
        <v>194</v>
      </c>
      <c r="C407" s="143" t="s">
        <v>195</v>
      </c>
      <c r="D407" s="143" t="s">
        <v>69</v>
      </c>
      <c r="E407" s="257">
        <v>12125526</v>
      </c>
      <c r="F407" s="257">
        <v>12125526</v>
      </c>
      <c r="G407" s="257">
        <v>10503256</v>
      </c>
      <c r="H407" s="257">
        <v>0</v>
      </c>
      <c r="I407" s="257">
        <v>0</v>
      </c>
      <c r="J407" s="269">
        <v>0</v>
      </c>
      <c r="K407" s="257">
        <v>0</v>
      </c>
      <c r="L407" s="257">
        <v>0</v>
      </c>
      <c r="M407" s="257">
        <v>12125526</v>
      </c>
      <c r="N407" s="257">
        <v>10503256</v>
      </c>
    </row>
    <row r="408" spans="1:14" s="143" customFormat="1" hidden="1" x14ac:dyDescent="0.25">
      <c r="A408" s="143" t="s">
        <v>711</v>
      </c>
      <c r="B408" s="143" t="s">
        <v>196</v>
      </c>
      <c r="C408" s="143" t="s">
        <v>197</v>
      </c>
      <c r="D408" s="143" t="s">
        <v>69</v>
      </c>
      <c r="E408" s="257">
        <v>9704809902</v>
      </c>
      <c r="F408" s="257">
        <v>9704809902</v>
      </c>
      <c r="G408" s="257">
        <v>2361198807</v>
      </c>
      <c r="H408" s="257">
        <v>0</v>
      </c>
      <c r="I408" s="257">
        <v>819705195.60000002</v>
      </c>
      <c r="J408">
        <v>0</v>
      </c>
      <c r="K408" s="257">
        <v>6345235</v>
      </c>
      <c r="L408" s="257">
        <v>0</v>
      </c>
      <c r="M408" s="257">
        <v>8878759471.3999996</v>
      </c>
      <c r="N408" s="257">
        <v>1535148376.4000001</v>
      </c>
    </row>
    <row r="409" spans="1:14" s="143" customFormat="1" hidden="1" x14ac:dyDescent="0.25">
      <c r="A409" s="143" t="s">
        <v>711</v>
      </c>
      <c r="B409" s="143" t="s">
        <v>579</v>
      </c>
      <c r="C409" s="143" t="s">
        <v>580</v>
      </c>
      <c r="D409" s="143" t="s">
        <v>69</v>
      </c>
      <c r="E409" s="257">
        <v>3494885</v>
      </c>
      <c r="F409" s="257">
        <v>3494885</v>
      </c>
      <c r="G409" s="257">
        <v>3494885</v>
      </c>
      <c r="H409" s="257">
        <v>0</v>
      </c>
      <c r="I409" s="257">
        <v>0</v>
      </c>
      <c r="J409" s="252">
        <v>0</v>
      </c>
      <c r="K409" s="257">
        <v>0</v>
      </c>
      <c r="L409" s="257">
        <v>0</v>
      </c>
      <c r="M409" s="257">
        <v>3494885</v>
      </c>
      <c r="N409" s="257">
        <v>3494885</v>
      </c>
    </row>
    <row r="410" spans="1:14" s="143" customFormat="1" hidden="1" x14ac:dyDescent="0.25">
      <c r="A410" s="143" t="s">
        <v>711</v>
      </c>
      <c r="B410" s="143" t="s">
        <v>198</v>
      </c>
      <c r="C410" s="143" t="s">
        <v>199</v>
      </c>
      <c r="D410" s="143" t="s">
        <v>69</v>
      </c>
      <c r="E410" s="257">
        <v>9654391017</v>
      </c>
      <c r="F410" s="257">
        <v>9654391017</v>
      </c>
      <c r="G410" s="257">
        <v>2348594086</v>
      </c>
      <c r="H410" s="257">
        <v>0</v>
      </c>
      <c r="I410" s="257">
        <v>819705195.60000002</v>
      </c>
      <c r="J410" s="261">
        <v>0</v>
      </c>
      <c r="K410" s="257">
        <v>6345235</v>
      </c>
      <c r="L410" s="257">
        <v>0</v>
      </c>
      <c r="M410" s="257">
        <v>8828340586.3999996</v>
      </c>
      <c r="N410" s="257">
        <v>1522543655.4000001</v>
      </c>
    </row>
    <row r="411" spans="1:14" s="143" customFormat="1" hidden="1" x14ac:dyDescent="0.25">
      <c r="A411" s="143" t="s">
        <v>711</v>
      </c>
      <c r="B411" s="143" t="s">
        <v>352</v>
      </c>
      <c r="C411" s="143" t="s">
        <v>353</v>
      </c>
      <c r="D411" s="143" t="s">
        <v>69</v>
      </c>
      <c r="E411" s="257">
        <v>46924000</v>
      </c>
      <c r="F411" s="257">
        <v>46924000</v>
      </c>
      <c r="G411" s="257">
        <v>9109836</v>
      </c>
      <c r="H411" s="257">
        <v>0</v>
      </c>
      <c r="I411" s="257">
        <v>0</v>
      </c>
      <c r="J411" s="266">
        <v>0</v>
      </c>
      <c r="K411" s="257">
        <v>0</v>
      </c>
      <c r="L411" s="257">
        <v>0</v>
      </c>
      <c r="M411" s="257">
        <v>46924000</v>
      </c>
      <c r="N411" s="257">
        <v>9109836</v>
      </c>
    </row>
    <row r="412" spans="1:14" s="143" customFormat="1" hidden="1" x14ac:dyDescent="0.25">
      <c r="A412" s="143" t="s">
        <v>711</v>
      </c>
      <c r="B412" s="143" t="s">
        <v>200</v>
      </c>
      <c r="C412" s="143" t="s">
        <v>201</v>
      </c>
      <c r="D412" s="143" t="s">
        <v>69</v>
      </c>
      <c r="E412" s="257">
        <v>9701312</v>
      </c>
      <c r="F412" s="257">
        <v>9701312</v>
      </c>
      <c r="G412" s="257">
        <v>9701312</v>
      </c>
      <c r="H412" s="257">
        <v>0</v>
      </c>
      <c r="I412" s="257">
        <v>0</v>
      </c>
      <c r="J412" s="269">
        <v>0</v>
      </c>
      <c r="K412" s="257">
        <v>0</v>
      </c>
      <c r="L412" s="257">
        <v>0</v>
      </c>
      <c r="M412" s="257">
        <v>9701312</v>
      </c>
      <c r="N412" s="257">
        <v>9701312</v>
      </c>
    </row>
    <row r="413" spans="1:14" s="143" customFormat="1" hidden="1" x14ac:dyDescent="0.25">
      <c r="A413" s="143" t="s">
        <v>711</v>
      </c>
      <c r="B413" s="143" t="s">
        <v>314</v>
      </c>
      <c r="C413" s="143" t="s">
        <v>315</v>
      </c>
      <c r="D413" s="143" t="s">
        <v>69</v>
      </c>
      <c r="E413" s="257">
        <v>3440012</v>
      </c>
      <c r="F413" s="257">
        <v>3440012</v>
      </c>
      <c r="G413" s="257">
        <v>3440012</v>
      </c>
      <c r="H413" s="257">
        <v>0</v>
      </c>
      <c r="I413" s="257">
        <v>0</v>
      </c>
      <c r="J413" s="269">
        <v>0</v>
      </c>
      <c r="K413" s="257">
        <v>0</v>
      </c>
      <c r="L413" s="257">
        <v>0</v>
      </c>
      <c r="M413" s="257">
        <v>3440012</v>
      </c>
      <c r="N413" s="257">
        <v>3440012</v>
      </c>
    </row>
    <row r="414" spans="1:14" s="143" customFormat="1" hidden="1" x14ac:dyDescent="0.25">
      <c r="A414" s="143" t="s">
        <v>711</v>
      </c>
      <c r="B414" s="143" t="s">
        <v>316</v>
      </c>
      <c r="C414" s="143" t="s">
        <v>317</v>
      </c>
      <c r="D414" s="143" t="s">
        <v>69</v>
      </c>
      <c r="E414" s="257">
        <v>678950</v>
      </c>
      <c r="F414" s="257">
        <v>678950</v>
      </c>
      <c r="G414" s="257">
        <v>678950</v>
      </c>
      <c r="H414" s="257">
        <v>0</v>
      </c>
      <c r="I414" s="257">
        <v>0</v>
      </c>
      <c r="J414" s="269">
        <v>0</v>
      </c>
      <c r="K414" s="257">
        <v>0</v>
      </c>
      <c r="L414" s="257">
        <v>0</v>
      </c>
      <c r="M414" s="257">
        <v>678950</v>
      </c>
      <c r="N414" s="257">
        <v>678950</v>
      </c>
    </row>
    <row r="415" spans="1:14" s="143" customFormat="1" hidden="1" x14ac:dyDescent="0.25">
      <c r="A415" s="143" t="s">
        <v>711</v>
      </c>
      <c r="B415" s="143" t="s">
        <v>318</v>
      </c>
      <c r="C415" s="143" t="s">
        <v>319</v>
      </c>
      <c r="D415" s="143" t="s">
        <v>69</v>
      </c>
      <c r="E415" s="257">
        <v>648835</v>
      </c>
      <c r="F415" s="257">
        <v>648835</v>
      </c>
      <c r="G415" s="257">
        <v>648835</v>
      </c>
      <c r="H415" s="257">
        <v>0</v>
      </c>
      <c r="I415" s="257">
        <v>0</v>
      </c>
      <c r="J415" s="269">
        <v>0</v>
      </c>
      <c r="K415" s="257">
        <v>0</v>
      </c>
      <c r="L415" s="257">
        <v>0</v>
      </c>
      <c r="M415" s="257">
        <v>648835</v>
      </c>
      <c r="N415" s="257">
        <v>648835</v>
      </c>
    </row>
    <row r="416" spans="1:14" s="143" customFormat="1" hidden="1" x14ac:dyDescent="0.25">
      <c r="A416" s="143" t="s">
        <v>711</v>
      </c>
      <c r="B416" s="143" t="s">
        <v>202</v>
      </c>
      <c r="C416" s="143" t="s">
        <v>203</v>
      </c>
      <c r="D416" s="143" t="s">
        <v>69</v>
      </c>
      <c r="E416" s="257">
        <v>274510</v>
      </c>
      <c r="F416" s="257">
        <v>274510</v>
      </c>
      <c r="G416" s="257">
        <v>274510</v>
      </c>
      <c r="H416" s="257">
        <v>0</v>
      </c>
      <c r="I416" s="257">
        <v>0</v>
      </c>
      <c r="J416" s="269">
        <v>0</v>
      </c>
      <c r="K416" s="257">
        <v>0</v>
      </c>
      <c r="L416" s="257">
        <v>0</v>
      </c>
      <c r="M416" s="257">
        <v>274510</v>
      </c>
      <c r="N416" s="257">
        <v>274510</v>
      </c>
    </row>
    <row r="417" spans="1:14" s="143" customFormat="1" hidden="1" x14ac:dyDescent="0.25">
      <c r="A417" s="143" t="s">
        <v>711</v>
      </c>
      <c r="B417" s="143" t="s">
        <v>204</v>
      </c>
      <c r="C417" s="143" t="s">
        <v>205</v>
      </c>
      <c r="D417" s="143" t="s">
        <v>69</v>
      </c>
      <c r="E417" s="257">
        <v>4524220</v>
      </c>
      <c r="F417" s="257">
        <v>4524220</v>
      </c>
      <c r="G417" s="257">
        <v>4524220</v>
      </c>
      <c r="H417" s="257">
        <v>0</v>
      </c>
      <c r="I417" s="257">
        <v>0</v>
      </c>
      <c r="J417" s="269">
        <v>0</v>
      </c>
      <c r="K417" s="257">
        <v>0</v>
      </c>
      <c r="L417" s="257">
        <v>0</v>
      </c>
      <c r="M417" s="257">
        <v>4524220</v>
      </c>
      <c r="N417" s="257">
        <v>4524220</v>
      </c>
    </row>
    <row r="418" spans="1:14" s="143" customFormat="1" hidden="1" x14ac:dyDescent="0.25">
      <c r="A418" s="143" t="s">
        <v>711</v>
      </c>
      <c r="B418" s="143" t="s">
        <v>322</v>
      </c>
      <c r="C418" s="143" t="s">
        <v>323</v>
      </c>
      <c r="D418" s="143" t="s">
        <v>69</v>
      </c>
      <c r="E418" s="257">
        <v>134785</v>
      </c>
      <c r="F418" s="257">
        <v>134785</v>
      </c>
      <c r="G418" s="257">
        <v>134785</v>
      </c>
      <c r="H418" s="257">
        <v>0</v>
      </c>
      <c r="I418" s="257">
        <v>0</v>
      </c>
      <c r="J418" s="269">
        <v>0</v>
      </c>
      <c r="K418" s="257">
        <v>0</v>
      </c>
      <c r="L418" s="257">
        <v>0</v>
      </c>
      <c r="M418" s="257">
        <v>134785</v>
      </c>
      <c r="N418" s="257">
        <v>134785</v>
      </c>
    </row>
    <row r="419" spans="1:14" s="143" customFormat="1" hidden="1" x14ac:dyDescent="0.25">
      <c r="A419" s="143" t="s">
        <v>711</v>
      </c>
      <c r="B419" s="143" t="s">
        <v>206</v>
      </c>
      <c r="C419" s="143" t="s">
        <v>207</v>
      </c>
      <c r="D419" s="143" t="s">
        <v>69</v>
      </c>
      <c r="E419" s="257">
        <v>4818247</v>
      </c>
      <c r="F419" s="257">
        <v>4818247</v>
      </c>
      <c r="G419" s="257">
        <v>4818247</v>
      </c>
      <c r="H419" s="257">
        <v>0</v>
      </c>
      <c r="I419" s="257">
        <v>0</v>
      </c>
      <c r="J419" s="269">
        <v>0</v>
      </c>
      <c r="K419" s="257">
        <v>0</v>
      </c>
      <c r="L419" s="257">
        <v>0</v>
      </c>
      <c r="M419" s="257">
        <v>4818247</v>
      </c>
      <c r="N419" s="257">
        <v>4818247</v>
      </c>
    </row>
    <row r="420" spans="1:14" s="143" customFormat="1" hidden="1" x14ac:dyDescent="0.25">
      <c r="A420" s="143" t="s">
        <v>711</v>
      </c>
      <c r="B420" s="143" t="s">
        <v>208</v>
      </c>
      <c r="C420" s="143" t="s">
        <v>209</v>
      </c>
      <c r="D420" s="143" t="s">
        <v>69</v>
      </c>
      <c r="E420" s="257">
        <v>4818247</v>
      </c>
      <c r="F420" s="257">
        <v>4818247</v>
      </c>
      <c r="G420" s="257">
        <v>4818247</v>
      </c>
      <c r="H420" s="257">
        <v>0</v>
      </c>
      <c r="I420" s="257">
        <v>0</v>
      </c>
      <c r="J420" s="269">
        <v>0</v>
      </c>
      <c r="K420" s="257">
        <v>0</v>
      </c>
      <c r="L420" s="257">
        <v>0</v>
      </c>
      <c r="M420" s="257">
        <v>4818247</v>
      </c>
      <c r="N420" s="257">
        <v>4818247</v>
      </c>
    </row>
    <row r="421" spans="1:14" s="143" customFormat="1" hidden="1" x14ac:dyDescent="0.25">
      <c r="A421" s="143" t="s">
        <v>711</v>
      </c>
      <c r="B421" s="143" t="s">
        <v>354</v>
      </c>
      <c r="C421" s="143" t="s">
        <v>355</v>
      </c>
      <c r="D421" s="143" t="s">
        <v>69</v>
      </c>
      <c r="E421" s="257">
        <v>2859160</v>
      </c>
      <c r="F421" s="257">
        <v>2859160</v>
      </c>
      <c r="G421" s="257">
        <v>2859160</v>
      </c>
      <c r="H421" s="257">
        <v>0</v>
      </c>
      <c r="I421" s="257">
        <v>0</v>
      </c>
      <c r="J421" s="269">
        <v>0</v>
      </c>
      <c r="K421" s="257">
        <v>0</v>
      </c>
      <c r="L421" s="257">
        <v>0</v>
      </c>
      <c r="M421" s="257">
        <v>2859160</v>
      </c>
      <c r="N421" s="257">
        <v>2859160</v>
      </c>
    </row>
    <row r="422" spans="1:14" s="143" customFormat="1" hidden="1" x14ac:dyDescent="0.25">
      <c r="A422" s="143" t="s">
        <v>711</v>
      </c>
      <c r="B422" s="143" t="s">
        <v>356</v>
      </c>
      <c r="C422" s="143" t="s">
        <v>357</v>
      </c>
      <c r="D422" s="143" t="s">
        <v>69</v>
      </c>
      <c r="E422" s="257">
        <v>2859160</v>
      </c>
      <c r="F422" s="257">
        <v>2859160</v>
      </c>
      <c r="G422" s="257">
        <v>2859160</v>
      </c>
      <c r="H422" s="257">
        <v>0</v>
      </c>
      <c r="I422" s="257">
        <v>0</v>
      </c>
      <c r="J422" s="269">
        <v>0</v>
      </c>
      <c r="K422" s="257">
        <v>0</v>
      </c>
      <c r="L422" s="257">
        <v>0</v>
      </c>
      <c r="M422" s="257">
        <v>2859160</v>
      </c>
      <c r="N422" s="257">
        <v>2859160</v>
      </c>
    </row>
    <row r="423" spans="1:14" s="143" customFormat="1" hidden="1" x14ac:dyDescent="0.25">
      <c r="A423" s="143" t="s">
        <v>711</v>
      </c>
      <c r="B423" s="143" t="s">
        <v>212</v>
      </c>
      <c r="C423" s="143" t="s">
        <v>213</v>
      </c>
      <c r="D423" s="143" t="s">
        <v>69</v>
      </c>
      <c r="E423" s="257">
        <v>20687802</v>
      </c>
      <c r="F423" s="257">
        <v>20687802</v>
      </c>
      <c r="G423" s="257">
        <v>20687802</v>
      </c>
      <c r="H423" s="257">
        <v>0</v>
      </c>
      <c r="I423" s="257">
        <v>0</v>
      </c>
      <c r="J423" s="269">
        <v>0</v>
      </c>
      <c r="K423" s="257">
        <v>0</v>
      </c>
      <c r="L423" s="257">
        <v>0</v>
      </c>
      <c r="M423" s="257">
        <v>20687802</v>
      </c>
      <c r="N423" s="257">
        <v>20687802</v>
      </c>
    </row>
    <row r="424" spans="1:14" s="143" customFormat="1" hidden="1" x14ac:dyDescent="0.25">
      <c r="A424" s="143" t="s">
        <v>711</v>
      </c>
      <c r="B424" s="143" t="s">
        <v>216</v>
      </c>
      <c r="C424" s="143" t="s">
        <v>217</v>
      </c>
      <c r="D424" s="143" t="s">
        <v>69</v>
      </c>
      <c r="E424" s="257">
        <v>9443712</v>
      </c>
      <c r="F424" s="257">
        <v>9443712</v>
      </c>
      <c r="G424" s="257">
        <v>9443712</v>
      </c>
      <c r="H424" s="257">
        <v>0</v>
      </c>
      <c r="I424" s="257">
        <v>0</v>
      </c>
      <c r="J424" s="269">
        <v>0</v>
      </c>
      <c r="K424" s="257">
        <v>0</v>
      </c>
      <c r="L424" s="257">
        <v>0</v>
      </c>
      <c r="M424" s="257">
        <v>9443712</v>
      </c>
      <c r="N424" s="257">
        <v>9443712</v>
      </c>
    </row>
    <row r="425" spans="1:14" s="143" customFormat="1" hidden="1" x14ac:dyDescent="0.25">
      <c r="A425" s="143" t="s">
        <v>711</v>
      </c>
      <c r="B425" s="143" t="s">
        <v>218</v>
      </c>
      <c r="C425" s="143" t="s">
        <v>219</v>
      </c>
      <c r="D425" s="143" t="s">
        <v>69</v>
      </c>
      <c r="E425" s="257">
        <v>4708500</v>
      </c>
      <c r="F425" s="257">
        <v>4708500</v>
      </c>
      <c r="G425" s="257">
        <v>4708500</v>
      </c>
      <c r="H425" s="257">
        <v>0</v>
      </c>
      <c r="I425" s="257">
        <v>0</v>
      </c>
      <c r="J425">
        <v>0</v>
      </c>
      <c r="K425" s="257">
        <v>0</v>
      </c>
      <c r="L425" s="257">
        <v>0</v>
      </c>
      <c r="M425" s="257">
        <v>4708500</v>
      </c>
      <c r="N425" s="257">
        <v>4708500</v>
      </c>
    </row>
    <row r="426" spans="1:14" s="143" customFormat="1" hidden="1" x14ac:dyDescent="0.25">
      <c r="A426" s="143" t="s">
        <v>711</v>
      </c>
      <c r="B426" s="143" t="s">
        <v>220</v>
      </c>
      <c r="C426" s="143" t="s">
        <v>221</v>
      </c>
      <c r="D426" s="143" t="s">
        <v>69</v>
      </c>
      <c r="E426" s="257">
        <v>4306450</v>
      </c>
      <c r="F426" s="257">
        <v>4306450</v>
      </c>
      <c r="G426" s="257">
        <v>4306450</v>
      </c>
      <c r="H426" s="257">
        <v>0</v>
      </c>
      <c r="I426" s="257">
        <v>0</v>
      </c>
      <c r="J426" s="252">
        <v>0</v>
      </c>
      <c r="K426" s="257">
        <v>0</v>
      </c>
      <c r="L426" s="257">
        <v>0</v>
      </c>
      <c r="M426" s="257">
        <v>4306450</v>
      </c>
      <c r="N426" s="257">
        <v>4306450</v>
      </c>
    </row>
    <row r="427" spans="1:14" s="143" customFormat="1" hidden="1" x14ac:dyDescent="0.25">
      <c r="A427" s="143" t="s">
        <v>711</v>
      </c>
      <c r="B427" s="143" t="s">
        <v>222</v>
      </c>
      <c r="C427" s="143" t="s">
        <v>223</v>
      </c>
      <c r="D427" s="143" t="s">
        <v>69</v>
      </c>
      <c r="E427" s="257">
        <v>842640</v>
      </c>
      <c r="F427" s="257">
        <v>842640</v>
      </c>
      <c r="G427" s="257">
        <v>842640</v>
      </c>
      <c r="H427" s="257">
        <v>0</v>
      </c>
      <c r="I427" s="257">
        <v>0</v>
      </c>
      <c r="J427" s="261">
        <v>0</v>
      </c>
      <c r="K427" s="257">
        <v>0</v>
      </c>
      <c r="L427" s="257">
        <v>0</v>
      </c>
      <c r="M427" s="257">
        <v>842640</v>
      </c>
      <c r="N427" s="257">
        <v>842640</v>
      </c>
    </row>
    <row r="428" spans="1:14" s="143" customFormat="1" hidden="1" x14ac:dyDescent="0.25">
      <c r="A428" s="143" t="s">
        <v>711</v>
      </c>
      <c r="B428" s="143" t="s">
        <v>224</v>
      </c>
      <c r="C428" s="143" t="s">
        <v>225</v>
      </c>
      <c r="D428" s="143" t="s">
        <v>69</v>
      </c>
      <c r="E428" s="257">
        <v>887300</v>
      </c>
      <c r="F428" s="257">
        <v>887300</v>
      </c>
      <c r="G428" s="257">
        <v>887300</v>
      </c>
      <c r="H428" s="257">
        <v>0</v>
      </c>
      <c r="I428" s="257">
        <v>0</v>
      </c>
      <c r="J428" s="266">
        <v>0</v>
      </c>
      <c r="K428" s="257">
        <v>0</v>
      </c>
      <c r="L428" s="257">
        <v>0</v>
      </c>
      <c r="M428" s="257">
        <v>887300</v>
      </c>
      <c r="N428" s="257">
        <v>887300</v>
      </c>
    </row>
    <row r="429" spans="1:14" s="143" customFormat="1" hidden="1" x14ac:dyDescent="0.25">
      <c r="A429" s="143" t="s">
        <v>711</v>
      </c>
      <c r="B429" s="143" t="s">
        <v>228</v>
      </c>
      <c r="C429" s="143" t="s">
        <v>229</v>
      </c>
      <c r="D429" s="143" t="s">
        <v>69</v>
      </c>
      <c r="E429" s="257">
        <v>499200</v>
      </c>
      <c r="F429" s="257">
        <v>499200</v>
      </c>
      <c r="G429" s="257">
        <v>499200</v>
      </c>
      <c r="H429" s="257">
        <v>0</v>
      </c>
      <c r="I429" s="257">
        <v>0</v>
      </c>
      <c r="J429" s="269">
        <v>0</v>
      </c>
      <c r="K429" s="257">
        <v>0</v>
      </c>
      <c r="L429" s="257">
        <v>0</v>
      </c>
      <c r="M429" s="257">
        <v>499200</v>
      </c>
      <c r="N429" s="257">
        <v>499200</v>
      </c>
    </row>
    <row r="430" spans="1:14" s="143" customFormat="1" hidden="1" x14ac:dyDescent="0.25">
      <c r="A430" s="143" t="s">
        <v>711</v>
      </c>
      <c r="B430" s="143" t="s">
        <v>248</v>
      </c>
      <c r="C430" s="143" t="s">
        <v>249</v>
      </c>
      <c r="D430" s="143" t="s">
        <v>69</v>
      </c>
      <c r="E430" s="257">
        <v>236354526</v>
      </c>
      <c r="F430" s="257">
        <v>236354526</v>
      </c>
      <c r="G430" s="257">
        <v>236354526</v>
      </c>
      <c r="H430" s="257">
        <v>0</v>
      </c>
      <c r="I430" s="257">
        <v>156902773</v>
      </c>
      <c r="J430" s="269">
        <v>0</v>
      </c>
      <c r="K430" s="257">
        <v>26706872</v>
      </c>
      <c r="L430" s="257">
        <v>26706872</v>
      </c>
      <c r="M430" s="257">
        <v>52744881</v>
      </c>
      <c r="N430" s="257">
        <v>52744881</v>
      </c>
    </row>
    <row r="431" spans="1:14" s="143" customFormat="1" hidden="1" x14ac:dyDescent="0.25">
      <c r="A431" s="143" t="s">
        <v>711</v>
      </c>
      <c r="B431" s="143" t="s">
        <v>250</v>
      </c>
      <c r="C431" s="143" t="s">
        <v>251</v>
      </c>
      <c r="D431" s="143" t="s">
        <v>69</v>
      </c>
      <c r="E431" s="257">
        <v>180354526</v>
      </c>
      <c r="F431" s="257">
        <v>180354526</v>
      </c>
      <c r="G431" s="257">
        <v>180354526</v>
      </c>
      <c r="H431" s="257">
        <v>0</v>
      </c>
      <c r="I431" s="257">
        <v>156902773</v>
      </c>
      <c r="J431" s="269">
        <v>0</v>
      </c>
      <c r="K431" s="257">
        <v>23451753</v>
      </c>
      <c r="L431" s="257">
        <v>23451753</v>
      </c>
      <c r="M431" s="257">
        <v>0</v>
      </c>
      <c r="N431" s="257">
        <v>0</v>
      </c>
    </row>
    <row r="432" spans="1:14" s="143" customFormat="1" hidden="1" x14ac:dyDescent="0.25">
      <c r="A432" s="143" t="s">
        <v>711</v>
      </c>
      <c r="B432" s="143" t="s">
        <v>630</v>
      </c>
      <c r="C432" s="143" t="s">
        <v>702</v>
      </c>
      <c r="D432" s="143" t="s">
        <v>69</v>
      </c>
      <c r="E432" s="257">
        <v>153192762</v>
      </c>
      <c r="F432" s="257">
        <v>153192762</v>
      </c>
      <c r="G432" s="257">
        <v>153192762</v>
      </c>
      <c r="H432" s="257">
        <v>0</v>
      </c>
      <c r="I432" s="257">
        <v>133461154</v>
      </c>
      <c r="J432" s="269">
        <v>0</v>
      </c>
      <c r="K432" s="257">
        <v>19731608</v>
      </c>
      <c r="L432" s="257">
        <v>19731608</v>
      </c>
      <c r="M432" s="257">
        <v>0</v>
      </c>
      <c r="N432" s="257">
        <v>0</v>
      </c>
    </row>
    <row r="433" spans="1:14" s="143" customFormat="1" hidden="1" x14ac:dyDescent="0.25">
      <c r="A433" s="143" t="s">
        <v>711</v>
      </c>
      <c r="B433" s="143" t="s">
        <v>645</v>
      </c>
      <c r="C433" s="143" t="s">
        <v>703</v>
      </c>
      <c r="D433" s="143" t="s">
        <v>69</v>
      </c>
      <c r="E433" s="257">
        <v>27161764</v>
      </c>
      <c r="F433" s="257">
        <v>27161764</v>
      </c>
      <c r="G433" s="257">
        <v>27161764</v>
      </c>
      <c r="H433" s="257">
        <v>0</v>
      </c>
      <c r="I433" s="257">
        <v>23441619</v>
      </c>
      <c r="J433" s="269">
        <v>0</v>
      </c>
      <c r="K433" s="257">
        <v>3720145</v>
      </c>
      <c r="L433" s="257">
        <v>3720145</v>
      </c>
      <c r="M433" s="257">
        <v>0</v>
      </c>
      <c r="N433" s="257">
        <v>0</v>
      </c>
    </row>
    <row r="434" spans="1:14" s="143" customFormat="1" hidden="1" x14ac:dyDescent="0.25">
      <c r="A434" s="143" t="s">
        <v>711</v>
      </c>
      <c r="B434" s="143" t="s">
        <v>260</v>
      </c>
      <c r="C434" s="143" t="s">
        <v>261</v>
      </c>
      <c r="D434" s="143" t="s">
        <v>69</v>
      </c>
      <c r="E434" s="257">
        <v>56000000</v>
      </c>
      <c r="F434" s="257">
        <v>56000000</v>
      </c>
      <c r="G434" s="257">
        <v>56000000</v>
      </c>
      <c r="H434" s="257">
        <v>0</v>
      </c>
      <c r="I434" s="257">
        <v>0</v>
      </c>
      <c r="J434" s="269">
        <v>0</v>
      </c>
      <c r="K434" s="257">
        <v>3255119</v>
      </c>
      <c r="L434" s="257">
        <v>3255119</v>
      </c>
      <c r="M434" s="257">
        <v>52744881</v>
      </c>
      <c r="N434" s="257">
        <v>52744881</v>
      </c>
    </row>
    <row r="435" spans="1:14" s="143" customFormat="1" hidden="1" x14ac:dyDescent="0.25">
      <c r="A435" s="143" t="s">
        <v>711</v>
      </c>
      <c r="B435" s="143" t="s">
        <v>264</v>
      </c>
      <c r="C435" s="143" t="s">
        <v>265</v>
      </c>
      <c r="D435" s="143" t="s">
        <v>69</v>
      </c>
      <c r="E435" s="257">
        <v>56000000</v>
      </c>
      <c r="F435" s="257">
        <v>56000000</v>
      </c>
      <c r="G435" s="257">
        <v>56000000</v>
      </c>
      <c r="H435" s="257">
        <v>0</v>
      </c>
      <c r="I435" s="257">
        <v>0</v>
      </c>
      <c r="J435" s="269">
        <v>0</v>
      </c>
      <c r="K435" s="257">
        <v>3255119</v>
      </c>
      <c r="L435" s="257">
        <v>3255119</v>
      </c>
      <c r="M435" s="257">
        <v>52744881</v>
      </c>
      <c r="N435" s="257">
        <v>52744881</v>
      </c>
    </row>
    <row r="436" spans="1:14" s="143" customFormat="1" hidden="1" x14ac:dyDescent="0.25">
      <c r="A436" s="143" t="s">
        <v>711</v>
      </c>
      <c r="B436" s="143" t="s">
        <v>230</v>
      </c>
      <c r="C436" s="143" t="s">
        <v>231</v>
      </c>
      <c r="D436" s="143" t="s">
        <v>85</v>
      </c>
      <c r="E436" s="257">
        <v>53324000</v>
      </c>
      <c r="F436" s="257">
        <v>53324000</v>
      </c>
      <c r="G436" s="257">
        <v>50204000</v>
      </c>
      <c r="H436" s="257">
        <v>0</v>
      </c>
      <c r="I436" s="257">
        <v>0</v>
      </c>
      <c r="J436" s="269">
        <v>0</v>
      </c>
      <c r="K436" s="257">
        <v>0</v>
      </c>
      <c r="L436" s="257">
        <v>0</v>
      </c>
      <c r="M436" s="257">
        <v>53324000</v>
      </c>
      <c r="N436" s="257">
        <v>50204000</v>
      </c>
    </row>
    <row r="437" spans="1:14" s="143" customFormat="1" hidden="1" x14ac:dyDescent="0.25">
      <c r="A437" s="143" t="s">
        <v>711</v>
      </c>
      <c r="B437" s="143" t="s">
        <v>232</v>
      </c>
      <c r="C437" s="143" t="s">
        <v>233</v>
      </c>
      <c r="D437" s="143" t="s">
        <v>85</v>
      </c>
      <c r="E437" s="257">
        <v>45824000</v>
      </c>
      <c r="F437" s="257">
        <v>45824000</v>
      </c>
      <c r="G437" s="257">
        <v>42704000</v>
      </c>
      <c r="H437" s="257">
        <v>0</v>
      </c>
      <c r="I437" s="257">
        <v>0</v>
      </c>
      <c r="J437" s="269">
        <v>0</v>
      </c>
      <c r="K437" s="257">
        <v>0</v>
      </c>
      <c r="L437" s="257">
        <v>0</v>
      </c>
      <c r="M437" s="257">
        <v>45824000</v>
      </c>
      <c r="N437" s="257">
        <v>42704000</v>
      </c>
    </row>
    <row r="438" spans="1:14" s="143" customFormat="1" hidden="1" x14ac:dyDescent="0.25">
      <c r="A438" s="143" t="s">
        <v>711</v>
      </c>
      <c r="B438" s="143" t="s">
        <v>234</v>
      </c>
      <c r="C438" s="143" t="s">
        <v>235</v>
      </c>
      <c r="D438" s="143" t="s">
        <v>85</v>
      </c>
      <c r="E438" s="257">
        <v>3490000</v>
      </c>
      <c r="F438" s="257">
        <v>3490000</v>
      </c>
      <c r="G438" s="257">
        <v>790000</v>
      </c>
      <c r="H438" s="257">
        <v>0</v>
      </c>
      <c r="I438" s="257">
        <v>0</v>
      </c>
      <c r="J438" s="269">
        <v>0</v>
      </c>
      <c r="K438" s="257">
        <v>0</v>
      </c>
      <c r="L438" s="257">
        <v>0</v>
      </c>
      <c r="M438" s="257">
        <v>3490000</v>
      </c>
      <c r="N438" s="257">
        <v>790000</v>
      </c>
    </row>
    <row r="439" spans="1:14" s="143" customFormat="1" hidden="1" x14ac:dyDescent="0.25">
      <c r="A439" s="143" t="s">
        <v>711</v>
      </c>
      <c r="B439" s="143" t="s">
        <v>238</v>
      </c>
      <c r="C439" s="143" t="s">
        <v>239</v>
      </c>
      <c r="D439" s="143" t="s">
        <v>85</v>
      </c>
      <c r="E439" s="257">
        <v>420000</v>
      </c>
      <c r="F439" s="257">
        <v>420000</v>
      </c>
      <c r="G439" s="257">
        <v>0</v>
      </c>
      <c r="H439" s="257">
        <v>0</v>
      </c>
      <c r="I439" s="257">
        <v>0</v>
      </c>
      <c r="J439" s="269">
        <v>0</v>
      </c>
      <c r="K439" s="257">
        <v>0</v>
      </c>
      <c r="L439" s="257">
        <v>0</v>
      </c>
      <c r="M439" s="257">
        <v>420000</v>
      </c>
      <c r="N439" s="257">
        <v>0</v>
      </c>
    </row>
    <row r="440" spans="1:14" s="143" customFormat="1" hidden="1" x14ac:dyDescent="0.25">
      <c r="A440" s="143" t="s">
        <v>711</v>
      </c>
      <c r="B440" s="143" t="s">
        <v>326</v>
      </c>
      <c r="C440" s="143" t="s">
        <v>327</v>
      </c>
      <c r="D440" s="143" t="s">
        <v>85</v>
      </c>
      <c r="E440" s="257">
        <v>41125000</v>
      </c>
      <c r="F440" s="257">
        <v>41125000</v>
      </c>
      <c r="G440" s="257">
        <v>41125000</v>
      </c>
      <c r="H440" s="257">
        <v>0</v>
      </c>
      <c r="I440" s="257">
        <v>0</v>
      </c>
      <c r="J440" s="269">
        <v>0</v>
      </c>
      <c r="K440" s="257">
        <v>0</v>
      </c>
      <c r="L440" s="257">
        <v>0</v>
      </c>
      <c r="M440" s="257">
        <v>41125000</v>
      </c>
      <c r="N440" s="257">
        <v>41125000</v>
      </c>
    </row>
    <row r="441" spans="1:14" s="143" customFormat="1" hidden="1" x14ac:dyDescent="0.25">
      <c r="A441" s="143" t="s">
        <v>711</v>
      </c>
      <c r="B441" s="143" t="s">
        <v>242</v>
      </c>
      <c r="C441" s="143" t="s">
        <v>243</v>
      </c>
      <c r="D441" s="143" t="s">
        <v>85</v>
      </c>
      <c r="E441" s="257">
        <v>789000</v>
      </c>
      <c r="F441" s="257">
        <v>789000</v>
      </c>
      <c r="G441" s="257">
        <v>789000</v>
      </c>
      <c r="H441" s="257">
        <v>0</v>
      </c>
      <c r="I441" s="257">
        <v>0</v>
      </c>
      <c r="J441" s="269">
        <v>0</v>
      </c>
      <c r="K441" s="257">
        <v>0</v>
      </c>
      <c r="L441" s="257">
        <v>0</v>
      </c>
      <c r="M441" s="257">
        <v>789000</v>
      </c>
      <c r="N441" s="257">
        <v>789000</v>
      </c>
    </row>
    <row r="442" spans="1:14" s="143" customFormat="1" hidden="1" x14ac:dyDescent="0.25">
      <c r="A442" s="143" t="s">
        <v>711</v>
      </c>
      <c r="B442" s="143" t="s">
        <v>244</v>
      </c>
      <c r="C442" s="143" t="s">
        <v>245</v>
      </c>
      <c r="D442" s="143" t="s">
        <v>85</v>
      </c>
      <c r="E442" s="257">
        <v>7500000</v>
      </c>
      <c r="F442" s="257">
        <v>7500000</v>
      </c>
      <c r="G442" s="257">
        <v>7500000</v>
      </c>
      <c r="H442" s="257">
        <v>0</v>
      </c>
      <c r="I442" s="257">
        <v>0</v>
      </c>
      <c r="J442">
        <v>0</v>
      </c>
      <c r="K442" s="257">
        <v>0</v>
      </c>
      <c r="L442" s="257">
        <v>0</v>
      </c>
      <c r="M442" s="257">
        <v>7500000</v>
      </c>
      <c r="N442" s="257">
        <v>7500000</v>
      </c>
    </row>
    <row r="443" spans="1:14" s="143" customFormat="1" hidden="1" x14ac:dyDescent="0.25">
      <c r="A443" s="143" t="s">
        <v>711</v>
      </c>
      <c r="B443" s="143" t="s">
        <v>611</v>
      </c>
      <c r="C443" s="143" t="s">
        <v>612</v>
      </c>
      <c r="D443" s="143" t="s">
        <v>85</v>
      </c>
      <c r="E443" s="257">
        <v>7500000</v>
      </c>
      <c r="F443" s="257">
        <v>7500000</v>
      </c>
      <c r="G443" s="257">
        <v>7500000</v>
      </c>
      <c r="H443" s="257">
        <v>0</v>
      </c>
      <c r="I443" s="257">
        <v>0</v>
      </c>
      <c r="J443" s="252">
        <v>0</v>
      </c>
      <c r="K443" s="257">
        <v>0</v>
      </c>
      <c r="L443" s="257">
        <v>0</v>
      </c>
      <c r="M443" s="257">
        <v>7500000</v>
      </c>
      <c r="N443" s="257">
        <v>7500000</v>
      </c>
    </row>
    <row r="444" spans="1:14" s="143" customFormat="1" x14ac:dyDescent="0.25">
      <c r="A444" s="270">
        <v>214789002</v>
      </c>
      <c r="D444" s="271" t="s">
        <v>69</v>
      </c>
      <c r="E444" s="257">
        <v>2218633702</v>
      </c>
      <c r="F444" s="272">
        <v>2218633702</v>
      </c>
      <c r="G444" s="257">
        <v>1546905476</v>
      </c>
      <c r="H444" s="269">
        <v>5960000</v>
      </c>
      <c r="I444" s="273">
        <v>284044511.80000001</v>
      </c>
      <c r="J444" s="261">
        <v>0</v>
      </c>
      <c r="K444" s="269">
        <v>236218087.71000001</v>
      </c>
      <c r="L444" s="274">
        <v>236218087.71000001</v>
      </c>
      <c r="M444" s="273">
        <v>1692411102.49</v>
      </c>
      <c r="N444" s="257">
        <v>1020682876.49</v>
      </c>
    </row>
    <row r="445" spans="1:14" s="143" customFormat="1" hidden="1" x14ac:dyDescent="0.25">
      <c r="A445" s="143" t="s">
        <v>712</v>
      </c>
      <c r="B445" s="143" t="s">
        <v>71</v>
      </c>
      <c r="C445" s="143" t="s">
        <v>72</v>
      </c>
      <c r="D445" s="143" t="s">
        <v>69</v>
      </c>
      <c r="E445" s="257">
        <v>1258145726</v>
      </c>
      <c r="F445" s="257">
        <v>1258145726</v>
      </c>
      <c r="G445" s="257">
        <v>1258145726</v>
      </c>
      <c r="H445" s="257">
        <v>0</v>
      </c>
      <c r="I445" s="257">
        <v>163714896</v>
      </c>
      <c r="J445" s="266">
        <v>0</v>
      </c>
      <c r="K445" s="257">
        <v>233932305.71000001</v>
      </c>
      <c r="L445" s="257">
        <v>233932305.71000001</v>
      </c>
      <c r="M445" s="257">
        <v>860498524.28999996</v>
      </c>
      <c r="N445" s="257">
        <v>860498524.28999996</v>
      </c>
    </row>
    <row r="446" spans="1:14" s="143" customFormat="1" hidden="1" x14ac:dyDescent="0.25">
      <c r="A446" s="143" t="s">
        <v>712</v>
      </c>
      <c r="B446" s="143" t="s">
        <v>73</v>
      </c>
      <c r="C446" s="143" t="s">
        <v>74</v>
      </c>
      <c r="D446" s="143" t="s">
        <v>69</v>
      </c>
      <c r="E446" s="257">
        <v>493376624</v>
      </c>
      <c r="F446" s="257">
        <v>493376624</v>
      </c>
      <c r="G446" s="257">
        <v>493376624</v>
      </c>
      <c r="H446" s="257">
        <v>0</v>
      </c>
      <c r="I446" s="257">
        <v>0</v>
      </c>
      <c r="J446" s="269">
        <v>0</v>
      </c>
      <c r="K446" s="257">
        <v>75559825.370000005</v>
      </c>
      <c r="L446" s="257">
        <v>75559825.370000005</v>
      </c>
      <c r="M446" s="257">
        <v>417816798.63</v>
      </c>
      <c r="N446" s="257">
        <v>417816798.63</v>
      </c>
    </row>
    <row r="447" spans="1:14" s="143" customFormat="1" hidden="1" x14ac:dyDescent="0.25">
      <c r="A447" s="143" t="s">
        <v>712</v>
      </c>
      <c r="B447" s="143" t="s">
        <v>75</v>
      </c>
      <c r="C447" s="143" t="s">
        <v>76</v>
      </c>
      <c r="D447" s="143" t="s">
        <v>69</v>
      </c>
      <c r="E447" s="257">
        <v>493376624</v>
      </c>
      <c r="F447" s="257">
        <v>493376624</v>
      </c>
      <c r="G447" s="257">
        <v>493376624</v>
      </c>
      <c r="H447" s="257">
        <v>0</v>
      </c>
      <c r="I447" s="257">
        <v>0</v>
      </c>
      <c r="J447" s="269">
        <v>0</v>
      </c>
      <c r="K447" s="257">
        <v>75559825.370000005</v>
      </c>
      <c r="L447" s="257">
        <v>75559825.370000005</v>
      </c>
      <c r="M447" s="257">
        <v>417816798.63</v>
      </c>
      <c r="N447" s="257">
        <v>417816798.63</v>
      </c>
    </row>
    <row r="448" spans="1:14" s="143" customFormat="1" hidden="1" x14ac:dyDescent="0.25">
      <c r="A448" s="143" t="s">
        <v>712</v>
      </c>
      <c r="B448" s="143" t="s">
        <v>77</v>
      </c>
      <c r="C448" s="143" t="s">
        <v>78</v>
      </c>
      <c r="D448" s="143" t="s">
        <v>69</v>
      </c>
      <c r="E448" s="257">
        <v>572843880</v>
      </c>
      <c r="F448" s="257">
        <v>572843880</v>
      </c>
      <c r="G448" s="257">
        <v>572843880</v>
      </c>
      <c r="H448" s="257">
        <v>0</v>
      </c>
      <c r="I448" s="257">
        <v>0</v>
      </c>
      <c r="J448" s="269">
        <v>0</v>
      </c>
      <c r="K448" s="257">
        <v>130162154.34</v>
      </c>
      <c r="L448" s="257">
        <v>130162154.34</v>
      </c>
      <c r="M448" s="257">
        <v>442681725.66000003</v>
      </c>
      <c r="N448" s="257">
        <v>442681725.66000003</v>
      </c>
    </row>
    <row r="449" spans="1:14" s="143" customFormat="1" hidden="1" x14ac:dyDescent="0.25">
      <c r="A449" s="143" t="s">
        <v>712</v>
      </c>
      <c r="B449" s="143" t="s">
        <v>79</v>
      </c>
      <c r="C449" s="143" t="s">
        <v>80</v>
      </c>
      <c r="D449" s="143" t="s">
        <v>69</v>
      </c>
      <c r="E449" s="257">
        <v>166263500</v>
      </c>
      <c r="F449" s="257">
        <v>166263500</v>
      </c>
      <c r="G449" s="257">
        <v>166263500</v>
      </c>
      <c r="H449" s="257">
        <v>0</v>
      </c>
      <c r="I449" s="257">
        <v>0</v>
      </c>
      <c r="J449" s="269">
        <v>0</v>
      </c>
      <c r="K449" s="257">
        <v>24313825.800000001</v>
      </c>
      <c r="L449" s="257">
        <v>24313825.800000001</v>
      </c>
      <c r="M449" s="257">
        <v>141949674.19999999</v>
      </c>
      <c r="N449" s="257">
        <v>141949674.19999999</v>
      </c>
    </row>
    <row r="450" spans="1:14" s="143" customFormat="1" hidden="1" x14ac:dyDescent="0.25">
      <c r="A450" s="143" t="s">
        <v>712</v>
      </c>
      <c r="B450" s="143" t="s">
        <v>81</v>
      </c>
      <c r="C450" s="143" t="s">
        <v>82</v>
      </c>
      <c r="D450" s="143" t="s">
        <v>69</v>
      </c>
      <c r="E450" s="257">
        <v>139725380</v>
      </c>
      <c r="F450" s="257">
        <v>139725380</v>
      </c>
      <c r="G450" s="257">
        <v>139725380</v>
      </c>
      <c r="H450" s="257">
        <v>0</v>
      </c>
      <c r="I450" s="257">
        <v>0</v>
      </c>
      <c r="J450" s="269">
        <v>0</v>
      </c>
      <c r="K450" s="257">
        <v>24331140.109999999</v>
      </c>
      <c r="L450" s="257">
        <v>24331140.109999999</v>
      </c>
      <c r="M450" s="257">
        <v>115394239.89</v>
      </c>
      <c r="N450" s="257">
        <v>115394239.89</v>
      </c>
    </row>
    <row r="451" spans="1:14" s="143" customFormat="1" hidden="1" x14ac:dyDescent="0.25">
      <c r="A451" s="143" t="s">
        <v>712</v>
      </c>
      <c r="B451" s="143" t="s">
        <v>86</v>
      </c>
      <c r="C451" s="143" t="s">
        <v>87</v>
      </c>
      <c r="D451" s="143" t="s">
        <v>69</v>
      </c>
      <c r="E451" s="257">
        <v>75278800</v>
      </c>
      <c r="F451" s="257">
        <v>75278800</v>
      </c>
      <c r="G451" s="257">
        <v>75278800</v>
      </c>
      <c r="H451" s="257">
        <v>0</v>
      </c>
      <c r="I451" s="257">
        <v>0</v>
      </c>
      <c r="J451" s="269">
        <v>0</v>
      </c>
      <c r="K451" s="257">
        <v>63363055.5</v>
      </c>
      <c r="L451" s="257">
        <v>63363055.5</v>
      </c>
      <c r="M451" s="257">
        <v>11915744.5</v>
      </c>
      <c r="N451" s="257">
        <v>11915744.5</v>
      </c>
    </row>
    <row r="452" spans="1:14" hidden="1" x14ac:dyDescent="0.25">
      <c r="A452" s="143" t="s">
        <v>712</v>
      </c>
      <c r="B452" s="143" t="s">
        <v>88</v>
      </c>
      <c r="C452" s="143" t="s">
        <v>89</v>
      </c>
      <c r="D452" s="143" t="s">
        <v>69</v>
      </c>
      <c r="E452" s="257">
        <v>109589600</v>
      </c>
      <c r="F452" s="257">
        <v>109589600</v>
      </c>
      <c r="G452" s="257">
        <v>109589600</v>
      </c>
      <c r="H452" s="257">
        <v>0</v>
      </c>
      <c r="I452" s="257">
        <v>0</v>
      </c>
      <c r="J452" s="269">
        <v>0</v>
      </c>
      <c r="K452" s="257">
        <v>18154132.93</v>
      </c>
      <c r="L452" s="257">
        <v>18154132.93</v>
      </c>
      <c r="M452" s="257">
        <v>91435467.069999993</v>
      </c>
      <c r="N452" s="257">
        <v>91435467.069999993</v>
      </c>
    </row>
    <row r="453" spans="1:14" hidden="1" x14ac:dyDescent="0.25">
      <c r="A453" s="143" t="s">
        <v>712</v>
      </c>
      <c r="B453" s="143" t="s">
        <v>83</v>
      </c>
      <c r="C453" s="143" t="s">
        <v>84</v>
      </c>
      <c r="D453" s="143" t="s">
        <v>85</v>
      </c>
      <c r="E453" s="257">
        <v>81986600</v>
      </c>
      <c r="F453" s="257">
        <v>81986600</v>
      </c>
      <c r="G453" s="257">
        <v>81986600</v>
      </c>
      <c r="H453" s="257">
        <v>0</v>
      </c>
      <c r="I453" s="257">
        <v>0</v>
      </c>
      <c r="J453" s="269">
        <v>0</v>
      </c>
      <c r="K453" s="257">
        <v>0</v>
      </c>
      <c r="L453" s="257">
        <v>0</v>
      </c>
      <c r="M453" s="257">
        <v>81986600</v>
      </c>
      <c r="N453" s="257">
        <v>81986600</v>
      </c>
    </row>
    <row r="454" spans="1:14" hidden="1" x14ac:dyDescent="0.25">
      <c r="A454" s="143" t="s">
        <v>712</v>
      </c>
      <c r="B454" s="143" t="s">
        <v>90</v>
      </c>
      <c r="C454" s="143" t="s">
        <v>91</v>
      </c>
      <c r="D454" s="143" t="s">
        <v>69</v>
      </c>
      <c r="E454" s="257">
        <v>95962711</v>
      </c>
      <c r="F454" s="257">
        <v>95962711</v>
      </c>
      <c r="G454" s="257">
        <v>95962711</v>
      </c>
      <c r="H454" s="257">
        <v>0</v>
      </c>
      <c r="I454" s="257">
        <v>81794308</v>
      </c>
      <c r="J454" s="269">
        <v>0</v>
      </c>
      <c r="K454" s="257">
        <v>14168403</v>
      </c>
      <c r="L454" s="257">
        <v>14168403</v>
      </c>
      <c r="M454" s="257">
        <v>0</v>
      </c>
      <c r="N454" s="257">
        <v>0</v>
      </c>
    </row>
    <row r="455" spans="1:14" s="143" customFormat="1" hidden="1" x14ac:dyDescent="0.25">
      <c r="A455" s="143" t="s">
        <v>712</v>
      </c>
      <c r="B455" s="143" t="s">
        <v>422</v>
      </c>
      <c r="C455" s="143" t="s">
        <v>697</v>
      </c>
      <c r="D455" s="143" t="s">
        <v>69</v>
      </c>
      <c r="E455" s="257">
        <v>91041575</v>
      </c>
      <c r="F455" s="257">
        <v>91041575</v>
      </c>
      <c r="G455" s="257">
        <v>91041575</v>
      </c>
      <c r="H455" s="257">
        <v>0</v>
      </c>
      <c r="I455" s="257">
        <v>77599756</v>
      </c>
      <c r="J455" s="269">
        <v>0</v>
      </c>
      <c r="K455" s="257">
        <v>13441819</v>
      </c>
      <c r="L455" s="257">
        <v>13441819</v>
      </c>
      <c r="M455" s="257">
        <v>0</v>
      </c>
      <c r="N455" s="257">
        <v>0</v>
      </c>
    </row>
    <row r="456" spans="1:14" hidden="1" x14ac:dyDescent="0.25">
      <c r="A456" s="143" t="s">
        <v>712</v>
      </c>
      <c r="B456" s="143" t="s">
        <v>439</v>
      </c>
      <c r="C456" s="143" t="s">
        <v>95</v>
      </c>
      <c r="D456" s="143" t="s">
        <v>69</v>
      </c>
      <c r="E456" s="257">
        <v>4921136</v>
      </c>
      <c r="F456" s="257">
        <v>4921136</v>
      </c>
      <c r="G456" s="257">
        <v>4921136</v>
      </c>
      <c r="H456" s="257">
        <v>0</v>
      </c>
      <c r="I456" s="257">
        <v>4194552</v>
      </c>
      <c r="J456" s="269">
        <v>0</v>
      </c>
      <c r="K456" s="257">
        <v>726584</v>
      </c>
      <c r="L456" s="257">
        <v>726584</v>
      </c>
      <c r="M456" s="257">
        <v>0</v>
      </c>
      <c r="N456" s="257">
        <v>0</v>
      </c>
    </row>
    <row r="457" spans="1:14" hidden="1" x14ac:dyDescent="0.25">
      <c r="A457" s="143" t="s">
        <v>712</v>
      </c>
      <c r="B457" s="143" t="s">
        <v>96</v>
      </c>
      <c r="C457" s="143" t="s">
        <v>97</v>
      </c>
      <c r="D457" s="143" t="s">
        <v>69</v>
      </c>
      <c r="E457" s="257">
        <v>95962511</v>
      </c>
      <c r="F457" s="257">
        <v>95962511</v>
      </c>
      <c r="G457" s="257">
        <v>95962511</v>
      </c>
      <c r="H457" s="257">
        <v>0</v>
      </c>
      <c r="I457" s="257">
        <v>81920588</v>
      </c>
      <c r="J457" s="269">
        <v>0</v>
      </c>
      <c r="K457" s="257">
        <v>14041923</v>
      </c>
      <c r="L457" s="257">
        <v>14041923</v>
      </c>
      <c r="M457" s="257">
        <v>0</v>
      </c>
      <c r="N457" s="257">
        <v>0</v>
      </c>
    </row>
    <row r="458" spans="1:14" hidden="1" x14ac:dyDescent="0.25">
      <c r="A458" s="143" t="s">
        <v>712</v>
      </c>
      <c r="B458" s="143" t="s">
        <v>457</v>
      </c>
      <c r="C458" s="143" t="s">
        <v>698</v>
      </c>
      <c r="D458" s="143" t="s">
        <v>69</v>
      </c>
      <c r="E458" s="257">
        <v>51672183</v>
      </c>
      <c r="F458" s="257">
        <v>51672183</v>
      </c>
      <c r="G458" s="257">
        <v>51672183</v>
      </c>
      <c r="H458" s="257">
        <v>0</v>
      </c>
      <c r="I458" s="257">
        <v>44169523</v>
      </c>
      <c r="J458" s="269">
        <v>0</v>
      </c>
      <c r="K458" s="257">
        <v>7502660</v>
      </c>
      <c r="L458" s="257">
        <v>7502660</v>
      </c>
      <c r="M458" s="257">
        <v>0</v>
      </c>
      <c r="N458" s="257">
        <v>0</v>
      </c>
    </row>
    <row r="459" spans="1:14" hidden="1" x14ac:dyDescent="0.25">
      <c r="A459" s="143" t="s">
        <v>712</v>
      </c>
      <c r="B459" s="143" t="s">
        <v>474</v>
      </c>
      <c r="C459" s="143" t="s">
        <v>699</v>
      </c>
      <c r="D459" s="143" t="s">
        <v>69</v>
      </c>
      <c r="E459" s="257">
        <v>14763409</v>
      </c>
      <c r="F459" s="257">
        <v>14763409</v>
      </c>
      <c r="G459" s="257">
        <v>14763409</v>
      </c>
      <c r="H459" s="257">
        <v>0</v>
      </c>
      <c r="I459" s="257">
        <v>12583655</v>
      </c>
      <c r="J459">
        <v>0</v>
      </c>
      <c r="K459" s="257">
        <v>2179754</v>
      </c>
      <c r="L459" s="257">
        <v>2179754</v>
      </c>
      <c r="M459" s="257">
        <v>0</v>
      </c>
      <c r="N459" s="257">
        <v>0</v>
      </c>
    </row>
    <row r="460" spans="1:14" hidden="1" x14ac:dyDescent="0.25">
      <c r="A460" s="143" t="s">
        <v>712</v>
      </c>
      <c r="B460" s="143" t="s">
        <v>491</v>
      </c>
      <c r="C460" s="143" t="s">
        <v>700</v>
      </c>
      <c r="D460" s="143" t="s">
        <v>69</v>
      </c>
      <c r="E460" s="257">
        <v>29526919</v>
      </c>
      <c r="F460" s="257">
        <v>29526919</v>
      </c>
      <c r="G460" s="257">
        <v>29526919</v>
      </c>
      <c r="H460" s="257">
        <v>0</v>
      </c>
      <c r="I460" s="257">
        <v>25167410</v>
      </c>
      <c r="J460" s="252">
        <v>0</v>
      </c>
      <c r="K460" s="257">
        <v>4359509</v>
      </c>
      <c r="L460" s="257">
        <v>4359509</v>
      </c>
      <c r="M460" s="257">
        <v>0</v>
      </c>
      <c r="N460" s="257">
        <v>0</v>
      </c>
    </row>
    <row r="461" spans="1:14" hidden="1" x14ac:dyDescent="0.25">
      <c r="A461" s="143" t="s">
        <v>712</v>
      </c>
      <c r="B461" s="143" t="s">
        <v>104</v>
      </c>
      <c r="C461" s="143" t="s">
        <v>105</v>
      </c>
      <c r="D461" s="143" t="s">
        <v>69</v>
      </c>
      <c r="E461" s="257">
        <v>306630000</v>
      </c>
      <c r="F461" s="257">
        <v>306630000</v>
      </c>
      <c r="G461" s="257">
        <v>91282500</v>
      </c>
      <c r="H461" s="257">
        <v>0</v>
      </c>
      <c r="I461" s="257">
        <v>68510000</v>
      </c>
      <c r="J461" s="261">
        <v>0</v>
      </c>
      <c r="K461" s="257">
        <v>0</v>
      </c>
      <c r="L461" s="257">
        <v>0</v>
      </c>
      <c r="M461" s="257">
        <v>238120000</v>
      </c>
      <c r="N461" s="257">
        <v>22772500</v>
      </c>
    </row>
    <row r="462" spans="1:14" hidden="1" x14ac:dyDescent="0.25">
      <c r="A462" s="143" t="s">
        <v>712</v>
      </c>
      <c r="B462" s="143" t="s">
        <v>112</v>
      </c>
      <c r="C462" s="143" t="s">
        <v>113</v>
      </c>
      <c r="D462" s="143" t="s">
        <v>69</v>
      </c>
      <c r="E462" s="257">
        <v>291630000</v>
      </c>
      <c r="F462" s="257">
        <v>291630000</v>
      </c>
      <c r="G462" s="257">
        <v>76282500</v>
      </c>
      <c r="H462" s="257">
        <v>0</v>
      </c>
      <c r="I462" s="257">
        <v>68510000</v>
      </c>
      <c r="J462" s="266">
        <v>0</v>
      </c>
      <c r="K462" s="257">
        <v>0</v>
      </c>
      <c r="L462" s="257">
        <v>0</v>
      </c>
      <c r="M462" s="257">
        <v>223120000</v>
      </c>
      <c r="N462" s="257">
        <v>7772500</v>
      </c>
    </row>
    <row r="463" spans="1:14" hidden="1" x14ac:dyDescent="0.25">
      <c r="A463" s="143" t="s">
        <v>712</v>
      </c>
      <c r="B463" s="143" t="s">
        <v>114</v>
      </c>
      <c r="C463" s="143" t="s">
        <v>115</v>
      </c>
      <c r="D463" s="143" t="s">
        <v>69</v>
      </c>
      <c r="E463" s="257">
        <v>221840000</v>
      </c>
      <c r="F463" s="257">
        <v>221840000</v>
      </c>
      <c r="G463" s="257">
        <v>55460000</v>
      </c>
      <c r="H463" s="257">
        <v>0</v>
      </c>
      <c r="I463" s="257">
        <v>55460000</v>
      </c>
      <c r="J463" s="269">
        <v>0</v>
      </c>
      <c r="K463" s="257">
        <v>0</v>
      </c>
      <c r="L463" s="257">
        <v>0</v>
      </c>
      <c r="M463" s="257">
        <v>166380000</v>
      </c>
      <c r="N463" s="257">
        <v>0</v>
      </c>
    </row>
    <row r="464" spans="1:14" hidden="1" x14ac:dyDescent="0.25">
      <c r="A464" s="143" t="s">
        <v>712</v>
      </c>
      <c r="B464" s="143" t="s">
        <v>116</v>
      </c>
      <c r="C464" s="143" t="s">
        <v>117</v>
      </c>
      <c r="D464" s="143" t="s">
        <v>69</v>
      </c>
      <c r="E464" s="257">
        <v>52200000</v>
      </c>
      <c r="F464" s="257">
        <v>52200000</v>
      </c>
      <c r="G464" s="257">
        <v>13050000</v>
      </c>
      <c r="H464" s="257">
        <v>0</v>
      </c>
      <c r="I464" s="257">
        <v>13050000</v>
      </c>
      <c r="J464" s="269">
        <v>0</v>
      </c>
      <c r="K464" s="257">
        <v>0</v>
      </c>
      <c r="L464" s="257">
        <v>0</v>
      </c>
      <c r="M464" s="257">
        <v>39150000</v>
      </c>
      <c r="N464" s="257">
        <v>0</v>
      </c>
    </row>
    <row r="465" spans="1:14" hidden="1" x14ac:dyDescent="0.25">
      <c r="A465" s="143" t="s">
        <v>712</v>
      </c>
      <c r="B465" s="143" t="s">
        <v>120</v>
      </c>
      <c r="C465" s="143" t="s">
        <v>121</v>
      </c>
      <c r="D465" s="143" t="s">
        <v>69</v>
      </c>
      <c r="E465" s="257">
        <v>13090000</v>
      </c>
      <c r="F465" s="257">
        <v>13090000</v>
      </c>
      <c r="G465" s="257">
        <v>3272500</v>
      </c>
      <c r="H465" s="257">
        <v>0</v>
      </c>
      <c r="I465" s="257">
        <v>0</v>
      </c>
      <c r="J465" s="269">
        <v>0</v>
      </c>
      <c r="K465" s="257">
        <v>0</v>
      </c>
      <c r="L465" s="257">
        <v>0</v>
      </c>
      <c r="M465" s="257">
        <v>13090000</v>
      </c>
      <c r="N465" s="257">
        <v>3272500</v>
      </c>
    </row>
    <row r="466" spans="1:14" hidden="1" x14ac:dyDescent="0.25">
      <c r="A466" s="143" t="s">
        <v>712</v>
      </c>
      <c r="B466" s="143" t="s">
        <v>122</v>
      </c>
      <c r="C466" s="143" t="s">
        <v>123</v>
      </c>
      <c r="D466" s="143" t="s">
        <v>69</v>
      </c>
      <c r="E466" s="257">
        <v>4500000</v>
      </c>
      <c r="F466" s="257">
        <v>4500000</v>
      </c>
      <c r="G466" s="257">
        <v>4500000</v>
      </c>
      <c r="H466" s="257">
        <v>0</v>
      </c>
      <c r="I466" s="257">
        <v>0</v>
      </c>
      <c r="J466" s="269">
        <v>0</v>
      </c>
      <c r="K466" s="257">
        <v>0</v>
      </c>
      <c r="L466" s="257">
        <v>0</v>
      </c>
      <c r="M466" s="257">
        <v>4500000</v>
      </c>
      <c r="N466" s="257">
        <v>4500000</v>
      </c>
    </row>
    <row r="467" spans="1:14" hidden="1" x14ac:dyDescent="0.25">
      <c r="A467" s="143" t="s">
        <v>712</v>
      </c>
      <c r="B467" s="143" t="s">
        <v>162</v>
      </c>
      <c r="C467" s="143" t="s">
        <v>163</v>
      </c>
      <c r="D467" s="143" t="s">
        <v>69</v>
      </c>
      <c r="E467" s="257">
        <v>15000000</v>
      </c>
      <c r="F467" s="257">
        <v>15000000</v>
      </c>
      <c r="G467" s="257">
        <v>15000000</v>
      </c>
      <c r="H467" s="257">
        <v>0</v>
      </c>
      <c r="I467" s="257">
        <v>0</v>
      </c>
      <c r="J467" s="269">
        <v>0</v>
      </c>
      <c r="K467" s="257">
        <v>0</v>
      </c>
      <c r="L467" s="257">
        <v>0</v>
      </c>
      <c r="M467" s="257">
        <v>15000000</v>
      </c>
      <c r="N467" s="257">
        <v>15000000</v>
      </c>
    </row>
    <row r="468" spans="1:14" hidden="1" x14ac:dyDescent="0.25">
      <c r="A468" s="143" t="s">
        <v>712</v>
      </c>
      <c r="B468" s="143" t="s">
        <v>164</v>
      </c>
      <c r="C468" s="143" t="s">
        <v>165</v>
      </c>
      <c r="D468" s="143" t="s">
        <v>69</v>
      </c>
      <c r="E468" s="257">
        <v>15000000</v>
      </c>
      <c r="F468" s="257">
        <v>15000000</v>
      </c>
      <c r="G468" s="257">
        <v>15000000</v>
      </c>
      <c r="H468" s="257">
        <v>0</v>
      </c>
      <c r="I468" s="257">
        <v>0</v>
      </c>
      <c r="J468" s="269">
        <v>0</v>
      </c>
      <c r="K468" s="257">
        <v>0</v>
      </c>
      <c r="L468" s="257">
        <v>0</v>
      </c>
      <c r="M468" s="257">
        <v>15000000</v>
      </c>
      <c r="N468" s="257">
        <v>15000000</v>
      </c>
    </row>
    <row r="469" spans="1:14" hidden="1" x14ac:dyDescent="0.25">
      <c r="A469" s="143" t="s">
        <v>712</v>
      </c>
      <c r="B469" s="143" t="s">
        <v>184</v>
      </c>
      <c r="C469" s="143" t="s">
        <v>185</v>
      </c>
      <c r="D469" s="143" t="s">
        <v>69</v>
      </c>
      <c r="E469" s="257">
        <v>621407272</v>
      </c>
      <c r="F469" s="257">
        <v>621407272</v>
      </c>
      <c r="G469" s="257">
        <v>165026546</v>
      </c>
      <c r="H469" s="257">
        <v>0</v>
      </c>
      <c r="I469" s="257">
        <v>37767193.799999997</v>
      </c>
      <c r="J469" s="269">
        <v>0</v>
      </c>
      <c r="K469" s="257">
        <v>0</v>
      </c>
      <c r="L469" s="257">
        <v>0</v>
      </c>
      <c r="M469" s="257">
        <v>583640078.20000005</v>
      </c>
      <c r="N469" s="257">
        <v>127259352.2</v>
      </c>
    </row>
    <row r="470" spans="1:14" hidden="1" x14ac:dyDescent="0.25">
      <c r="A470" s="143" t="s">
        <v>712</v>
      </c>
      <c r="B470" s="143" t="s">
        <v>186</v>
      </c>
      <c r="C470" s="143" t="s">
        <v>187</v>
      </c>
      <c r="D470" s="143" t="s">
        <v>69</v>
      </c>
      <c r="E470" s="257">
        <v>25251750</v>
      </c>
      <c r="F470" s="257">
        <v>25251750</v>
      </c>
      <c r="G470" s="257">
        <v>6254188</v>
      </c>
      <c r="H470" s="257">
        <v>0</v>
      </c>
      <c r="I470" s="257">
        <v>0</v>
      </c>
      <c r="J470" s="269">
        <v>0</v>
      </c>
      <c r="K470" s="257">
        <v>0</v>
      </c>
      <c r="L470" s="257">
        <v>0</v>
      </c>
      <c r="M470" s="257">
        <v>25251750</v>
      </c>
      <c r="N470" s="257">
        <v>6254188</v>
      </c>
    </row>
    <row r="471" spans="1:14" hidden="1" x14ac:dyDescent="0.25">
      <c r="A471" s="143" t="s">
        <v>712</v>
      </c>
      <c r="B471" s="143" t="s">
        <v>188</v>
      </c>
      <c r="C471" s="143" t="s">
        <v>189</v>
      </c>
      <c r="D471" s="143" t="s">
        <v>69</v>
      </c>
      <c r="E471" s="257">
        <v>24819750</v>
      </c>
      <c r="F471" s="257">
        <v>24819750</v>
      </c>
      <c r="G471" s="257">
        <v>6057188</v>
      </c>
      <c r="H471" s="257">
        <v>0</v>
      </c>
      <c r="I471" s="257">
        <v>0</v>
      </c>
      <c r="J471" s="269">
        <v>0</v>
      </c>
      <c r="K471" s="257">
        <v>0</v>
      </c>
      <c r="L471" s="257">
        <v>0</v>
      </c>
      <c r="M471" s="257">
        <v>24819750</v>
      </c>
      <c r="N471" s="257">
        <v>6057188</v>
      </c>
    </row>
    <row r="472" spans="1:14" hidden="1" x14ac:dyDescent="0.25">
      <c r="A472" s="143" t="s">
        <v>712</v>
      </c>
      <c r="B472" s="143" t="s">
        <v>190</v>
      </c>
      <c r="C472" s="143" t="s">
        <v>191</v>
      </c>
      <c r="D472" s="143" t="s">
        <v>69</v>
      </c>
      <c r="E472" s="257">
        <v>197000</v>
      </c>
      <c r="F472" s="257">
        <v>197000</v>
      </c>
      <c r="G472" s="257">
        <v>197000</v>
      </c>
      <c r="H472" s="257">
        <v>0</v>
      </c>
      <c r="I472" s="257">
        <v>0</v>
      </c>
      <c r="J472" s="269">
        <v>0</v>
      </c>
      <c r="K472" s="257">
        <v>0</v>
      </c>
      <c r="L472" s="257">
        <v>0</v>
      </c>
      <c r="M472" s="257">
        <v>197000</v>
      </c>
      <c r="N472" s="257">
        <v>197000</v>
      </c>
    </row>
    <row r="473" spans="1:14" hidden="1" x14ac:dyDescent="0.25">
      <c r="A473" s="143" t="s">
        <v>712</v>
      </c>
      <c r="B473" s="143" t="s">
        <v>194</v>
      </c>
      <c r="C473" s="143" t="s">
        <v>195</v>
      </c>
      <c r="D473" s="143" t="s">
        <v>69</v>
      </c>
      <c r="E473" s="257">
        <v>235000</v>
      </c>
      <c r="F473" s="257">
        <v>235000</v>
      </c>
      <c r="G473" s="257">
        <v>0</v>
      </c>
      <c r="H473" s="257">
        <v>0</v>
      </c>
      <c r="I473" s="257">
        <v>0</v>
      </c>
      <c r="J473" s="269">
        <v>0</v>
      </c>
      <c r="K473" s="257">
        <v>0</v>
      </c>
      <c r="L473" s="257">
        <v>0</v>
      </c>
      <c r="M473" s="257">
        <v>235000</v>
      </c>
      <c r="N473" s="257">
        <v>0</v>
      </c>
    </row>
    <row r="474" spans="1:14" hidden="1" x14ac:dyDescent="0.25">
      <c r="A474" s="143" t="s">
        <v>712</v>
      </c>
      <c r="B474" s="143" t="s">
        <v>196</v>
      </c>
      <c r="C474" s="143" t="s">
        <v>197</v>
      </c>
      <c r="D474" s="143" t="s">
        <v>69</v>
      </c>
      <c r="E474" s="257">
        <v>582942552</v>
      </c>
      <c r="F474" s="257">
        <v>582942552</v>
      </c>
      <c r="G474" s="257">
        <v>145559388</v>
      </c>
      <c r="H474" s="257">
        <v>0</v>
      </c>
      <c r="I474" s="257">
        <v>37767193.799999997</v>
      </c>
      <c r="J474" s="269">
        <v>0</v>
      </c>
      <c r="K474" s="257">
        <v>0</v>
      </c>
      <c r="L474" s="257">
        <v>0</v>
      </c>
      <c r="M474" s="257">
        <v>545175358.20000005</v>
      </c>
      <c r="N474" s="257">
        <v>107792194.2</v>
      </c>
    </row>
    <row r="475" spans="1:14" hidden="1" x14ac:dyDescent="0.25">
      <c r="A475" s="143" t="s">
        <v>712</v>
      </c>
      <c r="B475" s="143" t="s">
        <v>198</v>
      </c>
      <c r="C475" s="143" t="s">
        <v>199</v>
      </c>
      <c r="D475" s="143" t="s">
        <v>69</v>
      </c>
      <c r="E475" s="257">
        <v>582942552</v>
      </c>
      <c r="F475" s="257">
        <v>582942552</v>
      </c>
      <c r="G475" s="257">
        <v>145559388</v>
      </c>
      <c r="H475" s="257">
        <v>0</v>
      </c>
      <c r="I475" s="257">
        <v>37767193.799999997</v>
      </c>
      <c r="J475" s="269">
        <v>0</v>
      </c>
      <c r="K475" s="257">
        <v>0</v>
      </c>
      <c r="L475" s="257">
        <v>0</v>
      </c>
      <c r="M475" s="257">
        <v>545175358.20000005</v>
      </c>
      <c r="N475" s="257">
        <v>107792194.2</v>
      </c>
    </row>
    <row r="476" spans="1:14" hidden="1" x14ac:dyDescent="0.25">
      <c r="A476" s="143" t="s">
        <v>712</v>
      </c>
      <c r="B476" s="143" t="s">
        <v>206</v>
      </c>
      <c r="C476" s="143" t="s">
        <v>207</v>
      </c>
      <c r="D476" s="143" t="s">
        <v>69</v>
      </c>
      <c r="E476" s="257">
        <v>367200</v>
      </c>
      <c r="F476" s="257">
        <v>367200</v>
      </c>
      <c r="G476" s="257">
        <v>367200</v>
      </c>
      <c r="H476" s="257">
        <v>0</v>
      </c>
      <c r="I476" s="257">
        <v>0</v>
      </c>
      <c r="J476">
        <v>0</v>
      </c>
      <c r="K476" s="257">
        <v>0</v>
      </c>
      <c r="L476" s="257">
        <v>0</v>
      </c>
      <c r="M476" s="257">
        <v>367200</v>
      </c>
      <c r="N476" s="257">
        <v>367200</v>
      </c>
    </row>
    <row r="477" spans="1:14" hidden="1" x14ac:dyDescent="0.25">
      <c r="A477" s="143" t="s">
        <v>712</v>
      </c>
      <c r="B477" s="143" t="s">
        <v>208</v>
      </c>
      <c r="C477" s="143" t="s">
        <v>209</v>
      </c>
      <c r="D477" s="143" t="s">
        <v>69</v>
      </c>
      <c r="E477" s="257">
        <v>367200</v>
      </c>
      <c r="F477" s="257">
        <v>367200</v>
      </c>
      <c r="G477" s="257">
        <v>367200</v>
      </c>
      <c r="H477" s="257">
        <v>0</v>
      </c>
      <c r="I477" s="257">
        <v>0</v>
      </c>
      <c r="J477" s="252">
        <v>0</v>
      </c>
      <c r="K477" s="257">
        <v>0</v>
      </c>
      <c r="L477" s="257">
        <v>0</v>
      </c>
      <c r="M477" s="257">
        <v>367200</v>
      </c>
      <c r="N477" s="257">
        <v>367200</v>
      </c>
    </row>
    <row r="478" spans="1:14" hidden="1" x14ac:dyDescent="0.25">
      <c r="A478" s="143" t="s">
        <v>712</v>
      </c>
      <c r="B478" s="143" t="s">
        <v>354</v>
      </c>
      <c r="C478" s="143" t="s">
        <v>355</v>
      </c>
      <c r="D478" s="143" t="s">
        <v>69</v>
      </c>
      <c r="E478" s="257">
        <v>6280000</v>
      </c>
      <c r="F478" s="257">
        <v>6280000</v>
      </c>
      <c r="G478" s="257">
        <v>6280000</v>
      </c>
      <c r="H478" s="257">
        <v>0</v>
      </c>
      <c r="I478" s="257">
        <v>0</v>
      </c>
      <c r="J478" s="261">
        <v>0</v>
      </c>
      <c r="K478" s="257">
        <v>0</v>
      </c>
      <c r="L478" s="257">
        <v>0</v>
      </c>
      <c r="M478" s="257">
        <v>6280000</v>
      </c>
      <c r="N478" s="257">
        <v>6280000</v>
      </c>
    </row>
    <row r="479" spans="1:14" hidden="1" x14ac:dyDescent="0.25">
      <c r="A479" s="143" t="s">
        <v>712</v>
      </c>
      <c r="B479" s="143" t="s">
        <v>356</v>
      </c>
      <c r="C479" s="143" t="s">
        <v>357</v>
      </c>
      <c r="D479" s="143" t="s">
        <v>69</v>
      </c>
      <c r="E479" s="257">
        <v>6280000</v>
      </c>
      <c r="F479" s="257">
        <v>6280000</v>
      </c>
      <c r="G479" s="257">
        <v>6280000</v>
      </c>
      <c r="H479" s="257">
        <v>0</v>
      </c>
      <c r="I479" s="257">
        <v>0</v>
      </c>
      <c r="J479" s="266">
        <v>0</v>
      </c>
      <c r="K479" s="257">
        <v>0</v>
      </c>
      <c r="L479" s="257">
        <v>0</v>
      </c>
      <c r="M479" s="257">
        <v>6280000</v>
      </c>
      <c r="N479" s="257">
        <v>6280000</v>
      </c>
    </row>
    <row r="480" spans="1:14" hidden="1" x14ac:dyDescent="0.25">
      <c r="A480" s="143" t="s">
        <v>712</v>
      </c>
      <c r="B480" s="143" t="s">
        <v>212</v>
      </c>
      <c r="C480" s="143" t="s">
        <v>213</v>
      </c>
      <c r="D480" s="143" t="s">
        <v>69</v>
      </c>
      <c r="E480" s="257">
        <v>6565770</v>
      </c>
      <c r="F480" s="257">
        <v>6565770</v>
      </c>
      <c r="G480" s="257">
        <v>6565770</v>
      </c>
      <c r="H480" s="257">
        <v>0</v>
      </c>
      <c r="I480" s="257">
        <v>0</v>
      </c>
      <c r="J480" s="269">
        <v>0</v>
      </c>
      <c r="K480" s="257">
        <v>0</v>
      </c>
      <c r="L480" s="257">
        <v>0</v>
      </c>
      <c r="M480" s="257">
        <v>6565770</v>
      </c>
      <c r="N480" s="257">
        <v>6565770</v>
      </c>
    </row>
    <row r="481" spans="1:14" hidden="1" x14ac:dyDescent="0.25">
      <c r="A481" s="143" t="s">
        <v>712</v>
      </c>
      <c r="B481" s="143" t="s">
        <v>216</v>
      </c>
      <c r="C481" s="143" t="s">
        <v>217</v>
      </c>
      <c r="D481" s="143" t="s">
        <v>69</v>
      </c>
      <c r="E481" s="257">
        <v>1076170</v>
      </c>
      <c r="F481" s="257">
        <v>1076170</v>
      </c>
      <c r="G481" s="257">
        <v>1076170</v>
      </c>
      <c r="H481" s="257">
        <v>0</v>
      </c>
      <c r="I481" s="257">
        <v>0</v>
      </c>
      <c r="J481" s="269">
        <v>0</v>
      </c>
      <c r="K481" s="257">
        <v>0</v>
      </c>
      <c r="L481" s="257">
        <v>0</v>
      </c>
      <c r="M481" s="257">
        <v>1076170</v>
      </c>
      <c r="N481" s="257">
        <v>1076170</v>
      </c>
    </row>
    <row r="482" spans="1:14" hidden="1" x14ac:dyDescent="0.25">
      <c r="A482" s="143" t="s">
        <v>712</v>
      </c>
      <c r="B482" s="143" t="s">
        <v>218</v>
      </c>
      <c r="C482" s="143" t="s">
        <v>219</v>
      </c>
      <c r="D482" s="143" t="s">
        <v>69</v>
      </c>
      <c r="E482" s="257">
        <v>333500</v>
      </c>
      <c r="F482" s="257">
        <v>333500</v>
      </c>
      <c r="G482" s="257">
        <v>333500</v>
      </c>
      <c r="H482" s="257">
        <v>0</v>
      </c>
      <c r="I482" s="257">
        <v>0</v>
      </c>
      <c r="J482" s="269">
        <v>0</v>
      </c>
      <c r="K482" s="257">
        <v>0</v>
      </c>
      <c r="L482" s="257">
        <v>0</v>
      </c>
      <c r="M482" s="257">
        <v>333500</v>
      </c>
      <c r="N482" s="257">
        <v>333500</v>
      </c>
    </row>
    <row r="483" spans="1:14" hidden="1" x14ac:dyDescent="0.25">
      <c r="A483" s="143" t="s">
        <v>712</v>
      </c>
      <c r="B483" s="143" t="s">
        <v>220</v>
      </c>
      <c r="C483" s="143" t="s">
        <v>221</v>
      </c>
      <c r="D483" s="143" t="s">
        <v>69</v>
      </c>
      <c r="E483" s="257">
        <v>2531700</v>
      </c>
      <c r="F483" s="257">
        <v>2531700</v>
      </c>
      <c r="G483" s="257">
        <v>2531700</v>
      </c>
      <c r="H483" s="257">
        <v>0</v>
      </c>
      <c r="I483" s="257">
        <v>0</v>
      </c>
      <c r="J483" s="269">
        <v>0</v>
      </c>
      <c r="K483" s="257">
        <v>0</v>
      </c>
      <c r="L483" s="257">
        <v>0</v>
      </c>
      <c r="M483" s="257">
        <v>2531700</v>
      </c>
      <c r="N483" s="257">
        <v>2531700</v>
      </c>
    </row>
    <row r="484" spans="1:14" hidden="1" x14ac:dyDescent="0.25">
      <c r="A484" s="143" t="s">
        <v>712</v>
      </c>
      <c r="B484" s="143" t="s">
        <v>224</v>
      </c>
      <c r="C484" s="143" t="s">
        <v>225</v>
      </c>
      <c r="D484" s="143" t="s">
        <v>69</v>
      </c>
      <c r="E484" s="257">
        <v>525000</v>
      </c>
      <c r="F484" s="257">
        <v>525000</v>
      </c>
      <c r="G484" s="257">
        <v>525000</v>
      </c>
      <c r="H484" s="257">
        <v>0</v>
      </c>
      <c r="I484" s="257">
        <v>0</v>
      </c>
      <c r="J484" s="269">
        <v>0</v>
      </c>
      <c r="K484" s="257">
        <v>0</v>
      </c>
      <c r="L484" s="257">
        <v>0</v>
      </c>
      <c r="M484" s="257">
        <v>525000</v>
      </c>
      <c r="N484" s="257">
        <v>525000</v>
      </c>
    </row>
    <row r="485" spans="1:14" hidden="1" x14ac:dyDescent="0.25">
      <c r="A485" s="143" t="s">
        <v>712</v>
      </c>
      <c r="B485" s="143" t="s">
        <v>226</v>
      </c>
      <c r="C485" s="143" t="s">
        <v>227</v>
      </c>
      <c r="D485" s="143" t="s">
        <v>69</v>
      </c>
      <c r="E485" s="257">
        <v>2094900</v>
      </c>
      <c r="F485" s="257">
        <v>2094900</v>
      </c>
      <c r="G485" s="257">
        <v>2094900</v>
      </c>
      <c r="H485" s="257">
        <v>0</v>
      </c>
      <c r="I485" s="257">
        <v>0</v>
      </c>
      <c r="J485" s="269">
        <v>0</v>
      </c>
      <c r="K485" s="257">
        <v>0</v>
      </c>
      <c r="L485" s="257">
        <v>0</v>
      </c>
      <c r="M485" s="257">
        <v>2094900</v>
      </c>
      <c r="N485" s="257">
        <v>2094900</v>
      </c>
    </row>
    <row r="486" spans="1:14" hidden="1" x14ac:dyDescent="0.25">
      <c r="A486" s="143" t="s">
        <v>712</v>
      </c>
      <c r="B486" s="143" t="s">
        <v>228</v>
      </c>
      <c r="C486" s="143" t="s">
        <v>229</v>
      </c>
      <c r="D486" s="143" t="s">
        <v>69</v>
      </c>
      <c r="E486" s="257">
        <v>4500</v>
      </c>
      <c r="F486" s="257">
        <v>4500</v>
      </c>
      <c r="G486" s="257">
        <v>4500</v>
      </c>
      <c r="H486" s="257">
        <v>0</v>
      </c>
      <c r="I486" s="257">
        <v>0</v>
      </c>
      <c r="J486" s="269">
        <v>0</v>
      </c>
      <c r="K486" s="257">
        <v>0</v>
      </c>
      <c r="L486" s="257">
        <v>0</v>
      </c>
      <c r="M486" s="257">
        <v>4500</v>
      </c>
      <c r="N486" s="257">
        <v>4500</v>
      </c>
    </row>
    <row r="487" spans="1:14" hidden="1" x14ac:dyDescent="0.25">
      <c r="A487" s="143" t="s">
        <v>712</v>
      </c>
      <c r="B487" s="143" t="s">
        <v>248</v>
      </c>
      <c r="C487" s="143" t="s">
        <v>249</v>
      </c>
      <c r="D487" s="143" t="s">
        <v>69</v>
      </c>
      <c r="E487" s="257">
        <v>21838204</v>
      </c>
      <c r="F487" s="257">
        <v>21838204</v>
      </c>
      <c r="G487" s="257">
        <v>21838204</v>
      </c>
      <c r="H487" s="257">
        <v>0</v>
      </c>
      <c r="I487" s="257">
        <v>14052422</v>
      </c>
      <c r="J487" s="269">
        <v>0</v>
      </c>
      <c r="K487" s="257">
        <v>2285782</v>
      </c>
      <c r="L487" s="257">
        <v>2285782</v>
      </c>
      <c r="M487" s="257">
        <v>5500000</v>
      </c>
      <c r="N487" s="257">
        <v>5500000</v>
      </c>
    </row>
    <row r="488" spans="1:14" hidden="1" x14ac:dyDescent="0.25">
      <c r="A488" s="143" t="s">
        <v>712</v>
      </c>
      <c r="B488" s="143" t="s">
        <v>250</v>
      </c>
      <c r="C488" s="143" t="s">
        <v>251</v>
      </c>
      <c r="D488" s="143" t="s">
        <v>69</v>
      </c>
      <c r="E488" s="257">
        <v>16338204</v>
      </c>
      <c r="F488" s="257">
        <v>16338204</v>
      </c>
      <c r="G488" s="257">
        <v>16338204</v>
      </c>
      <c r="H488" s="257">
        <v>0</v>
      </c>
      <c r="I488" s="257">
        <v>14052422</v>
      </c>
      <c r="J488" s="269">
        <v>0</v>
      </c>
      <c r="K488" s="257">
        <v>2285782</v>
      </c>
      <c r="L488" s="257">
        <v>2285782</v>
      </c>
      <c r="M488" s="257">
        <v>0</v>
      </c>
      <c r="N488" s="257">
        <v>0</v>
      </c>
    </row>
    <row r="489" spans="1:14" hidden="1" x14ac:dyDescent="0.25">
      <c r="A489" s="143" t="s">
        <v>712</v>
      </c>
      <c r="B489" s="143" t="s">
        <v>631</v>
      </c>
      <c r="C489" s="143" t="s">
        <v>702</v>
      </c>
      <c r="D489" s="143" t="s">
        <v>69</v>
      </c>
      <c r="E489" s="257">
        <v>13877686</v>
      </c>
      <c r="F489" s="257">
        <v>13877686</v>
      </c>
      <c r="G489" s="257">
        <v>13877686</v>
      </c>
      <c r="H489" s="257">
        <v>0</v>
      </c>
      <c r="I489" s="257">
        <v>11955197</v>
      </c>
      <c r="J489" s="269">
        <v>0</v>
      </c>
      <c r="K489" s="257">
        <v>1922489</v>
      </c>
      <c r="L489" s="257">
        <v>1922489</v>
      </c>
      <c r="M489" s="257">
        <v>0</v>
      </c>
      <c r="N489" s="257">
        <v>0</v>
      </c>
    </row>
    <row r="490" spans="1:14" hidden="1" x14ac:dyDescent="0.25">
      <c r="A490" s="143" t="s">
        <v>712</v>
      </c>
      <c r="B490" s="143" t="s">
        <v>646</v>
      </c>
      <c r="C490" s="143" t="s">
        <v>703</v>
      </c>
      <c r="D490" s="143" t="s">
        <v>69</v>
      </c>
      <c r="E490" s="257">
        <v>2460518</v>
      </c>
      <c r="F490" s="257">
        <v>2460518</v>
      </c>
      <c r="G490" s="257">
        <v>2460518</v>
      </c>
      <c r="H490" s="257">
        <v>0</v>
      </c>
      <c r="I490" s="257">
        <v>2097225</v>
      </c>
      <c r="J490" s="269">
        <v>0</v>
      </c>
      <c r="K490" s="257">
        <v>363293</v>
      </c>
      <c r="L490" s="257">
        <v>363293</v>
      </c>
      <c r="M490" s="257">
        <v>0</v>
      </c>
      <c r="N490" s="257">
        <v>0</v>
      </c>
    </row>
    <row r="491" spans="1:14" hidden="1" x14ac:dyDescent="0.25">
      <c r="A491" s="143" t="s">
        <v>712</v>
      </c>
      <c r="B491" s="143" t="s">
        <v>260</v>
      </c>
      <c r="C491" s="143" t="s">
        <v>261</v>
      </c>
      <c r="D491" s="143" t="s">
        <v>69</v>
      </c>
      <c r="E491" s="257">
        <v>5500000</v>
      </c>
      <c r="F491" s="257">
        <v>5500000</v>
      </c>
      <c r="G491" s="257">
        <v>5500000</v>
      </c>
      <c r="H491" s="257">
        <v>0</v>
      </c>
      <c r="I491" s="257">
        <v>0</v>
      </c>
      <c r="J491" s="269">
        <v>0</v>
      </c>
      <c r="K491" s="257">
        <v>0</v>
      </c>
      <c r="L491" s="257">
        <v>0</v>
      </c>
      <c r="M491" s="257">
        <v>5500000</v>
      </c>
      <c r="N491" s="257">
        <v>5500000</v>
      </c>
    </row>
    <row r="492" spans="1:14" hidden="1" x14ac:dyDescent="0.25">
      <c r="A492" s="143" t="s">
        <v>712</v>
      </c>
      <c r="B492" s="143" t="s">
        <v>264</v>
      </c>
      <c r="C492" s="143" t="s">
        <v>265</v>
      </c>
      <c r="D492" s="143" t="s">
        <v>69</v>
      </c>
      <c r="E492" s="257">
        <v>5500000</v>
      </c>
      <c r="F492" s="257">
        <v>5500000</v>
      </c>
      <c r="G492" s="257">
        <v>5500000</v>
      </c>
      <c r="H492" s="257">
        <v>0</v>
      </c>
      <c r="I492" s="257">
        <v>0</v>
      </c>
      <c r="J492" s="269">
        <v>0</v>
      </c>
      <c r="K492" s="257">
        <v>0</v>
      </c>
      <c r="L492" s="257">
        <v>0</v>
      </c>
      <c r="M492" s="257">
        <v>5500000</v>
      </c>
      <c r="N492" s="257">
        <v>5500000</v>
      </c>
    </row>
    <row r="493" spans="1:14" hidden="1" x14ac:dyDescent="0.25">
      <c r="A493" s="143" t="s">
        <v>712</v>
      </c>
      <c r="B493" s="143" t="s">
        <v>230</v>
      </c>
      <c r="C493" s="143" t="s">
        <v>231</v>
      </c>
      <c r="D493" s="143" t="s">
        <v>85</v>
      </c>
      <c r="E493" s="257">
        <v>10612500</v>
      </c>
      <c r="F493" s="257">
        <v>10612500</v>
      </c>
      <c r="G493" s="257">
        <v>10612500</v>
      </c>
      <c r="H493" s="257">
        <v>5960000</v>
      </c>
      <c r="I493" s="257">
        <v>0</v>
      </c>
      <c r="J493">
        <v>0</v>
      </c>
      <c r="K493" s="257">
        <v>0</v>
      </c>
      <c r="L493" s="257">
        <v>0</v>
      </c>
      <c r="M493" s="257">
        <v>4652500</v>
      </c>
      <c r="N493" s="257">
        <v>4652500</v>
      </c>
    </row>
    <row r="494" spans="1:14" hidden="1" x14ac:dyDescent="0.25">
      <c r="A494" s="143" t="s">
        <v>712</v>
      </c>
      <c r="B494" s="143" t="s">
        <v>232</v>
      </c>
      <c r="C494" s="143" t="s">
        <v>233</v>
      </c>
      <c r="D494" s="143" t="s">
        <v>85</v>
      </c>
      <c r="E494" s="257">
        <v>10612500</v>
      </c>
      <c r="F494" s="257">
        <v>10612500</v>
      </c>
      <c r="G494" s="257">
        <v>10612500</v>
      </c>
      <c r="H494" s="257">
        <v>5960000</v>
      </c>
      <c r="I494" s="257">
        <v>0</v>
      </c>
      <c r="J494" s="252">
        <v>0</v>
      </c>
      <c r="K494" s="257">
        <v>0</v>
      </c>
      <c r="L494" s="257">
        <v>0</v>
      </c>
      <c r="M494" s="257">
        <v>4652500</v>
      </c>
      <c r="N494" s="257">
        <v>4652500</v>
      </c>
    </row>
    <row r="495" spans="1:14" hidden="1" x14ac:dyDescent="0.25">
      <c r="A495" s="143" t="s">
        <v>712</v>
      </c>
      <c r="B495" s="143" t="s">
        <v>234</v>
      </c>
      <c r="C495" s="143" t="s">
        <v>235</v>
      </c>
      <c r="D495" s="143" t="s">
        <v>85</v>
      </c>
      <c r="E495" s="257">
        <v>6650000</v>
      </c>
      <c r="F495" s="257">
        <v>6650000</v>
      </c>
      <c r="G495" s="257">
        <v>6650000</v>
      </c>
      <c r="H495" s="257">
        <v>5960000</v>
      </c>
      <c r="I495" s="257">
        <v>0</v>
      </c>
      <c r="J495" s="261">
        <v>0</v>
      </c>
      <c r="K495" s="257">
        <v>0</v>
      </c>
      <c r="L495" s="257">
        <v>0</v>
      </c>
      <c r="M495" s="257">
        <v>690000</v>
      </c>
      <c r="N495" s="257">
        <v>690000</v>
      </c>
    </row>
    <row r="496" spans="1:14" hidden="1" x14ac:dyDescent="0.25">
      <c r="A496" s="143" t="s">
        <v>712</v>
      </c>
      <c r="B496" s="143" t="s">
        <v>326</v>
      </c>
      <c r="C496" s="143" t="s">
        <v>327</v>
      </c>
      <c r="D496" s="143" t="s">
        <v>85</v>
      </c>
      <c r="E496" s="257">
        <v>760000</v>
      </c>
      <c r="F496" s="257">
        <v>760000</v>
      </c>
      <c r="G496" s="257">
        <v>760000</v>
      </c>
      <c r="H496" s="257">
        <v>0</v>
      </c>
      <c r="I496" s="257">
        <v>0</v>
      </c>
      <c r="J496" s="266">
        <v>0</v>
      </c>
      <c r="K496" s="257">
        <v>0</v>
      </c>
      <c r="L496" s="257">
        <v>0</v>
      </c>
      <c r="M496" s="257">
        <v>760000</v>
      </c>
      <c r="N496" s="257">
        <v>760000</v>
      </c>
    </row>
    <row r="497" spans="1:14" hidden="1" x14ac:dyDescent="0.25">
      <c r="A497" s="143" t="s">
        <v>712</v>
      </c>
      <c r="B497" s="143" t="s">
        <v>242</v>
      </c>
      <c r="C497" s="143" t="s">
        <v>243</v>
      </c>
      <c r="D497" s="143" t="s">
        <v>85</v>
      </c>
      <c r="E497" s="257">
        <v>3202500</v>
      </c>
      <c r="F497" s="257">
        <v>3202500</v>
      </c>
      <c r="G497" s="257">
        <v>3202500</v>
      </c>
      <c r="H497" s="257">
        <v>0</v>
      </c>
      <c r="I497" s="257">
        <v>0</v>
      </c>
      <c r="J497" s="269">
        <v>0</v>
      </c>
      <c r="K497" s="257">
        <v>0</v>
      </c>
      <c r="L497" s="257">
        <v>0</v>
      </c>
      <c r="M497" s="257">
        <v>3202500</v>
      </c>
      <c r="N497" s="257">
        <v>3202500</v>
      </c>
    </row>
    <row r="498" spans="1:14" x14ac:dyDescent="0.25">
      <c r="A498" s="270">
        <v>214789003</v>
      </c>
      <c r="B498" s="143"/>
      <c r="C498" s="143"/>
      <c r="D498" s="271" t="s">
        <v>69</v>
      </c>
      <c r="E498" s="257">
        <v>1434240030</v>
      </c>
      <c r="F498" s="272">
        <v>1434240030</v>
      </c>
      <c r="G498" s="257">
        <v>1252527639</v>
      </c>
      <c r="H498" s="269">
        <v>0</v>
      </c>
      <c r="I498" s="273">
        <v>200914171.19999999</v>
      </c>
      <c r="J498" s="269">
        <v>0</v>
      </c>
      <c r="K498" s="269">
        <v>222134221.69</v>
      </c>
      <c r="L498" s="274">
        <v>217916166.69</v>
      </c>
      <c r="M498" s="273">
        <v>1011191637.11</v>
      </c>
      <c r="N498" s="257">
        <v>829479246.11000001</v>
      </c>
    </row>
    <row r="499" spans="1:14" hidden="1" x14ac:dyDescent="0.25">
      <c r="A499" s="143" t="s">
        <v>713</v>
      </c>
      <c r="B499" s="143" t="s">
        <v>71</v>
      </c>
      <c r="C499" s="143" t="s">
        <v>72</v>
      </c>
      <c r="D499" s="143" t="s">
        <v>69</v>
      </c>
      <c r="E499" s="257">
        <v>1171265212</v>
      </c>
      <c r="F499" s="257">
        <v>1171265212</v>
      </c>
      <c r="G499" s="257">
        <v>1171265212</v>
      </c>
      <c r="H499" s="257">
        <v>0</v>
      </c>
      <c r="I499" s="257">
        <v>153829119</v>
      </c>
      <c r="J499" s="269">
        <v>0</v>
      </c>
      <c r="K499" s="257">
        <v>215621597.69</v>
      </c>
      <c r="L499" s="257">
        <v>215621597.69</v>
      </c>
      <c r="M499" s="257">
        <v>801814495.30999994</v>
      </c>
      <c r="N499" s="257">
        <v>801814495.30999994</v>
      </c>
    </row>
    <row r="500" spans="1:14" hidden="1" x14ac:dyDescent="0.25">
      <c r="A500" s="143" t="s">
        <v>713</v>
      </c>
      <c r="B500" s="143" t="s">
        <v>73</v>
      </c>
      <c r="C500" s="143" t="s">
        <v>74</v>
      </c>
      <c r="D500" s="143" t="s">
        <v>69</v>
      </c>
      <c r="E500" s="257">
        <v>419650432</v>
      </c>
      <c r="F500" s="257">
        <v>419650432</v>
      </c>
      <c r="G500" s="257">
        <v>419650432</v>
      </c>
      <c r="H500" s="257">
        <v>0</v>
      </c>
      <c r="I500" s="257">
        <v>0</v>
      </c>
      <c r="J500" s="269">
        <v>0</v>
      </c>
      <c r="K500" s="257">
        <v>65994218.079999998</v>
      </c>
      <c r="L500" s="257">
        <v>65994218.079999998</v>
      </c>
      <c r="M500" s="257">
        <v>353656213.92000002</v>
      </c>
      <c r="N500" s="257">
        <v>353656213.92000002</v>
      </c>
    </row>
    <row r="501" spans="1:14" hidden="1" x14ac:dyDescent="0.25">
      <c r="A501" s="143" t="s">
        <v>713</v>
      </c>
      <c r="B501" s="143" t="s">
        <v>75</v>
      </c>
      <c r="C501" s="143" t="s">
        <v>76</v>
      </c>
      <c r="D501" s="143" t="s">
        <v>69</v>
      </c>
      <c r="E501" s="257">
        <v>419650432</v>
      </c>
      <c r="F501" s="257">
        <v>419650432</v>
      </c>
      <c r="G501" s="257">
        <v>419650432</v>
      </c>
      <c r="H501" s="257">
        <v>0</v>
      </c>
      <c r="I501" s="257">
        <v>0</v>
      </c>
      <c r="J501" s="269">
        <v>0</v>
      </c>
      <c r="K501" s="257">
        <v>65994218.079999998</v>
      </c>
      <c r="L501" s="257">
        <v>65994218.079999998</v>
      </c>
      <c r="M501" s="257">
        <v>353656213.92000002</v>
      </c>
      <c r="N501" s="257">
        <v>353656213.92000002</v>
      </c>
    </row>
    <row r="502" spans="1:14" hidden="1" x14ac:dyDescent="0.25">
      <c r="A502" s="143" t="s">
        <v>713</v>
      </c>
      <c r="B502" s="143" t="s">
        <v>293</v>
      </c>
      <c r="C502" s="143" t="s">
        <v>294</v>
      </c>
      <c r="D502" s="143" t="s">
        <v>69</v>
      </c>
      <c r="E502" s="257">
        <v>5204100</v>
      </c>
      <c r="F502" s="257">
        <v>5204100</v>
      </c>
      <c r="G502" s="257">
        <v>5204100</v>
      </c>
      <c r="H502" s="257">
        <v>0</v>
      </c>
      <c r="I502" s="257">
        <v>0</v>
      </c>
      <c r="J502" s="269">
        <v>0</v>
      </c>
      <c r="K502" s="257">
        <v>0</v>
      </c>
      <c r="L502" s="257">
        <v>0</v>
      </c>
      <c r="M502" s="257">
        <v>5204100</v>
      </c>
      <c r="N502" s="257">
        <v>5204100</v>
      </c>
    </row>
    <row r="503" spans="1:14" hidden="1" x14ac:dyDescent="0.25">
      <c r="A503" s="143" t="s">
        <v>713</v>
      </c>
      <c r="B503" s="143" t="s">
        <v>339</v>
      </c>
      <c r="C503" s="143" t="s">
        <v>340</v>
      </c>
      <c r="D503" s="143" t="s">
        <v>69</v>
      </c>
      <c r="E503" s="257">
        <v>5204100</v>
      </c>
      <c r="F503" s="257">
        <v>5204100</v>
      </c>
      <c r="G503" s="257">
        <v>5204100</v>
      </c>
      <c r="H503" s="257">
        <v>0</v>
      </c>
      <c r="I503" s="257">
        <v>0</v>
      </c>
      <c r="J503" s="269">
        <v>0</v>
      </c>
      <c r="K503" s="257">
        <v>0</v>
      </c>
      <c r="L503" s="257">
        <v>0</v>
      </c>
      <c r="M503" s="257">
        <v>5204100</v>
      </c>
      <c r="N503" s="257">
        <v>5204100</v>
      </c>
    </row>
    <row r="504" spans="1:14" hidden="1" x14ac:dyDescent="0.25">
      <c r="A504" s="143" t="s">
        <v>713</v>
      </c>
      <c r="B504" s="143" t="s">
        <v>77</v>
      </c>
      <c r="C504" s="143" t="s">
        <v>78</v>
      </c>
      <c r="D504" s="143" t="s">
        <v>69</v>
      </c>
      <c r="E504" s="257">
        <v>567738543</v>
      </c>
      <c r="F504" s="257">
        <v>567738543</v>
      </c>
      <c r="G504" s="257">
        <v>567738543</v>
      </c>
      <c r="H504" s="257">
        <v>0</v>
      </c>
      <c r="I504" s="257">
        <v>0</v>
      </c>
      <c r="J504" s="269">
        <v>0</v>
      </c>
      <c r="K504" s="257">
        <v>124784361.61</v>
      </c>
      <c r="L504" s="257">
        <v>124784361.61</v>
      </c>
      <c r="M504" s="257">
        <v>442954181.38999999</v>
      </c>
      <c r="N504" s="257">
        <v>442954181.38999999</v>
      </c>
    </row>
    <row r="505" spans="1:14" hidden="1" x14ac:dyDescent="0.25">
      <c r="A505" s="143" t="s">
        <v>713</v>
      </c>
      <c r="B505" s="143" t="s">
        <v>79</v>
      </c>
      <c r="C505" s="143" t="s">
        <v>80</v>
      </c>
      <c r="D505" s="143" t="s">
        <v>69</v>
      </c>
      <c r="E505" s="257">
        <v>176537100</v>
      </c>
      <c r="F505" s="257">
        <v>176537100</v>
      </c>
      <c r="G505" s="257">
        <v>176537100</v>
      </c>
      <c r="H505" s="257">
        <v>0</v>
      </c>
      <c r="I505" s="257">
        <v>0</v>
      </c>
      <c r="J505" s="269">
        <v>0</v>
      </c>
      <c r="K505" s="257">
        <v>25266176.010000002</v>
      </c>
      <c r="L505" s="257">
        <v>25266176.010000002</v>
      </c>
      <c r="M505" s="257">
        <v>151270923.99000001</v>
      </c>
      <c r="N505" s="257">
        <v>151270923.99000001</v>
      </c>
    </row>
    <row r="506" spans="1:14" hidden="1" x14ac:dyDescent="0.25">
      <c r="A506" s="143" t="s">
        <v>713</v>
      </c>
      <c r="B506" s="143" t="s">
        <v>81</v>
      </c>
      <c r="C506" s="143" t="s">
        <v>82</v>
      </c>
      <c r="D506" s="143" t="s">
        <v>69</v>
      </c>
      <c r="E506" s="257">
        <v>145353690</v>
      </c>
      <c r="F506" s="257">
        <v>145353690</v>
      </c>
      <c r="G506" s="257">
        <v>145353690</v>
      </c>
      <c r="H506" s="257">
        <v>0</v>
      </c>
      <c r="I506" s="257">
        <v>0</v>
      </c>
      <c r="J506" s="269">
        <v>0</v>
      </c>
      <c r="K506" s="257">
        <v>21310785.550000001</v>
      </c>
      <c r="L506" s="257">
        <v>21310785.550000001</v>
      </c>
      <c r="M506" s="257">
        <v>124042904.45</v>
      </c>
      <c r="N506" s="257">
        <v>124042904.45</v>
      </c>
    </row>
    <row r="507" spans="1:14" hidden="1" x14ac:dyDescent="0.25">
      <c r="A507" s="143" t="s">
        <v>713</v>
      </c>
      <c r="B507" s="143" t="s">
        <v>86</v>
      </c>
      <c r="C507" s="143" t="s">
        <v>87</v>
      </c>
      <c r="D507" s="143" t="s">
        <v>69</v>
      </c>
      <c r="E507" s="257">
        <v>70126000</v>
      </c>
      <c r="F507" s="257">
        <v>70126000</v>
      </c>
      <c r="G507" s="257">
        <v>70126000</v>
      </c>
      <c r="H507" s="257">
        <v>0</v>
      </c>
      <c r="I507" s="257">
        <v>0</v>
      </c>
      <c r="J507" s="269">
        <v>0</v>
      </c>
      <c r="K507" s="257">
        <v>62351269.950000003</v>
      </c>
      <c r="L507" s="257">
        <v>62351269.950000003</v>
      </c>
      <c r="M507" s="257">
        <v>7774730.0499999998</v>
      </c>
      <c r="N507" s="257">
        <v>7774730.0499999998</v>
      </c>
    </row>
    <row r="508" spans="1:14" hidden="1" x14ac:dyDescent="0.25">
      <c r="A508" s="143" t="s">
        <v>713</v>
      </c>
      <c r="B508" s="143" t="s">
        <v>88</v>
      </c>
      <c r="C508" s="143" t="s">
        <v>89</v>
      </c>
      <c r="D508" s="143" t="s">
        <v>69</v>
      </c>
      <c r="E508" s="257">
        <v>99397100</v>
      </c>
      <c r="F508" s="257">
        <v>99397100</v>
      </c>
      <c r="G508" s="257">
        <v>99397100</v>
      </c>
      <c r="H508" s="257">
        <v>0</v>
      </c>
      <c r="I508" s="257">
        <v>0</v>
      </c>
      <c r="J508" s="269">
        <v>0</v>
      </c>
      <c r="K508" s="257">
        <v>15856130.1</v>
      </c>
      <c r="L508" s="257">
        <v>15856130.1</v>
      </c>
      <c r="M508" s="257">
        <v>83540969.900000006</v>
      </c>
      <c r="N508" s="257">
        <v>83540969.900000006</v>
      </c>
    </row>
    <row r="509" spans="1:14" hidden="1" x14ac:dyDescent="0.25">
      <c r="A509" s="143" t="s">
        <v>713</v>
      </c>
      <c r="B509" s="143" t="s">
        <v>83</v>
      </c>
      <c r="C509" s="143" t="s">
        <v>84</v>
      </c>
      <c r="D509" s="143" t="s">
        <v>85</v>
      </c>
      <c r="E509" s="257">
        <v>76324653</v>
      </c>
      <c r="F509" s="257">
        <v>76324653</v>
      </c>
      <c r="G509" s="257">
        <v>76324653</v>
      </c>
      <c r="H509" s="257">
        <v>0</v>
      </c>
      <c r="I509" s="257">
        <v>0</v>
      </c>
      <c r="J509" s="269">
        <v>0</v>
      </c>
      <c r="K509" s="257">
        <v>0</v>
      </c>
      <c r="L509" s="257">
        <v>0</v>
      </c>
      <c r="M509" s="257">
        <v>76324653</v>
      </c>
      <c r="N509" s="257">
        <v>76324653</v>
      </c>
    </row>
    <row r="510" spans="1:14" hidden="1" x14ac:dyDescent="0.25">
      <c r="A510" s="143" t="s">
        <v>713</v>
      </c>
      <c r="B510" s="143" t="s">
        <v>90</v>
      </c>
      <c r="C510" s="143" t="s">
        <v>91</v>
      </c>
      <c r="D510" s="143" t="s">
        <v>69</v>
      </c>
      <c r="E510" s="257">
        <v>89336069</v>
      </c>
      <c r="F510" s="257">
        <v>89336069</v>
      </c>
      <c r="G510" s="257">
        <v>89336069</v>
      </c>
      <c r="H510" s="257">
        <v>0</v>
      </c>
      <c r="I510" s="257">
        <v>76860718</v>
      </c>
      <c r="J510">
        <v>0</v>
      </c>
      <c r="K510" s="257">
        <v>12475351</v>
      </c>
      <c r="L510" s="257">
        <v>12475351</v>
      </c>
      <c r="M510" s="257">
        <v>0</v>
      </c>
      <c r="N510" s="257">
        <v>0</v>
      </c>
    </row>
    <row r="511" spans="1:14" hidden="1" x14ac:dyDescent="0.25">
      <c r="A511" s="143" t="s">
        <v>713</v>
      </c>
      <c r="B511" s="143" t="s">
        <v>423</v>
      </c>
      <c r="C511" s="143" t="s">
        <v>697</v>
      </c>
      <c r="D511" s="143" t="s">
        <v>69</v>
      </c>
      <c r="E511" s="257">
        <v>84754804</v>
      </c>
      <c r="F511" s="257">
        <v>84754804</v>
      </c>
      <c r="G511" s="257">
        <v>84754804</v>
      </c>
      <c r="H511" s="257">
        <v>0</v>
      </c>
      <c r="I511" s="257">
        <v>72919214</v>
      </c>
      <c r="J511" s="252">
        <v>0</v>
      </c>
      <c r="K511" s="257">
        <v>11835590</v>
      </c>
      <c r="L511" s="257">
        <v>11835590</v>
      </c>
      <c r="M511" s="257">
        <v>0</v>
      </c>
      <c r="N511" s="257">
        <v>0</v>
      </c>
    </row>
    <row r="512" spans="1:14" hidden="1" x14ac:dyDescent="0.25">
      <c r="A512" s="143" t="s">
        <v>713</v>
      </c>
      <c r="B512" s="143" t="s">
        <v>440</v>
      </c>
      <c r="C512" s="143" t="s">
        <v>95</v>
      </c>
      <c r="D512" s="143" t="s">
        <v>69</v>
      </c>
      <c r="E512" s="257">
        <v>4581265</v>
      </c>
      <c r="F512" s="257">
        <v>4581265</v>
      </c>
      <c r="G512" s="257">
        <v>4581265</v>
      </c>
      <c r="H512" s="257">
        <v>0</v>
      </c>
      <c r="I512" s="257">
        <v>3941504</v>
      </c>
      <c r="J512" s="261">
        <v>0</v>
      </c>
      <c r="K512" s="257">
        <v>639761</v>
      </c>
      <c r="L512" s="257">
        <v>639761</v>
      </c>
      <c r="M512" s="257">
        <v>0</v>
      </c>
      <c r="N512" s="257">
        <v>0</v>
      </c>
    </row>
    <row r="513" spans="1:14" hidden="1" x14ac:dyDescent="0.25">
      <c r="A513" s="143" t="s">
        <v>713</v>
      </c>
      <c r="B513" s="143" t="s">
        <v>96</v>
      </c>
      <c r="C513" s="143" t="s">
        <v>97</v>
      </c>
      <c r="D513" s="143" t="s">
        <v>69</v>
      </c>
      <c r="E513" s="257">
        <v>89336068</v>
      </c>
      <c r="F513" s="257">
        <v>89336068</v>
      </c>
      <c r="G513" s="257">
        <v>89336068</v>
      </c>
      <c r="H513" s="257">
        <v>0</v>
      </c>
      <c r="I513" s="257">
        <v>76968401</v>
      </c>
      <c r="J513" s="266">
        <v>0</v>
      </c>
      <c r="K513" s="257">
        <v>12367667</v>
      </c>
      <c r="L513" s="257">
        <v>12367667</v>
      </c>
      <c r="M513" s="257">
        <v>0</v>
      </c>
      <c r="N513" s="257">
        <v>0</v>
      </c>
    </row>
    <row r="514" spans="1:14" hidden="1" x14ac:dyDescent="0.25">
      <c r="A514" s="143" t="s">
        <v>713</v>
      </c>
      <c r="B514" s="143" t="s">
        <v>458</v>
      </c>
      <c r="C514" s="143" t="s">
        <v>698</v>
      </c>
      <c r="D514" s="143" t="s">
        <v>69</v>
      </c>
      <c r="E514" s="257">
        <v>48104083</v>
      </c>
      <c r="F514" s="257">
        <v>48104083</v>
      </c>
      <c r="G514" s="257">
        <v>48104083</v>
      </c>
      <c r="H514" s="257">
        <v>0</v>
      </c>
      <c r="I514" s="257">
        <v>41494270</v>
      </c>
      <c r="J514" s="269">
        <v>0</v>
      </c>
      <c r="K514" s="257">
        <v>6609813</v>
      </c>
      <c r="L514" s="257">
        <v>6609813</v>
      </c>
      <c r="M514" s="257">
        <v>0</v>
      </c>
      <c r="N514" s="257">
        <v>0</v>
      </c>
    </row>
    <row r="515" spans="1:14" hidden="1" x14ac:dyDescent="0.25">
      <c r="A515" s="143" t="s">
        <v>713</v>
      </c>
      <c r="B515" s="143" t="s">
        <v>475</v>
      </c>
      <c r="C515" s="143" t="s">
        <v>699</v>
      </c>
      <c r="D515" s="143" t="s">
        <v>69</v>
      </c>
      <c r="E515" s="257">
        <v>13743995</v>
      </c>
      <c r="F515" s="257">
        <v>13743995</v>
      </c>
      <c r="G515" s="257">
        <v>13743995</v>
      </c>
      <c r="H515" s="257">
        <v>0</v>
      </c>
      <c r="I515" s="257">
        <v>11824711</v>
      </c>
      <c r="J515" s="269">
        <v>0</v>
      </c>
      <c r="K515" s="257">
        <v>1919284</v>
      </c>
      <c r="L515" s="257">
        <v>1919284</v>
      </c>
      <c r="M515" s="257">
        <v>0</v>
      </c>
      <c r="N515" s="257">
        <v>0</v>
      </c>
    </row>
    <row r="516" spans="1:14" hidden="1" x14ac:dyDescent="0.25">
      <c r="A516" s="143" t="s">
        <v>713</v>
      </c>
      <c r="B516" s="143" t="s">
        <v>492</v>
      </c>
      <c r="C516" s="143" t="s">
        <v>700</v>
      </c>
      <c r="D516" s="143" t="s">
        <v>69</v>
      </c>
      <c r="E516" s="257">
        <v>27487990</v>
      </c>
      <c r="F516" s="257">
        <v>27487990</v>
      </c>
      <c r="G516" s="257">
        <v>27487990</v>
      </c>
      <c r="H516" s="257">
        <v>0</v>
      </c>
      <c r="I516" s="257">
        <v>23649420</v>
      </c>
      <c r="J516" s="269">
        <v>0</v>
      </c>
      <c r="K516" s="257">
        <v>3838570</v>
      </c>
      <c r="L516" s="257">
        <v>3838570</v>
      </c>
      <c r="M516" s="257">
        <v>0</v>
      </c>
      <c r="N516" s="257">
        <v>0</v>
      </c>
    </row>
    <row r="517" spans="1:14" hidden="1" x14ac:dyDescent="0.25">
      <c r="A517" s="143" t="s">
        <v>713</v>
      </c>
      <c r="B517" s="143" t="s">
        <v>104</v>
      </c>
      <c r="C517" s="143" t="s">
        <v>105</v>
      </c>
      <c r="D517" s="143" t="s">
        <v>69</v>
      </c>
      <c r="E517" s="257">
        <v>92630000</v>
      </c>
      <c r="F517" s="257">
        <v>92630000</v>
      </c>
      <c r="G517" s="257">
        <v>23907500</v>
      </c>
      <c r="H517" s="257">
        <v>0</v>
      </c>
      <c r="I517" s="257">
        <v>18111945</v>
      </c>
      <c r="J517" s="269">
        <v>0</v>
      </c>
      <c r="K517" s="257">
        <v>4218055</v>
      </c>
      <c r="L517" s="257">
        <v>0</v>
      </c>
      <c r="M517" s="257">
        <v>70300000</v>
      </c>
      <c r="N517" s="257">
        <v>1577500</v>
      </c>
    </row>
    <row r="518" spans="1:14" hidden="1" x14ac:dyDescent="0.25">
      <c r="A518" s="143" t="s">
        <v>713</v>
      </c>
      <c r="B518" s="143" t="s">
        <v>112</v>
      </c>
      <c r="C518" s="143" t="s">
        <v>113</v>
      </c>
      <c r="D518" s="143" t="s">
        <v>69</v>
      </c>
      <c r="E518" s="257">
        <v>92630000</v>
      </c>
      <c r="F518" s="257">
        <v>92630000</v>
      </c>
      <c r="G518" s="257">
        <v>23907500</v>
      </c>
      <c r="H518" s="257">
        <v>0</v>
      </c>
      <c r="I518" s="257">
        <v>18111945</v>
      </c>
      <c r="J518" s="269">
        <v>0</v>
      </c>
      <c r="K518" s="257">
        <v>4218055</v>
      </c>
      <c r="L518" s="257">
        <v>0</v>
      </c>
      <c r="M518" s="257">
        <v>70300000</v>
      </c>
      <c r="N518" s="257">
        <v>1577500</v>
      </c>
    </row>
    <row r="519" spans="1:14" hidden="1" x14ac:dyDescent="0.25">
      <c r="A519" s="143" t="s">
        <v>713</v>
      </c>
      <c r="B519" s="143" t="s">
        <v>114</v>
      </c>
      <c r="C519" s="143" t="s">
        <v>115</v>
      </c>
      <c r="D519" s="143" t="s">
        <v>69</v>
      </c>
      <c r="E519" s="257">
        <v>54520000</v>
      </c>
      <c r="F519" s="257">
        <v>54520000</v>
      </c>
      <c r="G519" s="257">
        <v>13630000</v>
      </c>
      <c r="H519" s="257">
        <v>0</v>
      </c>
      <c r="I519" s="257">
        <v>9411945</v>
      </c>
      <c r="J519" s="269">
        <v>0</v>
      </c>
      <c r="K519" s="257">
        <v>4218055</v>
      </c>
      <c r="L519" s="257">
        <v>0</v>
      </c>
      <c r="M519" s="257">
        <v>40890000</v>
      </c>
      <c r="N519" s="257">
        <v>0</v>
      </c>
    </row>
    <row r="520" spans="1:14" hidden="1" x14ac:dyDescent="0.25">
      <c r="A520" s="143" t="s">
        <v>713</v>
      </c>
      <c r="B520" s="143" t="s">
        <v>116</v>
      </c>
      <c r="C520" s="143" t="s">
        <v>117</v>
      </c>
      <c r="D520" s="143" t="s">
        <v>69</v>
      </c>
      <c r="E520" s="257">
        <v>34800000</v>
      </c>
      <c r="F520" s="257">
        <v>34800000</v>
      </c>
      <c r="G520" s="257">
        <v>8700000</v>
      </c>
      <c r="H520" s="257">
        <v>0</v>
      </c>
      <c r="I520" s="257">
        <v>8700000</v>
      </c>
      <c r="J520" s="269">
        <v>0</v>
      </c>
      <c r="K520" s="257">
        <v>0</v>
      </c>
      <c r="L520" s="257">
        <v>0</v>
      </c>
      <c r="M520" s="257">
        <v>26100000</v>
      </c>
      <c r="N520" s="257">
        <v>0</v>
      </c>
    </row>
    <row r="521" spans="1:14" hidden="1" x14ac:dyDescent="0.25">
      <c r="A521" s="143" t="s">
        <v>713</v>
      </c>
      <c r="B521" s="143" t="s">
        <v>120</v>
      </c>
      <c r="C521" s="143" t="s">
        <v>121</v>
      </c>
      <c r="D521" s="143" t="s">
        <v>69</v>
      </c>
      <c r="E521" s="257">
        <v>2310000</v>
      </c>
      <c r="F521" s="257">
        <v>2310000</v>
      </c>
      <c r="G521" s="257">
        <v>577500</v>
      </c>
      <c r="H521" s="257">
        <v>0</v>
      </c>
      <c r="I521" s="257">
        <v>0</v>
      </c>
      <c r="J521" s="269">
        <v>0</v>
      </c>
      <c r="K521" s="257">
        <v>0</v>
      </c>
      <c r="L521" s="257">
        <v>0</v>
      </c>
      <c r="M521" s="257">
        <v>2310000</v>
      </c>
      <c r="N521" s="257">
        <v>577500</v>
      </c>
    </row>
    <row r="522" spans="1:14" hidden="1" x14ac:dyDescent="0.25">
      <c r="A522" s="143" t="s">
        <v>713</v>
      </c>
      <c r="B522" s="143" t="s">
        <v>122</v>
      </c>
      <c r="C522" s="143" t="s">
        <v>123</v>
      </c>
      <c r="D522" s="143" t="s">
        <v>69</v>
      </c>
      <c r="E522" s="257">
        <v>1000000</v>
      </c>
      <c r="F522" s="257">
        <v>1000000</v>
      </c>
      <c r="G522" s="257">
        <v>1000000</v>
      </c>
      <c r="H522" s="257">
        <v>0</v>
      </c>
      <c r="I522" s="257">
        <v>0</v>
      </c>
      <c r="J522" s="269">
        <v>0</v>
      </c>
      <c r="K522" s="257">
        <v>0</v>
      </c>
      <c r="L522" s="257">
        <v>0</v>
      </c>
      <c r="M522" s="257">
        <v>1000000</v>
      </c>
      <c r="N522" s="257">
        <v>1000000</v>
      </c>
    </row>
    <row r="523" spans="1:14" hidden="1" x14ac:dyDescent="0.25">
      <c r="A523" s="143" t="s">
        <v>713</v>
      </c>
      <c r="B523" s="143" t="s">
        <v>184</v>
      </c>
      <c r="C523" s="143" t="s">
        <v>185</v>
      </c>
      <c r="D523" s="143" t="s">
        <v>69</v>
      </c>
      <c r="E523" s="257">
        <v>150099855</v>
      </c>
      <c r="F523" s="257">
        <v>150099855</v>
      </c>
      <c r="G523" s="257">
        <v>37109964</v>
      </c>
      <c r="H523" s="257">
        <v>0</v>
      </c>
      <c r="I523" s="257">
        <v>15779469.199999999</v>
      </c>
      <c r="J523" s="269">
        <v>0</v>
      </c>
      <c r="K523" s="257">
        <v>0</v>
      </c>
      <c r="L523" s="257">
        <v>0</v>
      </c>
      <c r="M523" s="257">
        <v>134320385.80000001</v>
      </c>
      <c r="N523" s="257">
        <v>21330494.800000001</v>
      </c>
    </row>
    <row r="524" spans="1:14" hidden="1" x14ac:dyDescent="0.25">
      <c r="A524" s="143" t="s">
        <v>713</v>
      </c>
      <c r="B524" s="143" t="s">
        <v>186</v>
      </c>
      <c r="C524" s="143" t="s">
        <v>187</v>
      </c>
      <c r="D524" s="143" t="s">
        <v>69</v>
      </c>
      <c r="E524" s="257">
        <v>568000</v>
      </c>
      <c r="F524" s="257">
        <v>568000</v>
      </c>
      <c r="G524" s="257">
        <v>153000</v>
      </c>
      <c r="H524" s="257">
        <v>0</v>
      </c>
      <c r="I524" s="257">
        <v>0</v>
      </c>
      <c r="J524" s="269">
        <v>0</v>
      </c>
      <c r="K524" s="257">
        <v>0</v>
      </c>
      <c r="L524" s="257">
        <v>0</v>
      </c>
      <c r="M524" s="257">
        <v>568000</v>
      </c>
      <c r="N524" s="257">
        <v>153000</v>
      </c>
    </row>
    <row r="525" spans="1:14" hidden="1" x14ac:dyDescent="0.25">
      <c r="A525" s="143" t="s">
        <v>713</v>
      </c>
      <c r="B525" s="143" t="s">
        <v>188</v>
      </c>
      <c r="C525" s="143" t="s">
        <v>189</v>
      </c>
      <c r="D525" s="143" t="s">
        <v>69</v>
      </c>
      <c r="E525" s="257">
        <v>5500</v>
      </c>
      <c r="F525" s="257">
        <v>5500</v>
      </c>
      <c r="G525" s="257">
        <v>5500</v>
      </c>
      <c r="H525" s="257">
        <v>0</v>
      </c>
      <c r="I525" s="257">
        <v>0</v>
      </c>
      <c r="J525" s="269">
        <v>0</v>
      </c>
      <c r="K525" s="257">
        <v>0</v>
      </c>
      <c r="L525" s="257">
        <v>0</v>
      </c>
      <c r="M525" s="257">
        <v>5500</v>
      </c>
      <c r="N525" s="257">
        <v>5500</v>
      </c>
    </row>
    <row r="526" spans="1:14" hidden="1" x14ac:dyDescent="0.25">
      <c r="A526" s="143" t="s">
        <v>713</v>
      </c>
      <c r="B526" s="143" t="s">
        <v>190</v>
      </c>
      <c r="C526" s="143" t="s">
        <v>191</v>
      </c>
      <c r="D526" s="143" t="s">
        <v>69</v>
      </c>
      <c r="E526" s="257">
        <v>147500</v>
      </c>
      <c r="F526" s="257">
        <v>147500</v>
      </c>
      <c r="G526" s="257">
        <v>147500</v>
      </c>
      <c r="H526" s="257">
        <v>0</v>
      </c>
      <c r="I526" s="257">
        <v>0</v>
      </c>
      <c r="J526" s="269">
        <v>0</v>
      </c>
      <c r="K526" s="257">
        <v>0</v>
      </c>
      <c r="L526" s="257">
        <v>0</v>
      </c>
      <c r="M526" s="257">
        <v>147500</v>
      </c>
      <c r="N526" s="257">
        <v>147500</v>
      </c>
    </row>
    <row r="527" spans="1:14" hidden="1" x14ac:dyDescent="0.25">
      <c r="A527" s="143" t="s">
        <v>713</v>
      </c>
      <c r="B527" s="143" t="s">
        <v>194</v>
      </c>
      <c r="C527" s="143" t="s">
        <v>195</v>
      </c>
      <c r="D527" s="143" t="s">
        <v>69</v>
      </c>
      <c r="E527" s="257">
        <v>415000</v>
      </c>
      <c r="F527" s="257">
        <v>415000</v>
      </c>
      <c r="G527" s="257">
        <v>0</v>
      </c>
      <c r="H527" s="257">
        <v>0</v>
      </c>
      <c r="I527" s="257">
        <v>0</v>
      </c>
      <c r="J527">
        <v>0</v>
      </c>
      <c r="K527" s="257">
        <v>0</v>
      </c>
      <c r="L527" s="257">
        <v>0</v>
      </c>
      <c r="M527" s="257">
        <v>415000</v>
      </c>
      <c r="N527" s="257">
        <v>0</v>
      </c>
    </row>
    <row r="528" spans="1:14" hidden="1" x14ac:dyDescent="0.25">
      <c r="A528" s="143" t="s">
        <v>713</v>
      </c>
      <c r="B528" s="143" t="s">
        <v>196</v>
      </c>
      <c r="C528" s="143" t="s">
        <v>197</v>
      </c>
      <c r="D528" s="143" t="s">
        <v>69</v>
      </c>
      <c r="E528" s="257">
        <v>148180115</v>
      </c>
      <c r="F528" s="257">
        <v>148180115</v>
      </c>
      <c r="G528" s="257">
        <v>35605224</v>
      </c>
      <c r="H528" s="257">
        <v>0</v>
      </c>
      <c r="I528" s="257">
        <v>15779469.199999999</v>
      </c>
      <c r="J528" s="252">
        <v>0</v>
      </c>
      <c r="K528" s="257">
        <v>0</v>
      </c>
      <c r="L528" s="257">
        <v>0</v>
      </c>
      <c r="M528" s="257">
        <v>132400645.8</v>
      </c>
      <c r="N528" s="257">
        <v>19825754.800000001</v>
      </c>
    </row>
    <row r="529" spans="1:14" hidden="1" x14ac:dyDescent="0.25">
      <c r="A529" s="143" t="s">
        <v>713</v>
      </c>
      <c r="B529" s="143" t="s">
        <v>198</v>
      </c>
      <c r="C529" s="143" t="s">
        <v>199</v>
      </c>
      <c r="D529" s="143" t="s">
        <v>69</v>
      </c>
      <c r="E529" s="257">
        <v>148180115</v>
      </c>
      <c r="F529" s="257">
        <v>148180115</v>
      </c>
      <c r="G529" s="257">
        <v>35605224</v>
      </c>
      <c r="H529" s="257">
        <v>0</v>
      </c>
      <c r="I529" s="257">
        <v>15779469.199999999</v>
      </c>
      <c r="J529" s="261">
        <v>0</v>
      </c>
      <c r="K529" s="257">
        <v>0</v>
      </c>
      <c r="L529" s="257">
        <v>0</v>
      </c>
      <c r="M529" s="257">
        <v>132400645.8</v>
      </c>
      <c r="N529" s="257">
        <v>19825754.800000001</v>
      </c>
    </row>
    <row r="530" spans="1:14" hidden="1" x14ac:dyDescent="0.25">
      <c r="A530" s="143" t="s">
        <v>713</v>
      </c>
      <c r="B530" s="143" t="s">
        <v>212</v>
      </c>
      <c r="C530" s="143" t="s">
        <v>213</v>
      </c>
      <c r="D530" s="143" t="s">
        <v>69</v>
      </c>
      <c r="E530" s="257">
        <v>1351740</v>
      </c>
      <c r="F530" s="257">
        <v>1351740</v>
      </c>
      <c r="G530" s="257">
        <v>1351740</v>
      </c>
      <c r="H530" s="257">
        <v>0</v>
      </c>
      <c r="I530" s="257">
        <v>0</v>
      </c>
      <c r="J530" s="266">
        <v>0</v>
      </c>
      <c r="K530" s="257">
        <v>0</v>
      </c>
      <c r="L530" s="257">
        <v>0</v>
      </c>
      <c r="M530" s="257">
        <v>1351740</v>
      </c>
      <c r="N530" s="257">
        <v>1351740</v>
      </c>
    </row>
    <row r="531" spans="1:14" hidden="1" x14ac:dyDescent="0.25">
      <c r="A531" s="143" t="s">
        <v>713</v>
      </c>
      <c r="B531" s="143" t="s">
        <v>216</v>
      </c>
      <c r="C531" s="143" t="s">
        <v>217</v>
      </c>
      <c r="D531" s="143" t="s">
        <v>69</v>
      </c>
      <c r="E531" s="257">
        <v>708740</v>
      </c>
      <c r="F531" s="257">
        <v>708740</v>
      </c>
      <c r="G531" s="257">
        <v>708740</v>
      </c>
      <c r="H531" s="257">
        <v>0</v>
      </c>
      <c r="I531" s="257">
        <v>0</v>
      </c>
      <c r="J531" s="269">
        <v>0</v>
      </c>
      <c r="K531" s="257">
        <v>0</v>
      </c>
      <c r="L531" s="257">
        <v>0</v>
      </c>
      <c r="M531" s="257">
        <v>708740</v>
      </c>
      <c r="N531" s="257">
        <v>708740</v>
      </c>
    </row>
    <row r="532" spans="1:14" hidden="1" x14ac:dyDescent="0.25">
      <c r="A532" s="143" t="s">
        <v>713</v>
      </c>
      <c r="B532" s="143" t="s">
        <v>218</v>
      </c>
      <c r="C532" s="143" t="s">
        <v>219</v>
      </c>
      <c r="D532" s="143" t="s">
        <v>69</v>
      </c>
      <c r="E532" s="257">
        <v>616000</v>
      </c>
      <c r="F532" s="257">
        <v>616000</v>
      </c>
      <c r="G532" s="257">
        <v>616000</v>
      </c>
      <c r="H532" s="257">
        <v>0</v>
      </c>
      <c r="I532" s="257">
        <v>0</v>
      </c>
      <c r="J532" s="269">
        <v>0</v>
      </c>
      <c r="K532" s="257">
        <v>0</v>
      </c>
      <c r="L532" s="257">
        <v>0</v>
      </c>
      <c r="M532" s="257">
        <v>616000</v>
      </c>
      <c r="N532" s="257">
        <v>616000</v>
      </c>
    </row>
    <row r="533" spans="1:14" hidden="1" x14ac:dyDescent="0.25">
      <c r="A533" s="143" t="s">
        <v>713</v>
      </c>
      <c r="B533" s="143" t="s">
        <v>224</v>
      </c>
      <c r="C533" s="143" t="s">
        <v>225</v>
      </c>
      <c r="D533" s="143" t="s">
        <v>69</v>
      </c>
      <c r="E533" s="257">
        <v>27000</v>
      </c>
      <c r="F533" s="257">
        <v>27000</v>
      </c>
      <c r="G533" s="257">
        <v>27000</v>
      </c>
      <c r="H533" s="257">
        <v>0</v>
      </c>
      <c r="I533" s="257">
        <v>0</v>
      </c>
      <c r="J533" s="269">
        <v>0</v>
      </c>
      <c r="K533" s="257">
        <v>0</v>
      </c>
      <c r="L533" s="257">
        <v>0</v>
      </c>
      <c r="M533" s="257">
        <v>27000</v>
      </c>
      <c r="N533" s="257">
        <v>27000</v>
      </c>
    </row>
    <row r="534" spans="1:14" hidden="1" x14ac:dyDescent="0.25">
      <c r="A534" s="143" t="s">
        <v>713</v>
      </c>
      <c r="B534" s="143" t="s">
        <v>248</v>
      </c>
      <c r="C534" s="143" t="s">
        <v>249</v>
      </c>
      <c r="D534" s="143" t="s">
        <v>69</v>
      </c>
      <c r="E534" s="257">
        <v>19709963</v>
      </c>
      <c r="F534" s="257">
        <v>19709963</v>
      </c>
      <c r="G534" s="257">
        <v>19709963</v>
      </c>
      <c r="H534" s="257">
        <v>0</v>
      </c>
      <c r="I534" s="257">
        <v>13193638</v>
      </c>
      <c r="J534" s="269">
        <v>0</v>
      </c>
      <c r="K534" s="257">
        <v>2294569</v>
      </c>
      <c r="L534" s="257">
        <v>2294569</v>
      </c>
      <c r="M534" s="257">
        <v>4221756</v>
      </c>
      <c r="N534" s="257">
        <v>4221756</v>
      </c>
    </row>
    <row r="535" spans="1:14" hidden="1" x14ac:dyDescent="0.25">
      <c r="A535" s="143" t="s">
        <v>713</v>
      </c>
      <c r="B535" s="143" t="s">
        <v>250</v>
      </c>
      <c r="C535" s="143" t="s">
        <v>251</v>
      </c>
      <c r="D535" s="143" t="s">
        <v>69</v>
      </c>
      <c r="E535" s="257">
        <v>15209963</v>
      </c>
      <c r="F535" s="257">
        <v>15209963</v>
      </c>
      <c r="G535" s="257">
        <v>15209963</v>
      </c>
      <c r="H535" s="257">
        <v>0</v>
      </c>
      <c r="I535" s="257">
        <v>13193638</v>
      </c>
      <c r="J535" s="269">
        <v>0</v>
      </c>
      <c r="K535" s="257">
        <v>2016325</v>
      </c>
      <c r="L535" s="257">
        <v>2016325</v>
      </c>
      <c r="M535" s="257">
        <v>0</v>
      </c>
      <c r="N535" s="257">
        <v>0</v>
      </c>
    </row>
    <row r="536" spans="1:14" hidden="1" x14ac:dyDescent="0.25">
      <c r="A536" s="143" t="s">
        <v>713</v>
      </c>
      <c r="B536" s="143" t="s">
        <v>632</v>
      </c>
      <c r="C536" s="143" t="s">
        <v>702</v>
      </c>
      <c r="D536" s="143" t="s">
        <v>69</v>
      </c>
      <c r="E536" s="257">
        <v>12919331</v>
      </c>
      <c r="F536" s="257">
        <v>12919331</v>
      </c>
      <c r="G536" s="257">
        <v>12919331</v>
      </c>
      <c r="H536" s="257">
        <v>0</v>
      </c>
      <c r="I536" s="257">
        <v>11222887</v>
      </c>
      <c r="J536" s="269">
        <v>0</v>
      </c>
      <c r="K536" s="257">
        <v>1696444</v>
      </c>
      <c r="L536" s="257">
        <v>1696444</v>
      </c>
      <c r="M536" s="257">
        <v>0</v>
      </c>
      <c r="N536" s="257">
        <v>0</v>
      </c>
    </row>
    <row r="537" spans="1:14" hidden="1" x14ac:dyDescent="0.25">
      <c r="A537" s="143" t="s">
        <v>713</v>
      </c>
      <c r="B537" s="143" t="s">
        <v>647</v>
      </c>
      <c r="C537" s="143" t="s">
        <v>703</v>
      </c>
      <c r="D537" s="143" t="s">
        <v>69</v>
      </c>
      <c r="E537" s="257">
        <v>2290632</v>
      </c>
      <c r="F537" s="257">
        <v>2290632</v>
      </c>
      <c r="G537" s="257">
        <v>2290632</v>
      </c>
      <c r="H537" s="257">
        <v>0</v>
      </c>
      <c r="I537" s="257">
        <v>1970751</v>
      </c>
      <c r="J537" s="269">
        <v>0</v>
      </c>
      <c r="K537" s="257">
        <v>319881</v>
      </c>
      <c r="L537" s="257">
        <v>319881</v>
      </c>
      <c r="M537" s="257">
        <v>0</v>
      </c>
      <c r="N537" s="257">
        <v>0</v>
      </c>
    </row>
    <row r="538" spans="1:14" hidden="1" x14ac:dyDescent="0.25">
      <c r="A538" s="143" t="s">
        <v>713</v>
      </c>
      <c r="B538" s="143" t="s">
        <v>260</v>
      </c>
      <c r="C538" s="143" t="s">
        <v>261</v>
      </c>
      <c r="D538" s="143" t="s">
        <v>69</v>
      </c>
      <c r="E538" s="257">
        <v>4500000</v>
      </c>
      <c r="F538" s="257">
        <v>4500000</v>
      </c>
      <c r="G538" s="257">
        <v>4500000</v>
      </c>
      <c r="H538" s="257">
        <v>0</v>
      </c>
      <c r="I538" s="257">
        <v>0</v>
      </c>
      <c r="J538" s="269">
        <v>0</v>
      </c>
      <c r="K538" s="257">
        <v>278244</v>
      </c>
      <c r="L538" s="257">
        <v>278244</v>
      </c>
      <c r="M538" s="257">
        <v>4221756</v>
      </c>
      <c r="N538" s="257">
        <v>4221756</v>
      </c>
    </row>
    <row r="539" spans="1:14" hidden="1" x14ac:dyDescent="0.25">
      <c r="A539" s="143" t="s">
        <v>713</v>
      </c>
      <c r="B539" s="143" t="s">
        <v>264</v>
      </c>
      <c r="C539" s="143" t="s">
        <v>265</v>
      </c>
      <c r="D539" s="143" t="s">
        <v>69</v>
      </c>
      <c r="E539" s="257">
        <v>4500000</v>
      </c>
      <c r="F539" s="257">
        <v>4500000</v>
      </c>
      <c r="G539" s="257">
        <v>4500000</v>
      </c>
      <c r="H539" s="257">
        <v>0</v>
      </c>
      <c r="I539" s="257">
        <v>0</v>
      </c>
      <c r="J539" s="269">
        <v>0</v>
      </c>
      <c r="K539" s="257">
        <v>278244</v>
      </c>
      <c r="L539" s="257">
        <v>278244</v>
      </c>
      <c r="M539" s="257">
        <v>4221756</v>
      </c>
      <c r="N539" s="257">
        <v>4221756</v>
      </c>
    </row>
    <row r="540" spans="1:14" hidden="1" x14ac:dyDescent="0.25">
      <c r="A540" s="143" t="s">
        <v>713</v>
      </c>
      <c r="B540" s="143" t="s">
        <v>230</v>
      </c>
      <c r="C540" s="143" t="s">
        <v>231</v>
      </c>
      <c r="D540" s="143" t="s">
        <v>85</v>
      </c>
      <c r="E540" s="257">
        <v>535000</v>
      </c>
      <c r="F540" s="257">
        <v>535000</v>
      </c>
      <c r="G540" s="257">
        <v>535000</v>
      </c>
      <c r="H540" s="257">
        <v>0</v>
      </c>
      <c r="I540" s="257">
        <v>0</v>
      </c>
      <c r="J540" s="269">
        <v>0</v>
      </c>
      <c r="K540" s="257">
        <v>0</v>
      </c>
      <c r="L540" s="257">
        <v>0</v>
      </c>
      <c r="M540" s="257">
        <v>535000</v>
      </c>
      <c r="N540" s="257">
        <v>535000</v>
      </c>
    </row>
    <row r="541" spans="1:14" hidden="1" x14ac:dyDescent="0.25">
      <c r="A541" s="143" t="s">
        <v>713</v>
      </c>
      <c r="B541" s="143" t="s">
        <v>232</v>
      </c>
      <c r="C541" s="143" t="s">
        <v>233</v>
      </c>
      <c r="D541" s="143" t="s">
        <v>85</v>
      </c>
      <c r="E541" s="257">
        <v>535000</v>
      </c>
      <c r="F541" s="257">
        <v>535000</v>
      </c>
      <c r="G541" s="257">
        <v>535000</v>
      </c>
      <c r="H541" s="257">
        <v>0</v>
      </c>
      <c r="I541" s="257">
        <v>0</v>
      </c>
      <c r="J541" s="269">
        <v>0</v>
      </c>
      <c r="K541" s="257">
        <v>0</v>
      </c>
      <c r="L541" s="257">
        <v>0</v>
      </c>
      <c r="M541" s="257">
        <v>535000</v>
      </c>
      <c r="N541" s="257">
        <v>535000</v>
      </c>
    </row>
    <row r="542" spans="1:14" hidden="1" x14ac:dyDescent="0.25">
      <c r="A542" s="143" t="s">
        <v>713</v>
      </c>
      <c r="B542" s="143" t="s">
        <v>326</v>
      </c>
      <c r="C542" s="143" t="s">
        <v>327</v>
      </c>
      <c r="D542" s="143" t="s">
        <v>85</v>
      </c>
      <c r="E542" s="257">
        <v>535000</v>
      </c>
      <c r="F542" s="257">
        <v>535000</v>
      </c>
      <c r="G542" s="257">
        <v>535000</v>
      </c>
      <c r="H542" s="257">
        <v>0</v>
      </c>
      <c r="I542" s="257">
        <v>0</v>
      </c>
      <c r="J542" s="269">
        <v>0</v>
      </c>
      <c r="K542" s="257">
        <v>0</v>
      </c>
      <c r="L542" s="257">
        <v>0</v>
      </c>
      <c r="M542" s="257">
        <v>535000</v>
      </c>
      <c r="N542" s="257">
        <v>535000</v>
      </c>
    </row>
    <row r="543" spans="1:14" x14ac:dyDescent="0.25">
      <c r="A543" s="270">
        <v>214789004</v>
      </c>
      <c r="B543" s="143"/>
      <c r="C543" s="143"/>
      <c r="D543" s="271" t="s">
        <v>69</v>
      </c>
      <c r="E543" s="257">
        <v>2343912564</v>
      </c>
      <c r="F543" s="272">
        <v>2343912564</v>
      </c>
      <c r="G543" s="257">
        <v>2055899564</v>
      </c>
      <c r="H543" s="269">
        <v>0</v>
      </c>
      <c r="I543" s="273">
        <v>307430482.94999999</v>
      </c>
      <c r="J543" s="269">
        <v>0</v>
      </c>
      <c r="K543" s="269">
        <v>365509036.83999997</v>
      </c>
      <c r="L543" s="274">
        <v>364575714.83999997</v>
      </c>
      <c r="M543" s="273">
        <v>1670973044.21</v>
      </c>
      <c r="N543" s="257">
        <v>1382960044.21</v>
      </c>
    </row>
    <row r="544" spans="1:14" hidden="1" x14ac:dyDescent="0.25">
      <c r="A544" s="143" t="s">
        <v>714</v>
      </c>
      <c r="B544" s="143" t="s">
        <v>71</v>
      </c>
      <c r="C544" s="143" t="s">
        <v>72</v>
      </c>
      <c r="D544" s="143" t="s">
        <v>69</v>
      </c>
      <c r="E544" s="257">
        <v>1911246104</v>
      </c>
      <c r="F544" s="257">
        <v>1911246104</v>
      </c>
      <c r="G544" s="257">
        <v>1911246104</v>
      </c>
      <c r="H544" s="257">
        <v>0</v>
      </c>
      <c r="I544" s="257">
        <v>248833396</v>
      </c>
      <c r="J544">
        <v>0</v>
      </c>
      <c r="K544" s="257">
        <v>359878646.42000002</v>
      </c>
      <c r="L544" s="257">
        <v>359878646.42000002</v>
      </c>
      <c r="M544" s="257">
        <v>1302534061.5799999</v>
      </c>
      <c r="N544" s="257">
        <v>1302534061.5799999</v>
      </c>
    </row>
    <row r="545" spans="1:14" hidden="1" x14ac:dyDescent="0.25">
      <c r="A545" s="143" t="s">
        <v>714</v>
      </c>
      <c r="B545" s="143" t="s">
        <v>73</v>
      </c>
      <c r="C545" s="143" t="s">
        <v>74</v>
      </c>
      <c r="D545" s="143" t="s">
        <v>69</v>
      </c>
      <c r="E545" s="257">
        <v>693088616</v>
      </c>
      <c r="F545" s="257">
        <v>693088616</v>
      </c>
      <c r="G545" s="257">
        <v>693088616</v>
      </c>
      <c r="H545" s="257">
        <v>0</v>
      </c>
      <c r="I545" s="257">
        <v>0</v>
      </c>
      <c r="J545" s="252">
        <v>0</v>
      </c>
      <c r="K545" s="257">
        <v>108577374.76000001</v>
      </c>
      <c r="L545" s="257">
        <v>108577374.76000001</v>
      </c>
      <c r="M545" s="257">
        <v>584511241.24000001</v>
      </c>
      <c r="N545" s="257">
        <v>584511241.24000001</v>
      </c>
    </row>
    <row r="546" spans="1:14" hidden="1" x14ac:dyDescent="0.25">
      <c r="A546" s="143" t="s">
        <v>714</v>
      </c>
      <c r="B546" s="143" t="s">
        <v>75</v>
      </c>
      <c r="C546" s="143" t="s">
        <v>76</v>
      </c>
      <c r="D546" s="143" t="s">
        <v>69</v>
      </c>
      <c r="E546" s="257">
        <v>693088616</v>
      </c>
      <c r="F546" s="257">
        <v>693088616</v>
      </c>
      <c r="G546" s="257">
        <v>693088616</v>
      </c>
      <c r="H546" s="257">
        <v>0</v>
      </c>
      <c r="I546" s="257">
        <v>0</v>
      </c>
      <c r="J546" s="261">
        <v>0</v>
      </c>
      <c r="K546" s="257">
        <v>108577374.76000001</v>
      </c>
      <c r="L546" s="257">
        <v>108577374.76000001</v>
      </c>
      <c r="M546" s="257">
        <v>584511241.24000001</v>
      </c>
      <c r="N546" s="257">
        <v>584511241.24000001</v>
      </c>
    </row>
    <row r="547" spans="1:14" hidden="1" x14ac:dyDescent="0.25">
      <c r="A547" s="143" t="s">
        <v>714</v>
      </c>
      <c r="B547" s="143" t="s">
        <v>293</v>
      </c>
      <c r="C547" s="143" t="s">
        <v>294</v>
      </c>
      <c r="D547" s="143" t="s">
        <v>69</v>
      </c>
      <c r="E547" s="257">
        <v>2572600</v>
      </c>
      <c r="F547" s="257">
        <v>2572600</v>
      </c>
      <c r="G547" s="257">
        <v>2572600</v>
      </c>
      <c r="H547" s="257">
        <v>0</v>
      </c>
      <c r="I547" s="257">
        <v>0</v>
      </c>
      <c r="J547" s="266">
        <v>0</v>
      </c>
      <c r="K547" s="257">
        <v>323415</v>
      </c>
      <c r="L547" s="257">
        <v>323415</v>
      </c>
      <c r="M547" s="257">
        <v>2249185</v>
      </c>
      <c r="N547" s="257">
        <v>2249185</v>
      </c>
    </row>
    <row r="548" spans="1:14" hidden="1" x14ac:dyDescent="0.25">
      <c r="A548" s="143" t="s">
        <v>714</v>
      </c>
      <c r="B548" s="143" t="s">
        <v>339</v>
      </c>
      <c r="C548" s="143" t="s">
        <v>340</v>
      </c>
      <c r="D548" s="143" t="s">
        <v>69</v>
      </c>
      <c r="E548" s="257">
        <v>2572600</v>
      </c>
      <c r="F548" s="257">
        <v>2572600</v>
      </c>
      <c r="G548" s="257">
        <v>2572600</v>
      </c>
      <c r="H548" s="257">
        <v>0</v>
      </c>
      <c r="I548" s="257">
        <v>0</v>
      </c>
      <c r="J548" s="269">
        <v>0</v>
      </c>
      <c r="K548" s="257">
        <v>323415</v>
      </c>
      <c r="L548" s="257">
        <v>323415</v>
      </c>
      <c r="M548" s="257">
        <v>2249185</v>
      </c>
      <c r="N548" s="257">
        <v>2249185</v>
      </c>
    </row>
    <row r="549" spans="1:14" hidden="1" x14ac:dyDescent="0.25">
      <c r="A549" s="143" t="s">
        <v>714</v>
      </c>
      <c r="B549" s="143" t="s">
        <v>77</v>
      </c>
      <c r="C549" s="143" t="s">
        <v>78</v>
      </c>
      <c r="D549" s="143" t="s">
        <v>69</v>
      </c>
      <c r="E549" s="257">
        <v>924031359</v>
      </c>
      <c r="F549" s="257">
        <v>924031359</v>
      </c>
      <c r="G549" s="257">
        <v>924031359</v>
      </c>
      <c r="H549" s="257">
        <v>0</v>
      </c>
      <c r="I549" s="257">
        <v>0</v>
      </c>
      <c r="J549" s="269">
        <v>0</v>
      </c>
      <c r="K549" s="257">
        <v>208257723.66</v>
      </c>
      <c r="L549" s="257">
        <v>208257723.66</v>
      </c>
      <c r="M549" s="257">
        <v>715773635.34000003</v>
      </c>
      <c r="N549" s="257">
        <v>715773635.34000003</v>
      </c>
    </row>
    <row r="550" spans="1:14" hidden="1" x14ac:dyDescent="0.25">
      <c r="A550" s="143" t="s">
        <v>714</v>
      </c>
      <c r="B550" s="143" t="s">
        <v>79</v>
      </c>
      <c r="C550" s="143" t="s">
        <v>80</v>
      </c>
      <c r="D550" s="143" t="s">
        <v>69</v>
      </c>
      <c r="E550" s="257">
        <v>322806400</v>
      </c>
      <c r="F550" s="257">
        <v>322806400</v>
      </c>
      <c r="G550" s="257">
        <v>322806400</v>
      </c>
      <c r="H550" s="257">
        <v>0</v>
      </c>
      <c r="I550" s="257">
        <v>0</v>
      </c>
      <c r="J550" s="269">
        <v>0</v>
      </c>
      <c r="K550" s="257">
        <v>47581256.549999997</v>
      </c>
      <c r="L550" s="257">
        <v>47581256.549999997</v>
      </c>
      <c r="M550" s="257">
        <v>275225143.44999999</v>
      </c>
      <c r="N550" s="257">
        <v>275225143.44999999</v>
      </c>
    </row>
    <row r="551" spans="1:14" hidden="1" x14ac:dyDescent="0.25">
      <c r="A551" s="143" t="s">
        <v>714</v>
      </c>
      <c r="B551" s="143" t="s">
        <v>81</v>
      </c>
      <c r="C551" s="143" t="s">
        <v>82</v>
      </c>
      <c r="D551" s="143" t="s">
        <v>69</v>
      </c>
      <c r="E551" s="257">
        <v>234712205</v>
      </c>
      <c r="F551" s="257">
        <v>234712205</v>
      </c>
      <c r="G551" s="257">
        <v>234712205</v>
      </c>
      <c r="H551" s="257">
        <v>0</v>
      </c>
      <c r="I551" s="257">
        <v>0</v>
      </c>
      <c r="J551" s="269">
        <v>0</v>
      </c>
      <c r="K551" s="257">
        <v>39023956.32</v>
      </c>
      <c r="L551" s="257">
        <v>39023956.32</v>
      </c>
      <c r="M551" s="257">
        <v>195688248.68000001</v>
      </c>
      <c r="N551" s="257">
        <v>195688248.68000001</v>
      </c>
    </row>
    <row r="552" spans="1:14" hidden="1" x14ac:dyDescent="0.25">
      <c r="A552" s="143" t="s">
        <v>714</v>
      </c>
      <c r="B552" s="143" t="s">
        <v>86</v>
      </c>
      <c r="C552" s="143" t="s">
        <v>87</v>
      </c>
      <c r="D552" s="143" t="s">
        <v>69</v>
      </c>
      <c r="E552" s="257">
        <v>114340800</v>
      </c>
      <c r="F552" s="257">
        <v>114340800</v>
      </c>
      <c r="G552" s="257">
        <v>114340800</v>
      </c>
      <c r="H552" s="257">
        <v>0</v>
      </c>
      <c r="I552" s="257">
        <v>0</v>
      </c>
      <c r="J552" s="269">
        <v>0</v>
      </c>
      <c r="K552" s="257">
        <v>100891549.97</v>
      </c>
      <c r="L552" s="257">
        <v>100891549.97</v>
      </c>
      <c r="M552" s="257">
        <v>13449250.029999999</v>
      </c>
      <c r="N552" s="257">
        <v>13449250.029999999</v>
      </c>
    </row>
    <row r="553" spans="1:14" hidden="1" x14ac:dyDescent="0.25">
      <c r="A553" s="143" t="s">
        <v>714</v>
      </c>
      <c r="B553" s="143" t="s">
        <v>88</v>
      </c>
      <c r="C553" s="143" t="s">
        <v>89</v>
      </c>
      <c r="D553" s="143" t="s">
        <v>69</v>
      </c>
      <c r="E553" s="257">
        <v>127626300</v>
      </c>
      <c r="F553" s="257">
        <v>127626300</v>
      </c>
      <c r="G553" s="257">
        <v>127626300</v>
      </c>
      <c r="H553" s="257">
        <v>0</v>
      </c>
      <c r="I553" s="257">
        <v>0</v>
      </c>
      <c r="J553" s="269">
        <v>0</v>
      </c>
      <c r="K553" s="257">
        <v>20760960.82</v>
      </c>
      <c r="L553" s="257">
        <v>20760960.82</v>
      </c>
      <c r="M553" s="257">
        <v>106865339.18000001</v>
      </c>
      <c r="N553" s="257">
        <v>106865339.18000001</v>
      </c>
    </row>
    <row r="554" spans="1:14" hidden="1" x14ac:dyDescent="0.25">
      <c r="A554" s="143" t="s">
        <v>714</v>
      </c>
      <c r="B554" s="143" t="s">
        <v>83</v>
      </c>
      <c r="C554" s="143" t="s">
        <v>84</v>
      </c>
      <c r="D554" s="143" t="s">
        <v>85</v>
      </c>
      <c r="E554" s="257">
        <v>124545654</v>
      </c>
      <c r="F554" s="257">
        <v>124545654</v>
      </c>
      <c r="G554" s="257">
        <v>124545654</v>
      </c>
      <c r="H554" s="257">
        <v>0</v>
      </c>
      <c r="I554" s="257">
        <v>0</v>
      </c>
      <c r="J554" s="269">
        <v>0</v>
      </c>
      <c r="K554" s="257">
        <v>0</v>
      </c>
      <c r="L554" s="257">
        <v>0</v>
      </c>
      <c r="M554" s="257">
        <v>124545654</v>
      </c>
      <c r="N554" s="257">
        <v>124545654</v>
      </c>
    </row>
    <row r="555" spans="1:14" hidden="1" x14ac:dyDescent="0.25">
      <c r="A555" s="143" t="s">
        <v>714</v>
      </c>
      <c r="B555" s="143" t="s">
        <v>90</v>
      </c>
      <c r="C555" s="143" t="s">
        <v>91</v>
      </c>
      <c r="D555" s="143" t="s">
        <v>69</v>
      </c>
      <c r="E555" s="257">
        <v>145776815</v>
      </c>
      <c r="F555" s="257">
        <v>145776815</v>
      </c>
      <c r="G555" s="257">
        <v>145776815</v>
      </c>
      <c r="H555" s="257">
        <v>0</v>
      </c>
      <c r="I555" s="257">
        <v>124323198</v>
      </c>
      <c r="J555" s="269">
        <v>0</v>
      </c>
      <c r="K555" s="257">
        <v>21453617</v>
      </c>
      <c r="L555" s="257">
        <v>21453617</v>
      </c>
      <c r="M555" s="257">
        <v>0</v>
      </c>
      <c r="N555" s="257">
        <v>0</v>
      </c>
    </row>
    <row r="556" spans="1:14" hidden="1" x14ac:dyDescent="0.25">
      <c r="A556" s="143" t="s">
        <v>714</v>
      </c>
      <c r="B556" s="143" t="s">
        <v>424</v>
      </c>
      <c r="C556" s="143" t="s">
        <v>697</v>
      </c>
      <c r="D556" s="143" t="s">
        <v>69</v>
      </c>
      <c r="E556" s="257">
        <v>138301084</v>
      </c>
      <c r="F556" s="257">
        <v>138301084</v>
      </c>
      <c r="G556" s="257">
        <v>138301084</v>
      </c>
      <c r="H556" s="257">
        <v>0</v>
      </c>
      <c r="I556" s="257">
        <v>117947653</v>
      </c>
      <c r="J556" s="269">
        <v>0</v>
      </c>
      <c r="K556" s="257">
        <v>20353431</v>
      </c>
      <c r="L556" s="257">
        <v>20353431</v>
      </c>
      <c r="M556" s="257">
        <v>0</v>
      </c>
      <c r="N556" s="257">
        <v>0</v>
      </c>
    </row>
    <row r="557" spans="1:14" hidden="1" x14ac:dyDescent="0.25">
      <c r="A557" s="143" t="s">
        <v>714</v>
      </c>
      <c r="B557" s="143" t="s">
        <v>441</v>
      </c>
      <c r="C557" s="143" t="s">
        <v>95</v>
      </c>
      <c r="D557" s="143" t="s">
        <v>69</v>
      </c>
      <c r="E557" s="257">
        <v>7475731</v>
      </c>
      <c r="F557" s="257">
        <v>7475731</v>
      </c>
      <c r="G557" s="257">
        <v>7475731</v>
      </c>
      <c r="H557" s="257">
        <v>0</v>
      </c>
      <c r="I557" s="257">
        <v>6375545</v>
      </c>
      <c r="J557" s="269">
        <v>0</v>
      </c>
      <c r="K557" s="257">
        <v>1100186</v>
      </c>
      <c r="L557" s="257">
        <v>1100186</v>
      </c>
      <c r="M557" s="257">
        <v>0</v>
      </c>
      <c r="N557" s="257">
        <v>0</v>
      </c>
    </row>
    <row r="558" spans="1:14" hidden="1" x14ac:dyDescent="0.25">
      <c r="A558" s="143" t="s">
        <v>714</v>
      </c>
      <c r="B558" s="143" t="s">
        <v>96</v>
      </c>
      <c r="C558" s="143" t="s">
        <v>97</v>
      </c>
      <c r="D558" s="143" t="s">
        <v>69</v>
      </c>
      <c r="E558" s="257">
        <v>145776714</v>
      </c>
      <c r="F558" s="257">
        <v>145776714</v>
      </c>
      <c r="G558" s="257">
        <v>145776714</v>
      </c>
      <c r="H558" s="257">
        <v>0</v>
      </c>
      <c r="I558" s="257">
        <v>124510198</v>
      </c>
      <c r="J558" s="269">
        <v>0</v>
      </c>
      <c r="K558" s="257">
        <v>21266516</v>
      </c>
      <c r="L558" s="257">
        <v>21266516</v>
      </c>
      <c r="M558" s="257">
        <v>0</v>
      </c>
      <c r="N558" s="257">
        <v>0</v>
      </c>
    </row>
    <row r="559" spans="1:14" hidden="1" x14ac:dyDescent="0.25">
      <c r="A559" s="143" t="s">
        <v>714</v>
      </c>
      <c r="B559" s="143" t="s">
        <v>459</v>
      </c>
      <c r="C559" s="143" t="s">
        <v>698</v>
      </c>
      <c r="D559" s="143" t="s">
        <v>69</v>
      </c>
      <c r="E559" s="257">
        <v>78495131</v>
      </c>
      <c r="F559" s="257">
        <v>78495131</v>
      </c>
      <c r="G559" s="257">
        <v>78495131</v>
      </c>
      <c r="H559" s="257">
        <v>0</v>
      </c>
      <c r="I559" s="257">
        <v>67130285</v>
      </c>
      <c r="J559" s="269">
        <v>0</v>
      </c>
      <c r="K559" s="257">
        <v>11364846</v>
      </c>
      <c r="L559" s="257">
        <v>11364846</v>
      </c>
      <c r="M559" s="257">
        <v>0</v>
      </c>
      <c r="N559" s="257">
        <v>0</v>
      </c>
    </row>
    <row r="560" spans="1:14" hidden="1" x14ac:dyDescent="0.25">
      <c r="A560" s="143" t="s">
        <v>714</v>
      </c>
      <c r="B560" s="143" t="s">
        <v>476</v>
      </c>
      <c r="C560" s="143" t="s">
        <v>699</v>
      </c>
      <c r="D560" s="143" t="s">
        <v>69</v>
      </c>
      <c r="E560" s="257">
        <v>22427194</v>
      </c>
      <c r="F560" s="257">
        <v>22427194</v>
      </c>
      <c r="G560" s="257">
        <v>22427194</v>
      </c>
      <c r="H560" s="257">
        <v>0</v>
      </c>
      <c r="I560" s="257">
        <v>19126637</v>
      </c>
      <c r="J560" s="269">
        <v>0</v>
      </c>
      <c r="K560" s="257">
        <v>3300557</v>
      </c>
      <c r="L560" s="257">
        <v>3300557</v>
      </c>
      <c r="M560" s="257">
        <v>0</v>
      </c>
      <c r="N560" s="257">
        <v>0</v>
      </c>
    </row>
    <row r="561" spans="1:14" hidden="1" x14ac:dyDescent="0.25">
      <c r="A561" s="143" t="s">
        <v>714</v>
      </c>
      <c r="B561" s="143" t="s">
        <v>493</v>
      </c>
      <c r="C561" s="143" t="s">
        <v>700</v>
      </c>
      <c r="D561" s="143" t="s">
        <v>69</v>
      </c>
      <c r="E561" s="257">
        <v>44854389</v>
      </c>
      <c r="F561" s="257">
        <v>44854389</v>
      </c>
      <c r="G561" s="257">
        <v>44854389</v>
      </c>
      <c r="H561" s="257">
        <v>0</v>
      </c>
      <c r="I561" s="257">
        <v>38253276</v>
      </c>
      <c r="J561">
        <v>0</v>
      </c>
      <c r="K561" s="257">
        <v>6601113</v>
      </c>
      <c r="L561" s="257">
        <v>6601113</v>
      </c>
      <c r="M561" s="257">
        <v>0</v>
      </c>
      <c r="N561" s="257">
        <v>0</v>
      </c>
    </row>
    <row r="562" spans="1:14" hidden="1" x14ac:dyDescent="0.25">
      <c r="A562" s="143" t="s">
        <v>714</v>
      </c>
      <c r="B562" s="143" t="s">
        <v>104</v>
      </c>
      <c r="C562" s="143" t="s">
        <v>105</v>
      </c>
      <c r="D562" s="143" t="s">
        <v>69</v>
      </c>
      <c r="E562" s="257">
        <v>93714000</v>
      </c>
      <c r="F562" s="257">
        <v>93714000</v>
      </c>
      <c r="G562" s="257">
        <v>24178500</v>
      </c>
      <c r="H562" s="257">
        <v>0</v>
      </c>
      <c r="I562" s="257">
        <v>17624407.109999999</v>
      </c>
      <c r="J562" s="252">
        <v>0</v>
      </c>
      <c r="K562" s="257">
        <v>1977359.42</v>
      </c>
      <c r="L562" s="257">
        <v>1044037.42</v>
      </c>
      <c r="M562" s="257">
        <v>74112233.469999999</v>
      </c>
      <c r="N562" s="257">
        <v>4576733.47</v>
      </c>
    </row>
    <row r="563" spans="1:14" hidden="1" x14ac:dyDescent="0.25">
      <c r="A563" s="143" t="s">
        <v>714</v>
      </c>
      <c r="B563" s="143" t="s">
        <v>112</v>
      </c>
      <c r="C563" s="143" t="s">
        <v>113</v>
      </c>
      <c r="D563" s="143" t="s">
        <v>69</v>
      </c>
      <c r="E563" s="257">
        <v>92804000</v>
      </c>
      <c r="F563" s="257">
        <v>92804000</v>
      </c>
      <c r="G563" s="257">
        <v>23268500</v>
      </c>
      <c r="H563" s="257">
        <v>0</v>
      </c>
      <c r="I563" s="257">
        <v>17624407.109999999</v>
      </c>
      <c r="J563" s="261">
        <v>0</v>
      </c>
      <c r="K563" s="257">
        <v>1977359.42</v>
      </c>
      <c r="L563" s="257">
        <v>1044037.42</v>
      </c>
      <c r="M563" s="257">
        <v>73202233.469999999</v>
      </c>
      <c r="N563" s="257">
        <v>3666733.47</v>
      </c>
    </row>
    <row r="564" spans="1:14" hidden="1" x14ac:dyDescent="0.25">
      <c r="A564" s="143" t="s">
        <v>714</v>
      </c>
      <c r="B564" s="143" t="s">
        <v>114</v>
      </c>
      <c r="C564" s="143" t="s">
        <v>115</v>
      </c>
      <c r="D564" s="143" t="s">
        <v>69</v>
      </c>
      <c r="E564" s="257">
        <v>36754000</v>
      </c>
      <c r="F564" s="257">
        <v>36754000</v>
      </c>
      <c r="G564" s="257">
        <v>8813500</v>
      </c>
      <c r="H564" s="257">
        <v>0</v>
      </c>
      <c r="I564" s="257">
        <v>7841637.9900000002</v>
      </c>
      <c r="J564" s="266">
        <v>0</v>
      </c>
      <c r="K564" s="257">
        <v>971862.01</v>
      </c>
      <c r="L564" s="257">
        <v>38540.01</v>
      </c>
      <c r="M564" s="257">
        <v>27940500</v>
      </c>
      <c r="N564" s="257">
        <v>0</v>
      </c>
    </row>
    <row r="565" spans="1:14" hidden="1" x14ac:dyDescent="0.25">
      <c r="A565" s="143" t="s">
        <v>714</v>
      </c>
      <c r="B565" s="143" t="s">
        <v>116</v>
      </c>
      <c r="C565" s="143" t="s">
        <v>117</v>
      </c>
      <c r="D565" s="143" t="s">
        <v>69</v>
      </c>
      <c r="E565" s="257">
        <v>43500000</v>
      </c>
      <c r="F565" s="257">
        <v>43500000</v>
      </c>
      <c r="G565" s="257">
        <v>10567500</v>
      </c>
      <c r="H565" s="257">
        <v>0</v>
      </c>
      <c r="I565" s="257">
        <v>9562002.5899999999</v>
      </c>
      <c r="J565" s="269">
        <v>0</v>
      </c>
      <c r="K565" s="257">
        <v>1005497.41</v>
      </c>
      <c r="L565" s="257">
        <v>1005497.41</v>
      </c>
      <c r="M565" s="257">
        <v>32932500</v>
      </c>
      <c r="N565" s="257">
        <v>0</v>
      </c>
    </row>
    <row r="566" spans="1:14" hidden="1" x14ac:dyDescent="0.25">
      <c r="A566" s="143" t="s">
        <v>714</v>
      </c>
      <c r="B566" s="143" t="s">
        <v>120</v>
      </c>
      <c r="C566" s="143" t="s">
        <v>121</v>
      </c>
      <c r="D566" s="143" t="s">
        <v>69</v>
      </c>
      <c r="E566" s="257">
        <v>11550000</v>
      </c>
      <c r="F566" s="257">
        <v>11550000</v>
      </c>
      <c r="G566" s="257">
        <v>2887500</v>
      </c>
      <c r="H566" s="257">
        <v>0</v>
      </c>
      <c r="I566" s="257">
        <v>0</v>
      </c>
      <c r="J566" s="269">
        <v>0</v>
      </c>
      <c r="K566" s="257">
        <v>0</v>
      </c>
      <c r="L566" s="257">
        <v>0</v>
      </c>
      <c r="M566" s="257">
        <v>11550000</v>
      </c>
      <c r="N566" s="257">
        <v>2887500</v>
      </c>
    </row>
    <row r="567" spans="1:14" hidden="1" x14ac:dyDescent="0.25">
      <c r="A567" s="143" t="s">
        <v>714</v>
      </c>
      <c r="B567" s="143" t="s">
        <v>122</v>
      </c>
      <c r="C567" s="143" t="s">
        <v>123</v>
      </c>
      <c r="D567" s="143" t="s">
        <v>69</v>
      </c>
      <c r="E567" s="257">
        <v>1000000</v>
      </c>
      <c r="F567" s="257">
        <v>1000000</v>
      </c>
      <c r="G567" s="257">
        <v>1000000</v>
      </c>
      <c r="H567" s="257">
        <v>0</v>
      </c>
      <c r="I567" s="257">
        <v>220766.53</v>
      </c>
      <c r="J567" s="269">
        <v>0</v>
      </c>
      <c r="K567" s="257">
        <v>0</v>
      </c>
      <c r="L567" s="257">
        <v>0</v>
      </c>
      <c r="M567" s="257">
        <v>779233.47</v>
      </c>
      <c r="N567" s="257">
        <v>779233.47</v>
      </c>
    </row>
    <row r="568" spans="1:14" hidden="1" x14ac:dyDescent="0.25">
      <c r="A568" s="143" t="s">
        <v>714</v>
      </c>
      <c r="B568" s="143" t="s">
        <v>134</v>
      </c>
      <c r="C568" s="143" t="s">
        <v>135</v>
      </c>
      <c r="D568" s="143" t="s">
        <v>69</v>
      </c>
      <c r="E568" s="257">
        <v>410000</v>
      </c>
      <c r="F568" s="257">
        <v>410000</v>
      </c>
      <c r="G568" s="257">
        <v>410000</v>
      </c>
      <c r="H568" s="257">
        <v>0</v>
      </c>
      <c r="I568" s="257">
        <v>0</v>
      </c>
      <c r="J568" s="269">
        <v>0</v>
      </c>
      <c r="K568" s="257">
        <v>0</v>
      </c>
      <c r="L568" s="257">
        <v>0</v>
      </c>
      <c r="M568" s="257">
        <v>410000</v>
      </c>
      <c r="N568" s="257">
        <v>410000</v>
      </c>
    </row>
    <row r="569" spans="1:14" hidden="1" x14ac:dyDescent="0.25">
      <c r="A569" s="143" t="s">
        <v>714</v>
      </c>
      <c r="B569" s="143" t="s">
        <v>346</v>
      </c>
      <c r="C569" s="143" t="s">
        <v>347</v>
      </c>
      <c r="D569" s="143" t="s">
        <v>69</v>
      </c>
      <c r="E569" s="257">
        <v>20000</v>
      </c>
      <c r="F569" s="257">
        <v>20000</v>
      </c>
      <c r="G569" s="257">
        <v>20000</v>
      </c>
      <c r="H569" s="257">
        <v>0</v>
      </c>
      <c r="I569" s="257">
        <v>0</v>
      </c>
      <c r="J569" s="269">
        <v>0</v>
      </c>
      <c r="K569" s="257">
        <v>0</v>
      </c>
      <c r="L569" s="257">
        <v>0</v>
      </c>
      <c r="M569" s="257">
        <v>20000</v>
      </c>
      <c r="N569" s="257">
        <v>20000</v>
      </c>
    </row>
    <row r="570" spans="1:14" hidden="1" x14ac:dyDescent="0.25">
      <c r="A570" s="143" t="s">
        <v>714</v>
      </c>
      <c r="B570" s="143" t="s">
        <v>136</v>
      </c>
      <c r="C570" s="143" t="s">
        <v>137</v>
      </c>
      <c r="D570" s="143" t="s">
        <v>69</v>
      </c>
      <c r="E570" s="257">
        <v>350000</v>
      </c>
      <c r="F570" s="257">
        <v>350000</v>
      </c>
      <c r="G570" s="257">
        <v>350000</v>
      </c>
      <c r="H570" s="257">
        <v>0</v>
      </c>
      <c r="I570" s="257">
        <v>0</v>
      </c>
      <c r="J570" s="269">
        <v>0</v>
      </c>
      <c r="K570" s="257">
        <v>0</v>
      </c>
      <c r="L570" s="257">
        <v>0</v>
      </c>
      <c r="M570" s="257">
        <v>350000</v>
      </c>
      <c r="N570" s="257">
        <v>350000</v>
      </c>
    </row>
    <row r="571" spans="1:14" hidden="1" x14ac:dyDescent="0.25">
      <c r="A571" s="143" t="s">
        <v>714</v>
      </c>
      <c r="B571" s="143" t="s">
        <v>138</v>
      </c>
      <c r="C571" s="143" t="s">
        <v>139</v>
      </c>
      <c r="D571" s="143" t="s">
        <v>69</v>
      </c>
      <c r="E571" s="257">
        <v>40000</v>
      </c>
      <c r="F571" s="257">
        <v>40000</v>
      </c>
      <c r="G571" s="257">
        <v>40000</v>
      </c>
      <c r="H571" s="257">
        <v>0</v>
      </c>
      <c r="I571" s="257">
        <v>0</v>
      </c>
      <c r="J571" s="269">
        <v>0</v>
      </c>
      <c r="K571" s="257">
        <v>0</v>
      </c>
      <c r="L571" s="257">
        <v>0</v>
      </c>
      <c r="M571" s="257">
        <v>40000</v>
      </c>
      <c r="N571" s="257">
        <v>40000</v>
      </c>
    </row>
    <row r="572" spans="1:14" hidden="1" x14ac:dyDescent="0.25">
      <c r="A572" s="143" t="s">
        <v>714</v>
      </c>
      <c r="B572" s="143" t="s">
        <v>162</v>
      </c>
      <c r="C572" s="143" t="s">
        <v>163</v>
      </c>
      <c r="D572" s="143" t="s">
        <v>69</v>
      </c>
      <c r="E572" s="257">
        <v>500000</v>
      </c>
      <c r="F572" s="257">
        <v>500000</v>
      </c>
      <c r="G572" s="257">
        <v>500000</v>
      </c>
      <c r="H572" s="257">
        <v>0</v>
      </c>
      <c r="I572" s="257">
        <v>0</v>
      </c>
      <c r="J572" s="269">
        <v>0</v>
      </c>
      <c r="K572" s="257">
        <v>0</v>
      </c>
      <c r="L572" s="257">
        <v>0</v>
      </c>
      <c r="M572" s="257">
        <v>500000</v>
      </c>
      <c r="N572" s="257">
        <v>500000</v>
      </c>
    </row>
    <row r="573" spans="1:14" hidden="1" x14ac:dyDescent="0.25">
      <c r="A573" s="143" t="s">
        <v>714</v>
      </c>
      <c r="B573" s="143" t="s">
        <v>164</v>
      </c>
      <c r="C573" s="143" t="s">
        <v>165</v>
      </c>
      <c r="D573" s="143" t="s">
        <v>69</v>
      </c>
      <c r="E573" s="257">
        <v>100000</v>
      </c>
      <c r="F573" s="257">
        <v>100000</v>
      </c>
      <c r="G573" s="257">
        <v>100000</v>
      </c>
      <c r="H573" s="257">
        <v>0</v>
      </c>
      <c r="I573" s="257">
        <v>0</v>
      </c>
      <c r="J573" s="269">
        <v>0</v>
      </c>
      <c r="K573" s="257">
        <v>0</v>
      </c>
      <c r="L573" s="257">
        <v>0</v>
      </c>
      <c r="M573" s="257">
        <v>100000</v>
      </c>
      <c r="N573" s="257">
        <v>100000</v>
      </c>
    </row>
    <row r="574" spans="1:14" hidden="1" x14ac:dyDescent="0.25">
      <c r="A574" s="143" t="s">
        <v>714</v>
      </c>
      <c r="B574" s="143" t="s">
        <v>172</v>
      </c>
      <c r="C574" s="143" t="s">
        <v>173</v>
      </c>
      <c r="D574" s="143" t="s">
        <v>69</v>
      </c>
      <c r="E574" s="257">
        <v>400000</v>
      </c>
      <c r="F574" s="257">
        <v>400000</v>
      </c>
      <c r="G574" s="257">
        <v>400000</v>
      </c>
      <c r="H574" s="257">
        <v>0</v>
      </c>
      <c r="I574" s="257">
        <v>0</v>
      </c>
      <c r="J574" s="269">
        <v>0</v>
      </c>
      <c r="K574" s="257">
        <v>0</v>
      </c>
      <c r="L574" s="257">
        <v>0</v>
      </c>
      <c r="M574" s="257">
        <v>400000</v>
      </c>
      <c r="N574" s="257">
        <v>400000</v>
      </c>
    </row>
    <row r="575" spans="1:14" hidden="1" x14ac:dyDescent="0.25">
      <c r="A575" s="143" t="s">
        <v>714</v>
      </c>
      <c r="B575" s="143" t="s">
        <v>184</v>
      </c>
      <c r="C575" s="143" t="s">
        <v>185</v>
      </c>
      <c r="D575" s="143" t="s">
        <v>69</v>
      </c>
      <c r="E575" s="257">
        <v>301595100</v>
      </c>
      <c r="F575" s="257">
        <v>301595100</v>
      </c>
      <c r="G575" s="257">
        <v>83117600</v>
      </c>
      <c r="H575" s="257">
        <v>0</v>
      </c>
      <c r="I575" s="257">
        <v>19618833.84</v>
      </c>
      <c r="J575" s="269">
        <v>0</v>
      </c>
      <c r="K575" s="257">
        <v>0</v>
      </c>
      <c r="L575" s="257">
        <v>0</v>
      </c>
      <c r="M575" s="257">
        <v>281976266.16000003</v>
      </c>
      <c r="N575" s="257">
        <v>63498766.159999996</v>
      </c>
    </row>
    <row r="576" spans="1:14" hidden="1" x14ac:dyDescent="0.25">
      <c r="A576" s="143" t="s">
        <v>714</v>
      </c>
      <c r="B576" s="143" t="s">
        <v>186</v>
      </c>
      <c r="C576" s="143" t="s">
        <v>187</v>
      </c>
      <c r="D576" s="143" t="s">
        <v>69</v>
      </c>
      <c r="E576" s="257">
        <v>6620568</v>
      </c>
      <c r="F576" s="257">
        <v>6620568</v>
      </c>
      <c r="G576" s="257">
        <v>4763354</v>
      </c>
      <c r="H576" s="257">
        <v>0</v>
      </c>
      <c r="I576" s="257">
        <v>0</v>
      </c>
      <c r="J576" s="269">
        <v>0</v>
      </c>
      <c r="K576" s="257">
        <v>0</v>
      </c>
      <c r="L576" s="257">
        <v>0</v>
      </c>
      <c r="M576" s="257">
        <v>6620568</v>
      </c>
      <c r="N576" s="257">
        <v>4763354</v>
      </c>
    </row>
    <row r="577" spans="1:14" hidden="1" x14ac:dyDescent="0.25">
      <c r="A577" s="143" t="s">
        <v>714</v>
      </c>
      <c r="B577" s="143" t="s">
        <v>188</v>
      </c>
      <c r="C577" s="143" t="s">
        <v>189</v>
      </c>
      <c r="D577" s="143" t="s">
        <v>69</v>
      </c>
      <c r="E577" s="257">
        <v>2413000</v>
      </c>
      <c r="F577" s="257">
        <v>2413000</v>
      </c>
      <c r="G577" s="257">
        <v>555786</v>
      </c>
      <c r="H577" s="257">
        <v>0</v>
      </c>
      <c r="I577" s="257">
        <v>0</v>
      </c>
      <c r="J577" s="269">
        <v>0</v>
      </c>
      <c r="K577" s="257">
        <v>0</v>
      </c>
      <c r="L577" s="257">
        <v>0</v>
      </c>
      <c r="M577" s="257">
        <v>2413000</v>
      </c>
      <c r="N577" s="257">
        <v>555786</v>
      </c>
    </row>
    <row r="578" spans="1:14" hidden="1" x14ac:dyDescent="0.25">
      <c r="A578" s="143" t="s">
        <v>714</v>
      </c>
      <c r="B578" s="143" t="s">
        <v>350</v>
      </c>
      <c r="C578" s="143" t="s">
        <v>351</v>
      </c>
      <c r="D578" s="143" t="s">
        <v>69</v>
      </c>
      <c r="E578" s="257">
        <v>63287</v>
      </c>
      <c r="F578" s="257">
        <v>63287</v>
      </c>
      <c r="G578" s="257">
        <v>63287</v>
      </c>
      <c r="H578" s="257">
        <v>0</v>
      </c>
      <c r="I578" s="257">
        <v>0</v>
      </c>
      <c r="J578">
        <v>0</v>
      </c>
      <c r="K578" s="257">
        <v>0</v>
      </c>
      <c r="L578" s="257">
        <v>0</v>
      </c>
      <c r="M578" s="257">
        <v>63287</v>
      </c>
      <c r="N578" s="257">
        <v>63287</v>
      </c>
    </row>
    <row r="579" spans="1:14" hidden="1" x14ac:dyDescent="0.25">
      <c r="A579" s="143" t="s">
        <v>714</v>
      </c>
      <c r="B579" s="143" t="s">
        <v>194</v>
      </c>
      <c r="C579" s="143" t="s">
        <v>195</v>
      </c>
      <c r="D579" s="143" t="s">
        <v>69</v>
      </c>
      <c r="E579" s="257">
        <v>4144281</v>
      </c>
      <c r="F579" s="257">
        <v>4144281</v>
      </c>
      <c r="G579" s="257">
        <v>4144281</v>
      </c>
      <c r="H579" s="257">
        <v>0</v>
      </c>
      <c r="I579" s="257">
        <v>0</v>
      </c>
      <c r="J579" s="252">
        <v>0</v>
      </c>
      <c r="K579" s="257">
        <v>0</v>
      </c>
      <c r="L579" s="257">
        <v>0</v>
      </c>
      <c r="M579" s="257">
        <v>4144281</v>
      </c>
      <c r="N579" s="257">
        <v>4144281</v>
      </c>
    </row>
    <row r="580" spans="1:14" hidden="1" x14ac:dyDescent="0.25">
      <c r="A580" s="143" t="s">
        <v>714</v>
      </c>
      <c r="B580" s="143" t="s">
        <v>196</v>
      </c>
      <c r="C580" s="143" t="s">
        <v>197</v>
      </c>
      <c r="D580" s="143" t="s">
        <v>69</v>
      </c>
      <c r="E580" s="257">
        <v>280709986</v>
      </c>
      <c r="F580" s="257">
        <v>280709986</v>
      </c>
      <c r="G580" s="257">
        <v>64089700</v>
      </c>
      <c r="H580" s="257">
        <v>0</v>
      </c>
      <c r="I580" s="257">
        <v>19618833.84</v>
      </c>
      <c r="J580" s="261">
        <v>0</v>
      </c>
      <c r="K580" s="257">
        <v>0</v>
      </c>
      <c r="L580" s="257">
        <v>0</v>
      </c>
      <c r="M580" s="257">
        <v>261091152.16</v>
      </c>
      <c r="N580" s="257">
        <v>44470866.159999996</v>
      </c>
    </row>
    <row r="581" spans="1:14" hidden="1" x14ac:dyDescent="0.25">
      <c r="A581" s="143" t="s">
        <v>714</v>
      </c>
      <c r="B581" s="143" t="s">
        <v>579</v>
      </c>
      <c r="C581" s="143" t="s">
        <v>580</v>
      </c>
      <c r="D581" s="143" t="s">
        <v>69</v>
      </c>
      <c r="E581" s="257">
        <v>1988520</v>
      </c>
      <c r="F581" s="257">
        <v>1988520</v>
      </c>
      <c r="G581" s="257">
        <v>1988520</v>
      </c>
      <c r="H581" s="257">
        <v>0</v>
      </c>
      <c r="I581" s="257">
        <v>0</v>
      </c>
      <c r="J581" s="266">
        <v>0</v>
      </c>
      <c r="K581" s="257">
        <v>0</v>
      </c>
      <c r="L581" s="257">
        <v>0</v>
      </c>
      <c r="M581" s="257">
        <v>1988520</v>
      </c>
      <c r="N581" s="257">
        <v>1988520</v>
      </c>
    </row>
    <row r="582" spans="1:14" hidden="1" x14ac:dyDescent="0.25">
      <c r="A582" s="143" t="s">
        <v>714</v>
      </c>
      <c r="B582" s="143" t="s">
        <v>198</v>
      </c>
      <c r="C582" s="143" t="s">
        <v>199</v>
      </c>
      <c r="D582" s="143" t="s">
        <v>69</v>
      </c>
      <c r="E582" s="257">
        <v>278273098</v>
      </c>
      <c r="F582" s="257">
        <v>278273098</v>
      </c>
      <c r="G582" s="257">
        <v>61652812</v>
      </c>
      <c r="H582" s="257">
        <v>0</v>
      </c>
      <c r="I582" s="257">
        <v>19618833.84</v>
      </c>
      <c r="J582" s="269">
        <v>0</v>
      </c>
      <c r="K582" s="257">
        <v>0</v>
      </c>
      <c r="L582" s="257">
        <v>0</v>
      </c>
      <c r="M582" s="257">
        <v>258654264.16</v>
      </c>
      <c r="N582" s="257">
        <v>42033978.159999996</v>
      </c>
    </row>
    <row r="583" spans="1:14" hidden="1" x14ac:dyDescent="0.25">
      <c r="A583" s="143" t="s">
        <v>714</v>
      </c>
      <c r="B583" s="143" t="s">
        <v>352</v>
      </c>
      <c r="C583" s="143" t="s">
        <v>353</v>
      </c>
      <c r="D583" s="143" t="s">
        <v>69</v>
      </c>
      <c r="E583" s="257">
        <v>448368</v>
      </c>
      <c r="F583" s="257">
        <v>448368</v>
      </c>
      <c r="G583" s="257">
        <v>448368</v>
      </c>
      <c r="H583" s="257">
        <v>0</v>
      </c>
      <c r="I583" s="257">
        <v>0</v>
      </c>
      <c r="J583" s="269">
        <v>0</v>
      </c>
      <c r="K583" s="257">
        <v>0</v>
      </c>
      <c r="L583" s="257">
        <v>0</v>
      </c>
      <c r="M583" s="257">
        <v>448368</v>
      </c>
      <c r="N583" s="257">
        <v>448368</v>
      </c>
    </row>
    <row r="584" spans="1:14" hidden="1" x14ac:dyDescent="0.25">
      <c r="A584" s="143" t="s">
        <v>714</v>
      </c>
      <c r="B584" s="143" t="s">
        <v>200</v>
      </c>
      <c r="C584" s="143" t="s">
        <v>201</v>
      </c>
      <c r="D584" s="143" t="s">
        <v>69</v>
      </c>
      <c r="E584" s="257">
        <v>8117062</v>
      </c>
      <c r="F584" s="257">
        <v>8117062</v>
      </c>
      <c r="G584" s="257">
        <v>8117062</v>
      </c>
      <c r="H584" s="257">
        <v>0</v>
      </c>
      <c r="I584" s="257">
        <v>0</v>
      </c>
      <c r="J584" s="269">
        <v>0</v>
      </c>
      <c r="K584" s="257">
        <v>0</v>
      </c>
      <c r="L584" s="257">
        <v>0</v>
      </c>
      <c r="M584" s="257">
        <v>8117062</v>
      </c>
      <c r="N584" s="257">
        <v>8117062</v>
      </c>
    </row>
    <row r="585" spans="1:14" hidden="1" x14ac:dyDescent="0.25">
      <c r="A585" s="143" t="s">
        <v>714</v>
      </c>
      <c r="B585" s="143" t="s">
        <v>314</v>
      </c>
      <c r="C585" s="143" t="s">
        <v>315</v>
      </c>
      <c r="D585" s="143" t="s">
        <v>69</v>
      </c>
      <c r="E585" s="257">
        <v>2959825</v>
      </c>
      <c r="F585" s="257">
        <v>2959825</v>
      </c>
      <c r="G585" s="257">
        <v>2959825</v>
      </c>
      <c r="H585" s="257">
        <v>0</v>
      </c>
      <c r="I585" s="257">
        <v>0</v>
      </c>
      <c r="J585" s="269">
        <v>0</v>
      </c>
      <c r="K585" s="257">
        <v>0</v>
      </c>
      <c r="L585" s="257">
        <v>0</v>
      </c>
      <c r="M585" s="257">
        <v>2959825</v>
      </c>
      <c r="N585" s="257">
        <v>2959825</v>
      </c>
    </row>
    <row r="586" spans="1:14" hidden="1" x14ac:dyDescent="0.25">
      <c r="A586" s="143" t="s">
        <v>714</v>
      </c>
      <c r="B586" s="143" t="s">
        <v>202</v>
      </c>
      <c r="C586" s="143" t="s">
        <v>203</v>
      </c>
      <c r="D586" s="143" t="s">
        <v>69</v>
      </c>
      <c r="E586" s="257">
        <v>1322500</v>
      </c>
      <c r="F586" s="257">
        <v>1322500</v>
      </c>
      <c r="G586" s="257">
        <v>1322500</v>
      </c>
      <c r="H586" s="257">
        <v>0</v>
      </c>
      <c r="I586" s="257">
        <v>0</v>
      </c>
      <c r="J586" s="269">
        <v>0</v>
      </c>
      <c r="K586" s="257">
        <v>0</v>
      </c>
      <c r="L586" s="257">
        <v>0</v>
      </c>
      <c r="M586" s="257">
        <v>1322500</v>
      </c>
      <c r="N586" s="257">
        <v>1322500</v>
      </c>
    </row>
    <row r="587" spans="1:14" hidden="1" x14ac:dyDescent="0.25">
      <c r="A587" s="143" t="s">
        <v>714</v>
      </c>
      <c r="B587" s="143" t="s">
        <v>320</v>
      </c>
      <c r="C587" s="143" t="s">
        <v>321</v>
      </c>
      <c r="D587" s="143" t="s">
        <v>69</v>
      </c>
      <c r="E587" s="257">
        <v>220000</v>
      </c>
      <c r="F587" s="257">
        <v>220000</v>
      </c>
      <c r="G587" s="257">
        <v>220000</v>
      </c>
      <c r="H587" s="257">
        <v>0</v>
      </c>
      <c r="I587" s="257">
        <v>0</v>
      </c>
      <c r="J587" s="269">
        <v>0</v>
      </c>
      <c r="K587" s="257">
        <v>0</v>
      </c>
      <c r="L587" s="257">
        <v>0</v>
      </c>
      <c r="M587" s="257">
        <v>220000</v>
      </c>
      <c r="N587" s="257">
        <v>220000</v>
      </c>
    </row>
    <row r="588" spans="1:14" hidden="1" x14ac:dyDescent="0.25">
      <c r="A588" s="143" t="s">
        <v>714</v>
      </c>
      <c r="B588" s="143" t="s">
        <v>204</v>
      </c>
      <c r="C588" s="143" t="s">
        <v>205</v>
      </c>
      <c r="D588" s="143" t="s">
        <v>69</v>
      </c>
      <c r="E588" s="257">
        <v>1532505</v>
      </c>
      <c r="F588" s="257">
        <v>1532505</v>
      </c>
      <c r="G588" s="257">
        <v>1532505</v>
      </c>
      <c r="H588" s="257">
        <v>0</v>
      </c>
      <c r="I588" s="257">
        <v>0</v>
      </c>
      <c r="J588" s="269">
        <v>0</v>
      </c>
      <c r="K588" s="257">
        <v>0</v>
      </c>
      <c r="L588" s="257">
        <v>0</v>
      </c>
      <c r="M588" s="257">
        <v>1532505</v>
      </c>
      <c r="N588" s="257">
        <v>1532505</v>
      </c>
    </row>
    <row r="589" spans="1:14" hidden="1" x14ac:dyDescent="0.25">
      <c r="A589" s="143" t="s">
        <v>714</v>
      </c>
      <c r="B589" s="143" t="s">
        <v>322</v>
      </c>
      <c r="C589" s="143" t="s">
        <v>323</v>
      </c>
      <c r="D589" s="143" t="s">
        <v>69</v>
      </c>
      <c r="E589" s="257">
        <v>2082232</v>
      </c>
      <c r="F589" s="257">
        <v>2082232</v>
      </c>
      <c r="G589" s="257">
        <v>2082232</v>
      </c>
      <c r="H589" s="257">
        <v>0</v>
      </c>
      <c r="I589" s="257">
        <v>0</v>
      </c>
      <c r="J589" s="269">
        <v>0</v>
      </c>
      <c r="K589" s="257">
        <v>0</v>
      </c>
      <c r="L589" s="257">
        <v>0</v>
      </c>
      <c r="M589" s="257">
        <v>2082232</v>
      </c>
      <c r="N589" s="257">
        <v>2082232</v>
      </c>
    </row>
    <row r="590" spans="1:14" hidden="1" x14ac:dyDescent="0.25">
      <c r="A590" s="143" t="s">
        <v>714</v>
      </c>
      <c r="B590" s="143" t="s">
        <v>206</v>
      </c>
      <c r="C590" s="143" t="s">
        <v>207</v>
      </c>
      <c r="D590" s="143" t="s">
        <v>69</v>
      </c>
      <c r="E590" s="257">
        <v>1362914</v>
      </c>
      <c r="F590" s="257">
        <v>1362914</v>
      </c>
      <c r="G590" s="257">
        <v>1362914</v>
      </c>
      <c r="H590" s="257">
        <v>0</v>
      </c>
      <c r="I590" s="257">
        <v>0</v>
      </c>
      <c r="J590" s="269">
        <v>0</v>
      </c>
      <c r="K590" s="257">
        <v>0</v>
      </c>
      <c r="L590" s="257">
        <v>0</v>
      </c>
      <c r="M590" s="257">
        <v>1362914</v>
      </c>
      <c r="N590" s="257">
        <v>1362914</v>
      </c>
    </row>
    <row r="591" spans="1:14" hidden="1" x14ac:dyDescent="0.25">
      <c r="A591" s="143" t="s">
        <v>714</v>
      </c>
      <c r="B591" s="143" t="s">
        <v>208</v>
      </c>
      <c r="C591" s="143" t="s">
        <v>209</v>
      </c>
      <c r="D591" s="143" t="s">
        <v>69</v>
      </c>
      <c r="E591" s="257">
        <v>571414</v>
      </c>
      <c r="F591" s="257">
        <v>571414</v>
      </c>
      <c r="G591" s="257">
        <v>571414</v>
      </c>
      <c r="H591" s="257">
        <v>0</v>
      </c>
      <c r="I591" s="257">
        <v>0</v>
      </c>
      <c r="J591" s="269">
        <v>0</v>
      </c>
      <c r="K591" s="257">
        <v>0</v>
      </c>
      <c r="L591" s="257">
        <v>0</v>
      </c>
      <c r="M591" s="257">
        <v>571414</v>
      </c>
      <c r="N591" s="257">
        <v>571414</v>
      </c>
    </row>
    <row r="592" spans="1:14" hidden="1" x14ac:dyDescent="0.25">
      <c r="A592" s="143" t="s">
        <v>714</v>
      </c>
      <c r="B592" s="143" t="s">
        <v>210</v>
      </c>
      <c r="C592" s="143" t="s">
        <v>211</v>
      </c>
      <c r="D592" s="143" t="s">
        <v>69</v>
      </c>
      <c r="E592" s="257">
        <v>791500</v>
      </c>
      <c r="F592" s="257">
        <v>791500</v>
      </c>
      <c r="G592" s="257">
        <v>791500</v>
      </c>
      <c r="H592" s="257">
        <v>0</v>
      </c>
      <c r="I592" s="257">
        <v>0</v>
      </c>
      <c r="J592" s="269">
        <v>0</v>
      </c>
      <c r="K592" s="257">
        <v>0</v>
      </c>
      <c r="L592" s="257">
        <v>0</v>
      </c>
      <c r="M592" s="257">
        <v>791500</v>
      </c>
      <c r="N592" s="257">
        <v>791500</v>
      </c>
    </row>
    <row r="593" spans="1:14" hidden="1" x14ac:dyDescent="0.25">
      <c r="A593" s="143" t="s">
        <v>714</v>
      </c>
      <c r="B593" s="143" t="s">
        <v>354</v>
      </c>
      <c r="C593" s="143" t="s">
        <v>355</v>
      </c>
      <c r="D593" s="143" t="s">
        <v>69</v>
      </c>
      <c r="E593" s="257">
        <v>585840</v>
      </c>
      <c r="F593" s="257">
        <v>585840</v>
      </c>
      <c r="G593" s="257">
        <v>585840</v>
      </c>
      <c r="H593" s="257">
        <v>0</v>
      </c>
      <c r="I593" s="257">
        <v>0</v>
      </c>
      <c r="J593" s="269">
        <v>0</v>
      </c>
      <c r="K593" s="257">
        <v>0</v>
      </c>
      <c r="L593" s="257">
        <v>0</v>
      </c>
      <c r="M593" s="257">
        <v>585840</v>
      </c>
      <c r="N593" s="257">
        <v>585840</v>
      </c>
    </row>
    <row r="594" spans="1:14" hidden="1" x14ac:dyDescent="0.25">
      <c r="A594" s="143" t="s">
        <v>714</v>
      </c>
      <c r="B594" s="143" t="s">
        <v>356</v>
      </c>
      <c r="C594" s="143" t="s">
        <v>357</v>
      </c>
      <c r="D594" s="143" t="s">
        <v>69</v>
      </c>
      <c r="E594" s="257">
        <v>585840</v>
      </c>
      <c r="F594" s="257">
        <v>585840</v>
      </c>
      <c r="G594" s="257">
        <v>585840</v>
      </c>
      <c r="H594" s="257">
        <v>0</v>
      </c>
      <c r="I594" s="257">
        <v>0</v>
      </c>
      <c r="J594" s="269">
        <v>0</v>
      </c>
      <c r="K594" s="257">
        <v>0</v>
      </c>
      <c r="L594" s="257">
        <v>0</v>
      </c>
      <c r="M594" s="257">
        <v>585840</v>
      </c>
      <c r="N594" s="257">
        <v>585840</v>
      </c>
    </row>
    <row r="595" spans="1:14" hidden="1" x14ac:dyDescent="0.25">
      <c r="A595" s="143" t="s">
        <v>714</v>
      </c>
      <c r="B595" s="143" t="s">
        <v>212</v>
      </c>
      <c r="C595" s="143" t="s">
        <v>213</v>
      </c>
      <c r="D595" s="143" t="s">
        <v>69</v>
      </c>
      <c r="E595" s="257">
        <v>4198730</v>
      </c>
      <c r="F595" s="257">
        <v>4198730</v>
      </c>
      <c r="G595" s="257">
        <v>4198730</v>
      </c>
      <c r="H595" s="257">
        <v>0</v>
      </c>
      <c r="I595" s="257">
        <v>0</v>
      </c>
      <c r="J595">
        <v>0</v>
      </c>
      <c r="K595" s="257">
        <v>0</v>
      </c>
      <c r="L595" s="257">
        <v>0</v>
      </c>
      <c r="M595" s="257">
        <v>4198730</v>
      </c>
      <c r="N595" s="257">
        <v>4198730</v>
      </c>
    </row>
    <row r="596" spans="1:14" hidden="1" x14ac:dyDescent="0.25">
      <c r="A596" s="143" t="s">
        <v>714</v>
      </c>
      <c r="B596" s="143" t="s">
        <v>220</v>
      </c>
      <c r="C596" s="143" t="s">
        <v>221</v>
      </c>
      <c r="D596" s="143" t="s">
        <v>69</v>
      </c>
      <c r="E596" s="257">
        <v>1076090</v>
      </c>
      <c r="F596" s="257">
        <v>1076090</v>
      </c>
      <c r="G596" s="257">
        <v>1076090</v>
      </c>
      <c r="H596" s="257">
        <v>0</v>
      </c>
      <c r="I596" s="257">
        <v>0</v>
      </c>
      <c r="J596" s="252">
        <v>0</v>
      </c>
      <c r="K596" s="257">
        <v>0</v>
      </c>
      <c r="L596" s="257">
        <v>0</v>
      </c>
      <c r="M596" s="257">
        <v>1076090</v>
      </c>
      <c r="N596" s="257">
        <v>1076090</v>
      </c>
    </row>
    <row r="597" spans="1:14" hidden="1" x14ac:dyDescent="0.25">
      <c r="A597" s="143" t="s">
        <v>714</v>
      </c>
      <c r="B597" s="143" t="s">
        <v>222</v>
      </c>
      <c r="C597" s="143" t="s">
        <v>223</v>
      </c>
      <c r="D597" s="143" t="s">
        <v>69</v>
      </c>
      <c r="E597" s="257">
        <v>35760</v>
      </c>
      <c r="F597" s="257">
        <v>35760</v>
      </c>
      <c r="G597" s="257">
        <v>35760</v>
      </c>
      <c r="H597" s="257">
        <v>0</v>
      </c>
      <c r="I597" s="257">
        <v>0</v>
      </c>
      <c r="J597" s="261">
        <v>0</v>
      </c>
      <c r="K597" s="257">
        <v>0</v>
      </c>
      <c r="L597" s="257">
        <v>0</v>
      </c>
      <c r="M597" s="257">
        <v>35760</v>
      </c>
      <c r="N597" s="257">
        <v>35760</v>
      </c>
    </row>
    <row r="598" spans="1:14" hidden="1" x14ac:dyDescent="0.25">
      <c r="A598" s="143" t="s">
        <v>714</v>
      </c>
      <c r="B598" s="143" t="s">
        <v>224</v>
      </c>
      <c r="C598" s="143" t="s">
        <v>225</v>
      </c>
      <c r="D598" s="143" t="s">
        <v>69</v>
      </c>
      <c r="E598" s="257">
        <v>2587400</v>
      </c>
      <c r="F598" s="257">
        <v>2587400</v>
      </c>
      <c r="G598" s="257">
        <v>2587400</v>
      </c>
      <c r="H598" s="257">
        <v>0</v>
      </c>
      <c r="I598" s="257">
        <v>0</v>
      </c>
      <c r="J598" s="266">
        <v>0</v>
      </c>
      <c r="K598" s="257">
        <v>0</v>
      </c>
      <c r="L598" s="257">
        <v>0</v>
      </c>
      <c r="M598" s="257">
        <v>2587400</v>
      </c>
      <c r="N598" s="257">
        <v>2587400</v>
      </c>
    </row>
    <row r="599" spans="1:14" hidden="1" x14ac:dyDescent="0.25">
      <c r="A599" s="143" t="s">
        <v>714</v>
      </c>
      <c r="B599" s="143" t="s">
        <v>228</v>
      </c>
      <c r="C599" s="143" t="s">
        <v>229</v>
      </c>
      <c r="D599" s="143" t="s">
        <v>69</v>
      </c>
      <c r="E599" s="257">
        <v>499480</v>
      </c>
      <c r="F599" s="257">
        <v>499480</v>
      </c>
      <c r="G599" s="257">
        <v>499480</v>
      </c>
      <c r="H599" s="257">
        <v>0</v>
      </c>
      <c r="I599" s="257">
        <v>0</v>
      </c>
      <c r="J599" s="269">
        <v>0</v>
      </c>
      <c r="K599" s="257">
        <v>0</v>
      </c>
      <c r="L599" s="257">
        <v>0</v>
      </c>
      <c r="M599" s="257">
        <v>499480</v>
      </c>
      <c r="N599" s="257">
        <v>499480</v>
      </c>
    </row>
    <row r="600" spans="1:14" hidden="1" x14ac:dyDescent="0.25">
      <c r="A600" s="143" t="s">
        <v>714</v>
      </c>
      <c r="B600" s="143" t="s">
        <v>248</v>
      </c>
      <c r="C600" s="143" t="s">
        <v>249</v>
      </c>
      <c r="D600" s="143" t="s">
        <v>69</v>
      </c>
      <c r="E600" s="257">
        <v>32319360</v>
      </c>
      <c r="F600" s="257">
        <v>32319360</v>
      </c>
      <c r="G600" s="257">
        <v>32319360</v>
      </c>
      <c r="H600" s="257">
        <v>0</v>
      </c>
      <c r="I600" s="257">
        <v>21353846</v>
      </c>
      <c r="J600" s="269">
        <v>0</v>
      </c>
      <c r="K600" s="257">
        <v>3653031</v>
      </c>
      <c r="L600" s="257">
        <v>3653031</v>
      </c>
      <c r="M600" s="257">
        <v>7312483</v>
      </c>
      <c r="N600" s="257">
        <v>7312483</v>
      </c>
    </row>
    <row r="601" spans="1:14" hidden="1" x14ac:dyDescent="0.25">
      <c r="A601" s="143" t="s">
        <v>714</v>
      </c>
      <c r="B601" s="143" t="s">
        <v>250</v>
      </c>
      <c r="C601" s="143" t="s">
        <v>251</v>
      </c>
      <c r="D601" s="143" t="s">
        <v>69</v>
      </c>
      <c r="E601" s="257">
        <v>24819360</v>
      </c>
      <c r="F601" s="257">
        <v>24819360</v>
      </c>
      <c r="G601" s="257">
        <v>24819360</v>
      </c>
      <c r="H601" s="257">
        <v>0</v>
      </c>
      <c r="I601" s="257">
        <v>21353846</v>
      </c>
      <c r="J601" s="269">
        <v>0</v>
      </c>
      <c r="K601" s="257">
        <v>3465514</v>
      </c>
      <c r="L601" s="257">
        <v>3465514</v>
      </c>
      <c r="M601" s="257">
        <v>0</v>
      </c>
      <c r="N601" s="257">
        <v>0</v>
      </c>
    </row>
    <row r="602" spans="1:14" hidden="1" x14ac:dyDescent="0.25">
      <c r="A602" s="143" t="s">
        <v>714</v>
      </c>
      <c r="B602" s="143" t="s">
        <v>633</v>
      </c>
      <c r="C602" s="143" t="s">
        <v>702</v>
      </c>
      <c r="D602" s="143" t="s">
        <v>69</v>
      </c>
      <c r="E602" s="257">
        <v>21081545</v>
      </c>
      <c r="F602" s="257">
        <v>21081545</v>
      </c>
      <c r="G602" s="257">
        <v>21081545</v>
      </c>
      <c r="H602" s="257">
        <v>0</v>
      </c>
      <c r="I602" s="257">
        <v>18166123</v>
      </c>
      <c r="J602" s="269">
        <v>0</v>
      </c>
      <c r="K602" s="257">
        <v>2915422</v>
      </c>
      <c r="L602" s="257">
        <v>2915422</v>
      </c>
      <c r="M602" s="257">
        <v>0</v>
      </c>
      <c r="N602" s="257">
        <v>0</v>
      </c>
    </row>
    <row r="603" spans="1:14" hidden="1" x14ac:dyDescent="0.25">
      <c r="A603" s="143" t="s">
        <v>714</v>
      </c>
      <c r="B603" s="143" t="s">
        <v>648</v>
      </c>
      <c r="C603" s="143" t="s">
        <v>703</v>
      </c>
      <c r="D603" s="143" t="s">
        <v>69</v>
      </c>
      <c r="E603" s="257">
        <v>3737815</v>
      </c>
      <c r="F603" s="257">
        <v>3737815</v>
      </c>
      <c r="G603" s="257">
        <v>3737815</v>
      </c>
      <c r="H603" s="257">
        <v>0</v>
      </c>
      <c r="I603" s="257">
        <v>3187723</v>
      </c>
      <c r="J603" s="269">
        <v>0</v>
      </c>
      <c r="K603" s="257">
        <v>550092</v>
      </c>
      <c r="L603" s="257">
        <v>550092</v>
      </c>
      <c r="M603" s="257">
        <v>0</v>
      </c>
      <c r="N603" s="257">
        <v>0</v>
      </c>
    </row>
    <row r="604" spans="1:14" hidden="1" x14ac:dyDescent="0.25">
      <c r="A604" s="143" t="s">
        <v>714</v>
      </c>
      <c r="B604" s="143" t="s">
        <v>260</v>
      </c>
      <c r="C604" s="143" t="s">
        <v>261</v>
      </c>
      <c r="D604" s="143" t="s">
        <v>69</v>
      </c>
      <c r="E604" s="257">
        <v>7500000</v>
      </c>
      <c r="F604" s="257">
        <v>7500000</v>
      </c>
      <c r="G604" s="257">
        <v>7500000</v>
      </c>
      <c r="H604" s="257">
        <v>0</v>
      </c>
      <c r="I604" s="257">
        <v>0</v>
      </c>
      <c r="J604" s="269">
        <v>0</v>
      </c>
      <c r="K604" s="257">
        <v>187517</v>
      </c>
      <c r="L604" s="257">
        <v>187517</v>
      </c>
      <c r="M604" s="257">
        <v>7312483</v>
      </c>
      <c r="N604" s="257">
        <v>7312483</v>
      </c>
    </row>
    <row r="605" spans="1:14" hidden="1" x14ac:dyDescent="0.25">
      <c r="A605" s="143" t="s">
        <v>714</v>
      </c>
      <c r="B605" s="143" t="s">
        <v>264</v>
      </c>
      <c r="C605" s="143" t="s">
        <v>265</v>
      </c>
      <c r="D605" s="143" t="s">
        <v>69</v>
      </c>
      <c r="E605" s="257">
        <v>7500000</v>
      </c>
      <c r="F605" s="257">
        <v>7500000</v>
      </c>
      <c r="G605" s="257">
        <v>7500000</v>
      </c>
      <c r="H605" s="257">
        <v>0</v>
      </c>
      <c r="I605" s="257">
        <v>0</v>
      </c>
      <c r="J605" s="269">
        <v>0</v>
      </c>
      <c r="K605" s="257">
        <v>187517</v>
      </c>
      <c r="L605" s="257">
        <v>187517</v>
      </c>
      <c r="M605" s="257">
        <v>7312483</v>
      </c>
      <c r="N605" s="257">
        <v>7312483</v>
      </c>
    </row>
    <row r="606" spans="1:14" hidden="1" x14ac:dyDescent="0.25">
      <c r="A606" s="143" t="s">
        <v>714</v>
      </c>
      <c r="B606" s="143" t="s">
        <v>230</v>
      </c>
      <c r="C606" s="143" t="s">
        <v>231</v>
      </c>
      <c r="D606" s="143" t="s">
        <v>85</v>
      </c>
      <c r="E606" s="257">
        <v>5038000</v>
      </c>
      <c r="F606" s="257">
        <v>5038000</v>
      </c>
      <c r="G606" s="257">
        <v>5038000</v>
      </c>
      <c r="H606" s="257">
        <v>0</v>
      </c>
      <c r="I606" s="257">
        <v>0</v>
      </c>
      <c r="J606" s="269">
        <v>0</v>
      </c>
      <c r="K606" s="257">
        <v>0</v>
      </c>
      <c r="L606" s="257">
        <v>0</v>
      </c>
      <c r="M606" s="257">
        <v>5038000</v>
      </c>
      <c r="N606" s="257">
        <v>5038000</v>
      </c>
    </row>
    <row r="607" spans="1:14" hidden="1" x14ac:dyDescent="0.25">
      <c r="A607" s="143" t="s">
        <v>714</v>
      </c>
      <c r="B607" s="143" t="s">
        <v>232</v>
      </c>
      <c r="C607" s="143" t="s">
        <v>233</v>
      </c>
      <c r="D607" s="143" t="s">
        <v>85</v>
      </c>
      <c r="E607" s="257">
        <v>4954000</v>
      </c>
      <c r="F607" s="257">
        <v>4954000</v>
      </c>
      <c r="G607" s="257">
        <v>4954000</v>
      </c>
      <c r="H607" s="257">
        <v>0</v>
      </c>
      <c r="I607" s="257">
        <v>0</v>
      </c>
      <c r="J607" s="269">
        <v>0</v>
      </c>
      <c r="K607" s="257">
        <v>0</v>
      </c>
      <c r="L607" s="257">
        <v>0</v>
      </c>
      <c r="M607" s="257">
        <v>4954000</v>
      </c>
      <c r="N607" s="257">
        <v>4954000</v>
      </c>
    </row>
    <row r="608" spans="1:14" hidden="1" x14ac:dyDescent="0.25">
      <c r="A608" s="143" t="s">
        <v>714</v>
      </c>
      <c r="B608" s="143" t="s">
        <v>234</v>
      </c>
      <c r="C608" s="143" t="s">
        <v>235</v>
      </c>
      <c r="D608" s="143" t="s">
        <v>85</v>
      </c>
      <c r="E608" s="257">
        <v>3565000</v>
      </c>
      <c r="F608" s="257">
        <v>3565000</v>
      </c>
      <c r="G608" s="257">
        <v>3565000</v>
      </c>
      <c r="H608" s="257">
        <v>0</v>
      </c>
      <c r="I608" s="257">
        <v>0</v>
      </c>
      <c r="J608" s="269">
        <v>0</v>
      </c>
      <c r="K608" s="257">
        <v>0</v>
      </c>
      <c r="L608" s="257">
        <v>0</v>
      </c>
      <c r="M608" s="257">
        <v>3565000</v>
      </c>
      <c r="N608" s="257">
        <v>3565000</v>
      </c>
    </row>
    <row r="609" spans="1:14" hidden="1" x14ac:dyDescent="0.25">
      <c r="A609" s="143" t="s">
        <v>714</v>
      </c>
      <c r="B609" s="143" t="s">
        <v>242</v>
      </c>
      <c r="C609" s="143" t="s">
        <v>243</v>
      </c>
      <c r="D609" s="143" t="s">
        <v>85</v>
      </c>
      <c r="E609" s="257">
        <v>1389000</v>
      </c>
      <c r="F609" s="257">
        <v>1389000</v>
      </c>
      <c r="G609" s="257">
        <v>1389000</v>
      </c>
      <c r="H609" s="257">
        <v>0</v>
      </c>
      <c r="I609" s="257">
        <v>0</v>
      </c>
      <c r="J609" s="269">
        <v>0</v>
      </c>
      <c r="K609" s="257">
        <v>0</v>
      </c>
      <c r="L609" s="257">
        <v>0</v>
      </c>
      <c r="M609" s="257">
        <v>1389000</v>
      </c>
      <c r="N609" s="257">
        <v>1389000</v>
      </c>
    </row>
    <row r="610" spans="1:14" hidden="1" x14ac:dyDescent="0.25">
      <c r="A610" s="143" t="s">
        <v>714</v>
      </c>
      <c r="B610" s="143" t="s">
        <v>244</v>
      </c>
      <c r="C610" s="143" t="s">
        <v>245</v>
      </c>
      <c r="D610" s="143" t="s">
        <v>85</v>
      </c>
      <c r="E610" s="257">
        <v>84000</v>
      </c>
      <c r="F610" s="257">
        <v>84000</v>
      </c>
      <c r="G610" s="257">
        <v>84000</v>
      </c>
      <c r="H610" s="257">
        <v>0</v>
      </c>
      <c r="I610" s="257">
        <v>0</v>
      </c>
      <c r="J610" s="269">
        <v>0</v>
      </c>
      <c r="K610" s="257">
        <v>0</v>
      </c>
      <c r="L610" s="257">
        <v>0</v>
      </c>
      <c r="M610" s="257">
        <v>84000</v>
      </c>
      <c r="N610" s="257">
        <v>84000</v>
      </c>
    </row>
    <row r="611" spans="1:14" hidden="1" x14ac:dyDescent="0.25">
      <c r="A611" s="143" t="s">
        <v>714</v>
      </c>
      <c r="B611" s="143" t="s">
        <v>611</v>
      </c>
      <c r="C611" s="143" t="s">
        <v>612</v>
      </c>
      <c r="D611" s="143" t="s">
        <v>85</v>
      </c>
      <c r="E611" s="257">
        <v>84000</v>
      </c>
      <c r="F611" s="257">
        <v>84000</v>
      </c>
      <c r="G611" s="257">
        <v>84000</v>
      </c>
      <c r="H611" s="257">
        <v>0</v>
      </c>
      <c r="I611" s="257">
        <v>0</v>
      </c>
      <c r="J611" s="269">
        <v>0</v>
      </c>
      <c r="K611" s="257">
        <v>0</v>
      </c>
      <c r="L611" s="257">
        <v>0</v>
      </c>
      <c r="M611" s="257">
        <v>84000</v>
      </c>
      <c r="N611" s="257">
        <v>84000</v>
      </c>
    </row>
    <row r="612" spans="1:14" x14ac:dyDescent="0.25">
      <c r="A612" s="270">
        <v>214789005</v>
      </c>
      <c r="B612" s="143"/>
      <c r="C612" s="143"/>
      <c r="D612" s="271" t="s">
        <v>69</v>
      </c>
      <c r="E612" s="257">
        <v>1188120522</v>
      </c>
      <c r="F612" s="272">
        <v>1188120522</v>
      </c>
      <c r="G612" s="257">
        <v>1165946472</v>
      </c>
      <c r="H612" s="269">
        <v>0</v>
      </c>
      <c r="I612" s="273">
        <v>168711128.37</v>
      </c>
      <c r="J612">
        <v>0</v>
      </c>
      <c r="K612" s="269">
        <v>208547741.52000001</v>
      </c>
      <c r="L612" s="274">
        <v>208519050.78</v>
      </c>
      <c r="M612" s="273">
        <v>810861652.11000001</v>
      </c>
      <c r="N612" s="257">
        <v>788687602.11000001</v>
      </c>
    </row>
    <row r="613" spans="1:14" hidden="1" x14ac:dyDescent="0.25">
      <c r="A613" s="143" t="s">
        <v>715</v>
      </c>
      <c r="B613" s="143" t="s">
        <v>71</v>
      </c>
      <c r="C613" s="143" t="s">
        <v>72</v>
      </c>
      <c r="D613" s="143" t="s">
        <v>69</v>
      </c>
      <c r="E613" s="257">
        <v>1139557000</v>
      </c>
      <c r="F613" s="257">
        <v>1139557000</v>
      </c>
      <c r="G613" s="257">
        <v>1139557000</v>
      </c>
      <c r="H613" s="257">
        <v>0</v>
      </c>
      <c r="I613" s="257">
        <v>149502176</v>
      </c>
      <c r="J613" s="252">
        <v>0</v>
      </c>
      <c r="K613" s="257">
        <v>206362261.88999999</v>
      </c>
      <c r="L613" s="257">
        <v>206362261.88999999</v>
      </c>
      <c r="M613" s="257">
        <v>783692562.11000001</v>
      </c>
      <c r="N613" s="257">
        <v>783692562.11000001</v>
      </c>
    </row>
    <row r="614" spans="1:14" hidden="1" x14ac:dyDescent="0.25">
      <c r="A614" s="143" t="s">
        <v>715</v>
      </c>
      <c r="B614" s="143" t="s">
        <v>73</v>
      </c>
      <c r="C614" s="143" t="s">
        <v>74</v>
      </c>
      <c r="D614" s="143" t="s">
        <v>69</v>
      </c>
      <c r="E614" s="257">
        <v>400867000</v>
      </c>
      <c r="F614" s="257">
        <v>400867000</v>
      </c>
      <c r="G614" s="257">
        <v>400867000</v>
      </c>
      <c r="H614" s="257">
        <v>0</v>
      </c>
      <c r="I614" s="257">
        <v>0</v>
      </c>
      <c r="J614" s="261">
        <v>0</v>
      </c>
      <c r="K614" s="257">
        <v>60597476.219999999</v>
      </c>
      <c r="L614" s="257">
        <v>60597476.219999999</v>
      </c>
      <c r="M614" s="257">
        <v>340269523.77999997</v>
      </c>
      <c r="N614" s="257">
        <v>340269523.77999997</v>
      </c>
    </row>
    <row r="615" spans="1:14" hidden="1" x14ac:dyDescent="0.25">
      <c r="A615" s="143" t="s">
        <v>715</v>
      </c>
      <c r="B615" s="143" t="s">
        <v>75</v>
      </c>
      <c r="C615" s="143" t="s">
        <v>76</v>
      </c>
      <c r="D615" s="143" t="s">
        <v>69</v>
      </c>
      <c r="E615" s="257">
        <v>400867000</v>
      </c>
      <c r="F615" s="257">
        <v>400867000</v>
      </c>
      <c r="G615" s="257">
        <v>400867000</v>
      </c>
      <c r="H615" s="257">
        <v>0</v>
      </c>
      <c r="I615" s="257">
        <v>0</v>
      </c>
      <c r="J615" s="266">
        <v>0</v>
      </c>
      <c r="K615" s="257">
        <v>60597476.219999999</v>
      </c>
      <c r="L615" s="257">
        <v>60597476.219999999</v>
      </c>
      <c r="M615" s="257">
        <v>340269523.77999997</v>
      </c>
      <c r="N615" s="257">
        <v>340269523.77999997</v>
      </c>
    </row>
    <row r="616" spans="1:14" hidden="1" x14ac:dyDescent="0.25">
      <c r="A616" s="143" t="s">
        <v>715</v>
      </c>
      <c r="B616" s="143" t="s">
        <v>77</v>
      </c>
      <c r="C616" s="143" t="s">
        <v>78</v>
      </c>
      <c r="D616" s="143" t="s">
        <v>69</v>
      </c>
      <c r="E616" s="257">
        <v>564855020</v>
      </c>
      <c r="F616" s="257">
        <v>564855020</v>
      </c>
      <c r="G616" s="257">
        <v>564855020</v>
      </c>
      <c r="H616" s="257">
        <v>0</v>
      </c>
      <c r="I616" s="257">
        <v>0</v>
      </c>
      <c r="J616" s="269">
        <v>0</v>
      </c>
      <c r="K616" s="257">
        <v>121431981.67</v>
      </c>
      <c r="L616" s="257">
        <v>121431981.67</v>
      </c>
      <c r="M616" s="257">
        <v>443423038.32999998</v>
      </c>
      <c r="N616" s="257">
        <v>443423038.32999998</v>
      </c>
    </row>
    <row r="617" spans="1:14" hidden="1" x14ac:dyDescent="0.25">
      <c r="A617" s="143" t="s">
        <v>715</v>
      </c>
      <c r="B617" s="143" t="s">
        <v>79</v>
      </c>
      <c r="C617" s="143" t="s">
        <v>80</v>
      </c>
      <c r="D617" s="143" t="s">
        <v>69</v>
      </c>
      <c r="E617" s="257">
        <v>153608900</v>
      </c>
      <c r="F617" s="257">
        <v>153608900</v>
      </c>
      <c r="G617" s="257">
        <v>153608900</v>
      </c>
      <c r="H617" s="257">
        <v>0</v>
      </c>
      <c r="I617" s="257">
        <v>0</v>
      </c>
      <c r="J617" s="269">
        <v>0</v>
      </c>
      <c r="K617" s="257">
        <v>20228033.719999999</v>
      </c>
      <c r="L617" s="257">
        <v>20228033.719999999</v>
      </c>
      <c r="M617" s="257">
        <v>133380866.28</v>
      </c>
      <c r="N617" s="257">
        <v>133380866.28</v>
      </c>
    </row>
    <row r="618" spans="1:14" hidden="1" x14ac:dyDescent="0.25">
      <c r="A618" s="143" t="s">
        <v>715</v>
      </c>
      <c r="B618" s="143" t="s">
        <v>81</v>
      </c>
      <c r="C618" s="143" t="s">
        <v>82</v>
      </c>
      <c r="D618" s="143" t="s">
        <v>69</v>
      </c>
      <c r="E618" s="257">
        <v>194052109</v>
      </c>
      <c r="F618" s="257">
        <v>194052109</v>
      </c>
      <c r="G618" s="257">
        <v>194052109</v>
      </c>
      <c r="H618" s="257">
        <v>0</v>
      </c>
      <c r="I618" s="257">
        <v>0</v>
      </c>
      <c r="J618" s="269">
        <v>0</v>
      </c>
      <c r="K618" s="257">
        <v>29125787.199999999</v>
      </c>
      <c r="L618" s="257">
        <v>29125787.199999999</v>
      </c>
      <c r="M618" s="257">
        <v>164926321.80000001</v>
      </c>
      <c r="N618" s="257">
        <v>164926321.80000001</v>
      </c>
    </row>
    <row r="619" spans="1:14" hidden="1" x14ac:dyDescent="0.25">
      <c r="A619" s="143" t="s">
        <v>715</v>
      </c>
      <c r="B619" s="143" t="s">
        <v>86</v>
      </c>
      <c r="C619" s="143" t="s">
        <v>87</v>
      </c>
      <c r="D619" s="143" t="s">
        <v>69</v>
      </c>
      <c r="E619" s="257">
        <v>68267000</v>
      </c>
      <c r="F619" s="257">
        <v>68267000</v>
      </c>
      <c r="G619" s="257">
        <v>68267000</v>
      </c>
      <c r="H619" s="257">
        <v>0</v>
      </c>
      <c r="I619" s="257">
        <v>0</v>
      </c>
      <c r="J619" s="269">
        <v>0</v>
      </c>
      <c r="K619" s="257">
        <v>61310698.509999998</v>
      </c>
      <c r="L619" s="257">
        <v>61310698.509999998</v>
      </c>
      <c r="M619" s="257">
        <v>6956301.4900000002</v>
      </c>
      <c r="N619" s="257">
        <v>6956301.4900000002</v>
      </c>
    </row>
    <row r="620" spans="1:14" hidden="1" x14ac:dyDescent="0.25">
      <c r="A620" s="143" t="s">
        <v>715</v>
      </c>
      <c r="B620" s="143" t="s">
        <v>88</v>
      </c>
      <c r="C620" s="143" t="s">
        <v>89</v>
      </c>
      <c r="D620" s="143" t="s">
        <v>69</v>
      </c>
      <c r="E620" s="257">
        <v>74668200</v>
      </c>
      <c r="F620" s="257">
        <v>74668200</v>
      </c>
      <c r="G620" s="257">
        <v>74668200</v>
      </c>
      <c r="H620" s="257">
        <v>0</v>
      </c>
      <c r="I620" s="257">
        <v>0</v>
      </c>
      <c r="J620" s="269">
        <v>0</v>
      </c>
      <c r="K620" s="257">
        <v>10767462.24</v>
      </c>
      <c r="L620" s="257">
        <v>10767462.24</v>
      </c>
      <c r="M620" s="257">
        <v>63900737.759999998</v>
      </c>
      <c r="N620" s="257">
        <v>63900737.759999998</v>
      </c>
    </row>
    <row r="621" spans="1:14" hidden="1" x14ac:dyDescent="0.25">
      <c r="A621" s="143" t="s">
        <v>715</v>
      </c>
      <c r="B621" s="143" t="s">
        <v>83</v>
      </c>
      <c r="C621" s="143" t="s">
        <v>84</v>
      </c>
      <c r="D621" s="143" t="s">
        <v>85</v>
      </c>
      <c r="E621" s="257">
        <v>74258811</v>
      </c>
      <c r="F621" s="257">
        <v>74258811</v>
      </c>
      <c r="G621" s="257">
        <v>74258811</v>
      </c>
      <c r="H621" s="257">
        <v>0</v>
      </c>
      <c r="I621" s="257">
        <v>0</v>
      </c>
      <c r="J621" s="269">
        <v>0</v>
      </c>
      <c r="K621" s="257">
        <v>0</v>
      </c>
      <c r="L621" s="257">
        <v>0</v>
      </c>
      <c r="M621" s="257">
        <v>74258811</v>
      </c>
      <c r="N621" s="257">
        <v>74258811</v>
      </c>
    </row>
    <row r="622" spans="1:14" hidden="1" x14ac:dyDescent="0.25">
      <c r="A622" s="143" t="s">
        <v>715</v>
      </c>
      <c r="B622" s="143" t="s">
        <v>90</v>
      </c>
      <c r="C622" s="143" t="s">
        <v>91</v>
      </c>
      <c r="D622" s="143" t="s">
        <v>69</v>
      </c>
      <c r="E622" s="257">
        <v>86917540</v>
      </c>
      <c r="F622" s="257">
        <v>86917540</v>
      </c>
      <c r="G622" s="257">
        <v>86917540</v>
      </c>
      <c r="H622" s="257">
        <v>0</v>
      </c>
      <c r="I622" s="257">
        <v>74695787</v>
      </c>
      <c r="J622" s="269">
        <v>0</v>
      </c>
      <c r="K622" s="257">
        <v>12221753</v>
      </c>
      <c r="L622" s="257">
        <v>12221753</v>
      </c>
      <c r="M622" s="257">
        <v>0</v>
      </c>
      <c r="N622" s="257">
        <v>0</v>
      </c>
    </row>
    <row r="623" spans="1:14" hidden="1" x14ac:dyDescent="0.25">
      <c r="A623" s="143" t="s">
        <v>715</v>
      </c>
      <c r="B623" s="143" t="s">
        <v>425</v>
      </c>
      <c r="C623" s="143" t="s">
        <v>697</v>
      </c>
      <c r="D623" s="143" t="s">
        <v>69</v>
      </c>
      <c r="E623" s="257">
        <v>82460320</v>
      </c>
      <c r="F623" s="257">
        <v>82460320</v>
      </c>
      <c r="G623" s="257">
        <v>82460320</v>
      </c>
      <c r="H623" s="257">
        <v>0</v>
      </c>
      <c r="I623" s="257">
        <v>70865324</v>
      </c>
      <c r="J623" s="269">
        <v>0</v>
      </c>
      <c r="K623" s="257">
        <v>11594996</v>
      </c>
      <c r="L623" s="257">
        <v>11594996</v>
      </c>
      <c r="M623" s="257">
        <v>0</v>
      </c>
      <c r="N623" s="257">
        <v>0</v>
      </c>
    </row>
    <row r="624" spans="1:14" hidden="1" x14ac:dyDescent="0.25">
      <c r="A624" s="143" t="s">
        <v>715</v>
      </c>
      <c r="B624" s="143" t="s">
        <v>442</v>
      </c>
      <c r="C624" s="143" t="s">
        <v>95</v>
      </c>
      <c r="D624" s="143" t="s">
        <v>69</v>
      </c>
      <c r="E624" s="257">
        <v>4457220</v>
      </c>
      <c r="F624" s="257">
        <v>4457220</v>
      </c>
      <c r="G624" s="257">
        <v>4457220</v>
      </c>
      <c r="H624" s="257">
        <v>0</v>
      </c>
      <c r="I624" s="257">
        <v>3830463</v>
      </c>
      <c r="J624" s="269">
        <v>0</v>
      </c>
      <c r="K624" s="257">
        <v>626757</v>
      </c>
      <c r="L624" s="257">
        <v>626757</v>
      </c>
      <c r="M624" s="257">
        <v>0</v>
      </c>
      <c r="N624" s="257">
        <v>0</v>
      </c>
    </row>
    <row r="625" spans="1:14" hidden="1" x14ac:dyDescent="0.25">
      <c r="A625" s="143" t="s">
        <v>715</v>
      </c>
      <c r="B625" s="143" t="s">
        <v>96</v>
      </c>
      <c r="C625" s="143" t="s">
        <v>97</v>
      </c>
      <c r="D625" s="143" t="s">
        <v>69</v>
      </c>
      <c r="E625" s="257">
        <v>86917440</v>
      </c>
      <c r="F625" s="257">
        <v>86917440</v>
      </c>
      <c r="G625" s="257">
        <v>86917440</v>
      </c>
      <c r="H625" s="257">
        <v>0</v>
      </c>
      <c r="I625" s="257">
        <v>74806389</v>
      </c>
      <c r="J625" s="269">
        <v>0</v>
      </c>
      <c r="K625" s="257">
        <v>12111051</v>
      </c>
      <c r="L625" s="257">
        <v>12111051</v>
      </c>
      <c r="M625" s="257">
        <v>0</v>
      </c>
      <c r="N625" s="257">
        <v>0</v>
      </c>
    </row>
    <row r="626" spans="1:14" hidden="1" x14ac:dyDescent="0.25">
      <c r="A626" s="143" t="s">
        <v>715</v>
      </c>
      <c r="B626" s="143" t="s">
        <v>460</v>
      </c>
      <c r="C626" s="143" t="s">
        <v>698</v>
      </c>
      <c r="D626" s="143" t="s">
        <v>69</v>
      </c>
      <c r="E626" s="257">
        <v>46801760</v>
      </c>
      <c r="F626" s="257">
        <v>46801760</v>
      </c>
      <c r="G626" s="257">
        <v>46801760</v>
      </c>
      <c r="H626" s="257">
        <v>0</v>
      </c>
      <c r="I626" s="257">
        <v>40331519</v>
      </c>
      <c r="J626" s="269">
        <v>0</v>
      </c>
      <c r="K626" s="257">
        <v>6470241</v>
      </c>
      <c r="L626" s="257">
        <v>6470241</v>
      </c>
      <c r="M626" s="257">
        <v>0</v>
      </c>
      <c r="N626" s="257">
        <v>0</v>
      </c>
    </row>
    <row r="627" spans="1:14" hidden="1" x14ac:dyDescent="0.25">
      <c r="A627" s="143" t="s">
        <v>715</v>
      </c>
      <c r="B627" s="143" t="s">
        <v>477</v>
      </c>
      <c r="C627" s="143" t="s">
        <v>699</v>
      </c>
      <c r="D627" s="143" t="s">
        <v>69</v>
      </c>
      <c r="E627" s="257">
        <v>13371860</v>
      </c>
      <c r="F627" s="257">
        <v>13371860</v>
      </c>
      <c r="G627" s="257">
        <v>13371860</v>
      </c>
      <c r="H627" s="257">
        <v>0</v>
      </c>
      <c r="I627" s="257">
        <v>11491590</v>
      </c>
      <c r="J627" s="269">
        <v>0</v>
      </c>
      <c r="K627" s="257">
        <v>1880270</v>
      </c>
      <c r="L627" s="257">
        <v>1880270</v>
      </c>
      <c r="M627" s="257">
        <v>0</v>
      </c>
      <c r="N627" s="257">
        <v>0</v>
      </c>
    </row>
    <row r="628" spans="1:14" hidden="1" x14ac:dyDescent="0.25">
      <c r="A628" s="143" t="s">
        <v>715</v>
      </c>
      <c r="B628" s="143" t="s">
        <v>494</v>
      </c>
      <c r="C628" s="143" t="s">
        <v>700</v>
      </c>
      <c r="D628" s="143" t="s">
        <v>69</v>
      </c>
      <c r="E628" s="257">
        <v>26743820</v>
      </c>
      <c r="F628" s="257">
        <v>26743820</v>
      </c>
      <c r="G628" s="257">
        <v>26743820</v>
      </c>
      <c r="H628" s="257">
        <v>0</v>
      </c>
      <c r="I628" s="257">
        <v>22983280</v>
      </c>
      <c r="J628" s="269">
        <v>0</v>
      </c>
      <c r="K628" s="257">
        <v>3760540</v>
      </c>
      <c r="L628" s="257">
        <v>3760540</v>
      </c>
      <c r="M628" s="257">
        <v>0</v>
      </c>
      <c r="N628" s="257">
        <v>0</v>
      </c>
    </row>
    <row r="629" spans="1:14" hidden="1" x14ac:dyDescent="0.25">
      <c r="A629" s="143" t="s">
        <v>715</v>
      </c>
      <c r="B629" s="143" t="s">
        <v>104</v>
      </c>
      <c r="C629" s="143" t="s">
        <v>105</v>
      </c>
      <c r="D629" s="143" t="s">
        <v>69</v>
      </c>
      <c r="E629" s="257">
        <v>30265400</v>
      </c>
      <c r="F629" s="257">
        <v>30265400</v>
      </c>
      <c r="G629" s="257">
        <v>8091350</v>
      </c>
      <c r="H629" s="257">
        <v>0</v>
      </c>
      <c r="I629" s="257">
        <v>6380959.3700000001</v>
      </c>
      <c r="J629">
        <v>0</v>
      </c>
      <c r="K629" s="257">
        <v>215350.63</v>
      </c>
      <c r="L629" s="257">
        <v>186659.89</v>
      </c>
      <c r="M629" s="257">
        <v>23669090</v>
      </c>
      <c r="N629" s="257">
        <v>1495040</v>
      </c>
    </row>
    <row r="630" spans="1:14" hidden="1" x14ac:dyDescent="0.25">
      <c r="A630" s="143" t="s">
        <v>715</v>
      </c>
      <c r="B630" s="143" t="s">
        <v>112</v>
      </c>
      <c r="C630" s="143" t="s">
        <v>113</v>
      </c>
      <c r="D630" s="143" t="s">
        <v>69</v>
      </c>
      <c r="E630" s="257">
        <v>30265400</v>
      </c>
      <c r="F630" s="257">
        <v>30265400</v>
      </c>
      <c r="G630" s="257">
        <v>8091350</v>
      </c>
      <c r="H630" s="257">
        <v>0</v>
      </c>
      <c r="I630" s="257">
        <v>6380959.3700000001</v>
      </c>
      <c r="J630" s="252">
        <v>0</v>
      </c>
      <c r="K630" s="257">
        <v>215350.63</v>
      </c>
      <c r="L630" s="257">
        <v>186659.89</v>
      </c>
      <c r="M630" s="257">
        <v>23669090</v>
      </c>
      <c r="N630" s="257">
        <v>1495040</v>
      </c>
    </row>
    <row r="631" spans="1:14" hidden="1" x14ac:dyDescent="0.25">
      <c r="A631" s="143" t="s">
        <v>715</v>
      </c>
      <c r="B631" s="143" t="s">
        <v>114</v>
      </c>
      <c r="C631" s="143" t="s">
        <v>115</v>
      </c>
      <c r="D631" s="143" t="s">
        <v>69</v>
      </c>
      <c r="E631" s="257">
        <v>3196000</v>
      </c>
      <c r="F631" s="257">
        <v>3196000</v>
      </c>
      <c r="G631" s="257">
        <v>799000</v>
      </c>
      <c r="H631" s="257">
        <v>0</v>
      </c>
      <c r="I631" s="257">
        <v>788798</v>
      </c>
      <c r="J631" s="261">
        <v>0</v>
      </c>
      <c r="K631" s="257">
        <v>10202</v>
      </c>
      <c r="L631" s="257">
        <v>10202</v>
      </c>
      <c r="M631" s="257">
        <v>2397000</v>
      </c>
      <c r="N631" s="257">
        <v>0</v>
      </c>
    </row>
    <row r="632" spans="1:14" hidden="1" x14ac:dyDescent="0.25">
      <c r="A632" s="143" t="s">
        <v>715</v>
      </c>
      <c r="B632" s="143" t="s">
        <v>116</v>
      </c>
      <c r="C632" s="143" t="s">
        <v>117</v>
      </c>
      <c r="D632" s="143" t="s">
        <v>69</v>
      </c>
      <c r="E632" s="257">
        <v>21749400</v>
      </c>
      <c r="F632" s="257">
        <v>21749400</v>
      </c>
      <c r="G632" s="257">
        <v>5437350</v>
      </c>
      <c r="H632" s="257">
        <v>0</v>
      </c>
      <c r="I632" s="257">
        <v>5260852.1100000003</v>
      </c>
      <c r="J632" s="266">
        <v>0</v>
      </c>
      <c r="K632" s="257">
        <v>176457.89</v>
      </c>
      <c r="L632" s="257">
        <v>176457.89</v>
      </c>
      <c r="M632" s="257">
        <v>16312090</v>
      </c>
      <c r="N632" s="257">
        <v>40</v>
      </c>
    </row>
    <row r="633" spans="1:14" hidden="1" x14ac:dyDescent="0.25">
      <c r="A633" s="143" t="s">
        <v>715</v>
      </c>
      <c r="B633" s="143" t="s">
        <v>120</v>
      </c>
      <c r="C633" s="143" t="s">
        <v>121</v>
      </c>
      <c r="D633" s="143" t="s">
        <v>69</v>
      </c>
      <c r="E633" s="257">
        <v>4620000</v>
      </c>
      <c r="F633" s="257">
        <v>4620000</v>
      </c>
      <c r="G633" s="257">
        <v>1155000</v>
      </c>
      <c r="H633" s="257">
        <v>0</v>
      </c>
      <c r="I633" s="257">
        <v>0</v>
      </c>
      <c r="J633" s="269">
        <v>0</v>
      </c>
      <c r="K633" s="257">
        <v>0</v>
      </c>
      <c r="L633" s="257">
        <v>0</v>
      </c>
      <c r="M633" s="257">
        <v>4620000</v>
      </c>
      <c r="N633" s="257">
        <v>1155000</v>
      </c>
    </row>
    <row r="634" spans="1:14" hidden="1" x14ac:dyDescent="0.25">
      <c r="A634" s="143" t="s">
        <v>715</v>
      </c>
      <c r="B634" s="143" t="s">
        <v>122</v>
      </c>
      <c r="C634" s="143" t="s">
        <v>123</v>
      </c>
      <c r="D634" s="143" t="s">
        <v>69</v>
      </c>
      <c r="E634" s="257">
        <v>700000</v>
      </c>
      <c r="F634" s="257">
        <v>700000</v>
      </c>
      <c r="G634" s="257">
        <v>700000</v>
      </c>
      <c r="H634" s="257">
        <v>0</v>
      </c>
      <c r="I634" s="257">
        <v>331309.26</v>
      </c>
      <c r="J634" s="269">
        <v>0</v>
      </c>
      <c r="K634" s="257">
        <v>28690.74</v>
      </c>
      <c r="L634" s="257">
        <v>0</v>
      </c>
      <c r="M634" s="257">
        <v>340000</v>
      </c>
      <c r="N634" s="257">
        <v>340000</v>
      </c>
    </row>
    <row r="635" spans="1:14" hidden="1" x14ac:dyDescent="0.25">
      <c r="A635" s="143" t="s">
        <v>715</v>
      </c>
      <c r="B635" s="143" t="s">
        <v>248</v>
      </c>
      <c r="C635" s="143" t="s">
        <v>249</v>
      </c>
      <c r="D635" s="143" t="s">
        <v>69</v>
      </c>
      <c r="E635" s="257">
        <v>18298122</v>
      </c>
      <c r="F635" s="257">
        <v>18298122</v>
      </c>
      <c r="G635" s="257">
        <v>18298122</v>
      </c>
      <c r="H635" s="257">
        <v>0</v>
      </c>
      <c r="I635" s="257">
        <v>12827993</v>
      </c>
      <c r="J635" s="269">
        <v>0</v>
      </c>
      <c r="K635" s="257">
        <v>1970129</v>
      </c>
      <c r="L635" s="257">
        <v>1970129</v>
      </c>
      <c r="M635" s="257">
        <v>3500000</v>
      </c>
      <c r="N635" s="257">
        <v>3500000</v>
      </c>
    </row>
    <row r="636" spans="1:14" hidden="1" x14ac:dyDescent="0.25">
      <c r="A636" s="143" t="s">
        <v>715</v>
      </c>
      <c r="B636" s="143" t="s">
        <v>250</v>
      </c>
      <c r="C636" s="143" t="s">
        <v>251</v>
      </c>
      <c r="D636" s="143" t="s">
        <v>69</v>
      </c>
      <c r="E636" s="257">
        <v>14798122</v>
      </c>
      <c r="F636" s="257">
        <v>14798122</v>
      </c>
      <c r="G636" s="257">
        <v>14798122</v>
      </c>
      <c r="H636" s="257">
        <v>0</v>
      </c>
      <c r="I636" s="257">
        <v>12827993</v>
      </c>
      <c r="J636" s="269">
        <v>0</v>
      </c>
      <c r="K636" s="257">
        <v>1970129</v>
      </c>
      <c r="L636" s="257">
        <v>1970129</v>
      </c>
      <c r="M636" s="257">
        <v>0</v>
      </c>
      <c r="N636" s="257">
        <v>0</v>
      </c>
    </row>
    <row r="637" spans="1:14" hidden="1" x14ac:dyDescent="0.25">
      <c r="A637" s="143" t="s">
        <v>715</v>
      </c>
      <c r="B637" s="143" t="s">
        <v>634</v>
      </c>
      <c r="C637" s="143" t="s">
        <v>702</v>
      </c>
      <c r="D637" s="143" t="s">
        <v>69</v>
      </c>
      <c r="E637" s="257">
        <v>12569562</v>
      </c>
      <c r="F637" s="257">
        <v>12569562</v>
      </c>
      <c r="G637" s="257">
        <v>12569562</v>
      </c>
      <c r="H637" s="257">
        <v>0</v>
      </c>
      <c r="I637" s="257">
        <v>10912811</v>
      </c>
      <c r="J637" s="269">
        <v>0</v>
      </c>
      <c r="K637" s="257">
        <v>1656751</v>
      </c>
      <c r="L637" s="257">
        <v>1656751</v>
      </c>
      <c r="M637" s="257">
        <v>0</v>
      </c>
      <c r="N637" s="257">
        <v>0</v>
      </c>
    </row>
    <row r="638" spans="1:14" hidden="1" x14ac:dyDescent="0.25">
      <c r="A638" s="143" t="s">
        <v>715</v>
      </c>
      <c r="B638" s="143" t="s">
        <v>649</v>
      </c>
      <c r="C638" s="143" t="s">
        <v>703</v>
      </c>
      <c r="D638" s="143" t="s">
        <v>69</v>
      </c>
      <c r="E638" s="257">
        <v>2228560</v>
      </c>
      <c r="F638" s="257">
        <v>2228560</v>
      </c>
      <c r="G638" s="257">
        <v>2228560</v>
      </c>
      <c r="H638" s="257">
        <v>0</v>
      </c>
      <c r="I638" s="257">
        <v>1915182</v>
      </c>
      <c r="J638" s="269">
        <v>0</v>
      </c>
      <c r="K638" s="257">
        <v>313378</v>
      </c>
      <c r="L638" s="257">
        <v>313378</v>
      </c>
      <c r="M638" s="257">
        <v>0</v>
      </c>
      <c r="N638" s="257">
        <v>0</v>
      </c>
    </row>
    <row r="639" spans="1:14" hidden="1" x14ac:dyDescent="0.25">
      <c r="A639" s="143" t="s">
        <v>715</v>
      </c>
      <c r="B639" s="143" t="s">
        <v>260</v>
      </c>
      <c r="C639" s="143" t="s">
        <v>261</v>
      </c>
      <c r="D639" s="143" t="s">
        <v>69</v>
      </c>
      <c r="E639" s="257">
        <v>3500000</v>
      </c>
      <c r="F639" s="257">
        <v>3500000</v>
      </c>
      <c r="G639" s="257">
        <v>3500000</v>
      </c>
      <c r="H639" s="257">
        <v>0</v>
      </c>
      <c r="I639" s="257">
        <v>0</v>
      </c>
      <c r="J639" s="269">
        <v>0</v>
      </c>
      <c r="K639" s="257">
        <v>0</v>
      </c>
      <c r="L639" s="257">
        <v>0</v>
      </c>
      <c r="M639" s="257">
        <v>3500000</v>
      </c>
      <c r="N639" s="257">
        <v>3500000</v>
      </c>
    </row>
    <row r="640" spans="1:14" hidden="1" x14ac:dyDescent="0.25">
      <c r="A640" s="143" t="s">
        <v>715</v>
      </c>
      <c r="B640" s="143" t="s">
        <v>264</v>
      </c>
      <c r="C640" s="143" t="s">
        <v>265</v>
      </c>
      <c r="D640" s="143" t="s">
        <v>69</v>
      </c>
      <c r="E640" s="257">
        <v>3500000</v>
      </c>
      <c r="F640" s="257">
        <v>3500000</v>
      </c>
      <c r="G640" s="257">
        <v>3500000</v>
      </c>
      <c r="H640" s="257">
        <v>0</v>
      </c>
      <c r="I640" s="257">
        <v>0</v>
      </c>
      <c r="J640" s="269">
        <v>0</v>
      </c>
      <c r="K640" s="257">
        <v>0</v>
      </c>
      <c r="L640" s="257">
        <v>0</v>
      </c>
      <c r="M640" s="257">
        <v>3500000</v>
      </c>
      <c r="N640" s="257">
        <v>3500000</v>
      </c>
    </row>
    <row r="641" spans="1:14" x14ac:dyDescent="0.25">
      <c r="A641" s="270">
        <v>214789006</v>
      </c>
      <c r="B641" s="143"/>
      <c r="C641" s="143"/>
      <c r="D641" s="271" t="s">
        <v>69</v>
      </c>
      <c r="E641" s="257">
        <v>7207746597</v>
      </c>
      <c r="F641" s="272">
        <v>7207746597</v>
      </c>
      <c r="G641" s="257">
        <v>2010660297</v>
      </c>
      <c r="H641" s="269">
        <v>0</v>
      </c>
      <c r="I641" s="273">
        <v>38575319</v>
      </c>
      <c r="J641" s="269">
        <v>0</v>
      </c>
      <c r="K641" s="269">
        <v>47918594.119999997</v>
      </c>
      <c r="L641" s="274">
        <v>47918594.119999997</v>
      </c>
      <c r="M641" s="273">
        <v>7121252683.8800001</v>
      </c>
      <c r="N641" s="257">
        <v>1924166383.8800001</v>
      </c>
    </row>
    <row r="642" spans="1:14" hidden="1" x14ac:dyDescent="0.25">
      <c r="A642" s="143" t="s">
        <v>716</v>
      </c>
      <c r="B642" s="143" t="s">
        <v>71</v>
      </c>
      <c r="C642" s="143" t="s">
        <v>72</v>
      </c>
      <c r="D642" s="143" t="s">
        <v>69</v>
      </c>
      <c r="E642" s="257">
        <v>273249937</v>
      </c>
      <c r="F642" s="257">
        <v>273249937</v>
      </c>
      <c r="G642" s="257">
        <v>273249937</v>
      </c>
      <c r="H642" s="257">
        <v>0</v>
      </c>
      <c r="I642" s="257">
        <v>35526602</v>
      </c>
      <c r="J642" s="269">
        <v>0</v>
      </c>
      <c r="K642" s="257">
        <v>47419051.119999997</v>
      </c>
      <c r="L642" s="257">
        <v>47419051.119999997</v>
      </c>
      <c r="M642" s="257">
        <v>190304283.88</v>
      </c>
      <c r="N642" s="257">
        <v>190304283.88</v>
      </c>
    </row>
    <row r="643" spans="1:14" hidden="1" x14ac:dyDescent="0.25">
      <c r="A643" s="143" t="s">
        <v>716</v>
      </c>
      <c r="B643" s="143" t="s">
        <v>73</v>
      </c>
      <c r="C643" s="143" t="s">
        <v>74</v>
      </c>
      <c r="D643" s="143" t="s">
        <v>69</v>
      </c>
      <c r="E643" s="257">
        <v>97637632</v>
      </c>
      <c r="F643" s="257">
        <v>97637632</v>
      </c>
      <c r="G643" s="257">
        <v>97637632</v>
      </c>
      <c r="H643" s="257">
        <v>0</v>
      </c>
      <c r="I643" s="257">
        <v>0</v>
      </c>
      <c r="J643" s="269">
        <v>0</v>
      </c>
      <c r="K643" s="257">
        <v>15825536.83</v>
      </c>
      <c r="L643" s="257">
        <v>15825536.83</v>
      </c>
      <c r="M643" s="257">
        <v>81812095.170000002</v>
      </c>
      <c r="N643" s="257">
        <v>81812095.170000002</v>
      </c>
    </row>
    <row r="644" spans="1:14" hidden="1" x14ac:dyDescent="0.25">
      <c r="A644" s="143" t="s">
        <v>716</v>
      </c>
      <c r="B644" s="143" t="s">
        <v>75</v>
      </c>
      <c r="C644" s="143" t="s">
        <v>76</v>
      </c>
      <c r="D644" s="143" t="s">
        <v>69</v>
      </c>
      <c r="E644" s="257">
        <v>97637632</v>
      </c>
      <c r="F644" s="257">
        <v>97637632</v>
      </c>
      <c r="G644" s="257">
        <v>97637632</v>
      </c>
      <c r="H644" s="257">
        <v>0</v>
      </c>
      <c r="I644" s="257">
        <v>0</v>
      </c>
      <c r="J644" s="269">
        <v>0</v>
      </c>
      <c r="K644" s="257">
        <v>15825536.83</v>
      </c>
      <c r="L644" s="257">
        <v>15825536.83</v>
      </c>
      <c r="M644" s="257">
        <v>81812095.170000002</v>
      </c>
      <c r="N644" s="257">
        <v>81812095.170000002</v>
      </c>
    </row>
    <row r="645" spans="1:14" hidden="1" x14ac:dyDescent="0.25">
      <c r="A645" s="143" t="s">
        <v>716</v>
      </c>
      <c r="B645" s="143" t="s">
        <v>77</v>
      </c>
      <c r="C645" s="143" t="s">
        <v>78</v>
      </c>
      <c r="D645" s="143" t="s">
        <v>69</v>
      </c>
      <c r="E645" s="257">
        <v>133929275</v>
      </c>
      <c r="F645" s="257">
        <v>133929275</v>
      </c>
      <c r="G645" s="257">
        <v>133929275</v>
      </c>
      <c r="H645" s="257">
        <v>0</v>
      </c>
      <c r="I645" s="257">
        <v>0</v>
      </c>
      <c r="J645" s="269">
        <v>0</v>
      </c>
      <c r="K645" s="257">
        <v>25437086.289999999</v>
      </c>
      <c r="L645" s="257">
        <v>25437086.289999999</v>
      </c>
      <c r="M645" s="257">
        <v>108492188.70999999</v>
      </c>
      <c r="N645" s="257">
        <v>108492188.70999999</v>
      </c>
    </row>
    <row r="646" spans="1:14" hidden="1" x14ac:dyDescent="0.25">
      <c r="A646" s="143" t="s">
        <v>716</v>
      </c>
      <c r="B646" s="143" t="s">
        <v>79</v>
      </c>
      <c r="C646" s="143" t="s">
        <v>80</v>
      </c>
      <c r="D646" s="143" t="s">
        <v>69</v>
      </c>
      <c r="E646" s="257">
        <v>34862400</v>
      </c>
      <c r="F646" s="257">
        <v>34862400</v>
      </c>
      <c r="G646" s="257">
        <v>34862400</v>
      </c>
      <c r="H646" s="257">
        <v>0</v>
      </c>
      <c r="I646" s="257">
        <v>0</v>
      </c>
      <c r="J646">
        <v>0</v>
      </c>
      <c r="K646" s="257">
        <v>5413984.7300000004</v>
      </c>
      <c r="L646" s="257">
        <v>5413984.7300000004</v>
      </c>
      <c r="M646" s="257">
        <v>29448415.27</v>
      </c>
      <c r="N646" s="257">
        <v>29448415.27</v>
      </c>
    </row>
    <row r="647" spans="1:14" hidden="1" x14ac:dyDescent="0.25">
      <c r="A647" s="143" t="s">
        <v>716</v>
      </c>
      <c r="B647" s="143" t="s">
        <v>81</v>
      </c>
      <c r="C647" s="143" t="s">
        <v>82</v>
      </c>
      <c r="D647" s="143" t="s">
        <v>69</v>
      </c>
      <c r="E647" s="257">
        <v>32733979</v>
      </c>
      <c r="F647" s="257">
        <v>32733979</v>
      </c>
      <c r="G647" s="257">
        <v>32733979</v>
      </c>
      <c r="H647" s="257">
        <v>0</v>
      </c>
      <c r="I647" s="257">
        <v>0</v>
      </c>
      <c r="J647" s="252">
        <v>0</v>
      </c>
      <c r="K647" s="257">
        <v>5242176.25</v>
      </c>
      <c r="L647" s="257">
        <v>5242176.25</v>
      </c>
      <c r="M647" s="257">
        <v>27491802.75</v>
      </c>
      <c r="N647" s="257">
        <v>27491802.75</v>
      </c>
    </row>
    <row r="648" spans="1:14" hidden="1" x14ac:dyDescent="0.25">
      <c r="A648" s="143" t="s">
        <v>716</v>
      </c>
      <c r="B648" s="143" t="s">
        <v>86</v>
      </c>
      <c r="C648" s="143" t="s">
        <v>87</v>
      </c>
      <c r="D648" s="143" t="s">
        <v>69</v>
      </c>
      <c r="E648" s="257">
        <v>16387600</v>
      </c>
      <c r="F648" s="257">
        <v>16387600</v>
      </c>
      <c r="G648" s="257">
        <v>16387600</v>
      </c>
      <c r="H648" s="257">
        <v>0</v>
      </c>
      <c r="I648" s="257">
        <v>0</v>
      </c>
      <c r="J648" s="261">
        <v>0</v>
      </c>
      <c r="K648" s="257">
        <v>9494365.5</v>
      </c>
      <c r="L648" s="257">
        <v>9494365.5</v>
      </c>
      <c r="M648" s="257">
        <v>6893234.5</v>
      </c>
      <c r="N648" s="257">
        <v>6893234.5</v>
      </c>
    </row>
    <row r="649" spans="1:14" hidden="1" x14ac:dyDescent="0.25">
      <c r="A649" s="143" t="s">
        <v>716</v>
      </c>
      <c r="B649" s="143" t="s">
        <v>88</v>
      </c>
      <c r="C649" s="143" t="s">
        <v>89</v>
      </c>
      <c r="D649" s="143" t="s">
        <v>69</v>
      </c>
      <c r="E649" s="257">
        <v>32139100</v>
      </c>
      <c r="F649" s="257">
        <v>32139100</v>
      </c>
      <c r="G649" s="257">
        <v>32139100</v>
      </c>
      <c r="H649" s="257">
        <v>0</v>
      </c>
      <c r="I649" s="257">
        <v>0</v>
      </c>
      <c r="J649" s="266">
        <v>0</v>
      </c>
      <c r="K649" s="257">
        <v>5286559.8099999996</v>
      </c>
      <c r="L649" s="257">
        <v>5286559.8099999996</v>
      </c>
      <c r="M649" s="257">
        <v>26852540.190000001</v>
      </c>
      <c r="N649" s="257">
        <v>26852540.190000001</v>
      </c>
    </row>
    <row r="650" spans="1:14" hidden="1" x14ac:dyDescent="0.25">
      <c r="A650" s="143" t="s">
        <v>716</v>
      </c>
      <c r="B650" s="143" t="s">
        <v>83</v>
      </c>
      <c r="C650" s="143" t="s">
        <v>84</v>
      </c>
      <c r="D650" s="143" t="s">
        <v>85</v>
      </c>
      <c r="E650" s="257">
        <v>17806196</v>
      </c>
      <c r="F650" s="257">
        <v>17806196</v>
      </c>
      <c r="G650" s="257">
        <v>17806196</v>
      </c>
      <c r="H650" s="257">
        <v>0</v>
      </c>
      <c r="I650" s="257">
        <v>0</v>
      </c>
      <c r="J650" s="269">
        <v>0</v>
      </c>
      <c r="K650" s="257">
        <v>0</v>
      </c>
      <c r="L650" s="257">
        <v>0</v>
      </c>
      <c r="M650" s="257">
        <v>17806196</v>
      </c>
      <c r="N650" s="257">
        <v>17806196</v>
      </c>
    </row>
    <row r="651" spans="1:14" hidden="1" x14ac:dyDescent="0.25">
      <c r="A651" s="143" t="s">
        <v>716</v>
      </c>
      <c r="B651" s="143" t="s">
        <v>90</v>
      </c>
      <c r="C651" s="143" t="s">
        <v>91</v>
      </c>
      <c r="D651" s="143" t="s">
        <v>69</v>
      </c>
      <c r="E651" s="257">
        <v>20841515</v>
      </c>
      <c r="F651" s="257">
        <v>20841515</v>
      </c>
      <c r="G651" s="257">
        <v>20841515</v>
      </c>
      <c r="H651" s="257">
        <v>0</v>
      </c>
      <c r="I651" s="257">
        <v>17749888</v>
      </c>
      <c r="J651" s="269">
        <v>0</v>
      </c>
      <c r="K651" s="257">
        <v>3091627</v>
      </c>
      <c r="L651" s="257">
        <v>3091627</v>
      </c>
      <c r="M651" s="257">
        <v>0</v>
      </c>
      <c r="N651" s="257">
        <v>0</v>
      </c>
    </row>
    <row r="652" spans="1:14" hidden="1" x14ac:dyDescent="0.25">
      <c r="A652" s="143" t="s">
        <v>716</v>
      </c>
      <c r="B652" s="143" t="s">
        <v>426</v>
      </c>
      <c r="C652" s="143" t="s">
        <v>697</v>
      </c>
      <c r="D652" s="143" t="s">
        <v>69</v>
      </c>
      <c r="E652" s="257">
        <v>19772804</v>
      </c>
      <c r="F652" s="257">
        <v>19772804</v>
      </c>
      <c r="G652" s="257">
        <v>19772804</v>
      </c>
      <c r="H652" s="257">
        <v>0</v>
      </c>
      <c r="I652" s="257">
        <v>16839722</v>
      </c>
      <c r="J652" s="269">
        <v>0</v>
      </c>
      <c r="K652" s="257">
        <v>2933082</v>
      </c>
      <c r="L652" s="257">
        <v>2933082</v>
      </c>
      <c r="M652" s="257">
        <v>0</v>
      </c>
      <c r="N652" s="257">
        <v>0</v>
      </c>
    </row>
    <row r="653" spans="1:14" hidden="1" x14ac:dyDescent="0.25">
      <c r="A653" s="143" t="s">
        <v>716</v>
      </c>
      <c r="B653" s="143" t="s">
        <v>443</v>
      </c>
      <c r="C653" s="143" t="s">
        <v>95</v>
      </c>
      <c r="D653" s="143" t="s">
        <v>69</v>
      </c>
      <c r="E653" s="257">
        <v>1068711</v>
      </c>
      <c r="F653" s="257">
        <v>1068711</v>
      </c>
      <c r="G653" s="257">
        <v>1068711</v>
      </c>
      <c r="H653" s="257">
        <v>0</v>
      </c>
      <c r="I653" s="257">
        <v>910166</v>
      </c>
      <c r="J653" s="269">
        <v>0</v>
      </c>
      <c r="K653" s="257">
        <v>158545</v>
      </c>
      <c r="L653" s="257">
        <v>158545</v>
      </c>
      <c r="M653" s="257">
        <v>0</v>
      </c>
      <c r="N653" s="257">
        <v>0</v>
      </c>
    </row>
    <row r="654" spans="1:14" hidden="1" x14ac:dyDescent="0.25">
      <c r="A654" s="143" t="s">
        <v>716</v>
      </c>
      <c r="B654" s="143" t="s">
        <v>96</v>
      </c>
      <c r="C654" s="143" t="s">
        <v>97</v>
      </c>
      <c r="D654" s="143" t="s">
        <v>69</v>
      </c>
      <c r="E654" s="257">
        <v>20841515</v>
      </c>
      <c r="F654" s="257">
        <v>20841515</v>
      </c>
      <c r="G654" s="257">
        <v>20841515</v>
      </c>
      <c r="H654" s="257">
        <v>0</v>
      </c>
      <c r="I654" s="257">
        <v>17776714</v>
      </c>
      <c r="J654" s="269">
        <v>0</v>
      </c>
      <c r="K654" s="257">
        <v>3064801</v>
      </c>
      <c r="L654" s="257">
        <v>3064801</v>
      </c>
      <c r="M654" s="257">
        <v>0</v>
      </c>
      <c r="N654" s="257">
        <v>0</v>
      </c>
    </row>
    <row r="655" spans="1:14" hidden="1" x14ac:dyDescent="0.25">
      <c r="A655" s="143" t="s">
        <v>716</v>
      </c>
      <c r="B655" s="143" t="s">
        <v>461</v>
      </c>
      <c r="C655" s="143" t="s">
        <v>698</v>
      </c>
      <c r="D655" s="143" t="s">
        <v>69</v>
      </c>
      <c r="E655" s="257">
        <v>11222416</v>
      </c>
      <c r="F655" s="257">
        <v>11222416</v>
      </c>
      <c r="G655" s="257">
        <v>11222416</v>
      </c>
      <c r="H655" s="257">
        <v>0</v>
      </c>
      <c r="I655" s="257">
        <v>9584520</v>
      </c>
      <c r="J655" s="269">
        <v>0</v>
      </c>
      <c r="K655" s="257">
        <v>1637896</v>
      </c>
      <c r="L655" s="257">
        <v>1637896</v>
      </c>
      <c r="M655" s="257">
        <v>0</v>
      </c>
      <c r="N655" s="257">
        <v>0</v>
      </c>
    </row>
    <row r="656" spans="1:14" hidden="1" x14ac:dyDescent="0.25">
      <c r="A656" s="143" t="s">
        <v>716</v>
      </c>
      <c r="B656" s="143" t="s">
        <v>478</v>
      </c>
      <c r="C656" s="143" t="s">
        <v>699</v>
      </c>
      <c r="D656" s="143" t="s">
        <v>69</v>
      </c>
      <c r="E656" s="257">
        <v>3206333</v>
      </c>
      <c r="F656" s="257">
        <v>3206333</v>
      </c>
      <c r="G656" s="257">
        <v>3206333</v>
      </c>
      <c r="H656" s="257">
        <v>0</v>
      </c>
      <c r="I656" s="257">
        <v>2730698</v>
      </c>
      <c r="J656" s="269">
        <v>0</v>
      </c>
      <c r="K656" s="257">
        <v>475635</v>
      </c>
      <c r="L656" s="257">
        <v>475635</v>
      </c>
      <c r="M656" s="257">
        <v>0</v>
      </c>
      <c r="N656" s="257">
        <v>0</v>
      </c>
    </row>
    <row r="657" spans="1:14" hidden="1" x14ac:dyDescent="0.25">
      <c r="A657" s="143" t="s">
        <v>716</v>
      </c>
      <c r="B657" s="143" t="s">
        <v>495</v>
      </c>
      <c r="C657" s="143" t="s">
        <v>700</v>
      </c>
      <c r="D657" s="143" t="s">
        <v>69</v>
      </c>
      <c r="E657" s="257">
        <v>6412766</v>
      </c>
      <c r="F657" s="257">
        <v>6412766</v>
      </c>
      <c r="G657" s="257">
        <v>6412766</v>
      </c>
      <c r="H657" s="257">
        <v>0</v>
      </c>
      <c r="I657" s="257">
        <v>5461496</v>
      </c>
      <c r="J657" s="269">
        <v>0</v>
      </c>
      <c r="K657" s="257">
        <v>951270</v>
      </c>
      <c r="L657" s="257">
        <v>951270</v>
      </c>
      <c r="M657" s="257">
        <v>0</v>
      </c>
      <c r="N657" s="257">
        <v>0</v>
      </c>
    </row>
    <row r="658" spans="1:14" hidden="1" x14ac:dyDescent="0.25">
      <c r="A658" s="143" t="s">
        <v>716</v>
      </c>
      <c r="B658" s="143" t="s">
        <v>104</v>
      </c>
      <c r="C658" s="143" t="s">
        <v>105</v>
      </c>
      <c r="D658" s="143" t="s">
        <v>69</v>
      </c>
      <c r="E658" s="257">
        <v>6929448400</v>
      </c>
      <c r="F658" s="257">
        <v>6929448400</v>
      </c>
      <c r="G658" s="257">
        <v>1732362100</v>
      </c>
      <c r="H658" s="257">
        <v>0</v>
      </c>
      <c r="I658" s="257">
        <v>0</v>
      </c>
      <c r="J658" s="269">
        <v>0</v>
      </c>
      <c r="K658" s="257">
        <v>0</v>
      </c>
      <c r="L658" s="257">
        <v>0</v>
      </c>
      <c r="M658" s="257">
        <v>6929448400</v>
      </c>
      <c r="N658" s="257">
        <v>1732362100</v>
      </c>
    </row>
    <row r="659" spans="1:14" hidden="1" x14ac:dyDescent="0.25">
      <c r="A659" s="143" t="s">
        <v>716</v>
      </c>
      <c r="B659" s="143" t="s">
        <v>106</v>
      </c>
      <c r="C659" s="143" t="s">
        <v>107</v>
      </c>
      <c r="D659" s="143" t="s">
        <v>69</v>
      </c>
      <c r="E659" s="257">
        <v>6927908871</v>
      </c>
      <c r="F659" s="257">
        <v>6927908871</v>
      </c>
      <c r="G659" s="257">
        <v>1731977218</v>
      </c>
      <c r="H659" s="257">
        <v>0</v>
      </c>
      <c r="I659" s="257">
        <v>0</v>
      </c>
      <c r="J659" s="269">
        <v>0</v>
      </c>
      <c r="K659" s="257">
        <v>0</v>
      </c>
      <c r="L659" s="257">
        <v>0</v>
      </c>
      <c r="M659" s="257">
        <v>6927908871</v>
      </c>
      <c r="N659" s="257">
        <v>1731977218</v>
      </c>
    </row>
    <row r="660" spans="1:14" hidden="1" x14ac:dyDescent="0.25">
      <c r="A660" s="143" t="s">
        <v>716</v>
      </c>
      <c r="B660" s="143" t="s">
        <v>110</v>
      </c>
      <c r="C660" s="143" t="s">
        <v>111</v>
      </c>
      <c r="D660" s="143" t="s">
        <v>69</v>
      </c>
      <c r="E660" s="257">
        <v>6927908871</v>
      </c>
      <c r="F660" s="257">
        <v>6927908871</v>
      </c>
      <c r="G660" s="257">
        <v>1731977218</v>
      </c>
      <c r="H660" s="257">
        <v>0</v>
      </c>
      <c r="I660" s="257">
        <v>0</v>
      </c>
      <c r="J660" s="269">
        <v>0</v>
      </c>
      <c r="K660" s="257">
        <v>0</v>
      </c>
      <c r="L660" s="257">
        <v>0</v>
      </c>
      <c r="M660" s="257">
        <v>6927908871</v>
      </c>
      <c r="N660" s="257">
        <v>1731977218</v>
      </c>
    </row>
    <row r="661" spans="1:14" hidden="1" x14ac:dyDescent="0.25">
      <c r="A661" s="143" t="s">
        <v>716</v>
      </c>
      <c r="B661" s="143" t="s">
        <v>112</v>
      </c>
      <c r="C661" s="143" t="s">
        <v>113</v>
      </c>
      <c r="D661" s="143" t="s">
        <v>69</v>
      </c>
      <c r="E661" s="257">
        <v>1539529</v>
      </c>
      <c r="F661" s="257">
        <v>1539529</v>
      </c>
      <c r="G661" s="257">
        <v>384882</v>
      </c>
      <c r="H661" s="257">
        <v>0</v>
      </c>
      <c r="I661" s="257">
        <v>0</v>
      </c>
      <c r="J661" s="269">
        <v>0</v>
      </c>
      <c r="K661" s="257">
        <v>0</v>
      </c>
      <c r="L661" s="257">
        <v>0</v>
      </c>
      <c r="M661" s="257">
        <v>1539529</v>
      </c>
      <c r="N661" s="257">
        <v>384882</v>
      </c>
    </row>
    <row r="662" spans="1:14" hidden="1" x14ac:dyDescent="0.25">
      <c r="A662" s="143" t="s">
        <v>716</v>
      </c>
      <c r="B662" s="143" t="s">
        <v>120</v>
      </c>
      <c r="C662" s="143" t="s">
        <v>121</v>
      </c>
      <c r="D662" s="143" t="s">
        <v>69</v>
      </c>
      <c r="E662" s="257">
        <v>1539529</v>
      </c>
      <c r="F662" s="257">
        <v>1539529</v>
      </c>
      <c r="G662" s="257">
        <v>384882</v>
      </c>
      <c r="H662" s="257">
        <v>0</v>
      </c>
      <c r="I662" s="257">
        <v>0</v>
      </c>
      <c r="J662" s="269">
        <v>0</v>
      </c>
      <c r="K662" s="257">
        <v>0</v>
      </c>
      <c r="L662" s="257">
        <v>0</v>
      </c>
      <c r="M662" s="257">
        <v>1539529</v>
      </c>
      <c r="N662" s="257">
        <v>384882</v>
      </c>
    </row>
    <row r="663" spans="1:14" hidden="1" x14ac:dyDescent="0.25">
      <c r="A663" s="143" t="s">
        <v>716</v>
      </c>
      <c r="B663" s="143" t="s">
        <v>248</v>
      </c>
      <c r="C663" s="143" t="s">
        <v>249</v>
      </c>
      <c r="D663" s="143" t="s">
        <v>69</v>
      </c>
      <c r="E663" s="257">
        <v>5048260</v>
      </c>
      <c r="F663" s="257">
        <v>5048260</v>
      </c>
      <c r="G663" s="257">
        <v>5048260</v>
      </c>
      <c r="H663" s="257">
        <v>0</v>
      </c>
      <c r="I663" s="257">
        <v>3048717</v>
      </c>
      <c r="J663">
        <v>0</v>
      </c>
      <c r="K663" s="257">
        <v>499543</v>
      </c>
      <c r="L663" s="257">
        <v>499543</v>
      </c>
      <c r="M663" s="257">
        <v>1500000</v>
      </c>
      <c r="N663" s="257">
        <v>1500000</v>
      </c>
    </row>
    <row r="664" spans="1:14" hidden="1" x14ac:dyDescent="0.25">
      <c r="A664" s="143" t="s">
        <v>716</v>
      </c>
      <c r="B664" s="143" t="s">
        <v>250</v>
      </c>
      <c r="C664" s="143" t="s">
        <v>251</v>
      </c>
      <c r="D664" s="143" t="s">
        <v>69</v>
      </c>
      <c r="E664" s="257">
        <v>3548260</v>
      </c>
      <c r="F664" s="257">
        <v>3548260</v>
      </c>
      <c r="G664" s="257">
        <v>3548260</v>
      </c>
      <c r="H664" s="257">
        <v>0</v>
      </c>
      <c r="I664" s="257">
        <v>3048717</v>
      </c>
      <c r="J664" s="252">
        <v>0</v>
      </c>
      <c r="K664" s="257">
        <v>499543</v>
      </c>
      <c r="L664" s="257">
        <v>499543</v>
      </c>
      <c r="M664" s="257">
        <v>0</v>
      </c>
      <c r="N664" s="257">
        <v>0</v>
      </c>
    </row>
    <row r="665" spans="1:14" hidden="1" x14ac:dyDescent="0.25">
      <c r="A665" s="143" t="s">
        <v>716</v>
      </c>
      <c r="B665" s="143" t="s">
        <v>635</v>
      </c>
      <c r="C665" s="143" t="s">
        <v>702</v>
      </c>
      <c r="D665" s="143" t="s">
        <v>69</v>
      </c>
      <c r="E665" s="257">
        <v>3013955</v>
      </c>
      <c r="F665" s="257">
        <v>3013955</v>
      </c>
      <c r="G665" s="257">
        <v>3013955</v>
      </c>
      <c r="H665" s="257">
        <v>0</v>
      </c>
      <c r="I665" s="257">
        <v>2593684</v>
      </c>
      <c r="J665" s="261">
        <v>0</v>
      </c>
      <c r="K665" s="257">
        <v>420271</v>
      </c>
      <c r="L665" s="257">
        <v>420271</v>
      </c>
      <c r="M665" s="257">
        <v>0</v>
      </c>
      <c r="N665" s="257">
        <v>0</v>
      </c>
    </row>
    <row r="666" spans="1:14" hidden="1" x14ac:dyDescent="0.25">
      <c r="A666" s="143" t="s">
        <v>716</v>
      </c>
      <c r="B666" s="143" t="s">
        <v>650</v>
      </c>
      <c r="C666" s="143" t="s">
        <v>703</v>
      </c>
      <c r="D666" s="143" t="s">
        <v>69</v>
      </c>
      <c r="E666" s="257">
        <v>534305</v>
      </c>
      <c r="F666" s="257">
        <v>534305</v>
      </c>
      <c r="G666" s="257">
        <v>534305</v>
      </c>
      <c r="H666" s="257">
        <v>0</v>
      </c>
      <c r="I666" s="257">
        <v>455033</v>
      </c>
      <c r="J666" s="266">
        <v>0</v>
      </c>
      <c r="K666" s="257">
        <v>79272</v>
      </c>
      <c r="L666" s="257">
        <v>79272</v>
      </c>
      <c r="M666" s="257">
        <v>0</v>
      </c>
      <c r="N666" s="257">
        <v>0</v>
      </c>
    </row>
    <row r="667" spans="1:14" hidden="1" x14ac:dyDescent="0.25">
      <c r="A667" s="143" t="s">
        <v>716</v>
      </c>
      <c r="B667" s="143" t="s">
        <v>260</v>
      </c>
      <c r="C667" s="143" t="s">
        <v>261</v>
      </c>
      <c r="D667" s="143" t="s">
        <v>69</v>
      </c>
      <c r="E667" s="257">
        <v>1500000</v>
      </c>
      <c r="F667" s="257">
        <v>1500000</v>
      </c>
      <c r="G667" s="257">
        <v>1500000</v>
      </c>
      <c r="H667" s="257">
        <v>0</v>
      </c>
      <c r="I667" s="257">
        <v>0</v>
      </c>
      <c r="J667" s="269">
        <v>0</v>
      </c>
      <c r="K667" s="257">
        <v>0</v>
      </c>
      <c r="L667" s="257">
        <v>0</v>
      </c>
      <c r="M667" s="257">
        <v>1500000</v>
      </c>
      <c r="N667" s="257">
        <v>1500000</v>
      </c>
    </row>
    <row r="668" spans="1:14" hidden="1" x14ac:dyDescent="0.25">
      <c r="A668" s="143" t="s">
        <v>716</v>
      </c>
      <c r="B668" s="143" t="s">
        <v>264</v>
      </c>
      <c r="C668" s="143" t="s">
        <v>265</v>
      </c>
      <c r="D668" s="143" t="s">
        <v>69</v>
      </c>
      <c r="E668" s="257">
        <v>1500000</v>
      </c>
      <c r="F668" s="257">
        <v>1500000</v>
      </c>
      <c r="G668" s="257">
        <v>1500000</v>
      </c>
      <c r="H668" s="257">
        <v>0</v>
      </c>
      <c r="I668" s="257">
        <v>0</v>
      </c>
      <c r="J668" s="269">
        <v>0</v>
      </c>
      <c r="K668" s="257">
        <v>0</v>
      </c>
      <c r="L668" s="257">
        <v>0</v>
      </c>
      <c r="M668" s="257">
        <v>1500000</v>
      </c>
      <c r="N668" s="257">
        <v>1500000</v>
      </c>
    </row>
    <row r="669" spans="1:14" x14ac:dyDescent="0.25">
      <c r="A669" s="270">
        <v>214790</v>
      </c>
      <c r="B669" s="143"/>
      <c r="C669" s="143"/>
      <c r="D669" s="271" t="s">
        <v>69</v>
      </c>
      <c r="E669" s="257">
        <v>1417740073</v>
      </c>
      <c r="F669" s="272">
        <v>1417740073</v>
      </c>
      <c r="G669" s="257">
        <v>1215089369.0799999</v>
      </c>
      <c r="H669" s="269">
        <v>587612</v>
      </c>
      <c r="I669" s="273">
        <v>174465724.36000001</v>
      </c>
      <c r="J669" s="269">
        <v>0</v>
      </c>
      <c r="K669" s="269">
        <v>217472765.13</v>
      </c>
      <c r="L669" s="274">
        <v>214954941.63999999</v>
      </c>
      <c r="M669" s="273">
        <v>1025213971.51</v>
      </c>
      <c r="N669" s="257">
        <v>822563267.59000003</v>
      </c>
    </row>
    <row r="670" spans="1:14" hidden="1" x14ac:dyDescent="0.25">
      <c r="A670" s="143" t="s">
        <v>717</v>
      </c>
      <c r="B670" s="143" t="s">
        <v>71</v>
      </c>
      <c r="C670" s="143" t="s">
        <v>72</v>
      </c>
      <c r="D670" s="143" t="s">
        <v>69</v>
      </c>
      <c r="E670" s="257">
        <v>1125132721</v>
      </c>
      <c r="F670" s="257">
        <v>1125132721</v>
      </c>
      <c r="G670" s="257">
        <v>1125132721</v>
      </c>
      <c r="H670" s="257">
        <v>0</v>
      </c>
      <c r="I670" s="257">
        <v>138579644</v>
      </c>
      <c r="J670" s="269">
        <v>0</v>
      </c>
      <c r="K670" s="257">
        <v>205638101.90000001</v>
      </c>
      <c r="L670" s="257">
        <v>205638101.90000001</v>
      </c>
      <c r="M670" s="257">
        <v>780914975.10000002</v>
      </c>
      <c r="N670" s="257">
        <v>780914975.10000002</v>
      </c>
    </row>
    <row r="671" spans="1:14" hidden="1" x14ac:dyDescent="0.25">
      <c r="A671" s="143" t="s">
        <v>717</v>
      </c>
      <c r="B671" s="143" t="s">
        <v>73</v>
      </c>
      <c r="C671" s="143" t="s">
        <v>74</v>
      </c>
      <c r="D671" s="143" t="s">
        <v>69</v>
      </c>
      <c r="E671" s="257">
        <v>456307400</v>
      </c>
      <c r="F671" s="257">
        <v>456307400</v>
      </c>
      <c r="G671" s="257">
        <v>456307400</v>
      </c>
      <c r="H671" s="257">
        <v>0</v>
      </c>
      <c r="I671" s="257">
        <v>0</v>
      </c>
      <c r="J671" s="269">
        <v>0</v>
      </c>
      <c r="K671" s="257">
        <v>69496653.069999993</v>
      </c>
      <c r="L671" s="257">
        <v>69496653.069999993</v>
      </c>
      <c r="M671" s="257">
        <v>386810746.93000001</v>
      </c>
      <c r="N671" s="257">
        <v>386810746.93000001</v>
      </c>
    </row>
    <row r="672" spans="1:14" hidden="1" x14ac:dyDescent="0.25">
      <c r="A672" s="143" t="s">
        <v>717</v>
      </c>
      <c r="B672" s="143" t="s">
        <v>75</v>
      </c>
      <c r="C672" s="143" t="s">
        <v>76</v>
      </c>
      <c r="D672" s="143" t="s">
        <v>69</v>
      </c>
      <c r="E672" s="257">
        <v>456307400</v>
      </c>
      <c r="F672" s="257">
        <v>456307400</v>
      </c>
      <c r="G672" s="257">
        <v>456307400</v>
      </c>
      <c r="H672" s="257">
        <v>0</v>
      </c>
      <c r="I672" s="257">
        <v>0</v>
      </c>
      <c r="J672" s="269">
        <v>0</v>
      </c>
      <c r="K672" s="257">
        <v>69496653.069999993</v>
      </c>
      <c r="L672" s="257">
        <v>69496653.069999993</v>
      </c>
      <c r="M672" s="257">
        <v>386810746.93000001</v>
      </c>
      <c r="N672" s="257">
        <v>386810746.93000001</v>
      </c>
    </row>
    <row r="673" spans="1:14" hidden="1" x14ac:dyDescent="0.25">
      <c r="A673" s="143" t="s">
        <v>717</v>
      </c>
      <c r="B673" s="143" t="s">
        <v>77</v>
      </c>
      <c r="C673" s="143" t="s">
        <v>78</v>
      </c>
      <c r="D673" s="143" t="s">
        <v>69</v>
      </c>
      <c r="E673" s="257">
        <v>497190642</v>
      </c>
      <c r="F673" s="257">
        <v>497190642</v>
      </c>
      <c r="G673" s="257">
        <v>497190642</v>
      </c>
      <c r="H673" s="257">
        <v>0</v>
      </c>
      <c r="I673" s="257">
        <v>0</v>
      </c>
      <c r="J673" s="269">
        <v>0</v>
      </c>
      <c r="K673" s="257">
        <v>103086413.83</v>
      </c>
      <c r="L673" s="257">
        <v>103086413.83</v>
      </c>
      <c r="M673" s="257">
        <v>394104228.17000002</v>
      </c>
      <c r="N673" s="257">
        <v>394104228.17000002</v>
      </c>
    </row>
    <row r="674" spans="1:14" hidden="1" x14ac:dyDescent="0.25">
      <c r="A674" s="143" t="s">
        <v>717</v>
      </c>
      <c r="B674" s="143" t="s">
        <v>79</v>
      </c>
      <c r="C674" s="143" t="s">
        <v>80</v>
      </c>
      <c r="D674" s="143" t="s">
        <v>69</v>
      </c>
      <c r="E674" s="257">
        <v>91313600</v>
      </c>
      <c r="F674" s="257">
        <v>91313600</v>
      </c>
      <c r="G674" s="257">
        <v>91313600</v>
      </c>
      <c r="H674" s="257">
        <v>0</v>
      </c>
      <c r="I674" s="257">
        <v>0</v>
      </c>
      <c r="J674" s="269">
        <v>0</v>
      </c>
      <c r="K674" s="257">
        <v>14137407.4</v>
      </c>
      <c r="L674" s="257">
        <v>14137407.4</v>
      </c>
      <c r="M674" s="257">
        <v>77176192.599999994</v>
      </c>
      <c r="N674" s="257">
        <v>77176192.599999994</v>
      </c>
    </row>
    <row r="675" spans="1:14" hidden="1" x14ac:dyDescent="0.25">
      <c r="A675" s="143" t="s">
        <v>717</v>
      </c>
      <c r="B675" s="143" t="s">
        <v>81</v>
      </c>
      <c r="C675" s="143" t="s">
        <v>82</v>
      </c>
      <c r="D675" s="143" t="s">
        <v>69</v>
      </c>
      <c r="E675" s="257">
        <v>214869984</v>
      </c>
      <c r="F675" s="257">
        <v>214869984</v>
      </c>
      <c r="G675" s="257">
        <v>214869984</v>
      </c>
      <c r="H675" s="257">
        <v>0</v>
      </c>
      <c r="I675" s="257">
        <v>0</v>
      </c>
      <c r="J675" s="269">
        <v>0</v>
      </c>
      <c r="K675" s="257">
        <v>32224797.460000001</v>
      </c>
      <c r="L675" s="257">
        <v>32224797.460000001</v>
      </c>
      <c r="M675" s="257">
        <v>182645186.53999999</v>
      </c>
      <c r="N675" s="257">
        <v>182645186.53999999</v>
      </c>
    </row>
    <row r="676" spans="1:14" hidden="1" x14ac:dyDescent="0.25">
      <c r="A676" s="143" t="s">
        <v>717</v>
      </c>
      <c r="B676" s="143" t="s">
        <v>86</v>
      </c>
      <c r="C676" s="143" t="s">
        <v>87</v>
      </c>
      <c r="D676" s="143" t="s">
        <v>69</v>
      </c>
      <c r="E676" s="257">
        <v>67452900</v>
      </c>
      <c r="F676" s="257">
        <v>67452900</v>
      </c>
      <c r="G676" s="257">
        <v>67452900</v>
      </c>
      <c r="H676" s="257">
        <v>0</v>
      </c>
      <c r="I676" s="257">
        <v>0</v>
      </c>
      <c r="J676" s="269">
        <v>0</v>
      </c>
      <c r="K676" s="257">
        <v>49770797.770000003</v>
      </c>
      <c r="L676" s="257">
        <v>49770797.770000003</v>
      </c>
      <c r="M676" s="257">
        <v>17682102.23</v>
      </c>
      <c r="N676" s="257">
        <v>17682102.23</v>
      </c>
    </row>
    <row r="677" spans="1:14" hidden="1" x14ac:dyDescent="0.25">
      <c r="A677" s="143" t="s">
        <v>717</v>
      </c>
      <c r="B677" s="143" t="s">
        <v>88</v>
      </c>
      <c r="C677" s="143" t="s">
        <v>89</v>
      </c>
      <c r="D677" s="143" t="s">
        <v>69</v>
      </c>
      <c r="E677" s="257">
        <v>50235300</v>
      </c>
      <c r="F677" s="257">
        <v>50235300</v>
      </c>
      <c r="G677" s="257">
        <v>50235300</v>
      </c>
      <c r="H677" s="257">
        <v>0</v>
      </c>
      <c r="I677" s="257">
        <v>0</v>
      </c>
      <c r="J677" s="269">
        <v>0</v>
      </c>
      <c r="K677" s="257">
        <v>6920013.5499999998</v>
      </c>
      <c r="L677" s="257">
        <v>6920013.5499999998</v>
      </c>
      <c r="M677" s="257">
        <v>43315286.450000003</v>
      </c>
      <c r="N677" s="257">
        <v>43315286.450000003</v>
      </c>
    </row>
    <row r="678" spans="1:14" hidden="1" x14ac:dyDescent="0.25">
      <c r="A678" s="143" t="s">
        <v>717</v>
      </c>
      <c r="B678" s="143" t="s">
        <v>83</v>
      </c>
      <c r="C678" s="143" t="s">
        <v>84</v>
      </c>
      <c r="D678" s="143" t="s">
        <v>85</v>
      </c>
      <c r="E678" s="257">
        <v>73318858</v>
      </c>
      <c r="F678" s="257">
        <v>73318858</v>
      </c>
      <c r="G678" s="257">
        <v>73318858</v>
      </c>
      <c r="H678" s="257">
        <v>0</v>
      </c>
      <c r="I678" s="257">
        <v>0</v>
      </c>
      <c r="J678" s="269">
        <v>0</v>
      </c>
      <c r="K678" s="257">
        <v>33397.65</v>
      </c>
      <c r="L678" s="257">
        <v>33397.65</v>
      </c>
      <c r="M678" s="257">
        <v>73285460.349999994</v>
      </c>
      <c r="N678" s="257">
        <v>73285460.349999994</v>
      </c>
    </row>
    <row r="679" spans="1:14" hidden="1" x14ac:dyDescent="0.25">
      <c r="A679" s="143" t="s">
        <v>717</v>
      </c>
      <c r="B679" s="143" t="s">
        <v>90</v>
      </c>
      <c r="C679" s="143" t="s">
        <v>91</v>
      </c>
      <c r="D679" s="143" t="s">
        <v>69</v>
      </c>
      <c r="E679" s="257">
        <v>85817390</v>
      </c>
      <c r="F679" s="257">
        <v>85817390</v>
      </c>
      <c r="G679" s="257">
        <v>85817390</v>
      </c>
      <c r="H679" s="257">
        <v>0</v>
      </c>
      <c r="I679" s="257">
        <v>69197428</v>
      </c>
      <c r="J679" s="269">
        <v>0</v>
      </c>
      <c r="K679" s="257">
        <v>16619962</v>
      </c>
      <c r="L679" s="257">
        <v>16619962</v>
      </c>
      <c r="M679" s="257">
        <v>0</v>
      </c>
      <c r="N679" s="257">
        <v>0</v>
      </c>
    </row>
    <row r="680" spans="1:14" hidden="1" x14ac:dyDescent="0.25">
      <c r="A680" s="143" t="s">
        <v>717</v>
      </c>
      <c r="B680" s="143" t="s">
        <v>427</v>
      </c>
      <c r="C680" s="143" t="s">
        <v>697</v>
      </c>
      <c r="D680" s="143" t="s">
        <v>69</v>
      </c>
      <c r="E680" s="257">
        <v>81416555</v>
      </c>
      <c r="F680" s="257">
        <v>81416555</v>
      </c>
      <c r="G680" s="257">
        <v>81416555</v>
      </c>
      <c r="H680" s="257">
        <v>0</v>
      </c>
      <c r="I680" s="257">
        <v>65648907</v>
      </c>
      <c r="J680">
        <v>0</v>
      </c>
      <c r="K680" s="257">
        <v>15767648</v>
      </c>
      <c r="L680" s="257">
        <v>15767648</v>
      </c>
      <c r="M680" s="257">
        <v>0</v>
      </c>
      <c r="N680" s="257">
        <v>0</v>
      </c>
    </row>
    <row r="681" spans="1:14" hidden="1" x14ac:dyDescent="0.25">
      <c r="A681" s="143" t="s">
        <v>717</v>
      </c>
      <c r="B681" s="143" t="s">
        <v>444</v>
      </c>
      <c r="C681" s="143" t="s">
        <v>95</v>
      </c>
      <c r="D681" s="143" t="s">
        <v>69</v>
      </c>
      <c r="E681" s="257">
        <v>4400835</v>
      </c>
      <c r="F681" s="257">
        <v>4400835</v>
      </c>
      <c r="G681" s="257">
        <v>4400835</v>
      </c>
      <c r="H681" s="257">
        <v>0</v>
      </c>
      <c r="I681" s="257">
        <v>3548521</v>
      </c>
      <c r="J681" s="252">
        <v>0</v>
      </c>
      <c r="K681" s="257">
        <v>852314</v>
      </c>
      <c r="L681" s="257">
        <v>852314</v>
      </c>
      <c r="M681" s="257">
        <v>0</v>
      </c>
      <c r="N681" s="257">
        <v>0</v>
      </c>
    </row>
    <row r="682" spans="1:14" hidden="1" x14ac:dyDescent="0.25">
      <c r="A682" s="143" t="s">
        <v>717</v>
      </c>
      <c r="B682" s="143" t="s">
        <v>96</v>
      </c>
      <c r="C682" s="143" t="s">
        <v>97</v>
      </c>
      <c r="D682" s="143" t="s">
        <v>69</v>
      </c>
      <c r="E682" s="257">
        <v>85817289</v>
      </c>
      <c r="F682" s="257">
        <v>85817289</v>
      </c>
      <c r="G682" s="257">
        <v>85817289</v>
      </c>
      <c r="H682" s="257">
        <v>0</v>
      </c>
      <c r="I682" s="257">
        <v>69382216</v>
      </c>
      <c r="J682" s="261">
        <v>0</v>
      </c>
      <c r="K682" s="257">
        <v>16435073</v>
      </c>
      <c r="L682" s="257">
        <v>16435073</v>
      </c>
      <c r="M682" s="257">
        <v>0</v>
      </c>
      <c r="N682" s="257">
        <v>0</v>
      </c>
    </row>
    <row r="683" spans="1:14" hidden="1" x14ac:dyDescent="0.25">
      <c r="A683" s="143" t="s">
        <v>717</v>
      </c>
      <c r="B683" s="143" t="s">
        <v>462</v>
      </c>
      <c r="C683" s="143" t="s">
        <v>698</v>
      </c>
      <c r="D683" s="143" t="s">
        <v>69</v>
      </c>
      <c r="E683" s="257">
        <v>46209371</v>
      </c>
      <c r="F683" s="257">
        <v>46209371</v>
      </c>
      <c r="G683" s="257">
        <v>46209371</v>
      </c>
      <c r="H683" s="257">
        <v>0</v>
      </c>
      <c r="I683" s="257">
        <v>37445041</v>
      </c>
      <c r="J683" s="266">
        <v>0</v>
      </c>
      <c r="K683" s="257">
        <v>8764330</v>
      </c>
      <c r="L683" s="257">
        <v>8764330</v>
      </c>
      <c r="M683" s="257">
        <v>0</v>
      </c>
      <c r="N683" s="257">
        <v>0</v>
      </c>
    </row>
    <row r="684" spans="1:14" hidden="1" x14ac:dyDescent="0.25">
      <c r="A684" s="143" t="s">
        <v>717</v>
      </c>
      <c r="B684" s="143" t="s">
        <v>479</v>
      </c>
      <c r="C684" s="143" t="s">
        <v>699</v>
      </c>
      <c r="D684" s="143" t="s">
        <v>69</v>
      </c>
      <c r="E684" s="257">
        <v>13202606</v>
      </c>
      <c r="F684" s="257">
        <v>13202606</v>
      </c>
      <c r="G684" s="257">
        <v>13202606</v>
      </c>
      <c r="H684" s="257">
        <v>0</v>
      </c>
      <c r="I684" s="257">
        <v>10645695</v>
      </c>
      <c r="J684" s="269">
        <v>0</v>
      </c>
      <c r="K684" s="257">
        <v>2556911</v>
      </c>
      <c r="L684" s="257">
        <v>2556911</v>
      </c>
      <c r="M684" s="257">
        <v>0</v>
      </c>
      <c r="N684" s="257">
        <v>0</v>
      </c>
    </row>
    <row r="685" spans="1:14" hidden="1" x14ac:dyDescent="0.25">
      <c r="A685" s="143" t="s">
        <v>717</v>
      </c>
      <c r="B685" s="143" t="s">
        <v>496</v>
      </c>
      <c r="C685" s="143" t="s">
        <v>700</v>
      </c>
      <c r="D685" s="143" t="s">
        <v>69</v>
      </c>
      <c r="E685" s="257">
        <v>26405312</v>
      </c>
      <c r="F685" s="257">
        <v>26405312</v>
      </c>
      <c r="G685" s="257">
        <v>26405312</v>
      </c>
      <c r="H685" s="257">
        <v>0</v>
      </c>
      <c r="I685" s="257">
        <v>21291480</v>
      </c>
      <c r="J685" s="269">
        <v>0</v>
      </c>
      <c r="K685" s="257">
        <v>5113832</v>
      </c>
      <c r="L685" s="257">
        <v>5113832</v>
      </c>
      <c r="M685" s="257">
        <v>0</v>
      </c>
      <c r="N685" s="257">
        <v>0</v>
      </c>
    </row>
    <row r="686" spans="1:14" hidden="1" x14ac:dyDescent="0.25">
      <c r="A686" s="143" t="s">
        <v>717</v>
      </c>
      <c r="B686" s="143" t="s">
        <v>104</v>
      </c>
      <c r="C686" s="143" t="s">
        <v>105</v>
      </c>
      <c r="D686" s="143" t="s">
        <v>69</v>
      </c>
      <c r="E686" s="257">
        <v>143937951</v>
      </c>
      <c r="F686" s="257">
        <v>143937951</v>
      </c>
      <c r="G686" s="257">
        <v>35831148</v>
      </c>
      <c r="H686" s="257">
        <v>0</v>
      </c>
      <c r="I686" s="257">
        <v>21037730.670000002</v>
      </c>
      <c r="J686" s="269">
        <v>0</v>
      </c>
      <c r="K686" s="257">
        <v>2792517.45</v>
      </c>
      <c r="L686" s="257">
        <v>2176269.56</v>
      </c>
      <c r="M686" s="257">
        <v>120107702.88</v>
      </c>
      <c r="N686" s="257">
        <v>12000899.880000001</v>
      </c>
    </row>
    <row r="687" spans="1:14" hidden="1" x14ac:dyDescent="0.25">
      <c r="A687" s="143" t="s">
        <v>717</v>
      </c>
      <c r="B687" s="143" t="s">
        <v>106</v>
      </c>
      <c r="C687" s="143" t="s">
        <v>107</v>
      </c>
      <c r="D687" s="143" t="s">
        <v>69</v>
      </c>
      <c r="E687" s="257">
        <v>60469231</v>
      </c>
      <c r="F687" s="257">
        <v>60469231</v>
      </c>
      <c r="G687" s="257">
        <v>12882467</v>
      </c>
      <c r="H687" s="257">
        <v>0</v>
      </c>
      <c r="I687" s="257">
        <v>4959855.41</v>
      </c>
      <c r="J687" s="269">
        <v>0</v>
      </c>
      <c r="K687" s="257">
        <v>383991.79</v>
      </c>
      <c r="L687" s="257">
        <v>383991.79</v>
      </c>
      <c r="M687" s="257">
        <v>55125383.799999997</v>
      </c>
      <c r="N687" s="257">
        <v>7538619.7999999998</v>
      </c>
    </row>
    <row r="688" spans="1:14" hidden="1" x14ac:dyDescent="0.25">
      <c r="A688" s="143" t="s">
        <v>717</v>
      </c>
      <c r="B688" s="143" t="s">
        <v>108</v>
      </c>
      <c r="C688" s="143" t="s">
        <v>109</v>
      </c>
      <c r="D688" s="143" t="s">
        <v>69</v>
      </c>
      <c r="E688" s="257">
        <v>60469231</v>
      </c>
      <c r="F688" s="257">
        <v>60469231</v>
      </c>
      <c r="G688" s="257">
        <v>12882467</v>
      </c>
      <c r="H688" s="257">
        <v>0</v>
      </c>
      <c r="I688" s="257">
        <v>4959855.41</v>
      </c>
      <c r="J688" s="269">
        <v>0</v>
      </c>
      <c r="K688" s="257">
        <v>383991.79</v>
      </c>
      <c r="L688" s="257">
        <v>383991.79</v>
      </c>
      <c r="M688" s="257">
        <v>55125383.799999997</v>
      </c>
      <c r="N688" s="257">
        <v>7538619.7999999998</v>
      </c>
    </row>
    <row r="689" spans="1:14" hidden="1" x14ac:dyDescent="0.25">
      <c r="A689" s="143" t="s">
        <v>717</v>
      </c>
      <c r="B689" s="143" t="s">
        <v>112</v>
      </c>
      <c r="C689" s="143" t="s">
        <v>113</v>
      </c>
      <c r="D689" s="143" t="s">
        <v>69</v>
      </c>
      <c r="E689" s="257">
        <v>12862800</v>
      </c>
      <c r="F689" s="257">
        <v>12862800</v>
      </c>
      <c r="G689" s="257">
        <v>3437700</v>
      </c>
      <c r="H689" s="257">
        <v>0</v>
      </c>
      <c r="I689" s="257">
        <v>1929285.06</v>
      </c>
      <c r="J689" s="269">
        <v>0</v>
      </c>
      <c r="K689" s="257">
        <v>1494680.66</v>
      </c>
      <c r="L689" s="257">
        <v>886432.77</v>
      </c>
      <c r="M689" s="257">
        <v>9438834.2799999993</v>
      </c>
      <c r="N689" s="257">
        <v>13734.28</v>
      </c>
    </row>
    <row r="690" spans="1:14" hidden="1" x14ac:dyDescent="0.25">
      <c r="A690" s="143" t="s">
        <v>717</v>
      </c>
      <c r="B690" s="143" t="s">
        <v>114</v>
      </c>
      <c r="C690" s="143" t="s">
        <v>115</v>
      </c>
      <c r="D690" s="143" t="s">
        <v>69</v>
      </c>
      <c r="E690" s="257">
        <v>0</v>
      </c>
      <c r="F690" s="257">
        <v>0</v>
      </c>
      <c r="G690" s="257">
        <v>0</v>
      </c>
      <c r="H690" s="257">
        <v>0</v>
      </c>
      <c r="I690" s="257">
        <v>153408</v>
      </c>
      <c r="J690" s="269">
        <v>0</v>
      </c>
      <c r="K690" s="257">
        <v>0</v>
      </c>
      <c r="L690" s="257">
        <v>0</v>
      </c>
      <c r="M690" s="275">
        <v>-153408</v>
      </c>
      <c r="N690" s="275">
        <v>-153408</v>
      </c>
    </row>
    <row r="691" spans="1:14" hidden="1" x14ac:dyDescent="0.25">
      <c r="A691" s="143" t="s">
        <v>717</v>
      </c>
      <c r="B691" s="143" t="s">
        <v>116</v>
      </c>
      <c r="C691" s="143" t="s">
        <v>117</v>
      </c>
      <c r="D691" s="143" t="s">
        <v>69</v>
      </c>
      <c r="E691" s="257">
        <v>500000</v>
      </c>
      <c r="F691" s="257">
        <v>500000</v>
      </c>
      <c r="G691" s="257">
        <v>347000</v>
      </c>
      <c r="H691" s="257">
        <v>0</v>
      </c>
      <c r="I691" s="257">
        <v>50000</v>
      </c>
      <c r="J691" s="269">
        <v>0</v>
      </c>
      <c r="K691" s="257">
        <v>292732</v>
      </c>
      <c r="L691" s="257">
        <v>292732</v>
      </c>
      <c r="M691" s="257">
        <v>157268</v>
      </c>
      <c r="N691" s="257">
        <v>4268</v>
      </c>
    </row>
    <row r="692" spans="1:14" hidden="1" x14ac:dyDescent="0.25">
      <c r="A692" s="143" t="s">
        <v>717</v>
      </c>
      <c r="B692" s="143" t="s">
        <v>120</v>
      </c>
      <c r="C692" s="143" t="s">
        <v>121</v>
      </c>
      <c r="D692" s="143" t="s">
        <v>69</v>
      </c>
      <c r="E692" s="257">
        <v>12362800</v>
      </c>
      <c r="F692" s="257">
        <v>12362800</v>
      </c>
      <c r="G692" s="257">
        <v>3090700</v>
      </c>
      <c r="H692" s="257">
        <v>0</v>
      </c>
      <c r="I692" s="257">
        <v>1725877.06</v>
      </c>
      <c r="J692" s="269">
        <v>0</v>
      </c>
      <c r="K692" s="257">
        <v>1201948.6599999999</v>
      </c>
      <c r="L692" s="257">
        <v>593700.77</v>
      </c>
      <c r="M692" s="257">
        <v>9434974.2799999993</v>
      </c>
      <c r="N692" s="257">
        <v>162874.28</v>
      </c>
    </row>
    <row r="693" spans="1:14" hidden="1" x14ac:dyDescent="0.25">
      <c r="A693" s="143" t="s">
        <v>717</v>
      </c>
      <c r="B693" s="143" t="s">
        <v>124</v>
      </c>
      <c r="C693" s="143" t="s">
        <v>125</v>
      </c>
      <c r="D693" s="143" t="s">
        <v>69</v>
      </c>
      <c r="E693" s="257">
        <v>4286000</v>
      </c>
      <c r="F693" s="257">
        <v>4286000</v>
      </c>
      <c r="G693" s="257">
        <v>1421500</v>
      </c>
      <c r="H693" s="257">
        <v>0</v>
      </c>
      <c r="I693" s="257">
        <v>78600</v>
      </c>
      <c r="J693" s="269">
        <v>0</v>
      </c>
      <c r="K693" s="257">
        <v>0</v>
      </c>
      <c r="L693" s="257">
        <v>0</v>
      </c>
      <c r="M693" s="257">
        <v>4207400</v>
      </c>
      <c r="N693" s="257">
        <v>1342900</v>
      </c>
    </row>
    <row r="694" spans="1:14" hidden="1" x14ac:dyDescent="0.25">
      <c r="A694" s="143" t="s">
        <v>717</v>
      </c>
      <c r="B694" s="143" t="s">
        <v>126</v>
      </c>
      <c r="C694" s="143" t="s">
        <v>127</v>
      </c>
      <c r="D694" s="143" t="s">
        <v>69</v>
      </c>
      <c r="E694" s="257">
        <v>450000</v>
      </c>
      <c r="F694" s="257">
        <v>450000</v>
      </c>
      <c r="G694" s="257">
        <v>112500</v>
      </c>
      <c r="H694" s="257">
        <v>0</v>
      </c>
      <c r="I694" s="257">
        <v>78600</v>
      </c>
      <c r="J694" s="269">
        <v>0</v>
      </c>
      <c r="K694" s="257">
        <v>0</v>
      </c>
      <c r="L694" s="257">
        <v>0</v>
      </c>
      <c r="M694" s="257">
        <v>371400</v>
      </c>
      <c r="N694" s="257">
        <v>33900</v>
      </c>
    </row>
    <row r="695" spans="1:14" hidden="1" x14ac:dyDescent="0.25">
      <c r="A695" s="143" t="s">
        <v>717</v>
      </c>
      <c r="B695" s="143" t="s">
        <v>532</v>
      </c>
      <c r="C695" s="143" t="s">
        <v>718</v>
      </c>
      <c r="D695" s="143" t="s">
        <v>69</v>
      </c>
      <c r="E695" s="257">
        <v>1336000</v>
      </c>
      <c r="F695" s="257">
        <v>1336000</v>
      </c>
      <c r="G695" s="257">
        <v>384000</v>
      </c>
      <c r="H695" s="257">
        <v>0</v>
      </c>
      <c r="I695" s="257">
        <v>0</v>
      </c>
      <c r="J695" s="269">
        <v>0</v>
      </c>
      <c r="K695" s="257">
        <v>0</v>
      </c>
      <c r="L695" s="257">
        <v>0</v>
      </c>
      <c r="M695" s="257">
        <v>1336000</v>
      </c>
      <c r="N695" s="257">
        <v>384000</v>
      </c>
    </row>
    <row r="696" spans="1:14" hidden="1" x14ac:dyDescent="0.25">
      <c r="A696" s="143" t="s">
        <v>717</v>
      </c>
      <c r="B696" s="143" t="s">
        <v>128</v>
      </c>
      <c r="C696" s="143" t="s">
        <v>129</v>
      </c>
      <c r="D696" s="143" t="s">
        <v>69</v>
      </c>
      <c r="E696" s="257">
        <v>2500000</v>
      </c>
      <c r="F696" s="257">
        <v>2500000</v>
      </c>
      <c r="G696" s="257">
        <v>925000</v>
      </c>
      <c r="H696" s="257">
        <v>0</v>
      </c>
      <c r="I696" s="257">
        <v>0</v>
      </c>
      <c r="J696" s="269">
        <v>0</v>
      </c>
      <c r="K696" s="257">
        <v>0</v>
      </c>
      <c r="L696" s="257">
        <v>0</v>
      </c>
      <c r="M696" s="257">
        <v>2500000</v>
      </c>
      <c r="N696" s="257">
        <v>925000</v>
      </c>
    </row>
    <row r="697" spans="1:14" hidden="1" x14ac:dyDescent="0.25">
      <c r="A697" s="143" t="s">
        <v>717</v>
      </c>
      <c r="B697" s="143" t="s">
        <v>134</v>
      </c>
      <c r="C697" s="143" t="s">
        <v>135</v>
      </c>
      <c r="D697" s="143" t="s">
        <v>69</v>
      </c>
      <c r="E697" s="257">
        <v>3625200</v>
      </c>
      <c r="F697" s="257">
        <v>3625200</v>
      </c>
      <c r="G697" s="257">
        <v>1066300</v>
      </c>
      <c r="H697" s="257">
        <v>0</v>
      </c>
      <c r="I697" s="257">
        <v>0</v>
      </c>
      <c r="J697">
        <v>0</v>
      </c>
      <c r="K697" s="257">
        <v>0</v>
      </c>
      <c r="L697" s="257">
        <v>0</v>
      </c>
      <c r="M697" s="257">
        <v>3625200</v>
      </c>
      <c r="N697" s="257">
        <v>1066300</v>
      </c>
    </row>
    <row r="698" spans="1:14" hidden="1" x14ac:dyDescent="0.25">
      <c r="A698" s="143" t="s">
        <v>717</v>
      </c>
      <c r="B698" s="143" t="s">
        <v>138</v>
      </c>
      <c r="C698" s="143" t="s">
        <v>139</v>
      </c>
      <c r="D698" s="143" t="s">
        <v>69</v>
      </c>
      <c r="E698" s="257">
        <v>3625200</v>
      </c>
      <c r="F698" s="257">
        <v>3625200</v>
      </c>
      <c r="G698" s="257">
        <v>1066300</v>
      </c>
      <c r="H698" s="257">
        <v>0</v>
      </c>
      <c r="I698" s="257">
        <v>0</v>
      </c>
      <c r="J698" s="252">
        <v>0</v>
      </c>
      <c r="K698" s="257">
        <v>0</v>
      </c>
      <c r="L698" s="257">
        <v>0</v>
      </c>
      <c r="M698" s="257">
        <v>3625200</v>
      </c>
      <c r="N698" s="257">
        <v>1066300</v>
      </c>
    </row>
    <row r="699" spans="1:14" hidden="1" x14ac:dyDescent="0.25">
      <c r="A699" s="143" t="s">
        <v>717</v>
      </c>
      <c r="B699" s="143" t="s">
        <v>140</v>
      </c>
      <c r="C699" s="143" t="s">
        <v>141</v>
      </c>
      <c r="D699" s="143" t="s">
        <v>69</v>
      </c>
      <c r="E699" s="257">
        <v>18004720</v>
      </c>
      <c r="F699" s="257">
        <v>18004720</v>
      </c>
      <c r="G699" s="257">
        <v>4501180</v>
      </c>
      <c r="H699" s="257">
        <v>0</v>
      </c>
      <c r="I699" s="257">
        <v>3143260</v>
      </c>
      <c r="J699" s="261">
        <v>0</v>
      </c>
      <c r="K699" s="257">
        <v>867760</v>
      </c>
      <c r="L699" s="257">
        <v>859760</v>
      </c>
      <c r="M699" s="257">
        <v>13993700</v>
      </c>
      <c r="N699" s="257">
        <v>490160</v>
      </c>
    </row>
    <row r="700" spans="1:14" hidden="1" x14ac:dyDescent="0.25">
      <c r="A700" s="143" t="s">
        <v>717</v>
      </c>
      <c r="B700" s="143" t="s">
        <v>142</v>
      </c>
      <c r="C700" s="143" t="s">
        <v>143</v>
      </c>
      <c r="D700" s="143" t="s">
        <v>69</v>
      </c>
      <c r="E700" s="257">
        <v>1560220</v>
      </c>
      <c r="F700" s="257">
        <v>1560220</v>
      </c>
      <c r="G700" s="257">
        <v>390055</v>
      </c>
      <c r="H700" s="257">
        <v>0</v>
      </c>
      <c r="I700" s="257">
        <v>179460</v>
      </c>
      <c r="J700" s="266">
        <v>0</v>
      </c>
      <c r="K700" s="257">
        <v>132060</v>
      </c>
      <c r="L700" s="257">
        <v>132060</v>
      </c>
      <c r="M700" s="257">
        <v>1248700</v>
      </c>
      <c r="N700" s="257">
        <v>78535</v>
      </c>
    </row>
    <row r="701" spans="1:14" hidden="1" x14ac:dyDescent="0.25">
      <c r="A701" s="143" t="s">
        <v>717</v>
      </c>
      <c r="B701" s="143" t="s">
        <v>144</v>
      </c>
      <c r="C701" s="143" t="s">
        <v>145</v>
      </c>
      <c r="D701" s="143" t="s">
        <v>69</v>
      </c>
      <c r="E701" s="257">
        <v>16444500</v>
      </c>
      <c r="F701" s="257">
        <v>16444500</v>
      </c>
      <c r="G701" s="257">
        <v>4111125</v>
      </c>
      <c r="H701" s="257">
        <v>0</v>
      </c>
      <c r="I701" s="257">
        <v>2963800</v>
      </c>
      <c r="J701" s="269">
        <v>0</v>
      </c>
      <c r="K701" s="257">
        <v>735700</v>
      </c>
      <c r="L701" s="257">
        <v>727700</v>
      </c>
      <c r="M701" s="257">
        <v>12745000</v>
      </c>
      <c r="N701" s="257">
        <v>411625</v>
      </c>
    </row>
    <row r="702" spans="1:14" hidden="1" x14ac:dyDescent="0.25">
      <c r="A702" s="143" t="s">
        <v>717</v>
      </c>
      <c r="B702" s="143" t="s">
        <v>150</v>
      </c>
      <c r="C702" s="143" t="s">
        <v>151</v>
      </c>
      <c r="D702" s="143" t="s">
        <v>69</v>
      </c>
      <c r="E702" s="257">
        <v>6000000</v>
      </c>
      <c r="F702" s="257">
        <v>6000000</v>
      </c>
      <c r="G702" s="257">
        <v>1500000</v>
      </c>
      <c r="H702" s="257">
        <v>0</v>
      </c>
      <c r="I702" s="257">
        <v>1100000</v>
      </c>
      <c r="J702" s="269">
        <v>0</v>
      </c>
      <c r="K702" s="257">
        <v>0</v>
      </c>
      <c r="L702" s="257">
        <v>0</v>
      </c>
      <c r="M702" s="257">
        <v>4900000</v>
      </c>
      <c r="N702" s="257">
        <v>400000</v>
      </c>
    </row>
    <row r="703" spans="1:14" hidden="1" x14ac:dyDescent="0.25">
      <c r="A703" s="143" t="s">
        <v>717</v>
      </c>
      <c r="B703" s="143" t="s">
        <v>152</v>
      </c>
      <c r="C703" s="143" t="s">
        <v>153</v>
      </c>
      <c r="D703" s="143" t="s">
        <v>69</v>
      </c>
      <c r="E703" s="257">
        <v>6000000</v>
      </c>
      <c r="F703" s="257">
        <v>6000000</v>
      </c>
      <c r="G703" s="257">
        <v>1500000</v>
      </c>
      <c r="H703" s="257">
        <v>0</v>
      </c>
      <c r="I703" s="257">
        <v>1100000</v>
      </c>
      <c r="J703" s="269">
        <v>0</v>
      </c>
      <c r="K703" s="257">
        <v>0</v>
      </c>
      <c r="L703" s="257">
        <v>0</v>
      </c>
      <c r="M703" s="257">
        <v>4900000</v>
      </c>
      <c r="N703" s="257">
        <v>400000</v>
      </c>
    </row>
    <row r="704" spans="1:14" hidden="1" x14ac:dyDescent="0.25">
      <c r="A704" s="143" t="s">
        <v>717</v>
      </c>
      <c r="B704" s="143" t="s">
        <v>154</v>
      </c>
      <c r="C704" s="143" t="s">
        <v>155</v>
      </c>
      <c r="D704" s="143" t="s">
        <v>69</v>
      </c>
      <c r="E704" s="257">
        <v>27190000</v>
      </c>
      <c r="F704" s="257">
        <v>27190000</v>
      </c>
      <c r="G704" s="257">
        <v>6797500</v>
      </c>
      <c r="H704" s="257">
        <v>0</v>
      </c>
      <c r="I704" s="257">
        <v>6250450.2000000002</v>
      </c>
      <c r="J704" s="269">
        <v>0</v>
      </c>
      <c r="K704" s="257">
        <v>0</v>
      </c>
      <c r="L704" s="257">
        <v>0</v>
      </c>
      <c r="M704" s="257">
        <v>20939549.800000001</v>
      </c>
      <c r="N704" s="257">
        <v>547049.80000000005</v>
      </c>
    </row>
    <row r="705" spans="1:14" hidden="1" x14ac:dyDescent="0.25">
      <c r="A705" s="143" t="s">
        <v>717</v>
      </c>
      <c r="B705" s="143" t="s">
        <v>156</v>
      </c>
      <c r="C705" s="143" t="s">
        <v>157</v>
      </c>
      <c r="D705" s="143" t="s">
        <v>69</v>
      </c>
      <c r="E705" s="257">
        <v>27190000</v>
      </c>
      <c r="F705" s="257">
        <v>27190000</v>
      </c>
      <c r="G705" s="257">
        <v>6797500</v>
      </c>
      <c r="H705" s="257">
        <v>0</v>
      </c>
      <c r="I705" s="257">
        <v>6250450.2000000002</v>
      </c>
      <c r="J705" s="269">
        <v>0</v>
      </c>
      <c r="K705" s="257">
        <v>0</v>
      </c>
      <c r="L705" s="257">
        <v>0</v>
      </c>
      <c r="M705" s="257">
        <v>20939549.800000001</v>
      </c>
      <c r="N705" s="257">
        <v>547049.80000000005</v>
      </c>
    </row>
    <row r="706" spans="1:14" hidden="1" x14ac:dyDescent="0.25">
      <c r="A706" s="143" t="s">
        <v>717</v>
      </c>
      <c r="B706" s="143" t="s">
        <v>162</v>
      </c>
      <c r="C706" s="143" t="s">
        <v>163</v>
      </c>
      <c r="D706" s="143" t="s">
        <v>69</v>
      </c>
      <c r="E706" s="257">
        <v>9500000</v>
      </c>
      <c r="F706" s="257">
        <v>9500000</v>
      </c>
      <c r="G706" s="257">
        <v>3724501</v>
      </c>
      <c r="H706" s="257">
        <v>0</v>
      </c>
      <c r="I706" s="257">
        <v>3576280</v>
      </c>
      <c r="J706" s="269">
        <v>0</v>
      </c>
      <c r="K706" s="257">
        <v>0</v>
      </c>
      <c r="L706" s="257">
        <v>0</v>
      </c>
      <c r="M706" s="257">
        <v>5923720</v>
      </c>
      <c r="N706" s="257">
        <v>148221</v>
      </c>
    </row>
    <row r="707" spans="1:14" hidden="1" x14ac:dyDescent="0.25">
      <c r="A707" s="143" t="s">
        <v>717</v>
      </c>
      <c r="B707" s="143" t="s">
        <v>166</v>
      </c>
      <c r="C707" s="143" t="s">
        <v>167</v>
      </c>
      <c r="D707" s="143" t="s">
        <v>69</v>
      </c>
      <c r="E707" s="257">
        <v>4500000</v>
      </c>
      <c r="F707" s="257">
        <v>4500000</v>
      </c>
      <c r="G707" s="257">
        <v>2329501</v>
      </c>
      <c r="H707" s="257">
        <v>0</v>
      </c>
      <c r="I707" s="257">
        <v>2329500</v>
      </c>
      <c r="J707" s="269">
        <v>0</v>
      </c>
      <c r="K707" s="257">
        <v>0</v>
      </c>
      <c r="L707" s="257">
        <v>0</v>
      </c>
      <c r="M707" s="257">
        <v>2170500</v>
      </c>
      <c r="N707" s="257">
        <v>1</v>
      </c>
    </row>
    <row r="708" spans="1:14" hidden="1" x14ac:dyDescent="0.25">
      <c r="A708" s="143" t="s">
        <v>717</v>
      </c>
      <c r="B708" s="143" t="s">
        <v>170</v>
      </c>
      <c r="C708" s="143" t="s">
        <v>171</v>
      </c>
      <c r="D708" s="143" t="s">
        <v>69</v>
      </c>
      <c r="E708" s="257">
        <v>5000000</v>
      </c>
      <c r="F708" s="257">
        <v>5000000</v>
      </c>
      <c r="G708" s="257">
        <v>1395000</v>
      </c>
      <c r="H708" s="257">
        <v>0</v>
      </c>
      <c r="I708" s="257">
        <v>1246780</v>
      </c>
      <c r="J708" s="269">
        <v>0</v>
      </c>
      <c r="K708" s="257">
        <v>0</v>
      </c>
      <c r="L708" s="257">
        <v>0</v>
      </c>
      <c r="M708" s="257">
        <v>3753220</v>
      </c>
      <c r="N708" s="257">
        <v>148220</v>
      </c>
    </row>
    <row r="709" spans="1:14" hidden="1" x14ac:dyDescent="0.25">
      <c r="A709" s="143" t="s">
        <v>717</v>
      </c>
      <c r="B709" s="143" t="s">
        <v>174</v>
      </c>
      <c r="C709" s="143" t="s">
        <v>175</v>
      </c>
      <c r="D709" s="143" t="s">
        <v>69</v>
      </c>
      <c r="E709" s="257">
        <v>500000</v>
      </c>
      <c r="F709" s="257">
        <v>500000</v>
      </c>
      <c r="G709" s="257">
        <v>125000</v>
      </c>
      <c r="H709" s="257">
        <v>0</v>
      </c>
      <c r="I709" s="257">
        <v>0</v>
      </c>
      <c r="J709" s="269">
        <v>0</v>
      </c>
      <c r="K709" s="257">
        <v>46085</v>
      </c>
      <c r="L709" s="257">
        <v>46085</v>
      </c>
      <c r="M709" s="257">
        <v>453915</v>
      </c>
      <c r="N709" s="257">
        <v>78915</v>
      </c>
    </row>
    <row r="710" spans="1:14" hidden="1" x14ac:dyDescent="0.25">
      <c r="A710" s="143" t="s">
        <v>717</v>
      </c>
      <c r="B710" s="143" t="s">
        <v>176</v>
      </c>
      <c r="C710" s="143" t="s">
        <v>177</v>
      </c>
      <c r="D710" s="143" t="s">
        <v>69</v>
      </c>
      <c r="E710" s="257">
        <v>500000</v>
      </c>
      <c r="F710" s="257">
        <v>500000</v>
      </c>
      <c r="G710" s="257">
        <v>125000</v>
      </c>
      <c r="H710" s="257">
        <v>0</v>
      </c>
      <c r="I710" s="257">
        <v>0</v>
      </c>
      <c r="J710" s="269">
        <v>0</v>
      </c>
      <c r="K710" s="257">
        <v>46085</v>
      </c>
      <c r="L710" s="257">
        <v>46085</v>
      </c>
      <c r="M710" s="257">
        <v>453915</v>
      </c>
      <c r="N710" s="257">
        <v>78915</v>
      </c>
    </row>
    <row r="711" spans="1:14" hidden="1" x14ac:dyDescent="0.25">
      <c r="A711" s="143" t="s">
        <v>717</v>
      </c>
      <c r="B711" s="143" t="s">
        <v>178</v>
      </c>
      <c r="C711" s="143" t="s">
        <v>179</v>
      </c>
      <c r="D711" s="143" t="s">
        <v>69</v>
      </c>
      <c r="E711" s="257">
        <v>1500000</v>
      </c>
      <c r="F711" s="257">
        <v>1500000</v>
      </c>
      <c r="G711" s="257">
        <v>375000</v>
      </c>
      <c r="H711" s="257">
        <v>0</v>
      </c>
      <c r="I711" s="257">
        <v>0</v>
      </c>
      <c r="J711" s="269">
        <v>0</v>
      </c>
      <c r="K711" s="257">
        <v>0</v>
      </c>
      <c r="L711" s="257">
        <v>0</v>
      </c>
      <c r="M711" s="257">
        <v>1500000</v>
      </c>
      <c r="N711" s="257">
        <v>375000</v>
      </c>
    </row>
    <row r="712" spans="1:14" hidden="1" x14ac:dyDescent="0.25">
      <c r="A712" s="143" t="s">
        <v>717</v>
      </c>
      <c r="B712" s="143" t="s">
        <v>182</v>
      </c>
      <c r="C712" s="143" t="s">
        <v>183</v>
      </c>
      <c r="D712" s="143" t="s">
        <v>69</v>
      </c>
      <c r="E712" s="257">
        <v>1500000</v>
      </c>
      <c r="F712" s="257">
        <v>1500000</v>
      </c>
      <c r="G712" s="257">
        <v>375000</v>
      </c>
      <c r="H712" s="257">
        <v>0</v>
      </c>
      <c r="I712" s="257">
        <v>0</v>
      </c>
      <c r="J712" s="269">
        <v>0</v>
      </c>
      <c r="K712" s="257">
        <v>0</v>
      </c>
      <c r="L712" s="257">
        <v>0</v>
      </c>
      <c r="M712" s="257">
        <v>1500000</v>
      </c>
      <c r="N712" s="257">
        <v>375000</v>
      </c>
    </row>
    <row r="713" spans="1:14" hidden="1" x14ac:dyDescent="0.25">
      <c r="A713" s="143" t="s">
        <v>717</v>
      </c>
      <c r="B713" s="143" t="s">
        <v>184</v>
      </c>
      <c r="C713" s="143" t="s">
        <v>185</v>
      </c>
      <c r="D713" s="143" t="s">
        <v>69</v>
      </c>
      <c r="E713" s="257">
        <v>52884335</v>
      </c>
      <c r="F713" s="257">
        <v>52884335</v>
      </c>
      <c r="G713" s="257">
        <v>13221093.08</v>
      </c>
      <c r="H713" s="257">
        <v>587612</v>
      </c>
      <c r="I713" s="257">
        <v>2819797.69</v>
      </c>
      <c r="J713" s="269">
        <v>0</v>
      </c>
      <c r="K713" s="257">
        <v>5045519.38</v>
      </c>
      <c r="L713" s="257">
        <v>4154127.18</v>
      </c>
      <c r="M713" s="257">
        <v>44431405.93</v>
      </c>
      <c r="N713" s="257">
        <v>4768164.01</v>
      </c>
    </row>
    <row r="714" spans="1:14" hidden="1" x14ac:dyDescent="0.25">
      <c r="A714" s="143" t="s">
        <v>717</v>
      </c>
      <c r="B714" s="143" t="s">
        <v>186</v>
      </c>
      <c r="C714" s="143" t="s">
        <v>187</v>
      </c>
      <c r="D714" s="143" t="s">
        <v>69</v>
      </c>
      <c r="E714" s="257">
        <v>21308004</v>
      </c>
      <c r="F714" s="257">
        <v>21308004</v>
      </c>
      <c r="G714" s="257">
        <v>6281339</v>
      </c>
      <c r="H714" s="257">
        <v>0</v>
      </c>
      <c r="I714" s="257">
        <v>1825793.12</v>
      </c>
      <c r="J714">
        <v>0</v>
      </c>
      <c r="K714" s="257">
        <v>2810545.28</v>
      </c>
      <c r="L714" s="257">
        <v>2810545.28</v>
      </c>
      <c r="M714" s="257">
        <v>16671665.6</v>
      </c>
      <c r="N714" s="257">
        <v>1645000.6</v>
      </c>
    </row>
    <row r="715" spans="1:14" hidden="1" x14ac:dyDescent="0.25">
      <c r="A715" s="143" t="s">
        <v>717</v>
      </c>
      <c r="B715" s="143" t="s">
        <v>188</v>
      </c>
      <c r="C715" s="143" t="s">
        <v>189</v>
      </c>
      <c r="D715" s="143" t="s">
        <v>69</v>
      </c>
      <c r="E715" s="257">
        <v>9500000</v>
      </c>
      <c r="F715" s="257">
        <v>9500000</v>
      </c>
      <c r="G715" s="257">
        <v>2345000</v>
      </c>
      <c r="H715" s="257">
        <v>0</v>
      </c>
      <c r="I715" s="257">
        <v>183548</v>
      </c>
      <c r="J715" s="252">
        <v>0</v>
      </c>
      <c r="K715" s="257">
        <v>516452</v>
      </c>
      <c r="L715" s="257">
        <v>516452</v>
      </c>
      <c r="M715" s="257">
        <v>8800000</v>
      </c>
      <c r="N715" s="257">
        <v>1645000</v>
      </c>
    </row>
    <row r="716" spans="1:14" hidden="1" x14ac:dyDescent="0.25">
      <c r="A716" s="143" t="s">
        <v>717</v>
      </c>
      <c r="B716" s="143" t="s">
        <v>192</v>
      </c>
      <c r="C716" s="143" t="s">
        <v>193</v>
      </c>
      <c r="D716" s="143" t="s">
        <v>69</v>
      </c>
      <c r="E716" s="257">
        <v>11808004</v>
      </c>
      <c r="F716" s="257">
        <v>11808004</v>
      </c>
      <c r="G716" s="257">
        <v>3936339</v>
      </c>
      <c r="H716" s="257">
        <v>0</v>
      </c>
      <c r="I716" s="257">
        <v>1642245.1200000001</v>
      </c>
      <c r="J716" s="261">
        <v>0</v>
      </c>
      <c r="K716" s="257">
        <v>2294093.2799999998</v>
      </c>
      <c r="L716" s="257">
        <v>2294093.2799999998</v>
      </c>
      <c r="M716" s="257">
        <v>7871665.5999999996</v>
      </c>
      <c r="N716" s="257">
        <v>0.60000000000000009</v>
      </c>
    </row>
    <row r="717" spans="1:14" hidden="1" x14ac:dyDescent="0.25">
      <c r="A717" s="143" t="s">
        <v>717</v>
      </c>
      <c r="B717" s="143" t="s">
        <v>196</v>
      </c>
      <c r="C717" s="143" t="s">
        <v>197</v>
      </c>
      <c r="D717" s="143" t="s">
        <v>69</v>
      </c>
      <c r="E717" s="257">
        <v>7008325</v>
      </c>
      <c r="F717" s="257">
        <v>7008325</v>
      </c>
      <c r="G717" s="257">
        <v>1752082</v>
      </c>
      <c r="H717" s="257">
        <v>587612</v>
      </c>
      <c r="I717" s="257">
        <v>11755.7</v>
      </c>
      <c r="J717" s="266">
        <v>0</v>
      </c>
      <c r="K717" s="257">
        <v>0</v>
      </c>
      <c r="L717" s="257">
        <v>0</v>
      </c>
      <c r="M717" s="257">
        <v>6408957.2999999998</v>
      </c>
      <c r="N717" s="257">
        <v>1152714.3</v>
      </c>
    </row>
    <row r="718" spans="1:14" hidden="1" x14ac:dyDescent="0.25">
      <c r="A718" s="143" t="s">
        <v>717</v>
      </c>
      <c r="B718" s="143" t="s">
        <v>198</v>
      </c>
      <c r="C718" s="143" t="s">
        <v>199</v>
      </c>
      <c r="D718" s="143" t="s">
        <v>69</v>
      </c>
      <c r="E718" s="257">
        <v>7008325</v>
      </c>
      <c r="F718" s="257">
        <v>7008325</v>
      </c>
      <c r="G718" s="257">
        <v>1752082</v>
      </c>
      <c r="H718" s="257">
        <v>587612</v>
      </c>
      <c r="I718" s="257">
        <v>11755.7</v>
      </c>
      <c r="J718" s="269">
        <v>0</v>
      </c>
      <c r="K718" s="257">
        <v>0</v>
      </c>
      <c r="L718" s="257">
        <v>0</v>
      </c>
      <c r="M718" s="257">
        <v>6408957.2999999998</v>
      </c>
      <c r="N718" s="257">
        <v>1152714.3</v>
      </c>
    </row>
    <row r="719" spans="1:14" hidden="1" x14ac:dyDescent="0.25">
      <c r="A719" s="143" t="s">
        <v>717</v>
      </c>
      <c r="B719" s="143" t="s">
        <v>200</v>
      </c>
      <c r="C719" s="143" t="s">
        <v>201</v>
      </c>
      <c r="D719" s="143" t="s">
        <v>69</v>
      </c>
      <c r="E719" s="257">
        <v>900000</v>
      </c>
      <c r="F719" s="257">
        <v>900000</v>
      </c>
      <c r="G719" s="257">
        <v>135000.01</v>
      </c>
      <c r="H719" s="257">
        <v>0</v>
      </c>
      <c r="I719" s="257">
        <v>132953.99</v>
      </c>
      <c r="J719" s="269">
        <v>0</v>
      </c>
      <c r="K719" s="257">
        <v>0</v>
      </c>
      <c r="L719" s="257">
        <v>0</v>
      </c>
      <c r="M719" s="257">
        <v>767046.01</v>
      </c>
      <c r="N719" s="257">
        <v>2046.02</v>
      </c>
    </row>
    <row r="720" spans="1:14" hidden="1" x14ac:dyDescent="0.25">
      <c r="A720" s="143" t="s">
        <v>717</v>
      </c>
      <c r="B720" s="143" t="s">
        <v>316</v>
      </c>
      <c r="C720" s="143" t="s">
        <v>317</v>
      </c>
      <c r="D720" s="143" t="s">
        <v>69</v>
      </c>
      <c r="E720" s="257">
        <v>420000</v>
      </c>
      <c r="F720" s="257">
        <v>420000</v>
      </c>
      <c r="G720" s="257">
        <v>2046.01</v>
      </c>
      <c r="H720" s="257">
        <v>0</v>
      </c>
      <c r="I720" s="257">
        <v>0</v>
      </c>
      <c r="J720" s="269">
        <v>0</v>
      </c>
      <c r="K720" s="257">
        <v>0</v>
      </c>
      <c r="L720" s="257">
        <v>0</v>
      </c>
      <c r="M720" s="257">
        <v>420000</v>
      </c>
      <c r="N720" s="257">
        <v>2046.01</v>
      </c>
    </row>
    <row r="721" spans="1:14" hidden="1" x14ac:dyDescent="0.25">
      <c r="A721" s="143" t="s">
        <v>717</v>
      </c>
      <c r="B721" s="143" t="s">
        <v>202</v>
      </c>
      <c r="C721" s="143" t="s">
        <v>203</v>
      </c>
      <c r="D721" s="143" t="s">
        <v>69</v>
      </c>
      <c r="E721" s="257">
        <v>480000</v>
      </c>
      <c r="F721" s="257">
        <v>480000</v>
      </c>
      <c r="G721" s="257">
        <v>132954</v>
      </c>
      <c r="H721" s="257">
        <v>0</v>
      </c>
      <c r="I721" s="257">
        <v>132953.99</v>
      </c>
      <c r="J721" s="269">
        <v>0</v>
      </c>
      <c r="K721" s="257">
        <v>0</v>
      </c>
      <c r="L721" s="257">
        <v>0</v>
      </c>
      <c r="M721" s="257">
        <v>347046.01</v>
      </c>
      <c r="N721" s="257">
        <v>0.01</v>
      </c>
    </row>
    <row r="722" spans="1:14" hidden="1" x14ac:dyDescent="0.25">
      <c r="A722" s="143" t="s">
        <v>717</v>
      </c>
      <c r="B722" s="143" t="s">
        <v>206</v>
      </c>
      <c r="C722" s="143" t="s">
        <v>207</v>
      </c>
      <c r="D722" s="143" t="s">
        <v>69</v>
      </c>
      <c r="E722" s="257">
        <v>3052196</v>
      </c>
      <c r="F722" s="257">
        <v>3052196</v>
      </c>
      <c r="G722" s="257">
        <v>3052</v>
      </c>
      <c r="H722" s="257">
        <v>0</v>
      </c>
      <c r="I722" s="257">
        <v>0</v>
      </c>
      <c r="J722" s="269">
        <v>0</v>
      </c>
      <c r="K722" s="257">
        <v>0</v>
      </c>
      <c r="L722" s="257">
        <v>0</v>
      </c>
      <c r="M722" s="257">
        <v>3052196</v>
      </c>
      <c r="N722" s="257">
        <v>3052</v>
      </c>
    </row>
    <row r="723" spans="1:14" hidden="1" x14ac:dyDescent="0.25">
      <c r="A723" s="143" t="s">
        <v>717</v>
      </c>
      <c r="B723" s="143" t="s">
        <v>208</v>
      </c>
      <c r="C723" s="143" t="s">
        <v>209</v>
      </c>
      <c r="D723" s="143" t="s">
        <v>69</v>
      </c>
      <c r="E723" s="257">
        <v>885321</v>
      </c>
      <c r="F723" s="257">
        <v>885321</v>
      </c>
      <c r="G723" s="257">
        <v>1331</v>
      </c>
      <c r="H723" s="257">
        <v>0</v>
      </c>
      <c r="I723" s="257">
        <v>0</v>
      </c>
      <c r="J723" s="269">
        <v>0</v>
      </c>
      <c r="K723" s="257">
        <v>0</v>
      </c>
      <c r="L723" s="257">
        <v>0</v>
      </c>
      <c r="M723" s="257">
        <v>885321</v>
      </c>
      <c r="N723" s="257">
        <v>1331</v>
      </c>
    </row>
    <row r="724" spans="1:14" hidden="1" x14ac:dyDescent="0.25">
      <c r="A724" s="143" t="s">
        <v>717</v>
      </c>
      <c r="B724" s="143" t="s">
        <v>210</v>
      </c>
      <c r="C724" s="143" t="s">
        <v>211</v>
      </c>
      <c r="D724" s="143" t="s">
        <v>69</v>
      </c>
      <c r="E724" s="257">
        <v>2166875</v>
      </c>
      <c r="F724" s="257">
        <v>2166875</v>
      </c>
      <c r="G724" s="257">
        <v>1721</v>
      </c>
      <c r="H724" s="257">
        <v>0</v>
      </c>
      <c r="I724" s="257">
        <v>0</v>
      </c>
      <c r="J724" s="269">
        <v>0</v>
      </c>
      <c r="K724" s="257">
        <v>0</v>
      </c>
      <c r="L724" s="257">
        <v>0</v>
      </c>
      <c r="M724" s="257">
        <v>2166875</v>
      </c>
      <c r="N724" s="257">
        <v>1721</v>
      </c>
    </row>
    <row r="725" spans="1:14" hidden="1" x14ac:dyDescent="0.25">
      <c r="A725" s="143" t="s">
        <v>717</v>
      </c>
      <c r="B725" s="143" t="s">
        <v>212</v>
      </c>
      <c r="C725" s="143" t="s">
        <v>213</v>
      </c>
      <c r="D725" s="143" t="s">
        <v>69</v>
      </c>
      <c r="E725" s="257">
        <v>20615810</v>
      </c>
      <c r="F725" s="257">
        <v>20615810</v>
      </c>
      <c r="G725" s="257">
        <v>5049620.07</v>
      </c>
      <c r="H725" s="257">
        <v>0</v>
      </c>
      <c r="I725" s="257">
        <v>849294.88</v>
      </c>
      <c r="J725" s="269">
        <v>0</v>
      </c>
      <c r="K725" s="257">
        <v>2234974.1</v>
      </c>
      <c r="L725" s="257">
        <v>1343581.9</v>
      </c>
      <c r="M725" s="257">
        <v>17531541.02</v>
      </c>
      <c r="N725" s="257">
        <v>1965351.09</v>
      </c>
    </row>
    <row r="726" spans="1:14" hidden="1" x14ac:dyDescent="0.25">
      <c r="A726" s="143" t="s">
        <v>717</v>
      </c>
      <c r="B726" s="143" t="s">
        <v>214</v>
      </c>
      <c r="C726" s="143" t="s">
        <v>215</v>
      </c>
      <c r="D726" s="143" t="s">
        <v>69</v>
      </c>
      <c r="E726" s="257">
        <v>8014742</v>
      </c>
      <c r="F726" s="257">
        <v>8014742</v>
      </c>
      <c r="G726" s="257">
        <v>533687</v>
      </c>
      <c r="H726" s="257">
        <v>0</v>
      </c>
      <c r="I726" s="257">
        <v>0</v>
      </c>
      <c r="J726" s="269">
        <v>0</v>
      </c>
      <c r="K726" s="257">
        <v>493107</v>
      </c>
      <c r="L726" s="257">
        <v>493107</v>
      </c>
      <c r="M726" s="257">
        <v>7521635</v>
      </c>
      <c r="N726" s="257">
        <v>40580</v>
      </c>
    </row>
    <row r="727" spans="1:14" hidden="1" x14ac:dyDescent="0.25">
      <c r="A727" s="143" t="s">
        <v>717</v>
      </c>
      <c r="B727" s="143" t="s">
        <v>218</v>
      </c>
      <c r="C727" s="143" t="s">
        <v>219</v>
      </c>
      <c r="D727" s="143" t="s">
        <v>69</v>
      </c>
      <c r="E727" s="257">
        <v>5268045</v>
      </c>
      <c r="F727" s="257">
        <v>5268045</v>
      </c>
      <c r="G727" s="257">
        <v>457866.47</v>
      </c>
      <c r="H727" s="257">
        <v>0</v>
      </c>
      <c r="I727" s="257">
        <v>125100</v>
      </c>
      <c r="J727" s="269">
        <v>0</v>
      </c>
      <c r="K727" s="257">
        <v>259408.45</v>
      </c>
      <c r="L727" s="257">
        <v>0</v>
      </c>
      <c r="M727" s="257">
        <v>4883536.55</v>
      </c>
      <c r="N727" s="257">
        <v>73358.02</v>
      </c>
    </row>
    <row r="728" spans="1:14" hidden="1" x14ac:dyDescent="0.25">
      <c r="A728" s="143" t="s">
        <v>717</v>
      </c>
      <c r="B728" s="143" t="s">
        <v>220</v>
      </c>
      <c r="C728" s="143" t="s">
        <v>221</v>
      </c>
      <c r="D728" s="143" t="s">
        <v>69</v>
      </c>
      <c r="E728" s="257">
        <v>3038980</v>
      </c>
      <c r="F728" s="257">
        <v>3038980</v>
      </c>
      <c r="G728" s="257">
        <v>785407.6</v>
      </c>
      <c r="H728" s="257">
        <v>0</v>
      </c>
      <c r="I728" s="257">
        <v>0</v>
      </c>
      <c r="J728" s="269">
        <v>0</v>
      </c>
      <c r="K728" s="257">
        <v>0</v>
      </c>
      <c r="L728" s="257">
        <v>0</v>
      </c>
      <c r="M728" s="257">
        <v>3038980</v>
      </c>
      <c r="N728" s="257">
        <v>785407.6</v>
      </c>
    </row>
    <row r="729" spans="1:14" hidden="1" x14ac:dyDescent="0.25">
      <c r="A729" s="143" t="s">
        <v>717</v>
      </c>
      <c r="B729" s="143" t="s">
        <v>222</v>
      </c>
      <c r="C729" s="143" t="s">
        <v>223</v>
      </c>
      <c r="D729" s="143" t="s">
        <v>69</v>
      </c>
      <c r="E729" s="257">
        <v>2590023</v>
      </c>
      <c r="F729" s="257">
        <v>2590023</v>
      </c>
      <c r="G729" s="257">
        <v>2236654</v>
      </c>
      <c r="H729" s="257">
        <v>0</v>
      </c>
      <c r="I729" s="257">
        <v>724194.88</v>
      </c>
      <c r="J729" s="269">
        <v>0</v>
      </c>
      <c r="K729" s="257">
        <v>1482458.65</v>
      </c>
      <c r="L729" s="257">
        <v>850474.9</v>
      </c>
      <c r="M729" s="257">
        <v>383369.47</v>
      </c>
      <c r="N729" s="257">
        <v>30000.47</v>
      </c>
    </row>
    <row r="730" spans="1:14" hidden="1" x14ac:dyDescent="0.25">
      <c r="A730" s="143" t="s">
        <v>717</v>
      </c>
      <c r="B730" s="143" t="s">
        <v>226</v>
      </c>
      <c r="C730" s="143" t="s">
        <v>227</v>
      </c>
      <c r="D730" s="143" t="s">
        <v>69</v>
      </c>
      <c r="E730" s="257">
        <v>774300</v>
      </c>
      <c r="F730" s="257">
        <v>774300</v>
      </c>
      <c r="G730" s="257">
        <v>193575</v>
      </c>
      <c r="H730" s="257">
        <v>0</v>
      </c>
      <c r="I730" s="257">
        <v>0</v>
      </c>
      <c r="J730" s="269">
        <v>0</v>
      </c>
      <c r="K730" s="257">
        <v>0</v>
      </c>
      <c r="L730" s="257">
        <v>0</v>
      </c>
      <c r="M730" s="257">
        <v>774300</v>
      </c>
      <c r="N730" s="257">
        <v>193575</v>
      </c>
    </row>
    <row r="731" spans="1:14" hidden="1" x14ac:dyDescent="0.25">
      <c r="A731" s="143" t="s">
        <v>717</v>
      </c>
      <c r="B731" s="143" t="s">
        <v>228</v>
      </c>
      <c r="C731" s="143" t="s">
        <v>229</v>
      </c>
      <c r="D731" s="143" t="s">
        <v>69</v>
      </c>
      <c r="E731" s="257">
        <v>929720</v>
      </c>
      <c r="F731" s="257">
        <v>929720</v>
      </c>
      <c r="G731" s="257">
        <v>842430</v>
      </c>
      <c r="H731" s="257">
        <v>0</v>
      </c>
      <c r="I731" s="257">
        <v>0</v>
      </c>
      <c r="J731">
        <v>0</v>
      </c>
      <c r="K731" s="257">
        <v>0</v>
      </c>
      <c r="L731" s="257">
        <v>0</v>
      </c>
      <c r="M731" s="257">
        <v>929720</v>
      </c>
      <c r="N731" s="257">
        <v>842430</v>
      </c>
    </row>
    <row r="732" spans="1:14" hidden="1" x14ac:dyDescent="0.25">
      <c r="A732" s="143" t="s">
        <v>717</v>
      </c>
      <c r="B732" s="143" t="s">
        <v>248</v>
      </c>
      <c r="C732" s="143" t="s">
        <v>249</v>
      </c>
      <c r="D732" s="143" t="s">
        <v>69</v>
      </c>
      <c r="E732" s="257">
        <v>50610852</v>
      </c>
      <c r="F732" s="257">
        <v>50610852</v>
      </c>
      <c r="G732" s="257">
        <v>29610852</v>
      </c>
      <c r="H732" s="257">
        <v>0</v>
      </c>
      <c r="I732" s="257">
        <v>11966152</v>
      </c>
      <c r="J732" s="252">
        <v>0</v>
      </c>
      <c r="K732" s="257">
        <v>2986443</v>
      </c>
      <c r="L732" s="257">
        <v>2986443</v>
      </c>
      <c r="M732" s="257">
        <v>35658257</v>
      </c>
      <c r="N732" s="257">
        <v>14658257</v>
      </c>
    </row>
    <row r="733" spans="1:14" hidden="1" x14ac:dyDescent="0.25">
      <c r="A733" s="143" t="s">
        <v>717</v>
      </c>
      <c r="B733" s="143" t="s">
        <v>250</v>
      </c>
      <c r="C733" s="143" t="s">
        <v>251</v>
      </c>
      <c r="D733" s="143" t="s">
        <v>69</v>
      </c>
      <c r="E733" s="257">
        <v>14610852</v>
      </c>
      <c r="F733" s="257">
        <v>14610852</v>
      </c>
      <c r="G733" s="257">
        <v>14610852</v>
      </c>
      <c r="H733" s="257">
        <v>0</v>
      </c>
      <c r="I733" s="257">
        <v>11966152</v>
      </c>
      <c r="J733" s="261">
        <v>0</v>
      </c>
      <c r="K733" s="257">
        <v>2644700</v>
      </c>
      <c r="L733" s="257">
        <v>2644700</v>
      </c>
      <c r="M733" s="257">
        <v>0</v>
      </c>
      <c r="N733" s="257">
        <v>0</v>
      </c>
    </row>
    <row r="734" spans="1:14" hidden="1" x14ac:dyDescent="0.25">
      <c r="A734" s="143" t="s">
        <v>717</v>
      </c>
      <c r="B734" s="143" t="s">
        <v>636</v>
      </c>
      <c r="C734" s="143" t="s">
        <v>702</v>
      </c>
      <c r="D734" s="143" t="s">
        <v>69</v>
      </c>
      <c r="E734" s="257">
        <v>12410435</v>
      </c>
      <c r="F734" s="257">
        <v>12410435</v>
      </c>
      <c r="G734" s="257">
        <v>12410435</v>
      </c>
      <c r="H734" s="257">
        <v>0</v>
      </c>
      <c r="I734" s="257">
        <v>10191889</v>
      </c>
      <c r="J734" s="266">
        <v>0</v>
      </c>
      <c r="K734" s="257">
        <v>2218546</v>
      </c>
      <c r="L734" s="257">
        <v>2218546</v>
      </c>
      <c r="M734" s="257">
        <v>0</v>
      </c>
      <c r="N734" s="257">
        <v>0</v>
      </c>
    </row>
    <row r="735" spans="1:14" hidden="1" x14ac:dyDescent="0.25">
      <c r="A735" s="143" t="s">
        <v>717</v>
      </c>
      <c r="B735" s="143" t="s">
        <v>651</v>
      </c>
      <c r="C735" s="143" t="s">
        <v>703</v>
      </c>
      <c r="D735" s="143" t="s">
        <v>69</v>
      </c>
      <c r="E735" s="257">
        <v>2200417</v>
      </c>
      <c r="F735" s="257">
        <v>2200417</v>
      </c>
      <c r="G735" s="257">
        <v>2200417</v>
      </c>
      <c r="H735" s="257">
        <v>0</v>
      </c>
      <c r="I735" s="257">
        <v>1774263</v>
      </c>
      <c r="J735" s="269">
        <v>0</v>
      </c>
      <c r="K735" s="257">
        <v>426154</v>
      </c>
      <c r="L735" s="257">
        <v>426154</v>
      </c>
      <c r="M735" s="257">
        <v>0</v>
      </c>
      <c r="N735" s="257">
        <v>0</v>
      </c>
    </row>
    <row r="736" spans="1:14" hidden="1" x14ac:dyDescent="0.25">
      <c r="A736" s="143" t="s">
        <v>717</v>
      </c>
      <c r="B736" s="143" t="s">
        <v>260</v>
      </c>
      <c r="C736" s="143" t="s">
        <v>261</v>
      </c>
      <c r="D736" s="143" t="s">
        <v>69</v>
      </c>
      <c r="E736" s="257">
        <v>26000000</v>
      </c>
      <c r="F736" s="257">
        <v>26000000</v>
      </c>
      <c r="G736" s="257">
        <v>12500000</v>
      </c>
      <c r="H736" s="257">
        <v>0</v>
      </c>
      <c r="I736" s="257">
        <v>0</v>
      </c>
      <c r="J736" s="269">
        <v>0</v>
      </c>
      <c r="K736" s="257">
        <v>341743</v>
      </c>
      <c r="L736" s="257">
        <v>341743</v>
      </c>
      <c r="M736" s="257">
        <v>25658257</v>
      </c>
      <c r="N736" s="257">
        <v>12158257</v>
      </c>
    </row>
    <row r="737" spans="1:14" hidden="1" x14ac:dyDescent="0.25">
      <c r="A737" s="143" t="s">
        <v>717</v>
      </c>
      <c r="B737" s="143" t="s">
        <v>262</v>
      </c>
      <c r="C737" s="143" t="s">
        <v>263</v>
      </c>
      <c r="D737" s="143" t="s">
        <v>69</v>
      </c>
      <c r="E737" s="257">
        <v>18000000</v>
      </c>
      <c r="F737" s="257">
        <v>18000000</v>
      </c>
      <c r="G737" s="257">
        <v>4500000</v>
      </c>
      <c r="H737" s="257">
        <v>0</v>
      </c>
      <c r="I737" s="257">
        <v>0</v>
      </c>
      <c r="J737" s="269">
        <v>0</v>
      </c>
      <c r="K737" s="257">
        <v>0</v>
      </c>
      <c r="L737" s="257">
        <v>0</v>
      </c>
      <c r="M737" s="257">
        <v>18000000</v>
      </c>
      <c r="N737" s="257">
        <v>4500000</v>
      </c>
    </row>
    <row r="738" spans="1:14" hidden="1" x14ac:dyDescent="0.25">
      <c r="A738" s="143" t="s">
        <v>717</v>
      </c>
      <c r="B738" s="143" t="s">
        <v>264</v>
      </c>
      <c r="C738" s="143" t="s">
        <v>265</v>
      </c>
      <c r="D738" s="143" t="s">
        <v>69</v>
      </c>
      <c r="E738" s="257">
        <v>8000000</v>
      </c>
      <c r="F738" s="257">
        <v>8000000</v>
      </c>
      <c r="G738" s="257">
        <v>8000000</v>
      </c>
      <c r="H738" s="257">
        <v>0</v>
      </c>
      <c r="I738" s="257">
        <v>0</v>
      </c>
      <c r="J738" s="269">
        <v>0</v>
      </c>
      <c r="K738" s="257">
        <v>341743</v>
      </c>
      <c r="L738" s="257">
        <v>341743</v>
      </c>
      <c r="M738" s="257">
        <v>7658257</v>
      </c>
      <c r="N738" s="257">
        <v>7658257</v>
      </c>
    </row>
    <row r="739" spans="1:14" hidden="1" x14ac:dyDescent="0.25">
      <c r="A739" s="143" t="s">
        <v>717</v>
      </c>
      <c r="B739" s="143" t="s">
        <v>286</v>
      </c>
      <c r="C739" s="143" t="s">
        <v>287</v>
      </c>
      <c r="D739" s="143" t="s">
        <v>69</v>
      </c>
      <c r="E739" s="257">
        <v>10000000</v>
      </c>
      <c r="F739" s="257">
        <v>10000000</v>
      </c>
      <c r="G739" s="257">
        <v>2500000</v>
      </c>
      <c r="H739" s="257">
        <v>0</v>
      </c>
      <c r="I739" s="257">
        <v>0</v>
      </c>
      <c r="J739" s="269">
        <v>0</v>
      </c>
      <c r="K739" s="257">
        <v>0</v>
      </c>
      <c r="L739" s="257">
        <v>0</v>
      </c>
      <c r="M739" s="257">
        <v>10000000</v>
      </c>
      <c r="N739" s="257">
        <v>2500000</v>
      </c>
    </row>
    <row r="740" spans="1:14" hidden="1" x14ac:dyDescent="0.25">
      <c r="A740" s="143" t="s">
        <v>717</v>
      </c>
      <c r="B740" s="143" t="s">
        <v>288</v>
      </c>
      <c r="C740" s="143" t="s">
        <v>289</v>
      </c>
      <c r="D740" s="143" t="s">
        <v>69</v>
      </c>
      <c r="E740" s="257">
        <v>10000000</v>
      </c>
      <c r="F740" s="257">
        <v>10000000</v>
      </c>
      <c r="G740" s="257">
        <v>2500000</v>
      </c>
      <c r="H740" s="257">
        <v>0</v>
      </c>
      <c r="I740" s="257">
        <v>0</v>
      </c>
      <c r="J740" s="269">
        <v>0</v>
      </c>
      <c r="K740" s="257">
        <v>0</v>
      </c>
      <c r="L740" s="257">
        <v>0</v>
      </c>
      <c r="M740" s="257">
        <v>10000000</v>
      </c>
      <c r="N740" s="257">
        <v>2500000</v>
      </c>
    </row>
    <row r="741" spans="1:14" hidden="1" x14ac:dyDescent="0.25">
      <c r="A741" s="143" t="s">
        <v>717</v>
      </c>
      <c r="B741" s="143" t="s">
        <v>230</v>
      </c>
      <c r="C741" s="143" t="s">
        <v>231</v>
      </c>
      <c r="D741" s="143" t="s">
        <v>85</v>
      </c>
      <c r="E741" s="257">
        <v>45174214</v>
      </c>
      <c r="F741" s="257">
        <v>45174214</v>
      </c>
      <c r="G741" s="257">
        <v>11293555</v>
      </c>
      <c r="H741" s="257">
        <v>0</v>
      </c>
      <c r="I741" s="257">
        <v>62400</v>
      </c>
      <c r="J741" s="269">
        <v>0</v>
      </c>
      <c r="K741" s="257">
        <v>1010183.4</v>
      </c>
      <c r="L741" s="257">
        <v>0</v>
      </c>
      <c r="M741" s="257">
        <v>44101630.600000001</v>
      </c>
      <c r="N741" s="257">
        <v>10220971.6</v>
      </c>
    </row>
    <row r="742" spans="1:14" hidden="1" x14ac:dyDescent="0.25">
      <c r="A742" s="143" t="s">
        <v>717</v>
      </c>
      <c r="B742" s="143" t="s">
        <v>232</v>
      </c>
      <c r="C742" s="143" t="s">
        <v>233</v>
      </c>
      <c r="D742" s="143" t="s">
        <v>85</v>
      </c>
      <c r="E742" s="257">
        <v>45174214</v>
      </c>
      <c r="F742" s="257">
        <v>45174214</v>
      </c>
      <c r="G742" s="257">
        <v>11293555</v>
      </c>
      <c r="H742" s="257">
        <v>0</v>
      </c>
      <c r="I742" s="257">
        <v>62400</v>
      </c>
      <c r="J742" s="269">
        <v>0</v>
      </c>
      <c r="K742" s="257">
        <v>1010183.4</v>
      </c>
      <c r="L742" s="257">
        <v>0</v>
      </c>
      <c r="M742" s="257">
        <v>44101630.600000001</v>
      </c>
      <c r="N742" s="257">
        <v>10220971.6</v>
      </c>
    </row>
    <row r="743" spans="1:14" hidden="1" x14ac:dyDescent="0.25">
      <c r="A743" s="143" t="s">
        <v>717</v>
      </c>
      <c r="B743" s="143" t="s">
        <v>324</v>
      </c>
      <c r="C743" s="143" t="s">
        <v>325</v>
      </c>
      <c r="D743" s="143" t="s">
        <v>85</v>
      </c>
      <c r="E743" s="257">
        <v>400000</v>
      </c>
      <c r="F743" s="257">
        <v>400000</v>
      </c>
      <c r="G743" s="257">
        <v>200000</v>
      </c>
      <c r="H743" s="257">
        <v>0</v>
      </c>
      <c r="I743" s="257">
        <v>0</v>
      </c>
      <c r="J743" s="269">
        <v>0</v>
      </c>
      <c r="K743" s="257">
        <v>0</v>
      </c>
      <c r="L743" s="257">
        <v>0</v>
      </c>
      <c r="M743" s="257">
        <v>400000</v>
      </c>
      <c r="N743" s="257">
        <v>200000</v>
      </c>
    </row>
    <row r="744" spans="1:14" hidden="1" x14ac:dyDescent="0.25">
      <c r="A744" s="143" t="s">
        <v>717</v>
      </c>
      <c r="B744" s="143" t="s">
        <v>236</v>
      </c>
      <c r="C744" s="143" t="s">
        <v>237</v>
      </c>
      <c r="D744" s="143" t="s">
        <v>85</v>
      </c>
      <c r="E744" s="257">
        <v>10235014</v>
      </c>
      <c r="F744" s="257">
        <v>10235014</v>
      </c>
      <c r="G744" s="257">
        <v>5058755</v>
      </c>
      <c r="H744" s="257">
        <v>0</v>
      </c>
      <c r="I744" s="257">
        <v>0</v>
      </c>
      <c r="J744" s="269">
        <v>0</v>
      </c>
      <c r="K744" s="257">
        <v>1010183.4</v>
      </c>
      <c r="L744" s="257">
        <v>0</v>
      </c>
      <c r="M744" s="257">
        <v>9224830.5999999996</v>
      </c>
      <c r="N744" s="257">
        <v>4048571.6</v>
      </c>
    </row>
    <row r="745" spans="1:14" hidden="1" x14ac:dyDescent="0.25">
      <c r="A745" s="143" t="s">
        <v>717</v>
      </c>
      <c r="B745" s="143" t="s">
        <v>238</v>
      </c>
      <c r="C745" s="143" t="s">
        <v>239</v>
      </c>
      <c r="D745" s="143" t="s">
        <v>85</v>
      </c>
      <c r="E745" s="257">
        <v>3243620</v>
      </c>
      <c r="F745" s="257">
        <v>3243620</v>
      </c>
      <c r="G745" s="257">
        <v>2310905</v>
      </c>
      <c r="H745" s="257">
        <v>0</v>
      </c>
      <c r="I745" s="257">
        <v>0</v>
      </c>
      <c r="J745" s="269">
        <v>0</v>
      </c>
      <c r="K745" s="257">
        <v>0</v>
      </c>
      <c r="L745" s="257">
        <v>0</v>
      </c>
      <c r="M745" s="257">
        <v>3243620</v>
      </c>
      <c r="N745" s="257">
        <v>2310905</v>
      </c>
    </row>
    <row r="746" spans="1:14" hidden="1" x14ac:dyDescent="0.25">
      <c r="A746" s="143" t="s">
        <v>717</v>
      </c>
      <c r="B746" s="143" t="s">
        <v>282</v>
      </c>
      <c r="C746" s="143" t="s">
        <v>283</v>
      </c>
      <c r="D746" s="143" t="s">
        <v>85</v>
      </c>
      <c r="E746" s="257">
        <v>414480</v>
      </c>
      <c r="F746" s="257">
        <v>414480</v>
      </c>
      <c r="G746" s="257">
        <v>414480</v>
      </c>
      <c r="H746" s="257">
        <v>0</v>
      </c>
      <c r="I746" s="257">
        <v>0</v>
      </c>
      <c r="J746" s="269">
        <v>0</v>
      </c>
      <c r="K746" s="257">
        <v>0</v>
      </c>
      <c r="L746" s="257">
        <v>0</v>
      </c>
      <c r="M746" s="257">
        <v>414480</v>
      </c>
      <c r="N746" s="257">
        <v>414480</v>
      </c>
    </row>
    <row r="747" spans="1:14" hidden="1" x14ac:dyDescent="0.25">
      <c r="A747" s="143" t="s">
        <v>717</v>
      </c>
      <c r="B747" s="143" t="s">
        <v>240</v>
      </c>
      <c r="C747" s="143" t="s">
        <v>241</v>
      </c>
      <c r="D747" s="143" t="s">
        <v>85</v>
      </c>
      <c r="E747" s="257">
        <v>27531100</v>
      </c>
      <c r="F747" s="257">
        <v>27531100</v>
      </c>
      <c r="G747" s="257">
        <v>2306915</v>
      </c>
      <c r="H747" s="257">
        <v>0</v>
      </c>
      <c r="I747" s="257">
        <v>0</v>
      </c>
      <c r="J747" s="269">
        <v>0</v>
      </c>
      <c r="K747" s="257">
        <v>0</v>
      </c>
      <c r="L747" s="257">
        <v>0</v>
      </c>
      <c r="M747" s="257">
        <v>27531100</v>
      </c>
      <c r="N747" s="257">
        <v>2306915</v>
      </c>
    </row>
    <row r="748" spans="1:14" hidden="1" x14ac:dyDescent="0.25">
      <c r="A748" s="143" t="s">
        <v>717</v>
      </c>
      <c r="B748" s="143" t="s">
        <v>242</v>
      </c>
      <c r="C748" s="143" t="s">
        <v>243</v>
      </c>
      <c r="D748" s="143" t="s">
        <v>85</v>
      </c>
      <c r="E748" s="257">
        <v>3350000</v>
      </c>
      <c r="F748" s="257">
        <v>3350000</v>
      </c>
      <c r="G748" s="257">
        <v>1002500</v>
      </c>
      <c r="H748" s="257">
        <v>0</v>
      </c>
      <c r="I748" s="257">
        <v>62400</v>
      </c>
      <c r="J748">
        <v>0</v>
      </c>
      <c r="K748" s="257">
        <v>0</v>
      </c>
      <c r="L748" s="257">
        <v>0</v>
      </c>
      <c r="M748" s="257">
        <v>3287600</v>
      </c>
      <c r="N748" s="257">
        <v>940100</v>
      </c>
    </row>
    <row r="749" spans="1:14" x14ac:dyDescent="0.25">
      <c r="A749" s="270">
        <v>214791</v>
      </c>
      <c r="B749" s="143"/>
      <c r="C749" s="143"/>
      <c r="D749" s="271" t="s">
        <v>69</v>
      </c>
      <c r="E749" s="257">
        <v>7826709762</v>
      </c>
      <c r="F749" s="272">
        <v>7826709762</v>
      </c>
      <c r="G749" s="257">
        <v>7797709762</v>
      </c>
      <c r="H749" s="269">
        <v>0</v>
      </c>
      <c r="I749" s="273">
        <v>1018492669.11</v>
      </c>
      <c r="J749" s="252">
        <v>0</v>
      </c>
      <c r="K749" s="269">
        <v>1515313701.8699999</v>
      </c>
      <c r="L749" s="274">
        <v>1515313701.8699999</v>
      </c>
      <c r="M749" s="273">
        <v>5292903391.0200005</v>
      </c>
      <c r="N749" s="257">
        <v>5263903391.0200005</v>
      </c>
    </row>
    <row r="750" spans="1:14" hidden="1" x14ac:dyDescent="0.25">
      <c r="A750" s="143" t="s">
        <v>719</v>
      </c>
      <c r="B750" s="143" t="s">
        <v>71</v>
      </c>
      <c r="C750" s="143" t="s">
        <v>72</v>
      </c>
      <c r="D750" s="143" t="s">
        <v>69</v>
      </c>
      <c r="E750" s="257">
        <v>7726375169</v>
      </c>
      <c r="F750" s="257">
        <v>7726375169</v>
      </c>
      <c r="G750" s="257">
        <v>7697375169</v>
      </c>
      <c r="H750" s="257">
        <v>0</v>
      </c>
      <c r="I750" s="257">
        <v>937535327.61000001</v>
      </c>
      <c r="J750" s="261">
        <v>0</v>
      </c>
      <c r="K750" s="257">
        <v>1495936450.3699999</v>
      </c>
      <c r="L750" s="257">
        <v>1495936450.3699999</v>
      </c>
      <c r="M750" s="257">
        <v>5292903391.0200005</v>
      </c>
      <c r="N750" s="257">
        <v>5263903391.0200005</v>
      </c>
    </row>
    <row r="751" spans="1:14" hidden="1" x14ac:dyDescent="0.25">
      <c r="A751" s="143" t="s">
        <v>719</v>
      </c>
      <c r="B751" s="143" t="s">
        <v>73</v>
      </c>
      <c r="C751" s="143" t="s">
        <v>74</v>
      </c>
      <c r="D751" s="143" t="s">
        <v>69</v>
      </c>
      <c r="E751" s="257">
        <v>2598911346</v>
      </c>
      <c r="F751" s="257">
        <v>2598911346</v>
      </c>
      <c r="G751" s="257">
        <v>2598911346</v>
      </c>
      <c r="H751" s="257">
        <v>0</v>
      </c>
      <c r="I751" s="257">
        <v>0</v>
      </c>
      <c r="J751" s="266">
        <v>0</v>
      </c>
      <c r="K751" s="257">
        <v>400841622.42000002</v>
      </c>
      <c r="L751" s="257">
        <v>400841622.42000002</v>
      </c>
      <c r="M751" s="257">
        <v>2198069723.5799999</v>
      </c>
      <c r="N751" s="257">
        <v>2198069723.5799999</v>
      </c>
    </row>
    <row r="752" spans="1:14" hidden="1" x14ac:dyDescent="0.25">
      <c r="A752" s="143" t="s">
        <v>719</v>
      </c>
      <c r="B752" s="143" t="s">
        <v>75</v>
      </c>
      <c r="C752" s="143" t="s">
        <v>76</v>
      </c>
      <c r="D752" s="143" t="s">
        <v>69</v>
      </c>
      <c r="E752" s="257">
        <v>2598911346</v>
      </c>
      <c r="F752" s="257">
        <v>2598911346</v>
      </c>
      <c r="G752" s="257">
        <v>2598911346</v>
      </c>
      <c r="H752" s="257">
        <v>0</v>
      </c>
      <c r="I752" s="257">
        <v>0</v>
      </c>
      <c r="J752" s="269">
        <v>0</v>
      </c>
      <c r="K752" s="257">
        <v>400841622.42000002</v>
      </c>
      <c r="L752" s="257">
        <v>400841622.42000002</v>
      </c>
      <c r="M752" s="257">
        <v>2198069723.5799999</v>
      </c>
      <c r="N752" s="257">
        <v>2198069723.5799999</v>
      </c>
    </row>
    <row r="753" spans="1:14" hidden="1" x14ac:dyDescent="0.25">
      <c r="A753" s="143" t="s">
        <v>719</v>
      </c>
      <c r="B753" s="143" t="s">
        <v>77</v>
      </c>
      <c r="C753" s="143" t="s">
        <v>78</v>
      </c>
      <c r="D753" s="143" t="s">
        <v>69</v>
      </c>
      <c r="E753" s="257">
        <v>3948833757</v>
      </c>
      <c r="F753" s="257">
        <v>3948833757</v>
      </c>
      <c r="G753" s="257">
        <v>3919833757</v>
      </c>
      <c r="H753" s="257">
        <v>0</v>
      </c>
      <c r="I753" s="257">
        <v>0</v>
      </c>
      <c r="J753" s="269">
        <v>0</v>
      </c>
      <c r="K753" s="257">
        <v>854000089.55999994</v>
      </c>
      <c r="L753" s="257">
        <v>854000089.55999994</v>
      </c>
      <c r="M753" s="257">
        <v>3094833667.4400001</v>
      </c>
      <c r="N753" s="257">
        <v>3065833667.4400001</v>
      </c>
    </row>
    <row r="754" spans="1:14" hidden="1" x14ac:dyDescent="0.25">
      <c r="A754" s="143" t="s">
        <v>719</v>
      </c>
      <c r="B754" s="143" t="s">
        <v>79</v>
      </c>
      <c r="C754" s="143" t="s">
        <v>80</v>
      </c>
      <c r="D754" s="143" t="s">
        <v>69</v>
      </c>
      <c r="E754" s="257">
        <v>655368000</v>
      </c>
      <c r="F754" s="257">
        <v>655368000</v>
      </c>
      <c r="G754" s="257">
        <v>655368000</v>
      </c>
      <c r="H754" s="257">
        <v>0</v>
      </c>
      <c r="I754" s="257">
        <v>0</v>
      </c>
      <c r="J754" s="269">
        <v>0</v>
      </c>
      <c r="K754" s="257">
        <v>95926202.219999999</v>
      </c>
      <c r="L754" s="257">
        <v>95926202.219999999</v>
      </c>
      <c r="M754" s="257">
        <v>559441797.77999997</v>
      </c>
      <c r="N754" s="257">
        <v>559441797.77999997</v>
      </c>
    </row>
    <row r="755" spans="1:14" hidden="1" x14ac:dyDescent="0.25">
      <c r="A755" s="143" t="s">
        <v>719</v>
      </c>
      <c r="B755" s="143" t="s">
        <v>81</v>
      </c>
      <c r="C755" s="143" t="s">
        <v>82</v>
      </c>
      <c r="D755" s="143" t="s">
        <v>69</v>
      </c>
      <c r="E755" s="257">
        <v>1818533000</v>
      </c>
      <c r="F755" s="257">
        <v>1818533000</v>
      </c>
      <c r="G755" s="257">
        <v>1818533000</v>
      </c>
      <c r="H755" s="257">
        <v>0</v>
      </c>
      <c r="I755" s="257">
        <v>0</v>
      </c>
      <c r="J755" s="269">
        <v>0</v>
      </c>
      <c r="K755" s="257">
        <v>274478291.17000002</v>
      </c>
      <c r="L755" s="257">
        <v>274478291.17000002</v>
      </c>
      <c r="M755" s="257">
        <v>1544054708.8299999</v>
      </c>
      <c r="N755" s="257">
        <v>1544054708.8299999</v>
      </c>
    </row>
    <row r="756" spans="1:14" hidden="1" x14ac:dyDescent="0.25">
      <c r="A756" s="143" t="s">
        <v>719</v>
      </c>
      <c r="B756" s="143" t="s">
        <v>86</v>
      </c>
      <c r="C756" s="143" t="s">
        <v>87</v>
      </c>
      <c r="D756" s="143" t="s">
        <v>69</v>
      </c>
      <c r="E756" s="257">
        <v>463338500</v>
      </c>
      <c r="F756" s="257">
        <v>463338500</v>
      </c>
      <c r="G756" s="257">
        <v>434338500</v>
      </c>
      <c r="H756" s="257">
        <v>0</v>
      </c>
      <c r="I756" s="257">
        <v>0</v>
      </c>
      <c r="J756" s="269">
        <v>0</v>
      </c>
      <c r="K756" s="257">
        <v>407415356.12</v>
      </c>
      <c r="L756" s="257">
        <v>407415356.12</v>
      </c>
      <c r="M756" s="257">
        <v>55923143.880000003</v>
      </c>
      <c r="N756" s="257">
        <v>26923143.879999999</v>
      </c>
    </row>
    <row r="757" spans="1:14" hidden="1" x14ac:dyDescent="0.25">
      <c r="A757" s="143" t="s">
        <v>719</v>
      </c>
      <c r="B757" s="143" t="s">
        <v>88</v>
      </c>
      <c r="C757" s="143" t="s">
        <v>89</v>
      </c>
      <c r="D757" s="143" t="s">
        <v>69</v>
      </c>
      <c r="E757" s="257">
        <v>508107900</v>
      </c>
      <c r="F757" s="257">
        <v>508107900</v>
      </c>
      <c r="G757" s="257">
        <v>508107900</v>
      </c>
      <c r="H757" s="257">
        <v>0</v>
      </c>
      <c r="I757" s="257">
        <v>0</v>
      </c>
      <c r="J757" s="269">
        <v>0</v>
      </c>
      <c r="K757" s="257">
        <v>76180240.049999997</v>
      </c>
      <c r="L757" s="257">
        <v>76180240.049999997</v>
      </c>
      <c r="M757" s="257">
        <v>431927659.94999999</v>
      </c>
      <c r="N757" s="257">
        <v>431927659.94999999</v>
      </c>
    </row>
    <row r="758" spans="1:14" hidden="1" x14ac:dyDescent="0.25">
      <c r="A758" s="143" t="s">
        <v>719</v>
      </c>
      <c r="B758" s="143" t="s">
        <v>83</v>
      </c>
      <c r="C758" s="143" t="s">
        <v>84</v>
      </c>
      <c r="D758" s="143" t="s">
        <v>85</v>
      </c>
      <c r="E758" s="257">
        <v>503486357</v>
      </c>
      <c r="F758" s="257">
        <v>503486357</v>
      </c>
      <c r="G758" s="257">
        <v>503486357</v>
      </c>
      <c r="H758" s="257">
        <v>0</v>
      </c>
      <c r="I758" s="257">
        <v>0</v>
      </c>
      <c r="J758" s="269">
        <v>0</v>
      </c>
      <c r="K758" s="257">
        <v>0</v>
      </c>
      <c r="L758" s="257">
        <v>0</v>
      </c>
      <c r="M758" s="257">
        <v>503486357</v>
      </c>
      <c r="N758" s="257">
        <v>503486357</v>
      </c>
    </row>
    <row r="759" spans="1:14" hidden="1" x14ac:dyDescent="0.25">
      <c r="A759" s="143" t="s">
        <v>719</v>
      </c>
      <c r="B759" s="143" t="s">
        <v>90</v>
      </c>
      <c r="C759" s="143" t="s">
        <v>91</v>
      </c>
      <c r="D759" s="143" t="s">
        <v>69</v>
      </c>
      <c r="E759" s="257">
        <v>589315133</v>
      </c>
      <c r="F759" s="257">
        <v>589315133</v>
      </c>
      <c r="G759" s="257">
        <v>589315133</v>
      </c>
      <c r="H759" s="257">
        <v>0</v>
      </c>
      <c r="I759" s="257">
        <v>467267923.99000001</v>
      </c>
      <c r="J759" s="269">
        <v>0</v>
      </c>
      <c r="K759" s="257">
        <v>122047209.01000001</v>
      </c>
      <c r="L759" s="257">
        <v>122047209.01000001</v>
      </c>
      <c r="M759" s="257">
        <v>0</v>
      </c>
      <c r="N759" s="257">
        <v>0</v>
      </c>
    </row>
    <row r="760" spans="1:14" hidden="1" x14ac:dyDescent="0.25">
      <c r="A760" s="143" t="s">
        <v>719</v>
      </c>
      <c r="B760" s="143" t="s">
        <v>428</v>
      </c>
      <c r="C760" s="143" t="s">
        <v>697</v>
      </c>
      <c r="D760" s="143" t="s">
        <v>69</v>
      </c>
      <c r="E760" s="257">
        <v>559093873</v>
      </c>
      <c r="F760" s="257">
        <v>559093873</v>
      </c>
      <c r="G760" s="257">
        <v>559093873</v>
      </c>
      <c r="H760" s="257">
        <v>0</v>
      </c>
      <c r="I760" s="257">
        <v>443304949.75999999</v>
      </c>
      <c r="J760" s="269">
        <v>0</v>
      </c>
      <c r="K760" s="257">
        <v>115788923.23999999</v>
      </c>
      <c r="L760" s="257">
        <v>115788923.23999999</v>
      </c>
      <c r="M760" s="257">
        <v>0</v>
      </c>
      <c r="N760" s="257">
        <v>0</v>
      </c>
    </row>
    <row r="761" spans="1:14" hidden="1" x14ac:dyDescent="0.25">
      <c r="A761" s="143" t="s">
        <v>719</v>
      </c>
      <c r="B761" s="143" t="s">
        <v>445</v>
      </c>
      <c r="C761" s="143" t="s">
        <v>95</v>
      </c>
      <c r="D761" s="143" t="s">
        <v>69</v>
      </c>
      <c r="E761" s="257">
        <v>30221260</v>
      </c>
      <c r="F761" s="257">
        <v>30221260</v>
      </c>
      <c r="G761" s="257">
        <v>30221260</v>
      </c>
      <c r="H761" s="257">
        <v>0</v>
      </c>
      <c r="I761" s="257">
        <v>23962974.23</v>
      </c>
      <c r="J761" s="269">
        <v>0</v>
      </c>
      <c r="K761" s="257">
        <v>6258285.7699999996</v>
      </c>
      <c r="L761" s="257">
        <v>6258285.7699999996</v>
      </c>
      <c r="M761" s="257">
        <v>0</v>
      </c>
      <c r="N761" s="257">
        <v>0</v>
      </c>
    </row>
    <row r="762" spans="1:14" hidden="1" x14ac:dyDescent="0.25">
      <c r="A762" s="143" t="s">
        <v>719</v>
      </c>
      <c r="B762" s="143" t="s">
        <v>96</v>
      </c>
      <c r="C762" s="143" t="s">
        <v>97</v>
      </c>
      <c r="D762" s="143" t="s">
        <v>69</v>
      </c>
      <c r="E762" s="257">
        <v>589314933</v>
      </c>
      <c r="F762" s="257">
        <v>589314933</v>
      </c>
      <c r="G762" s="257">
        <v>589314933</v>
      </c>
      <c r="H762" s="257">
        <v>0</v>
      </c>
      <c r="I762" s="257">
        <v>470267403.62</v>
      </c>
      <c r="J762" s="269">
        <v>0</v>
      </c>
      <c r="K762" s="257">
        <v>119047529.38</v>
      </c>
      <c r="L762" s="257">
        <v>119047529.38</v>
      </c>
      <c r="M762" s="257">
        <v>0</v>
      </c>
      <c r="N762" s="257">
        <v>0</v>
      </c>
    </row>
    <row r="763" spans="1:14" hidden="1" x14ac:dyDescent="0.25">
      <c r="A763" s="143" t="s">
        <v>719</v>
      </c>
      <c r="B763" s="143" t="s">
        <v>463</v>
      </c>
      <c r="C763" s="143" t="s">
        <v>698</v>
      </c>
      <c r="D763" s="143" t="s">
        <v>69</v>
      </c>
      <c r="E763" s="257">
        <v>317323487</v>
      </c>
      <c r="F763" s="257">
        <v>317323487</v>
      </c>
      <c r="G763" s="257">
        <v>317323487</v>
      </c>
      <c r="H763" s="257">
        <v>0</v>
      </c>
      <c r="I763" s="257">
        <v>254600659.09</v>
      </c>
      <c r="J763" s="269">
        <v>0</v>
      </c>
      <c r="K763" s="257">
        <v>62722827.909999996</v>
      </c>
      <c r="L763" s="257">
        <v>62722827.909999996</v>
      </c>
      <c r="M763" s="257">
        <v>0</v>
      </c>
      <c r="N763" s="257">
        <v>0</v>
      </c>
    </row>
    <row r="764" spans="1:14" hidden="1" x14ac:dyDescent="0.25">
      <c r="A764" s="143" t="s">
        <v>719</v>
      </c>
      <c r="B764" s="143" t="s">
        <v>480</v>
      </c>
      <c r="C764" s="143" t="s">
        <v>699</v>
      </c>
      <c r="D764" s="143" t="s">
        <v>69</v>
      </c>
      <c r="E764" s="257">
        <v>90663782</v>
      </c>
      <c r="F764" s="257">
        <v>90663782</v>
      </c>
      <c r="G764" s="257">
        <v>90663782</v>
      </c>
      <c r="H764" s="257">
        <v>0</v>
      </c>
      <c r="I764" s="257">
        <v>71888866.939999998</v>
      </c>
      <c r="J764" s="269">
        <v>0</v>
      </c>
      <c r="K764" s="257">
        <v>18774915.059999999</v>
      </c>
      <c r="L764" s="257">
        <v>18774915.059999999</v>
      </c>
      <c r="M764" s="257">
        <v>0</v>
      </c>
      <c r="N764" s="257">
        <v>0</v>
      </c>
    </row>
    <row r="765" spans="1:14" hidden="1" x14ac:dyDescent="0.25">
      <c r="A765" s="143" t="s">
        <v>719</v>
      </c>
      <c r="B765" s="143" t="s">
        <v>497</v>
      </c>
      <c r="C765" s="143" t="s">
        <v>700</v>
      </c>
      <c r="D765" s="143" t="s">
        <v>69</v>
      </c>
      <c r="E765" s="257">
        <v>181327664</v>
      </c>
      <c r="F765" s="257">
        <v>181327664</v>
      </c>
      <c r="G765" s="257">
        <v>181327664</v>
      </c>
      <c r="H765" s="257">
        <v>0</v>
      </c>
      <c r="I765" s="257">
        <v>143777877.59</v>
      </c>
      <c r="J765">
        <v>0</v>
      </c>
      <c r="K765" s="257">
        <v>37549786.409999996</v>
      </c>
      <c r="L765" s="257">
        <v>37549786.409999996</v>
      </c>
      <c r="M765" s="257">
        <v>0</v>
      </c>
      <c r="N765" s="257">
        <v>0</v>
      </c>
    </row>
    <row r="766" spans="1:14" hidden="1" x14ac:dyDescent="0.25">
      <c r="A766" s="143" t="s">
        <v>719</v>
      </c>
      <c r="B766" s="143" t="s">
        <v>248</v>
      </c>
      <c r="C766" s="143" t="s">
        <v>249</v>
      </c>
      <c r="D766" s="143" t="s">
        <v>69</v>
      </c>
      <c r="E766" s="257">
        <v>100334593</v>
      </c>
      <c r="F766" s="257">
        <v>100334593</v>
      </c>
      <c r="G766" s="257">
        <v>100334593</v>
      </c>
      <c r="H766" s="257">
        <v>0</v>
      </c>
      <c r="I766" s="257">
        <v>80957341.5</v>
      </c>
      <c r="J766" s="252">
        <v>0</v>
      </c>
      <c r="K766" s="257">
        <v>19377251.5</v>
      </c>
      <c r="L766" s="257">
        <v>19377251.5</v>
      </c>
      <c r="M766" s="257">
        <v>0</v>
      </c>
      <c r="N766" s="257">
        <v>0</v>
      </c>
    </row>
    <row r="767" spans="1:14" hidden="1" x14ac:dyDescent="0.25">
      <c r="A767" s="143" t="s">
        <v>719</v>
      </c>
      <c r="B767" s="143" t="s">
        <v>250</v>
      </c>
      <c r="C767" s="143" t="s">
        <v>251</v>
      </c>
      <c r="D767" s="143" t="s">
        <v>69</v>
      </c>
      <c r="E767" s="257">
        <v>100334593</v>
      </c>
      <c r="F767" s="257">
        <v>100334593</v>
      </c>
      <c r="G767" s="257">
        <v>100334593</v>
      </c>
      <c r="H767" s="257">
        <v>0</v>
      </c>
      <c r="I767" s="257">
        <v>80957341.5</v>
      </c>
      <c r="J767" s="261">
        <v>0</v>
      </c>
      <c r="K767" s="257">
        <v>19377251.5</v>
      </c>
      <c r="L767" s="257">
        <v>19377251.5</v>
      </c>
      <c r="M767" s="257">
        <v>0</v>
      </c>
      <c r="N767" s="257">
        <v>0</v>
      </c>
    </row>
    <row r="768" spans="1:14" hidden="1" x14ac:dyDescent="0.25">
      <c r="A768" s="143" t="s">
        <v>719</v>
      </c>
      <c r="B768" s="143" t="s">
        <v>637</v>
      </c>
      <c r="C768" s="143" t="s">
        <v>702</v>
      </c>
      <c r="D768" s="143" t="s">
        <v>69</v>
      </c>
      <c r="E768" s="257">
        <v>85224013</v>
      </c>
      <c r="F768" s="257">
        <v>85224013</v>
      </c>
      <c r="G768" s="257">
        <v>85224013</v>
      </c>
      <c r="H768" s="257">
        <v>0</v>
      </c>
      <c r="I768" s="257">
        <v>68977322.049999997</v>
      </c>
      <c r="J768" s="266">
        <v>0</v>
      </c>
      <c r="K768" s="257">
        <v>16246690.949999999</v>
      </c>
      <c r="L768" s="257">
        <v>16246690.949999999</v>
      </c>
      <c r="M768" s="257">
        <v>0</v>
      </c>
      <c r="N768" s="257">
        <v>0</v>
      </c>
    </row>
    <row r="769" spans="1:14" hidden="1" x14ac:dyDescent="0.25">
      <c r="A769" s="143" t="s">
        <v>719</v>
      </c>
      <c r="B769" s="143" t="s">
        <v>652</v>
      </c>
      <c r="C769" s="143" t="s">
        <v>703</v>
      </c>
      <c r="D769" s="143" t="s">
        <v>69</v>
      </c>
      <c r="E769" s="257">
        <v>15110580</v>
      </c>
      <c r="F769" s="257">
        <v>15110580</v>
      </c>
      <c r="G769" s="257">
        <v>15110580</v>
      </c>
      <c r="H769" s="257">
        <v>0</v>
      </c>
      <c r="I769" s="257">
        <v>11980019.449999999</v>
      </c>
      <c r="J769" s="269">
        <v>0</v>
      </c>
      <c r="K769" s="257">
        <v>3130560.55</v>
      </c>
      <c r="L769" s="257">
        <v>3130560.55</v>
      </c>
      <c r="M769" s="257">
        <v>0</v>
      </c>
      <c r="N769" s="257">
        <v>0</v>
      </c>
    </row>
    <row r="770" spans="1:14" x14ac:dyDescent="0.25">
      <c r="A770" s="270">
        <v>214793</v>
      </c>
      <c r="B770" s="143"/>
      <c r="C770" s="143"/>
      <c r="D770" s="271" t="s">
        <v>69</v>
      </c>
      <c r="E770" s="257">
        <v>918243709</v>
      </c>
      <c r="F770" s="272">
        <v>918243709</v>
      </c>
      <c r="G770" s="257">
        <v>912743709</v>
      </c>
      <c r="H770" s="269">
        <v>0</v>
      </c>
      <c r="I770" s="273">
        <v>115800932.34</v>
      </c>
      <c r="J770" s="269">
        <v>0</v>
      </c>
      <c r="K770" s="269">
        <v>185522130.97999999</v>
      </c>
      <c r="L770" s="274">
        <v>185522130.97999999</v>
      </c>
      <c r="M770" s="273">
        <v>616920645.67999995</v>
      </c>
      <c r="N770" s="257">
        <v>611420645.67999995</v>
      </c>
    </row>
    <row r="771" spans="1:14" hidden="1" x14ac:dyDescent="0.25">
      <c r="A771" s="143" t="s">
        <v>720</v>
      </c>
      <c r="B771" s="143" t="s">
        <v>71</v>
      </c>
      <c r="C771" s="143" t="s">
        <v>72</v>
      </c>
      <c r="D771" s="143" t="s">
        <v>69</v>
      </c>
      <c r="E771" s="257">
        <v>899027714</v>
      </c>
      <c r="F771" s="257">
        <v>899027714</v>
      </c>
      <c r="G771" s="257">
        <v>893527714</v>
      </c>
      <c r="H771" s="257">
        <v>0</v>
      </c>
      <c r="I771" s="257">
        <v>106570655.08</v>
      </c>
      <c r="J771" s="269">
        <v>0</v>
      </c>
      <c r="K771" s="257">
        <v>183077713.24000001</v>
      </c>
      <c r="L771" s="257">
        <v>183077713.24000001</v>
      </c>
      <c r="M771" s="257">
        <v>609379345.67999995</v>
      </c>
      <c r="N771" s="257">
        <v>603879345.67999995</v>
      </c>
    </row>
    <row r="772" spans="1:14" hidden="1" x14ac:dyDescent="0.25">
      <c r="A772" s="143" t="s">
        <v>720</v>
      </c>
      <c r="B772" s="143" t="s">
        <v>73</v>
      </c>
      <c r="C772" s="143" t="s">
        <v>74</v>
      </c>
      <c r="D772" s="143" t="s">
        <v>69</v>
      </c>
      <c r="E772" s="257">
        <v>305726500</v>
      </c>
      <c r="F772" s="257">
        <v>305726500</v>
      </c>
      <c r="G772" s="257">
        <v>305726500</v>
      </c>
      <c r="H772" s="257">
        <v>0</v>
      </c>
      <c r="I772" s="257">
        <v>0</v>
      </c>
      <c r="J772" s="269">
        <v>0</v>
      </c>
      <c r="K772" s="257">
        <v>49447813.670000002</v>
      </c>
      <c r="L772" s="257">
        <v>49447813.670000002</v>
      </c>
      <c r="M772" s="257">
        <v>256278686.33000001</v>
      </c>
      <c r="N772" s="257">
        <v>256278686.33000001</v>
      </c>
    </row>
    <row r="773" spans="1:14" hidden="1" x14ac:dyDescent="0.25">
      <c r="A773" s="143" t="s">
        <v>720</v>
      </c>
      <c r="B773" s="143" t="s">
        <v>75</v>
      </c>
      <c r="C773" s="143" t="s">
        <v>76</v>
      </c>
      <c r="D773" s="143" t="s">
        <v>69</v>
      </c>
      <c r="E773" s="257">
        <v>305726500</v>
      </c>
      <c r="F773" s="257">
        <v>305726500</v>
      </c>
      <c r="G773" s="257">
        <v>305726500</v>
      </c>
      <c r="H773" s="257">
        <v>0</v>
      </c>
      <c r="I773" s="257">
        <v>0</v>
      </c>
      <c r="J773" s="269">
        <v>0</v>
      </c>
      <c r="K773" s="257">
        <v>49447813.670000002</v>
      </c>
      <c r="L773" s="257">
        <v>49447813.670000002</v>
      </c>
      <c r="M773" s="257">
        <v>256278686.33000001</v>
      </c>
      <c r="N773" s="257">
        <v>256278686.33000001</v>
      </c>
    </row>
    <row r="774" spans="1:14" hidden="1" x14ac:dyDescent="0.25">
      <c r="A774" s="143" t="s">
        <v>720</v>
      </c>
      <c r="B774" s="143" t="s">
        <v>77</v>
      </c>
      <c r="C774" s="143" t="s">
        <v>78</v>
      </c>
      <c r="D774" s="143" t="s">
        <v>69</v>
      </c>
      <c r="E774" s="257">
        <v>456157950</v>
      </c>
      <c r="F774" s="257">
        <v>456157950</v>
      </c>
      <c r="G774" s="257">
        <v>450657950</v>
      </c>
      <c r="H774" s="257">
        <v>0</v>
      </c>
      <c r="I774" s="257">
        <v>0</v>
      </c>
      <c r="J774" s="269">
        <v>0</v>
      </c>
      <c r="K774" s="257">
        <v>103057290.65000001</v>
      </c>
      <c r="L774" s="257">
        <v>103057290.65000001</v>
      </c>
      <c r="M774" s="257">
        <v>353100659.35000002</v>
      </c>
      <c r="N774" s="257">
        <v>347600659.35000002</v>
      </c>
    </row>
    <row r="775" spans="1:14" hidden="1" x14ac:dyDescent="0.25">
      <c r="A775" s="143" t="s">
        <v>720</v>
      </c>
      <c r="B775" s="143" t="s">
        <v>79</v>
      </c>
      <c r="C775" s="143" t="s">
        <v>80</v>
      </c>
      <c r="D775" s="143" t="s">
        <v>69</v>
      </c>
      <c r="E775" s="257">
        <v>79360300</v>
      </c>
      <c r="F775" s="257">
        <v>79360300</v>
      </c>
      <c r="G775" s="257">
        <v>79360300</v>
      </c>
      <c r="H775" s="257">
        <v>0</v>
      </c>
      <c r="I775" s="257">
        <v>0</v>
      </c>
      <c r="J775" s="269">
        <v>0</v>
      </c>
      <c r="K775" s="257">
        <v>12131069.24</v>
      </c>
      <c r="L775" s="257">
        <v>12131069.24</v>
      </c>
      <c r="M775" s="257">
        <v>67229230.760000005</v>
      </c>
      <c r="N775" s="257">
        <v>67229230.760000005</v>
      </c>
    </row>
    <row r="776" spans="1:14" hidden="1" x14ac:dyDescent="0.25">
      <c r="A776" s="143" t="s">
        <v>720</v>
      </c>
      <c r="B776" s="143" t="s">
        <v>81</v>
      </c>
      <c r="C776" s="143" t="s">
        <v>82</v>
      </c>
      <c r="D776" s="143" t="s">
        <v>69</v>
      </c>
      <c r="E776" s="257">
        <v>203715000</v>
      </c>
      <c r="F776" s="257">
        <v>203715000</v>
      </c>
      <c r="G776" s="257">
        <v>203715000</v>
      </c>
      <c r="H776" s="257">
        <v>0</v>
      </c>
      <c r="I776" s="257">
        <v>0</v>
      </c>
      <c r="J776" s="269">
        <v>0</v>
      </c>
      <c r="K776" s="257">
        <v>33726714.5</v>
      </c>
      <c r="L776" s="257">
        <v>33726714.5</v>
      </c>
      <c r="M776" s="257">
        <v>169988285.5</v>
      </c>
      <c r="N776" s="257">
        <v>169988285.5</v>
      </c>
    </row>
    <row r="777" spans="1:14" hidden="1" x14ac:dyDescent="0.25">
      <c r="A777" s="143" t="s">
        <v>720</v>
      </c>
      <c r="B777" s="143" t="s">
        <v>86</v>
      </c>
      <c r="C777" s="143" t="s">
        <v>87</v>
      </c>
      <c r="D777" s="143" t="s">
        <v>69</v>
      </c>
      <c r="E777" s="257">
        <v>53908100</v>
      </c>
      <c r="F777" s="257">
        <v>53908100</v>
      </c>
      <c r="G777" s="257">
        <v>48408100</v>
      </c>
      <c r="H777" s="257">
        <v>0</v>
      </c>
      <c r="I777" s="257">
        <v>0</v>
      </c>
      <c r="J777" s="269">
        <v>0</v>
      </c>
      <c r="K777" s="257">
        <v>47507997.909999996</v>
      </c>
      <c r="L777" s="257">
        <v>47507997.909999996</v>
      </c>
      <c r="M777" s="257">
        <v>6400102.0899999999</v>
      </c>
      <c r="N777" s="257">
        <v>900102.09</v>
      </c>
    </row>
    <row r="778" spans="1:14" hidden="1" x14ac:dyDescent="0.25">
      <c r="A778" s="143" t="s">
        <v>720</v>
      </c>
      <c r="B778" s="143" t="s">
        <v>88</v>
      </c>
      <c r="C778" s="143" t="s">
        <v>89</v>
      </c>
      <c r="D778" s="143" t="s">
        <v>69</v>
      </c>
      <c r="E778" s="257">
        <v>60590000</v>
      </c>
      <c r="F778" s="257">
        <v>60590000</v>
      </c>
      <c r="G778" s="257">
        <v>60590000</v>
      </c>
      <c r="H778" s="257">
        <v>0</v>
      </c>
      <c r="I778" s="257">
        <v>0</v>
      </c>
      <c r="J778" s="269">
        <v>0</v>
      </c>
      <c r="K778" s="257">
        <v>9691509</v>
      </c>
      <c r="L778" s="257">
        <v>9691509</v>
      </c>
      <c r="M778" s="257">
        <v>50898491</v>
      </c>
      <c r="N778" s="257">
        <v>50898491</v>
      </c>
    </row>
    <row r="779" spans="1:14" hidden="1" x14ac:dyDescent="0.25">
      <c r="A779" s="143" t="s">
        <v>720</v>
      </c>
      <c r="B779" s="143" t="s">
        <v>83</v>
      </c>
      <c r="C779" s="143" t="s">
        <v>84</v>
      </c>
      <c r="D779" s="143" t="s">
        <v>85</v>
      </c>
      <c r="E779" s="257">
        <v>58584550</v>
      </c>
      <c r="F779" s="257">
        <v>58584550</v>
      </c>
      <c r="G779" s="257">
        <v>58584550</v>
      </c>
      <c r="H779" s="257">
        <v>0</v>
      </c>
      <c r="I779" s="257">
        <v>0</v>
      </c>
      <c r="J779" s="269">
        <v>0</v>
      </c>
      <c r="K779" s="257">
        <v>0</v>
      </c>
      <c r="L779" s="257">
        <v>0</v>
      </c>
      <c r="M779" s="257">
        <v>58584550</v>
      </c>
      <c r="N779" s="257">
        <v>58584550</v>
      </c>
    </row>
    <row r="780" spans="1:14" hidden="1" x14ac:dyDescent="0.25">
      <c r="A780" s="143" t="s">
        <v>720</v>
      </c>
      <c r="B780" s="143" t="s">
        <v>90</v>
      </c>
      <c r="C780" s="143" t="s">
        <v>91</v>
      </c>
      <c r="D780" s="143" t="s">
        <v>69</v>
      </c>
      <c r="E780" s="257">
        <v>68571682</v>
      </c>
      <c r="F780" s="257">
        <v>68571682</v>
      </c>
      <c r="G780" s="257">
        <v>68571682</v>
      </c>
      <c r="H780" s="257">
        <v>0</v>
      </c>
      <c r="I780" s="257">
        <v>53094692.899999999</v>
      </c>
      <c r="J780" s="269">
        <v>0</v>
      </c>
      <c r="K780" s="257">
        <v>15476989.1</v>
      </c>
      <c r="L780" s="257">
        <v>15476989.1</v>
      </c>
      <c r="M780" s="257">
        <v>0</v>
      </c>
      <c r="N780" s="257">
        <v>0</v>
      </c>
    </row>
    <row r="781" spans="1:14" hidden="1" x14ac:dyDescent="0.25">
      <c r="A781" s="143" t="s">
        <v>720</v>
      </c>
      <c r="B781" s="143" t="s">
        <v>429</v>
      </c>
      <c r="C781" s="143" t="s">
        <v>697</v>
      </c>
      <c r="D781" s="143" t="s">
        <v>69</v>
      </c>
      <c r="E781" s="257">
        <v>65055209</v>
      </c>
      <c r="F781" s="257">
        <v>65055209</v>
      </c>
      <c r="G781" s="257">
        <v>65055209</v>
      </c>
      <c r="H781" s="257">
        <v>0</v>
      </c>
      <c r="I781" s="257">
        <v>50372791.200000003</v>
      </c>
      <c r="J781" s="269">
        <v>0</v>
      </c>
      <c r="K781" s="257">
        <v>14682417.800000001</v>
      </c>
      <c r="L781" s="257">
        <v>14682417.800000001</v>
      </c>
      <c r="M781" s="257">
        <v>0</v>
      </c>
      <c r="N781" s="257">
        <v>0</v>
      </c>
    </row>
    <row r="782" spans="1:14" hidden="1" x14ac:dyDescent="0.25">
      <c r="A782" s="143" t="s">
        <v>720</v>
      </c>
      <c r="B782" s="143" t="s">
        <v>446</v>
      </c>
      <c r="C782" s="143" t="s">
        <v>95</v>
      </c>
      <c r="D782" s="143" t="s">
        <v>69</v>
      </c>
      <c r="E782" s="257">
        <v>3516473</v>
      </c>
      <c r="F782" s="257">
        <v>3516473</v>
      </c>
      <c r="G782" s="257">
        <v>3516473</v>
      </c>
      <c r="H782" s="257">
        <v>0</v>
      </c>
      <c r="I782" s="257">
        <v>2721901.7</v>
      </c>
      <c r="J782">
        <v>0</v>
      </c>
      <c r="K782" s="257">
        <v>794571.3</v>
      </c>
      <c r="L782" s="257">
        <v>794571.3</v>
      </c>
      <c r="M782" s="257">
        <v>0</v>
      </c>
      <c r="N782" s="257">
        <v>0</v>
      </c>
    </row>
    <row r="783" spans="1:14" hidden="1" x14ac:dyDescent="0.25">
      <c r="A783" s="143" t="s">
        <v>720</v>
      </c>
      <c r="B783" s="143" t="s">
        <v>96</v>
      </c>
      <c r="C783" s="143" t="s">
        <v>97</v>
      </c>
      <c r="D783" s="143" t="s">
        <v>69</v>
      </c>
      <c r="E783" s="257">
        <v>68571582</v>
      </c>
      <c r="F783" s="257">
        <v>68571582</v>
      </c>
      <c r="G783" s="257">
        <v>68571582</v>
      </c>
      <c r="H783" s="257">
        <v>0</v>
      </c>
      <c r="I783" s="257">
        <v>53475962.18</v>
      </c>
      <c r="J783" s="252">
        <v>0</v>
      </c>
      <c r="K783" s="257">
        <v>15095619.82</v>
      </c>
      <c r="L783" s="257">
        <v>15095619.82</v>
      </c>
      <c r="M783" s="257">
        <v>0</v>
      </c>
      <c r="N783" s="257">
        <v>0</v>
      </c>
    </row>
    <row r="784" spans="1:14" hidden="1" x14ac:dyDescent="0.25">
      <c r="A784" s="143" t="s">
        <v>720</v>
      </c>
      <c r="B784" s="143" t="s">
        <v>464</v>
      </c>
      <c r="C784" s="143" t="s">
        <v>698</v>
      </c>
      <c r="D784" s="143" t="s">
        <v>69</v>
      </c>
      <c r="E784" s="257">
        <v>36923221</v>
      </c>
      <c r="F784" s="257">
        <v>36923221</v>
      </c>
      <c r="G784" s="257">
        <v>36923221</v>
      </c>
      <c r="H784" s="257">
        <v>0</v>
      </c>
      <c r="I784" s="257">
        <v>28969759.309999999</v>
      </c>
      <c r="J784" s="261">
        <v>0</v>
      </c>
      <c r="K784" s="257">
        <v>7953461.6900000004</v>
      </c>
      <c r="L784" s="257">
        <v>7953461.6900000004</v>
      </c>
      <c r="M784" s="257">
        <v>0</v>
      </c>
      <c r="N784" s="257">
        <v>0</v>
      </c>
    </row>
    <row r="785" spans="1:14" hidden="1" x14ac:dyDescent="0.25">
      <c r="A785" s="143" t="s">
        <v>720</v>
      </c>
      <c r="B785" s="143" t="s">
        <v>481</v>
      </c>
      <c r="C785" s="143" t="s">
        <v>699</v>
      </c>
      <c r="D785" s="143" t="s">
        <v>69</v>
      </c>
      <c r="E785" s="257">
        <v>10549420</v>
      </c>
      <c r="F785" s="257">
        <v>10549420</v>
      </c>
      <c r="G785" s="257">
        <v>10549420</v>
      </c>
      <c r="H785" s="257">
        <v>0</v>
      </c>
      <c r="I785" s="257">
        <v>8168698.7800000003</v>
      </c>
      <c r="J785" s="266">
        <v>0</v>
      </c>
      <c r="K785" s="257">
        <v>2380721.2200000002</v>
      </c>
      <c r="L785" s="257">
        <v>2380721.2200000002</v>
      </c>
      <c r="M785" s="257">
        <v>0</v>
      </c>
      <c r="N785" s="257">
        <v>0</v>
      </c>
    </row>
    <row r="786" spans="1:14" hidden="1" x14ac:dyDescent="0.25">
      <c r="A786" s="143" t="s">
        <v>720</v>
      </c>
      <c r="B786" s="143" t="s">
        <v>498</v>
      </c>
      <c r="C786" s="143" t="s">
        <v>700</v>
      </c>
      <c r="D786" s="143" t="s">
        <v>69</v>
      </c>
      <c r="E786" s="257">
        <v>21098941</v>
      </c>
      <c r="F786" s="257">
        <v>21098941</v>
      </c>
      <c r="G786" s="257">
        <v>21098941</v>
      </c>
      <c r="H786" s="257">
        <v>0</v>
      </c>
      <c r="I786" s="257">
        <v>16337504.09</v>
      </c>
      <c r="J786" s="269">
        <v>0</v>
      </c>
      <c r="K786" s="257">
        <v>4761436.91</v>
      </c>
      <c r="L786" s="257">
        <v>4761436.91</v>
      </c>
      <c r="M786" s="257">
        <v>0</v>
      </c>
      <c r="N786" s="257">
        <v>0</v>
      </c>
    </row>
    <row r="787" spans="1:14" hidden="1" x14ac:dyDescent="0.25">
      <c r="A787" s="143" t="s">
        <v>720</v>
      </c>
      <c r="B787" s="143" t="s">
        <v>104</v>
      </c>
      <c r="C787" s="143" t="s">
        <v>105</v>
      </c>
      <c r="D787" s="143" t="s">
        <v>69</v>
      </c>
      <c r="E787" s="257">
        <v>7541300</v>
      </c>
      <c r="F787" s="257">
        <v>7541300</v>
      </c>
      <c r="G787" s="257">
        <v>7541300</v>
      </c>
      <c r="H787" s="257">
        <v>0</v>
      </c>
      <c r="I787" s="257">
        <v>0</v>
      </c>
      <c r="J787" s="269">
        <v>0</v>
      </c>
      <c r="K787" s="257">
        <v>0</v>
      </c>
      <c r="L787" s="257">
        <v>0</v>
      </c>
      <c r="M787" s="257">
        <v>7541300</v>
      </c>
      <c r="N787" s="257">
        <v>7541300</v>
      </c>
    </row>
    <row r="788" spans="1:14" hidden="1" x14ac:dyDescent="0.25">
      <c r="A788" s="143" t="s">
        <v>720</v>
      </c>
      <c r="B788" s="143" t="s">
        <v>140</v>
      </c>
      <c r="C788" s="143" t="s">
        <v>141</v>
      </c>
      <c r="D788" s="143" t="s">
        <v>69</v>
      </c>
      <c r="E788" s="257">
        <v>7541300</v>
      </c>
      <c r="F788" s="257">
        <v>7541300</v>
      </c>
      <c r="G788" s="257">
        <v>7541300</v>
      </c>
      <c r="H788" s="257">
        <v>0</v>
      </c>
      <c r="I788" s="257">
        <v>0</v>
      </c>
      <c r="J788" s="269">
        <v>0</v>
      </c>
      <c r="K788" s="257">
        <v>0</v>
      </c>
      <c r="L788" s="257">
        <v>0</v>
      </c>
      <c r="M788" s="257">
        <v>7541300</v>
      </c>
      <c r="N788" s="257">
        <v>7541300</v>
      </c>
    </row>
    <row r="789" spans="1:14" hidden="1" x14ac:dyDescent="0.25">
      <c r="A789" s="143" t="s">
        <v>720</v>
      </c>
      <c r="B789" s="143" t="s">
        <v>146</v>
      </c>
      <c r="C789" s="143" t="s">
        <v>147</v>
      </c>
      <c r="D789" s="143" t="s">
        <v>69</v>
      </c>
      <c r="E789" s="257">
        <v>2513800</v>
      </c>
      <c r="F789" s="257">
        <v>2513800</v>
      </c>
      <c r="G789" s="257">
        <v>2513800</v>
      </c>
      <c r="H789" s="257">
        <v>0</v>
      </c>
      <c r="I789" s="257">
        <v>0</v>
      </c>
      <c r="J789" s="269">
        <v>0</v>
      </c>
      <c r="K789" s="257">
        <v>0</v>
      </c>
      <c r="L789" s="257">
        <v>0</v>
      </c>
      <c r="M789" s="257">
        <v>2513800</v>
      </c>
      <c r="N789" s="257">
        <v>2513800</v>
      </c>
    </row>
    <row r="790" spans="1:14" hidden="1" x14ac:dyDescent="0.25">
      <c r="A790" s="143" t="s">
        <v>720</v>
      </c>
      <c r="B790" s="143" t="s">
        <v>148</v>
      </c>
      <c r="C790" s="143" t="s">
        <v>149</v>
      </c>
      <c r="D790" s="143" t="s">
        <v>69</v>
      </c>
      <c r="E790" s="257">
        <v>5027500</v>
      </c>
      <c r="F790" s="257">
        <v>5027500</v>
      </c>
      <c r="G790" s="257">
        <v>5027500</v>
      </c>
      <c r="H790" s="257">
        <v>0</v>
      </c>
      <c r="I790" s="257">
        <v>0</v>
      </c>
      <c r="J790" s="269">
        <v>0</v>
      </c>
      <c r="K790" s="257">
        <v>0</v>
      </c>
      <c r="L790" s="257">
        <v>0</v>
      </c>
      <c r="M790" s="257">
        <v>5027500</v>
      </c>
      <c r="N790" s="257">
        <v>5027500</v>
      </c>
    </row>
    <row r="791" spans="1:14" hidden="1" x14ac:dyDescent="0.25">
      <c r="A791" s="143" t="s">
        <v>720</v>
      </c>
      <c r="B791" s="143" t="s">
        <v>248</v>
      </c>
      <c r="C791" s="143" t="s">
        <v>249</v>
      </c>
      <c r="D791" s="143" t="s">
        <v>69</v>
      </c>
      <c r="E791" s="257">
        <v>11674695</v>
      </c>
      <c r="F791" s="257">
        <v>11674695</v>
      </c>
      <c r="G791" s="257">
        <v>11674695</v>
      </c>
      <c r="H791" s="257">
        <v>0</v>
      </c>
      <c r="I791" s="257">
        <v>9230277.2599999998</v>
      </c>
      <c r="J791" s="269">
        <v>0</v>
      </c>
      <c r="K791" s="257">
        <v>2444417.7400000002</v>
      </c>
      <c r="L791" s="257">
        <v>2444417.7400000002</v>
      </c>
      <c r="M791" s="257">
        <v>0</v>
      </c>
      <c r="N791" s="257">
        <v>0</v>
      </c>
    </row>
    <row r="792" spans="1:14" hidden="1" x14ac:dyDescent="0.25">
      <c r="A792" s="143" t="s">
        <v>720</v>
      </c>
      <c r="B792" s="143" t="s">
        <v>250</v>
      </c>
      <c r="C792" s="143" t="s">
        <v>251</v>
      </c>
      <c r="D792" s="143" t="s">
        <v>69</v>
      </c>
      <c r="E792" s="257">
        <v>11674695</v>
      </c>
      <c r="F792" s="257">
        <v>11674695</v>
      </c>
      <c r="G792" s="257">
        <v>11674695</v>
      </c>
      <c r="H792" s="257">
        <v>0</v>
      </c>
      <c r="I792" s="257">
        <v>9230277.2599999998</v>
      </c>
      <c r="J792" s="269">
        <v>0</v>
      </c>
      <c r="K792" s="257">
        <v>2444417.7400000002</v>
      </c>
      <c r="L792" s="257">
        <v>2444417.7400000002</v>
      </c>
      <c r="M792" s="257">
        <v>0</v>
      </c>
      <c r="N792" s="257">
        <v>0</v>
      </c>
    </row>
    <row r="793" spans="1:14" hidden="1" x14ac:dyDescent="0.25">
      <c r="A793" s="143" t="s">
        <v>720</v>
      </c>
      <c r="B793" s="143" t="s">
        <v>638</v>
      </c>
      <c r="C793" s="143" t="s">
        <v>702</v>
      </c>
      <c r="D793" s="143" t="s">
        <v>69</v>
      </c>
      <c r="E793" s="257">
        <v>9916509</v>
      </c>
      <c r="F793" s="257">
        <v>9916509</v>
      </c>
      <c r="G793" s="257">
        <v>9916509</v>
      </c>
      <c r="H793" s="257">
        <v>0</v>
      </c>
      <c r="I793" s="257">
        <v>7867146.8399999999</v>
      </c>
      <c r="J793" s="269">
        <v>0</v>
      </c>
      <c r="K793" s="257">
        <v>2049362.16</v>
      </c>
      <c r="L793" s="257">
        <v>2049362.16</v>
      </c>
      <c r="M793" s="257">
        <v>0</v>
      </c>
      <c r="N793" s="257">
        <v>0</v>
      </c>
    </row>
    <row r="794" spans="1:14" hidden="1" x14ac:dyDescent="0.25">
      <c r="A794" s="143" t="s">
        <v>720</v>
      </c>
      <c r="B794" s="143" t="s">
        <v>653</v>
      </c>
      <c r="C794" s="143" t="s">
        <v>703</v>
      </c>
      <c r="D794" s="143" t="s">
        <v>69</v>
      </c>
      <c r="E794" s="257">
        <v>1758186</v>
      </c>
      <c r="F794" s="257">
        <v>1758186</v>
      </c>
      <c r="G794" s="257">
        <v>1758186</v>
      </c>
      <c r="H794" s="257">
        <v>0</v>
      </c>
      <c r="I794" s="257">
        <v>1363130.42</v>
      </c>
      <c r="J794" s="269">
        <v>0</v>
      </c>
      <c r="K794" s="257">
        <v>395055.58</v>
      </c>
      <c r="L794" s="257">
        <v>395055.58</v>
      </c>
      <c r="M794" s="257">
        <v>0</v>
      </c>
      <c r="N794" s="257">
        <v>0</v>
      </c>
    </row>
    <row r="795" spans="1:14" x14ac:dyDescent="0.25">
      <c r="A795" s="270">
        <v>214794</v>
      </c>
      <c r="B795" s="143"/>
      <c r="C795" s="143"/>
      <c r="D795" s="271" t="s">
        <v>69</v>
      </c>
      <c r="E795" s="257">
        <v>13895221022</v>
      </c>
      <c r="F795" s="272">
        <v>13895221022</v>
      </c>
      <c r="G795" s="257">
        <v>13596567567</v>
      </c>
      <c r="H795" s="269">
        <v>0</v>
      </c>
      <c r="I795" s="273">
        <v>1833730436.49</v>
      </c>
      <c r="J795" s="269">
        <v>0</v>
      </c>
      <c r="K795" s="269">
        <v>2601943755.3299999</v>
      </c>
      <c r="L795" s="274">
        <v>2601943755.3299999</v>
      </c>
      <c r="M795" s="273">
        <v>9459546830.1800003</v>
      </c>
      <c r="N795" s="257">
        <v>9160893375.1800003</v>
      </c>
    </row>
    <row r="796" spans="1:14" hidden="1" x14ac:dyDescent="0.25">
      <c r="A796" s="143" t="s">
        <v>721</v>
      </c>
      <c r="B796" s="143" t="s">
        <v>71</v>
      </c>
      <c r="C796" s="143" t="s">
        <v>72</v>
      </c>
      <c r="D796" s="143" t="s">
        <v>69</v>
      </c>
      <c r="E796" s="257">
        <v>13427888280</v>
      </c>
      <c r="F796" s="257">
        <v>13427888280</v>
      </c>
      <c r="G796" s="257">
        <v>13296165240</v>
      </c>
      <c r="H796" s="257">
        <v>0</v>
      </c>
      <c r="I796" s="257">
        <v>1689124043.0999999</v>
      </c>
      <c r="J796" s="269">
        <v>0</v>
      </c>
      <c r="K796" s="257">
        <v>2506288293.7199998</v>
      </c>
      <c r="L796" s="257">
        <v>2506288293.7199998</v>
      </c>
      <c r="M796" s="257">
        <v>9232475943.1800003</v>
      </c>
      <c r="N796" s="257">
        <v>9100752903.1800003</v>
      </c>
    </row>
    <row r="797" spans="1:14" hidden="1" x14ac:dyDescent="0.25">
      <c r="A797" s="143" t="s">
        <v>721</v>
      </c>
      <c r="B797" s="143" t="s">
        <v>73</v>
      </c>
      <c r="C797" s="143" t="s">
        <v>74</v>
      </c>
      <c r="D797" s="143" t="s">
        <v>69</v>
      </c>
      <c r="E797" s="257">
        <v>4501527400</v>
      </c>
      <c r="F797" s="257">
        <v>4501527400</v>
      </c>
      <c r="G797" s="257">
        <v>4441338400</v>
      </c>
      <c r="H797" s="257">
        <v>0</v>
      </c>
      <c r="I797" s="257">
        <v>0</v>
      </c>
      <c r="J797" s="269">
        <v>0</v>
      </c>
      <c r="K797" s="257">
        <v>626635453.25</v>
      </c>
      <c r="L797" s="257">
        <v>626635453.25</v>
      </c>
      <c r="M797" s="257">
        <v>3874891946.75</v>
      </c>
      <c r="N797" s="257">
        <v>3814702946.75</v>
      </c>
    </row>
    <row r="798" spans="1:14" hidden="1" x14ac:dyDescent="0.25">
      <c r="A798" s="143" t="s">
        <v>721</v>
      </c>
      <c r="B798" s="143" t="s">
        <v>75</v>
      </c>
      <c r="C798" s="143" t="s">
        <v>76</v>
      </c>
      <c r="D798" s="143" t="s">
        <v>69</v>
      </c>
      <c r="E798" s="257">
        <v>4501527400</v>
      </c>
      <c r="F798" s="257">
        <v>4501527400</v>
      </c>
      <c r="G798" s="257">
        <v>4441338400</v>
      </c>
      <c r="H798" s="257">
        <v>0</v>
      </c>
      <c r="I798" s="257">
        <v>0</v>
      </c>
      <c r="J798" s="269">
        <v>0</v>
      </c>
      <c r="K798" s="257">
        <v>626635453.25</v>
      </c>
      <c r="L798" s="257">
        <v>626635453.25</v>
      </c>
      <c r="M798" s="257">
        <v>3874891946.75</v>
      </c>
      <c r="N798" s="257">
        <v>3814702946.75</v>
      </c>
    </row>
    <row r="799" spans="1:14" hidden="1" x14ac:dyDescent="0.25">
      <c r="A799" s="143" t="s">
        <v>721</v>
      </c>
      <c r="B799" s="143" t="s">
        <v>77</v>
      </c>
      <c r="C799" s="143" t="s">
        <v>78</v>
      </c>
      <c r="D799" s="143" t="s">
        <v>69</v>
      </c>
      <c r="E799" s="257">
        <v>6803353044</v>
      </c>
      <c r="F799" s="257">
        <v>6803353044</v>
      </c>
      <c r="G799" s="257">
        <v>6748206044</v>
      </c>
      <c r="H799" s="257">
        <v>0</v>
      </c>
      <c r="I799" s="257">
        <v>0</v>
      </c>
      <c r="J799">
        <v>0</v>
      </c>
      <c r="K799" s="257">
        <v>1462156087.5699999</v>
      </c>
      <c r="L799" s="257">
        <v>1462156087.5699999</v>
      </c>
      <c r="M799" s="257">
        <v>5341196956.4300003</v>
      </c>
      <c r="N799" s="257">
        <v>5286049956.4300003</v>
      </c>
    </row>
    <row r="800" spans="1:14" hidden="1" x14ac:dyDescent="0.25">
      <c r="A800" s="143" t="s">
        <v>721</v>
      </c>
      <c r="B800" s="143" t="s">
        <v>79</v>
      </c>
      <c r="C800" s="143" t="s">
        <v>80</v>
      </c>
      <c r="D800" s="143" t="s">
        <v>69</v>
      </c>
      <c r="E800" s="257">
        <v>1381150100</v>
      </c>
      <c r="F800" s="257">
        <v>1381150100</v>
      </c>
      <c r="G800" s="257">
        <v>1368850100</v>
      </c>
      <c r="H800" s="257">
        <v>0</v>
      </c>
      <c r="I800" s="257">
        <v>0</v>
      </c>
      <c r="J800" s="252">
        <v>0</v>
      </c>
      <c r="K800" s="257">
        <v>202955511.63</v>
      </c>
      <c r="L800" s="257">
        <v>202955511.63</v>
      </c>
      <c r="M800" s="257">
        <v>1178194588.3699999</v>
      </c>
      <c r="N800" s="257">
        <v>1165894588.3699999</v>
      </c>
    </row>
    <row r="801" spans="1:14" hidden="1" x14ac:dyDescent="0.25">
      <c r="A801" s="143" t="s">
        <v>721</v>
      </c>
      <c r="B801" s="143" t="s">
        <v>81</v>
      </c>
      <c r="C801" s="143" t="s">
        <v>82</v>
      </c>
      <c r="D801" s="143" t="s">
        <v>69</v>
      </c>
      <c r="E801" s="257">
        <v>2537511300</v>
      </c>
      <c r="F801" s="257">
        <v>2537511300</v>
      </c>
      <c r="G801" s="257">
        <v>2510642300</v>
      </c>
      <c r="H801" s="257">
        <v>0</v>
      </c>
      <c r="I801" s="257">
        <v>0</v>
      </c>
      <c r="J801" s="261">
        <v>0</v>
      </c>
      <c r="K801" s="257">
        <v>364467043.55000001</v>
      </c>
      <c r="L801" s="257">
        <v>364467043.55000001</v>
      </c>
      <c r="M801" s="257">
        <v>2173044256.4499998</v>
      </c>
      <c r="N801" s="257">
        <v>2146175256.45</v>
      </c>
    </row>
    <row r="802" spans="1:14" hidden="1" x14ac:dyDescent="0.25">
      <c r="A802" s="143" t="s">
        <v>721</v>
      </c>
      <c r="B802" s="143" t="s">
        <v>86</v>
      </c>
      <c r="C802" s="143" t="s">
        <v>87</v>
      </c>
      <c r="D802" s="143" t="s">
        <v>69</v>
      </c>
      <c r="E802" s="257">
        <v>799025700</v>
      </c>
      <c r="F802" s="257">
        <v>799025700</v>
      </c>
      <c r="G802" s="257">
        <v>799025700</v>
      </c>
      <c r="H802" s="257">
        <v>0</v>
      </c>
      <c r="I802" s="257">
        <v>0</v>
      </c>
      <c r="J802" s="266">
        <v>0</v>
      </c>
      <c r="K802" s="257">
        <v>720602684.51999998</v>
      </c>
      <c r="L802" s="257">
        <v>720602684.51999998</v>
      </c>
      <c r="M802" s="257">
        <v>78423015.480000004</v>
      </c>
      <c r="N802" s="257">
        <v>78423015.480000004</v>
      </c>
    </row>
    <row r="803" spans="1:14" hidden="1" x14ac:dyDescent="0.25">
      <c r="A803" s="143" t="s">
        <v>721</v>
      </c>
      <c r="B803" s="143" t="s">
        <v>88</v>
      </c>
      <c r="C803" s="143" t="s">
        <v>89</v>
      </c>
      <c r="D803" s="143" t="s">
        <v>69</v>
      </c>
      <c r="E803" s="257">
        <v>1216380900</v>
      </c>
      <c r="F803" s="257">
        <v>1216380900</v>
      </c>
      <c r="G803" s="257">
        <v>1207402900</v>
      </c>
      <c r="H803" s="257">
        <v>0</v>
      </c>
      <c r="I803" s="257">
        <v>0</v>
      </c>
      <c r="J803" s="269">
        <v>0</v>
      </c>
      <c r="K803" s="257">
        <v>174130847.87</v>
      </c>
      <c r="L803" s="257">
        <v>174130847.87</v>
      </c>
      <c r="M803" s="257">
        <v>1042250052.13</v>
      </c>
      <c r="N803" s="257">
        <v>1033272052.13</v>
      </c>
    </row>
    <row r="804" spans="1:14" hidden="1" x14ac:dyDescent="0.25">
      <c r="A804" s="143" t="s">
        <v>721</v>
      </c>
      <c r="B804" s="143" t="s">
        <v>83</v>
      </c>
      <c r="C804" s="143" t="s">
        <v>84</v>
      </c>
      <c r="D804" s="143" t="s">
        <v>85</v>
      </c>
      <c r="E804" s="257">
        <v>869285044</v>
      </c>
      <c r="F804" s="257">
        <v>869285044</v>
      </c>
      <c r="G804" s="257">
        <v>862285044</v>
      </c>
      <c r="H804" s="257">
        <v>0</v>
      </c>
      <c r="I804" s="257">
        <v>0</v>
      </c>
      <c r="J804" s="269">
        <v>0</v>
      </c>
      <c r="K804" s="257">
        <v>0</v>
      </c>
      <c r="L804" s="257">
        <v>0</v>
      </c>
      <c r="M804" s="257">
        <v>869285044</v>
      </c>
      <c r="N804" s="257">
        <v>862285044</v>
      </c>
    </row>
    <row r="805" spans="1:14" hidden="1" x14ac:dyDescent="0.25">
      <c r="A805" s="143" t="s">
        <v>721</v>
      </c>
      <c r="B805" s="143" t="s">
        <v>90</v>
      </c>
      <c r="C805" s="143" t="s">
        <v>91</v>
      </c>
      <c r="D805" s="143" t="s">
        <v>69</v>
      </c>
      <c r="E805" s="257">
        <v>1017470468</v>
      </c>
      <c r="F805" s="257">
        <v>1017470468</v>
      </c>
      <c r="G805" s="257">
        <v>1009276948</v>
      </c>
      <c r="H805" s="257">
        <v>0</v>
      </c>
      <c r="I805" s="257">
        <v>803415236</v>
      </c>
      <c r="J805" s="269">
        <v>0</v>
      </c>
      <c r="K805" s="257">
        <v>205861712</v>
      </c>
      <c r="L805" s="257">
        <v>205861712</v>
      </c>
      <c r="M805" s="257">
        <v>8193520</v>
      </c>
      <c r="N805" s="257">
        <v>0</v>
      </c>
    </row>
    <row r="806" spans="1:14" hidden="1" x14ac:dyDescent="0.25">
      <c r="A806" s="143" t="s">
        <v>721</v>
      </c>
      <c r="B806" s="143" t="s">
        <v>430</v>
      </c>
      <c r="C806" s="143" t="s">
        <v>697</v>
      </c>
      <c r="D806" s="143" t="s">
        <v>69</v>
      </c>
      <c r="E806" s="257">
        <v>965292547</v>
      </c>
      <c r="F806" s="257">
        <v>965292547</v>
      </c>
      <c r="G806" s="257">
        <v>957519217</v>
      </c>
      <c r="H806" s="257">
        <v>0</v>
      </c>
      <c r="I806" s="257">
        <v>762214517</v>
      </c>
      <c r="J806" s="269">
        <v>0</v>
      </c>
      <c r="K806" s="257">
        <v>195304700</v>
      </c>
      <c r="L806" s="257">
        <v>195304700</v>
      </c>
      <c r="M806" s="257">
        <v>7773330</v>
      </c>
      <c r="N806" s="257">
        <v>0</v>
      </c>
    </row>
    <row r="807" spans="1:14" hidden="1" x14ac:dyDescent="0.25">
      <c r="A807" s="143" t="s">
        <v>721</v>
      </c>
      <c r="B807" s="143" t="s">
        <v>447</v>
      </c>
      <c r="C807" s="143" t="s">
        <v>95</v>
      </c>
      <c r="D807" s="143" t="s">
        <v>69</v>
      </c>
      <c r="E807" s="257">
        <v>52177921</v>
      </c>
      <c r="F807" s="257">
        <v>52177921</v>
      </c>
      <c r="G807" s="257">
        <v>51757731</v>
      </c>
      <c r="H807" s="257">
        <v>0</v>
      </c>
      <c r="I807" s="257">
        <v>41200719</v>
      </c>
      <c r="J807" s="269">
        <v>0</v>
      </c>
      <c r="K807" s="257">
        <v>10557012</v>
      </c>
      <c r="L807" s="257">
        <v>10557012</v>
      </c>
      <c r="M807" s="257">
        <v>420190</v>
      </c>
      <c r="N807" s="257">
        <v>0</v>
      </c>
    </row>
    <row r="808" spans="1:14" hidden="1" x14ac:dyDescent="0.25">
      <c r="A808" s="143" t="s">
        <v>721</v>
      </c>
      <c r="B808" s="143" t="s">
        <v>96</v>
      </c>
      <c r="C808" s="143" t="s">
        <v>97</v>
      </c>
      <c r="D808" s="143" t="s">
        <v>69</v>
      </c>
      <c r="E808" s="257">
        <v>1105537368</v>
      </c>
      <c r="F808" s="257">
        <v>1105537368</v>
      </c>
      <c r="G808" s="257">
        <v>1097343848</v>
      </c>
      <c r="H808" s="257">
        <v>0</v>
      </c>
      <c r="I808" s="257">
        <v>885708807.10000002</v>
      </c>
      <c r="J808" s="269">
        <v>0</v>
      </c>
      <c r="K808" s="257">
        <v>211635040.90000001</v>
      </c>
      <c r="L808" s="257">
        <v>211635040.90000001</v>
      </c>
      <c r="M808" s="257">
        <v>8193520</v>
      </c>
      <c r="N808" s="257">
        <v>0</v>
      </c>
    </row>
    <row r="809" spans="1:14" hidden="1" x14ac:dyDescent="0.25">
      <c r="A809" s="143" t="s">
        <v>721</v>
      </c>
      <c r="B809" s="143" t="s">
        <v>465</v>
      </c>
      <c r="C809" s="143" t="s">
        <v>698</v>
      </c>
      <c r="D809" s="143" t="s">
        <v>69</v>
      </c>
      <c r="E809" s="257">
        <v>547868675</v>
      </c>
      <c r="F809" s="257">
        <v>547868675</v>
      </c>
      <c r="G809" s="257">
        <v>543456785</v>
      </c>
      <c r="H809" s="257">
        <v>0</v>
      </c>
      <c r="I809" s="257">
        <v>445279650</v>
      </c>
      <c r="J809" s="269">
        <v>0</v>
      </c>
      <c r="K809" s="257">
        <v>98177135</v>
      </c>
      <c r="L809" s="257">
        <v>98177135</v>
      </c>
      <c r="M809" s="257">
        <v>4411890</v>
      </c>
      <c r="N809" s="257">
        <v>0</v>
      </c>
    </row>
    <row r="810" spans="1:14" hidden="1" x14ac:dyDescent="0.25">
      <c r="A810" s="143" t="s">
        <v>721</v>
      </c>
      <c r="B810" s="143" t="s">
        <v>482</v>
      </c>
      <c r="C810" s="143" t="s">
        <v>699</v>
      </c>
      <c r="D810" s="143" t="s">
        <v>69</v>
      </c>
      <c r="E810" s="257">
        <v>156533864</v>
      </c>
      <c r="F810" s="257">
        <v>156533864</v>
      </c>
      <c r="G810" s="257">
        <v>155273314</v>
      </c>
      <c r="H810" s="257">
        <v>0</v>
      </c>
      <c r="I810" s="257">
        <v>123602278</v>
      </c>
      <c r="J810" s="269">
        <v>0</v>
      </c>
      <c r="K810" s="257">
        <v>31671036</v>
      </c>
      <c r="L810" s="257">
        <v>31671036</v>
      </c>
      <c r="M810" s="257">
        <v>1260550</v>
      </c>
      <c r="N810" s="257">
        <v>0</v>
      </c>
    </row>
    <row r="811" spans="1:14" hidden="1" x14ac:dyDescent="0.25">
      <c r="A811" s="143" t="s">
        <v>721</v>
      </c>
      <c r="B811" s="143" t="s">
        <v>499</v>
      </c>
      <c r="C811" s="143" t="s">
        <v>700</v>
      </c>
      <c r="D811" s="143" t="s">
        <v>69</v>
      </c>
      <c r="E811" s="257">
        <v>313067829</v>
      </c>
      <c r="F811" s="257">
        <v>313067829</v>
      </c>
      <c r="G811" s="257">
        <v>310546749</v>
      </c>
      <c r="H811" s="257">
        <v>0</v>
      </c>
      <c r="I811" s="257">
        <v>247204669</v>
      </c>
      <c r="J811" s="269">
        <v>0</v>
      </c>
      <c r="K811" s="257">
        <v>63342080</v>
      </c>
      <c r="L811" s="257">
        <v>63342080</v>
      </c>
      <c r="M811" s="257">
        <v>2521080</v>
      </c>
      <c r="N811" s="257">
        <v>0</v>
      </c>
    </row>
    <row r="812" spans="1:14" hidden="1" x14ac:dyDescent="0.25">
      <c r="A812" s="143" t="s">
        <v>721</v>
      </c>
      <c r="B812" s="143" t="s">
        <v>516</v>
      </c>
      <c r="C812" s="143" t="s">
        <v>722</v>
      </c>
      <c r="D812" s="143" t="s">
        <v>69</v>
      </c>
      <c r="E812" s="257">
        <v>88067000</v>
      </c>
      <c r="F812" s="257">
        <v>88067000</v>
      </c>
      <c r="G812" s="257">
        <v>88067000</v>
      </c>
      <c r="H812" s="257">
        <v>0</v>
      </c>
      <c r="I812" s="257">
        <v>69622210.099999994</v>
      </c>
      <c r="J812" s="269">
        <v>0</v>
      </c>
      <c r="K812" s="257">
        <v>18444789.899999999</v>
      </c>
      <c r="L812" s="257">
        <v>18444789.899999999</v>
      </c>
      <c r="M812" s="257">
        <v>0</v>
      </c>
      <c r="N812" s="257">
        <v>0</v>
      </c>
    </row>
    <row r="813" spans="1:14" hidden="1" x14ac:dyDescent="0.25">
      <c r="A813" s="143" t="s">
        <v>721</v>
      </c>
      <c r="B813" s="143" t="s">
        <v>104</v>
      </c>
      <c r="C813" s="143" t="s">
        <v>105</v>
      </c>
      <c r="D813" s="143" t="s">
        <v>69</v>
      </c>
      <c r="E813" s="257">
        <v>45500000</v>
      </c>
      <c r="F813" s="257">
        <v>45500000</v>
      </c>
      <c r="G813" s="257">
        <v>0</v>
      </c>
      <c r="H813" s="257">
        <v>0</v>
      </c>
      <c r="I813" s="257">
        <v>0</v>
      </c>
      <c r="J813" s="269">
        <v>0</v>
      </c>
      <c r="K813" s="257">
        <v>0</v>
      </c>
      <c r="L813" s="257">
        <v>0</v>
      </c>
      <c r="M813" s="257">
        <v>45500000</v>
      </c>
      <c r="N813" s="257">
        <v>0</v>
      </c>
    </row>
    <row r="814" spans="1:14" hidden="1" x14ac:dyDescent="0.25">
      <c r="A814" s="143" t="s">
        <v>721</v>
      </c>
      <c r="B814" s="143" t="s">
        <v>150</v>
      </c>
      <c r="C814" s="143" t="s">
        <v>151</v>
      </c>
      <c r="D814" s="143" t="s">
        <v>69</v>
      </c>
      <c r="E814" s="257">
        <v>45500000</v>
      </c>
      <c r="F814" s="257">
        <v>45500000</v>
      </c>
      <c r="G814" s="257">
        <v>0</v>
      </c>
      <c r="H814" s="257">
        <v>0</v>
      </c>
      <c r="I814" s="257">
        <v>0</v>
      </c>
      <c r="J814" s="269">
        <v>0</v>
      </c>
      <c r="K814" s="257">
        <v>0</v>
      </c>
      <c r="L814" s="257">
        <v>0</v>
      </c>
      <c r="M814" s="257">
        <v>45500000</v>
      </c>
      <c r="N814" s="257">
        <v>0</v>
      </c>
    </row>
    <row r="815" spans="1:14" hidden="1" x14ac:dyDescent="0.25">
      <c r="A815" s="143" t="s">
        <v>721</v>
      </c>
      <c r="B815" s="143" t="s">
        <v>152</v>
      </c>
      <c r="C815" s="143" t="s">
        <v>153</v>
      </c>
      <c r="D815" s="143" t="s">
        <v>69</v>
      </c>
      <c r="E815" s="257">
        <v>45500000</v>
      </c>
      <c r="F815" s="257">
        <v>45500000</v>
      </c>
      <c r="G815" s="257">
        <v>0</v>
      </c>
      <c r="H815" s="257">
        <v>0</v>
      </c>
      <c r="I815" s="257">
        <v>0</v>
      </c>
      <c r="J815" s="269">
        <v>0</v>
      </c>
      <c r="K815" s="257">
        <v>0</v>
      </c>
      <c r="L815" s="257">
        <v>0</v>
      </c>
      <c r="M815" s="257">
        <v>45500000</v>
      </c>
      <c r="N815" s="257">
        <v>0</v>
      </c>
    </row>
    <row r="816" spans="1:14" hidden="1" x14ac:dyDescent="0.25">
      <c r="A816" s="143" t="s">
        <v>721</v>
      </c>
      <c r="B816" s="143" t="s">
        <v>248</v>
      </c>
      <c r="C816" s="143" t="s">
        <v>249</v>
      </c>
      <c r="D816" s="143" t="s">
        <v>69</v>
      </c>
      <c r="E816" s="257">
        <v>421832742</v>
      </c>
      <c r="F816" s="257">
        <v>421832742</v>
      </c>
      <c r="G816" s="257">
        <v>300402327</v>
      </c>
      <c r="H816" s="257">
        <v>0</v>
      </c>
      <c r="I816" s="257">
        <v>144606393.38999999</v>
      </c>
      <c r="J816">
        <v>0</v>
      </c>
      <c r="K816" s="257">
        <v>95655461.609999999</v>
      </c>
      <c r="L816" s="257">
        <v>95655461.609999999</v>
      </c>
      <c r="M816" s="257">
        <v>181570887</v>
      </c>
      <c r="N816" s="257">
        <v>60140472</v>
      </c>
    </row>
    <row r="817" spans="1:14" hidden="1" x14ac:dyDescent="0.25">
      <c r="A817" s="143" t="s">
        <v>721</v>
      </c>
      <c r="B817" s="143" t="s">
        <v>250</v>
      </c>
      <c r="C817" s="143" t="s">
        <v>251</v>
      </c>
      <c r="D817" s="143" t="s">
        <v>69</v>
      </c>
      <c r="E817" s="257">
        <v>173230842</v>
      </c>
      <c r="F817" s="257">
        <v>173230842</v>
      </c>
      <c r="G817" s="257">
        <v>171835852</v>
      </c>
      <c r="H817" s="257">
        <v>0</v>
      </c>
      <c r="I817" s="257">
        <v>139208996.08000001</v>
      </c>
      <c r="J817" s="252">
        <v>0</v>
      </c>
      <c r="K817" s="257">
        <v>32626855.920000002</v>
      </c>
      <c r="L817" s="257">
        <v>32626855.920000002</v>
      </c>
      <c r="M817" s="257">
        <v>1394990</v>
      </c>
      <c r="N817" s="257">
        <v>0</v>
      </c>
    </row>
    <row r="818" spans="1:14" hidden="1" x14ac:dyDescent="0.25">
      <c r="A818" s="143" t="s">
        <v>721</v>
      </c>
      <c r="B818" s="143" t="s">
        <v>639</v>
      </c>
      <c r="C818" s="143" t="s">
        <v>702</v>
      </c>
      <c r="D818" s="143" t="s">
        <v>69</v>
      </c>
      <c r="E818" s="257">
        <v>147141882</v>
      </c>
      <c r="F818" s="257">
        <v>147141882</v>
      </c>
      <c r="G818" s="257">
        <v>145956982</v>
      </c>
      <c r="H818" s="257">
        <v>0</v>
      </c>
      <c r="I818" s="257">
        <v>118608631.48</v>
      </c>
      <c r="J818" s="261">
        <v>0</v>
      </c>
      <c r="K818" s="257">
        <v>27348350.52</v>
      </c>
      <c r="L818" s="257">
        <v>27348350.52</v>
      </c>
      <c r="M818" s="257">
        <v>1184900</v>
      </c>
      <c r="N818" s="257">
        <v>0</v>
      </c>
    </row>
    <row r="819" spans="1:14" hidden="1" x14ac:dyDescent="0.25">
      <c r="A819" s="143" t="s">
        <v>721</v>
      </c>
      <c r="B819" s="143" t="s">
        <v>654</v>
      </c>
      <c r="C819" s="143" t="s">
        <v>703</v>
      </c>
      <c r="D819" s="143" t="s">
        <v>69</v>
      </c>
      <c r="E819" s="257">
        <v>26088960</v>
      </c>
      <c r="F819" s="257">
        <v>26088960</v>
      </c>
      <c r="G819" s="257">
        <v>25878870</v>
      </c>
      <c r="H819" s="257">
        <v>0</v>
      </c>
      <c r="I819" s="257">
        <v>20600364.600000001</v>
      </c>
      <c r="J819" s="266">
        <v>0</v>
      </c>
      <c r="K819" s="257">
        <v>5278505.4000000004</v>
      </c>
      <c r="L819" s="257">
        <v>5278505.4000000004</v>
      </c>
      <c r="M819" s="257">
        <v>210090</v>
      </c>
      <c r="N819" s="257">
        <v>0</v>
      </c>
    </row>
    <row r="820" spans="1:14" hidden="1" x14ac:dyDescent="0.25">
      <c r="A820" s="143" t="s">
        <v>721</v>
      </c>
      <c r="B820" s="143" t="s">
        <v>260</v>
      </c>
      <c r="C820" s="143" t="s">
        <v>261</v>
      </c>
      <c r="D820" s="143" t="s">
        <v>69</v>
      </c>
      <c r="E820" s="257">
        <v>223601900</v>
      </c>
      <c r="F820" s="257">
        <v>223601900</v>
      </c>
      <c r="G820" s="257">
        <v>124566475</v>
      </c>
      <c r="H820" s="257">
        <v>0</v>
      </c>
      <c r="I820" s="257">
        <v>5242588.38</v>
      </c>
      <c r="J820" s="269">
        <v>0</v>
      </c>
      <c r="K820" s="257">
        <v>59183414.619999997</v>
      </c>
      <c r="L820" s="257">
        <v>59183414.619999997</v>
      </c>
      <c r="M820" s="257">
        <v>159175897</v>
      </c>
      <c r="N820" s="257">
        <v>60140472</v>
      </c>
    </row>
    <row r="821" spans="1:14" hidden="1" x14ac:dyDescent="0.25">
      <c r="A821" s="143" t="s">
        <v>721</v>
      </c>
      <c r="B821" s="143" t="s">
        <v>262</v>
      </c>
      <c r="C821" s="143" t="s">
        <v>263</v>
      </c>
      <c r="D821" s="143" t="s">
        <v>69</v>
      </c>
      <c r="E821" s="257">
        <v>150213900</v>
      </c>
      <c r="F821" s="257">
        <v>150213900</v>
      </c>
      <c r="G821" s="257">
        <v>51178475</v>
      </c>
      <c r="H821" s="257">
        <v>0</v>
      </c>
      <c r="I821" s="257">
        <v>5242588.38</v>
      </c>
      <c r="J821" s="269">
        <v>0</v>
      </c>
      <c r="K821" s="257">
        <v>45935886.619999997</v>
      </c>
      <c r="L821" s="257">
        <v>45935886.619999997</v>
      </c>
      <c r="M821" s="257">
        <v>99035425</v>
      </c>
      <c r="N821" s="257">
        <v>0</v>
      </c>
    </row>
    <row r="822" spans="1:14" hidden="1" x14ac:dyDescent="0.25">
      <c r="A822" s="143" t="s">
        <v>721</v>
      </c>
      <c r="B822" s="143" t="s">
        <v>264</v>
      </c>
      <c r="C822" s="143" t="s">
        <v>265</v>
      </c>
      <c r="D822" s="143" t="s">
        <v>69</v>
      </c>
      <c r="E822" s="257">
        <v>73388000</v>
      </c>
      <c r="F822" s="257">
        <v>73388000</v>
      </c>
      <c r="G822" s="257">
        <v>73388000</v>
      </c>
      <c r="H822" s="257">
        <v>0</v>
      </c>
      <c r="I822" s="257">
        <v>0</v>
      </c>
      <c r="J822" s="269">
        <v>0</v>
      </c>
      <c r="K822" s="257">
        <v>13247528</v>
      </c>
      <c r="L822" s="257">
        <v>13247528</v>
      </c>
      <c r="M822" s="257">
        <v>60140472</v>
      </c>
      <c r="N822" s="257">
        <v>60140472</v>
      </c>
    </row>
    <row r="823" spans="1:14" hidden="1" x14ac:dyDescent="0.25">
      <c r="A823" s="143" t="s">
        <v>721</v>
      </c>
      <c r="B823" s="143" t="s">
        <v>286</v>
      </c>
      <c r="C823" s="143" t="s">
        <v>287</v>
      </c>
      <c r="D823" s="143" t="s">
        <v>69</v>
      </c>
      <c r="E823" s="257">
        <v>25000000</v>
      </c>
      <c r="F823" s="257">
        <v>25000000</v>
      </c>
      <c r="G823" s="257">
        <v>4000000</v>
      </c>
      <c r="H823" s="257">
        <v>0</v>
      </c>
      <c r="I823" s="257">
        <v>154808.93</v>
      </c>
      <c r="J823" s="269">
        <v>0</v>
      </c>
      <c r="K823" s="257">
        <v>3845191.07</v>
      </c>
      <c r="L823" s="257">
        <v>3845191.07</v>
      </c>
      <c r="M823" s="257">
        <v>21000000</v>
      </c>
      <c r="N823" s="257">
        <v>0</v>
      </c>
    </row>
    <row r="824" spans="1:14" hidden="1" x14ac:dyDescent="0.25">
      <c r="A824" s="143" t="s">
        <v>721</v>
      </c>
      <c r="B824" s="143" t="s">
        <v>288</v>
      </c>
      <c r="C824" s="143" t="s">
        <v>289</v>
      </c>
      <c r="D824" s="143" t="s">
        <v>69</v>
      </c>
      <c r="E824" s="257">
        <v>10000000</v>
      </c>
      <c r="F824" s="257">
        <v>10000000</v>
      </c>
      <c r="G824" s="257">
        <v>4000000</v>
      </c>
      <c r="H824" s="257">
        <v>0</v>
      </c>
      <c r="I824" s="257">
        <v>154808.93</v>
      </c>
      <c r="J824" s="269">
        <v>0</v>
      </c>
      <c r="K824" s="257">
        <v>3845191.07</v>
      </c>
      <c r="L824" s="257">
        <v>3845191.07</v>
      </c>
      <c r="M824" s="257">
        <v>6000000</v>
      </c>
      <c r="N824" s="257">
        <v>0</v>
      </c>
    </row>
    <row r="825" spans="1:14" hidden="1" x14ac:dyDescent="0.25">
      <c r="A825" s="143" t="s">
        <v>721</v>
      </c>
      <c r="B825" s="143" t="s">
        <v>370</v>
      </c>
      <c r="C825" s="143" t="s">
        <v>371</v>
      </c>
      <c r="D825" s="143" t="s">
        <v>69</v>
      </c>
      <c r="E825" s="257">
        <v>15000000</v>
      </c>
      <c r="F825" s="257">
        <v>15000000</v>
      </c>
      <c r="G825" s="257">
        <v>0</v>
      </c>
      <c r="H825" s="257">
        <v>0</v>
      </c>
      <c r="I825" s="257">
        <v>0</v>
      </c>
      <c r="J825" s="269">
        <v>0</v>
      </c>
      <c r="K825" s="257">
        <v>0</v>
      </c>
      <c r="L825" s="257">
        <v>0</v>
      </c>
      <c r="M825" s="257">
        <v>15000000</v>
      </c>
      <c r="N825" s="257">
        <v>0</v>
      </c>
    </row>
    <row r="826" spans="1:14" hidden="1" x14ac:dyDescent="0.25">
      <c r="A826" s="49"/>
      <c r="B826" s="49"/>
      <c r="C826" s="49"/>
      <c r="D826" s="49"/>
      <c r="E826" s="50">
        <v>765104920000</v>
      </c>
      <c r="F826" s="50">
        <v>765572252587.09998</v>
      </c>
      <c r="G826" s="50">
        <v>601016875901.69995</v>
      </c>
      <c r="H826" s="50">
        <v>792733230.64999998</v>
      </c>
      <c r="I826" s="50">
        <v>130922740805.3</v>
      </c>
      <c r="J826" s="276">
        <v>221373280.80000001</v>
      </c>
      <c r="K826" s="50">
        <v>109818833503.5</v>
      </c>
      <c r="L826" s="50">
        <v>109016009497.60001</v>
      </c>
      <c r="M826" s="50">
        <v>523816571766.84998</v>
      </c>
      <c r="N826" s="50">
        <v>359261195081.45001</v>
      </c>
    </row>
    <row r="827" spans="1:14" x14ac:dyDescent="0.25">
      <c r="J827" s="154"/>
    </row>
    <row r="828" spans="1:14" x14ac:dyDescent="0.25">
      <c r="J828" s="154"/>
    </row>
    <row r="829" spans="1:14" x14ac:dyDescent="0.25">
      <c r="J829" s="154"/>
    </row>
    <row r="830" spans="1:14" x14ac:dyDescent="0.25">
      <c r="J830" s="154"/>
    </row>
    <row r="831" spans="1:14" x14ac:dyDescent="0.25">
      <c r="J831" s="154"/>
    </row>
    <row r="832" spans="1:14" x14ac:dyDescent="0.25">
      <c r="J832" s="154"/>
    </row>
  </sheetData>
  <sheetProtection selectLockedCells="1" selectUnlockedCells="1"/>
  <autoFilter ref="A1:N826"/>
  <conditionalFormatting sqref="K2:K451">
    <cfRule type="cellIs" dxfId="32" priority="1" stopIfTrue="1" operator="lessThan">
      <formula>0</formula>
    </cfRule>
  </conditionalFormatting>
  <conditionalFormatting sqref="J818:J824 J801:J807 J784:J790 J767:J773 J750:J756 J733:J739 J716:J722 J699:J705 J682:J688 J665:J671 J648:J654 J631:J637 J614:J620 J597:J603 J580:J586 J563:J569 J546:J552 J529:J535 J512:J518 J495:J501 J478:J484 J461:J467 J444:J450 J427:J433 J410:J416 J393:J399 J376:J382 J359:J365 J342:J348 J325:J331 J308:J314 J291:J297 J274:J280 J257:J263 J240:J246 J223:J229 J206:J212 J189:J195 J172:J178 J155:J161 J138:J144 J121:J127 J104:J110 J87:J93 J70:J76 J53:J59 J36:J42 J19:J25 J2:J8">
    <cfRule type="cellIs" dxfId="31" priority="2" stopIfTrue="1" operator="lessThan">
      <formula>0</formula>
    </cfRule>
  </conditionalFormatting>
  <pageMargins left="0.31527777777777777" right="0.70833333333333337" top="0.74791666666666667" bottom="0.74791666666666667" header="0.51180555555555551" footer="0.51180555555555551"/>
  <pageSetup scale="90" firstPageNumber="0" orientation="landscape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97"/>
  <sheetViews>
    <sheetView zoomScaleNormal="100" workbookViewId="0"/>
  </sheetViews>
  <sheetFormatPr baseColWidth="10" defaultColWidth="36.28515625" defaultRowHeight="15" x14ac:dyDescent="0.25"/>
  <cols>
    <col min="1" max="1" width="17.5703125" customWidth="1"/>
    <col min="2" max="2" width="7.85546875" customWidth="1"/>
    <col min="3" max="3" width="29.140625" customWidth="1"/>
    <col min="4" max="4" width="6.5703125" hidden="1" customWidth="1"/>
    <col min="5" max="5" width="19.28515625" hidden="1" customWidth="1"/>
    <col min="6" max="6" width="20.5703125" customWidth="1"/>
    <col min="7" max="7" width="18" hidden="1" customWidth="1"/>
    <col min="8" max="8" width="14.85546875" hidden="1" customWidth="1"/>
    <col min="9" max="9" width="17" hidden="1" customWidth="1"/>
    <col min="10" max="10" width="21.85546875" hidden="1" customWidth="1"/>
    <col min="11" max="11" width="17.42578125" customWidth="1"/>
    <col min="12" max="12" width="17.42578125" hidden="1" customWidth="1"/>
    <col min="13" max="13" width="9.140625" customWidth="1"/>
    <col min="14" max="14" width="17.140625" customWidth="1"/>
    <col min="15" max="15" width="3" hidden="1" customWidth="1"/>
    <col min="16" max="16" width="13" customWidth="1"/>
  </cols>
  <sheetData>
    <row r="1" spans="1:16" s="143" customFormat="1" ht="51" customHeight="1" x14ac:dyDescent="0.25">
      <c r="A1" s="277" t="s">
        <v>52</v>
      </c>
      <c r="B1" s="277" t="s">
        <v>691</v>
      </c>
      <c r="C1" s="277" t="s">
        <v>54</v>
      </c>
      <c r="D1" s="277" t="s">
        <v>55</v>
      </c>
      <c r="E1" s="144" t="s">
        <v>56</v>
      </c>
      <c r="F1" s="277" t="s">
        <v>57</v>
      </c>
      <c r="G1" s="144" t="s">
        <v>58</v>
      </c>
      <c r="H1" s="49" t="s">
        <v>59</v>
      </c>
      <c r="I1" s="49" t="s">
        <v>60</v>
      </c>
      <c r="J1" s="144" t="s">
        <v>61</v>
      </c>
      <c r="K1" s="277" t="s">
        <v>12</v>
      </c>
      <c r="L1" s="144" t="s">
        <v>63</v>
      </c>
      <c r="M1" s="278" t="s">
        <v>62</v>
      </c>
      <c r="N1" s="278" t="s">
        <v>65</v>
      </c>
      <c r="O1" s="144" t="s">
        <v>67</v>
      </c>
      <c r="P1" s="278" t="s">
        <v>778</v>
      </c>
    </row>
    <row r="2" spans="1:16" s="143" customFormat="1" ht="15" hidden="1" customHeight="1" x14ac:dyDescent="0.25">
      <c r="A2" s="143" t="s">
        <v>68</v>
      </c>
      <c r="D2" s="143" t="s">
        <v>69</v>
      </c>
      <c r="E2" s="257">
        <v>153020984000</v>
      </c>
      <c r="F2" s="257">
        <v>153020984000</v>
      </c>
      <c r="G2" s="257">
        <v>127990627032.08</v>
      </c>
      <c r="H2" s="257">
        <v>909007751.58000004</v>
      </c>
      <c r="I2" s="257">
        <v>23198553129.02</v>
      </c>
      <c r="J2" s="257">
        <v>304034345.94999999</v>
      </c>
      <c r="K2" s="257">
        <v>32510639231.779999</v>
      </c>
      <c r="L2" s="257">
        <v>30339540006.139999</v>
      </c>
      <c r="M2" s="257"/>
      <c r="N2" s="279">
        <v>96098749541.669998</v>
      </c>
      <c r="O2" s="257">
        <v>71068392573.75</v>
      </c>
      <c r="P2" s="181"/>
    </row>
    <row r="3" spans="1:16" s="143" customFormat="1" hidden="1" x14ac:dyDescent="0.25">
      <c r="A3" s="143">
        <v>214786</v>
      </c>
      <c r="D3" s="143" t="s">
        <v>69</v>
      </c>
      <c r="E3" s="257">
        <v>2252563898</v>
      </c>
      <c r="F3" s="257">
        <v>2252563898</v>
      </c>
      <c r="G3" s="257">
        <v>1928322707</v>
      </c>
      <c r="H3" s="257">
        <v>0</v>
      </c>
      <c r="I3" s="257">
        <v>288078043.44999999</v>
      </c>
      <c r="J3" s="257">
        <v>0</v>
      </c>
      <c r="K3" s="257">
        <v>464329075.37</v>
      </c>
      <c r="L3" s="257">
        <v>445373871.61000001</v>
      </c>
      <c r="M3" s="257"/>
      <c r="N3" s="279">
        <v>1500156779.1800001</v>
      </c>
      <c r="O3" s="257">
        <v>1175915588.1800001</v>
      </c>
    </row>
    <row r="4" spans="1:16" s="143" customFormat="1" x14ac:dyDescent="0.25">
      <c r="A4" s="280" t="s">
        <v>696</v>
      </c>
      <c r="B4" s="281" t="s">
        <v>71</v>
      </c>
      <c r="C4" s="282" t="s">
        <v>72</v>
      </c>
      <c r="D4" s="283" t="s">
        <v>69</v>
      </c>
      <c r="E4" s="257">
        <v>1845529688</v>
      </c>
      <c r="F4" s="284">
        <v>1845529688</v>
      </c>
      <c r="G4" s="257">
        <v>1666253620.4000001</v>
      </c>
      <c r="H4" s="257">
        <v>0</v>
      </c>
      <c r="I4" s="257">
        <v>226518168</v>
      </c>
      <c r="J4" s="257">
        <v>0</v>
      </c>
      <c r="K4" s="284">
        <v>361617264.61000001</v>
      </c>
      <c r="L4" s="257">
        <v>361617264.61000001</v>
      </c>
      <c r="M4" s="285">
        <f>+K4/F4</f>
        <v>0.19594226360123448</v>
      </c>
      <c r="N4" s="286">
        <v>1257394255.3900001</v>
      </c>
      <c r="O4" s="257">
        <v>1078118187.79</v>
      </c>
      <c r="P4" s="287">
        <f>+N4/F4</f>
        <v>0.68131889915715083</v>
      </c>
    </row>
    <row r="5" spans="1:16" s="143" customFormat="1" hidden="1" x14ac:dyDescent="0.25">
      <c r="A5" s="143" t="s">
        <v>696</v>
      </c>
      <c r="B5" s="143" t="s">
        <v>73</v>
      </c>
      <c r="C5" s="143" t="s">
        <v>74</v>
      </c>
      <c r="D5" s="143" t="s">
        <v>69</v>
      </c>
      <c r="E5" s="257">
        <v>712211400</v>
      </c>
      <c r="F5" s="257">
        <v>712211400</v>
      </c>
      <c r="G5" s="257">
        <v>643883950.39999998</v>
      </c>
      <c r="H5" s="257">
        <v>0</v>
      </c>
      <c r="I5" s="257">
        <v>0</v>
      </c>
      <c r="J5" s="257">
        <v>0</v>
      </c>
      <c r="K5" s="257">
        <v>153426497.53999999</v>
      </c>
      <c r="L5" s="257">
        <v>153426497.53999999</v>
      </c>
      <c r="M5" s="288">
        <f>K5/F5*100</f>
        <v>21.54226926724284</v>
      </c>
      <c r="N5" s="257">
        <v>558784902.46000004</v>
      </c>
      <c r="O5" s="257">
        <v>490457452.86000001</v>
      </c>
      <c r="P5" s="289">
        <f>N5/F5*100</f>
        <v>78.457730732757156</v>
      </c>
    </row>
    <row r="6" spans="1:16" s="143" customFormat="1" hidden="1" x14ac:dyDescent="0.25">
      <c r="A6" s="143" t="s">
        <v>696</v>
      </c>
      <c r="B6" s="143" t="s">
        <v>75</v>
      </c>
      <c r="C6" s="143" t="s">
        <v>76</v>
      </c>
      <c r="D6" s="143" t="s">
        <v>69</v>
      </c>
      <c r="E6" s="257">
        <v>712211400</v>
      </c>
      <c r="F6" s="257">
        <v>712211400</v>
      </c>
      <c r="G6" s="257">
        <v>643883950.39999998</v>
      </c>
      <c r="H6" s="257">
        <v>0</v>
      </c>
      <c r="I6" s="257">
        <v>0</v>
      </c>
      <c r="J6" s="257">
        <v>0</v>
      </c>
      <c r="K6" s="257">
        <v>153426497.53999999</v>
      </c>
      <c r="L6" s="257">
        <v>153426497.53999999</v>
      </c>
      <c r="M6" s="257"/>
      <c r="N6" s="279">
        <v>558784902.46000004</v>
      </c>
      <c r="O6" s="257">
        <v>490457452.86000001</v>
      </c>
    </row>
    <row r="7" spans="1:16" s="143" customFormat="1" hidden="1" x14ac:dyDescent="0.25">
      <c r="A7" s="143" t="s">
        <v>696</v>
      </c>
      <c r="B7" s="143" t="s">
        <v>77</v>
      </c>
      <c r="C7" s="143" t="s">
        <v>78</v>
      </c>
      <c r="D7" s="143" t="s">
        <v>69</v>
      </c>
      <c r="E7" s="257">
        <v>851789535</v>
      </c>
      <c r="F7" s="257">
        <v>851789535</v>
      </c>
      <c r="G7" s="257">
        <v>750532470</v>
      </c>
      <c r="H7" s="257">
        <v>0</v>
      </c>
      <c r="I7" s="257">
        <v>0</v>
      </c>
      <c r="J7" s="257">
        <v>0</v>
      </c>
      <c r="K7" s="257">
        <v>153180182.06999999</v>
      </c>
      <c r="L7" s="257">
        <v>153180182.06999999</v>
      </c>
      <c r="M7" s="288">
        <f>K7/F7*100</f>
        <v>17.983336936629538</v>
      </c>
      <c r="N7" s="257">
        <v>698609352.92999995</v>
      </c>
      <c r="O7" s="257">
        <v>597352287.92999995</v>
      </c>
      <c r="P7" s="289">
        <f>N7/F7*100</f>
        <v>82.016663063370459</v>
      </c>
    </row>
    <row r="8" spans="1:16" s="143" customFormat="1" hidden="1" x14ac:dyDescent="0.25">
      <c r="A8" s="143" t="s">
        <v>696</v>
      </c>
      <c r="B8" s="143" t="s">
        <v>79</v>
      </c>
      <c r="C8" s="143" t="s">
        <v>80</v>
      </c>
      <c r="D8" s="143" t="s">
        <v>69</v>
      </c>
      <c r="E8" s="257">
        <v>171630900</v>
      </c>
      <c r="F8" s="257">
        <v>171630900</v>
      </c>
      <c r="G8" s="257">
        <v>160067648</v>
      </c>
      <c r="H8" s="257">
        <v>0</v>
      </c>
      <c r="I8" s="257">
        <v>0</v>
      </c>
      <c r="J8" s="257">
        <v>0</v>
      </c>
      <c r="K8" s="257">
        <v>36547014.109999999</v>
      </c>
      <c r="L8" s="257">
        <v>36547014.109999999</v>
      </c>
      <c r="M8" s="257"/>
      <c r="N8" s="279">
        <v>135083885.88999999</v>
      </c>
      <c r="O8" s="257">
        <v>123520633.89</v>
      </c>
    </row>
    <row r="9" spans="1:16" s="143" customFormat="1" hidden="1" x14ac:dyDescent="0.25">
      <c r="A9" s="143" t="s">
        <v>696</v>
      </c>
      <c r="B9" s="143" t="s">
        <v>81</v>
      </c>
      <c r="C9" s="143" t="s">
        <v>82</v>
      </c>
      <c r="D9" s="143" t="s">
        <v>69</v>
      </c>
      <c r="E9" s="257">
        <v>362005040</v>
      </c>
      <c r="F9" s="257">
        <v>362005040</v>
      </c>
      <c r="G9" s="257">
        <v>349729445</v>
      </c>
      <c r="H9" s="257">
        <v>0</v>
      </c>
      <c r="I9" s="257">
        <v>0</v>
      </c>
      <c r="J9" s="257">
        <v>0</v>
      </c>
      <c r="K9" s="257">
        <v>71885259.810000002</v>
      </c>
      <c r="L9" s="257">
        <v>71885259.810000002</v>
      </c>
      <c r="M9" s="257"/>
      <c r="N9" s="279">
        <v>290119780.19</v>
      </c>
      <c r="O9" s="257">
        <v>277844185.19</v>
      </c>
    </row>
    <row r="10" spans="1:16" s="143" customFormat="1" hidden="1" x14ac:dyDescent="0.25">
      <c r="A10" s="143" t="s">
        <v>696</v>
      </c>
      <c r="B10" s="143" t="s">
        <v>83</v>
      </c>
      <c r="C10" s="143" t="s">
        <v>84</v>
      </c>
      <c r="D10" s="143" t="s">
        <v>85</v>
      </c>
      <c r="E10" s="257">
        <v>120263295</v>
      </c>
      <c r="F10" s="257">
        <v>120263295</v>
      </c>
      <c r="G10" s="257">
        <v>115748619</v>
      </c>
      <c r="H10" s="257">
        <v>0</v>
      </c>
      <c r="I10" s="257">
        <v>0</v>
      </c>
      <c r="J10" s="257">
        <v>0</v>
      </c>
      <c r="K10" s="257">
        <v>0</v>
      </c>
      <c r="L10" s="257">
        <v>0</v>
      </c>
      <c r="M10" s="257"/>
      <c r="N10" s="279">
        <v>120263295</v>
      </c>
      <c r="O10" s="257">
        <v>115748619</v>
      </c>
    </row>
    <row r="11" spans="1:16" s="143" customFormat="1" hidden="1" x14ac:dyDescent="0.25">
      <c r="A11" s="143" t="s">
        <v>696</v>
      </c>
      <c r="B11" s="143" t="s">
        <v>86</v>
      </c>
      <c r="C11" s="143" t="s">
        <v>87</v>
      </c>
      <c r="D11" s="143" t="s">
        <v>69</v>
      </c>
      <c r="E11" s="257">
        <v>110671900</v>
      </c>
      <c r="F11" s="257">
        <v>110671900</v>
      </c>
      <c r="G11" s="257">
        <v>38177498</v>
      </c>
      <c r="H11" s="257">
        <v>0</v>
      </c>
      <c r="I11" s="257">
        <v>0</v>
      </c>
      <c r="J11" s="257">
        <v>0</v>
      </c>
      <c r="K11" s="257">
        <v>26177497.469999999</v>
      </c>
      <c r="L11" s="257">
        <v>26177497.469999999</v>
      </c>
      <c r="M11" s="257"/>
      <c r="N11" s="279">
        <v>84494402.530000001</v>
      </c>
      <c r="O11" s="257">
        <v>12000000.529999999</v>
      </c>
    </row>
    <row r="12" spans="1:16" s="143" customFormat="1" hidden="1" x14ac:dyDescent="0.25">
      <c r="A12" s="143" t="s">
        <v>696</v>
      </c>
      <c r="B12" s="143" t="s">
        <v>88</v>
      </c>
      <c r="C12" s="143" t="s">
        <v>89</v>
      </c>
      <c r="D12" s="143" t="s">
        <v>69</v>
      </c>
      <c r="E12" s="257">
        <v>87218400</v>
      </c>
      <c r="F12" s="257">
        <v>87218400</v>
      </c>
      <c r="G12" s="257">
        <v>86809260</v>
      </c>
      <c r="H12" s="257">
        <v>0</v>
      </c>
      <c r="I12" s="257">
        <v>0</v>
      </c>
      <c r="J12" s="257">
        <v>0</v>
      </c>
      <c r="K12" s="257">
        <v>18570410.68</v>
      </c>
      <c r="L12" s="257">
        <v>18570410.68</v>
      </c>
      <c r="M12" s="257"/>
      <c r="N12" s="279">
        <v>68647989.319999993</v>
      </c>
      <c r="O12" s="257">
        <v>68238849.319999993</v>
      </c>
    </row>
    <row r="13" spans="1:16" s="143" customFormat="1" hidden="1" x14ac:dyDescent="0.25">
      <c r="A13" s="143" t="s">
        <v>696</v>
      </c>
      <c r="B13" s="143" t="s">
        <v>90</v>
      </c>
      <c r="C13" s="143" t="s">
        <v>91</v>
      </c>
      <c r="D13" s="143" t="s">
        <v>69</v>
      </c>
      <c r="E13" s="257">
        <v>140764376</v>
      </c>
      <c r="F13" s="257">
        <v>140764376</v>
      </c>
      <c r="G13" s="257">
        <v>135918599</v>
      </c>
      <c r="H13" s="257">
        <v>0</v>
      </c>
      <c r="I13" s="257">
        <v>113178412</v>
      </c>
      <c r="J13" s="257">
        <v>0</v>
      </c>
      <c r="K13" s="257">
        <v>27585964</v>
      </c>
      <c r="L13" s="257">
        <v>27585964</v>
      </c>
      <c r="M13" s="288">
        <f>K13/F13*100</f>
        <v>19.597262307332645</v>
      </c>
      <c r="N13" s="257">
        <v>0</v>
      </c>
      <c r="O13" s="275">
        <v>-4845777</v>
      </c>
      <c r="P13" s="289">
        <f>N13/F13*100</f>
        <v>0</v>
      </c>
    </row>
    <row r="14" spans="1:16" s="143" customFormat="1" hidden="1" x14ac:dyDescent="0.25">
      <c r="A14" s="143" t="s">
        <v>696</v>
      </c>
      <c r="B14" s="143" t="s">
        <v>416</v>
      </c>
      <c r="C14" s="143" t="s">
        <v>697</v>
      </c>
      <c r="D14" s="143" t="s">
        <v>69</v>
      </c>
      <c r="E14" s="257">
        <v>133545724</v>
      </c>
      <c r="F14" s="257">
        <v>133545724</v>
      </c>
      <c r="G14" s="257">
        <v>128948448</v>
      </c>
      <c r="H14" s="257">
        <v>0</v>
      </c>
      <c r="I14" s="257">
        <v>107374409</v>
      </c>
      <c r="J14" s="257">
        <v>0</v>
      </c>
      <c r="K14" s="257">
        <v>26171315</v>
      </c>
      <c r="L14" s="257">
        <v>26171315</v>
      </c>
      <c r="M14" s="257"/>
      <c r="N14" s="279">
        <v>0</v>
      </c>
      <c r="O14" s="275">
        <v>-4597276</v>
      </c>
    </row>
    <row r="15" spans="1:16" s="143" customFormat="1" hidden="1" x14ac:dyDescent="0.25">
      <c r="A15" s="143" t="s">
        <v>696</v>
      </c>
      <c r="B15" s="143" t="s">
        <v>433</v>
      </c>
      <c r="C15" s="143" t="s">
        <v>95</v>
      </c>
      <c r="D15" s="143" t="s">
        <v>69</v>
      </c>
      <c r="E15" s="257">
        <v>7218652</v>
      </c>
      <c r="F15" s="257">
        <v>7218652</v>
      </c>
      <c r="G15" s="257">
        <v>6970151</v>
      </c>
      <c r="H15" s="257">
        <v>0</v>
      </c>
      <c r="I15" s="257">
        <v>5804003</v>
      </c>
      <c r="J15" s="257">
        <v>0</v>
      </c>
      <c r="K15" s="257">
        <v>1414649</v>
      </c>
      <c r="L15" s="257">
        <v>1414649</v>
      </c>
      <c r="M15" s="257"/>
      <c r="N15" s="279">
        <v>0</v>
      </c>
      <c r="O15" s="275">
        <v>-248501</v>
      </c>
    </row>
    <row r="16" spans="1:16" s="143" customFormat="1" ht="30" hidden="1" x14ac:dyDescent="0.25">
      <c r="A16" s="143" t="s">
        <v>696</v>
      </c>
      <c r="B16" s="143" t="s">
        <v>96</v>
      </c>
      <c r="C16" s="290" t="s">
        <v>97</v>
      </c>
      <c r="D16" s="143" t="s">
        <v>69</v>
      </c>
      <c r="E16" s="257">
        <v>140764377</v>
      </c>
      <c r="F16" s="257">
        <v>140764377</v>
      </c>
      <c r="G16" s="257">
        <v>135918601</v>
      </c>
      <c r="H16" s="257">
        <v>0</v>
      </c>
      <c r="I16" s="257">
        <v>113339756</v>
      </c>
      <c r="J16" s="257">
        <v>0</v>
      </c>
      <c r="K16" s="257">
        <v>27424621</v>
      </c>
      <c r="L16" s="257">
        <v>27424621</v>
      </c>
      <c r="M16" s="288">
        <f>K16/F16*100</f>
        <v>19.482642970103154</v>
      </c>
      <c r="N16" s="257">
        <v>0</v>
      </c>
      <c r="O16" s="275">
        <v>-4845776</v>
      </c>
      <c r="P16" s="289">
        <f>N16/F16*100</f>
        <v>0</v>
      </c>
    </row>
    <row r="17" spans="1:16" s="143" customFormat="1" hidden="1" x14ac:dyDescent="0.25">
      <c r="A17" s="143" t="s">
        <v>696</v>
      </c>
      <c r="B17" s="143" t="s">
        <v>451</v>
      </c>
      <c r="C17" s="143" t="s">
        <v>698</v>
      </c>
      <c r="D17" s="143" t="s">
        <v>69</v>
      </c>
      <c r="E17" s="257">
        <v>75796203</v>
      </c>
      <c r="F17" s="257">
        <v>75796203</v>
      </c>
      <c r="G17" s="257">
        <v>73186939</v>
      </c>
      <c r="H17" s="257">
        <v>0</v>
      </c>
      <c r="I17" s="257">
        <v>61103574</v>
      </c>
      <c r="J17" s="257">
        <v>0</v>
      </c>
      <c r="K17" s="257">
        <v>14692629</v>
      </c>
      <c r="L17" s="257">
        <v>14692629</v>
      </c>
      <c r="M17" s="257"/>
      <c r="N17" s="279">
        <v>0</v>
      </c>
      <c r="O17" s="275">
        <v>-2609264</v>
      </c>
    </row>
    <row r="18" spans="1:16" s="143" customFormat="1" hidden="1" x14ac:dyDescent="0.25">
      <c r="A18" s="143" t="s">
        <v>696</v>
      </c>
      <c r="B18" s="143" t="s">
        <v>468</v>
      </c>
      <c r="C18" s="143" t="s">
        <v>699</v>
      </c>
      <c r="D18" s="143" t="s">
        <v>69</v>
      </c>
      <c r="E18" s="257">
        <v>21656058</v>
      </c>
      <c r="F18" s="257">
        <v>21656058</v>
      </c>
      <c r="G18" s="257">
        <v>20910554</v>
      </c>
      <c r="H18" s="257">
        <v>0</v>
      </c>
      <c r="I18" s="257">
        <v>17412060</v>
      </c>
      <c r="J18" s="257">
        <v>0</v>
      </c>
      <c r="K18" s="257">
        <v>4243998</v>
      </c>
      <c r="L18" s="257">
        <v>4243998</v>
      </c>
      <c r="M18" s="257"/>
      <c r="N18" s="279">
        <v>0</v>
      </c>
      <c r="O18" s="275">
        <v>-745504</v>
      </c>
    </row>
    <row r="19" spans="1:16" s="143" customFormat="1" hidden="1" x14ac:dyDescent="0.25">
      <c r="A19" s="143" t="s">
        <v>696</v>
      </c>
      <c r="B19" s="143" t="s">
        <v>485</v>
      </c>
      <c r="C19" s="143" t="s">
        <v>700</v>
      </c>
      <c r="D19" s="143" t="s">
        <v>69</v>
      </c>
      <c r="E19" s="257">
        <v>43312116</v>
      </c>
      <c r="F19" s="257">
        <v>43312116</v>
      </c>
      <c r="G19" s="257">
        <v>41821108</v>
      </c>
      <c r="H19" s="257">
        <v>0</v>
      </c>
      <c r="I19" s="257">
        <v>34824122</v>
      </c>
      <c r="J19" s="257">
        <v>0</v>
      </c>
      <c r="K19" s="257">
        <v>8487994</v>
      </c>
      <c r="L19" s="257">
        <v>8487994</v>
      </c>
      <c r="M19" s="257"/>
      <c r="N19" s="279">
        <v>0</v>
      </c>
      <c r="O19" s="275">
        <v>-1491008</v>
      </c>
    </row>
    <row r="20" spans="1:16" s="143" customFormat="1" x14ac:dyDescent="0.25">
      <c r="A20" s="280" t="s">
        <v>696</v>
      </c>
      <c r="B20" s="281" t="s">
        <v>104</v>
      </c>
      <c r="C20" s="282" t="s">
        <v>105</v>
      </c>
      <c r="D20" s="283" t="s">
        <v>69</v>
      </c>
      <c r="E20" s="257">
        <v>83371900</v>
      </c>
      <c r="F20" s="284">
        <v>83371900</v>
      </c>
      <c r="G20" s="257">
        <v>73451899.599999994</v>
      </c>
      <c r="H20" s="257">
        <v>0</v>
      </c>
      <c r="I20" s="257">
        <v>42129295.450000003</v>
      </c>
      <c r="J20" s="257">
        <v>0</v>
      </c>
      <c r="K20" s="284">
        <v>2288860</v>
      </c>
      <c r="L20" s="257">
        <v>2288860</v>
      </c>
      <c r="M20" s="285">
        <f>+K20/F20</f>
        <v>2.7453614467224569E-2</v>
      </c>
      <c r="N20" s="286">
        <v>38953744.549999997</v>
      </c>
      <c r="O20" s="257">
        <v>29033744.149999999</v>
      </c>
      <c r="P20" s="287">
        <f>+N20/F20</f>
        <v>0.46722870115710446</v>
      </c>
    </row>
    <row r="21" spans="1:16" s="143" customFormat="1" hidden="1" x14ac:dyDescent="0.25">
      <c r="A21" s="143" t="s">
        <v>696</v>
      </c>
      <c r="B21" s="143" t="s">
        <v>106</v>
      </c>
      <c r="C21" s="290" t="s">
        <v>107</v>
      </c>
      <c r="D21" s="143" t="s">
        <v>69</v>
      </c>
      <c r="E21" s="257">
        <v>55749325</v>
      </c>
      <c r="F21" s="257">
        <v>55749325</v>
      </c>
      <c r="G21" s="257">
        <v>54664324.600000001</v>
      </c>
      <c r="H21" s="257">
        <v>0</v>
      </c>
      <c r="I21" s="257">
        <v>29594135.449999999</v>
      </c>
      <c r="J21" s="257">
        <v>0</v>
      </c>
      <c r="K21" s="257">
        <v>0</v>
      </c>
      <c r="L21" s="257">
        <v>0</v>
      </c>
      <c r="M21" s="257"/>
      <c r="N21" s="279">
        <v>26155189.550000001</v>
      </c>
      <c r="O21" s="257">
        <v>25070189.149999999</v>
      </c>
    </row>
    <row r="22" spans="1:16" s="143" customFormat="1" ht="30" hidden="1" x14ac:dyDescent="0.25">
      <c r="A22" s="143" t="s">
        <v>696</v>
      </c>
      <c r="B22" s="143" t="s">
        <v>108</v>
      </c>
      <c r="C22" s="290" t="s">
        <v>109</v>
      </c>
      <c r="D22" s="143" t="s">
        <v>69</v>
      </c>
      <c r="E22" s="257">
        <v>55664325</v>
      </c>
      <c r="F22" s="257">
        <v>55664325</v>
      </c>
      <c r="G22" s="257">
        <v>54664324.600000001</v>
      </c>
      <c r="H22" s="257">
        <v>0</v>
      </c>
      <c r="I22" s="257">
        <v>29594135.449999999</v>
      </c>
      <c r="J22" s="257">
        <v>0</v>
      </c>
      <c r="K22" s="257">
        <v>0</v>
      </c>
      <c r="L22" s="257">
        <v>0</v>
      </c>
      <c r="M22" s="257"/>
      <c r="N22" s="279">
        <v>26070189.550000001</v>
      </c>
      <c r="O22" s="257">
        <v>25070189.149999999</v>
      </c>
    </row>
    <row r="23" spans="1:16" s="143" customFormat="1" hidden="1" x14ac:dyDescent="0.25">
      <c r="A23" s="143" t="s">
        <v>696</v>
      </c>
      <c r="B23" s="143" t="s">
        <v>110</v>
      </c>
      <c r="C23" s="290" t="s">
        <v>111</v>
      </c>
      <c r="D23" s="143" t="s">
        <v>69</v>
      </c>
      <c r="E23" s="257">
        <v>85000</v>
      </c>
      <c r="F23" s="257">
        <v>85000</v>
      </c>
      <c r="G23" s="257">
        <v>0</v>
      </c>
      <c r="H23" s="257">
        <v>0</v>
      </c>
      <c r="I23" s="257">
        <v>0</v>
      </c>
      <c r="J23" s="257">
        <v>0</v>
      </c>
      <c r="K23" s="257">
        <v>0</v>
      </c>
      <c r="L23" s="257">
        <v>0</v>
      </c>
      <c r="M23" s="257"/>
      <c r="N23" s="279">
        <v>85000</v>
      </c>
      <c r="O23" s="257">
        <v>0</v>
      </c>
    </row>
    <row r="24" spans="1:16" s="143" customFormat="1" ht="30" hidden="1" x14ac:dyDescent="0.25">
      <c r="A24" s="143" t="s">
        <v>696</v>
      </c>
      <c r="B24" s="143" t="s">
        <v>124</v>
      </c>
      <c r="C24" s="290" t="s">
        <v>125</v>
      </c>
      <c r="D24" s="143" t="s">
        <v>69</v>
      </c>
      <c r="E24" s="257">
        <v>1900000</v>
      </c>
      <c r="F24" s="257">
        <v>1900000</v>
      </c>
      <c r="G24" s="257">
        <v>925000</v>
      </c>
      <c r="H24" s="257">
        <v>0</v>
      </c>
      <c r="I24" s="257">
        <v>298320</v>
      </c>
      <c r="J24" s="257">
        <v>0</v>
      </c>
      <c r="K24" s="257">
        <v>0</v>
      </c>
      <c r="L24" s="257">
        <v>0</v>
      </c>
      <c r="M24" s="257"/>
      <c r="N24" s="279">
        <v>1601680</v>
      </c>
      <c r="O24" s="257">
        <v>626680</v>
      </c>
    </row>
    <row r="25" spans="1:16" s="143" customFormat="1" ht="30" hidden="1" x14ac:dyDescent="0.25">
      <c r="A25" s="143" t="s">
        <v>696</v>
      </c>
      <c r="B25" s="143" t="s">
        <v>128</v>
      </c>
      <c r="C25" s="290" t="s">
        <v>129</v>
      </c>
      <c r="D25" s="143" t="s">
        <v>69</v>
      </c>
      <c r="E25" s="257">
        <v>1250000</v>
      </c>
      <c r="F25" s="257">
        <v>1250000</v>
      </c>
      <c r="G25" s="257">
        <v>625000</v>
      </c>
      <c r="H25" s="257">
        <v>0</v>
      </c>
      <c r="I25" s="257">
        <v>0</v>
      </c>
      <c r="J25" s="257">
        <v>0</v>
      </c>
      <c r="K25" s="257">
        <v>0</v>
      </c>
      <c r="L25" s="257">
        <v>0</v>
      </c>
      <c r="M25" s="257"/>
      <c r="N25" s="279">
        <v>1250000</v>
      </c>
      <c r="O25" s="257">
        <v>625000</v>
      </c>
    </row>
    <row r="26" spans="1:16" s="143" customFormat="1" ht="30" hidden="1" x14ac:dyDescent="0.25">
      <c r="A26" s="143" t="s">
        <v>696</v>
      </c>
      <c r="B26" s="143" t="s">
        <v>130</v>
      </c>
      <c r="C26" s="290" t="s">
        <v>131</v>
      </c>
      <c r="D26" s="143" t="s">
        <v>69</v>
      </c>
      <c r="E26" s="257">
        <v>50000</v>
      </c>
      <c r="F26" s="257">
        <v>50000</v>
      </c>
      <c r="G26" s="257">
        <v>0</v>
      </c>
      <c r="H26" s="257">
        <v>0</v>
      </c>
      <c r="I26" s="257">
        <v>0</v>
      </c>
      <c r="J26" s="257">
        <v>0</v>
      </c>
      <c r="K26" s="257">
        <v>0</v>
      </c>
      <c r="L26" s="257">
        <v>0</v>
      </c>
      <c r="M26" s="257"/>
      <c r="N26" s="279">
        <v>50000</v>
      </c>
      <c r="O26" s="257">
        <v>0</v>
      </c>
    </row>
    <row r="27" spans="1:16" s="143" customFormat="1" ht="30" hidden="1" x14ac:dyDescent="0.25">
      <c r="A27" s="143" t="s">
        <v>696</v>
      </c>
      <c r="B27" s="143" t="s">
        <v>132</v>
      </c>
      <c r="C27" s="290" t="s">
        <v>133</v>
      </c>
      <c r="D27" s="143" t="s">
        <v>69</v>
      </c>
      <c r="E27" s="257">
        <v>600000</v>
      </c>
      <c r="F27" s="257">
        <v>600000</v>
      </c>
      <c r="G27" s="257">
        <v>300000</v>
      </c>
      <c r="H27" s="257">
        <v>0</v>
      </c>
      <c r="I27" s="257">
        <v>298320</v>
      </c>
      <c r="J27" s="257">
        <v>0</v>
      </c>
      <c r="K27" s="257">
        <v>0</v>
      </c>
      <c r="L27" s="257">
        <v>0</v>
      </c>
      <c r="M27" s="257"/>
      <c r="N27" s="279">
        <v>301680</v>
      </c>
      <c r="O27" s="257">
        <v>1680</v>
      </c>
    </row>
    <row r="28" spans="1:16" s="143" customFormat="1" ht="30" hidden="1" x14ac:dyDescent="0.25">
      <c r="A28" s="143" t="s">
        <v>696</v>
      </c>
      <c r="B28" s="143" t="s">
        <v>140</v>
      </c>
      <c r="C28" s="290" t="s">
        <v>141</v>
      </c>
      <c r="D28" s="143" t="s">
        <v>69</v>
      </c>
      <c r="E28" s="257">
        <v>25000000</v>
      </c>
      <c r="F28" s="257">
        <v>25000000</v>
      </c>
      <c r="G28" s="257">
        <v>17540000</v>
      </c>
      <c r="H28" s="257">
        <v>0</v>
      </c>
      <c r="I28" s="257">
        <v>11836840</v>
      </c>
      <c r="J28" s="257">
        <v>0</v>
      </c>
      <c r="K28" s="257">
        <v>2288860</v>
      </c>
      <c r="L28" s="257">
        <v>2288860</v>
      </c>
      <c r="M28" s="257"/>
      <c r="N28" s="279">
        <v>10874300</v>
      </c>
      <c r="O28" s="257">
        <v>3414300</v>
      </c>
    </row>
    <row r="29" spans="1:16" s="143" customFormat="1" hidden="1" x14ac:dyDescent="0.25">
      <c r="A29" s="143" t="s">
        <v>696</v>
      </c>
      <c r="B29" s="143" t="s">
        <v>142</v>
      </c>
      <c r="C29" s="290" t="s">
        <v>143</v>
      </c>
      <c r="D29" s="143" t="s">
        <v>69</v>
      </c>
      <c r="E29" s="257">
        <v>100000</v>
      </c>
      <c r="F29" s="257">
        <v>100000</v>
      </c>
      <c r="G29" s="257">
        <v>100000</v>
      </c>
      <c r="H29" s="257">
        <v>0</v>
      </c>
      <c r="I29" s="257">
        <v>64340</v>
      </c>
      <c r="J29" s="257">
        <v>0</v>
      </c>
      <c r="K29" s="257">
        <v>35660</v>
      </c>
      <c r="L29" s="257">
        <v>35660</v>
      </c>
      <c r="M29" s="257"/>
      <c r="N29" s="279">
        <v>0</v>
      </c>
      <c r="O29" s="257">
        <v>0</v>
      </c>
    </row>
    <row r="30" spans="1:16" s="143" customFormat="1" hidden="1" x14ac:dyDescent="0.25">
      <c r="A30" s="143" t="s">
        <v>696</v>
      </c>
      <c r="B30" s="143" t="s">
        <v>144</v>
      </c>
      <c r="C30" s="290" t="s">
        <v>145</v>
      </c>
      <c r="D30" s="143" t="s">
        <v>69</v>
      </c>
      <c r="E30" s="257">
        <v>8085000</v>
      </c>
      <c r="F30" s="257">
        <v>8085000</v>
      </c>
      <c r="G30" s="257">
        <v>8085000</v>
      </c>
      <c r="H30" s="257">
        <v>0</v>
      </c>
      <c r="I30" s="257">
        <v>6912500</v>
      </c>
      <c r="J30" s="257">
        <v>0</v>
      </c>
      <c r="K30" s="257">
        <v>808200</v>
      </c>
      <c r="L30" s="257">
        <v>808200</v>
      </c>
      <c r="M30" s="257"/>
      <c r="N30" s="279">
        <v>364300</v>
      </c>
      <c r="O30" s="257">
        <v>364300</v>
      </c>
    </row>
    <row r="31" spans="1:16" s="143" customFormat="1" hidden="1" x14ac:dyDescent="0.25">
      <c r="A31" s="143" t="s">
        <v>696</v>
      </c>
      <c r="B31" s="143" t="s">
        <v>146</v>
      </c>
      <c r="C31" s="290" t="s">
        <v>147</v>
      </c>
      <c r="D31" s="143" t="s">
        <v>69</v>
      </c>
      <c r="E31" s="257">
        <v>8295000</v>
      </c>
      <c r="F31" s="257">
        <v>8295000</v>
      </c>
      <c r="G31" s="257">
        <v>1585000</v>
      </c>
      <c r="H31" s="257">
        <v>0</v>
      </c>
      <c r="I31" s="257">
        <v>600000</v>
      </c>
      <c r="J31" s="257">
        <v>0</v>
      </c>
      <c r="K31" s="257">
        <v>1445000</v>
      </c>
      <c r="L31" s="257">
        <v>1445000</v>
      </c>
      <c r="M31" s="257"/>
      <c r="N31" s="279">
        <v>6250000</v>
      </c>
      <c r="O31" s="275">
        <v>-460000</v>
      </c>
    </row>
    <row r="32" spans="1:16" s="143" customFormat="1" hidden="1" x14ac:dyDescent="0.25">
      <c r="A32" s="143" t="s">
        <v>696</v>
      </c>
      <c r="B32" s="143" t="s">
        <v>148</v>
      </c>
      <c r="C32" s="290" t="s">
        <v>149</v>
      </c>
      <c r="D32" s="143" t="s">
        <v>69</v>
      </c>
      <c r="E32" s="257">
        <v>8520000</v>
      </c>
      <c r="F32" s="257">
        <v>8520000</v>
      </c>
      <c r="G32" s="257">
        <v>7770000</v>
      </c>
      <c r="H32" s="257">
        <v>0</v>
      </c>
      <c r="I32" s="257">
        <v>4260000</v>
      </c>
      <c r="J32" s="257">
        <v>0</v>
      </c>
      <c r="K32" s="257">
        <v>0</v>
      </c>
      <c r="L32" s="257">
        <v>0</v>
      </c>
      <c r="M32" s="257"/>
      <c r="N32" s="279">
        <v>4260000</v>
      </c>
      <c r="O32" s="257">
        <v>3510000</v>
      </c>
    </row>
    <row r="33" spans="1:16" s="143" customFormat="1" hidden="1" x14ac:dyDescent="0.25">
      <c r="A33" s="143" t="s">
        <v>696</v>
      </c>
      <c r="B33" s="143" t="s">
        <v>154</v>
      </c>
      <c r="C33" s="290" t="s">
        <v>155</v>
      </c>
      <c r="D33" s="143" t="s">
        <v>69</v>
      </c>
      <c r="E33" s="257">
        <v>400000</v>
      </c>
      <c r="F33" s="257">
        <v>400000</v>
      </c>
      <c r="G33" s="257">
        <v>0</v>
      </c>
      <c r="H33" s="257">
        <v>0</v>
      </c>
      <c r="I33" s="257">
        <v>400000</v>
      </c>
      <c r="J33" s="257">
        <v>0</v>
      </c>
      <c r="K33" s="257">
        <v>0</v>
      </c>
      <c r="L33" s="257">
        <v>0</v>
      </c>
      <c r="M33" s="257"/>
      <c r="N33" s="279">
        <v>0</v>
      </c>
      <c r="O33" s="275">
        <v>-400000</v>
      </c>
    </row>
    <row r="34" spans="1:16" s="143" customFormat="1" ht="30" hidden="1" x14ac:dyDescent="0.25">
      <c r="A34" s="143" t="s">
        <v>696</v>
      </c>
      <c r="B34" s="143" t="s">
        <v>160</v>
      </c>
      <c r="C34" s="290" t="s">
        <v>161</v>
      </c>
      <c r="D34" s="143" t="s">
        <v>69</v>
      </c>
      <c r="E34" s="257">
        <v>400000</v>
      </c>
      <c r="F34" s="257">
        <v>400000</v>
      </c>
      <c r="G34" s="257">
        <v>0</v>
      </c>
      <c r="H34" s="257">
        <v>0</v>
      </c>
      <c r="I34" s="257">
        <v>400000</v>
      </c>
      <c r="J34" s="257">
        <v>0</v>
      </c>
      <c r="K34" s="257">
        <v>0</v>
      </c>
      <c r="L34" s="257">
        <v>0</v>
      </c>
      <c r="M34" s="257"/>
      <c r="N34" s="279">
        <v>0</v>
      </c>
      <c r="O34" s="275">
        <v>-400000</v>
      </c>
    </row>
    <row r="35" spans="1:16" s="143" customFormat="1" ht="30" hidden="1" x14ac:dyDescent="0.25">
      <c r="A35" s="143" t="s">
        <v>696</v>
      </c>
      <c r="B35" s="143" t="s">
        <v>162</v>
      </c>
      <c r="C35" s="290" t="s">
        <v>163</v>
      </c>
      <c r="D35" s="143" t="s">
        <v>69</v>
      </c>
      <c r="E35" s="257">
        <v>322575</v>
      </c>
      <c r="F35" s="257">
        <v>322575</v>
      </c>
      <c r="G35" s="257">
        <v>322575</v>
      </c>
      <c r="H35" s="257">
        <v>0</v>
      </c>
      <c r="I35" s="257">
        <v>0</v>
      </c>
      <c r="J35" s="257">
        <v>0</v>
      </c>
      <c r="K35" s="257">
        <v>0</v>
      </c>
      <c r="L35" s="257">
        <v>0</v>
      </c>
      <c r="M35" s="257"/>
      <c r="N35" s="279">
        <v>322575</v>
      </c>
      <c r="O35" s="257">
        <v>322575</v>
      </c>
    </row>
    <row r="36" spans="1:16" s="143" customFormat="1" ht="30" hidden="1" x14ac:dyDescent="0.25">
      <c r="A36" s="143" t="s">
        <v>696</v>
      </c>
      <c r="B36" s="143" t="s">
        <v>170</v>
      </c>
      <c r="C36" s="290" t="s">
        <v>171</v>
      </c>
      <c r="D36" s="143" t="s">
        <v>69</v>
      </c>
      <c r="E36" s="257">
        <v>322575</v>
      </c>
      <c r="F36" s="257">
        <v>322575</v>
      </c>
      <c r="G36" s="257">
        <v>322575</v>
      </c>
      <c r="H36" s="257">
        <v>0</v>
      </c>
      <c r="I36" s="257">
        <v>0</v>
      </c>
      <c r="J36" s="257">
        <v>0</v>
      </c>
      <c r="K36" s="257">
        <v>0</v>
      </c>
      <c r="L36" s="257">
        <v>0</v>
      </c>
      <c r="M36" s="257"/>
      <c r="N36" s="279">
        <v>322575</v>
      </c>
      <c r="O36" s="257">
        <v>322575</v>
      </c>
    </row>
    <row r="37" spans="1:16" s="143" customFormat="1" x14ac:dyDescent="0.25">
      <c r="A37" s="280" t="s">
        <v>696</v>
      </c>
      <c r="B37" s="281" t="s">
        <v>184</v>
      </c>
      <c r="C37" s="282" t="s">
        <v>185</v>
      </c>
      <c r="D37" s="283" t="s">
        <v>69</v>
      </c>
      <c r="E37" s="257">
        <v>4976400</v>
      </c>
      <c r="F37" s="284">
        <v>4976400</v>
      </c>
      <c r="G37" s="257">
        <v>4376300</v>
      </c>
      <c r="H37" s="257">
        <v>0</v>
      </c>
      <c r="I37" s="257">
        <v>0</v>
      </c>
      <c r="J37" s="257">
        <v>0</v>
      </c>
      <c r="K37" s="284">
        <v>562346.76</v>
      </c>
      <c r="L37" s="257">
        <v>0</v>
      </c>
      <c r="M37" s="285">
        <f>+K37/F37</f>
        <v>0.11300272486134555</v>
      </c>
      <c r="N37" s="286">
        <v>4414053.24</v>
      </c>
      <c r="O37" s="257">
        <v>3813953.24</v>
      </c>
      <c r="P37" s="287">
        <f>+N37/F37</f>
        <v>0.88699727513865445</v>
      </c>
    </row>
    <row r="38" spans="1:16" s="143" customFormat="1" ht="30" hidden="1" x14ac:dyDescent="0.25">
      <c r="A38" s="143" t="s">
        <v>696</v>
      </c>
      <c r="B38" s="143" t="s">
        <v>186</v>
      </c>
      <c r="C38" s="290" t="s">
        <v>187</v>
      </c>
      <c r="D38" s="143" t="s">
        <v>69</v>
      </c>
      <c r="E38" s="257">
        <v>43000</v>
      </c>
      <c r="F38" s="257">
        <v>43000</v>
      </c>
      <c r="G38" s="257">
        <v>0</v>
      </c>
      <c r="H38" s="257">
        <v>0</v>
      </c>
      <c r="I38" s="257">
        <v>0</v>
      </c>
      <c r="J38" s="257">
        <v>0</v>
      </c>
      <c r="K38" s="257">
        <v>0</v>
      </c>
      <c r="L38" s="257">
        <v>0</v>
      </c>
      <c r="M38" s="257"/>
      <c r="N38" s="279">
        <v>43000</v>
      </c>
      <c r="O38" s="257">
        <v>0</v>
      </c>
    </row>
    <row r="39" spans="1:16" s="143" customFormat="1" ht="30" hidden="1" x14ac:dyDescent="0.25">
      <c r="A39" s="143" t="s">
        <v>696</v>
      </c>
      <c r="B39" s="143" t="s">
        <v>192</v>
      </c>
      <c r="C39" s="290" t="s">
        <v>193</v>
      </c>
      <c r="D39" s="143" t="s">
        <v>69</v>
      </c>
      <c r="E39" s="257">
        <v>43000</v>
      </c>
      <c r="F39" s="257">
        <v>43000</v>
      </c>
      <c r="G39" s="257">
        <v>0</v>
      </c>
      <c r="H39" s="257">
        <v>0</v>
      </c>
      <c r="I39" s="257">
        <v>0</v>
      </c>
      <c r="J39" s="257">
        <v>0</v>
      </c>
      <c r="K39" s="257">
        <v>0</v>
      </c>
      <c r="L39" s="257">
        <v>0</v>
      </c>
      <c r="M39" s="257"/>
      <c r="N39" s="279">
        <v>43000</v>
      </c>
      <c r="O39" s="257">
        <v>0</v>
      </c>
    </row>
    <row r="40" spans="1:16" s="143" customFormat="1" ht="30" hidden="1" x14ac:dyDescent="0.25">
      <c r="A40" s="143" t="s">
        <v>696</v>
      </c>
      <c r="B40" s="143" t="s">
        <v>206</v>
      </c>
      <c r="C40" s="290" t="s">
        <v>207</v>
      </c>
      <c r="D40" s="143" t="s">
        <v>69</v>
      </c>
      <c r="E40" s="257">
        <v>49000</v>
      </c>
      <c r="F40" s="257">
        <v>49000</v>
      </c>
      <c r="G40" s="257">
        <v>0</v>
      </c>
      <c r="H40" s="257">
        <v>0</v>
      </c>
      <c r="I40" s="257">
        <v>0</v>
      </c>
      <c r="J40" s="257">
        <v>0</v>
      </c>
      <c r="K40" s="257">
        <v>0</v>
      </c>
      <c r="L40" s="257">
        <v>0</v>
      </c>
      <c r="M40" s="257"/>
      <c r="N40" s="279">
        <v>49000</v>
      </c>
      <c r="O40" s="257">
        <v>0</v>
      </c>
    </row>
    <row r="41" spans="1:16" s="143" customFormat="1" ht="30" hidden="1" x14ac:dyDescent="0.25">
      <c r="A41" s="143" t="s">
        <v>696</v>
      </c>
      <c r="B41" s="143" t="s">
        <v>208</v>
      </c>
      <c r="C41" s="290" t="s">
        <v>209</v>
      </c>
      <c r="D41" s="143" t="s">
        <v>69</v>
      </c>
      <c r="E41" s="257">
        <v>49000</v>
      </c>
      <c r="F41" s="257">
        <v>49000</v>
      </c>
      <c r="G41" s="257">
        <v>0</v>
      </c>
      <c r="H41" s="257">
        <v>0</v>
      </c>
      <c r="I41" s="257">
        <v>0</v>
      </c>
      <c r="J41" s="257">
        <v>0</v>
      </c>
      <c r="K41" s="257">
        <v>0</v>
      </c>
      <c r="L41" s="257">
        <v>0</v>
      </c>
      <c r="M41" s="257"/>
      <c r="N41" s="279">
        <v>49000</v>
      </c>
      <c r="O41" s="257">
        <v>0</v>
      </c>
    </row>
    <row r="42" spans="1:16" s="143" customFormat="1" ht="30" hidden="1" x14ac:dyDescent="0.25">
      <c r="A42" s="143" t="s">
        <v>696</v>
      </c>
      <c r="B42" s="143" t="s">
        <v>212</v>
      </c>
      <c r="C42" s="290" t="s">
        <v>213</v>
      </c>
      <c r="D42" s="143" t="s">
        <v>69</v>
      </c>
      <c r="E42" s="257">
        <v>4884400</v>
      </c>
      <c r="F42" s="257">
        <v>4884400</v>
      </c>
      <c r="G42" s="257">
        <v>4376300</v>
      </c>
      <c r="H42" s="257">
        <v>0</v>
      </c>
      <c r="I42" s="257">
        <v>0</v>
      </c>
      <c r="J42" s="257">
        <v>0</v>
      </c>
      <c r="K42" s="257">
        <v>562346.76</v>
      </c>
      <c r="L42" s="257">
        <v>0</v>
      </c>
      <c r="M42" s="257"/>
      <c r="N42" s="279">
        <v>4322053.24</v>
      </c>
      <c r="O42" s="257">
        <v>3813953.24</v>
      </c>
    </row>
    <row r="43" spans="1:16" s="143" customFormat="1" ht="30" hidden="1" x14ac:dyDescent="0.25">
      <c r="A43" s="143" t="s">
        <v>696</v>
      </c>
      <c r="B43" s="143" t="s">
        <v>214</v>
      </c>
      <c r="C43" s="290" t="s">
        <v>215</v>
      </c>
      <c r="D43" s="143" t="s">
        <v>69</v>
      </c>
      <c r="E43" s="257">
        <v>2500000</v>
      </c>
      <c r="F43" s="257">
        <v>2500000</v>
      </c>
      <c r="G43" s="257">
        <v>2250000</v>
      </c>
      <c r="H43" s="257">
        <v>0</v>
      </c>
      <c r="I43" s="257">
        <v>0</v>
      </c>
      <c r="J43" s="257">
        <v>0</v>
      </c>
      <c r="K43" s="257">
        <v>0</v>
      </c>
      <c r="L43" s="257">
        <v>0</v>
      </c>
      <c r="M43" s="257"/>
      <c r="N43" s="279">
        <v>2500000</v>
      </c>
      <c r="O43" s="257">
        <v>2250000</v>
      </c>
    </row>
    <row r="44" spans="1:16" s="143" customFormat="1" ht="30" hidden="1" x14ac:dyDescent="0.25">
      <c r="A44" s="143" t="s">
        <v>696</v>
      </c>
      <c r="B44" s="143" t="s">
        <v>218</v>
      </c>
      <c r="C44" s="290" t="s">
        <v>219</v>
      </c>
      <c r="D44" s="143" t="s">
        <v>69</v>
      </c>
      <c r="E44" s="257">
        <v>1800000</v>
      </c>
      <c r="F44" s="257">
        <v>1800000</v>
      </c>
      <c r="G44" s="257">
        <v>1676300</v>
      </c>
      <c r="H44" s="257">
        <v>0</v>
      </c>
      <c r="I44" s="257">
        <v>0</v>
      </c>
      <c r="J44" s="257">
        <v>0</v>
      </c>
      <c r="K44" s="257">
        <v>562346.76</v>
      </c>
      <c r="L44" s="257">
        <v>0</v>
      </c>
      <c r="M44" s="257"/>
      <c r="N44" s="279">
        <v>1237653.24</v>
      </c>
      <c r="O44" s="257">
        <v>1113953.24</v>
      </c>
    </row>
    <row r="45" spans="1:16" s="143" customFormat="1" ht="30" hidden="1" x14ac:dyDescent="0.25">
      <c r="A45" s="143" t="s">
        <v>696</v>
      </c>
      <c r="B45" s="143" t="s">
        <v>222</v>
      </c>
      <c r="C45" s="290" t="s">
        <v>223</v>
      </c>
      <c r="D45" s="143" t="s">
        <v>69</v>
      </c>
      <c r="E45" s="257">
        <v>500000</v>
      </c>
      <c r="F45" s="257">
        <v>500000</v>
      </c>
      <c r="G45" s="257">
        <v>450000</v>
      </c>
      <c r="H45" s="257">
        <v>0</v>
      </c>
      <c r="I45" s="257">
        <v>0</v>
      </c>
      <c r="J45" s="257">
        <v>0</v>
      </c>
      <c r="K45" s="257">
        <v>0</v>
      </c>
      <c r="L45" s="257">
        <v>0</v>
      </c>
      <c r="M45" s="257"/>
      <c r="N45" s="279">
        <v>500000</v>
      </c>
      <c r="O45" s="257">
        <v>450000</v>
      </c>
    </row>
    <row r="46" spans="1:16" s="143" customFormat="1" ht="30" hidden="1" x14ac:dyDescent="0.25">
      <c r="A46" s="143" t="s">
        <v>696</v>
      </c>
      <c r="B46" s="143" t="s">
        <v>226</v>
      </c>
      <c r="C46" s="290" t="s">
        <v>227</v>
      </c>
      <c r="D46" s="143" t="s">
        <v>69</v>
      </c>
      <c r="E46" s="257">
        <v>37400</v>
      </c>
      <c r="F46" s="257">
        <v>37400</v>
      </c>
      <c r="G46" s="257">
        <v>0</v>
      </c>
      <c r="H46" s="257">
        <v>0</v>
      </c>
      <c r="I46" s="257">
        <v>0</v>
      </c>
      <c r="J46" s="257">
        <v>0</v>
      </c>
      <c r="K46" s="257">
        <v>0</v>
      </c>
      <c r="L46" s="257">
        <v>0</v>
      </c>
      <c r="M46" s="257"/>
      <c r="N46" s="279">
        <v>37400</v>
      </c>
      <c r="O46" s="257">
        <v>0</v>
      </c>
    </row>
    <row r="47" spans="1:16" s="143" customFormat="1" ht="30" hidden="1" x14ac:dyDescent="0.25">
      <c r="A47" s="143" t="s">
        <v>696</v>
      </c>
      <c r="B47" s="143" t="s">
        <v>228</v>
      </c>
      <c r="C47" s="290" t="s">
        <v>229</v>
      </c>
      <c r="D47" s="143" t="s">
        <v>69</v>
      </c>
      <c r="E47" s="257">
        <v>47000</v>
      </c>
      <c r="F47" s="257">
        <v>47000</v>
      </c>
      <c r="G47" s="257">
        <v>0</v>
      </c>
      <c r="H47" s="257">
        <v>0</v>
      </c>
      <c r="I47" s="257">
        <v>0</v>
      </c>
      <c r="J47" s="257">
        <v>0</v>
      </c>
      <c r="K47" s="257">
        <v>0</v>
      </c>
      <c r="L47" s="257">
        <v>0</v>
      </c>
      <c r="M47" s="257"/>
      <c r="N47" s="279">
        <v>47000</v>
      </c>
      <c r="O47" s="257">
        <v>0</v>
      </c>
    </row>
    <row r="48" spans="1:16" s="143" customFormat="1" x14ac:dyDescent="0.25">
      <c r="A48" s="280" t="s">
        <v>696</v>
      </c>
      <c r="B48" s="281" t="s">
        <v>230</v>
      </c>
      <c r="C48" s="282" t="s">
        <v>231</v>
      </c>
      <c r="D48" s="283" t="s">
        <v>85</v>
      </c>
      <c r="E48" s="257">
        <v>4220000</v>
      </c>
      <c r="F48" s="284">
        <v>4220000</v>
      </c>
      <c r="G48" s="257">
        <v>3950000</v>
      </c>
      <c r="H48" s="257">
        <v>0</v>
      </c>
      <c r="I48" s="257">
        <v>0</v>
      </c>
      <c r="J48" s="257">
        <v>0</v>
      </c>
      <c r="K48" s="284">
        <v>0</v>
      </c>
      <c r="L48" s="257">
        <v>0</v>
      </c>
      <c r="M48" s="285">
        <f>+K48/F48</f>
        <v>0</v>
      </c>
      <c r="N48" s="286">
        <v>4220000</v>
      </c>
      <c r="O48" s="257">
        <v>3950000</v>
      </c>
      <c r="P48" s="287">
        <f>+N48/F48</f>
        <v>1</v>
      </c>
    </row>
    <row r="49" spans="1:16" s="143" customFormat="1" ht="30" hidden="1" x14ac:dyDescent="0.25">
      <c r="A49" s="143" t="s">
        <v>696</v>
      </c>
      <c r="B49" s="143" t="s">
        <v>232</v>
      </c>
      <c r="C49" s="290" t="s">
        <v>233</v>
      </c>
      <c r="D49" s="143" t="s">
        <v>85</v>
      </c>
      <c r="E49" s="257">
        <v>3320000</v>
      </c>
      <c r="F49" s="257">
        <v>3320000</v>
      </c>
      <c r="G49" s="257">
        <v>3050000</v>
      </c>
      <c r="H49" s="257">
        <v>0</v>
      </c>
      <c r="I49" s="257">
        <v>0</v>
      </c>
      <c r="J49" s="257">
        <v>0</v>
      </c>
      <c r="K49" s="257">
        <v>0</v>
      </c>
      <c r="L49" s="257">
        <v>0</v>
      </c>
      <c r="M49" s="257"/>
      <c r="N49" s="279">
        <v>3320000</v>
      </c>
      <c r="O49" s="257">
        <v>3050000</v>
      </c>
    </row>
    <row r="50" spans="1:16" s="143" customFormat="1" hidden="1" x14ac:dyDescent="0.25">
      <c r="A50" s="143" t="s">
        <v>696</v>
      </c>
      <c r="B50" s="143" t="s">
        <v>236</v>
      </c>
      <c r="C50" s="290" t="s">
        <v>237</v>
      </c>
      <c r="D50" s="143" t="s">
        <v>85</v>
      </c>
      <c r="E50" s="257">
        <v>120000</v>
      </c>
      <c r="F50" s="257">
        <v>120000</v>
      </c>
      <c r="G50" s="257">
        <v>0</v>
      </c>
      <c r="H50" s="257">
        <v>0</v>
      </c>
      <c r="I50" s="257">
        <v>0</v>
      </c>
      <c r="J50" s="257">
        <v>0</v>
      </c>
      <c r="K50" s="257">
        <v>0</v>
      </c>
      <c r="L50" s="257">
        <v>0</v>
      </c>
      <c r="M50" s="257"/>
      <c r="N50" s="279">
        <v>120000</v>
      </c>
      <c r="O50" s="257">
        <v>0</v>
      </c>
    </row>
    <row r="51" spans="1:16" s="143" customFormat="1" ht="30" hidden="1" x14ac:dyDescent="0.25">
      <c r="A51" s="143" t="s">
        <v>696</v>
      </c>
      <c r="B51" s="143" t="s">
        <v>238</v>
      </c>
      <c r="C51" s="290" t="s">
        <v>239</v>
      </c>
      <c r="D51" s="143" t="s">
        <v>85</v>
      </c>
      <c r="E51" s="257">
        <v>3200000</v>
      </c>
      <c r="F51" s="257">
        <v>3200000</v>
      </c>
      <c r="G51" s="257">
        <v>3050000</v>
      </c>
      <c r="H51" s="257">
        <v>0</v>
      </c>
      <c r="I51" s="257">
        <v>0</v>
      </c>
      <c r="J51" s="257">
        <v>0</v>
      </c>
      <c r="K51" s="257">
        <v>0</v>
      </c>
      <c r="L51" s="257">
        <v>0</v>
      </c>
      <c r="M51" s="257"/>
      <c r="N51" s="279">
        <v>3200000</v>
      </c>
      <c r="O51" s="257">
        <v>3050000</v>
      </c>
    </row>
    <row r="52" spans="1:16" s="143" customFormat="1" hidden="1" x14ac:dyDescent="0.25">
      <c r="A52" s="143" t="s">
        <v>696</v>
      </c>
      <c r="B52" s="143" t="s">
        <v>244</v>
      </c>
      <c r="C52" s="290" t="s">
        <v>245</v>
      </c>
      <c r="D52" s="143" t="s">
        <v>85</v>
      </c>
      <c r="E52" s="257">
        <v>900000</v>
      </c>
      <c r="F52" s="257">
        <v>900000</v>
      </c>
      <c r="G52" s="257">
        <v>900000</v>
      </c>
      <c r="H52" s="257">
        <v>0</v>
      </c>
      <c r="I52" s="257">
        <v>0</v>
      </c>
      <c r="J52" s="257">
        <v>0</v>
      </c>
      <c r="K52" s="257">
        <v>0</v>
      </c>
      <c r="L52" s="257">
        <v>0</v>
      </c>
      <c r="M52" s="257"/>
      <c r="N52" s="279">
        <v>900000</v>
      </c>
      <c r="O52" s="257">
        <v>900000</v>
      </c>
    </row>
    <row r="53" spans="1:16" s="143" customFormat="1" hidden="1" x14ac:dyDescent="0.25">
      <c r="A53" s="143" t="s">
        <v>696</v>
      </c>
      <c r="B53" s="143" t="s">
        <v>246</v>
      </c>
      <c r="C53" s="290" t="s">
        <v>247</v>
      </c>
      <c r="D53" s="143" t="s">
        <v>85</v>
      </c>
      <c r="E53" s="257">
        <v>900000</v>
      </c>
      <c r="F53" s="257">
        <v>900000</v>
      </c>
      <c r="G53" s="257">
        <v>900000</v>
      </c>
      <c r="H53" s="257">
        <v>0</v>
      </c>
      <c r="I53" s="257">
        <v>0</v>
      </c>
      <c r="J53" s="257">
        <v>0</v>
      </c>
      <c r="K53" s="257">
        <v>0</v>
      </c>
      <c r="L53" s="257">
        <v>0</v>
      </c>
      <c r="M53" s="257"/>
      <c r="N53" s="279">
        <v>900000</v>
      </c>
      <c r="O53" s="257">
        <v>900000</v>
      </c>
    </row>
    <row r="54" spans="1:16" s="143" customFormat="1" x14ac:dyDescent="0.25">
      <c r="A54" s="280" t="s">
        <v>696</v>
      </c>
      <c r="B54" s="281" t="s">
        <v>248</v>
      </c>
      <c r="C54" s="282" t="s">
        <v>249</v>
      </c>
      <c r="D54" s="283" t="s">
        <v>69</v>
      </c>
      <c r="E54" s="257">
        <v>314465910</v>
      </c>
      <c r="F54" s="284">
        <v>314465910</v>
      </c>
      <c r="G54" s="257">
        <v>180290887</v>
      </c>
      <c r="H54" s="257">
        <v>0</v>
      </c>
      <c r="I54" s="257">
        <v>19430580</v>
      </c>
      <c r="J54" s="257">
        <v>0</v>
      </c>
      <c r="K54" s="284">
        <v>99860604</v>
      </c>
      <c r="L54" s="257">
        <v>81467747</v>
      </c>
      <c r="M54" s="285">
        <f>+K54/F54</f>
        <v>0.31755621459890515</v>
      </c>
      <c r="N54" s="286">
        <v>195174726</v>
      </c>
      <c r="O54" s="257">
        <v>60999703</v>
      </c>
      <c r="P54" s="287">
        <f>+N54/F54</f>
        <v>0.62065463948063559</v>
      </c>
    </row>
    <row r="55" spans="1:16" s="143" customFormat="1" ht="30" hidden="1" x14ac:dyDescent="0.25">
      <c r="A55" s="143" t="s">
        <v>696</v>
      </c>
      <c r="B55" s="143" t="s">
        <v>250</v>
      </c>
      <c r="C55" s="290" t="s">
        <v>251</v>
      </c>
      <c r="D55" s="143" t="s">
        <v>69</v>
      </c>
      <c r="E55" s="257">
        <v>281465910</v>
      </c>
      <c r="F55" s="257">
        <v>281465910</v>
      </c>
      <c r="G55" s="257">
        <v>170290887</v>
      </c>
      <c r="H55" s="257">
        <v>0</v>
      </c>
      <c r="I55" s="257">
        <v>19430580</v>
      </c>
      <c r="J55" s="257">
        <v>0</v>
      </c>
      <c r="K55" s="257">
        <v>96499615</v>
      </c>
      <c r="L55" s="257">
        <v>78106758</v>
      </c>
      <c r="M55" s="257"/>
      <c r="N55" s="279">
        <v>165535715</v>
      </c>
      <c r="O55" s="257">
        <v>54360692</v>
      </c>
    </row>
    <row r="56" spans="1:16" s="143" customFormat="1" ht="105" hidden="1" x14ac:dyDescent="0.25">
      <c r="A56" s="143" t="s">
        <v>696</v>
      </c>
      <c r="B56" s="143" t="s">
        <v>619</v>
      </c>
      <c r="C56" s="290" t="s">
        <v>701</v>
      </c>
      <c r="D56" s="143" t="s">
        <v>69</v>
      </c>
      <c r="E56" s="257">
        <v>257500000</v>
      </c>
      <c r="F56" s="257">
        <v>257500000</v>
      </c>
      <c r="G56" s="257">
        <v>147150000</v>
      </c>
      <c r="H56" s="257">
        <v>0</v>
      </c>
      <c r="I56" s="257">
        <v>0</v>
      </c>
      <c r="J56" s="257">
        <v>0</v>
      </c>
      <c r="K56" s="257">
        <v>91964285</v>
      </c>
      <c r="L56" s="257">
        <v>73571428</v>
      </c>
      <c r="M56" s="257"/>
      <c r="N56" s="279">
        <v>165535715</v>
      </c>
      <c r="O56" s="257">
        <v>55185715</v>
      </c>
    </row>
    <row r="57" spans="1:16" s="143" customFormat="1" ht="90" hidden="1" x14ac:dyDescent="0.25">
      <c r="A57" s="143" t="s">
        <v>696</v>
      </c>
      <c r="B57" s="143" t="s">
        <v>625</v>
      </c>
      <c r="C57" s="290" t="s">
        <v>702</v>
      </c>
      <c r="D57" s="143" t="s">
        <v>69</v>
      </c>
      <c r="E57" s="257">
        <v>20356634</v>
      </c>
      <c r="F57" s="257">
        <v>20356634</v>
      </c>
      <c r="G57" s="257">
        <v>19655861</v>
      </c>
      <c r="H57" s="257">
        <v>0</v>
      </c>
      <c r="I57" s="257">
        <v>16528637</v>
      </c>
      <c r="J57" s="257">
        <v>0</v>
      </c>
      <c r="K57" s="257">
        <v>3827997</v>
      </c>
      <c r="L57" s="257">
        <v>3827997</v>
      </c>
      <c r="M57" s="257"/>
      <c r="N57" s="279">
        <v>0</v>
      </c>
      <c r="O57" s="275">
        <v>-700773</v>
      </c>
    </row>
    <row r="58" spans="1:16" s="143" customFormat="1" ht="90" hidden="1" x14ac:dyDescent="0.25">
      <c r="A58" s="143" t="s">
        <v>696</v>
      </c>
      <c r="B58" s="143" t="s">
        <v>640</v>
      </c>
      <c r="C58" s="290" t="s">
        <v>703</v>
      </c>
      <c r="D58" s="143" t="s">
        <v>69</v>
      </c>
      <c r="E58" s="257">
        <v>3609276</v>
      </c>
      <c r="F58" s="257">
        <v>3609276</v>
      </c>
      <c r="G58" s="257">
        <v>3485026</v>
      </c>
      <c r="H58" s="257">
        <v>0</v>
      </c>
      <c r="I58" s="257">
        <v>2901943</v>
      </c>
      <c r="J58" s="257">
        <v>0</v>
      </c>
      <c r="K58" s="257">
        <v>707333</v>
      </c>
      <c r="L58" s="257">
        <v>707333</v>
      </c>
      <c r="M58" s="257"/>
      <c r="N58" s="279">
        <v>0</v>
      </c>
      <c r="O58" s="275">
        <v>-124250</v>
      </c>
    </row>
    <row r="59" spans="1:16" s="143" customFormat="1" hidden="1" x14ac:dyDescent="0.25">
      <c r="A59" s="143" t="s">
        <v>696</v>
      </c>
      <c r="B59" s="143" t="s">
        <v>260</v>
      </c>
      <c r="C59" s="290" t="s">
        <v>261</v>
      </c>
      <c r="D59" s="143" t="s">
        <v>69</v>
      </c>
      <c r="E59" s="257">
        <v>33000000</v>
      </c>
      <c r="F59" s="257">
        <v>33000000</v>
      </c>
      <c r="G59" s="257">
        <v>10000000</v>
      </c>
      <c r="H59" s="257">
        <v>0</v>
      </c>
      <c r="I59" s="257">
        <v>0</v>
      </c>
      <c r="J59" s="257">
        <v>0</v>
      </c>
      <c r="K59" s="257">
        <v>3360989</v>
      </c>
      <c r="L59" s="257">
        <v>3360989</v>
      </c>
      <c r="M59" s="257"/>
      <c r="N59" s="279">
        <v>29639011</v>
      </c>
      <c r="O59" s="257">
        <v>6639011</v>
      </c>
    </row>
    <row r="60" spans="1:16" s="143" customFormat="1" hidden="1" x14ac:dyDescent="0.25">
      <c r="A60" s="143" t="s">
        <v>696</v>
      </c>
      <c r="B60" s="143" t="s">
        <v>262</v>
      </c>
      <c r="C60" s="290" t="s">
        <v>263</v>
      </c>
      <c r="D60" s="143" t="s">
        <v>69</v>
      </c>
      <c r="E60" s="257">
        <v>23000000</v>
      </c>
      <c r="F60" s="257">
        <v>23000000</v>
      </c>
      <c r="G60" s="257">
        <v>0</v>
      </c>
      <c r="H60" s="257">
        <v>0</v>
      </c>
      <c r="I60" s="257">
        <v>0</v>
      </c>
      <c r="J60" s="257">
        <v>0</v>
      </c>
      <c r="K60" s="257">
        <v>0</v>
      </c>
      <c r="L60" s="257">
        <v>0</v>
      </c>
      <c r="M60" s="257"/>
      <c r="N60" s="279">
        <v>23000000</v>
      </c>
      <c r="O60" s="257">
        <v>0</v>
      </c>
    </row>
    <row r="61" spans="1:16" s="143" customFormat="1" hidden="1" x14ac:dyDescent="0.25">
      <c r="A61" s="143" t="s">
        <v>696</v>
      </c>
      <c r="B61" s="143" t="s">
        <v>264</v>
      </c>
      <c r="C61" s="290" t="s">
        <v>265</v>
      </c>
      <c r="D61" s="143" t="s">
        <v>69</v>
      </c>
      <c r="E61" s="257">
        <v>10000000</v>
      </c>
      <c r="F61" s="257">
        <v>10000000</v>
      </c>
      <c r="G61" s="257">
        <v>10000000</v>
      </c>
      <c r="H61" s="257">
        <v>0</v>
      </c>
      <c r="I61" s="257">
        <v>0</v>
      </c>
      <c r="J61" s="257">
        <v>0</v>
      </c>
      <c r="K61" s="257">
        <v>3360989</v>
      </c>
      <c r="L61" s="257">
        <v>3360989</v>
      </c>
      <c r="M61" s="257"/>
      <c r="N61" s="279">
        <v>6639011</v>
      </c>
      <c r="O61" s="257">
        <v>6639011</v>
      </c>
    </row>
    <row r="62" spans="1:16" s="143" customFormat="1" hidden="1" x14ac:dyDescent="0.25">
      <c r="A62" s="143">
        <v>214787</v>
      </c>
      <c r="C62" s="290"/>
      <c r="D62" s="143" t="s">
        <v>69</v>
      </c>
      <c r="E62" s="257">
        <v>3672713874</v>
      </c>
      <c r="F62" s="257">
        <v>3672713874</v>
      </c>
      <c r="G62" s="257">
        <v>3029392263</v>
      </c>
      <c r="H62" s="257">
        <v>0</v>
      </c>
      <c r="I62" s="257">
        <v>479357222.39999998</v>
      </c>
      <c r="J62" s="257">
        <v>564424.06000000006</v>
      </c>
      <c r="K62" s="257">
        <v>759985163.77999997</v>
      </c>
      <c r="L62" s="257">
        <v>753753414.38</v>
      </c>
      <c r="M62" s="257"/>
      <c r="N62" s="279">
        <v>2432807063.7600002</v>
      </c>
      <c r="O62" s="257">
        <v>1789485452.76</v>
      </c>
    </row>
    <row r="63" spans="1:16" s="143" customFormat="1" x14ac:dyDescent="0.25">
      <c r="A63" s="291"/>
      <c r="C63" s="290"/>
      <c r="E63" s="257"/>
      <c r="F63" s="292">
        <f t="shared" ref="F63:K63" si="0">SUBTOTAL(9,F2:F62)</f>
        <v>165703953466</v>
      </c>
      <c r="G63" s="257">
        <f t="shared" si="0"/>
        <v>138733310123.08002</v>
      </c>
      <c r="H63" s="257">
        <f t="shared" si="0"/>
        <v>909007751.58000004</v>
      </c>
      <c r="I63" s="257">
        <f t="shared" si="0"/>
        <v>24830222525.220005</v>
      </c>
      <c r="J63" s="257">
        <f t="shared" si="0"/>
        <v>304598770.00999999</v>
      </c>
      <c r="K63" s="292">
        <f t="shared" si="0"/>
        <v>35127940697.039993</v>
      </c>
      <c r="L63" s="257"/>
      <c r="M63" s="293">
        <f>+K63/F63</f>
        <v>0.2119921701460655</v>
      </c>
      <c r="N63" s="294">
        <f>SUBTOTAL(9,N2:N62)</f>
        <v>104532183722.15002</v>
      </c>
      <c r="O63" s="257"/>
      <c r="P63" s="295">
        <f>+N63/F63</f>
        <v>0.63083699293631201</v>
      </c>
    </row>
    <row r="64" spans="1:16" s="143" customFormat="1" x14ac:dyDescent="0.25">
      <c r="A64" s="291"/>
      <c r="C64" s="290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</row>
    <row r="65" spans="1:16" s="143" customFormat="1" x14ac:dyDescent="0.25">
      <c r="A65" s="296" t="s">
        <v>704</v>
      </c>
      <c r="B65" s="297" t="s">
        <v>71</v>
      </c>
      <c r="C65" s="298" t="s">
        <v>72</v>
      </c>
      <c r="D65" s="299" t="s">
        <v>69</v>
      </c>
      <c r="E65" s="257">
        <v>2848782596</v>
      </c>
      <c r="F65" s="300">
        <v>2848782596</v>
      </c>
      <c r="G65" s="257">
        <v>2547475506</v>
      </c>
      <c r="H65" s="257">
        <v>0</v>
      </c>
      <c r="I65" s="257">
        <v>330851739</v>
      </c>
      <c r="J65" s="257">
        <v>0</v>
      </c>
      <c r="K65" s="300">
        <v>617149471.34000003</v>
      </c>
      <c r="L65" s="257">
        <v>617149471.34000003</v>
      </c>
      <c r="M65" s="301">
        <f>+K65/F65</f>
        <v>0.2166362123268181</v>
      </c>
      <c r="N65" s="302">
        <v>1900781385.6600001</v>
      </c>
      <c r="O65" s="257">
        <v>1599474295.6600001</v>
      </c>
      <c r="P65" s="303">
        <f>+N65/F65</f>
        <v>0.66722584879902858</v>
      </c>
    </row>
    <row r="66" spans="1:16" s="143" customFormat="1" hidden="1" x14ac:dyDescent="0.25">
      <c r="A66" s="143" t="s">
        <v>704</v>
      </c>
      <c r="B66" s="143" t="s">
        <v>73</v>
      </c>
      <c r="C66" s="290" t="s">
        <v>74</v>
      </c>
      <c r="D66" s="143" t="s">
        <v>69</v>
      </c>
      <c r="E66" s="257">
        <v>1118901696</v>
      </c>
      <c r="F66" s="257">
        <v>1118901696</v>
      </c>
      <c r="G66" s="257">
        <v>979840093</v>
      </c>
      <c r="H66" s="257">
        <v>0</v>
      </c>
      <c r="I66" s="257">
        <v>0</v>
      </c>
      <c r="J66" s="257">
        <v>0</v>
      </c>
      <c r="K66" s="257">
        <v>257952856.38</v>
      </c>
      <c r="L66" s="257">
        <v>257952856.38</v>
      </c>
      <c r="M66" s="288">
        <f>K66/F66*100</f>
        <v>23.054112555389317</v>
      </c>
      <c r="N66" s="257">
        <v>860948839.62</v>
      </c>
      <c r="O66" s="257">
        <v>721887236.62</v>
      </c>
      <c r="P66" s="289">
        <f>N66/F66*100</f>
        <v>76.94588744461069</v>
      </c>
    </row>
    <row r="67" spans="1:16" s="143" customFormat="1" hidden="1" x14ac:dyDescent="0.25">
      <c r="A67" s="143" t="s">
        <v>704</v>
      </c>
      <c r="B67" s="143" t="s">
        <v>75</v>
      </c>
      <c r="C67" s="290" t="s">
        <v>76</v>
      </c>
      <c r="D67" s="143" t="s">
        <v>69</v>
      </c>
      <c r="E67" s="257">
        <v>1118901696</v>
      </c>
      <c r="F67" s="257">
        <v>1118901696</v>
      </c>
      <c r="G67" s="257">
        <v>979840093</v>
      </c>
      <c r="H67" s="257">
        <v>0</v>
      </c>
      <c r="I67" s="257">
        <v>0</v>
      </c>
      <c r="J67" s="257">
        <v>0</v>
      </c>
      <c r="K67" s="257">
        <v>257952856.38</v>
      </c>
      <c r="L67" s="257">
        <v>257952856.38</v>
      </c>
      <c r="M67" s="257"/>
      <c r="N67" s="279">
        <v>860948839.62</v>
      </c>
      <c r="O67" s="257">
        <v>721887236.62</v>
      </c>
    </row>
    <row r="68" spans="1:16" s="143" customFormat="1" hidden="1" x14ac:dyDescent="0.25">
      <c r="A68" s="143" t="s">
        <v>704</v>
      </c>
      <c r="B68" s="143" t="s">
        <v>77</v>
      </c>
      <c r="C68" s="290" t="s">
        <v>78</v>
      </c>
      <c r="D68" s="143" t="s">
        <v>69</v>
      </c>
      <c r="E68" s="257">
        <v>1295309720</v>
      </c>
      <c r="F68" s="257">
        <v>1295309720</v>
      </c>
      <c r="G68" s="257">
        <v>1144209287</v>
      </c>
      <c r="H68" s="257">
        <v>0</v>
      </c>
      <c r="I68" s="257">
        <v>0</v>
      </c>
      <c r="J68" s="257">
        <v>0</v>
      </c>
      <c r="K68" s="257">
        <v>255477173.96000001</v>
      </c>
      <c r="L68" s="257">
        <v>255477173.96000001</v>
      </c>
      <c r="M68" s="288">
        <f>K68/F68*100</f>
        <v>19.723249969899094</v>
      </c>
      <c r="N68" s="257">
        <v>1039832546.04</v>
      </c>
      <c r="O68" s="257">
        <v>888732113.03999996</v>
      </c>
      <c r="P68" s="289">
        <f>N68/F68*100</f>
        <v>80.276750030100914</v>
      </c>
    </row>
    <row r="69" spans="1:16" s="143" customFormat="1" ht="30" hidden="1" x14ac:dyDescent="0.25">
      <c r="A69" s="143" t="s">
        <v>704</v>
      </c>
      <c r="B69" s="143" t="s">
        <v>79</v>
      </c>
      <c r="C69" s="290" t="s">
        <v>80</v>
      </c>
      <c r="D69" s="143" t="s">
        <v>69</v>
      </c>
      <c r="E69" s="257">
        <v>329734600</v>
      </c>
      <c r="F69" s="257">
        <v>329734600</v>
      </c>
      <c r="G69" s="257">
        <v>312608542</v>
      </c>
      <c r="H69" s="257">
        <v>0</v>
      </c>
      <c r="I69" s="257">
        <v>0</v>
      </c>
      <c r="J69" s="257">
        <v>0</v>
      </c>
      <c r="K69" s="257">
        <v>76731003.379999995</v>
      </c>
      <c r="L69" s="257">
        <v>76731003.379999995</v>
      </c>
      <c r="M69" s="257"/>
      <c r="N69" s="279">
        <v>253003596.62</v>
      </c>
      <c r="O69" s="257">
        <v>235877538.62</v>
      </c>
    </row>
    <row r="70" spans="1:16" s="143" customFormat="1" ht="30" hidden="1" x14ac:dyDescent="0.25">
      <c r="A70" s="143" t="s">
        <v>704</v>
      </c>
      <c r="B70" s="143" t="s">
        <v>81</v>
      </c>
      <c r="C70" s="290" t="s">
        <v>82</v>
      </c>
      <c r="D70" s="143" t="s">
        <v>69</v>
      </c>
      <c r="E70" s="257">
        <v>442514922</v>
      </c>
      <c r="F70" s="257">
        <v>442514922</v>
      </c>
      <c r="G70" s="257">
        <v>432303620</v>
      </c>
      <c r="H70" s="257">
        <v>0</v>
      </c>
      <c r="I70" s="257">
        <v>0</v>
      </c>
      <c r="J70" s="257">
        <v>0</v>
      </c>
      <c r="K70" s="257">
        <v>99202537.799999997</v>
      </c>
      <c r="L70" s="257">
        <v>99202537.799999997</v>
      </c>
      <c r="M70" s="257"/>
      <c r="N70" s="279">
        <v>343312384.19999999</v>
      </c>
      <c r="O70" s="257">
        <v>333101082.19999999</v>
      </c>
    </row>
    <row r="71" spans="1:16" s="143" customFormat="1" hidden="1" x14ac:dyDescent="0.25">
      <c r="A71" s="143" t="s">
        <v>704</v>
      </c>
      <c r="B71" s="143" t="s">
        <v>83</v>
      </c>
      <c r="C71" s="290" t="s">
        <v>84</v>
      </c>
      <c r="D71" s="143" t="s">
        <v>85</v>
      </c>
      <c r="E71" s="257">
        <v>185639998</v>
      </c>
      <c r="F71" s="257">
        <v>185639998</v>
      </c>
      <c r="G71" s="257">
        <v>177967965</v>
      </c>
      <c r="H71" s="257">
        <v>0</v>
      </c>
      <c r="I71" s="257">
        <v>0</v>
      </c>
      <c r="J71" s="257">
        <v>0</v>
      </c>
      <c r="K71" s="257">
        <v>0</v>
      </c>
      <c r="L71" s="257">
        <v>0</v>
      </c>
      <c r="M71" s="257"/>
      <c r="N71" s="279">
        <v>185639998</v>
      </c>
      <c r="O71" s="257">
        <v>177967965</v>
      </c>
    </row>
    <row r="72" spans="1:16" s="143" customFormat="1" hidden="1" x14ac:dyDescent="0.25">
      <c r="A72" s="143" t="s">
        <v>704</v>
      </c>
      <c r="B72" s="143" t="s">
        <v>86</v>
      </c>
      <c r="C72" s="290" t="s">
        <v>87</v>
      </c>
      <c r="D72" s="143" t="s">
        <v>69</v>
      </c>
      <c r="E72" s="257">
        <v>170646400</v>
      </c>
      <c r="F72" s="257">
        <v>170646400</v>
      </c>
      <c r="G72" s="257">
        <v>55646400</v>
      </c>
      <c r="H72" s="257">
        <v>0</v>
      </c>
      <c r="I72" s="257">
        <v>0</v>
      </c>
      <c r="J72" s="257">
        <v>0</v>
      </c>
      <c r="K72" s="257">
        <v>40448779.990000002</v>
      </c>
      <c r="L72" s="257">
        <v>40448779.990000002</v>
      </c>
      <c r="M72" s="257"/>
      <c r="N72" s="279">
        <v>130197620.01000001</v>
      </c>
      <c r="O72" s="257">
        <v>15197620.01</v>
      </c>
    </row>
    <row r="73" spans="1:16" s="143" customFormat="1" ht="30" hidden="1" x14ac:dyDescent="0.25">
      <c r="A73" s="143" t="s">
        <v>704</v>
      </c>
      <c r="B73" s="143" t="s">
        <v>88</v>
      </c>
      <c r="C73" s="290" t="s">
        <v>89</v>
      </c>
      <c r="D73" s="143" t="s">
        <v>69</v>
      </c>
      <c r="E73" s="257">
        <v>166773800</v>
      </c>
      <c r="F73" s="257">
        <v>166773800</v>
      </c>
      <c r="G73" s="257">
        <v>165682760</v>
      </c>
      <c r="H73" s="257">
        <v>0</v>
      </c>
      <c r="I73" s="257">
        <v>0</v>
      </c>
      <c r="J73" s="257">
        <v>0</v>
      </c>
      <c r="K73" s="257">
        <v>39094852.789999999</v>
      </c>
      <c r="L73" s="257">
        <v>39094852.789999999</v>
      </c>
      <c r="M73" s="257"/>
      <c r="N73" s="279">
        <v>127678947.20999999</v>
      </c>
      <c r="O73" s="257">
        <v>126587907.20999999</v>
      </c>
    </row>
    <row r="74" spans="1:16" s="143" customFormat="1" ht="30" hidden="1" x14ac:dyDescent="0.25">
      <c r="A74" s="143" t="s">
        <v>704</v>
      </c>
      <c r="B74" s="143" t="s">
        <v>90</v>
      </c>
      <c r="C74" s="290" t="s">
        <v>91</v>
      </c>
      <c r="D74" s="143" t="s">
        <v>69</v>
      </c>
      <c r="E74" s="257">
        <v>217285640</v>
      </c>
      <c r="F74" s="257">
        <v>217285640</v>
      </c>
      <c r="G74" s="257">
        <v>211713113</v>
      </c>
      <c r="H74" s="257">
        <v>0</v>
      </c>
      <c r="I74" s="257">
        <v>165238136</v>
      </c>
      <c r="J74" s="257">
        <v>0</v>
      </c>
      <c r="K74" s="257">
        <v>52047504</v>
      </c>
      <c r="L74" s="257">
        <v>52047504</v>
      </c>
      <c r="M74" s="288">
        <f>K74/F74*100</f>
        <v>23.953494579761461</v>
      </c>
      <c r="N74" s="257">
        <v>0</v>
      </c>
      <c r="O74" s="275">
        <v>-5572527</v>
      </c>
      <c r="P74" s="289">
        <f>N74/F74*100</f>
        <v>0</v>
      </c>
    </row>
    <row r="75" spans="1:16" s="143" customFormat="1" ht="90" hidden="1" x14ac:dyDescent="0.25">
      <c r="A75" s="143" t="s">
        <v>704</v>
      </c>
      <c r="B75" s="143" t="s">
        <v>418</v>
      </c>
      <c r="C75" s="290" t="s">
        <v>697</v>
      </c>
      <c r="D75" s="143" t="s">
        <v>69</v>
      </c>
      <c r="E75" s="257">
        <v>206142800</v>
      </c>
      <c r="F75" s="257">
        <v>206142800</v>
      </c>
      <c r="G75" s="257">
        <v>200856044</v>
      </c>
      <c r="H75" s="257">
        <v>0</v>
      </c>
      <c r="I75" s="257">
        <v>156764394</v>
      </c>
      <c r="J75" s="257">
        <v>0</v>
      </c>
      <c r="K75" s="257">
        <v>49378406</v>
      </c>
      <c r="L75" s="257">
        <v>49378406</v>
      </c>
      <c r="M75" s="257"/>
      <c r="N75" s="279">
        <v>0</v>
      </c>
      <c r="O75" s="275">
        <v>-5286756</v>
      </c>
    </row>
    <row r="76" spans="1:16" s="143" customFormat="1" ht="75" hidden="1" x14ac:dyDescent="0.25">
      <c r="A76" s="143" t="s">
        <v>704</v>
      </c>
      <c r="B76" s="143" t="s">
        <v>435</v>
      </c>
      <c r="C76" s="290" t="s">
        <v>95</v>
      </c>
      <c r="D76" s="143" t="s">
        <v>69</v>
      </c>
      <c r="E76" s="257">
        <v>11142840</v>
      </c>
      <c r="F76" s="257">
        <v>11142840</v>
      </c>
      <c r="G76" s="257">
        <v>10857069</v>
      </c>
      <c r="H76" s="257">
        <v>0</v>
      </c>
      <c r="I76" s="257">
        <v>8473742</v>
      </c>
      <c r="J76" s="257">
        <v>0</v>
      </c>
      <c r="K76" s="257">
        <v>2669098</v>
      </c>
      <c r="L76" s="257">
        <v>2669098</v>
      </c>
      <c r="M76" s="257"/>
      <c r="N76" s="279">
        <v>0</v>
      </c>
      <c r="O76" s="275">
        <v>-285771</v>
      </c>
    </row>
    <row r="77" spans="1:16" s="143" customFormat="1" ht="30" hidden="1" x14ac:dyDescent="0.25">
      <c r="A77" s="143" t="s">
        <v>704</v>
      </c>
      <c r="B77" s="143" t="s">
        <v>96</v>
      </c>
      <c r="C77" s="290" t="s">
        <v>97</v>
      </c>
      <c r="D77" s="143" t="s">
        <v>69</v>
      </c>
      <c r="E77" s="257">
        <v>217285540</v>
      </c>
      <c r="F77" s="257">
        <v>217285540</v>
      </c>
      <c r="G77" s="257">
        <v>211713013</v>
      </c>
      <c r="H77" s="257">
        <v>0</v>
      </c>
      <c r="I77" s="257">
        <v>165613603</v>
      </c>
      <c r="J77" s="257">
        <v>0</v>
      </c>
      <c r="K77" s="257">
        <v>51671937</v>
      </c>
      <c r="L77" s="257">
        <v>51671937</v>
      </c>
      <c r="M77" s="288">
        <f>K77/F77*100</f>
        <v>23.780660691917188</v>
      </c>
      <c r="N77" s="257">
        <v>0</v>
      </c>
      <c r="O77" s="275">
        <v>-5572527</v>
      </c>
      <c r="P77" s="289">
        <f>N77/F77*100</f>
        <v>0</v>
      </c>
    </row>
    <row r="78" spans="1:16" s="143" customFormat="1" hidden="1" x14ac:dyDescent="0.25">
      <c r="A78" s="143" t="s">
        <v>704</v>
      </c>
      <c r="B78" s="143" t="s">
        <v>453</v>
      </c>
      <c r="C78" s="143" t="s">
        <v>698</v>
      </c>
      <c r="D78" s="143" t="s">
        <v>69</v>
      </c>
      <c r="E78" s="257">
        <v>116999976</v>
      </c>
      <c r="F78" s="257">
        <v>116999976</v>
      </c>
      <c r="G78" s="257">
        <v>113999385</v>
      </c>
      <c r="H78" s="257">
        <v>0</v>
      </c>
      <c r="I78" s="257">
        <v>89349971</v>
      </c>
      <c r="J78" s="257">
        <v>0</v>
      </c>
      <c r="K78" s="257">
        <v>27650005</v>
      </c>
      <c r="L78" s="257">
        <v>27650005</v>
      </c>
      <c r="M78" s="257"/>
      <c r="N78" s="279">
        <v>0</v>
      </c>
      <c r="O78" s="275">
        <v>-3000591</v>
      </c>
    </row>
    <row r="79" spans="1:16" s="143" customFormat="1" hidden="1" x14ac:dyDescent="0.25">
      <c r="A79" s="143" t="s">
        <v>704</v>
      </c>
      <c r="B79" s="143" t="s">
        <v>470</v>
      </c>
      <c r="C79" s="143" t="s">
        <v>699</v>
      </c>
      <c r="D79" s="143" t="s">
        <v>69</v>
      </c>
      <c r="E79" s="257">
        <v>33428521</v>
      </c>
      <c r="F79" s="257">
        <v>33428521</v>
      </c>
      <c r="G79" s="257">
        <v>32571209</v>
      </c>
      <c r="H79" s="257">
        <v>0</v>
      </c>
      <c r="I79" s="257">
        <v>25421207</v>
      </c>
      <c r="J79" s="257">
        <v>0</v>
      </c>
      <c r="K79" s="257">
        <v>8007314</v>
      </c>
      <c r="L79" s="257">
        <v>8007314</v>
      </c>
      <c r="M79" s="257"/>
      <c r="N79" s="279">
        <v>0</v>
      </c>
      <c r="O79" s="275">
        <v>-857312</v>
      </c>
    </row>
    <row r="80" spans="1:16" s="143" customFormat="1" hidden="1" x14ac:dyDescent="0.25">
      <c r="A80" s="143" t="s">
        <v>704</v>
      </c>
      <c r="B80" s="143" t="s">
        <v>487</v>
      </c>
      <c r="C80" s="143" t="s">
        <v>700</v>
      </c>
      <c r="D80" s="143" t="s">
        <v>69</v>
      </c>
      <c r="E80" s="257">
        <v>66857043</v>
      </c>
      <c r="F80" s="257">
        <v>66857043</v>
      </c>
      <c r="G80" s="257">
        <v>65142419</v>
      </c>
      <c r="H80" s="257">
        <v>0</v>
      </c>
      <c r="I80" s="257">
        <v>50842425</v>
      </c>
      <c r="J80" s="257">
        <v>0</v>
      </c>
      <c r="K80" s="257">
        <v>16014618</v>
      </c>
      <c r="L80" s="257">
        <v>16014618</v>
      </c>
      <c r="M80" s="257"/>
      <c r="N80" s="279">
        <v>0</v>
      </c>
      <c r="O80" s="275">
        <v>-1714624</v>
      </c>
    </row>
    <row r="81" spans="1:16" s="143" customFormat="1" x14ac:dyDescent="0.25">
      <c r="A81" s="296" t="s">
        <v>704</v>
      </c>
      <c r="B81" s="297" t="s">
        <v>104</v>
      </c>
      <c r="C81" s="298" t="s">
        <v>105</v>
      </c>
      <c r="D81" s="299" t="s">
        <v>69</v>
      </c>
      <c r="E81" s="257">
        <v>261541565</v>
      </c>
      <c r="F81" s="300">
        <v>261541565</v>
      </c>
      <c r="G81" s="257">
        <v>176339635</v>
      </c>
      <c r="H81" s="257">
        <v>0</v>
      </c>
      <c r="I81" s="257">
        <v>110866975.90000001</v>
      </c>
      <c r="J81" s="257">
        <v>564424.06000000006</v>
      </c>
      <c r="K81" s="300">
        <v>22663386.82</v>
      </c>
      <c r="L81" s="257">
        <v>18493575.539999999</v>
      </c>
      <c r="M81" s="301">
        <f>+K81/F81</f>
        <v>8.6653097835519943E-2</v>
      </c>
      <c r="N81" s="302">
        <v>127446778.22</v>
      </c>
      <c r="O81" s="257">
        <v>42244848.219999999</v>
      </c>
      <c r="P81" s="303">
        <f>+N81/F81</f>
        <v>0.48729072268111573</v>
      </c>
    </row>
    <row r="82" spans="1:16" s="143" customFormat="1" hidden="1" x14ac:dyDescent="0.25">
      <c r="A82" s="143" t="s">
        <v>704</v>
      </c>
      <c r="B82" s="143" t="s">
        <v>106</v>
      </c>
      <c r="C82" s="290" t="s">
        <v>107</v>
      </c>
      <c r="D82" s="143" t="s">
        <v>69</v>
      </c>
      <c r="E82" s="257">
        <v>90013380</v>
      </c>
      <c r="F82" s="257">
        <v>90013380</v>
      </c>
      <c r="G82" s="257">
        <v>14137550</v>
      </c>
      <c r="H82" s="257">
        <v>0</v>
      </c>
      <c r="I82" s="257">
        <v>0</v>
      </c>
      <c r="J82" s="257">
        <v>0</v>
      </c>
      <c r="K82" s="257">
        <v>0</v>
      </c>
      <c r="L82" s="257">
        <v>0</v>
      </c>
      <c r="M82" s="257"/>
      <c r="N82" s="279">
        <v>90013380</v>
      </c>
      <c r="O82" s="257">
        <v>14137550</v>
      </c>
    </row>
    <row r="83" spans="1:16" s="143" customFormat="1" ht="30" hidden="1" x14ac:dyDescent="0.25">
      <c r="A83" s="143" t="s">
        <v>704</v>
      </c>
      <c r="B83" s="143" t="s">
        <v>108</v>
      </c>
      <c r="C83" s="290" t="s">
        <v>109</v>
      </c>
      <c r="D83" s="143" t="s">
        <v>69</v>
      </c>
      <c r="E83" s="257">
        <v>0</v>
      </c>
      <c r="F83" s="257">
        <v>14137549.84</v>
      </c>
      <c r="G83" s="257">
        <v>14137549.84</v>
      </c>
      <c r="H83" s="257">
        <v>0</v>
      </c>
      <c r="I83" s="257">
        <v>0</v>
      </c>
      <c r="J83" s="257">
        <v>0</v>
      </c>
      <c r="K83" s="257">
        <v>0</v>
      </c>
      <c r="L83" s="257">
        <v>0</v>
      </c>
      <c r="M83" s="257"/>
      <c r="N83" s="279">
        <v>14137549.84</v>
      </c>
      <c r="O83" s="257">
        <v>14137549.84</v>
      </c>
    </row>
    <row r="84" spans="1:16" s="143" customFormat="1" ht="30" hidden="1" x14ac:dyDescent="0.25">
      <c r="A84" s="143" t="s">
        <v>704</v>
      </c>
      <c r="B84" s="143" t="s">
        <v>304</v>
      </c>
      <c r="C84" s="290" t="s">
        <v>305</v>
      </c>
      <c r="D84" s="143" t="s">
        <v>69</v>
      </c>
      <c r="E84" s="257">
        <v>90013380</v>
      </c>
      <c r="F84" s="257">
        <v>75875830.159999996</v>
      </c>
      <c r="G84" s="257">
        <v>0.16</v>
      </c>
      <c r="H84" s="257">
        <v>0</v>
      </c>
      <c r="I84" s="257">
        <v>0</v>
      </c>
      <c r="J84" s="257">
        <v>0</v>
      </c>
      <c r="K84" s="257">
        <v>0</v>
      </c>
      <c r="L84" s="257">
        <v>0</v>
      </c>
      <c r="M84" s="257"/>
      <c r="N84" s="279">
        <v>75875830.159999996</v>
      </c>
      <c r="O84" s="257">
        <v>0.16</v>
      </c>
    </row>
    <row r="85" spans="1:16" s="143" customFormat="1" hidden="1" x14ac:dyDescent="0.25">
      <c r="A85" s="143" t="s">
        <v>704</v>
      </c>
      <c r="B85" s="143" t="s">
        <v>112</v>
      </c>
      <c r="C85" s="290" t="s">
        <v>113</v>
      </c>
      <c r="D85" s="143" t="s">
        <v>69</v>
      </c>
      <c r="E85" s="257">
        <v>105953785</v>
      </c>
      <c r="F85" s="257">
        <v>105953785</v>
      </c>
      <c r="G85" s="257">
        <v>102953785</v>
      </c>
      <c r="H85" s="257">
        <v>0</v>
      </c>
      <c r="I85" s="257">
        <v>87800639.450000003</v>
      </c>
      <c r="J85" s="257">
        <v>0</v>
      </c>
      <c r="K85" s="257">
        <v>17733145.539999999</v>
      </c>
      <c r="L85" s="257">
        <v>14256205.539999999</v>
      </c>
      <c r="M85" s="257"/>
      <c r="N85" s="279">
        <v>420000.01</v>
      </c>
      <c r="O85" s="257">
        <v>-2579999.9900000002</v>
      </c>
    </row>
    <row r="86" spans="1:16" s="143" customFormat="1" ht="30" hidden="1" x14ac:dyDescent="0.25">
      <c r="A86" s="143" t="s">
        <v>704</v>
      </c>
      <c r="B86" s="143" t="s">
        <v>114</v>
      </c>
      <c r="C86" s="290" t="s">
        <v>115</v>
      </c>
      <c r="D86" s="143" t="s">
        <v>69</v>
      </c>
      <c r="E86" s="257">
        <v>8169861</v>
      </c>
      <c r="F86" s="257">
        <v>8169861</v>
      </c>
      <c r="G86" s="257">
        <v>6169861</v>
      </c>
      <c r="H86" s="257">
        <v>0</v>
      </c>
      <c r="I86" s="257">
        <v>7206455</v>
      </c>
      <c r="J86" s="257">
        <v>0</v>
      </c>
      <c r="K86" s="257">
        <v>963406</v>
      </c>
      <c r="L86" s="257">
        <v>587823</v>
      </c>
      <c r="M86" s="257"/>
      <c r="N86" s="279">
        <v>0</v>
      </c>
      <c r="O86" s="275">
        <v>-2000000</v>
      </c>
    </row>
    <row r="87" spans="1:16" s="143" customFormat="1" ht="30" hidden="1" x14ac:dyDescent="0.25">
      <c r="A87" s="143" t="s">
        <v>704</v>
      </c>
      <c r="B87" s="143" t="s">
        <v>116</v>
      </c>
      <c r="C87" s="290" t="s">
        <v>117</v>
      </c>
      <c r="D87" s="143" t="s">
        <v>69</v>
      </c>
      <c r="E87" s="257">
        <v>49884000</v>
      </c>
      <c r="F87" s="257">
        <v>49884000</v>
      </c>
      <c r="G87" s="257">
        <v>49884000</v>
      </c>
      <c r="H87" s="257">
        <v>0</v>
      </c>
      <c r="I87" s="257">
        <v>38554415.700000003</v>
      </c>
      <c r="J87" s="257">
        <v>0</v>
      </c>
      <c r="K87" s="257">
        <v>11329584.300000001</v>
      </c>
      <c r="L87" s="257">
        <v>8228227.2999999998</v>
      </c>
      <c r="M87" s="257"/>
      <c r="N87" s="279">
        <v>0</v>
      </c>
      <c r="O87" s="257">
        <v>0</v>
      </c>
    </row>
    <row r="88" spans="1:16" s="143" customFormat="1" hidden="1" x14ac:dyDescent="0.25">
      <c r="A88" s="143" t="s">
        <v>704</v>
      </c>
      <c r="B88" s="143" t="s">
        <v>118</v>
      </c>
      <c r="C88" s="290" t="s">
        <v>119</v>
      </c>
      <c r="D88" s="143" t="s">
        <v>69</v>
      </c>
      <c r="E88" s="257">
        <v>19924</v>
      </c>
      <c r="F88" s="257">
        <v>19924</v>
      </c>
      <c r="G88" s="257">
        <v>19924</v>
      </c>
      <c r="H88" s="257">
        <v>0</v>
      </c>
      <c r="I88" s="257">
        <v>999</v>
      </c>
      <c r="J88" s="257">
        <v>0</v>
      </c>
      <c r="K88" s="257">
        <v>18925</v>
      </c>
      <c r="L88" s="257">
        <v>18925</v>
      </c>
      <c r="M88" s="257"/>
      <c r="N88" s="279">
        <v>0</v>
      </c>
      <c r="O88" s="257">
        <v>0</v>
      </c>
    </row>
    <row r="89" spans="1:16" s="143" customFormat="1" ht="30" hidden="1" x14ac:dyDescent="0.25">
      <c r="A89" s="143" t="s">
        <v>704</v>
      </c>
      <c r="B89" s="143" t="s">
        <v>120</v>
      </c>
      <c r="C89" s="290" t="s">
        <v>121</v>
      </c>
      <c r="D89" s="143" t="s">
        <v>69</v>
      </c>
      <c r="E89" s="257">
        <v>47460000</v>
      </c>
      <c r="F89" s="257">
        <v>47460000</v>
      </c>
      <c r="G89" s="257">
        <v>46460000</v>
      </c>
      <c r="H89" s="257">
        <v>0</v>
      </c>
      <c r="I89" s="257">
        <v>42038769.75</v>
      </c>
      <c r="J89" s="257">
        <v>0</v>
      </c>
      <c r="K89" s="257">
        <v>5421230.2400000002</v>
      </c>
      <c r="L89" s="257">
        <v>5421230.2400000002</v>
      </c>
      <c r="M89" s="257"/>
      <c r="N89" s="279">
        <v>0.01</v>
      </c>
      <c r="O89" s="257">
        <v>-999999.99</v>
      </c>
    </row>
    <row r="90" spans="1:16" s="143" customFormat="1" hidden="1" x14ac:dyDescent="0.25">
      <c r="A90" s="143" t="s">
        <v>704</v>
      </c>
      <c r="B90" s="143" t="s">
        <v>122</v>
      </c>
      <c r="C90" s="290" t="s">
        <v>123</v>
      </c>
      <c r="D90" s="143" t="s">
        <v>69</v>
      </c>
      <c r="E90" s="257">
        <v>420000</v>
      </c>
      <c r="F90" s="257">
        <v>420000</v>
      </c>
      <c r="G90" s="257">
        <v>420000</v>
      </c>
      <c r="H90" s="257">
        <v>0</v>
      </c>
      <c r="I90" s="257">
        <v>0</v>
      </c>
      <c r="J90" s="257">
        <v>0</v>
      </c>
      <c r="K90" s="257">
        <v>0</v>
      </c>
      <c r="L90" s="257">
        <v>0</v>
      </c>
      <c r="M90" s="257"/>
      <c r="N90" s="279">
        <v>420000</v>
      </c>
      <c r="O90" s="257">
        <v>420000</v>
      </c>
    </row>
    <row r="91" spans="1:16" s="143" customFormat="1" ht="30" hidden="1" x14ac:dyDescent="0.25">
      <c r="A91" s="143" t="s">
        <v>704</v>
      </c>
      <c r="B91" s="143" t="s">
        <v>124</v>
      </c>
      <c r="C91" s="290" t="s">
        <v>125</v>
      </c>
      <c r="D91" s="143" t="s">
        <v>69</v>
      </c>
      <c r="E91" s="257">
        <v>8000000</v>
      </c>
      <c r="F91" s="257">
        <v>8000000</v>
      </c>
      <c r="G91" s="257">
        <v>8000000</v>
      </c>
      <c r="H91" s="257">
        <v>0</v>
      </c>
      <c r="I91" s="257">
        <v>2364215.34</v>
      </c>
      <c r="J91" s="257">
        <v>282415.06</v>
      </c>
      <c r="K91" s="257">
        <v>4318660</v>
      </c>
      <c r="L91" s="257">
        <v>4077670</v>
      </c>
      <c r="M91" s="257"/>
      <c r="N91" s="279">
        <v>1034709.6</v>
      </c>
      <c r="O91" s="257">
        <v>1034709.6</v>
      </c>
    </row>
    <row r="92" spans="1:16" s="143" customFormat="1" hidden="1" x14ac:dyDescent="0.25">
      <c r="A92" s="143" t="s">
        <v>704</v>
      </c>
      <c r="B92" s="143" t="s">
        <v>126</v>
      </c>
      <c r="C92" s="290" t="s">
        <v>127</v>
      </c>
      <c r="D92" s="143" t="s">
        <v>69</v>
      </c>
      <c r="E92" s="257">
        <v>7000000</v>
      </c>
      <c r="F92" s="257">
        <v>7000000</v>
      </c>
      <c r="G92" s="257">
        <v>7000000</v>
      </c>
      <c r="H92" s="257">
        <v>0</v>
      </c>
      <c r="I92" s="257">
        <v>2364215.34</v>
      </c>
      <c r="J92" s="257">
        <v>282415.06</v>
      </c>
      <c r="K92" s="257">
        <v>4318660</v>
      </c>
      <c r="L92" s="257">
        <v>4077670</v>
      </c>
      <c r="M92" s="257"/>
      <c r="N92" s="279">
        <v>34709.599999999999</v>
      </c>
      <c r="O92" s="257">
        <v>34709.599999999999</v>
      </c>
    </row>
    <row r="93" spans="1:16" s="143" customFormat="1" ht="30" hidden="1" x14ac:dyDescent="0.25">
      <c r="A93" s="143" t="s">
        <v>704</v>
      </c>
      <c r="B93" s="143" t="s">
        <v>132</v>
      </c>
      <c r="C93" s="290" t="s">
        <v>133</v>
      </c>
      <c r="D93" s="143" t="s">
        <v>69</v>
      </c>
      <c r="E93" s="257">
        <v>1000000</v>
      </c>
      <c r="F93" s="257">
        <v>1000000</v>
      </c>
      <c r="G93" s="257">
        <v>1000000</v>
      </c>
      <c r="H93" s="257">
        <v>0</v>
      </c>
      <c r="I93" s="257">
        <v>0</v>
      </c>
      <c r="J93" s="257">
        <v>0</v>
      </c>
      <c r="K93" s="257">
        <v>0</v>
      </c>
      <c r="L93" s="257">
        <v>0</v>
      </c>
      <c r="M93" s="257"/>
      <c r="N93" s="279">
        <v>1000000</v>
      </c>
      <c r="O93" s="257">
        <v>1000000</v>
      </c>
    </row>
    <row r="94" spans="1:16" s="143" customFormat="1" ht="30" hidden="1" x14ac:dyDescent="0.25">
      <c r="A94" s="143" t="s">
        <v>704</v>
      </c>
      <c r="B94" s="143" t="s">
        <v>134</v>
      </c>
      <c r="C94" s="290" t="s">
        <v>135</v>
      </c>
      <c r="D94" s="143" t="s">
        <v>69</v>
      </c>
      <c r="E94" s="257">
        <v>3480000</v>
      </c>
      <c r="F94" s="257">
        <v>3480000</v>
      </c>
      <c r="G94" s="257">
        <v>1480000</v>
      </c>
      <c r="H94" s="257">
        <v>0</v>
      </c>
      <c r="I94" s="257">
        <v>992671.68</v>
      </c>
      <c r="J94" s="257">
        <v>282009</v>
      </c>
      <c r="K94" s="257">
        <v>0</v>
      </c>
      <c r="L94" s="257">
        <v>0</v>
      </c>
      <c r="M94" s="257"/>
      <c r="N94" s="279">
        <v>2205319.3199999998</v>
      </c>
      <c r="O94" s="257">
        <v>205319.32</v>
      </c>
    </row>
    <row r="95" spans="1:16" s="143" customFormat="1" hidden="1" x14ac:dyDescent="0.25">
      <c r="A95" s="143" t="s">
        <v>704</v>
      </c>
      <c r="B95" s="143" t="s">
        <v>136</v>
      </c>
      <c r="C95" s="290" t="s">
        <v>137</v>
      </c>
      <c r="D95" s="143" t="s">
        <v>69</v>
      </c>
      <c r="E95" s="257">
        <v>2000000</v>
      </c>
      <c r="F95" s="257">
        <v>2000000</v>
      </c>
      <c r="G95" s="257">
        <v>0</v>
      </c>
      <c r="H95" s="257">
        <v>0</v>
      </c>
      <c r="I95" s="257">
        <v>0</v>
      </c>
      <c r="J95" s="257">
        <v>0</v>
      </c>
      <c r="K95" s="257">
        <v>0</v>
      </c>
      <c r="L95" s="257">
        <v>0</v>
      </c>
      <c r="M95" s="257"/>
      <c r="N95" s="279">
        <v>2000000</v>
      </c>
      <c r="O95" s="257">
        <v>0</v>
      </c>
    </row>
    <row r="96" spans="1:16" s="143" customFormat="1" ht="30" hidden="1" x14ac:dyDescent="0.25">
      <c r="A96" s="143" t="s">
        <v>704</v>
      </c>
      <c r="B96" s="143" t="s">
        <v>138</v>
      </c>
      <c r="C96" s="290" t="s">
        <v>139</v>
      </c>
      <c r="D96" s="143" t="s">
        <v>69</v>
      </c>
      <c r="E96" s="257">
        <v>1480000</v>
      </c>
      <c r="F96" s="257">
        <v>1480000</v>
      </c>
      <c r="G96" s="257">
        <v>1480000</v>
      </c>
      <c r="H96" s="257">
        <v>0</v>
      </c>
      <c r="I96" s="257">
        <v>992671.68</v>
      </c>
      <c r="J96" s="257">
        <v>282009</v>
      </c>
      <c r="K96" s="257">
        <v>0</v>
      </c>
      <c r="L96" s="257">
        <v>0</v>
      </c>
      <c r="M96" s="257"/>
      <c r="N96" s="279">
        <v>205319.32</v>
      </c>
      <c r="O96" s="257">
        <v>205319.32</v>
      </c>
    </row>
    <row r="97" spans="1:16" s="143" customFormat="1" ht="30" hidden="1" x14ac:dyDescent="0.25">
      <c r="A97" s="143" t="s">
        <v>704</v>
      </c>
      <c r="B97" s="143" t="s">
        <v>140</v>
      </c>
      <c r="C97" s="290" t="s">
        <v>141</v>
      </c>
      <c r="D97" s="143" t="s">
        <v>69</v>
      </c>
      <c r="E97" s="257">
        <v>1500000</v>
      </c>
      <c r="F97" s="257">
        <v>1500000</v>
      </c>
      <c r="G97" s="257">
        <v>1173900</v>
      </c>
      <c r="H97" s="257">
        <v>0</v>
      </c>
      <c r="I97" s="257">
        <v>1258100</v>
      </c>
      <c r="J97" s="257">
        <v>0</v>
      </c>
      <c r="K97" s="257">
        <v>159700</v>
      </c>
      <c r="L97" s="257">
        <v>159700</v>
      </c>
      <c r="M97" s="257"/>
      <c r="N97" s="279">
        <v>82200</v>
      </c>
      <c r="O97" s="275">
        <v>-243900</v>
      </c>
    </row>
    <row r="98" spans="1:16" s="143" customFormat="1" hidden="1" x14ac:dyDescent="0.25">
      <c r="A98" s="143" t="s">
        <v>704</v>
      </c>
      <c r="B98" s="143" t="s">
        <v>144</v>
      </c>
      <c r="C98" s="290" t="s">
        <v>145</v>
      </c>
      <c r="D98" s="143" t="s">
        <v>69</v>
      </c>
      <c r="E98" s="257">
        <v>1500000</v>
      </c>
      <c r="F98" s="257">
        <v>1500000</v>
      </c>
      <c r="G98" s="257">
        <v>1173900</v>
      </c>
      <c r="H98" s="257">
        <v>0</v>
      </c>
      <c r="I98" s="257">
        <v>1258100</v>
      </c>
      <c r="J98" s="257">
        <v>0</v>
      </c>
      <c r="K98" s="257">
        <v>159700</v>
      </c>
      <c r="L98" s="257">
        <v>159700</v>
      </c>
      <c r="M98" s="257"/>
      <c r="N98" s="279">
        <v>82200</v>
      </c>
      <c r="O98" s="275">
        <v>-243900</v>
      </c>
    </row>
    <row r="99" spans="1:16" s="143" customFormat="1" ht="30" hidden="1" x14ac:dyDescent="0.25">
      <c r="A99" s="143" t="s">
        <v>704</v>
      </c>
      <c r="B99" s="143" t="s">
        <v>150</v>
      </c>
      <c r="C99" s="290" t="s">
        <v>151</v>
      </c>
      <c r="D99" s="143" t="s">
        <v>69</v>
      </c>
      <c r="E99" s="257">
        <v>29000000</v>
      </c>
      <c r="F99" s="257">
        <v>29000000</v>
      </c>
      <c r="G99" s="257">
        <v>25500000</v>
      </c>
      <c r="H99" s="257">
        <v>0</v>
      </c>
      <c r="I99" s="257">
        <v>0</v>
      </c>
      <c r="J99" s="257">
        <v>0</v>
      </c>
      <c r="K99" s="257">
        <v>0</v>
      </c>
      <c r="L99" s="257">
        <v>0</v>
      </c>
      <c r="M99" s="257"/>
      <c r="N99" s="279">
        <v>29000000</v>
      </c>
      <c r="O99" s="257">
        <v>25500000</v>
      </c>
    </row>
    <row r="100" spans="1:16" s="143" customFormat="1" hidden="1" x14ac:dyDescent="0.25">
      <c r="A100" s="143" t="s">
        <v>704</v>
      </c>
      <c r="B100" s="143" t="s">
        <v>152</v>
      </c>
      <c r="C100" s="290" t="s">
        <v>153</v>
      </c>
      <c r="D100" s="143" t="s">
        <v>69</v>
      </c>
      <c r="E100" s="257">
        <v>29000000</v>
      </c>
      <c r="F100" s="257">
        <v>29000000</v>
      </c>
      <c r="G100" s="257">
        <v>25500000</v>
      </c>
      <c r="H100" s="257">
        <v>0</v>
      </c>
      <c r="I100" s="257">
        <v>0</v>
      </c>
      <c r="J100" s="257">
        <v>0</v>
      </c>
      <c r="K100" s="257">
        <v>0</v>
      </c>
      <c r="L100" s="257">
        <v>0</v>
      </c>
      <c r="M100" s="257"/>
      <c r="N100" s="279">
        <v>29000000</v>
      </c>
      <c r="O100" s="257">
        <v>25500000</v>
      </c>
    </row>
    <row r="101" spans="1:16" s="143" customFormat="1" hidden="1" x14ac:dyDescent="0.25">
      <c r="A101" s="143" t="s">
        <v>704</v>
      </c>
      <c r="B101" s="143" t="s">
        <v>154</v>
      </c>
      <c r="C101" s="290" t="s">
        <v>155</v>
      </c>
      <c r="D101" s="143" t="s">
        <v>69</v>
      </c>
      <c r="E101" s="257">
        <v>200000</v>
      </c>
      <c r="F101" s="257">
        <v>200000</v>
      </c>
      <c r="G101" s="257">
        <v>200000</v>
      </c>
      <c r="H101" s="257">
        <v>0</v>
      </c>
      <c r="I101" s="257">
        <v>200000</v>
      </c>
      <c r="J101" s="257">
        <v>0</v>
      </c>
      <c r="K101" s="257">
        <v>0</v>
      </c>
      <c r="L101" s="257">
        <v>0</v>
      </c>
      <c r="M101" s="257"/>
      <c r="N101" s="279">
        <v>0</v>
      </c>
      <c r="O101" s="257">
        <v>0</v>
      </c>
    </row>
    <row r="102" spans="1:16" s="143" customFormat="1" ht="30" hidden="1" x14ac:dyDescent="0.25">
      <c r="A102" s="143" t="s">
        <v>704</v>
      </c>
      <c r="B102" s="143" t="s">
        <v>160</v>
      </c>
      <c r="C102" s="290" t="s">
        <v>161</v>
      </c>
      <c r="D102" s="143" t="s">
        <v>69</v>
      </c>
      <c r="E102" s="257">
        <v>200000</v>
      </c>
      <c r="F102" s="257">
        <v>200000</v>
      </c>
      <c r="G102" s="257">
        <v>200000</v>
      </c>
      <c r="H102" s="257">
        <v>0</v>
      </c>
      <c r="I102" s="257">
        <v>200000</v>
      </c>
      <c r="J102" s="257">
        <v>0</v>
      </c>
      <c r="K102" s="257">
        <v>0</v>
      </c>
      <c r="L102" s="257">
        <v>0</v>
      </c>
      <c r="M102" s="257"/>
      <c r="N102" s="279">
        <v>0</v>
      </c>
      <c r="O102" s="257">
        <v>0</v>
      </c>
    </row>
    <row r="103" spans="1:16" s="143" customFormat="1" ht="30" hidden="1" x14ac:dyDescent="0.25">
      <c r="A103" s="143" t="s">
        <v>704</v>
      </c>
      <c r="B103" s="143" t="s">
        <v>162</v>
      </c>
      <c r="C103" s="290" t="s">
        <v>163</v>
      </c>
      <c r="D103" s="143" t="s">
        <v>69</v>
      </c>
      <c r="E103" s="257">
        <v>21394400</v>
      </c>
      <c r="F103" s="257">
        <v>21394400</v>
      </c>
      <c r="G103" s="257">
        <v>20894400</v>
      </c>
      <c r="H103" s="257">
        <v>0</v>
      </c>
      <c r="I103" s="257">
        <v>16251349.43</v>
      </c>
      <c r="J103" s="257">
        <v>0</v>
      </c>
      <c r="K103" s="257">
        <v>451881.28</v>
      </c>
      <c r="L103" s="257">
        <v>0</v>
      </c>
      <c r="M103" s="257"/>
      <c r="N103" s="279">
        <v>4691169.29</v>
      </c>
      <c r="O103" s="257">
        <v>4191169.29</v>
      </c>
    </row>
    <row r="104" spans="1:16" s="143" customFormat="1" ht="30" hidden="1" x14ac:dyDescent="0.25">
      <c r="A104" s="143" t="s">
        <v>704</v>
      </c>
      <c r="B104" s="143" t="s">
        <v>166</v>
      </c>
      <c r="C104" s="290" t="s">
        <v>167</v>
      </c>
      <c r="D104" s="143" t="s">
        <v>69</v>
      </c>
      <c r="E104" s="257">
        <v>13000000</v>
      </c>
      <c r="F104" s="257">
        <v>13000000</v>
      </c>
      <c r="G104" s="257">
        <v>13000000</v>
      </c>
      <c r="H104" s="257">
        <v>0</v>
      </c>
      <c r="I104" s="257">
        <v>12999955.050000001</v>
      </c>
      <c r="J104" s="257">
        <v>0</v>
      </c>
      <c r="K104" s="257">
        <v>0</v>
      </c>
      <c r="L104" s="257">
        <v>0</v>
      </c>
      <c r="M104" s="257"/>
      <c r="N104" s="279">
        <v>44.95</v>
      </c>
      <c r="O104" s="257">
        <v>44.95</v>
      </c>
    </row>
    <row r="105" spans="1:16" s="143" customFormat="1" ht="30" hidden="1" x14ac:dyDescent="0.25">
      <c r="A105" s="143" t="s">
        <v>704</v>
      </c>
      <c r="B105" s="143" t="s">
        <v>168</v>
      </c>
      <c r="C105" s="290" t="s">
        <v>169</v>
      </c>
      <c r="D105" s="143" t="s">
        <v>69</v>
      </c>
      <c r="E105" s="257">
        <v>6194400</v>
      </c>
      <c r="F105" s="257">
        <v>6194400</v>
      </c>
      <c r="G105" s="257">
        <v>5694400</v>
      </c>
      <c r="H105" s="257">
        <v>0</v>
      </c>
      <c r="I105" s="257">
        <v>1986540</v>
      </c>
      <c r="J105" s="257">
        <v>0</v>
      </c>
      <c r="K105" s="257">
        <v>0</v>
      </c>
      <c r="L105" s="257">
        <v>0</v>
      </c>
      <c r="M105" s="257"/>
      <c r="N105" s="279">
        <v>4207860</v>
      </c>
      <c r="O105" s="257">
        <v>3707860</v>
      </c>
    </row>
    <row r="106" spans="1:16" s="143" customFormat="1" ht="45" hidden="1" x14ac:dyDescent="0.25">
      <c r="A106" s="143" t="s">
        <v>704</v>
      </c>
      <c r="B106" s="143" t="s">
        <v>172</v>
      </c>
      <c r="C106" s="290" t="s">
        <v>173</v>
      </c>
      <c r="D106" s="143" t="s">
        <v>69</v>
      </c>
      <c r="E106" s="257">
        <v>2200000</v>
      </c>
      <c r="F106" s="257">
        <v>2200000</v>
      </c>
      <c r="G106" s="257">
        <v>2200000</v>
      </c>
      <c r="H106" s="257">
        <v>0</v>
      </c>
      <c r="I106" s="257">
        <v>1264854.3799999999</v>
      </c>
      <c r="J106" s="257">
        <v>0</v>
      </c>
      <c r="K106" s="257">
        <v>451881.28</v>
      </c>
      <c r="L106" s="257">
        <v>0</v>
      </c>
      <c r="M106" s="257"/>
      <c r="N106" s="279">
        <v>483264.34</v>
      </c>
      <c r="O106" s="257">
        <v>483264.34</v>
      </c>
    </row>
    <row r="107" spans="1:16" s="143" customFormat="1" hidden="1" x14ac:dyDescent="0.25">
      <c r="A107" s="143" t="s">
        <v>704</v>
      </c>
      <c r="B107" s="143" t="s">
        <v>174</v>
      </c>
      <c r="C107" s="290" t="s">
        <v>175</v>
      </c>
      <c r="D107" s="143" t="s">
        <v>69</v>
      </c>
      <c r="E107" s="257">
        <v>1000000</v>
      </c>
      <c r="F107" s="257">
        <v>1000000</v>
      </c>
      <c r="G107" s="257">
        <v>1000000</v>
      </c>
      <c r="H107" s="257">
        <v>0</v>
      </c>
      <c r="I107" s="257">
        <v>1000000</v>
      </c>
      <c r="J107" s="257">
        <v>0</v>
      </c>
      <c r="K107" s="257">
        <v>0</v>
      </c>
      <c r="L107" s="257">
        <v>0</v>
      </c>
      <c r="M107" s="257"/>
      <c r="N107" s="279">
        <v>0</v>
      </c>
      <c r="O107" s="257">
        <v>0</v>
      </c>
    </row>
    <row r="108" spans="1:16" s="143" customFormat="1" hidden="1" x14ac:dyDescent="0.25">
      <c r="A108" s="143" t="s">
        <v>704</v>
      </c>
      <c r="B108" s="143" t="s">
        <v>176</v>
      </c>
      <c r="C108" s="290" t="s">
        <v>177</v>
      </c>
      <c r="D108" s="143" t="s">
        <v>69</v>
      </c>
      <c r="E108" s="257">
        <v>1000000</v>
      </c>
      <c r="F108" s="257">
        <v>1000000</v>
      </c>
      <c r="G108" s="257">
        <v>1000000</v>
      </c>
      <c r="H108" s="257">
        <v>0</v>
      </c>
      <c r="I108" s="257">
        <v>1000000</v>
      </c>
      <c r="J108" s="257">
        <v>0</v>
      </c>
      <c r="K108" s="257">
        <v>0</v>
      </c>
      <c r="L108" s="257">
        <v>0</v>
      </c>
      <c r="M108" s="257"/>
      <c r="N108" s="279">
        <v>0</v>
      </c>
      <c r="O108" s="257">
        <v>0</v>
      </c>
    </row>
    <row r="109" spans="1:16" s="143" customFormat="1" hidden="1" x14ac:dyDescent="0.25">
      <c r="A109" s="143" t="s">
        <v>704</v>
      </c>
      <c r="B109" s="143" t="s">
        <v>178</v>
      </c>
      <c r="C109" s="290" t="s">
        <v>179</v>
      </c>
      <c r="D109" s="143" t="s">
        <v>69</v>
      </c>
      <c r="E109" s="257">
        <v>1000000</v>
      </c>
      <c r="F109" s="257">
        <v>1000000</v>
      </c>
      <c r="G109" s="257">
        <v>1000000</v>
      </c>
      <c r="H109" s="257">
        <v>0</v>
      </c>
      <c r="I109" s="257">
        <v>1000000</v>
      </c>
      <c r="J109" s="257">
        <v>0</v>
      </c>
      <c r="K109" s="257">
        <v>0</v>
      </c>
      <c r="L109" s="257">
        <v>0</v>
      </c>
      <c r="M109" s="257"/>
      <c r="N109" s="279">
        <v>0</v>
      </c>
      <c r="O109" s="257">
        <v>0</v>
      </c>
    </row>
    <row r="110" spans="1:16" s="143" customFormat="1" hidden="1" x14ac:dyDescent="0.25">
      <c r="A110" s="143" t="s">
        <v>704</v>
      </c>
      <c r="B110" s="143" t="s">
        <v>182</v>
      </c>
      <c r="C110" s="290" t="s">
        <v>183</v>
      </c>
      <c r="D110" s="143" t="s">
        <v>69</v>
      </c>
      <c r="E110" s="257">
        <v>1000000</v>
      </c>
      <c r="F110" s="257">
        <v>1000000</v>
      </c>
      <c r="G110" s="257">
        <v>1000000</v>
      </c>
      <c r="H110" s="257">
        <v>0</v>
      </c>
      <c r="I110" s="257">
        <v>1000000</v>
      </c>
      <c r="J110" s="257">
        <v>0</v>
      </c>
      <c r="K110" s="257">
        <v>0</v>
      </c>
      <c r="L110" s="257">
        <v>0</v>
      </c>
      <c r="M110" s="257"/>
      <c r="N110" s="279">
        <v>0</v>
      </c>
      <c r="O110" s="257">
        <v>0</v>
      </c>
    </row>
    <row r="111" spans="1:16" s="143" customFormat="1" x14ac:dyDescent="0.25">
      <c r="A111" s="296" t="s">
        <v>704</v>
      </c>
      <c r="B111" s="297" t="s">
        <v>184</v>
      </c>
      <c r="C111" s="298" t="s">
        <v>185</v>
      </c>
      <c r="D111" s="299" t="s">
        <v>69</v>
      </c>
      <c r="E111" s="257">
        <v>40981500</v>
      </c>
      <c r="F111" s="300">
        <v>40981500</v>
      </c>
      <c r="G111" s="257">
        <v>38920115</v>
      </c>
      <c r="H111" s="257">
        <v>0</v>
      </c>
      <c r="I111" s="257">
        <v>8512755.5999999996</v>
      </c>
      <c r="J111" s="257">
        <v>0</v>
      </c>
      <c r="K111" s="300">
        <v>4208828.5199999996</v>
      </c>
      <c r="L111" s="257">
        <v>2146890.4</v>
      </c>
      <c r="M111" s="301">
        <f>+K111/F111</f>
        <v>0.10270069470370775</v>
      </c>
      <c r="N111" s="302">
        <v>28259915.879999999</v>
      </c>
      <c r="O111" s="257">
        <v>26198530.879999999</v>
      </c>
      <c r="P111" s="303">
        <f>+N111/F111</f>
        <v>0.68957739174993593</v>
      </c>
    </row>
    <row r="112" spans="1:16" s="143" customFormat="1" ht="30" hidden="1" x14ac:dyDescent="0.25">
      <c r="A112" s="143" t="s">
        <v>704</v>
      </c>
      <c r="B112" s="143" t="s">
        <v>186</v>
      </c>
      <c r="C112" s="290" t="s">
        <v>187</v>
      </c>
      <c r="D112" s="143" t="s">
        <v>69</v>
      </c>
      <c r="E112" s="257">
        <v>14621000</v>
      </c>
      <c r="F112" s="257">
        <v>14621000</v>
      </c>
      <c r="G112" s="257">
        <v>14100000</v>
      </c>
      <c r="H112" s="257">
        <v>0</v>
      </c>
      <c r="I112" s="257">
        <v>7476174.5999999996</v>
      </c>
      <c r="J112" s="257">
        <v>0</v>
      </c>
      <c r="K112" s="257">
        <v>2123825.4</v>
      </c>
      <c r="L112" s="257">
        <v>2123825.4</v>
      </c>
      <c r="M112" s="257"/>
      <c r="N112" s="279">
        <v>5021000</v>
      </c>
      <c r="O112" s="257">
        <v>4500000</v>
      </c>
    </row>
    <row r="113" spans="1:15" s="143" customFormat="1" hidden="1" x14ac:dyDescent="0.25">
      <c r="A113" s="143" t="s">
        <v>704</v>
      </c>
      <c r="B113" s="143" t="s">
        <v>188</v>
      </c>
      <c r="C113" s="290" t="s">
        <v>189</v>
      </c>
      <c r="D113" s="143" t="s">
        <v>69</v>
      </c>
      <c r="E113" s="257">
        <v>9600000</v>
      </c>
      <c r="F113" s="257">
        <v>9600000</v>
      </c>
      <c r="G113" s="257">
        <v>9600000</v>
      </c>
      <c r="H113" s="257">
        <v>0</v>
      </c>
      <c r="I113" s="257">
        <v>7476174.5999999996</v>
      </c>
      <c r="J113" s="257">
        <v>0</v>
      </c>
      <c r="K113" s="257">
        <v>2123825.4</v>
      </c>
      <c r="L113" s="257">
        <v>2123825.4</v>
      </c>
      <c r="M113" s="257"/>
      <c r="N113" s="279">
        <v>0</v>
      </c>
      <c r="O113" s="257">
        <v>0</v>
      </c>
    </row>
    <row r="114" spans="1:15" s="143" customFormat="1" ht="30" hidden="1" x14ac:dyDescent="0.25">
      <c r="A114" s="143" t="s">
        <v>704</v>
      </c>
      <c r="B114" s="143" t="s">
        <v>190</v>
      </c>
      <c r="C114" s="290" t="s">
        <v>191</v>
      </c>
      <c r="D114" s="143" t="s">
        <v>69</v>
      </c>
      <c r="E114" s="257">
        <v>5000000</v>
      </c>
      <c r="F114" s="257">
        <v>5000000</v>
      </c>
      <c r="G114" s="257">
        <v>4500000</v>
      </c>
      <c r="H114" s="257">
        <v>0</v>
      </c>
      <c r="I114" s="257">
        <v>0</v>
      </c>
      <c r="J114" s="257">
        <v>0</v>
      </c>
      <c r="K114" s="257">
        <v>0</v>
      </c>
      <c r="L114" s="257">
        <v>0</v>
      </c>
      <c r="M114" s="257"/>
      <c r="N114" s="279">
        <v>5000000</v>
      </c>
      <c r="O114" s="257">
        <v>4500000</v>
      </c>
    </row>
    <row r="115" spans="1:15" s="143" customFormat="1" ht="30" hidden="1" x14ac:dyDescent="0.25">
      <c r="A115" s="143" t="s">
        <v>704</v>
      </c>
      <c r="B115" s="143" t="s">
        <v>192</v>
      </c>
      <c r="C115" s="290" t="s">
        <v>193</v>
      </c>
      <c r="D115" s="143" t="s">
        <v>69</v>
      </c>
      <c r="E115" s="257">
        <v>21000</v>
      </c>
      <c r="F115" s="257">
        <v>21000</v>
      </c>
      <c r="G115" s="257">
        <v>0</v>
      </c>
      <c r="H115" s="257">
        <v>0</v>
      </c>
      <c r="I115" s="257">
        <v>0</v>
      </c>
      <c r="J115" s="257">
        <v>0</v>
      </c>
      <c r="K115" s="257">
        <v>0</v>
      </c>
      <c r="L115" s="257">
        <v>0</v>
      </c>
      <c r="M115" s="257"/>
      <c r="N115" s="279">
        <v>21000</v>
      </c>
      <c r="O115" s="257">
        <v>0</v>
      </c>
    </row>
    <row r="116" spans="1:15" s="143" customFormat="1" ht="30" hidden="1" x14ac:dyDescent="0.25">
      <c r="A116" s="143" t="s">
        <v>704</v>
      </c>
      <c r="B116" s="143" t="s">
        <v>196</v>
      </c>
      <c r="C116" s="290" t="s">
        <v>197</v>
      </c>
      <c r="D116" s="143" t="s">
        <v>69</v>
      </c>
      <c r="E116" s="257">
        <v>3000000</v>
      </c>
      <c r="F116" s="257">
        <v>3000000</v>
      </c>
      <c r="G116" s="257">
        <v>2755000</v>
      </c>
      <c r="H116" s="257">
        <v>0</v>
      </c>
      <c r="I116" s="257">
        <v>754479</v>
      </c>
      <c r="J116" s="257">
        <v>0</v>
      </c>
      <c r="K116" s="257">
        <v>0</v>
      </c>
      <c r="L116" s="257">
        <v>0</v>
      </c>
      <c r="M116" s="257"/>
      <c r="N116" s="279">
        <v>2245521</v>
      </c>
      <c r="O116" s="257">
        <v>2000521</v>
      </c>
    </row>
    <row r="117" spans="1:15" s="143" customFormat="1" hidden="1" x14ac:dyDescent="0.25">
      <c r="A117" s="143" t="s">
        <v>704</v>
      </c>
      <c r="B117" s="143" t="s">
        <v>198</v>
      </c>
      <c r="C117" s="290" t="s">
        <v>199</v>
      </c>
      <c r="D117" s="143" t="s">
        <v>69</v>
      </c>
      <c r="E117" s="257">
        <v>3000000</v>
      </c>
      <c r="F117" s="257">
        <v>3000000</v>
      </c>
      <c r="G117" s="257">
        <v>2755000</v>
      </c>
      <c r="H117" s="257">
        <v>0</v>
      </c>
      <c r="I117" s="257">
        <v>754479</v>
      </c>
      <c r="J117" s="257">
        <v>0</v>
      </c>
      <c r="K117" s="257">
        <v>0</v>
      </c>
      <c r="L117" s="257">
        <v>0</v>
      </c>
      <c r="M117" s="257"/>
      <c r="N117" s="279">
        <v>2245521</v>
      </c>
      <c r="O117" s="257">
        <v>2000521</v>
      </c>
    </row>
    <row r="118" spans="1:15" s="143" customFormat="1" ht="30" hidden="1" x14ac:dyDescent="0.25">
      <c r="A118" s="143" t="s">
        <v>704</v>
      </c>
      <c r="B118" s="143" t="s">
        <v>206</v>
      </c>
      <c r="C118" s="290" t="s">
        <v>207</v>
      </c>
      <c r="D118" s="143" t="s">
        <v>69</v>
      </c>
      <c r="E118" s="257">
        <v>355000</v>
      </c>
      <c r="F118" s="257">
        <v>355000</v>
      </c>
      <c r="G118" s="257">
        <v>12615</v>
      </c>
      <c r="H118" s="257">
        <v>0</v>
      </c>
      <c r="I118" s="257">
        <v>0</v>
      </c>
      <c r="J118" s="257">
        <v>0</v>
      </c>
      <c r="K118" s="257">
        <v>12615</v>
      </c>
      <c r="L118" s="257">
        <v>12615</v>
      </c>
      <c r="M118" s="257"/>
      <c r="N118" s="279">
        <v>342385</v>
      </c>
      <c r="O118" s="257">
        <v>0</v>
      </c>
    </row>
    <row r="119" spans="1:15" s="143" customFormat="1" ht="30" hidden="1" x14ac:dyDescent="0.25">
      <c r="A119" s="143" t="s">
        <v>704</v>
      </c>
      <c r="B119" s="143" t="s">
        <v>208</v>
      </c>
      <c r="C119" s="290" t="s">
        <v>209</v>
      </c>
      <c r="D119" s="143" t="s">
        <v>69</v>
      </c>
      <c r="E119" s="257">
        <v>130000</v>
      </c>
      <c r="F119" s="257">
        <v>130000</v>
      </c>
      <c r="G119" s="257">
        <v>12615</v>
      </c>
      <c r="H119" s="257">
        <v>0</v>
      </c>
      <c r="I119" s="257">
        <v>0</v>
      </c>
      <c r="J119" s="257">
        <v>0</v>
      </c>
      <c r="K119" s="257">
        <v>12615</v>
      </c>
      <c r="L119" s="257">
        <v>12615</v>
      </c>
      <c r="M119" s="257"/>
      <c r="N119" s="279">
        <v>117385</v>
      </c>
      <c r="O119" s="257">
        <v>0</v>
      </c>
    </row>
    <row r="120" spans="1:15" s="143" customFormat="1" hidden="1" x14ac:dyDescent="0.25">
      <c r="A120" s="143" t="s">
        <v>704</v>
      </c>
      <c r="B120" s="143" t="s">
        <v>210</v>
      </c>
      <c r="C120" s="290" t="s">
        <v>211</v>
      </c>
      <c r="D120" s="143" t="s">
        <v>69</v>
      </c>
      <c r="E120" s="257">
        <v>225000</v>
      </c>
      <c r="F120" s="257">
        <v>225000</v>
      </c>
      <c r="G120" s="257">
        <v>0</v>
      </c>
      <c r="H120" s="257">
        <v>0</v>
      </c>
      <c r="I120" s="257">
        <v>0</v>
      </c>
      <c r="J120" s="257">
        <v>0</v>
      </c>
      <c r="K120" s="257">
        <v>0</v>
      </c>
      <c r="L120" s="257">
        <v>0</v>
      </c>
      <c r="M120" s="257"/>
      <c r="N120" s="279">
        <v>225000</v>
      </c>
      <c r="O120" s="257">
        <v>0</v>
      </c>
    </row>
    <row r="121" spans="1:15" s="143" customFormat="1" ht="30" hidden="1" x14ac:dyDescent="0.25">
      <c r="A121" s="143" t="s">
        <v>704</v>
      </c>
      <c r="B121" s="143" t="s">
        <v>212</v>
      </c>
      <c r="C121" s="290" t="s">
        <v>213</v>
      </c>
      <c r="D121" s="143" t="s">
        <v>69</v>
      </c>
      <c r="E121" s="257">
        <v>23005500</v>
      </c>
      <c r="F121" s="257">
        <v>23005500</v>
      </c>
      <c r="G121" s="257">
        <v>22052500</v>
      </c>
      <c r="H121" s="257">
        <v>0</v>
      </c>
      <c r="I121" s="257">
        <v>282102</v>
      </c>
      <c r="J121" s="257">
        <v>0</v>
      </c>
      <c r="K121" s="257">
        <v>2072388.12</v>
      </c>
      <c r="L121" s="257">
        <v>10450</v>
      </c>
      <c r="M121" s="257"/>
      <c r="N121" s="279">
        <v>20651009.879999999</v>
      </c>
      <c r="O121" s="257">
        <v>19698009.879999999</v>
      </c>
    </row>
    <row r="122" spans="1:15" s="143" customFormat="1" ht="30" hidden="1" x14ac:dyDescent="0.25">
      <c r="A122" s="143" t="s">
        <v>704</v>
      </c>
      <c r="B122" s="143" t="s">
        <v>214</v>
      </c>
      <c r="C122" s="290" t="s">
        <v>215</v>
      </c>
      <c r="D122" s="143" t="s">
        <v>69</v>
      </c>
      <c r="E122" s="257">
        <v>2600000</v>
      </c>
      <c r="F122" s="257">
        <v>2600000</v>
      </c>
      <c r="G122" s="257">
        <v>2350000</v>
      </c>
      <c r="H122" s="257">
        <v>0</v>
      </c>
      <c r="I122" s="257">
        <v>14916</v>
      </c>
      <c r="J122" s="257">
        <v>0</v>
      </c>
      <c r="K122" s="257">
        <v>0</v>
      </c>
      <c r="L122" s="257">
        <v>0</v>
      </c>
      <c r="M122" s="257"/>
      <c r="N122" s="279">
        <v>2585084</v>
      </c>
      <c r="O122" s="257">
        <v>2335084</v>
      </c>
    </row>
    <row r="123" spans="1:15" s="143" customFormat="1" ht="30" hidden="1" x14ac:dyDescent="0.25">
      <c r="A123" s="143" t="s">
        <v>704</v>
      </c>
      <c r="B123" s="143" t="s">
        <v>216</v>
      </c>
      <c r="C123" s="290" t="s">
        <v>217</v>
      </c>
      <c r="D123" s="143" t="s">
        <v>69</v>
      </c>
      <c r="E123" s="257">
        <v>562500</v>
      </c>
      <c r="F123" s="257">
        <v>562500</v>
      </c>
      <c r="G123" s="257">
        <v>502500</v>
      </c>
      <c r="H123" s="257">
        <v>0</v>
      </c>
      <c r="I123" s="257">
        <v>0</v>
      </c>
      <c r="J123" s="257">
        <v>0</v>
      </c>
      <c r="K123" s="257">
        <v>0</v>
      </c>
      <c r="L123" s="257">
        <v>0</v>
      </c>
      <c r="M123" s="257"/>
      <c r="N123" s="279">
        <v>562500</v>
      </c>
      <c r="O123" s="257">
        <v>502500</v>
      </c>
    </row>
    <row r="124" spans="1:15" s="143" customFormat="1" ht="30" hidden="1" x14ac:dyDescent="0.25">
      <c r="A124" s="143" t="s">
        <v>704</v>
      </c>
      <c r="B124" s="143" t="s">
        <v>218</v>
      </c>
      <c r="C124" s="290" t="s">
        <v>219</v>
      </c>
      <c r="D124" s="143" t="s">
        <v>69</v>
      </c>
      <c r="E124" s="257">
        <v>8000000</v>
      </c>
      <c r="F124" s="257">
        <v>8000000</v>
      </c>
      <c r="G124" s="257">
        <v>7500000</v>
      </c>
      <c r="H124" s="257">
        <v>0</v>
      </c>
      <c r="I124" s="257">
        <v>89550</v>
      </c>
      <c r="J124" s="257">
        <v>0</v>
      </c>
      <c r="K124" s="257">
        <v>2072388.12</v>
      </c>
      <c r="L124" s="257">
        <v>10450</v>
      </c>
      <c r="M124" s="257"/>
      <c r="N124" s="279">
        <v>5838061.8799999999</v>
      </c>
      <c r="O124" s="257">
        <v>5338061.88</v>
      </c>
    </row>
    <row r="125" spans="1:15" s="143" customFormat="1" ht="30" hidden="1" x14ac:dyDescent="0.25">
      <c r="A125" s="143" t="s">
        <v>704</v>
      </c>
      <c r="B125" s="143" t="s">
        <v>222</v>
      </c>
      <c r="C125" s="290" t="s">
        <v>223</v>
      </c>
      <c r="D125" s="143" t="s">
        <v>69</v>
      </c>
      <c r="E125" s="257">
        <v>11000000</v>
      </c>
      <c r="F125" s="257">
        <v>11000000</v>
      </c>
      <c r="G125" s="257">
        <v>11000000</v>
      </c>
      <c r="H125" s="257">
        <v>0</v>
      </c>
      <c r="I125" s="257">
        <v>177636</v>
      </c>
      <c r="J125" s="257">
        <v>0</v>
      </c>
      <c r="K125" s="257">
        <v>0</v>
      </c>
      <c r="L125" s="257">
        <v>0</v>
      </c>
      <c r="M125" s="257"/>
      <c r="N125" s="279">
        <v>10822364</v>
      </c>
      <c r="O125" s="257">
        <v>10822364</v>
      </c>
    </row>
    <row r="126" spans="1:15" s="143" customFormat="1" ht="30" hidden="1" x14ac:dyDescent="0.25">
      <c r="A126" s="143" t="s">
        <v>704</v>
      </c>
      <c r="B126" s="143" t="s">
        <v>224</v>
      </c>
      <c r="C126" s="290" t="s">
        <v>225</v>
      </c>
      <c r="D126" s="143" t="s">
        <v>69</v>
      </c>
      <c r="E126" s="257">
        <v>800000</v>
      </c>
      <c r="F126" s="257">
        <v>800000</v>
      </c>
      <c r="G126" s="257">
        <v>700000</v>
      </c>
      <c r="H126" s="257">
        <v>0</v>
      </c>
      <c r="I126" s="257">
        <v>0</v>
      </c>
      <c r="J126" s="257">
        <v>0</v>
      </c>
      <c r="K126" s="257">
        <v>0</v>
      </c>
      <c r="L126" s="257">
        <v>0</v>
      </c>
      <c r="M126" s="257"/>
      <c r="N126" s="279">
        <v>800000</v>
      </c>
      <c r="O126" s="257">
        <v>700000</v>
      </c>
    </row>
    <row r="127" spans="1:15" s="143" customFormat="1" ht="30" hidden="1" x14ac:dyDescent="0.25">
      <c r="A127" s="143" t="s">
        <v>704</v>
      </c>
      <c r="B127" s="143" t="s">
        <v>226</v>
      </c>
      <c r="C127" s="290" t="s">
        <v>227</v>
      </c>
      <c r="D127" s="143" t="s">
        <v>69</v>
      </c>
      <c r="E127" s="257">
        <v>10000</v>
      </c>
      <c r="F127" s="257">
        <v>10000</v>
      </c>
      <c r="G127" s="257">
        <v>0</v>
      </c>
      <c r="H127" s="257">
        <v>0</v>
      </c>
      <c r="I127" s="257">
        <v>0</v>
      </c>
      <c r="J127" s="257">
        <v>0</v>
      </c>
      <c r="K127" s="257">
        <v>0</v>
      </c>
      <c r="L127" s="257">
        <v>0</v>
      </c>
      <c r="M127" s="257"/>
      <c r="N127" s="279">
        <v>10000</v>
      </c>
      <c r="O127" s="257">
        <v>0</v>
      </c>
    </row>
    <row r="128" spans="1:15" s="143" customFormat="1" ht="30" hidden="1" x14ac:dyDescent="0.25">
      <c r="A128" s="143" t="s">
        <v>704</v>
      </c>
      <c r="B128" s="143" t="s">
        <v>228</v>
      </c>
      <c r="C128" s="290" t="s">
        <v>229</v>
      </c>
      <c r="D128" s="143" t="s">
        <v>69</v>
      </c>
      <c r="E128" s="257">
        <v>33000</v>
      </c>
      <c r="F128" s="257">
        <v>33000</v>
      </c>
      <c r="G128" s="257">
        <v>0</v>
      </c>
      <c r="H128" s="257">
        <v>0</v>
      </c>
      <c r="I128" s="257">
        <v>0</v>
      </c>
      <c r="J128" s="257">
        <v>0</v>
      </c>
      <c r="K128" s="257">
        <v>0</v>
      </c>
      <c r="L128" s="257">
        <v>0</v>
      </c>
      <c r="M128" s="257"/>
      <c r="N128" s="279">
        <v>33000</v>
      </c>
      <c r="O128" s="257">
        <v>0</v>
      </c>
    </row>
    <row r="129" spans="1:16" s="143" customFormat="1" x14ac:dyDescent="0.25">
      <c r="A129" s="296" t="s">
        <v>704</v>
      </c>
      <c r="B129" s="297" t="s">
        <v>230</v>
      </c>
      <c r="C129" s="298" t="s">
        <v>231</v>
      </c>
      <c r="D129" s="299" t="s">
        <v>85</v>
      </c>
      <c r="E129" s="257">
        <v>12109140</v>
      </c>
      <c r="F129" s="300">
        <v>12109140</v>
      </c>
      <c r="G129" s="257">
        <v>10969140</v>
      </c>
      <c r="H129" s="257">
        <v>0</v>
      </c>
      <c r="I129" s="257">
        <v>0</v>
      </c>
      <c r="J129" s="257">
        <v>0</v>
      </c>
      <c r="K129" s="300">
        <v>0</v>
      </c>
      <c r="L129" s="257">
        <v>0</v>
      </c>
      <c r="M129" s="301">
        <f>+K129/F129</f>
        <v>0</v>
      </c>
      <c r="N129" s="302">
        <v>12109140</v>
      </c>
      <c r="O129" s="257">
        <v>10969140</v>
      </c>
      <c r="P129" s="303">
        <f>+N129/F129</f>
        <v>1</v>
      </c>
    </row>
    <row r="130" spans="1:16" s="143" customFormat="1" ht="30" hidden="1" x14ac:dyDescent="0.25">
      <c r="A130" s="143" t="s">
        <v>704</v>
      </c>
      <c r="B130" s="143" t="s">
        <v>232</v>
      </c>
      <c r="C130" s="290" t="s">
        <v>233</v>
      </c>
      <c r="D130" s="143" t="s">
        <v>85</v>
      </c>
      <c r="E130" s="257">
        <v>12109140</v>
      </c>
      <c r="F130" s="257">
        <v>12109140</v>
      </c>
      <c r="G130" s="257">
        <v>10969140</v>
      </c>
      <c r="H130" s="257">
        <v>0</v>
      </c>
      <c r="I130" s="257">
        <v>0</v>
      </c>
      <c r="J130" s="257">
        <v>0</v>
      </c>
      <c r="K130" s="257">
        <v>0</v>
      </c>
      <c r="L130" s="257">
        <v>0</v>
      </c>
      <c r="M130" s="257"/>
      <c r="N130" s="279">
        <v>12109140</v>
      </c>
      <c r="O130" s="257">
        <v>10969140</v>
      </c>
    </row>
    <row r="131" spans="1:16" s="143" customFormat="1" ht="30" hidden="1" x14ac:dyDescent="0.25">
      <c r="A131" s="143" t="s">
        <v>704</v>
      </c>
      <c r="B131" s="143" t="s">
        <v>234</v>
      </c>
      <c r="C131" s="290" t="s">
        <v>235</v>
      </c>
      <c r="D131" s="143" t="s">
        <v>85</v>
      </c>
      <c r="E131" s="257">
        <v>120000</v>
      </c>
      <c r="F131" s="257">
        <v>120000</v>
      </c>
      <c r="G131" s="257">
        <v>0</v>
      </c>
      <c r="H131" s="257">
        <v>0</v>
      </c>
      <c r="I131" s="257">
        <v>0</v>
      </c>
      <c r="J131" s="257">
        <v>0</v>
      </c>
      <c r="K131" s="257">
        <v>0</v>
      </c>
      <c r="L131" s="257">
        <v>0</v>
      </c>
      <c r="M131" s="257"/>
      <c r="N131" s="279">
        <v>120000</v>
      </c>
      <c r="O131" s="257">
        <v>0</v>
      </c>
    </row>
    <row r="132" spans="1:16" s="143" customFormat="1" hidden="1" x14ac:dyDescent="0.25">
      <c r="A132" s="143" t="s">
        <v>704</v>
      </c>
      <c r="B132" s="143" t="s">
        <v>236</v>
      </c>
      <c r="C132" s="290" t="s">
        <v>237</v>
      </c>
      <c r="D132" s="143" t="s">
        <v>85</v>
      </c>
      <c r="E132" s="257">
        <v>620000</v>
      </c>
      <c r="F132" s="257">
        <v>620000</v>
      </c>
      <c r="G132" s="257">
        <v>0</v>
      </c>
      <c r="H132" s="257">
        <v>0</v>
      </c>
      <c r="I132" s="257">
        <v>0</v>
      </c>
      <c r="J132" s="257">
        <v>0</v>
      </c>
      <c r="K132" s="257">
        <v>0</v>
      </c>
      <c r="L132" s="257">
        <v>0</v>
      </c>
      <c r="M132" s="257"/>
      <c r="N132" s="279">
        <v>620000</v>
      </c>
      <c r="O132" s="257">
        <v>0</v>
      </c>
    </row>
    <row r="133" spans="1:16" s="143" customFormat="1" ht="30" hidden="1" x14ac:dyDescent="0.25">
      <c r="A133" s="143" t="s">
        <v>704</v>
      </c>
      <c r="B133" s="143" t="s">
        <v>238</v>
      </c>
      <c r="C133" s="290" t="s">
        <v>239</v>
      </c>
      <c r="D133" s="143" t="s">
        <v>85</v>
      </c>
      <c r="E133" s="257">
        <v>11369140</v>
      </c>
      <c r="F133" s="257">
        <v>11369140</v>
      </c>
      <c r="G133" s="257">
        <v>10969140</v>
      </c>
      <c r="H133" s="257">
        <v>0</v>
      </c>
      <c r="I133" s="257">
        <v>0</v>
      </c>
      <c r="J133" s="257">
        <v>0</v>
      </c>
      <c r="K133" s="257">
        <v>0</v>
      </c>
      <c r="L133" s="257">
        <v>0</v>
      </c>
      <c r="M133" s="257"/>
      <c r="N133" s="279">
        <v>11369140</v>
      </c>
      <c r="O133" s="257">
        <v>10969140</v>
      </c>
    </row>
    <row r="134" spans="1:16" s="143" customFormat="1" x14ac:dyDescent="0.25">
      <c r="A134" s="296" t="s">
        <v>704</v>
      </c>
      <c r="B134" s="297" t="s">
        <v>248</v>
      </c>
      <c r="C134" s="298" t="s">
        <v>249</v>
      </c>
      <c r="D134" s="299" t="s">
        <v>69</v>
      </c>
      <c r="E134" s="257">
        <v>509299073</v>
      </c>
      <c r="F134" s="300">
        <v>509299073</v>
      </c>
      <c r="G134" s="257">
        <v>255687867</v>
      </c>
      <c r="H134" s="257">
        <v>0</v>
      </c>
      <c r="I134" s="257">
        <v>29125751.899999999</v>
      </c>
      <c r="J134" s="257">
        <v>0</v>
      </c>
      <c r="K134" s="300">
        <v>115963477.09999999</v>
      </c>
      <c r="L134" s="257">
        <v>115963477.09999999</v>
      </c>
      <c r="M134" s="301">
        <f>+K134/F134</f>
        <v>0.22769229956953013</v>
      </c>
      <c r="N134" s="302">
        <v>364209844</v>
      </c>
      <c r="O134" s="257">
        <v>110598638</v>
      </c>
      <c r="P134" s="303">
        <f>+N134/F134</f>
        <v>0.71511978581590707</v>
      </c>
    </row>
    <row r="135" spans="1:16" s="143" customFormat="1" ht="30" hidden="1" x14ac:dyDescent="0.25">
      <c r="A135" s="143" t="s">
        <v>704</v>
      </c>
      <c r="B135" s="143" t="s">
        <v>250</v>
      </c>
      <c r="C135" s="290" t="s">
        <v>251</v>
      </c>
      <c r="D135" s="143" t="s">
        <v>69</v>
      </c>
      <c r="E135" s="257">
        <v>38994178</v>
      </c>
      <c r="F135" s="257">
        <v>38994178</v>
      </c>
      <c r="G135" s="257">
        <v>38045421</v>
      </c>
      <c r="H135" s="257">
        <v>0</v>
      </c>
      <c r="I135" s="257">
        <v>28508332</v>
      </c>
      <c r="J135" s="257">
        <v>0</v>
      </c>
      <c r="K135" s="257">
        <v>10485846</v>
      </c>
      <c r="L135" s="257">
        <v>10485846</v>
      </c>
      <c r="M135" s="257"/>
      <c r="N135" s="279">
        <v>0</v>
      </c>
      <c r="O135" s="275">
        <v>-948757</v>
      </c>
    </row>
    <row r="136" spans="1:16" s="143" customFormat="1" ht="105" hidden="1" x14ac:dyDescent="0.25">
      <c r="A136" s="143" t="s">
        <v>704</v>
      </c>
      <c r="B136" s="143" t="s">
        <v>617</v>
      </c>
      <c r="C136" s="290" t="s">
        <v>253</v>
      </c>
      <c r="D136" s="143" t="s">
        <v>69</v>
      </c>
      <c r="E136" s="257">
        <v>2000000</v>
      </c>
      <c r="F136" s="257">
        <v>2000000</v>
      </c>
      <c r="G136" s="257">
        <v>2000000</v>
      </c>
      <c r="H136" s="257">
        <v>0</v>
      </c>
      <c r="I136" s="257">
        <v>0</v>
      </c>
      <c r="J136" s="257">
        <v>0</v>
      </c>
      <c r="K136" s="257">
        <v>2000000</v>
      </c>
      <c r="L136" s="257">
        <v>2000000</v>
      </c>
      <c r="M136" s="257"/>
      <c r="N136" s="279">
        <v>0</v>
      </c>
      <c r="O136" s="257">
        <v>0</v>
      </c>
    </row>
    <row r="137" spans="1:16" s="143" customFormat="1" ht="90" hidden="1" x14ac:dyDescent="0.25">
      <c r="A137" s="143" t="s">
        <v>704</v>
      </c>
      <c r="B137" s="143" t="s">
        <v>627</v>
      </c>
      <c r="C137" s="290" t="s">
        <v>702</v>
      </c>
      <c r="D137" s="143" t="s">
        <v>69</v>
      </c>
      <c r="E137" s="257">
        <v>31422808</v>
      </c>
      <c r="F137" s="257">
        <v>31422808</v>
      </c>
      <c r="G137" s="257">
        <v>30616936</v>
      </c>
      <c r="H137" s="257">
        <v>0</v>
      </c>
      <c r="I137" s="257">
        <v>24271514</v>
      </c>
      <c r="J137" s="257">
        <v>0</v>
      </c>
      <c r="K137" s="257">
        <v>7151294</v>
      </c>
      <c r="L137" s="257">
        <v>7151294</v>
      </c>
      <c r="M137" s="257"/>
      <c r="N137" s="279">
        <v>0</v>
      </c>
      <c r="O137" s="275">
        <v>-805872</v>
      </c>
    </row>
    <row r="138" spans="1:16" s="143" customFormat="1" ht="90" hidden="1" x14ac:dyDescent="0.25">
      <c r="A138" s="143" t="s">
        <v>704</v>
      </c>
      <c r="B138" s="143" t="s">
        <v>642</v>
      </c>
      <c r="C138" s="290" t="s">
        <v>703</v>
      </c>
      <c r="D138" s="143" t="s">
        <v>69</v>
      </c>
      <c r="E138" s="257">
        <v>5571370</v>
      </c>
      <c r="F138" s="257">
        <v>5571370</v>
      </c>
      <c r="G138" s="257">
        <v>5428485</v>
      </c>
      <c r="H138" s="257">
        <v>0</v>
      </c>
      <c r="I138" s="257">
        <v>4236818</v>
      </c>
      <c r="J138" s="257">
        <v>0</v>
      </c>
      <c r="K138" s="257">
        <v>1334552</v>
      </c>
      <c r="L138" s="257">
        <v>1334552</v>
      </c>
      <c r="M138" s="257"/>
      <c r="N138" s="279">
        <v>0</v>
      </c>
      <c r="O138" s="275">
        <v>-142885</v>
      </c>
    </row>
    <row r="139" spans="1:16" s="143" customFormat="1" hidden="1" x14ac:dyDescent="0.25">
      <c r="A139" s="143" t="s">
        <v>704</v>
      </c>
      <c r="B139" s="143" t="s">
        <v>260</v>
      </c>
      <c r="C139" s="290" t="s">
        <v>261</v>
      </c>
      <c r="D139" s="143" t="s">
        <v>69</v>
      </c>
      <c r="E139" s="257">
        <v>47000000</v>
      </c>
      <c r="F139" s="257">
        <v>47000000</v>
      </c>
      <c r="G139" s="257">
        <v>25000000</v>
      </c>
      <c r="H139" s="257">
        <v>0</v>
      </c>
      <c r="I139" s="257">
        <v>0</v>
      </c>
      <c r="J139" s="257">
        <v>0</v>
      </c>
      <c r="K139" s="257">
        <v>522356</v>
      </c>
      <c r="L139" s="257">
        <v>522356</v>
      </c>
      <c r="M139" s="257"/>
      <c r="N139" s="279">
        <v>46477644</v>
      </c>
      <c r="O139" s="257">
        <v>24477644</v>
      </c>
    </row>
    <row r="140" spans="1:16" s="143" customFormat="1" hidden="1" x14ac:dyDescent="0.25">
      <c r="A140" s="143" t="s">
        <v>704</v>
      </c>
      <c r="B140" s="143" t="s">
        <v>262</v>
      </c>
      <c r="C140" s="290" t="s">
        <v>263</v>
      </c>
      <c r="D140" s="143" t="s">
        <v>69</v>
      </c>
      <c r="E140" s="257">
        <v>22000000</v>
      </c>
      <c r="F140" s="257">
        <v>22000000</v>
      </c>
      <c r="G140" s="257">
        <v>0</v>
      </c>
      <c r="H140" s="257">
        <v>0</v>
      </c>
      <c r="I140" s="257">
        <v>0</v>
      </c>
      <c r="J140" s="257">
        <v>0</v>
      </c>
      <c r="K140" s="257">
        <v>0</v>
      </c>
      <c r="L140" s="257">
        <v>0</v>
      </c>
      <c r="M140" s="257"/>
      <c r="N140" s="279">
        <v>22000000</v>
      </c>
      <c r="O140" s="257">
        <v>0</v>
      </c>
    </row>
    <row r="141" spans="1:16" s="143" customFormat="1" hidden="1" x14ac:dyDescent="0.25">
      <c r="A141" s="143" t="s">
        <v>704</v>
      </c>
      <c r="B141" s="143" t="s">
        <v>264</v>
      </c>
      <c r="C141" s="290" t="s">
        <v>265</v>
      </c>
      <c r="D141" s="143" t="s">
        <v>69</v>
      </c>
      <c r="E141" s="257">
        <v>25000000</v>
      </c>
      <c r="F141" s="257">
        <v>25000000</v>
      </c>
      <c r="G141" s="257">
        <v>25000000</v>
      </c>
      <c r="H141" s="257">
        <v>0</v>
      </c>
      <c r="I141" s="257">
        <v>0</v>
      </c>
      <c r="J141" s="257">
        <v>0</v>
      </c>
      <c r="K141" s="257">
        <v>522356</v>
      </c>
      <c r="L141" s="257">
        <v>522356</v>
      </c>
      <c r="M141" s="257"/>
      <c r="N141" s="279">
        <v>24477644</v>
      </c>
      <c r="O141" s="257">
        <v>24477644</v>
      </c>
    </row>
    <row r="142" spans="1:16" s="143" customFormat="1" ht="30" hidden="1" x14ac:dyDescent="0.25">
      <c r="A142" s="143" t="s">
        <v>704</v>
      </c>
      <c r="B142" s="143" t="s">
        <v>266</v>
      </c>
      <c r="C142" s="290" t="s">
        <v>267</v>
      </c>
      <c r="D142" s="143" t="s">
        <v>69</v>
      </c>
      <c r="E142" s="257">
        <v>423304895</v>
      </c>
      <c r="F142" s="257">
        <v>423304895</v>
      </c>
      <c r="G142" s="257">
        <v>192642446</v>
      </c>
      <c r="H142" s="257">
        <v>0</v>
      </c>
      <c r="I142" s="257">
        <v>617419.9</v>
      </c>
      <c r="J142" s="257">
        <v>0</v>
      </c>
      <c r="K142" s="257">
        <v>104955275.09999999</v>
      </c>
      <c r="L142" s="257">
        <v>104955275.09999999</v>
      </c>
      <c r="M142" s="257"/>
      <c r="N142" s="279">
        <v>317732200</v>
      </c>
      <c r="O142" s="257">
        <v>87069751</v>
      </c>
    </row>
    <row r="143" spans="1:16" s="143" customFormat="1" ht="90" hidden="1" x14ac:dyDescent="0.25">
      <c r="A143" s="143" t="s">
        <v>704</v>
      </c>
      <c r="B143" s="143" t="s">
        <v>664</v>
      </c>
      <c r="C143" s="290" t="s">
        <v>269</v>
      </c>
      <c r="D143" s="143" t="s">
        <v>69</v>
      </c>
      <c r="E143" s="257">
        <v>406300000</v>
      </c>
      <c r="F143" s="257">
        <v>406300000</v>
      </c>
      <c r="G143" s="257">
        <v>189254751</v>
      </c>
      <c r="H143" s="257">
        <v>0</v>
      </c>
      <c r="I143" s="257">
        <v>0</v>
      </c>
      <c r="J143" s="257">
        <v>0</v>
      </c>
      <c r="K143" s="257">
        <v>101575000</v>
      </c>
      <c r="L143" s="257">
        <v>101575000</v>
      </c>
      <c r="M143" s="257"/>
      <c r="N143" s="279">
        <v>304725000</v>
      </c>
      <c r="O143" s="257">
        <v>87679751</v>
      </c>
    </row>
    <row r="144" spans="1:16" s="143" customFormat="1" ht="105" hidden="1" x14ac:dyDescent="0.25">
      <c r="A144" s="143" t="s">
        <v>704</v>
      </c>
      <c r="B144" s="143" t="s">
        <v>666</v>
      </c>
      <c r="C144" s="290" t="s">
        <v>705</v>
      </c>
      <c r="D144" s="143" t="s">
        <v>69</v>
      </c>
      <c r="E144" s="257">
        <v>13007200</v>
      </c>
      <c r="F144" s="257">
        <v>13007200</v>
      </c>
      <c r="G144" s="257">
        <v>0</v>
      </c>
      <c r="H144" s="257">
        <v>0</v>
      </c>
      <c r="I144" s="257">
        <v>0</v>
      </c>
      <c r="J144" s="257">
        <v>0</v>
      </c>
      <c r="K144" s="257">
        <v>0</v>
      </c>
      <c r="L144" s="257">
        <v>0</v>
      </c>
      <c r="M144" s="257"/>
      <c r="N144" s="279">
        <v>13007200</v>
      </c>
      <c r="O144" s="257">
        <v>0</v>
      </c>
    </row>
    <row r="145" spans="1:16" s="143" customFormat="1" ht="75" hidden="1" x14ac:dyDescent="0.25">
      <c r="A145" s="143" t="s">
        <v>704</v>
      </c>
      <c r="B145" s="143" t="s">
        <v>668</v>
      </c>
      <c r="C145" s="290" t="s">
        <v>273</v>
      </c>
      <c r="D145" s="143" t="s">
        <v>69</v>
      </c>
      <c r="E145" s="257">
        <v>3997695</v>
      </c>
      <c r="F145" s="257">
        <v>3997695</v>
      </c>
      <c r="G145" s="257">
        <v>3387695</v>
      </c>
      <c r="H145" s="257">
        <v>0</v>
      </c>
      <c r="I145" s="257">
        <v>617419.9</v>
      </c>
      <c r="J145" s="257">
        <v>0</v>
      </c>
      <c r="K145" s="257">
        <v>3380275.1</v>
      </c>
      <c r="L145" s="257">
        <v>3380275.1</v>
      </c>
      <c r="M145" s="257"/>
      <c r="N145" s="279">
        <v>0</v>
      </c>
      <c r="O145" s="275">
        <v>-610000</v>
      </c>
    </row>
    <row r="146" spans="1:16" s="143" customFormat="1" hidden="1" x14ac:dyDescent="0.25">
      <c r="A146" s="143">
        <v>214788</v>
      </c>
      <c r="C146" s="290"/>
      <c r="D146" s="143" t="s">
        <v>69</v>
      </c>
      <c r="E146" s="257">
        <v>3537393833</v>
      </c>
      <c r="F146" s="257">
        <v>3537393833</v>
      </c>
      <c r="G146" s="257">
        <v>2206115763</v>
      </c>
      <c r="H146" s="257">
        <v>45434401</v>
      </c>
      <c r="I146" s="257">
        <v>265552593.18000001</v>
      </c>
      <c r="J146" s="257">
        <v>40954341.75</v>
      </c>
      <c r="K146" s="257">
        <v>454883604.80000001</v>
      </c>
      <c r="L146" s="257">
        <v>407642533.18000001</v>
      </c>
      <c r="M146" s="257"/>
      <c r="N146" s="279">
        <v>2730568892.27</v>
      </c>
      <c r="O146" s="257">
        <v>1399290822.27</v>
      </c>
    </row>
    <row r="147" spans="1:16" s="143" customFormat="1" x14ac:dyDescent="0.25">
      <c r="A147" s="291"/>
      <c r="C147" s="304"/>
      <c r="E147" s="257"/>
      <c r="F147" s="292">
        <f t="shared" ref="F147:K147" si="1">SUBTOTAL(9,F65:F146)</f>
        <v>14555535455</v>
      </c>
      <c r="G147" s="272">
        <f t="shared" si="1"/>
        <v>11294292552</v>
      </c>
      <c r="H147" s="272">
        <f t="shared" si="1"/>
        <v>45434401</v>
      </c>
      <c r="I147" s="272">
        <f t="shared" si="1"/>
        <v>1703624260.3800004</v>
      </c>
      <c r="J147" s="272">
        <f t="shared" si="1"/>
        <v>42647613.93</v>
      </c>
      <c r="K147" s="292">
        <f t="shared" si="1"/>
        <v>2734839096.1399999</v>
      </c>
      <c r="L147" s="257"/>
      <c r="M147" s="293">
        <f>+K147/F147</f>
        <v>0.18788996836255514</v>
      </c>
      <c r="N147" s="294">
        <f>SUBTOTAL(9,N65:N146)</f>
        <v>10028990083.550001</v>
      </c>
      <c r="O147" s="257"/>
      <c r="P147" s="295">
        <f>+N147/F147</f>
        <v>0.68901553739164734</v>
      </c>
    </row>
    <row r="148" spans="1:16" s="143" customFormat="1" ht="15.75" customHeight="1" x14ac:dyDescent="0.25">
      <c r="A148" s="620" t="s">
        <v>779</v>
      </c>
      <c r="B148" s="620"/>
      <c r="C148" s="620"/>
      <c r="E148" s="257"/>
      <c r="F148" s="305"/>
      <c r="G148" s="154"/>
      <c r="H148" s="154"/>
      <c r="I148" s="154"/>
      <c r="J148" s="154"/>
      <c r="K148" s="305"/>
      <c r="L148" s="257"/>
      <c r="M148" s="306"/>
      <c r="N148" s="305"/>
      <c r="O148" s="257"/>
      <c r="P148" s="307"/>
    </row>
    <row r="149" spans="1:16" s="143" customFormat="1" x14ac:dyDescent="0.25">
      <c r="A149" s="308"/>
      <c r="B149" s="309" t="s">
        <v>71</v>
      </c>
      <c r="C149" s="310" t="s">
        <v>72</v>
      </c>
      <c r="D149" s="311">
        <v>2848782596</v>
      </c>
      <c r="E149" s="312">
        <v>617149471.34000003</v>
      </c>
      <c r="F149" s="313">
        <f t="shared" ref="F149:K149" si="2">F4+F65</f>
        <v>4694312284</v>
      </c>
      <c r="G149" s="314">
        <f t="shared" si="2"/>
        <v>4213729126.4000001</v>
      </c>
      <c r="H149" s="314">
        <f t="shared" si="2"/>
        <v>0</v>
      </c>
      <c r="I149" s="314">
        <f t="shared" si="2"/>
        <v>557369907</v>
      </c>
      <c r="J149" s="314">
        <f t="shared" si="2"/>
        <v>0</v>
      </c>
      <c r="K149" s="313">
        <f t="shared" si="2"/>
        <v>978766735.95000005</v>
      </c>
      <c r="L149" s="257"/>
      <c r="M149" s="315">
        <f t="shared" ref="M149:M154" si="3">+K149/F149</f>
        <v>0.20850055913110191</v>
      </c>
      <c r="N149" s="316">
        <f>N4+N65</f>
        <v>3158175641.0500002</v>
      </c>
      <c r="O149" s="257"/>
      <c r="P149" s="317">
        <f t="shared" ref="P149:P154" si="4">+N149/F149</f>
        <v>0.67276641390353664</v>
      </c>
    </row>
    <row r="150" spans="1:16" s="143" customFormat="1" x14ac:dyDescent="0.25">
      <c r="A150" s="308"/>
      <c r="B150" s="318" t="s">
        <v>104</v>
      </c>
      <c r="C150" s="319" t="s">
        <v>105</v>
      </c>
      <c r="D150" s="311">
        <v>261541565</v>
      </c>
      <c r="E150" s="312">
        <v>22663386.82</v>
      </c>
      <c r="F150" s="320">
        <f>F20+F81</f>
        <v>344913465</v>
      </c>
      <c r="G150" s="311">
        <v>127446778.22</v>
      </c>
      <c r="H150" s="303">
        <v>0.48729072268111606</v>
      </c>
      <c r="I150" s="154"/>
      <c r="J150" s="154"/>
      <c r="K150" s="313">
        <f>K20+K81</f>
        <v>24952246.82</v>
      </c>
      <c r="L150" s="257"/>
      <c r="M150" s="315">
        <f t="shared" si="3"/>
        <v>7.2343498738154516E-2</v>
      </c>
      <c r="N150" s="321">
        <f>N20+N81</f>
        <v>166400522.76999998</v>
      </c>
      <c r="O150" s="257"/>
      <c r="P150" s="317">
        <f t="shared" si="4"/>
        <v>0.48244136473477478</v>
      </c>
    </row>
    <row r="151" spans="1:16" s="143" customFormat="1" x14ac:dyDescent="0.25">
      <c r="A151" s="308"/>
      <c r="B151" s="318" t="s">
        <v>184</v>
      </c>
      <c r="C151" s="319" t="s">
        <v>185</v>
      </c>
      <c r="D151" s="311">
        <v>40981500</v>
      </c>
      <c r="E151" s="312">
        <v>4208828.5199999996</v>
      </c>
      <c r="F151" s="320">
        <f>F37+F111</f>
        <v>45957900</v>
      </c>
      <c r="G151" s="311">
        <v>28259915.879999999</v>
      </c>
      <c r="H151" s="303">
        <v>0.68957739174993604</v>
      </c>
      <c r="I151" s="154"/>
      <c r="J151" s="154"/>
      <c r="K151" s="313">
        <f>K37+K111</f>
        <v>4771175.2799999993</v>
      </c>
      <c r="L151" s="257"/>
      <c r="M151" s="315">
        <f t="shared" si="3"/>
        <v>0.10381621614564633</v>
      </c>
      <c r="N151" s="321">
        <f>N37+N111</f>
        <v>32673969.119999997</v>
      </c>
      <c r="O151" s="257"/>
      <c r="P151" s="317">
        <f t="shared" si="4"/>
        <v>0.71095435431122822</v>
      </c>
    </row>
    <row r="152" spans="1:16" s="143" customFormat="1" x14ac:dyDescent="0.25">
      <c r="A152" s="308"/>
      <c r="B152" s="318" t="s">
        <v>230</v>
      </c>
      <c r="C152" s="319" t="s">
        <v>231</v>
      </c>
      <c r="D152" s="311">
        <v>12109140</v>
      </c>
      <c r="E152" s="312">
        <v>0</v>
      </c>
      <c r="F152" s="320">
        <f>F48+F129</f>
        <v>16329140</v>
      </c>
      <c r="G152" s="311">
        <v>12109140</v>
      </c>
      <c r="H152" s="303">
        <v>1</v>
      </c>
      <c r="I152" s="154"/>
      <c r="J152" s="154"/>
      <c r="K152" s="313">
        <f>K48+K129</f>
        <v>0</v>
      </c>
      <c r="L152" s="257"/>
      <c r="M152" s="315">
        <f t="shared" si="3"/>
        <v>0</v>
      </c>
      <c r="N152" s="321">
        <f>N48+N129</f>
        <v>16329140</v>
      </c>
      <c r="O152" s="257"/>
      <c r="P152" s="317">
        <f t="shared" si="4"/>
        <v>1</v>
      </c>
    </row>
    <row r="153" spans="1:16" s="143" customFormat="1" x14ac:dyDescent="0.25">
      <c r="A153" s="308"/>
      <c r="B153" s="322" t="s">
        <v>248</v>
      </c>
      <c r="C153" s="323" t="s">
        <v>249</v>
      </c>
      <c r="D153" s="311">
        <v>509299073</v>
      </c>
      <c r="E153" s="312">
        <v>115963477.09999999</v>
      </c>
      <c r="F153" s="324">
        <f>F54+F134</f>
        <v>823764983</v>
      </c>
      <c r="G153" s="311">
        <v>364209844</v>
      </c>
      <c r="H153" s="303">
        <v>0.71511978581590707</v>
      </c>
      <c r="I153" s="154"/>
      <c r="J153" s="154"/>
      <c r="K153" s="313">
        <f>K54+K134</f>
        <v>215824081.09999999</v>
      </c>
      <c r="L153" s="257"/>
      <c r="M153" s="315">
        <f t="shared" si="3"/>
        <v>0.26199715398681861</v>
      </c>
      <c r="N153" s="325">
        <f>N54+N134</f>
        <v>559384570</v>
      </c>
      <c r="O153" s="257"/>
      <c r="P153" s="317">
        <f t="shared" si="4"/>
        <v>0.67905844694056383</v>
      </c>
    </row>
    <row r="154" spans="1:16" s="143" customFormat="1" x14ac:dyDescent="0.25">
      <c r="A154" s="291"/>
      <c r="C154" s="304"/>
      <c r="E154" s="257"/>
      <c r="F154" s="326">
        <f>SUBTOTAL(9,F149:F153)</f>
        <v>5925277772</v>
      </c>
      <c r="G154" s="154"/>
      <c r="H154" s="154"/>
      <c r="I154" s="154"/>
      <c r="J154" s="154"/>
      <c r="K154" s="292">
        <f>SUBTOTAL(9,K149:K153)</f>
        <v>1224314239.1500001</v>
      </c>
      <c r="L154" s="257"/>
      <c r="M154" s="293">
        <f t="shared" si="3"/>
        <v>0.20662562773605614</v>
      </c>
      <c r="N154" s="294">
        <f>SUBTOTAL(9,N149:N153)</f>
        <v>3932963842.9400001</v>
      </c>
      <c r="O154" s="257"/>
      <c r="P154" s="295">
        <f t="shared" si="4"/>
        <v>0.66376024792040755</v>
      </c>
    </row>
    <row r="155" spans="1:16" s="143" customFormat="1" x14ac:dyDescent="0.25">
      <c r="A155" s="291"/>
      <c r="C155" s="304"/>
      <c r="E155" s="257"/>
      <c r="F155" s="305"/>
      <c r="G155" s="154"/>
      <c r="H155" s="154"/>
      <c r="I155" s="154"/>
      <c r="J155" s="154"/>
      <c r="K155" s="305"/>
      <c r="L155" s="257"/>
      <c r="M155" s="306"/>
      <c r="N155" s="305"/>
      <c r="O155" s="257"/>
      <c r="P155" s="307"/>
    </row>
    <row r="156" spans="1:16" s="143" customFormat="1" x14ac:dyDescent="0.25">
      <c r="A156" s="291"/>
      <c r="C156" s="304"/>
      <c r="E156" s="257"/>
      <c r="F156" s="154"/>
      <c r="G156" s="257"/>
      <c r="H156" s="257"/>
      <c r="I156" s="257"/>
      <c r="J156" s="257"/>
      <c r="K156" s="257"/>
      <c r="L156" s="257"/>
      <c r="M156" s="257"/>
      <c r="N156" s="257"/>
      <c r="O156" s="257"/>
    </row>
    <row r="157" spans="1:16" s="143" customFormat="1" x14ac:dyDescent="0.25">
      <c r="A157" s="327" t="s">
        <v>706</v>
      </c>
      <c r="B157" s="328" t="s">
        <v>71</v>
      </c>
      <c r="C157" s="329" t="s">
        <v>72</v>
      </c>
      <c r="D157" s="283" t="s">
        <v>69</v>
      </c>
      <c r="E157" s="257">
        <v>1329087181</v>
      </c>
      <c r="F157" s="330">
        <v>1329087181</v>
      </c>
      <c r="G157" s="257">
        <v>1202043753</v>
      </c>
      <c r="H157" s="257">
        <v>0</v>
      </c>
      <c r="I157" s="257">
        <v>152759361.30000001</v>
      </c>
      <c r="J157" s="257">
        <v>0</v>
      </c>
      <c r="K157" s="330">
        <v>321472441.04000002</v>
      </c>
      <c r="L157" s="257">
        <v>321472441.04000002</v>
      </c>
      <c r="M157" s="331">
        <f>+K157/F157</f>
        <v>0.24187460810368017</v>
      </c>
      <c r="N157" s="332">
        <v>854855378.65999997</v>
      </c>
      <c r="O157" s="257">
        <v>727811950.65999997</v>
      </c>
      <c r="P157" s="333">
        <f>+N157/F157</f>
        <v>0.64318984554257019</v>
      </c>
    </row>
    <row r="158" spans="1:16" s="143" customFormat="1" hidden="1" x14ac:dyDescent="0.25">
      <c r="A158" s="143" t="s">
        <v>706</v>
      </c>
      <c r="B158" s="143" t="s">
        <v>73</v>
      </c>
      <c r="C158" s="290" t="s">
        <v>74</v>
      </c>
      <c r="D158" s="143" t="s">
        <v>69</v>
      </c>
      <c r="E158" s="257">
        <v>512821400</v>
      </c>
      <c r="F158" s="257">
        <v>512821400</v>
      </c>
      <c r="G158" s="257">
        <v>406078937</v>
      </c>
      <c r="H158" s="257">
        <v>0</v>
      </c>
      <c r="I158" s="257">
        <v>0</v>
      </c>
      <c r="J158" s="257">
        <v>0</v>
      </c>
      <c r="K158" s="257">
        <v>110690337.75</v>
      </c>
      <c r="L158" s="257">
        <v>110690337.75</v>
      </c>
      <c r="M158" s="288">
        <f>K158/F158*100</f>
        <v>21.58457851992916</v>
      </c>
      <c r="N158" s="257">
        <v>402131062.25</v>
      </c>
      <c r="O158" s="257">
        <v>295388599.25</v>
      </c>
      <c r="P158" s="289">
        <f>N158/F158*100</f>
        <v>78.415421480070833</v>
      </c>
    </row>
    <row r="159" spans="1:16" s="143" customFormat="1" hidden="1" x14ac:dyDescent="0.25">
      <c r="A159" s="143" t="s">
        <v>706</v>
      </c>
      <c r="B159" s="143" t="s">
        <v>75</v>
      </c>
      <c r="C159" s="290" t="s">
        <v>76</v>
      </c>
      <c r="D159" s="143" t="s">
        <v>69</v>
      </c>
      <c r="E159" s="257">
        <v>507821400</v>
      </c>
      <c r="F159" s="257">
        <v>507821400</v>
      </c>
      <c r="G159" s="257">
        <v>404878937</v>
      </c>
      <c r="H159" s="257">
        <v>0</v>
      </c>
      <c r="I159" s="257">
        <v>0</v>
      </c>
      <c r="J159" s="257">
        <v>0</v>
      </c>
      <c r="K159" s="257">
        <v>110690337.75</v>
      </c>
      <c r="L159" s="257">
        <v>110690337.75</v>
      </c>
      <c r="M159" s="257"/>
      <c r="N159" s="279">
        <v>397131062.25</v>
      </c>
      <c r="O159" s="257">
        <v>294188599.25</v>
      </c>
    </row>
    <row r="160" spans="1:16" s="143" customFormat="1" hidden="1" x14ac:dyDescent="0.25">
      <c r="A160" s="143" t="s">
        <v>706</v>
      </c>
      <c r="B160" s="143" t="s">
        <v>291</v>
      </c>
      <c r="C160" s="290" t="s">
        <v>292</v>
      </c>
      <c r="D160" s="143" t="s">
        <v>69</v>
      </c>
      <c r="E160" s="257">
        <v>5000000</v>
      </c>
      <c r="F160" s="257">
        <v>5000000</v>
      </c>
      <c r="G160" s="257">
        <v>1200000</v>
      </c>
      <c r="H160" s="257">
        <v>0</v>
      </c>
      <c r="I160" s="257">
        <v>0</v>
      </c>
      <c r="J160" s="257">
        <v>0</v>
      </c>
      <c r="K160" s="257">
        <v>0</v>
      </c>
      <c r="L160" s="257">
        <v>0</v>
      </c>
      <c r="M160" s="257"/>
      <c r="N160" s="279">
        <v>5000000</v>
      </c>
      <c r="O160" s="257">
        <v>1200000</v>
      </c>
    </row>
    <row r="161" spans="1:16" s="143" customFormat="1" ht="30" hidden="1" x14ac:dyDescent="0.25">
      <c r="A161" s="143" t="s">
        <v>706</v>
      </c>
      <c r="B161" s="143" t="s">
        <v>293</v>
      </c>
      <c r="C161" s="290" t="s">
        <v>294</v>
      </c>
      <c r="D161" s="143" t="s">
        <v>69</v>
      </c>
      <c r="E161" s="257">
        <v>11000000</v>
      </c>
      <c r="F161" s="257">
        <v>11000000</v>
      </c>
      <c r="G161" s="257">
        <v>11000000</v>
      </c>
      <c r="H161" s="257">
        <v>0</v>
      </c>
      <c r="I161" s="257">
        <v>0</v>
      </c>
      <c r="J161" s="257">
        <v>0</v>
      </c>
      <c r="K161" s="257">
        <v>1168177.72</v>
      </c>
      <c r="L161" s="257">
        <v>1168177.72</v>
      </c>
      <c r="M161" s="288">
        <f>K161/F161*100</f>
        <v>10.619797454545454</v>
      </c>
      <c r="N161" s="257">
        <v>9831822.2799999993</v>
      </c>
      <c r="O161" s="257">
        <v>9831822.2799999993</v>
      </c>
      <c r="P161" s="289">
        <f>N161/F161*100</f>
        <v>89.380202545454537</v>
      </c>
    </row>
    <row r="162" spans="1:16" s="143" customFormat="1" hidden="1" x14ac:dyDescent="0.25">
      <c r="A162" s="143" t="s">
        <v>706</v>
      </c>
      <c r="B162" s="143" t="s">
        <v>295</v>
      </c>
      <c r="C162" s="290" t="s">
        <v>296</v>
      </c>
      <c r="D162" s="143" t="s">
        <v>69</v>
      </c>
      <c r="E162" s="257">
        <v>11000000</v>
      </c>
      <c r="F162" s="257">
        <v>11000000</v>
      </c>
      <c r="G162" s="257">
        <v>11000000</v>
      </c>
      <c r="H162" s="257">
        <v>0</v>
      </c>
      <c r="I162" s="257">
        <v>0</v>
      </c>
      <c r="J162" s="257">
        <v>0</v>
      </c>
      <c r="K162" s="257">
        <v>1168177.72</v>
      </c>
      <c r="L162" s="257">
        <v>1168177.72</v>
      </c>
      <c r="M162" s="257"/>
      <c r="N162" s="279">
        <v>9831822.2799999993</v>
      </c>
      <c r="O162" s="257">
        <v>9831822.2799999993</v>
      </c>
    </row>
    <row r="163" spans="1:16" s="143" customFormat="1" hidden="1" x14ac:dyDescent="0.25">
      <c r="A163" s="143" t="s">
        <v>706</v>
      </c>
      <c r="B163" s="143" t="s">
        <v>77</v>
      </c>
      <c r="C163" s="290" t="s">
        <v>78</v>
      </c>
      <c r="D163" s="143" t="s">
        <v>69</v>
      </c>
      <c r="E163" s="257">
        <v>602518513</v>
      </c>
      <c r="F163" s="257">
        <v>602518513</v>
      </c>
      <c r="G163" s="257">
        <v>587390283</v>
      </c>
      <c r="H163" s="257">
        <v>0</v>
      </c>
      <c r="I163" s="257">
        <v>0</v>
      </c>
      <c r="J163" s="257">
        <v>0</v>
      </c>
      <c r="K163" s="257">
        <v>159626018.87</v>
      </c>
      <c r="L163" s="257">
        <v>159626018.87</v>
      </c>
      <c r="M163" s="288">
        <f>K163/F163*100</f>
        <v>26.493130986997578</v>
      </c>
      <c r="N163" s="257">
        <v>442892494.13</v>
      </c>
      <c r="O163" s="257">
        <v>427764264.13</v>
      </c>
      <c r="P163" s="289">
        <f>N163/F163*100</f>
        <v>73.506869013002429</v>
      </c>
    </row>
    <row r="164" spans="1:16" s="143" customFormat="1" ht="30" hidden="1" x14ac:dyDescent="0.25">
      <c r="A164" s="143" t="s">
        <v>706</v>
      </c>
      <c r="B164" s="143" t="s">
        <v>79</v>
      </c>
      <c r="C164" s="290" t="s">
        <v>80</v>
      </c>
      <c r="D164" s="143" t="s">
        <v>69</v>
      </c>
      <c r="E164" s="257">
        <v>160994500</v>
      </c>
      <c r="F164" s="257">
        <v>160994500</v>
      </c>
      <c r="G164" s="257">
        <v>154396123</v>
      </c>
      <c r="H164" s="257">
        <v>0</v>
      </c>
      <c r="I164" s="257">
        <v>0</v>
      </c>
      <c r="J164" s="257">
        <v>0</v>
      </c>
      <c r="K164" s="257">
        <v>33760151.939999998</v>
      </c>
      <c r="L164" s="257">
        <v>33760151.939999998</v>
      </c>
      <c r="M164" s="257"/>
      <c r="N164" s="279">
        <v>127234348.06</v>
      </c>
      <c r="O164" s="257">
        <v>120635971.06</v>
      </c>
    </row>
    <row r="165" spans="1:16" s="143" customFormat="1" ht="30" hidden="1" x14ac:dyDescent="0.25">
      <c r="A165" s="143" t="s">
        <v>706</v>
      </c>
      <c r="B165" s="143" t="s">
        <v>81</v>
      </c>
      <c r="C165" s="290" t="s">
        <v>82</v>
      </c>
      <c r="D165" s="143" t="s">
        <v>69</v>
      </c>
      <c r="E165" s="257">
        <v>218799248</v>
      </c>
      <c r="F165" s="257">
        <v>218799248</v>
      </c>
      <c r="G165" s="257">
        <v>212878407</v>
      </c>
      <c r="H165" s="257">
        <v>0</v>
      </c>
      <c r="I165" s="257">
        <v>0</v>
      </c>
      <c r="J165" s="257">
        <v>0</v>
      </c>
      <c r="K165" s="257">
        <v>43431577.32</v>
      </c>
      <c r="L165" s="257">
        <v>43431577.32</v>
      </c>
      <c r="M165" s="257"/>
      <c r="N165" s="279">
        <v>175367670.68000001</v>
      </c>
      <c r="O165" s="257">
        <v>169446829.68000001</v>
      </c>
    </row>
    <row r="166" spans="1:16" s="143" customFormat="1" hidden="1" x14ac:dyDescent="0.25">
      <c r="A166" s="143" t="s">
        <v>706</v>
      </c>
      <c r="B166" s="143" t="s">
        <v>83</v>
      </c>
      <c r="C166" s="290" t="s">
        <v>84</v>
      </c>
      <c r="D166" s="143" t="s">
        <v>85</v>
      </c>
      <c r="E166" s="257">
        <v>86609465</v>
      </c>
      <c r="F166" s="257">
        <v>86609465</v>
      </c>
      <c r="G166" s="257">
        <v>84394818</v>
      </c>
      <c r="H166" s="257">
        <v>0</v>
      </c>
      <c r="I166" s="257">
        <v>0</v>
      </c>
      <c r="J166" s="257">
        <v>0</v>
      </c>
      <c r="K166" s="257">
        <v>0</v>
      </c>
      <c r="L166" s="257">
        <v>0</v>
      </c>
      <c r="M166" s="257"/>
      <c r="N166" s="279">
        <v>86609465</v>
      </c>
      <c r="O166" s="257">
        <v>84394818</v>
      </c>
    </row>
    <row r="167" spans="1:16" s="143" customFormat="1" hidden="1" x14ac:dyDescent="0.25">
      <c r="A167" s="143" t="s">
        <v>706</v>
      </c>
      <c r="B167" s="143" t="s">
        <v>86</v>
      </c>
      <c r="C167" s="290" t="s">
        <v>87</v>
      </c>
      <c r="D167" s="143" t="s">
        <v>69</v>
      </c>
      <c r="E167" s="257">
        <v>79437600</v>
      </c>
      <c r="F167" s="257">
        <v>79437600</v>
      </c>
      <c r="G167" s="257">
        <v>79437600</v>
      </c>
      <c r="H167" s="257">
        <v>0</v>
      </c>
      <c r="I167" s="257">
        <v>0</v>
      </c>
      <c r="J167" s="257">
        <v>0</v>
      </c>
      <c r="K167" s="257">
        <v>70505091.120000005</v>
      </c>
      <c r="L167" s="257">
        <v>70505091.120000005</v>
      </c>
      <c r="M167" s="257"/>
      <c r="N167" s="279">
        <v>8932508.8800000008</v>
      </c>
      <c r="O167" s="257">
        <v>8932508.8800000008</v>
      </c>
    </row>
    <row r="168" spans="1:16" s="143" customFormat="1" ht="30" hidden="1" x14ac:dyDescent="0.25">
      <c r="A168" s="143" t="s">
        <v>706</v>
      </c>
      <c r="B168" s="143" t="s">
        <v>88</v>
      </c>
      <c r="C168" s="290" t="s">
        <v>89</v>
      </c>
      <c r="D168" s="143" t="s">
        <v>69</v>
      </c>
      <c r="E168" s="257">
        <v>56677700</v>
      </c>
      <c r="F168" s="257">
        <v>56677700</v>
      </c>
      <c r="G168" s="257">
        <v>56283335</v>
      </c>
      <c r="H168" s="257">
        <v>0</v>
      </c>
      <c r="I168" s="257">
        <v>0</v>
      </c>
      <c r="J168" s="257">
        <v>0</v>
      </c>
      <c r="K168" s="257">
        <v>11929198.49</v>
      </c>
      <c r="L168" s="257">
        <v>11929198.49</v>
      </c>
      <c r="M168" s="257"/>
      <c r="N168" s="279">
        <v>44748501.509999998</v>
      </c>
      <c r="O168" s="257">
        <v>44354136.509999998</v>
      </c>
    </row>
    <row r="169" spans="1:16" s="143" customFormat="1" ht="30" hidden="1" x14ac:dyDescent="0.25">
      <c r="A169" s="143" t="s">
        <v>706</v>
      </c>
      <c r="B169" s="143" t="s">
        <v>90</v>
      </c>
      <c r="C169" s="290" t="s">
        <v>91</v>
      </c>
      <c r="D169" s="143" t="s">
        <v>69</v>
      </c>
      <c r="E169" s="257">
        <v>101373634</v>
      </c>
      <c r="F169" s="257">
        <v>101373634</v>
      </c>
      <c r="G169" s="257">
        <v>98787266</v>
      </c>
      <c r="H169" s="257">
        <v>0</v>
      </c>
      <c r="I169" s="257">
        <v>76105674.659999996</v>
      </c>
      <c r="J169" s="257">
        <v>0</v>
      </c>
      <c r="K169" s="257">
        <v>25267959.34</v>
      </c>
      <c r="L169" s="257">
        <v>25267959.34</v>
      </c>
      <c r="M169" s="288">
        <f>K169/F169*100</f>
        <v>24.925573191940618</v>
      </c>
      <c r="N169" s="257">
        <v>0</v>
      </c>
      <c r="O169" s="275">
        <v>-2586368</v>
      </c>
      <c r="P169" s="289">
        <f>N169/F169*100</f>
        <v>0</v>
      </c>
    </row>
    <row r="170" spans="1:16" s="143" customFormat="1" ht="90" hidden="1" x14ac:dyDescent="0.25">
      <c r="A170" s="143" t="s">
        <v>706</v>
      </c>
      <c r="B170" s="143" t="s">
        <v>419</v>
      </c>
      <c r="C170" s="290" t="s">
        <v>697</v>
      </c>
      <c r="D170" s="143" t="s">
        <v>69</v>
      </c>
      <c r="E170" s="257">
        <v>96175035</v>
      </c>
      <c r="F170" s="257">
        <v>96175035</v>
      </c>
      <c r="G170" s="257">
        <v>93721300</v>
      </c>
      <c r="H170" s="257">
        <v>0</v>
      </c>
      <c r="I170" s="257">
        <v>72202783.780000001</v>
      </c>
      <c r="J170" s="257">
        <v>0</v>
      </c>
      <c r="K170" s="257">
        <v>23972251.219999999</v>
      </c>
      <c r="L170" s="257">
        <v>23972251.219999999</v>
      </c>
      <c r="M170" s="257"/>
      <c r="N170" s="279">
        <v>0</v>
      </c>
      <c r="O170" s="275">
        <v>-2453735</v>
      </c>
    </row>
    <row r="171" spans="1:16" s="143" customFormat="1" ht="75" hidden="1" x14ac:dyDescent="0.25">
      <c r="A171" s="143" t="s">
        <v>706</v>
      </c>
      <c r="B171" s="143" t="s">
        <v>436</v>
      </c>
      <c r="C171" s="290" t="s">
        <v>95</v>
      </c>
      <c r="D171" s="143" t="s">
        <v>69</v>
      </c>
      <c r="E171" s="257">
        <v>5198599</v>
      </c>
      <c r="F171" s="257">
        <v>5198599</v>
      </c>
      <c r="G171" s="257">
        <v>5065966</v>
      </c>
      <c r="H171" s="257">
        <v>0</v>
      </c>
      <c r="I171" s="257">
        <v>3902890.88</v>
      </c>
      <c r="J171" s="257">
        <v>0</v>
      </c>
      <c r="K171" s="257">
        <v>1295708.1200000001</v>
      </c>
      <c r="L171" s="257">
        <v>1295708.1200000001</v>
      </c>
      <c r="M171" s="257"/>
      <c r="N171" s="279">
        <v>0</v>
      </c>
      <c r="O171" s="275">
        <v>-132633</v>
      </c>
    </row>
    <row r="172" spans="1:16" s="143" customFormat="1" ht="30" hidden="1" x14ac:dyDescent="0.25">
      <c r="A172" s="143" t="s">
        <v>706</v>
      </c>
      <c r="B172" s="143" t="s">
        <v>96</v>
      </c>
      <c r="C172" s="290" t="s">
        <v>97</v>
      </c>
      <c r="D172" s="143" t="s">
        <v>69</v>
      </c>
      <c r="E172" s="257">
        <v>101373634</v>
      </c>
      <c r="F172" s="257">
        <v>101373634</v>
      </c>
      <c r="G172" s="257">
        <v>98787267</v>
      </c>
      <c r="H172" s="257">
        <v>0</v>
      </c>
      <c r="I172" s="257">
        <v>76653686.640000001</v>
      </c>
      <c r="J172" s="257">
        <v>0</v>
      </c>
      <c r="K172" s="257">
        <v>24719947.359999999</v>
      </c>
      <c r="L172" s="257">
        <v>24719947.359999999</v>
      </c>
      <c r="M172" s="288">
        <f>K172/F172*100</f>
        <v>24.384986889194483</v>
      </c>
      <c r="N172" s="257">
        <v>0</v>
      </c>
      <c r="O172" s="275">
        <v>-2586367</v>
      </c>
      <c r="P172" s="289">
        <f>N172/F172*100</f>
        <v>0</v>
      </c>
    </row>
    <row r="173" spans="1:16" s="143" customFormat="1" ht="90" hidden="1" x14ac:dyDescent="0.25">
      <c r="A173" s="143" t="s">
        <v>706</v>
      </c>
      <c r="B173" s="143" t="s">
        <v>454</v>
      </c>
      <c r="C173" s="290" t="s">
        <v>698</v>
      </c>
      <c r="D173" s="143" t="s">
        <v>69</v>
      </c>
      <c r="E173" s="257">
        <v>54585842</v>
      </c>
      <c r="F173" s="257">
        <v>54585842</v>
      </c>
      <c r="G173" s="257">
        <v>53193182</v>
      </c>
      <c r="H173" s="257">
        <v>0</v>
      </c>
      <c r="I173" s="257">
        <v>41527292.32</v>
      </c>
      <c r="J173" s="257">
        <v>0</v>
      </c>
      <c r="K173" s="257">
        <v>13058549.68</v>
      </c>
      <c r="L173" s="257">
        <v>13058549.68</v>
      </c>
      <c r="M173" s="257"/>
      <c r="N173" s="279">
        <v>0</v>
      </c>
      <c r="O173" s="275">
        <v>-1392660</v>
      </c>
    </row>
    <row r="174" spans="1:16" s="143" customFormat="1" ht="90" hidden="1" x14ac:dyDescent="0.25">
      <c r="A174" s="143" t="s">
        <v>706</v>
      </c>
      <c r="B174" s="143" t="s">
        <v>471</v>
      </c>
      <c r="C174" s="290" t="s">
        <v>699</v>
      </c>
      <c r="D174" s="143" t="s">
        <v>69</v>
      </c>
      <c r="E174" s="257">
        <v>15595897</v>
      </c>
      <c r="F174" s="257">
        <v>15595897</v>
      </c>
      <c r="G174" s="257">
        <v>15197995</v>
      </c>
      <c r="H174" s="257">
        <v>0</v>
      </c>
      <c r="I174" s="257">
        <v>11708761.300000001</v>
      </c>
      <c r="J174" s="257">
        <v>0</v>
      </c>
      <c r="K174" s="257">
        <v>3887135.7</v>
      </c>
      <c r="L174" s="257">
        <v>3887135.7</v>
      </c>
      <c r="M174" s="257"/>
      <c r="N174" s="279">
        <v>0</v>
      </c>
      <c r="O174" s="275">
        <v>-397902</v>
      </c>
    </row>
    <row r="175" spans="1:16" s="143" customFormat="1" ht="90" hidden="1" x14ac:dyDescent="0.25">
      <c r="A175" s="143" t="s">
        <v>706</v>
      </c>
      <c r="B175" s="143" t="s">
        <v>488</v>
      </c>
      <c r="C175" s="290" t="s">
        <v>700</v>
      </c>
      <c r="D175" s="143" t="s">
        <v>69</v>
      </c>
      <c r="E175" s="257">
        <v>31191895</v>
      </c>
      <c r="F175" s="257">
        <v>31191895</v>
      </c>
      <c r="G175" s="257">
        <v>30396090</v>
      </c>
      <c r="H175" s="257">
        <v>0</v>
      </c>
      <c r="I175" s="257">
        <v>23417633.02</v>
      </c>
      <c r="J175" s="257">
        <v>0</v>
      </c>
      <c r="K175" s="257">
        <v>7774261.9800000004</v>
      </c>
      <c r="L175" s="257">
        <v>7774261.9800000004</v>
      </c>
      <c r="M175" s="257"/>
      <c r="N175" s="279">
        <v>0</v>
      </c>
      <c r="O175" s="275">
        <v>-795805</v>
      </c>
    </row>
    <row r="176" spans="1:16" s="143" customFormat="1" x14ac:dyDescent="0.25">
      <c r="A176" s="327" t="s">
        <v>706</v>
      </c>
      <c r="B176" s="328" t="s">
        <v>104</v>
      </c>
      <c r="C176" s="329" t="s">
        <v>105</v>
      </c>
      <c r="D176" s="283" t="s">
        <v>69</v>
      </c>
      <c r="E176" s="257">
        <v>1188545520</v>
      </c>
      <c r="F176" s="330">
        <v>1188545520</v>
      </c>
      <c r="G176" s="257">
        <v>601221378</v>
      </c>
      <c r="H176" s="257">
        <v>72700</v>
      </c>
      <c r="I176" s="257">
        <v>94656160.920000002</v>
      </c>
      <c r="J176" s="257">
        <v>40888648.649999999</v>
      </c>
      <c r="K176" s="330">
        <v>124041910</v>
      </c>
      <c r="L176" s="257">
        <v>77164578.379999995</v>
      </c>
      <c r="M176" s="331">
        <f>+K176/F176</f>
        <v>0.10436445883873258</v>
      </c>
      <c r="N176" s="332">
        <v>928886100.42999995</v>
      </c>
      <c r="O176" s="257">
        <v>341561958.43000001</v>
      </c>
      <c r="P176" s="333">
        <f>+N176/F176</f>
        <v>0.78153178384787481</v>
      </c>
    </row>
    <row r="177" spans="1:15" s="143" customFormat="1" hidden="1" x14ac:dyDescent="0.25">
      <c r="A177" s="143" t="s">
        <v>706</v>
      </c>
      <c r="B177" s="143" t="s">
        <v>106</v>
      </c>
      <c r="C177" s="290" t="s">
        <v>107</v>
      </c>
      <c r="D177" s="143" t="s">
        <v>69</v>
      </c>
      <c r="E177" s="257">
        <v>411755980</v>
      </c>
      <c r="F177" s="257">
        <v>411905497.89999998</v>
      </c>
      <c r="G177" s="257">
        <v>205438507.90000001</v>
      </c>
      <c r="H177" s="257">
        <v>0</v>
      </c>
      <c r="I177" s="257">
        <v>18163607.68</v>
      </c>
      <c r="J177" s="257">
        <v>38088378.280000001</v>
      </c>
      <c r="K177" s="257">
        <v>22951215.300000001</v>
      </c>
      <c r="L177" s="257">
        <v>12543000</v>
      </c>
      <c r="M177" s="257"/>
      <c r="N177" s="279">
        <v>332702296.63999999</v>
      </c>
      <c r="O177" s="257">
        <v>126235306.64</v>
      </c>
    </row>
    <row r="178" spans="1:15" s="143" customFormat="1" ht="30" hidden="1" x14ac:dyDescent="0.25">
      <c r="A178" s="143" t="s">
        <v>706</v>
      </c>
      <c r="B178" s="143" t="s">
        <v>280</v>
      </c>
      <c r="C178" s="290" t="s">
        <v>281</v>
      </c>
      <c r="D178" s="143" t="s">
        <v>69</v>
      </c>
      <c r="E178" s="257">
        <v>168555500</v>
      </c>
      <c r="F178" s="257">
        <v>168555500</v>
      </c>
      <c r="G178" s="257">
        <v>88477750</v>
      </c>
      <c r="H178" s="257">
        <v>0</v>
      </c>
      <c r="I178" s="257">
        <v>4264914.57</v>
      </c>
      <c r="J178" s="257">
        <v>19087714.800000001</v>
      </c>
      <c r="K178" s="257">
        <v>22951215.300000001</v>
      </c>
      <c r="L178" s="257">
        <v>12543000</v>
      </c>
      <c r="M178" s="257"/>
      <c r="N178" s="279">
        <v>122251655.33</v>
      </c>
      <c r="O178" s="257">
        <v>42173905.329999998</v>
      </c>
    </row>
    <row r="179" spans="1:15" s="143" customFormat="1" ht="30" hidden="1" x14ac:dyDescent="0.25">
      <c r="A179" s="143" t="s">
        <v>706</v>
      </c>
      <c r="B179" s="143" t="s">
        <v>302</v>
      </c>
      <c r="C179" s="290" t="s">
        <v>303</v>
      </c>
      <c r="D179" s="143" t="s">
        <v>69</v>
      </c>
      <c r="E179" s="257">
        <v>3869560</v>
      </c>
      <c r="F179" s="257">
        <v>3869560</v>
      </c>
      <c r="G179" s="257">
        <v>1934780</v>
      </c>
      <c r="H179" s="257">
        <v>0</v>
      </c>
      <c r="I179" s="257">
        <v>0</v>
      </c>
      <c r="J179" s="257">
        <v>0</v>
      </c>
      <c r="K179" s="257">
        <v>0</v>
      </c>
      <c r="L179" s="257">
        <v>0</v>
      </c>
      <c r="M179" s="257"/>
      <c r="N179" s="279">
        <v>3869560</v>
      </c>
      <c r="O179" s="257">
        <v>1934780</v>
      </c>
    </row>
    <row r="180" spans="1:15" s="143" customFormat="1" ht="30" hidden="1" x14ac:dyDescent="0.25">
      <c r="A180" s="143" t="s">
        <v>706</v>
      </c>
      <c r="B180" s="143" t="s">
        <v>108</v>
      </c>
      <c r="C180" s="290" t="s">
        <v>109</v>
      </c>
      <c r="D180" s="143" t="s">
        <v>69</v>
      </c>
      <c r="E180" s="257">
        <v>194561670</v>
      </c>
      <c r="F180" s="257">
        <v>194561670</v>
      </c>
      <c r="G180" s="257">
        <v>92280835</v>
      </c>
      <c r="H180" s="257">
        <v>0</v>
      </c>
      <c r="I180" s="257">
        <v>10098064.42</v>
      </c>
      <c r="J180" s="257">
        <v>13956624.52</v>
      </c>
      <c r="K180" s="257">
        <v>0</v>
      </c>
      <c r="L180" s="257">
        <v>0</v>
      </c>
      <c r="M180" s="257"/>
      <c r="N180" s="279">
        <v>170506981.06</v>
      </c>
      <c r="O180" s="257">
        <v>68226146.060000002</v>
      </c>
    </row>
    <row r="181" spans="1:15" s="143" customFormat="1" ht="30" hidden="1" x14ac:dyDescent="0.25">
      <c r="A181" s="143" t="s">
        <v>706</v>
      </c>
      <c r="B181" s="143" t="s">
        <v>304</v>
      </c>
      <c r="C181" s="290" t="s">
        <v>305</v>
      </c>
      <c r="D181" s="143" t="s">
        <v>69</v>
      </c>
      <c r="E181" s="257">
        <v>1649720</v>
      </c>
      <c r="F181" s="257">
        <v>1799237.9</v>
      </c>
      <c r="G181" s="257">
        <v>1185377.8999999999</v>
      </c>
      <c r="H181" s="257">
        <v>0</v>
      </c>
      <c r="I181" s="257">
        <v>348849.83</v>
      </c>
      <c r="J181" s="257">
        <v>273492</v>
      </c>
      <c r="K181" s="257">
        <v>0</v>
      </c>
      <c r="L181" s="257">
        <v>0</v>
      </c>
      <c r="M181" s="257"/>
      <c r="N181" s="279">
        <v>1176896.07</v>
      </c>
      <c r="O181" s="257">
        <v>563036.06999999995</v>
      </c>
    </row>
    <row r="182" spans="1:15" s="143" customFormat="1" hidden="1" x14ac:dyDescent="0.25">
      <c r="A182" s="143" t="s">
        <v>706</v>
      </c>
      <c r="B182" s="143" t="s">
        <v>110</v>
      </c>
      <c r="C182" s="290" t="s">
        <v>111</v>
      </c>
      <c r="D182" s="143" t="s">
        <v>69</v>
      </c>
      <c r="E182" s="257">
        <v>43119530</v>
      </c>
      <c r="F182" s="257">
        <v>43119530</v>
      </c>
      <c r="G182" s="257">
        <v>21559765</v>
      </c>
      <c r="H182" s="257">
        <v>0</v>
      </c>
      <c r="I182" s="257">
        <v>3451778.86</v>
      </c>
      <c r="J182" s="257">
        <v>4770546.96</v>
      </c>
      <c r="K182" s="257">
        <v>0</v>
      </c>
      <c r="L182" s="257">
        <v>0</v>
      </c>
      <c r="M182" s="257"/>
      <c r="N182" s="279">
        <v>34897204.18</v>
      </c>
      <c r="O182" s="257">
        <v>13337439.18</v>
      </c>
    </row>
    <row r="183" spans="1:15" s="143" customFormat="1" hidden="1" x14ac:dyDescent="0.25">
      <c r="A183" s="143" t="s">
        <v>706</v>
      </c>
      <c r="B183" s="143" t="s">
        <v>112</v>
      </c>
      <c r="C183" s="290" t="s">
        <v>113</v>
      </c>
      <c r="D183" s="143" t="s">
        <v>69</v>
      </c>
      <c r="E183" s="257">
        <v>114662680</v>
      </c>
      <c r="F183" s="257">
        <v>114662680</v>
      </c>
      <c r="G183" s="257">
        <v>57331340</v>
      </c>
      <c r="H183" s="257">
        <v>0</v>
      </c>
      <c r="I183" s="257">
        <v>12661126.960000001</v>
      </c>
      <c r="J183" s="257">
        <v>501379.04</v>
      </c>
      <c r="K183" s="257">
        <v>12382428.279999999</v>
      </c>
      <c r="L183" s="257">
        <v>12134788.460000001</v>
      </c>
      <c r="M183" s="257"/>
      <c r="N183" s="279">
        <v>89117745.719999999</v>
      </c>
      <c r="O183" s="257">
        <v>31786405.719999999</v>
      </c>
    </row>
    <row r="184" spans="1:15" s="143" customFormat="1" ht="30" hidden="1" x14ac:dyDescent="0.25">
      <c r="A184" s="143" t="s">
        <v>706</v>
      </c>
      <c r="B184" s="143" t="s">
        <v>114</v>
      </c>
      <c r="C184" s="290" t="s">
        <v>115</v>
      </c>
      <c r="D184" s="143" t="s">
        <v>69</v>
      </c>
      <c r="E184" s="257">
        <v>19200000</v>
      </c>
      <c r="F184" s="257">
        <v>19200000</v>
      </c>
      <c r="G184" s="257">
        <v>9600000</v>
      </c>
      <c r="H184" s="257">
        <v>0</v>
      </c>
      <c r="I184" s="257">
        <v>2906707.01</v>
      </c>
      <c r="J184" s="257">
        <v>0</v>
      </c>
      <c r="K184" s="257">
        <v>1858214</v>
      </c>
      <c r="L184" s="257">
        <v>1858214</v>
      </c>
      <c r="M184" s="257"/>
      <c r="N184" s="279">
        <v>14435078.99</v>
      </c>
      <c r="O184" s="257">
        <v>4835078.99</v>
      </c>
    </row>
    <row r="185" spans="1:15" s="143" customFormat="1" ht="30" hidden="1" x14ac:dyDescent="0.25">
      <c r="A185" s="143" t="s">
        <v>706</v>
      </c>
      <c r="B185" s="143" t="s">
        <v>116</v>
      </c>
      <c r="C185" s="290" t="s">
        <v>117</v>
      </c>
      <c r="D185" s="143" t="s">
        <v>69</v>
      </c>
      <c r="E185" s="257">
        <v>37800000</v>
      </c>
      <c r="F185" s="257">
        <v>37800000</v>
      </c>
      <c r="G185" s="257">
        <v>18900000</v>
      </c>
      <c r="H185" s="257">
        <v>0</v>
      </c>
      <c r="I185" s="257">
        <v>2087400</v>
      </c>
      <c r="J185" s="257">
        <v>0</v>
      </c>
      <c r="K185" s="257">
        <v>6195905</v>
      </c>
      <c r="L185" s="257">
        <v>6195905</v>
      </c>
      <c r="M185" s="257"/>
      <c r="N185" s="279">
        <v>29516695</v>
      </c>
      <c r="O185" s="257">
        <v>10616695</v>
      </c>
    </row>
    <row r="186" spans="1:15" s="143" customFormat="1" hidden="1" x14ac:dyDescent="0.25">
      <c r="A186" s="143" t="s">
        <v>706</v>
      </c>
      <c r="B186" s="143" t="s">
        <v>118</v>
      </c>
      <c r="C186" s="290" t="s">
        <v>119</v>
      </c>
      <c r="D186" s="143" t="s">
        <v>69</v>
      </c>
      <c r="E186" s="257">
        <v>7200000</v>
      </c>
      <c r="F186" s="257">
        <v>7200000</v>
      </c>
      <c r="G186" s="257">
        <v>3600000</v>
      </c>
      <c r="H186" s="257">
        <v>0</v>
      </c>
      <c r="I186" s="257">
        <v>717680</v>
      </c>
      <c r="J186" s="257">
        <v>0</v>
      </c>
      <c r="K186" s="257">
        <v>474910</v>
      </c>
      <c r="L186" s="257">
        <v>474910</v>
      </c>
      <c r="M186" s="257"/>
      <c r="N186" s="279">
        <v>6007410</v>
      </c>
      <c r="O186" s="257">
        <v>2407410</v>
      </c>
    </row>
    <row r="187" spans="1:15" s="143" customFormat="1" ht="30" hidden="1" x14ac:dyDescent="0.25">
      <c r="A187" s="143" t="s">
        <v>706</v>
      </c>
      <c r="B187" s="143" t="s">
        <v>120</v>
      </c>
      <c r="C187" s="290" t="s">
        <v>121</v>
      </c>
      <c r="D187" s="143" t="s">
        <v>69</v>
      </c>
      <c r="E187" s="257">
        <v>45662680</v>
      </c>
      <c r="F187" s="257">
        <v>45662680</v>
      </c>
      <c r="G187" s="257">
        <v>22831340</v>
      </c>
      <c r="H187" s="257">
        <v>0</v>
      </c>
      <c r="I187" s="257">
        <v>6949339.9500000002</v>
      </c>
      <c r="J187" s="257">
        <v>501379.04</v>
      </c>
      <c r="K187" s="257">
        <v>3408298.43</v>
      </c>
      <c r="L187" s="257">
        <v>3160658.61</v>
      </c>
      <c r="M187" s="257"/>
      <c r="N187" s="279">
        <v>34803662.579999998</v>
      </c>
      <c r="O187" s="257">
        <v>11972322.58</v>
      </c>
    </row>
    <row r="188" spans="1:15" s="143" customFormat="1" hidden="1" x14ac:dyDescent="0.25">
      <c r="A188" s="143" t="s">
        <v>706</v>
      </c>
      <c r="B188" s="143" t="s">
        <v>122</v>
      </c>
      <c r="C188" s="290" t="s">
        <v>123</v>
      </c>
      <c r="D188" s="143" t="s">
        <v>69</v>
      </c>
      <c r="E188" s="257">
        <v>4800000</v>
      </c>
      <c r="F188" s="257">
        <v>4800000</v>
      </c>
      <c r="G188" s="257">
        <v>2400000</v>
      </c>
      <c r="H188" s="257">
        <v>0</v>
      </c>
      <c r="I188" s="257">
        <v>0</v>
      </c>
      <c r="J188" s="257">
        <v>0</v>
      </c>
      <c r="K188" s="257">
        <v>445100.85</v>
      </c>
      <c r="L188" s="257">
        <v>445100.85</v>
      </c>
      <c r="M188" s="257"/>
      <c r="N188" s="279">
        <v>4354899.1500000004</v>
      </c>
      <c r="O188" s="257">
        <v>1954899.15</v>
      </c>
    </row>
    <row r="189" spans="1:15" s="143" customFormat="1" ht="30" hidden="1" x14ac:dyDescent="0.25">
      <c r="A189" s="143" t="s">
        <v>706</v>
      </c>
      <c r="B189" s="143" t="s">
        <v>124</v>
      </c>
      <c r="C189" s="290" t="s">
        <v>125</v>
      </c>
      <c r="D189" s="143" t="s">
        <v>69</v>
      </c>
      <c r="E189" s="257">
        <v>5424230</v>
      </c>
      <c r="F189" s="257">
        <v>5424230</v>
      </c>
      <c r="G189" s="257">
        <v>3024666</v>
      </c>
      <c r="H189" s="257">
        <v>0</v>
      </c>
      <c r="I189" s="257">
        <v>623633.12</v>
      </c>
      <c r="J189" s="257">
        <v>20675.419999999998</v>
      </c>
      <c r="K189" s="257">
        <v>218813.55</v>
      </c>
      <c r="L189" s="257">
        <v>218813.55</v>
      </c>
      <c r="M189" s="257"/>
      <c r="N189" s="279">
        <v>4561107.91</v>
      </c>
      <c r="O189" s="257">
        <v>2161543.91</v>
      </c>
    </row>
    <row r="190" spans="1:15" s="143" customFormat="1" hidden="1" x14ac:dyDescent="0.25">
      <c r="A190" s="143" t="s">
        <v>706</v>
      </c>
      <c r="B190" s="143" t="s">
        <v>126</v>
      </c>
      <c r="C190" s="290" t="s">
        <v>127</v>
      </c>
      <c r="D190" s="143" t="s">
        <v>69</v>
      </c>
      <c r="E190" s="257">
        <v>500000</v>
      </c>
      <c r="F190" s="257">
        <v>500000</v>
      </c>
      <c r="G190" s="257">
        <v>493500</v>
      </c>
      <c r="H190" s="257">
        <v>0</v>
      </c>
      <c r="I190" s="257">
        <v>248896.8</v>
      </c>
      <c r="J190" s="257">
        <v>0</v>
      </c>
      <c r="K190" s="257">
        <v>110530</v>
      </c>
      <c r="L190" s="257">
        <v>110530</v>
      </c>
      <c r="M190" s="257"/>
      <c r="N190" s="279">
        <v>140573.20000000001</v>
      </c>
      <c r="O190" s="257">
        <v>134073.20000000001</v>
      </c>
    </row>
    <row r="191" spans="1:15" s="143" customFormat="1" ht="30" hidden="1" x14ac:dyDescent="0.25">
      <c r="A191" s="143" t="s">
        <v>706</v>
      </c>
      <c r="B191" s="143" t="s">
        <v>128</v>
      </c>
      <c r="C191" s="290" t="s">
        <v>129</v>
      </c>
      <c r="D191" s="143" t="s">
        <v>69</v>
      </c>
      <c r="E191" s="257">
        <v>1000000</v>
      </c>
      <c r="F191" s="257">
        <v>1000000</v>
      </c>
      <c r="G191" s="257">
        <v>500000</v>
      </c>
      <c r="H191" s="257">
        <v>0</v>
      </c>
      <c r="I191" s="257">
        <v>95600</v>
      </c>
      <c r="J191" s="257">
        <v>0</v>
      </c>
      <c r="K191" s="257">
        <v>12015</v>
      </c>
      <c r="L191" s="257">
        <v>12015</v>
      </c>
      <c r="M191" s="257"/>
      <c r="N191" s="279">
        <v>892385</v>
      </c>
      <c r="O191" s="257">
        <v>392385</v>
      </c>
    </row>
    <row r="192" spans="1:15" s="143" customFormat="1" ht="30" hidden="1" x14ac:dyDescent="0.25">
      <c r="A192" s="143" t="s">
        <v>706</v>
      </c>
      <c r="B192" s="143" t="s">
        <v>130</v>
      </c>
      <c r="C192" s="290" t="s">
        <v>131</v>
      </c>
      <c r="D192" s="143" t="s">
        <v>69</v>
      </c>
      <c r="E192" s="257">
        <v>138100</v>
      </c>
      <c r="F192" s="257">
        <v>138100</v>
      </c>
      <c r="G192" s="257">
        <v>138100</v>
      </c>
      <c r="H192" s="257">
        <v>0</v>
      </c>
      <c r="I192" s="257">
        <v>91863.99</v>
      </c>
      <c r="J192" s="257">
        <v>0</v>
      </c>
      <c r="K192" s="257">
        <v>22650.85</v>
      </c>
      <c r="L192" s="257">
        <v>22650.85</v>
      </c>
      <c r="M192" s="257"/>
      <c r="N192" s="279">
        <v>23585.16</v>
      </c>
      <c r="O192" s="257">
        <v>23585.16</v>
      </c>
    </row>
    <row r="193" spans="1:15" s="143" customFormat="1" ht="30" hidden="1" x14ac:dyDescent="0.25">
      <c r="A193" s="143" t="s">
        <v>706</v>
      </c>
      <c r="B193" s="143" t="s">
        <v>132</v>
      </c>
      <c r="C193" s="290" t="s">
        <v>133</v>
      </c>
      <c r="D193" s="143" t="s">
        <v>69</v>
      </c>
      <c r="E193" s="257">
        <v>3786130</v>
      </c>
      <c r="F193" s="257">
        <v>3786130</v>
      </c>
      <c r="G193" s="257">
        <v>1893066</v>
      </c>
      <c r="H193" s="257">
        <v>0</v>
      </c>
      <c r="I193" s="257">
        <v>187272.33</v>
      </c>
      <c r="J193" s="257">
        <v>20675.419999999998</v>
      </c>
      <c r="K193" s="257">
        <v>73617.7</v>
      </c>
      <c r="L193" s="257">
        <v>73617.7</v>
      </c>
      <c r="M193" s="257"/>
      <c r="N193" s="279">
        <v>3504564.55</v>
      </c>
      <c r="O193" s="257">
        <v>1611500.55</v>
      </c>
    </row>
    <row r="194" spans="1:15" s="143" customFormat="1" ht="30" hidden="1" x14ac:dyDescent="0.25">
      <c r="A194" s="143" t="s">
        <v>706</v>
      </c>
      <c r="B194" s="143" t="s">
        <v>134</v>
      </c>
      <c r="C194" s="290" t="s">
        <v>135</v>
      </c>
      <c r="D194" s="143" t="s">
        <v>69</v>
      </c>
      <c r="E194" s="257">
        <v>385113260</v>
      </c>
      <c r="F194" s="257">
        <v>385113260</v>
      </c>
      <c r="G194" s="257">
        <v>204256630</v>
      </c>
      <c r="H194" s="257">
        <v>0</v>
      </c>
      <c r="I194" s="257">
        <v>37368969.350000001</v>
      </c>
      <c r="J194" s="257">
        <v>287215.90999999997</v>
      </c>
      <c r="K194" s="257">
        <v>69077953</v>
      </c>
      <c r="L194" s="257">
        <v>32856476.5</v>
      </c>
      <c r="M194" s="257"/>
      <c r="N194" s="279">
        <v>278379121.74000001</v>
      </c>
      <c r="O194" s="257">
        <v>97522491.739999995</v>
      </c>
    </row>
    <row r="195" spans="1:15" s="143" customFormat="1" hidden="1" x14ac:dyDescent="0.25">
      <c r="A195" s="143" t="s">
        <v>706</v>
      </c>
      <c r="B195" s="143" t="s">
        <v>306</v>
      </c>
      <c r="C195" s="290" t="s">
        <v>307</v>
      </c>
      <c r="D195" s="143" t="s">
        <v>69</v>
      </c>
      <c r="E195" s="257">
        <v>2000000</v>
      </c>
      <c r="F195" s="257">
        <v>2000000</v>
      </c>
      <c r="G195" s="257">
        <v>1000000</v>
      </c>
      <c r="H195" s="257">
        <v>0</v>
      </c>
      <c r="I195" s="257">
        <v>0</v>
      </c>
      <c r="J195" s="257">
        <v>0</v>
      </c>
      <c r="K195" s="257">
        <v>0</v>
      </c>
      <c r="L195" s="257">
        <v>0</v>
      </c>
      <c r="M195" s="257"/>
      <c r="N195" s="279">
        <v>2000000</v>
      </c>
      <c r="O195" s="257">
        <v>1000000</v>
      </c>
    </row>
    <row r="196" spans="1:15" s="143" customFormat="1" hidden="1" x14ac:dyDescent="0.25">
      <c r="A196" s="143" t="s">
        <v>706</v>
      </c>
      <c r="B196" s="143" t="s">
        <v>136</v>
      </c>
      <c r="C196" s="290" t="s">
        <v>137</v>
      </c>
      <c r="D196" s="143" t="s">
        <v>69</v>
      </c>
      <c r="E196" s="257">
        <v>373281100</v>
      </c>
      <c r="F196" s="257">
        <v>373281100</v>
      </c>
      <c r="G196" s="257">
        <v>194240550</v>
      </c>
      <c r="H196" s="257">
        <v>0</v>
      </c>
      <c r="I196" s="257">
        <v>35139476.490000002</v>
      </c>
      <c r="J196" s="257">
        <v>0</v>
      </c>
      <c r="K196" s="257">
        <v>65662953</v>
      </c>
      <c r="L196" s="257">
        <v>32831476.5</v>
      </c>
      <c r="M196" s="257"/>
      <c r="N196" s="279">
        <v>272478670.50999999</v>
      </c>
      <c r="O196" s="257">
        <v>93438120.510000005</v>
      </c>
    </row>
    <row r="197" spans="1:15" s="143" customFormat="1" ht="30" hidden="1" x14ac:dyDescent="0.25">
      <c r="A197" s="143" t="s">
        <v>706</v>
      </c>
      <c r="B197" s="143" t="s">
        <v>138</v>
      </c>
      <c r="C197" s="290" t="s">
        <v>139</v>
      </c>
      <c r="D197" s="143" t="s">
        <v>69</v>
      </c>
      <c r="E197" s="257">
        <v>9832160</v>
      </c>
      <c r="F197" s="257">
        <v>9832160</v>
      </c>
      <c r="G197" s="257">
        <v>9016080</v>
      </c>
      <c r="H197" s="257">
        <v>0</v>
      </c>
      <c r="I197" s="257">
        <v>2229492.86</v>
      </c>
      <c r="J197" s="257">
        <v>287215.90999999997</v>
      </c>
      <c r="K197" s="257">
        <v>3415000</v>
      </c>
      <c r="L197" s="257">
        <v>25000</v>
      </c>
      <c r="M197" s="257"/>
      <c r="N197" s="279">
        <v>3900451.23</v>
      </c>
      <c r="O197" s="257">
        <v>3084371.23</v>
      </c>
    </row>
    <row r="198" spans="1:15" s="143" customFormat="1" ht="30" hidden="1" x14ac:dyDescent="0.25">
      <c r="A198" s="143" t="s">
        <v>706</v>
      </c>
      <c r="B198" s="143" t="s">
        <v>140</v>
      </c>
      <c r="C198" s="290" t="s">
        <v>141</v>
      </c>
      <c r="D198" s="143" t="s">
        <v>69</v>
      </c>
      <c r="E198" s="257">
        <v>35800000</v>
      </c>
      <c r="F198" s="257">
        <v>35800000</v>
      </c>
      <c r="G198" s="257">
        <v>20921616</v>
      </c>
      <c r="H198" s="257">
        <v>72700</v>
      </c>
      <c r="I198" s="257">
        <v>7253918.2699999996</v>
      </c>
      <c r="J198" s="257">
        <v>0</v>
      </c>
      <c r="K198" s="257">
        <v>4201981.7300000004</v>
      </c>
      <c r="L198" s="257">
        <v>4201981.7300000004</v>
      </c>
      <c r="M198" s="257"/>
      <c r="N198" s="279">
        <v>24271400</v>
      </c>
      <c r="O198" s="257">
        <v>9393016</v>
      </c>
    </row>
    <row r="199" spans="1:15" s="143" customFormat="1" hidden="1" x14ac:dyDescent="0.25">
      <c r="A199" s="143" t="s">
        <v>706</v>
      </c>
      <c r="B199" s="143" t="s">
        <v>142</v>
      </c>
      <c r="C199" s="290" t="s">
        <v>143</v>
      </c>
      <c r="D199" s="143" t="s">
        <v>69</v>
      </c>
      <c r="E199" s="257">
        <v>1800000</v>
      </c>
      <c r="F199" s="257">
        <v>1800000</v>
      </c>
      <c r="G199" s="257">
        <v>1262575</v>
      </c>
      <c r="H199" s="257">
        <v>0</v>
      </c>
      <c r="I199" s="257">
        <v>462118.27</v>
      </c>
      <c r="J199" s="257">
        <v>0</v>
      </c>
      <c r="K199" s="257">
        <v>237881.73</v>
      </c>
      <c r="L199" s="257">
        <v>237881.73</v>
      </c>
      <c r="M199" s="257"/>
      <c r="N199" s="279">
        <v>1100000</v>
      </c>
      <c r="O199" s="257">
        <v>562575</v>
      </c>
    </row>
    <row r="200" spans="1:15" s="143" customFormat="1" hidden="1" x14ac:dyDescent="0.25">
      <c r="A200" s="143" t="s">
        <v>706</v>
      </c>
      <c r="B200" s="143" t="s">
        <v>144</v>
      </c>
      <c r="C200" s="290" t="s">
        <v>145</v>
      </c>
      <c r="D200" s="143" t="s">
        <v>69</v>
      </c>
      <c r="E200" s="257">
        <v>34000000</v>
      </c>
      <c r="F200" s="257">
        <v>34000000</v>
      </c>
      <c r="G200" s="257">
        <v>19659041</v>
      </c>
      <c r="H200" s="257">
        <v>72700</v>
      </c>
      <c r="I200" s="257">
        <v>6791800</v>
      </c>
      <c r="J200" s="257">
        <v>0</v>
      </c>
      <c r="K200" s="257">
        <v>3964100</v>
      </c>
      <c r="L200" s="257">
        <v>3964100</v>
      </c>
      <c r="M200" s="257"/>
      <c r="N200" s="279">
        <v>23171400</v>
      </c>
      <c r="O200" s="257">
        <v>8830441</v>
      </c>
    </row>
    <row r="201" spans="1:15" s="143" customFormat="1" ht="30" hidden="1" x14ac:dyDescent="0.25">
      <c r="A201" s="143" t="s">
        <v>706</v>
      </c>
      <c r="B201" s="143" t="s">
        <v>150</v>
      </c>
      <c r="C201" s="290" t="s">
        <v>151</v>
      </c>
      <c r="D201" s="143" t="s">
        <v>69</v>
      </c>
      <c r="E201" s="257">
        <v>113000000</v>
      </c>
      <c r="F201" s="257">
        <v>113000000</v>
      </c>
      <c r="G201" s="257">
        <v>48692450</v>
      </c>
      <c r="H201" s="257">
        <v>0</v>
      </c>
      <c r="I201" s="257">
        <v>6138093.54</v>
      </c>
      <c r="J201" s="257">
        <v>0</v>
      </c>
      <c r="K201" s="257">
        <v>13652150</v>
      </c>
      <c r="L201" s="257">
        <v>13652150</v>
      </c>
      <c r="M201" s="257"/>
      <c r="N201" s="279">
        <v>93209756.459999993</v>
      </c>
      <c r="O201" s="257">
        <v>28902206.460000001</v>
      </c>
    </row>
    <row r="202" spans="1:15" s="143" customFormat="1" hidden="1" x14ac:dyDescent="0.25">
      <c r="A202" s="143" t="s">
        <v>706</v>
      </c>
      <c r="B202" s="143" t="s">
        <v>152</v>
      </c>
      <c r="C202" s="290" t="s">
        <v>153</v>
      </c>
      <c r="D202" s="143" t="s">
        <v>69</v>
      </c>
      <c r="E202" s="257">
        <v>113000000</v>
      </c>
      <c r="F202" s="257">
        <v>113000000</v>
      </c>
      <c r="G202" s="257">
        <v>48692450</v>
      </c>
      <c r="H202" s="257">
        <v>0</v>
      </c>
      <c r="I202" s="257">
        <v>6138093.54</v>
      </c>
      <c r="J202" s="257">
        <v>0</v>
      </c>
      <c r="K202" s="257">
        <v>13652150</v>
      </c>
      <c r="L202" s="257">
        <v>13652150</v>
      </c>
      <c r="M202" s="257"/>
      <c r="N202" s="279">
        <v>93209756.459999993</v>
      </c>
      <c r="O202" s="257">
        <v>28902206.460000001</v>
      </c>
    </row>
    <row r="203" spans="1:15" s="143" customFormat="1" ht="30" hidden="1" x14ac:dyDescent="0.25">
      <c r="A203" s="143" t="s">
        <v>706</v>
      </c>
      <c r="B203" s="143" t="s">
        <v>162</v>
      </c>
      <c r="C203" s="290" t="s">
        <v>163</v>
      </c>
      <c r="D203" s="143" t="s">
        <v>69</v>
      </c>
      <c r="E203" s="257">
        <v>119064370</v>
      </c>
      <c r="F203" s="257">
        <v>118914852.09999999</v>
      </c>
      <c r="G203" s="257">
        <v>59382668.100000001</v>
      </c>
      <c r="H203" s="257">
        <v>0</v>
      </c>
      <c r="I203" s="257">
        <v>11710645</v>
      </c>
      <c r="J203" s="257">
        <v>1991000</v>
      </c>
      <c r="K203" s="257">
        <v>1555993.14</v>
      </c>
      <c r="L203" s="257">
        <v>1555993.14</v>
      </c>
      <c r="M203" s="257"/>
      <c r="N203" s="279">
        <v>103657213.95999999</v>
      </c>
      <c r="O203" s="257">
        <v>44125029.960000001</v>
      </c>
    </row>
    <row r="204" spans="1:15" s="143" customFormat="1" ht="45" hidden="1" x14ac:dyDescent="0.25">
      <c r="A204" s="143" t="s">
        <v>706</v>
      </c>
      <c r="B204" s="143" t="s">
        <v>310</v>
      </c>
      <c r="C204" s="290" t="s">
        <v>311</v>
      </c>
      <c r="D204" s="143" t="s">
        <v>69</v>
      </c>
      <c r="E204" s="257">
        <v>25816590</v>
      </c>
      <c r="F204" s="257">
        <v>25816590</v>
      </c>
      <c r="G204" s="257">
        <v>12908296</v>
      </c>
      <c r="H204" s="257">
        <v>0</v>
      </c>
      <c r="I204" s="257">
        <v>1104052.5</v>
      </c>
      <c r="J204" s="257">
        <v>311000</v>
      </c>
      <c r="K204" s="257">
        <v>0</v>
      </c>
      <c r="L204" s="257">
        <v>0</v>
      </c>
      <c r="M204" s="257"/>
      <c r="N204" s="279">
        <v>24401537.5</v>
      </c>
      <c r="O204" s="257">
        <v>11493243.5</v>
      </c>
    </row>
    <row r="205" spans="1:15" s="143" customFormat="1" ht="45" hidden="1" x14ac:dyDescent="0.25">
      <c r="A205" s="143" t="s">
        <v>706</v>
      </c>
      <c r="B205" s="143" t="s">
        <v>164</v>
      </c>
      <c r="C205" s="290" t="s">
        <v>165</v>
      </c>
      <c r="D205" s="143" t="s">
        <v>69</v>
      </c>
      <c r="E205" s="257">
        <v>4358000</v>
      </c>
      <c r="F205" s="257">
        <v>4358000</v>
      </c>
      <c r="G205" s="257">
        <v>2179000</v>
      </c>
      <c r="H205" s="257">
        <v>0</v>
      </c>
      <c r="I205" s="257">
        <v>805062.5</v>
      </c>
      <c r="J205" s="257">
        <v>0</v>
      </c>
      <c r="K205" s="257">
        <v>0</v>
      </c>
      <c r="L205" s="257">
        <v>0</v>
      </c>
      <c r="M205" s="257"/>
      <c r="N205" s="279">
        <v>3552937.5</v>
      </c>
      <c r="O205" s="257">
        <v>1373937.5</v>
      </c>
    </row>
    <row r="206" spans="1:15" s="143" customFormat="1" ht="30" hidden="1" x14ac:dyDescent="0.25">
      <c r="A206" s="143" t="s">
        <v>706</v>
      </c>
      <c r="B206" s="143" t="s">
        <v>166</v>
      </c>
      <c r="C206" s="290" t="s">
        <v>167</v>
      </c>
      <c r="D206" s="143" t="s">
        <v>69</v>
      </c>
      <c r="E206" s="257">
        <v>28300000</v>
      </c>
      <c r="F206" s="257">
        <v>28150482.100000001</v>
      </c>
      <c r="G206" s="257">
        <v>14000482.1</v>
      </c>
      <c r="H206" s="257">
        <v>0</v>
      </c>
      <c r="I206" s="257">
        <v>3545283.31</v>
      </c>
      <c r="J206" s="257">
        <v>0</v>
      </c>
      <c r="K206" s="257">
        <v>1488193.14</v>
      </c>
      <c r="L206" s="257">
        <v>1488193.14</v>
      </c>
      <c r="M206" s="257"/>
      <c r="N206" s="279">
        <v>23117005.649999999</v>
      </c>
      <c r="O206" s="257">
        <v>8967005.6500000004</v>
      </c>
    </row>
    <row r="207" spans="1:15" s="143" customFormat="1" ht="30" hidden="1" x14ac:dyDescent="0.25">
      <c r="A207" s="143" t="s">
        <v>706</v>
      </c>
      <c r="B207" s="143" t="s">
        <v>312</v>
      </c>
      <c r="C207" s="290" t="s">
        <v>313</v>
      </c>
      <c r="D207" s="143" t="s">
        <v>69</v>
      </c>
      <c r="E207" s="257">
        <v>8695420</v>
      </c>
      <c r="F207" s="257">
        <v>8695420</v>
      </c>
      <c r="G207" s="257">
        <v>4347710</v>
      </c>
      <c r="H207" s="257">
        <v>0</v>
      </c>
      <c r="I207" s="257">
        <v>1142477.33</v>
      </c>
      <c r="J207" s="257">
        <v>0</v>
      </c>
      <c r="K207" s="257">
        <v>0</v>
      </c>
      <c r="L207" s="257">
        <v>0</v>
      </c>
      <c r="M207" s="257"/>
      <c r="N207" s="279">
        <v>7552942.6699999999</v>
      </c>
      <c r="O207" s="257">
        <v>3205232.67</v>
      </c>
    </row>
    <row r="208" spans="1:15" s="143" customFormat="1" ht="30" hidden="1" x14ac:dyDescent="0.25">
      <c r="A208" s="143" t="s">
        <v>706</v>
      </c>
      <c r="B208" s="143" t="s">
        <v>168</v>
      </c>
      <c r="C208" s="290" t="s">
        <v>169</v>
      </c>
      <c r="D208" s="143" t="s">
        <v>69</v>
      </c>
      <c r="E208" s="257">
        <v>19689160</v>
      </c>
      <c r="F208" s="257">
        <v>19689160</v>
      </c>
      <c r="G208" s="257">
        <v>9844580</v>
      </c>
      <c r="H208" s="257">
        <v>0</v>
      </c>
      <c r="I208" s="257">
        <v>1890301.44</v>
      </c>
      <c r="J208" s="257">
        <v>60000</v>
      </c>
      <c r="K208" s="257">
        <v>67800</v>
      </c>
      <c r="L208" s="257">
        <v>67800</v>
      </c>
      <c r="M208" s="257"/>
      <c r="N208" s="279">
        <v>17671058.559999999</v>
      </c>
      <c r="O208" s="257">
        <v>7826478.5599999996</v>
      </c>
    </row>
    <row r="209" spans="1:16" s="143" customFormat="1" ht="30" hidden="1" x14ac:dyDescent="0.25">
      <c r="A209" s="143" t="s">
        <v>706</v>
      </c>
      <c r="B209" s="143" t="s">
        <v>170</v>
      </c>
      <c r="C209" s="290" t="s">
        <v>171</v>
      </c>
      <c r="D209" s="143" t="s">
        <v>69</v>
      </c>
      <c r="E209" s="257">
        <v>26663380</v>
      </c>
      <c r="F209" s="257">
        <v>26663380</v>
      </c>
      <c r="G209" s="257">
        <v>13331690</v>
      </c>
      <c r="H209" s="257">
        <v>0</v>
      </c>
      <c r="I209" s="257">
        <v>2627721.67</v>
      </c>
      <c r="J209" s="257">
        <v>1620000</v>
      </c>
      <c r="K209" s="257">
        <v>0</v>
      </c>
      <c r="L209" s="257">
        <v>0</v>
      </c>
      <c r="M209" s="257"/>
      <c r="N209" s="279">
        <v>22415658.329999998</v>
      </c>
      <c r="O209" s="257">
        <v>9083968.3300000001</v>
      </c>
    </row>
    <row r="210" spans="1:16" s="143" customFormat="1" ht="45" hidden="1" x14ac:dyDescent="0.25">
      <c r="A210" s="143" t="s">
        <v>706</v>
      </c>
      <c r="B210" s="143" t="s">
        <v>172</v>
      </c>
      <c r="C210" s="290" t="s">
        <v>173</v>
      </c>
      <c r="D210" s="143" t="s">
        <v>69</v>
      </c>
      <c r="E210" s="257">
        <v>5541820</v>
      </c>
      <c r="F210" s="257">
        <v>5541820</v>
      </c>
      <c r="G210" s="257">
        <v>2770910</v>
      </c>
      <c r="H210" s="257">
        <v>0</v>
      </c>
      <c r="I210" s="257">
        <v>595746.25</v>
      </c>
      <c r="J210" s="257">
        <v>0</v>
      </c>
      <c r="K210" s="257">
        <v>0</v>
      </c>
      <c r="L210" s="257">
        <v>0</v>
      </c>
      <c r="M210" s="257"/>
      <c r="N210" s="279">
        <v>4946073.75</v>
      </c>
      <c r="O210" s="257">
        <v>2175163.75</v>
      </c>
    </row>
    <row r="211" spans="1:16" s="143" customFormat="1" hidden="1" x14ac:dyDescent="0.25">
      <c r="A211" s="143" t="s">
        <v>706</v>
      </c>
      <c r="B211" s="143" t="s">
        <v>174</v>
      </c>
      <c r="C211" s="290" t="s">
        <v>175</v>
      </c>
      <c r="D211" s="143" t="s">
        <v>69</v>
      </c>
      <c r="E211" s="257">
        <v>1525000</v>
      </c>
      <c r="F211" s="257">
        <v>1525000</v>
      </c>
      <c r="G211" s="257">
        <v>973500</v>
      </c>
      <c r="H211" s="257">
        <v>0</v>
      </c>
      <c r="I211" s="257">
        <v>586167</v>
      </c>
      <c r="J211" s="257">
        <v>0</v>
      </c>
      <c r="K211" s="257">
        <v>1375</v>
      </c>
      <c r="L211" s="257">
        <v>1375</v>
      </c>
      <c r="M211" s="257"/>
      <c r="N211" s="279">
        <v>937458</v>
      </c>
      <c r="O211" s="257">
        <v>385958</v>
      </c>
    </row>
    <row r="212" spans="1:16" s="143" customFormat="1" hidden="1" x14ac:dyDescent="0.25">
      <c r="A212" s="143" t="s">
        <v>706</v>
      </c>
      <c r="B212" s="143" t="s">
        <v>176</v>
      </c>
      <c r="C212" s="290" t="s">
        <v>177</v>
      </c>
      <c r="D212" s="143" t="s">
        <v>69</v>
      </c>
      <c r="E212" s="257">
        <v>1525000</v>
      </c>
      <c r="F212" s="257">
        <v>1525000</v>
      </c>
      <c r="G212" s="257">
        <v>973500</v>
      </c>
      <c r="H212" s="257">
        <v>0</v>
      </c>
      <c r="I212" s="257">
        <v>586167</v>
      </c>
      <c r="J212" s="257">
        <v>0</v>
      </c>
      <c r="K212" s="257">
        <v>1375</v>
      </c>
      <c r="L212" s="257">
        <v>1375</v>
      </c>
      <c r="M212" s="257"/>
      <c r="N212" s="279">
        <v>937458</v>
      </c>
      <c r="O212" s="257">
        <v>385958</v>
      </c>
    </row>
    <row r="213" spans="1:16" s="143" customFormat="1" hidden="1" x14ac:dyDescent="0.25">
      <c r="A213" s="143" t="s">
        <v>706</v>
      </c>
      <c r="B213" s="143" t="s">
        <v>178</v>
      </c>
      <c r="C213" s="290" t="s">
        <v>179</v>
      </c>
      <c r="D213" s="143" t="s">
        <v>69</v>
      </c>
      <c r="E213" s="257">
        <v>2200000</v>
      </c>
      <c r="F213" s="257">
        <v>2200000</v>
      </c>
      <c r="G213" s="257">
        <v>1200000</v>
      </c>
      <c r="H213" s="257">
        <v>0</v>
      </c>
      <c r="I213" s="257">
        <v>150000</v>
      </c>
      <c r="J213" s="257">
        <v>0</v>
      </c>
      <c r="K213" s="257">
        <v>0</v>
      </c>
      <c r="L213" s="257">
        <v>0</v>
      </c>
      <c r="M213" s="257"/>
      <c r="N213" s="279">
        <v>2050000</v>
      </c>
      <c r="O213" s="257">
        <v>1050000</v>
      </c>
    </row>
    <row r="214" spans="1:16" s="143" customFormat="1" ht="30" hidden="1" x14ac:dyDescent="0.25">
      <c r="A214" s="143" t="s">
        <v>706</v>
      </c>
      <c r="B214" s="143" t="s">
        <v>180</v>
      </c>
      <c r="C214" s="290" t="s">
        <v>181</v>
      </c>
      <c r="D214" s="143" t="s">
        <v>69</v>
      </c>
      <c r="E214" s="257">
        <v>200000</v>
      </c>
      <c r="F214" s="257">
        <v>200000</v>
      </c>
      <c r="G214" s="257">
        <v>200000</v>
      </c>
      <c r="H214" s="257">
        <v>0</v>
      </c>
      <c r="I214" s="257">
        <v>150000</v>
      </c>
      <c r="J214" s="257">
        <v>0</v>
      </c>
      <c r="K214" s="257">
        <v>0</v>
      </c>
      <c r="L214" s="257">
        <v>0</v>
      </c>
      <c r="M214" s="257"/>
      <c r="N214" s="279">
        <v>50000</v>
      </c>
      <c r="O214" s="257">
        <v>50000</v>
      </c>
    </row>
    <row r="215" spans="1:16" s="143" customFormat="1" hidden="1" x14ac:dyDescent="0.25">
      <c r="A215" s="143" t="s">
        <v>706</v>
      </c>
      <c r="B215" s="143" t="s">
        <v>182</v>
      </c>
      <c r="C215" s="290" t="s">
        <v>183</v>
      </c>
      <c r="D215" s="143" t="s">
        <v>69</v>
      </c>
      <c r="E215" s="257">
        <v>2000000</v>
      </c>
      <c r="F215" s="257">
        <v>2000000</v>
      </c>
      <c r="G215" s="257">
        <v>1000000</v>
      </c>
      <c r="H215" s="257">
        <v>0</v>
      </c>
      <c r="I215" s="257">
        <v>0</v>
      </c>
      <c r="J215" s="257">
        <v>0</v>
      </c>
      <c r="K215" s="257">
        <v>0</v>
      </c>
      <c r="L215" s="257">
        <v>0</v>
      </c>
      <c r="M215" s="257"/>
      <c r="N215" s="279">
        <v>2000000</v>
      </c>
      <c r="O215" s="257">
        <v>1000000</v>
      </c>
    </row>
    <row r="216" spans="1:16" s="143" customFormat="1" x14ac:dyDescent="0.25">
      <c r="A216" s="327" t="s">
        <v>706</v>
      </c>
      <c r="B216" s="328" t="s">
        <v>184</v>
      </c>
      <c r="C216" s="329" t="s">
        <v>185</v>
      </c>
      <c r="D216" s="283" t="s">
        <v>69</v>
      </c>
      <c r="E216" s="257">
        <v>56348380</v>
      </c>
      <c r="F216" s="330">
        <v>56348380</v>
      </c>
      <c r="G216" s="257">
        <v>21622740</v>
      </c>
      <c r="H216" s="257">
        <v>277980</v>
      </c>
      <c r="I216" s="257">
        <v>4986347.58</v>
      </c>
      <c r="J216" s="257">
        <v>65693.100000000006</v>
      </c>
      <c r="K216" s="330">
        <v>4202489.1399999997</v>
      </c>
      <c r="L216" s="257">
        <v>3838749.14</v>
      </c>
      <c r="M216" s="331">
        <f>+K216/F216</f>
        <v>7.4580478444988121E-2</v>
      </c>
      <c r="N216" s="332">
        <v>46815870.18</v>
      </c>
      <c r="O216" s="257">
        <v>12090230.18</v>
      </c>
      <c r="P216" s="333">
        <f>+N216/F216</f>
        <v>0.83082903501396133</v>
      </c>
    </row>
    <row r="217" spans="1:16" s="143" customFormat="1" ht="30" hidden="1" x14ac:dyDescent="0.25">
      <c r="A217" s="143" t="s">
        <v>706</v>
      </c>
      <c r="B217" s="143" t="s">
        <v>186</v>
      </c>
      <c r="C217" s="290" t="s">
        <v>187</v>
      </c>
      <c r="D217" s="143" t="s">
        <v>69</v>
      </c>
      <c r="E217" s="257">
        <v>30858480</v>
      </c>
      <c r="F217" s="257">
        <v>30858480</v>
      </c>
      <c r="G217" s="257">
        <v>14009240</v>
      </c>
      <c r="H217" s="257">
        <v>0</v>
      </c>
      <c r="I217" s="257">
        <v>3625918.98</v>
      </c>
      <c r="J217" s="257">
        <v>0</v>
      </c>
      <c r="K217" s="257">
        <v>2842950.14</v>
      </c>
      <c r="L217" s="257">
        <v>2842950.14</v>
      </c>
      <c r="M217" s="257"/>
      <c r="N217" s="279">
        <v>24389610.879999999</v>
      </c>
      <c r="O217" s="257">
        <v>7540370.8799999999</v>
      </c>
    </row>
    <row r="218" spans="1:16" s="143" customFormat="1" hidden="1" x14ac:dyDescent="0.25">
      <c r="A218" s="143" t="s">
        <v>706</v>
      </c>
      <c r="B218" s="143" t="s">
        <v>188</v>
      </c>
      <c r="C218" s="290" t="s">
        <v>189</v>
      </c>
      <c r="D218" s="143" t="s">
        <v>69</v>
      </c>
      <c r="E218" s="257">
        <v>25379000</v>
      </c>
      <c r="F218" s="257">
        <v>25379000</v>
      </c>
      <c r="G218" s="257">
        <v>12769500</v>
      </c>
      <c r="H218" s="257">
        <v>0</v>
      </c>
      <c r="I218" s="257">
        <v>3568114.86</v>
      </c>
      <c r="J218" s="257">
        <v>0</v>
      </c>
      <c r="K218" s="257">
        <v>2831885.14</v>
      </c>
      <c r="L218" s="257">
        <v>2831885.14</v>
      </c>
      <c r="M218" s="257"/>
      <c r="N218" s="279">
        <v>18979000</v>
      </c>
      <c r="O218" s="257">
        <v>6369500</v>
      </c>
    </row>
    <row r="219" spans="1:16" s="143" customFormat="1" ht="30" hidden="1" x14ac:dyDescent="0.25">
      <c r="A219" s="143" t="s">
        <v>706</v>
      </c>
      <c r="B219" s="143" t="s">
        <v>190</v>
      </c>
      <c r="C219" s="290" t="s">
        <v>191</v>
      </c>
      <c r="D219" s="143" t="s">
        <v>69</v>
      </c>
      <c r="E219" s="257">
        <v>231600</v>
      </c>
      <c r="F219" s="257">
        <v>231600</v>
      </c>
      <c r="G219" s="257">
        <v>115800</v>
      </c>
      <c r="H219" s="257">
        <v>0</v>
      </c>
      <c r="I219" s="257">
        <v>0</v>
      </c>
      <c r="J219" s="257">
        <v>0</v>
      </c>
      <c r="K219" s="257">
        <v>0</v>
      </c>
      <c r="L219" s="257">
        <v>0</v>
      </c>
      <c r="M219" s="257"/>
      <c r="N219" s="279">
        <v>231600</v>
      </c>
      <c r="O219" s="257">
        <v>115800</v>
      </c>
    </row>
    <row r="220" spans="1:16" s="143" customFormat="1" ht="30" hidden="1" x14ac:dyDescent="0.25">
      <c r="A220" s="143" t="s">
        <v>706</v>
      </c>
      <c r="B220" s="143" t="s">
        <v>192</v>
      </c>
      <c r="C220" s="290" t="s">
        <v>193</v>
      </c>
      <c r="D220" s="143" t="s">
        <v>69</v>
      </c>
      <c r="E220" s="257">
        <v>4850880</v>
      </c>
      <c r="F220" s="257">
        <v>4850880</v>
      </c>
      <c r="G220" s="257">
        <v>925440</v>
      </c>
      <c r="H220" s="257">
        <v>0</v>
      </c>
      <c r="I220" s="257">
        <v>57804.12</v>
      </c>
      <c r="J220" s="257">
        <v>0</v>
      </c>
      <c r="K220" s="257">
        <v>11065</v>
      </c>
      <c r="L220" s="257">
        <v>11065</v>
      </c>
      <c r="M220" s="257"/>
      <c r="N220" s="279">
        <v>4782010.88</v>
      </c>
      <c r="O220" s="257">
        <v>856570.88</v>
      </c>
    </row>
    <row r="221" spans="1:16" s="143" customFormat="1" ht="30" hidden="1" x14ac:dyDescent="0.25">
      <c r="A221" s="143" t="s">
        <v>706</v>
      </c>
      <c r="B221" s="143" t="s">
        <v>194</v>
      </c>
      <c r="C221" s="290" t="s">
        <v>195</v>
      </c>
      <c r="D221" s="143" t="s">
        <v>69</v>
      </c>
      <c r="E221" s="257">
        <v>397000</v>
      </c>
      <c r="F221" s="257">
        <v>397000</v>
      </c>
      <c r="G221" s="257">
        <v>198500</v>
      </c>
      <c r="H221" s="257">
        <v>0</v>
      </c>
      <c r="I221" s="257">
        <v>0</v>
      </c>
      <c r="J221" s="257">
        <v>0</v>
      </c>
      <c r="K221" s="257">
        <v>0</v>
      </c>
      <c r="L221" s="257">
        <v>0</v>
      </c>
      <c r="M221" s="257"/>
      <c r="N221" s="279">
        <v>397000</v>
      </c>
      <c r="O221" s="257">
        <v>198500</v>
      </c>
    </row>
    <row r="222" spans="1:16" s="143" customFormat="1" ht="30" hidden="1" x14ac:dyDescent="0.25">
      <c r="A222" s="143" t="s">
        <v>706</v>
      </c>
      <c r="B222" s="143" t="s">
        <v>200</v>
      </c>
      <c r="C222" s="290" t="s">
        <v>201</v>
      </c>
      <c r="D222" s="143" t="s">
        <v>69</v>
      </c>
      <c r="E222" s="257">
        <v>5536500</v>
      </c>
      <c r="F222" s="257">
        <v>5536500</v>
      </c>
      <c r="G222" s="257">
        <v>2788250</v>
      </c>
      <c r="H222" s="257">
        <v>0</v>
      </c>
      <c r="I222" s="257">
        <v>3160</v>
      </c>
      <c r="J222" s="257">
        <v>0</v>
      </c>
      <c r="K222" s="257">
        <v>483923</v>
      </c>
      <c r="L222" s="257">
        <v>483923</v>
      </c>
      <c r="M222" s="257"/>
      <c r="N222" s="279">
        <v>5049417</v>
      </c>
      <c r="O222" s="257">
        <v>2301167</v>
      </c>
    </row>
    <row r="223" spans="1:16" s="143" customFormat="1" ht="30" hidden="1" x14ac:dyDescent="0.25">
      <c r="A223" s="143" t="s">
        <v>706</v>
      </c>
      <c r="B223" s="143" t="s">
        <v>314</v>
      </c>
      <c r="C223" s="290" t="s">
        <v>315</v>
      </c>
      <c r="D223" s="143" t="s">
        <v>69</v>
      </c>
      <c r="E223" s="257">
        <v>1274000</v>
      </c>
      <c r="F223" s="257">
        <v>1274000</v>
      </c>
      <c r="G223" s="257">
        <v>657000</v>
      </c>
      <c r="H223" s="257">
        <v>0</v>
      </c>
      <c r="I223" s="257">
        <v>0</v>
      </c>
      <c r="J223" s="257">
        <v>0</v>
      </c>
      <c r="K223" s="257">
        <v>338498</v>
      </c>
      <c r="L223" s="257">
        <v>338498</v>
      </c>
      <c r="M223" s="257"/>
      <c r="N223" s="279">
        <v>935502</v>
      </c>
      <c r="O223" s="257">
        <v>318502</v>
      </c>
    </row>
    <row r="224" spans="1:16" s="143" customFormat="1" ht="30" hidden="1" x14ac:dyDescent="0.25">
      <c r="A224" s="143" t="s">
        <v>706</v>
      </c>
      <c r="B224" s="143" t="s">
        <v>316</v>
      </c>
      <c r="C224" s="290" t="s">
        <v>317</v>
      </c>
      <c r="D224" s="143" t="s">
        <v>69</v>
      </c>
      <c r="E224" s="257">
        <v>290000</v>
      </c>
      <c r="F224" s="257">
        <v>290000</v>
      </c>
      <c r="G224" s="257">
        <v>145000</v>
      </c>
      <c r="H224" s="257">
        <v>0</v>
      </c>
      <c r="I224" s="257">
        <v>0</v>
      </c>
      <c r="J224" s="257">
        <v>0</v>
      </c>
      <c r="K224" s="257">
        <v>0</v>
      </c>
      <c r="L224" s="257">
        <v>0</v>
      </c>
      <c r="M224" s="257"/>
      <c r="N224" s="279">
        <v>290000</v>
      </c>
      <c r="O224" s="257">
        <v>145000</v>
      </c>
    </row>
    <row r="225" spans="1:16" s="143" customFormat="1" hidden="1" x14ac:dyDescent="0.25">
      <c r="A225" s="143" t="s">
        <v>706</v>
      </c>
      <c r="B225" s="143" t="s">
        <v>318</v>
      </c>
      <c r="C225" s="290" t="s">
        <v>319</v>
      </c>
      <c r="D225" s="143" t="s">
        <v>69</v>
      </c>
      <c r="E225" s="257">
        <v>100000</v>
      </c>
      <c r="F225" s="257">
        <v>100000</v>
      </c>
      <c r="G225" s="257">
        <v>50000</v>
      </c>
      <c r="H225" s="257">
        <v>0</v>
      </c>
      <c r="I225" s="257">
        <v>0</v>
      </c>
      <c r="J225" s="257">
        <v>0</v>
      </c>
      <c r="K225" s="257">
        <v>0</v>
      </c>
      <c r="L225" s="257">
        <v>0</v>
      </c>
      <c r="M225" s="257"/>
      <c r="N225" s="279">
        <v>100000</v>
      </c>
      <c r="O225" s="257">
        <v>50000</v>
      </c>
    </row>
    <row r="226" spans="1:16" s="143" customFormat="1" ht="30" hidden="1" x14ac:dyDescent="0.25">
      <c r="A226" s="143" t="s">
        <v>706</v>
      </c>
      <c r="B226" s="143" t="s">
        <v>202</v>
      </c>
      <c r="C226" s="290" t="s">
        <v>203</v>
      </c>
      <c r="D226" s="143" t="s">
        <v>69</v>
      </c>
      <c r="E226" s="257">
        <v>2782500</v>
      </c>
      <c r="F226" s="257">
        <v>2782500</v>
      </c>
      <c r="G226" s="257">
        <v>1391250</v>
      </c>
      <c r="H226" s="257">
        <v>0</v>
      </c>
      <c r="I226" s="257">
        <v>0</v>
      </c>
      <c r="J226" s="257">
        <v>0</v>
      </c>
      <c r="K226" s="257">
        <v>0</v>
      </c>
      <c r="L226" s="257">
        <v>0</v>
      </c>
      <c r="M226" s="257"/>
      <c r="N226" s="279">
        <v>2782500</v>
      </c>
      <c r="O226" s="257">
        <v>1391250</v>
      </c>
    </row>
    <row r="227" spans="1:16" s="143" customFormat="1" ht="30" hidden="1" x14ac:dyDescent="0.25">
      <c r="A227" s="143" t="s">
        <v>706</v>
      </c>
      <c r="B227" s="143" t="s">
        <v>204</v>
      </c>
      <c r="C227" s="290" t="s">
        <v>205</v>
      </c>
      <c r="D227" s="143" t="s">
        <v>69</v>
      </c>
      <c r="E227" s="257">
        <v>200000</v>
      </c>
      <c r="F227" s="257">
        <v>200000</v>
      </c>
      <c r="G227" s="257">
        <v>100000</v>
      </c>
      <c r="H227" s="257">
        <v>0</v>
      </c>
      <c r="I227" s="257">
        <v>0</v>
      </c>
      <c r="J227" s="257">
        <v>0</v>
      </c>
      <c r="K227" s="257">
        <v>0</v>
      </c>
      <c r="L227" s="257">
        <v>0</v>
      </c>
      <c r="M227" s="257"/>
      <c r="N227" s="279">
        <v>200000</v>
      </c>
      <c r="O227" s="257">
        <v>100000</v>
      </c>
    </row>
    <row r="228" spans="1:16" s="143" customFormat="1" ht="30" hidden="1" x14ac:dyDescent="0.25">
      <c r="A228" s="143" t="s">
        <v>706</v>
      </c>
      <c r="B228" s="143" t="s">
        <v>322</v>
      </c>
      <c r="C228" s="290" t="s">
        <v>323</v>
      </c>
      <c r="D228" s="143" t="s">
        <v>69</v>
      </c>
      <c r="E228" s="257">
        <v>890000</v>
      </c>
      <c r="F228" s="257">
        <v>890000</v>
      </c>
      <c r="G228" s="257">
        <v>445000</v>
      </c>
      <c r="H228" s="257">
        <v>0</v>
      </c>
      <c r="I228" s="257">
        <v>3160</v>
      </c>
      <c r="J228" s="257">
        <v>0</v>
      </c>
      <c r="K228" s="257">
        <v>145425</v>
      </c>
      <c r="L228" s="257">
        <v>145425</v>
      </c>
      <c r="M228" s="257"/>
      <c r="N228" s="279">
        <v>741415</v>
      </c>
      <c r="O228" s="257">
        <v>296415</v>
      </c>
    </row>
    <row r="229" spans="1:16" s="143" customFormat="1" ht="30" hidden="1" x14ac:dyDescent="0.25">
      <c r="A229" s="143" t="s">
        <v>706</v>
      </c>
      <c r="B229" s="143" t="s">
        <v>206</v>
      </c>
      <c r="C229" s="290" t="s">
        <v>207</v>
      </c>
      <c r="D229" s="143" t="s">
        <v>69</v>
      </c>
      <c r="E229" s="257">
        <v>3341900</v>
      </c>
      <c r="F229" s="257">
        <v>3341900</v>
      </c>
      <c r="G229" s="257">
        <v>670950</v>
      </c>
      <c r="H229" s="257">
        <v>0</v>
      </c>
      <c r="I229" s="257">
        <v>8348.59</v>
      </c>
      <c r="J229" s="257">
        <v>65693.100000000006</v>
      </c>
      <c r="K229" s="257">
        <v>45250</v>
      </c>
      <c r="L229" s="257">
        <v>45250</v>
      </c>
      <c r="M229" s="257"/>
      <c r="N229" s="279">
        <v>3222608.31</v>
      </c>
      <c r="O229" s="257">
        <v>551658.31000000006</v>
      </c>
    </row>
    <row r="230" spans="1:16" s="143" customFormat="1" ht="30" hidden="1" x14ac:dyDescent="0.25">
      <c r="A230" s="143" t="s">
        <v>706</v>
      </c>
      <c r="B230" s="143" t="s">
        <v>208</v>
      </c>
      <c r="C230" s="290" t="s">
        <v>209</v>
      </c>
      <c r="D230" s="143" t="s">
        <v>69</v>
      </c>
      <c r="E230" s="257">
        <v>671900</v>
      </c>
      <c r="F230" s="257">
        <v>671900</v>
      </c>
      <c r="G230" s="257">
        <v>335950</v>
      </c>
      <c r="H230" s="257">
        <v>0</v>
      </c>
      <c r="I230" s="257">
        <v>0</v>
      </c>
      <c r="J230" s="257">
        <v>0</v>
      </c>
      <c r="K230" s="257">
        <v>45250</v>
      </c>
      <c r="L230" s="257">
        <v>45250</v>
      </c>
      <c r="M230" s="257"/>
      <c r="N230" s="279">
        <v>626650</v>
      </c>
      <c r="O230" s="257">
        <v>290700</v>
      </c>
    </row>
    <row r="231" spans="1:16" s="143" customFormat="1" hidden="1" x14ac:dyDescent="0.25">
      <c r="A231" s="143" t="s">
        <v>706</v>
      </c>
      <c r="B231" s="143" t="s">
        <v>210</v>
      </c>
      <c r="C231" s="290" t="s">
        <v>211</v>
      </c>
      <c r="D231" s="143" t="s">
        <v>69</v>
      </c>
      <c r="E231" s="257">
        <v>2670000</v>
      </c>
      <c r="F231" s="257">
        <v>2670000</v>
      </c>
      <c r="G231" s="257">
        <v>335000</v>
      </c>
      <c r="H231" s="257">
        <v>0</v>
      </c>
      <c r="I231" s="257">
        <v>8348.59</v>
      </c>
      <c r="J231" s="257">
        <v>65693.100000000006</v>
      </c>
      <c r="K231" s="257">
        <v>0</v>
      </c>
      <c r="L231" s="257">
        <v>0</v>
      </c>
      <c r="M231" s="257"/>
      <c r="N231" s="279">
        <v>2595958.31</v>
      </c>
      <c r="O231" s="257">
        <v>260958.31</v>
      </c>
    </row>
    <row r="232" spans="1:16" s="143" customFormat="1" ht="30" hidden="1" x14ac:dyDescent="0.25">
      <c r="A232" s="143" t="s">
        <v>706</v>
      </c>
      <c r="B232" s="143" t="s">
        <v>212</v>
      </c>
      <c r="C232" s="290" t="s">
        <v>213</v>
      </c>
      <c r="D232" s="143" t="s">
        <v>69</v>
      </c>
      <c r="E232" s="257">
        <v>16611500</v>
      </c>
      <c r="F232" s="257">
        <v>16611500</v>
      </c>
      <c r="G232" s="257">
        <v>4154300</v>
      </c>
      <c r="H232" s="257">
        <v>277980</v>
      </c>
      <c r="I232" s="257">
        <v>1348920.01</v>
      </c>
      <c r="J232" s="257">
        <v>0</v>
      </c>
      <c r="K232" s="257">
        <v>830366</v>
      </c>
      <c r="L232" s="257">
        <v>466626</v>
      </c>
      <c r="M232" s="257"/>
      <c r="N232" s="279">
        <v>14154233.99</v>
      </c>
      <c r="O232" s="257">
        <v>1697033.99</v>
      </c>
    </row>
    <row r="233" spans="1:16" s="143" customFormat="1" ht="30" hidden="1" x14ac:dyDescent="0.25">
      <c r="A233" s="143" t="s">
        <v>706</v>
      </c>
      <c r="B233" s="143" t="s">
        <v>214</v>
      </c>
      <c r="C233" s="290" t="s">
        <v>215</v>
      </c>
      <c r="D233" s="143" t="s">
        <v>69</v>
      </c>
      <c r="E233" s="257">
        <v>5232000</v>
      </c>
      <c r="F233" s="257">
        <v>5232000</v>
      </c>
      <c r="G233" s="257">
        <v>116000</v>
      </c>
      <c r="H233" s="257">
        <v>0</v>
      </c>
      <c r="I233" s="257">
        <v>0</v>
      </c>
      <c r="J233" s="257">
        <v>0</v>
      </c>
      <c r="K233" s="257">
        <v>30288</v>
      </c>
      <c r="L233" s="257">
        <v>30288</v>
      </c>
      <c r="M233" s="257"/>
      <c r="N233" s="279">
        <v>5201712</v>
      </c>
      <c r="O233" s="257">
        <v>85712</v>
      </c>
    </row>
    <row r="234" spans="1:16" s="143" customFormat="1" ht="30" hidden="1" x14ac:dyDescent="0.25">
      <c r="A234" s="143" t="s">
        <v>706</v>
      </c>
      <c r="B234" s="143" t="s">
        <v>218</v>
      </c>
      <c r="C234" s="290" t="s">
        <v>219</v>
      </c>
      <c r="D234" s="143" t="s">
        <v>69</v>
      </c>
      <c r="E234" s="257">
        <v>6600000</v>
      </c>
      <c r="F234" s="257">
        <v>6600000</v>
      </c>
      <c r="G234" s="257">
        <v>1300000</v>
      </c>
      <c r="H234" s="257">
        <v>0</v>
      </c>
      <c r="I234" s="257">
        <v>668320.01</v>
      </c>
      <c r="J234" s="257">
        <v>0</v>
      </c>
      <c r="K234" s="257">
        <v>84498</v>
      </c>
      <c r="L234" s="257">
        <v>84498</v>
      </c>
      <c r="M234" s="257"/>
      <c r="N234" s="279">
        <v>5847181.9900000002</v>
      </c>
      <c r="O234" s="257">
        <v>547181.99</v>
      </c>
    </row>
    <row r="235" spans="1:16" s="143" customFormat="1" hidden="1" x14ac:dyDescent="0.25">
      <c r="A235" s="143" t="s">
        <v>706</v>
      </c>
      <c r="B235" s="143" t="s">
        <v>220</v>
      </c>
      <c r="C235" s="290" t="s">
        <v>221</v>
      </c>
      <c r="D235" s="143" t="s">
        <v>69</v>
      </c>
      <c r="E235" s="257">
        <v>340000</v>
      </c>
      <c r="F235" s="257">
        <v>340000</v>
      </c>
      <c r="G235" s="257">
        <v>170000</v>
      </c>
      <c r="H235" s="257">
        <v>0</v>
      </c>
      <c r="I235" s="257">
        <v>0</v>
      </c>
      <c r="J235" s="257">
        <v>0</v>
      </c>
      <c r="K235" s="257">
        <v>0</v>
      </c>
      <c r="L235" s="257">
        <v>0</v>
      </c>
      <c r="M235" s="257"/>
      <c r="N235" s="279">
        <v>340000</v>
      </c>
      <c r="O235" s="257">
        <v>170000</v>
      </c>
    </row>
    <row r="236" spans="1:16" s="143" customFormat="1" ht="30" hidden="1" x14ac:dyDescent="0.25">
      <c r="A236" s="143" t="s">
        <v>706</v>
      </c>
      <c r="B236" s="143" t="s">
        <v>222</v>
      </c>
      <c r="C236" s="290" t="s">
        <v>223</v>
      </c>
      <c r="D236" s="143" t="s">
        <v>69</v>
      </c>
      <c r="E236" s="257">
        <v>1393100</v>
      </c>
      <c r="F236" s="257">
        <v>1393100</v>
      </c>
      <c r="G236" s="257">
        <v>1393100</v>
      </c>
      <c r="H236" s="257">
        <v>277980</v>
      </c>
      <c r="I236" s="257">
        <v>678000</v>
      </c>
      <c r="J236" s="257">
        <v>0</v>
      </c>
      <c r="K236" s="257">
        <v>363740</v>
      </c>
      <c r="L236" s="257">
        <v>0</v>
      </c>
      <c r="M236" s="257"/>
      <c r="N236" s="279">
        <v>73380</v>
      </c>
      <c r="O236" s="257">
        <v>73380</v>
      </c>
    </row>
    <row r="237" spans="1:16" s="143" customFormat="1" ht="30" hidden="1" x14ac:dyDescent="0.25">
      <c r="A237" s="143" t="s">
        <v>706</v>
      </c>
      <c r="B237" s="143" t="s">
        <v>224</v>
      </c>
      <c r="C237" s="290" t="s">
        <v>225</v>
      </c>
      <c r="D237" s="143" t="s">
        <v>69</v>
      </c>
      <c r="E237" s="257">
        <v>2296200</v>
      </c>
      <c r="F237" s="257">
        <v>2296200</v>
      </c>
      <c r="G237" s="257">
        <v>648100</v>
      </c>
      <c r="H237" s="257">
        <v>0</v>
      </c>
      <c r="I237" s="257">
        <v>0</v>
      </c>
      <c r="J237" s="257">
        <v>0</v>
      </c>
      <c r="K237" s="257">
        <v>15000</v>
      </c>
      <c r="L237" s="257">
        <v>15000</v>
      </c>
      <c r="M237" s="257"/>
      <c r="N237" s="279">
        <v>2281200</v>
      </c>
      <c r="O237" s="257">
        <v>633100</v>
      </c>
    </row>
    <row r="238" spans="1:16" s="143" customFormat="1" ht="30" hidden="1" x14ac:dyDescent="0.25">
      <c r="A238" s="143" t="s">
        <v>706</v>
      </c>
      <c r="B238" s="143" t="s">
        <v>228</v>
      </c>
      <c r="C238" s="290" t="s">
        <v>229</v>
      </c>
      <c r="D238" s="143" t="s">
        <v>69</v>
      </c>
      <c r="E238" s="257">
        <v>750200</v>
      </c>
      <c r="F238" s="257">
        <v>750200</v>
      </c>
      <c r="G238" s="257">
        <v>527100</v>
      </c>
      <c r="H238" s="257">
        <v>0</v>
      </c>
      <c r="I238" s="257">
        <v>2600</v>
      </c>
      <c r="J238" s="257">
        <v>0</v>
      </c>
      <c r="K238" s="257">
        <v>336840</v>
      </c>
      <c r="L238" s="257">
        <v>336840</v>
      </c>
      <c r="M238" s="257"/>
      <c r="N238" s="279">
        <v>410760</v>
      </c>
      <c r="O238" s="257">
        <v>187660</v>
      </c>
    </row>
    <row r="239" spans="1:16" s="143" customFormat="1" x14ac:dyDescent="0.25">
      <c r="A239" s="327" t="s">
        <v>706</v>
      </c>
      <c r="B239" s="328" t="s">
        <v>230</v>
      </c>
      <c r="C239" s="329" t="s">
        <v>231</v>
      </c>
      <c r="D239" s="283" t="s">
        <v>85</v>
      </c>
      <c r="E239" s="257">
        <v>744452300</v>
      </c>
      <c r="F239" s="330">
        <v>744452300</v>
      </c>
      <c r="G239" s="257">
        <v>267226150</v>
      </c>
      <c r="H239" s="257">
        <v>45083721</v>
      </c>
      <c r="I239" s="257">
        <v>0</v>
      </c>
      <c r="J239" s="257">
        <v>0</v>
      </c>
      <c r="K239" s="330">
        <v>0</v>
      </c>
      <c r="L239" s="257">
        <v>0</v>
      </c>
      <c r="M239" s="331">
        <f>+K239/F239</f>
        <v>0</v>
      </c>
      <c r="N239" s="332">
        <v>699368579</v>
      </c>
      <c r="O239" s="257">
        <v>222142429</v>
      </c>
      <c r="P239" s="333">
        <f>+N239/F239</f>
        <v>0.93944041680037793</v>
      </c>
    </row>
    <row r="240" spans="1:16" s="143" customFormat="1" ht="30" hidden="1" x14ac:dyDescent="0.25">
      <c r="A240" s="143" t="s">
        <v>706</v>
      </c>
      <c r="B240" s="143" t="s">
        <v>232</v>
      </c>
      <c r="C240" s="290" t="s">
        <v>233</v>
      </c>
      <c r="D240" s="143" t="s">
        <v>85</v>
      </c>
      <c r="E240" s="257">
        <v>67752300</v>
      </c>
      <c r="F240" s="257">
        <v>67752300</v>
      </c>
      <c r="G240" s="257">
        <v>40126150</v>
      </c>
      <c r="H240" s="257">
        <v>0</v>
      </c>
      <c r="I240" s="257">
        <v>0</v>
      </c>
      <c r="J240" s="257">
        <v>0</v>
      </c>
      <c r="K240" s="257">
        <v>0</v>
      </c>
      <c r="L240" s="257">
        <v>0</v>
      </c>
      <c r="M240" s="257"/>
      <c r="N240" s="279">
        <v>67752300</v>
      </c>
      <c r="O240" s="257">
        <v>40126150</v>
      </c>
    </row>
    <row r="241" spans="1:16" s="143" customFormat="1" ht="30" hidden="1" x14ac:dyDescent="0.25">
      <c r="A241" s="143" t="s">
        <v>706</v>
      </c>
      <c r="B241" s="143" t="s">
        <v>238</v>
      </c>
      <c r="C241" s="290" t="s">
        <v>239</v>
      </c>
      <c r="D241" s="143" t="s">
        <v>85</v>
      </c>
      <c r="E241" s="257">
        <v>45252300</v>
      </c>
      <c r="F241" s="257">
        <v>45252300</v>
      </c>
      <c r="G241" s="257">
        <v>17626150</v>
      </c>
      <c r="H241" s="257">
        <v>0</v>
      </c>
      <c r="I241" s="257">
        <v>0</v>
      </c>
      <c r="J241" s="257">
        <v>0</v>
      </c>
      <c r="K241" s="257">
        <v>0</v>
      </c>
      <c r="L241" s="257">
        <v>0</v>
      </c>
      <c r="M241" s="257"/>
      <c r="N241" s="279">
        <v>45252300</v>
      </c>
      <c r="O241" s="257">
        <v>17626150</v>
      </c>
    </row>
    <row r="242" spans="1:16" s="143" customFormat="1" ht="30" hidden="1" x14ac:dyDescent="0.25">
      <c r="A242" s="143" t="s">
        <v>706</v>
      </c>
      <c r="B242" s="143" t="s">
        <v>282</v>
      </c>
      <c r="C242" s="290" t="s">
        <v>283</v>
      </c>
      <c r="D242" s="143" t="s">
        <v>85</v>
      </c>
      <c r="E242" s="257">
        <v>22500000</v>
      </c>
      <c r="F242" s="257">
        <v>22500000</v>
      </c>
      <c r="G242" s="257">
        <v>22500000</v>
      </c>
      <c r="H242" s="257">
        <v>0</v>
      </c>
      <c r="I242" s="257">
        <v>0</v>
      </c>
      <c r="J242" s="257">
        <v>0</v>
      </c>
      <c r="K242" s="257">
        <v>0</v>
      </c>
      <c r="L242" s="257">
        <v>0</v>
      </c>
      <c r="M242" s="257"/>
      <c r="N242" s="279">
        <v>22500000</v>
      </c>
      <c r="O242" s="257">
        <v>22500000</v>
      </c>
    </row>
    <row r="243" spans="1:16" s="143" customFormat="1" ht="30" hidden="1" x14ac:dyDescent="0.25">
      <c r="A243" s="143" t="s">
        <v>706</v>
      </c>
      <c r="B243" s="143" t="s">
        <v>328</v>
      </c>
      <c r="C243" s="290" t="s">
        <v>329</v>
      </c>
      <c r="D243" s="143" t="s">
        <v>85</v>
      </c>
      <c r="E243" s="257">
        <v>630000000</v>
      </c>
      <c r="F243" s="257">
        <v>630000000</v>
      </c>
      <c r="G243" s="257">
        <v>180400000</v>
      </c>
      <c r="H243" s="257">
        <v>0</v>
      </c>
      <c r="I243" s="257">
        <v>0</v>
      </c>
      <c r="J243" s="257">
        <v>0</v>
      </c>
      <c r="K243" s="257">
        <v>0</v>
      </c>
      <c r="L243" s="257">
        <v>0</v>
      </c>
      <c r="M243" s="257"/>
      <c r="N243" s="279">
        <v>630000000</v>
      </c>
      <c r="O243" s="257">
        <v>180400000</v>
      </c>
    </row>
    <row r="244" spans="1:16" s="143" customFormat="1" hidden="1" x14ac:dyDescent="0.25">
      <c r="A244" s="143" t="s">
        <v>706</v>
      </c>
      <c r="B244" s="143" t="s">
        <v>330</v>
      </c>
      <c r="C244" s="290" t="s">
        <v>331</v>
      </c>
      <c r="D244" s="143" t="s">
        <v>85</v>
      </c>
      <c r="E244" s="257">
        <v>630000000</v>
      </c>
      <c r="F244" s="257">
        <v>630000000</v>
      </c>
      <c r="G244" s="257">
        <v>180400000</v>
      </c>
      <c r="H244" s="257">
        <v>0</v>
      </c>
      <c r="I244" s="257">
        <v>0</v>
      </c>
      <c r="J244" s="257">
        <v>0</v>
      </c>
      <c r="K244" s="257">
        <v>0</v>
      </c>
      <c r="L244" s="257">
        <v>0</v>
      </c>
      <c r="M244" s="257"/>
      <c r="N244" s="279">
        <v>630000000</v>
      </c>
      <c r="O244" s="257">
        <v>180400000</v>
      </c>
    </row>
    <row r="245" spans="1:16" s="143" customFormat="1" hidden="1" x14ac:dyDescent="0.25">
      <c r="A245" s="143" t="s">
        <v>706</v>
      </c>
      <c r="B245" s="143" t="s">
        <v>244</v>
      </c>
      <c r="C245" s="290" t="s">
        <v>245</v>
      </c>
      <c r="D245" s="143" t="s">
        <v>85</v>
      </c>
      <c r="E245" s="257">
        <v>46700000</v>
      </c>
      <c r="F245" s="257">
        <v>46700000</v>
      </c>
      <c r="G245" s="257">
        <v>46700000</v>
      </c>
      <c r="H245" s="257">
        <v>45083721</v>
      </c>
      <c r="I245" s="257">
        <v>0</v>
      </c>
      <c r="J245" s="257">
        <v>0</v>
      </c>
      <c r="K245" s="257">
        <v>0</v>
      </c>
      <c r="L245" s="257">
        <v>0</v>
      </c>
      <c r="M245" s="257"/>
      <c r="N245" s="279">
        <v>1616279</v>
      </c>
      <c r="O245" s="257">
        <v>1616279</v>
      </c>
    </row>
    <row r="246" spans="1:16" s="143" customFormat="1" hidden="1" x14ac:dyDescent="0.25">
      <c r="A246" s="143" t="s">
        <v>706</v>
      </c>
      <c r="B246" s="143" t="s">
        <v>246</v>
      </c>
      <c r="C246" s="290" t="s">
        <v>247</v>
      </c>
      <c r="D246" s="143" t="s">
        <v>85</v>
      </c>
      <c r="E246" s="257">
        <v>46700000</v>
      </c>
      <c r="F246" s="257">
        <v>46700000</v>
      </c>
      <c r="G246" s="257">
        <v>46700000</v>
      </c>
      <c r="H246" s="257">
        <v>45083721</v>
      </c>
      <c r="I246" s="257">
        <v>0</v>
      </c>
      <c r="J246" s="257">
        <v>0</v>
      </c>
      <c r="K246" s="257">
        <v>0</v>
      </c>
      <c r="L246" s="257">
        <v>0</v>
      </c>
      <c r="M246" s="257"/>
      <c r="N246" s="279">
        <v>1616279</v>
      </c>
      <c r="O246" s="257">
        <v>1616279</v>
      </c>
    </row>
    <row r="247" spans="1:16" s="143" customFormat="1" x14ac:dyDescent="0.25">
      <c r="A247" s="327" t="s">
        <v>706</v>
      </c>
      <c r="B247" s="328" t="s">
        <v>248</v>
      </c>
      <c r="C247" s="329" t="s">
        <v>249</v>
      </c>
      <c r="D247" s="283" t="s">
        <v>69</v>
      </c>
      <c r="E247" s="257">
        <v>218960452</v>
      </c>
      <c r="F247" s="330">
        <v>218960452</v>
      </c>
      <c r="G247" s="257">
        <v>114001742</v>
      </c>
      <c r="H247" s="257">
        <v>0</v>
      </c>
      <c r="I247" s="257">
        <v>13150723.380000001</v>
      </c>
      <c r="J247" s="257">
        <v>0</v>
      </c>
      <c r="K247" s="330">
        <v>5166764.62</v>
      </c>
      <c r="L247" s="257">
        <v>5166764.62</v>
      </c>
      <c r="M247" s="331">
        <f>+K247/F247</f>
        <v>2.3596793726019527E-2</v>
      </c>
      <c r="N247" s="332">
        <v>200642964</v>
      </c>
      <c r="O247" s="257">
        <v>95684254</v>
      </c>
      <c r="P247" s="333">
        <f>+N247/F247</f>
        <v>0.91634339519905628</v>
      </c>
    </row>
    <row r="248" spans="1:16" s="143" customFormat="1" ht="30" hidden="1" x14ac:dyDescent="0.25">
      <c r="A248" s="143" t="s">
        <v>706</v>
      </c>
      <c r="B248" s="143" t="s">
        <v>250</v>
      </c>
      <c r="C248" s="290" t="s">
        <v>251</v>
      </c>
      <c r="D248" s="143" t="s">
        <v>69</v>
      </c>
      <c r="E248" s="257">
        <v>17259352</v>
      </c>
      <c r="F248" s="257">
        <v>17259352</v>
      </c>
      <c r="G248" s="257">
        <v>16819008</v>
      </c>
      <c r="H248" s="257">
        <v>0</v>
      </c>
      <c r="I248" s="257">
        <v>13150723.380000001</v>
      </c>
      <c r="J248" s="257">
        <v>0</v>
      </c>
      <c r="K248" s="257">
        <v>4108628.62</v>
      </c>
      <c r="L248" s="257">
        <v>4108628.62</v>
      </c>
      <c r="M248" s="257"/>
      <c r="N248" s="279">
        <v>0</v>
      </c>
      <c r="O248" s="275">
        <v>-440344</v>
      </c>
    </row>
    <row r="249" spans="1:16" s="143" customFormat="1" ht="90" hidden="1" x14ac:dyDescent="0.25">
      <c r="A249" s="143" t="s">
        <v>706</v>
      </c>
      <c r="B249" s="143" t="s">
        <v>628</v>
      </c>
      <c r="C249" s="290" t="s">
        <v>702</v>
      </c>
      <c r="D249" s="143" t="s">
        <v>69</v>
      </c>
      <c r="E249" s="257">
        <v>14660103</v>
      </c>
      <c r="F249" s="257">
        <v>14660103</v>
      </c>
      <c r="G249" s="257">
        <v>14286075</v>
      </c>
      <c r="H249" s="257">
        <v>0</v>
      </c>
      <c r="I249" s="257">
        <v>11203072.310000001</v>
      </c>
      <c r="J249" s="257">
        <v>0</v>
      </c>
      <c r="K249" s="257">
        <v>3457030.69</v>
      </c>
      <c r="L249" s="257">
        <v>3457030.69</v>
      </c>
      <c r="M249" s="257"/>
      <c r="N249" s="279">
        <v>0</v>
      </c>
      <c r="O249" s="275">
        <v>-374028</v>
      </c>
    </row>
    <row r="250" spans="1:16" s="143" customFormat="1" ht="90" hidden="1" x14ac:dyDescent="0.25">
      <c r="A250" s="143" t="s">
        <v>706</v>
      </c>
      <c r="B250" s="143" t="s">
        <v>643</v>
      </c>
      <c r="C250" s="290" t="s">
        <v>703</v>
      </c>
      <c r="D250" s="143" t="s">
        <v>69</v>
      </c>
      <c r="E250" s="257">
        <v>2599249</v>
      </c>
      <c r="F250" s="257">
        <v>2599249</v>
      </c>
      <c r="G250" s="257">
        <v>2532933</v>
      </c>
      <c r="H250" s="257">
        <v>0</v>
      </c>
      <c r="I250" s="257">
        <v>1947651.07</v>
      </c>
      <c r="J250" s="257">
        <v>0</v>
      </c>
      <c r="K250" s="257">
        <v>651597.93000000005</v>
      </c>
      <c r="L250" s="257">
        <v>651597.93000000005</v>
      </c>
      <c r="M250" s="257"/>
      <c r="N250" s="279">
        <v>0</v>
      </c>
      <c r="O250" s="275">
        <v>-66316</v>
      </c>
    </row>
    <row r="251" spans="1:16" s="143" customFormat="1" hidden="1" x14ac:dyDescent="0.25">
      <c r="A251" s="143" t="s">
        <v>706</v>
      </c>
      <c r="B251" s="143" t="s">
        <v>260</v>
      </c>
      <c r="C251" s="290" t="s">
        <v>261</v>
      </c>
      <c r="D251" s="143" t="s">
        <v>69</v>
      </c>
      <c r="E251" s="257">
        <v>195701100</v>
      </c>
      <c r="F251" s="257">
        <v>195701100</v>
      </c>
      <c r="G251" s="257">
        <v>94182734</v>
      </c>
      <c r="H251" s="257">
        <v>0</v>
      </c>
      <c r="I251" s="257">
        <v>0</v>
      </c>
      <c r="J251" s="257">
        <v>0</v>
      </c>
      <c r="K251" s="257">
        <v>1058136</v>
      </c>
      <c r="L251" s="257">
        <v>1058136</v>
      </c>
      <c r="M251" s="257"/>
      <c r="N251" s="279">
        <v>194642964</v>
      </c>
      <c r="O251" s="257">
        <v>93124598</v>
      </c>
    </row>
    <row r="252" spans="1:16" s="143" customFormat="1" hidden="1" x14ac:dyDescent="0.25">
      <c r="A252" s="143" t="s">
        <v>706</v>
      </c>
      <c r="B252" s="143" t="s">
        <v>262</v>
      </c>
      <c r="C252" s="290" t="s">
        <v>263</v>
      </c>
      <c r="D252" s="143" t="s">
        <v>69</v>
      </c>
      <c r="E252" s="257">
        <v>165701100</v>
      </c>
      <c r="F252" s="257">
        <v>165701100</v>
      </c>
      <c r="G252" s="257">
        <v>64182734</v>
      </c>
      <c r="H252" s="257">
        <v>0</v>
      </c>
      <c r="I252" s="257">
        <v>0</v>
      </c>
      <c r="J252" s="257">
        <v>0</v>
      </c>
      <c r="K252" s="257">
        <v>0</v>
      </c>
      <c r="L252" s="257">
        <v>0</v>
      </c>
      <c r="M252" s="257"/>
      <c r="N252" s="279">
        <v>165701100</v>
      </c>
      <c r="O252" s="257">
        <v>64182734</v>
      </c>
    </row>
    <row r="253" spans="1:16" s="143" customFormat="1" hidden="1" x14ac:dyDescent="0.25">
      <c r="A253" s="143" t="s">
        <v>706</v>
      </c>
      <c r="B253" s="143" t="s">
        <v>264</v>
      </c>
      <c r="C253" s="290" t="s">
        <v>265</v>
      </c>
      <c r="D253" s="143" t="s">
        <v>69</v>
      </c>
      <c r="E253" s="257">
        <v>30000000</v>
      </c>
      <c r="F253" s="257">
        <v>30000000</v>
      </c>
      <c r="G253" s="257">
        <v>30000000</v>
      </c>
      <c r="H253" s="257">
        <v>0</v>
      </c>
      <c r="I253" s="257">
        <v>0</v>
      </c>
      <c r="J253" s="257">
        <v>0</v>
      </c>
      <c r="K253" s="257">
        <v>1058136</v>
      </c>
      <c r="L253" s="257">
        <v>1058136</v>
      </c>
      <c r="M253" s="257"/>
      <c r="N253" s="279">
        <v>28941864</v>
      </c>
      <c r="O253" s="257">
        <v>28941864</v>
      </c>
    </row>
    <row r="254" spans="1:16" s="143" customFormat="1" ht="45" hidden="1" x14ac:dyDescent="0.25">
      <c r="A254" s="143" t="s">
        <v>706</v>
      </c>
      <c r="B254" s="143" t="s">
        <v>286</v>
      </c>
      <c r="C254" s="290" t="s">
        <v>287</v>
      </c>
      <c r="D254" s="143" t="s">
        <v>69</v>
      </c>
      <c r="E254" s="257">
        <v>6000000</v>
      </c>
      <c r="F254" s="257">
        <v>6000000</v>
      </c>
      <c r="G254" s="257">
        <v>3000000</v>
      </c>
      <c r="H254" s="257">
        <v>0</v>
      </c>
      <c r="I254" s="257">
        <v>0</v>
      </c>
      <c r="J254" s="257">
        <v>0</v>
      </c>
      <c r="K254" s="257">
        <v>0</v>
      </c>
      <c r="L254" s="257">
        <v>0</v>
      </c>
      <c r="M254" s="257"/>
      <c r="N254" s="279">
        <v>6000000</v>
      </c>
      <c r="O254" s="257">
        <v>3000000</v>
      </c>
    </row>
    <row r="255" spans="1:16" s="143" customFormat="1" hidden="1" x14ac:dyDescent="0.25">
      <c r="A255" s="143" t="s">
        <v>706</v>
      </c>
      <c r="B255" s="143" t="s">
        <v>288</v>
      </c>
      <c r="C255" s="290" t="s">
        <v>289</v>
      </c>
      <c r="D255" s="143" t="s">
        <v>69</v>
      </c>
      <c r="E255" s="257">
        <v>6000000</v>
      </c>
      <c r="F255" s="257">
        <v>6000000</v>
      </c>
      <c r="G255" s="257">
        <v>3000000</v>
      </c>
      <c r="H255" s="257">
        <v>0</v>
      </c>
      <c r="I255" s="257">
        <v>0</v>
      </c>
      <c r="J255" s="257">
        <v>0</v>
      </c>
      <c r="K255" s="257">
        <v>0</v>
      </c>
      <c r="L255" s="257">
        <v>0</v>
      </c>
      <c r="M255" s="257"/>
      <c r="N255" s="279">
        <v>6000000</v>
      </c>
      <c r="O255" s="257">
        <v>3000000</v>
      </c>
    </row>
    <row r="256" spans="1:16" s="143" customFormat="1" hidden="1" x14ac:dyDescent="0.25">
      <c r="A256" s="143">
        <v>214789</v>
      </c>
      <c r="C256" s="290"/>
      <c r="D256" s="143" t="s">
        <v>69</v>
      </c>
      <c r="E256" s="257">
        <v>77210852108</v>
      </c>
      <c r="F256" s="257">
        <v>77210852108</v>
      </c>
      <c r="G256" s="257">
        <v>67406639141</v>
      </c>
      <c r="H256" s="257">
        <v>120585272.98</v>
      </c>
      <c r="I256" s="257">
        <v>14772763190.92</v>
      </c>
      <c r="J256" s="257">
        <v>243353899.28999999</v>
      </c>
      <c r="K256" s="257">
        <v>17879554890.98</v>
      </c>
      <c r="L256" s="257">
        <v>16837323778.5</v>
      </c>
      <c r="M256" s="257"/>
      <c r="N256" s="279">
        <v>44194594853.830002</v>
      </c>
      <c r="O256" s="257">
        <v>34390381886.830002</v>
      </c>
    </row>
    <row r="257" spans="1:16" s="143" customFormat="1" x14ac:dyDescent="0.25">
      <c r="A257" s="334"/>
      <c r="B257" s="334"/>
      <c r="C257" s="335"/>
      <c r="E257" s="257"/>
      <c r="F257" s="336">
        <f>SUBTOTAL(9,F157:F256)</f>
        <v>87823033607</v>
      </c>
      <c r="G257" s="257"/>
      <c r="H257" s="257"/>
      <c r="I257" s="257"/>
      <c r="J257" s="257"/>
      <c r="K257" s="336">
        <f>SUBTOTAL(9,K157:K256)</f>
        <v>19244205705.380001</v>
      </c>
      <c r="L257" s="257"/>
      <c r="M257" s="337">
        <f>+K257/F257</f>
        <v>0.21912481173784149</v>
      </c>
      <c r="N257" s="338">
        <f>SUBTOTAL(9,N157:N256)</f>
        <v>52386301530.639999</v>
      </c>
      <c r="O257" s="257"/>
      <c r="P257" s="339">
        <f>+N257/F257</f>
        <v>0.59649842847679213</v>
      </c>
    </row>
    <row r="258" spans="1:16" s="143" customFormat="1" x14ac:dyDescent="0.25">
      <c r="A258" s="291"/>
      <c r="C258" s="304"/>
      <c r="E258" s="257"/>
      <c r="F258" s="257"/>
      <c r="G258" s="257"/>
      <c r="H258" s="257"/>
      <c r="I258" s="257"/>
      <c r="J258" s="257"/>
      <c r="K258" s="257"/>
      <c r="L258" s="257"/>
      <c r="M258" s="257"/>
      <c r="N258" s="257"/>
      <c r="O258" s="257"/>
    </row>
    <row r="259" spans="1:16" s="143" customFormat="1" x14ac:dyDescent="0.25">
      <c r="A259" s="296" t="s">
        <v>707</v>
      </c>
      <c r="B259" s="297" t="s">
        <v>71</v>
      </c>
      <c r="C259" s="298" t="s">
        <v>72</v>
      </c>
      <c r="D259" s="299" t="s">
        <v>69</v>
      </c>
      <c r="E259" s="257">
        <v>48966684366</v>
      </c>
      <c r="F259" s="300">
        <v>48966684366</v>
      </c>
      <c r="G259" s="257">
        <v>43316191386</v>
      </c>
      <c r="H259" s="257">
        <v>0</v>
      </c>
      <c r="I259" s="257">
        <v>5096710533</v>
      </c>
      <c r="J259" s="257">
        <v>0</v>
      </c>
      <c r="K259" s="300">
        <v>13486112824.17</v>
      </c>
      <c r="L259" s="257">
        <v>13486112824.17</v>
      </c>
      <c r="M259" s="301">
        <f>+K259/F259</f>
        <v>0.27541404934359981</v>
      </c>
      <c r="N259" s="302">
        <v>30383861008.830002</v>
      </c>
      <c r="O259" s="257">
        <v>24733368028.830002</v>
      </c>
      <c r="P259" s="303">
        <f>+N259/F259</f>
        <v>0.62050068127396074</v>
      </c>
    </row>
    <row r="260" spans="1:16" s="143" customFormat="1" hidden="1" x14ac:dyDescent="0.25">
      <c r="A260" s="143" t="s">
        <v>707</v>
      </c>
      <c r="B260" s="143" t="s">
        <v>73</v>
      </c>
      <c r="C260" s="290" t="s">
        <v>74</v>
      </c>
      <c r="D260" s="143" t="s">
        <v>69</v>
      </c>
      <c r="E260" s="257">
        <v>17541843984</v>
      </c>
      <c r="F260" s="257">
        <v>17541843984</v>
      </c>
      <c r="G260" s="257">
        <v>13604724873</v>
      </c>
      <c r="H260" s="257">
        <v>0</v>
      </c>
      <c r="I260" s="257">
        <v>0</v>
      </c>
      <c r="J260" s="257">
        <v>0</v>
      </c>
      <c r="K260" s="257">
        <v>4074041268.2399998</v>
      </c>
      <c r="L260" s="257">
        <v>4074041268.2399998</v>
      </c>
      <c r="M260" s="288">
        <f>K260/F260*100</f>
        <v>23.224703582792962</v>
      </c>
      <c r="N260" s="257">
        <v>13467802715.76</v>
      </c>
      <c r="O260" s="257">
        <v>9530683604.7600002</v>
      </c>
      <c r="P260" s="289">
        <f>N260/F260*100</f>
        <v>76.775296417207045</v>
      </c>
    </row>
    <row r="261" spans="1:16" s="143" customFormat="1" hidden="1" x14ac:dyDescent="0.25">
      <c r="A261" s="143" t="s">
        <v>707</v>
      </c>
      <c r="B261" s="143" t="s">
        <v>75</v>
      </c>
      <c r="C261" s="290" t="s">
        <v>76</v>
      </c>
      <c r="D261" s="143" t="s">
        <v>69</v>
      </c>
      <c r="E261" s="257">
        <v>17541843984</v>
      </c>
      <c r="F261" s="257">
        <v>17541843984</v>
      </c>
      <c r="G261" s="257">
        <v>13604724873</v>
      </c>
      <c r="H261" s="257">
        <v>0</v>
      </c>
      <c r="I261" s="257">
        <v>0</v>
      </c>
      <c r="J261" s="257">
        <v>0</v>
      </c>
      <c r="K261" s="257">
        <v>4074041268.2399998</v>
      </c>
      <c r="L261" s="257">
        <v>4074041268.2399998</v>
      </c>
      <c r="M261" s="257"/>
      <c r="N261" s="279">
        <v>13467802715.76</v>
      </c>
      <c r="O261" s="257">
        <v>9530683604.7600002</v>
      </c>
    </row>
    <row r="262" spans="1:16" s="143" customFormat="1" ht="30" hidden="1" x14ac:dyDescent="0.25">
      <c r="A262" s="143" t="s">
        <v>707</v>
      </c>
      <c r="B262" s="143" t="s">
        <v>293</v>
      </c>
      <c r="C262" s="290" t="s">
        <v>294</v>
      </c>
      <c r="D262" s="143" t="s">
        <v>69</v>
      </c>
      <c r="E262" s="257">
        <v>3681614000</v>
      </c>
      <c r="F262" s="257">
        <v>3681614000</v>
      </c>
      <c r="G262" s="257">
        <v>3681614000</v>
      </c>
      <c r="H262" s="257">
        <v>0</v>
      </c>
      <c r="I262" s="257">
        <v>0</v>
      </c>
      <c r="J262" s="257">
        <v>0</v>
      </c>
      <c r="K262" s="257">
        <v>916418055.64999998</v>
      </c>
      <c r="L262" s="257">
        <v>916418055.64999998</v>
      </c>
      <c r="M262" s="288">
        <f>K262/F262*100</f>
        <v>24.891747359989395</v>
      </c>
      <c r="N262" s="257">
        <v>2765195944.3499999</v>
      </c>
      <c r="O262" s="257">
        <v>2765195944.3499999</v>
      </c>
      <c r="P262" s="289">
        <f>N262/F262*100</f>
        <v>75.108252640010591</v>
      </c>
    </row>
    <row r="263" spans="1:16" s="143" customFormat="1" hidden="1" x14ac:dyDescent="0.25">
      <c r="A263" s="143" t="s">
        <v>707</v>
      </c>
      <c r="B263" s="143" t="s">
        <v>295</v>
      </c>
      <c r="C263" s="290" t="s">
        <v>296</v>
      </c>
      <c r="D263" s="143" t="s">
        <v>69</v>
      </c>
      <c r="E263" s="257">
        <v>8000000</v>
      </c>
      <c r="F263" s="257">
        <v>8000000</v>
      </c>
      <c r="G263" s="257">
        <v>8000000</v>
      </c>
      <c r="H263" s="257">
        <v>0</v>
      </c>
      <c r="I263" s="257">
        <v>0</v>
      </c>
      <c r="J263" s="257">
        <v>0</v>
      </c>
      <c r="K263" s="257">
        <v>2826388.81</v>
      </c>
      <c r="L263" s="257">
        <v>2826388.81</v>
      </c>
      <c r="M263" s="257"/>
      <c r="N263" s="279">
        <v>5173611.1900000004</v>
      </c>
      <c r="O263" s="257">
        <v>5173611.1900000004</v>
      </c>
    </row>
    <row r="264" spans="1:16" s="143" customFormat="1" hidden="1" x14ac:dyDescent="0.25">
      <c r="A264" s="143" t="s">
        <v>707</v>
      </c>
      <c r="B264" s="143" t="s">
        <v>337</v>
      </c>
      <c r="C264" s="290" t="s">
        <v>338</v>
      </c>
      <c r="D264" s="143" t="s">
        <v>69</v>
      </c>
      <c r="E264" s="257">
        <v>25000000</v>
      </c>
      <c r="F264" s="257">
        <v>25000000</v>
      </c>
      <c r="G264" s="257">
        <v>25000000</v>
      </c>
      <c r="H264" s="257">
        <v>0</v>
      </c>
      <c r="I264" s="257">
        <v>0</v>
      </c>
      <c r="J264" s="257">
        <v>0</v>
      </c>
      <c r="K264" s="257">
        <v>354490</v>
      </c>
      <c r="L264" s="257">
        <v>354490</v>
      </c>
      <c r="M264" s="257"/>
      <c r="N264" s="279">
        <v>24645510</v>
      </c>
      <c r="O264" s="257">
        <v>24645510</v>
      </c>
    </row>
    <row r="265" spans="1:16" s="143" customFormat="1" hidden="1" x14ac:dyDescent="0.25">
      <c r="A265" s="143" t="s">
        <v>707</v>
      </c>
      <c r="B265" s="143" t="s">
        <v>339</v>
      </c>
      <c r="C265" s="290" t="s">
        <v>340</v>
      </c>
      <c r="D265" s="143" t="s">
        <v>69</v>
      </c>
      <c r="E265" s="257">
        <v>3648614000</v>
      </c>
      <c r="F265" s="257">
        <v>3648614000</v>
      </c>
      <c r="G265" s="257">
        <v>3648614000</v>
      </c>
      <c r="H265" s="257">
        <v>0</v>
      </c>
      <c r="I265" s="257">
        <v>0</v>
      </c>
      <c r="J265" s="257">
        <v>0</v>
      </c>
      <c r="K265" s="257">
        <v>913237176.84000003</v>
      </c>
      <c r="L265" s="257">
        <v>913237176.84000003</v>
      </c>
      <c r="M265" s="257"/>
      <c r="N265" s="279">
        <v>2735376823.1599998</v>
      </c>
      <c r="O265" s="257">
        <v>2735376823.1599998</v>
      </c>
    </row>
    <row r="266" spans="1:16" s="143" customFormat="1" hidden="1" x14ac:dyDescent="0.25">
      <c r="A266" s="143" t="s">
        <v>707</v>
      </c>
      <c r="B266" s="143" t="s">
        <v>77</v>
      </c>
      <c r="C266" s="290" t="s">
        <v>78</v>
      </c>
      <c r="D266" s="143" t="s">
        <v>69</v>
      </c>
      <c r="E266" s="257">
        <v>20273537632</v>
      </c>
      <c r="F266" s="257">
        <v>20273537632</v>
      </c>
      <c r="G266" s="257">
        <v>18736556544</v>
      </c>
      <c r="H266" s="257">
        <v>0</v>
      </c>
      <c r="I266" s="257">
        <v>0</v>
      </c>
      <c r="J266" s="257">
        <v>0</v>
      </c>
      <c r="K266" s="257">
        <v>6122675283.2799997</v>
      </c>
      <c r="L266" s="257">
        <v>6122675283.2799997</v>
      </c>
      <c r="M266" s="288">
        <f>K266/F266*100</f>
        <v>30.200330077647102</v>
      </c>
      <c r="N266" s="257">
        <v>14150862348.719999</v>
      </c>
      <c r="O266" s="257">
        <v>12613881260.719999</v>
      </c>
      <c r="P266" s="289">
        <f>N266/F266*100</f>
        <v>69.799669922352891</v>
      </c>
    </row>
    <row r="267" spans="1:16" s="143" customFormat="1" ht="30" hidden="1" x14ac:dyDescent="0.25">
      <c r="A267" s="143" t="s">
        <v>707</v>
      </c>
      <c r="B267" s="143" t="s">
        <v>79</v>
      </c>
      <c r="C267" s="290" t="s">
        <v>80</v>
      </c>
      <c r="D267" s="143" t="s">
        <v>69</v>
      </c>
      <c r="E267" s="257">
        <v>7240363600</v>
      </c>
      <c r="F267" s="257">
        <v>7240363600</v>
      </c>
      <c r="G267" s="257">
        <v>6903593599</v>
      </c>
      <c r="H267" s="257">
        <v>0</v>
      </c>
      <c r="I267" s="257">
        <v>0</v>
      </c>
      <c r="J267" s="257">
        <v>0</v>
      </c>
      <c r="K267" s="257">
        <v>1689993412.9200001</v>
      </c>
      <c r="L267" s="257">
        <v>1689993412.9200001</v>
      </c>
      <c r="M267" s="257"/>
      <c r="N267" s="279">
        <v>5550370187.0799999</v>
      </c>
      <c r="O267" s="257">
        <v>5213600186.0799999</v>
      </c>
    </row>
    <row r="268" spans="1:16" s="143" customFormat="1" ht="30" hidden="1" x14ac:dyDescent="0.25">
      <c r="A268" s="143" t="s">
        <v>707</v>
      </c>
      <c r="B268" s="143" t="s">
        <v>81</v>
      </c>
      <c r="C268" s="290" t="s">
        <v>82</v>
      </c>
      <c r="D268" s="143" t="s">
        <v>69</v>
      </c>
      <c r="E268" s="257">
        <v>646663149</v>
      </c>
      <c r="F268" s="257">
        <v>646663149</v>
      </c>
      <c r="G268" s="257">
        <v>507159410</v>
      </c>
      <c r="H268" s="257">
        <v>0</v>
      </c>
      <c r="I268" s="257">
        <v>0</v>
      </c>
      <c r="J268" s="257">
        <v>0</v>
      </c>
      <c r="K268" s="257">
        <v>116238773.36</v>
      </c>
      <c r="L268" s="257">
        <v>116238773.36</v>
      </c>
      <c r="M268" s="257"/>
      <c r="N268" s="279">
        <v>530424375.63999999</v>
      </c>
      <c r="O268" s="257">
        <v>390920636.63999999</v>
      </c>
    </row>
    <row r="269" spans="1:16" s="143" customFormat="1" hidden="1" x14ac:dyDescent="0.25">
      <c r="A269" s="143" t="s">
        <v>707</v>
      </c>
      <c r="B269" s="143" t="s">
        <v>83</v>
      </c>
      <c r="C269" s="290" t="s">
        <v>84</v>
      </c>
      <c r="D269" s="143" t="s">
        <v>85</v>
      </c>
      <c r="E269" s="257">
        <v>3190897883</v>
      </c>
      <c r="F269" s="257">
        <v>3190897883</v>
      </c>
      <c r="G269" s="257">
        <v>2136349208</v>
      </c>
      <c r="H269" s="257">
        <v>0</v>
      </c>
      <c r="I269" s="257">
        <v>0</v>
      </c>
      <c r="J269" s="257">
        <v>0</v>
      </c>
      <c r="K269" s="257">
        <v>152808.79999999999</v>
      </c>
      <c r="L269" s="257">
        <v>152808.79999999999</v>
      </c>
      <c r="M269" s="257"/>
      <c r="N269" s="279">
        <v>3190745074.1999998</v>
      </c>
      <c r="O269" s="257">
        <v>2136196399.2</v>
      </c>
    </row>
    <row r="270" spans="1:16" s="143" customFormat="1" hidden="1" x14ac:dyDescent="0.25">
      <c r="A270" s="143" t="s">
        <v>707</v>
      </c>
      <c r="B270" s="143" t="s">
        <v>86</v>
      </c>
      <c r="C270" s="290" t="s">
        <v>87</v>
      </c>
      <c r="D270" s="143" t="s">
        <v>69</v>
      </c>
      <c r="E270" s="257">
        <v>2924191700</v>
      </c>
      <c r="F270" s="257">
        <v>2924191700</v>
      </c>
      <c r="G270" s="257">
        <v>2924191700</v>
      </c>
      <c r="H270" s="257">
        <v>0</v>
      </c>
      <c r="I270" s="257">
        <v>0</v>
      </c>
      <c r="J270" s="257">
        <v>0</v>
      </c>
      <c r="K270" s="257">
        <v>2864019903.27</v>
      </c>
      <c r="L270" s="257">
        <v>2864019903.27</v>
      </c>
      <c r="M270" s="257"/>
      <c r="N270" s="279">
        <v>60171796.729999997</v>
      </c>
      <c r="O270" s="257">
        <v>60171796.729999997</v>
      </c>
    </row>
    <row r="271" spans="1:16" s="143" customFormat="1" ht="30" hidden="1" x14ac:dyDescent="0.25">
      <c r="A271" s="143" t="s">
        <v>707</v>
      </c>
      <c r="B271" s="143" t="s">
        <v>88</v>
      </c>
      <c r="C271" s="290" t="s">
        <v>89</v>
      </c>
      <c r="D271" s="143" t="s">
        <v>69</v>
      </c>
      <c r="E271" s="257">
        <v>6271421300</v>
      </c>
      <c r="F271" s="257">
        <v>6271421300</v>
      </c>
      <c r="G271" s="257">
        <v>6265262627</v>
      </c>
      <c r="H271" s="257">
        <v>0</v>
      </c>
      <c r="I271" s="257">
        <v>0</v>
      </c>
      <c r="J271" s="257">
        <v>0</v>
      </c>
      <c r="K271" s="257">
        <v>1452270384.9300001</v>
      </c>
      <c r="L271" s="257">
        <v>1452270384.9300001</v>
      </c>
      <c r="M271" s="257"/>
      <c r="N271" s="279">
        <v>4819150915.0699997</v>
      </c>
      <c r="O271" s="257">
        <v>4812992242.0699997</v>
      </c>
    </row>
    <row r="272" spans="1:16" s="143" customFormat="1" ht="30" hidden="1" x14ac:dyDescent="0.25">
      <c r="A272" s="143" t="s">
        <v>707</v>
      </c>
      <c r="B272" s="143" t="s">
        <v>90</v>
      </c>
      <c r="C272" s="290" t="s">
        <v>91</v>
      </c>
      <c r="D272" s="143" t="s">
        <v>69</v>
      </c>
      <c r="E272" s="257">
        <v>3734844376</v>
      </c>
      <c r="F272" s="257">
        <v>3734844376</v>
      </c>
      <c r="G272" s="257">
        <v>3646647985</v>
      </c>
      <c r="H272" s="257">
        <v>0</v>
      </c>
      <c r="I272" s="257">
        <v>2542586530</v>
      </c>
      <c r="J272" s="257">
        <v>0</v>
      </c>
      <c r="K272" s="257">
        <v>1192257846</v>
      </c>
      <c r="L272" s="257">
        <v>1192257846</v>
      </c>
      <c r="M272" s="288">
        <f>K272/F272*100</f>
        <v>31.922557567897979</v>
      </c>
      <c r="N272" s="257">
        <v>0</v>
      </c>
      <c r="O272" s="275">
        <v>-88196391</v>
      </c>
      <c r="P272" s="289">
        <f>N272/F272*100</f>
        <v>0</v>
      </c>
    </row>
    <row r="273" spans="1:16" s="143" customFormat="1" ht="90" hidden="1" x14ac:dyDescent="0.25">
      <c r="A273" s="143" t="s">
        <v>707</v>
      </c>
      <c r="B273" s="143" t="s">
        <v>420</v>
      </c>
      <c r="C273" s="290" t="s">
        <v>697</v>
      </c>
      <c r="D273" s="143" t="s">
        <v>69</v>
      </c>
      <c r="E273" s="257">
        <v>3543313962</v>
      </c>
      <c r="F273" s="257">
        <v>3543313962</v>
      </c>
      <c r="G273" s="257">
        <v>3459640463</v>
      </c>
      <c r="H273" s="257">
        <v>0</v>
      </c>
      <c r="I273" s="257">
        <v>2412190695</v>
      </c>
      <c r="J273" s="257">
        <v>0</v>
      </c>
      <c r="K273" s="257">
        <v>1131123267</v>
      </c>
      <c r="L273" s="257">
        <v>1131123267</v>
      </c>
      <c r="M273" s="257"/>
      <c r="N273" s="279">
        <v>0</v>
      </c>
      <c r="O273" s="275">
        <v>-83673499</v>
      </c>
    </row>
    <row r="274" spans="1:16" s="143" customFormat="1" ht="75" hidden="1" x14ac:dyDescent="0.25">
      <c r="A274" s="143" t="s">
        <v>707</v>
      </c>
      <c r="B274" s="143" t="s">
        <v>437</v>
      </c>
      <c r="C274" s="290" t="s">
        <v>95</v>
      </c>
      <c r="D274" s="143" t="s">
        <v>69</v>
      </c>
      <c r="E274" s="257">
        <v>191530414</v>
      </c>
      <c r="F274" s="257">
        <v>191530414</v>
      </c>
      <c r="G274" s="257">
        <v>187007522</v>
      </c>
      <c r="H274" s="257">
        <v>0</v>
      </c>
      <c r="I274" s="257">
        <v>130395835</v>
      </c>
      <c r="J274" s="257">
        <v>0</v>
      </c>
      <c r="K274" s="257">
        <v>61134579</v>
      </c>
      <c r="L274" s="257">
        <v>61134579</v>
      </c>
      <c r="M274" s="257"/>
      <c r="N274" s="279">
        <v>0</v>
      </c>
      <c r="O274" s="275">
        <v>-4522892</v>
      </c>
    </row>
    <row r="275" spans="1:16" s="143" customFormat="1" ht="30" hidden="1" x14ac:dyDescent="0.25">
      <c r="A275" s="143" t="s">
        <v>707</v>
      </c>
      <c r="B275" s="143" t="s">
        <v>96</v>
      </c>
      <c r="C275" s="290" t="s">
        <v>97</v>
      </c>
      <c r="D275" s="143" t="s">
        <v>69</v>
      </c>
      <c r="E275" s="257">
        <v>3734844374</v>
      </c>
      <c r="F275" s="257">
        <v>3734844374</v>
      </c>
      <c r="G275" s="257">
        <v>3646647984</v>
      </c>
      <c r="H275" s="257">
        <v>0</v>
      </c>
      <c r="I275" s="257">
        <v>2554124003</v>
      </c>
      <c r="J275" s="257">
        <v>0</v>
      </c>
      <c r="K275" s="257">
        <v>1180720371</v>
      </c>
      <c r="L275" s="257">
        <v>1180720371</v>
      </c>
      <c r="M275" s="288">
        <f>K275/F275*100</f>
        <v>31.613643107047434</v>
      </c>
      <c r="N275" s="257">
        <v>0</v>
      </c>
      <c r="O275" s="275">
        <v>-88196390</v>
      </c>
      <c r="P275" s="289">
        <f>N275/F275*100</f>
        <v>0</v>
      </c>
    </row>
    <row r="276" spans="1:16" s="143" customFormat="1" ht="90" hidden="1" x14ac:dyDescent="0.25">
      <c r="A276" s="143" t="s">
        <v>707</v>
      </c>
      <c r="B276" s="143" t="s">
        <v>455</v>
      </c>
      <c r="C276" s="290" t="s">
        <v>698</v>
      </c>
      <c r="D276" s="143" t="s">
        <v>69</v>
      </c>
      <c r="E276" s="257">
        <v>2011070048</v>
      </c>
      <c r="F276" s="257">
        <v>2011070048</v>
      </c>
      <c r="G276" s="257">
        <v>1963579684</v>
      </c>
      <c r="H276" s="257">
        <v>0</v>
      </c>
      <c r="I276" s="257">
        <v>1380561012</v>
      </c>
      <c r="J276" s="257">
        <v>0</v>
      </c>
      <c r="K276" s="257">
        <v>630509036</v>
      </c>
      <c r="L276" s="257">
        <v>630509036</v>
      </c>
      <c r="M276" s="257"/>
      <c r="N276" s="279">
        <v>0</v>
      </c>
      <c r="O276" s="275">
        <v>-47490364</v>
      </c>
    </row>
    <row r="277" spans="1:16" s="143" customFormat="1" ht="90" hidden="1" x14ac:dyDescent="0.25">
      <c r="A277" s="143" t="s">
        <v>707</v>
      </c>
      <c r="B277" s="143" t="s">
        <v>472</v>
      </c>
      <c r="C277" s="290" t="s">
        <v>699</v>
      </c>
      <c r="D277" s="143" t="s">
        <v>69</v>
      </c>
      <c r="E277" s="257">
        <v>574591442</v>
      </c>
      <c r="F277" s="257">
        <v>574591442</v>
      </c>
      <c r="G277" s="257">
        <v>561022767</v>
      </c>
      <c r="H277" s="257">
        <v>0</v>
      </c>
      <c r="I277" s="257">
        <v>391187639</v>
      </c>
      <c r="J277" s="257">
        <v>0</v>
      </c>
      <c r="K277" s="257">
        <v>183403803</v>
      </c>
      <c r="L277" s="257">
        <v>183403803</v>
      </c>
      <c r="M277" s="257"/>
      <c r="N277" s="279">
        <v>0</v>
      </c>
      <c r="O277" s="275">
        <v>-13568675</v>
      </c>
    </row>
    <row r="278" spans="1:16" s="143" customFormat="1" ht="90" hidden="1" x14ac:dyDescent="0.25">
      <c r="A278" s="143" t="s">
        <v>707</v>
      </c>
      <c r="B278" s="143" t="s">
        <v>489</v>
      </c>
      <c r="C278" s="290" t="s">
        <v>700</v>
      </c>
      <c r="D278" s="143" t="s">
        <v>69</v>
      </c>
      <c r="E278" s="257">
        <v>1149182884</v>
      </c>
      <c r="F278" s="257">
        <v>1149182884</v>
      </c>
      <c r="G278" s="257">
        <v>1122045533</v>
      </c>
      <c r="H278" s="257">
        <v>0</v>
      </c>
      <c r="I278" s="257">
        <v>782375352</v>
      </c>
      <c r="J278" s="257">
        <v>0</v>
      </c>
      <c r="K278" s="257">
        <v>366807532</v>
      </c>
      <c r="L278" s="257">
        <v>366807532</v>
      </c>
      <c r="M278" s="257"/>
      <c r="N278" s="279">
        <v>0</v>
      </c>
      <c r="O278" s="275">
        <v>-27137351</v>
      </c>
    </row>
    <row r="279" spans="1:16" s="143" customFormat="1" x14ac:dyDescent="0.25">
      <c r="A279" s="296" t="s">
        <v>707</v>
      </c>
      <c r="B279" s="297" t="s">
        <v>104</v>
      </c>
      <c r="C279" s="298" t="s">
        <v>105</v>
      </c>
      <c r="D279" s="299" t="s">
        <v>69</v>
      </c>
      <c r="E279" s="257">
        <v>6509291577</v>
      </c>
      <c r="F279" s="300">
        <v>6509291577</v>
      </c>
      <c r="G279" s="257">
        <v>5550587929</v>
      </c>
      <c r="H279" s="257">
        <v>286900</v>
      </c>
      <c r="I279" s="257">
        <v>891509816.26999998</v>
      </c>
      <c r="J279" s="257">
        <v>32512057.530000001</v>
      </c>
      <c r="K279" s="300">
        <v>459596650.77999997</v>
      </c>
      <c r="L279" s="257">
        <v>382214745.02999997</v>
      </c>
      <c r="M279" s="301">
        <f>+K279/F279</f>
        <v>7.0606247291785745E-2</v>
      </c>
      <c r="N279" s="302">
        <v>5125386152.4200001</v>
      </c>
      <c r="O279" s="257">
        <v>4166682504.4200001</v>
      </c>
      <c r="P279" s="303">
        <f>+N279/F279</f>
        <v>0.7873953857790138</v>
      </c>
    </row>
    <row r="280" spans="1:16" s="143" customFormat="1" hidden="1" x14ac:dyDescent="0.25">
      <c r="A280" s="143" t="s">
        <v>707</v>
      </c>
      <c r="B280" s="143" t="s">
        <v>106</v>
      </c>
      <c r="C280" s="290" t="s">
        <v>107</v>
      </c>
      <c r="D280" s="143" t="s">
        <v>69</v>
      </c>
      <c r="E280" s="257">
        <v>3002893777</v>
      </c>
      <c r="F280" s="257">
        <v>3002893777</v>
      </c>
      <c r="G280" s="257">
        <v>2945862847</v>
      </c>
      <c r="H280" s="257">
        <v>0</v>
      </c>
      <c r="I280" s="257">
        <v>408658204.27999997</v>
      </c>
      <c r="J280" s="257">
        <v>0</v>
      </c>
      <c r="K280" s="257">
        <v>170642962.55000001</v>
      </c>
      <c r="L280" s="257">
        <v>126082082.89</v>
      </c>
      <c r="M280" s="257"/>
      <c r="N280" s="279">
        <v>2423592610.1700001</v>
      </c>
      <c r="O280" s="257">
        <v>2366561680.1700001</v>
      </c>
    </row>
    <row r="281" spans="1:16" s="143" customFormat="1" ht="30" hidden="1" x14ac:dyDescent="0.25">
      <c r="A281" s="143" t="s">
        <v>707</v>
      </c>
      <c r="B281" s="143" t="s">
        <v>280</v>
      </c>
      <c r="C281" s="290" t="s">
        <v>281</v>
      </c>
      <c r="D281" s="143" t="s">
        <v>69</v>
      </c>
      <c r="E281" s="257">
        <v>540000000</v>
      </c>
      <c r="F281" s="257">
        <v>540000000</v>
      </c>
      <c r="G281" s="257">
        <v>540000000</v>
      </c>
      <c r="H281" s="257">
        <v>0</v>
      </c>
      <c r="I281" s="257">
        <v>35378712.079999998</v>
      </c>
      <c r="J281" s="257">
        <v>0</v>
      </c>
      <c r="K281" s="257">
        <v>82180909.819999993</v>
      </c>
      <c r="L281" s="257">
        <v>75977869.719999999</v>
      </c>
      <c r="M281" s="257"/>
      <c r="N281" s="279">
        <v>422440378.10000002</v>
      </c>
      <c r="O281" s="257">
        <v>422440378.10000002</v>
      </c>
    </row>
    <row r="282" spans="1:16" s="143" customFormat="1" ht="30" hidden="1" x14ac:dyDescent="0.25">
      <c r="A282" s="143" t="s">
        <v>707</v>
      </c>
      <c r="B282" s="143" t="s">
        <v>108</v>
      </c>
      <c r="C282" s="290" t="s">
        <v>109</v>
      </c>
      <c r="D282" s="143" t="s">
        <v>69</v>
      </c>
      <c r="E282" s="257">
        <v>974595134</v>
      </c>
      <c r="F282" s="257">
        <v>974595134</v>
      </c>
      <c r="G282" s="257">
        <v>974595134</v>
      </c>
      <c r="H282" s="257">
        <v>0</v>
      </c>
      <c r="I282" s="257">
        <v>145729081.13999999</v>
      </c>
      <c r="J282" s="257">
        <v>0</v>
      </c>
      <c r="K282" s="257">
        <v>44698245.189999998</v>
      </c>
      <c r="L282" s="257">
        <v>6340405.6299999999</v>
      </c>
      <c r="M282" s="257"/>
      <c r="N282" s="279">
        <v>784167807.66999996</v>
      </c>
      <c r="O282" s="257">
        <v>784167807.66999996</v>
      </c>
    </row>
    <row r="283" spans="1:16" s="143" customFormat="1" ht="30" hidden="1" x14ac:dyDescent="0.25">
      <c r="A283" s="143" t="s">
        <v>707</v>
      </c>
      <c r="B283" s="143" t="s">
        <v>304</v>
      </c>
      <c r="C283" s="290" t="s">
        <v>305</v>
      </c>
      <c r="D283" s="143" t="s">
        <v>69</v>
      </c>
      <c r="E283" s="257">
        <v>114061860</v>
      </c>
      <c r="F283" s="257">
        <v>114061860</v>
      </c>
      <c r="G283" s="257">
        <v>57030930</v>
      </c>
      <c r="H283" s="257">
        <v>0</v>
      </c>
      <c r="I283" s="257">
        <v>8742059.2300000004</v>
      </c>
      <c r="J283" s="257">
        <v>0</v>
      </c>
      <c r="K283" s="257">
        <v>0</v>
      </c>
      <c r="L283" s="257">
        <v>0</v>
      </c>
      <c r="M283" s="257"/>
      <c r="N283" s="279">
        <v>105319800.77</v>
      </c>
      <c r="O283" s="257">
        <v>48288870.770000003</v>
      </c>
    </row>
    <row r="284" spans="1:16" s="143" customFormat="1" hidden="1" x14ac:dyDescent="0.25">
      <c r="A284" s="143" t="s">
        <v>707</v>
      </c>
      <c r="B284" s="143" t="s">
        <v>110</v>
      </c>
      <c r="C284" s="290" t="s">
        <v>111</v>
      </c>
      <c r="D284" s="143" t="s">
        <v>69</v>
      </c>
      <c r="E284" s="257">
        <v>1374236783</v>
      </c>
      <c r="F284" s="257">
        <v>1374236783</v>
      </c>
      <c r="G284" s="257">
        <v>1374236783</v>
      </c>
      <c r="H284" s="257">
        <v>0</v>
      </c>
      <c r="I284" s="257">
        <v>218808351.83000001</v>
      </c>
      <c r="J284" s="257">
        <v>0</v>
      </c>
      <c r="K284" s="257">
        <v>43763807.539999999</v>
      </c>
      <c r="L284" s="257">
        <v>43763807.539999999</v>
      </c>
      <c r="M284" s="257"/>
      <c r="N284" s="279">
        <v>1111664623.6300001</v>
      </c>
      <c r="O284" s="257">
        <v>1111664623.6300001</v>
      </c>
    </row>
    <row r="285" spans="1:16" s="143" customFormat="1" hidden="1" x14ac:dyDescent="0.25">
      <c r="A285" s="143" t="s">
        <v>707</v>
      </c>
      <c r="B285" s="143" t="s">
        <v>112</v>
      </c>
      <c r="C285" s="290" t="s">
        <v>113</v>
      </c>
      <c r="D285" s="143" t="s">
        <v>69</v>
      </c>
      <c r="E285" s="257">
        <v>758051064</v>
      </c>
      <c r="F285" s="257">
        <v>758051064</v>
      </c>
      <c r="G285" s="257">
        <v>629039646</v>
      </c>
      <c r="H285" s="257">
        <v>0</v>
      </c>
      <c r="I285" s="257">
        <v>107436305.28</v>
      </c>
      <c r="J285" s="257">
        <v>1091783</v>
      </c>
      <c r="K285" s="257">
        <v>180765250.96000001</v>
      </c>
      <c r="L285" s="257">
        <v>176727931.81</v>
      </c>
      <c r="M285" s="257"/>
      <c r="N285" s="279">
        <v>468757724.75999999</v>
      </c>
      <c r="O285" s="257">
        <v>339746306.75999999</v>
      </c>
    </row>
    <row r="286" spans="1:16" s="143" customFormat="1" ht="30" hidden="1" x14ac:dyDescent="0.25">
      <c r="A286" s="143" t="s">
        <v>707</v>
      </c>
      <c r="B286" s="143" t="s">
        <v>114</v>
      </c>
      <c r="C286" s="290" t="s">
        <v>115</v>
      </c>
      <c r="D286" s="143" t="s">
        <v>69</v>
      </c>
      <c r="E286" s="257">
        <v>18001000</v>
      </c>
      <c r="F286" s="257">
        <v>18001000</v>
      </c>
      <c r="G286" s="257">
        <v>9000500</v>
      </c>
      <c r="H286" s="257">
        <v>0</v>
      </c>
      <c r="I286" s="257">
        <v>3219731</v>
      </c>
      <c r="J286" s="257">
        <v>0</v>
      </c>
      <c r="K286" s="257">
        <v>1280519</v>
      </c>
      <c r="L286" s="257">
        <v>0</v>
      </c>
      <c r="M286" s="257"/>
      <c r="N286" s="279">
        <v>13500750</v>
      </c>
      <c r="O286" s="257">
        <v>4500250</v>
      </c>
    </row>
    <row r="287" spans="1:16" s="143" customFormat="1" ht="30" hidden="1" x14ac:dyDescent="0.25">
      <c r="A287" s="143" t="s">
        <v>707</v>
      </c>
      <c r="B287" s="143" t="s">
        <v>116</v>
      </c>
      <c r="C287" s="290" t="s">
        <v>117</v>
      </c>
      <c r="D287" s="143" t="s">
        <v>69</v>
      </c>
      <c r="E287" s="257">
        <v>244470000</v>
      </c>
      <c r="F287" s="257">
        <v>244470000</v>
      </c>
      <c r="G287" s="257">
        <v>225288685</v>
      </c>
      <c r="H287" s="257">
        <v>0</v>
      </c>
      <c r="I287" s="257">
        <v>6157752</v>
      </c>
      <c r="J287" s="257">
        <v>0</v>
      </c>
      <c r="K287" s="257">
        <v>146404281.31999999</v>
      </c>
      <c r="L287" s="257">
        <v>146404281.31999999</v>
      </c>
      <c r="M287" s="257"/>
      <c r="N287" s="279">
        <v>91907966.680000007</v>
      </c>
      <c r="O287" s="257">
        <v>72726651.680000007</v>
      </c>
    </row>
    <row r="288" spans="1:16" s="143" customFormat="1" hidden="1" x14ac:dyDescent="0.25">
      <c r="A288" s="143" t="s">
        <v>707</v>
      </c>
      <c r="B288" s="143" t="s">
        <v>118</v>
      </c>
      <c r="C288" s="290" t="s">
        <v>119</v>
      </c>
      <c r="D288" s="143" t="s">
        <v>69</v>
      </c>
      <c r="E288" s="257">
        <v>6000000</v>
      </c>
      <c r="F288" s="257">
        <v>6000000</v>
      </c>
      <c r="G288" s="257">
        <v>3000000</v>
      </c>
      <c r="H288" s="257">
        <v>0</v>
      </c>
      <c r="I288" s="257">
        <v>1268340</v>
      </c>
      <c r="J288" s="257">
        <v>0</v>
      </c>
      <c r="K288" s="257">
        <v>231660</v>
      </c>
      <c r="L288" s="257">
        <v>231660</v>
      </c>
      <c r="M288" s="257"/>
      <c r="N288" s="279">
        <v>4500000</v>
      </c>
      <c r="O288" s="257">
        <v>1500000</v>
      </c>
    </row>
    <row r="289" spans="1:15" s="143" customFormat="1" ht="30" hidden="1" x14ac:dyDescent="0.25">
      <c r="A289" s="143" t="s">
        <v>707</v>
      </c>
      <c r="B289" s="143" t="s">
        <v>120</v>
      </c>
      <c r="C289" s="290" t="s">
        <v>121</v>
      </c>
      <c r="D289" s="143" t="s">
        <v>69</v>
      </c>
      <c r="E289" s="257">
        <v>411938379</v>
      </c>
      <c r="F289" s="257">
        <v>411938379</v>
      </c>
      <c r="G289" s="257">
        <v>314108776</v>
      </c>
      <c r="H289" s="257">
        <v>0</v>
      </c>
      <c r="I289" s="257">
        <v>84137248.480000004</v>
      </c>
      <c r="J289" s="257">
        <v>0</v>
      </c>
      <c r="K289" s="257">
        <v>26024148.859999999</v>
      </c>
      <c r="L289" s="257">
        <v>25512174.210000001</v>
      </c>
      <c r="M289" s="257"/>
      <c r="N289" s="279">
        <v>301776981.66000003</v>
      </c>
      <c r="O289" s="257">
        <v>203947378.66</v>
      </c>
    </row>
    <row r="290" spans="1:15" s="143" customFormat="1" hidden="1" x14ac:dyDescent="0.25">
      <c r="A290" s="143" t="s">
        <v>707</v>
      </c>
      <c r="B290" s="143" t="s">
        <v>122</v>
      </c>
      <c r="C290" s="290" t="s">
        <v>123</v>
      </c>
      <c r="D290" s="143" t="s">
        <v>69</v>
      </c>
      <c r="E290" s="257">
        <v>77641685</v>
      </c>
      <c r="F290" s="257">
        <v>77641685</v>
      </c>
      <c r="G290" s="257">
        <v>77641685</v>
      </c>
      <c r="H290" s="257">
        <v>0</v>
      </c>
      <c r="I290" s="257">
        <v>12653233.800000001</v>
      </c>
      <c r="J290" s="257">
        <v>1091783</v>
      </c>
      <c r="K290" s="257">
        <v>6824641.7800000003</v>
      </c>
      <c r="L290" s="257">
        <v>4579816.28</v>
      </c>
      <c r="M290" s="257"/>
      <c r="N290" s="279">
        <v>57072026.420000002</v>
      </c>
      <c r="O290" s="257">
        <v>57072026.420000002</v>
      </c>
    </row>
    <row r="291" spans="1:15" s="143" customFormat="1" ht="30" hidden="1" x14ac:dyDescent="0.25">
      <c r="A291" s="143" t="s">
        <v>707</v>
      </c>
      <c r="B291" s="143" t="s">
        <v>124</v>
      </c>
      <c r="C291" s="290" t="s">
        <v>125</v>
      </c>
      <c r="D291" s="143" t="s">
        <v>69</v>
      </c>
      <c r="E291" s="257">
        <v>9633760</v>
      </c>
      <c r="F291" s="257">
        <v>9633760</v>
      </c>
      <c r="G291" s="257">
        <v>9633760</v>
      </c>
      <c r="H291" s="257">
        <v>0</v>
      </c>
      <c r="I291" s="257">
        <v>3000000</v>
      </c>
      <c r="J291" s="257">
        <v>0</v>
      </c>
      <c r="K291" s="257">
        <v>0</v>
      </c>
      <c r="L291" s="257">
        <v>0</v>
      </c>
      <c r="M291" s="257"/>
      <c r="N291" s="279">
        <v>6633760</v>
      </c>
      <c r="O291" s="257">
        <v>6633760</v>
      </c>
    </row>
    <row r="292" spans="1:15" s="143" customFormat="1" hidden="1" x14ac:dyDescent="0.25">
      <c r="A292" s="143" t="s">
        <v>707</v>
      </c>
      <c r="B292" s="143" t="s">
        <v>126</v>
      </c>
      <c r="C292" s="290" t="s">
        <v>127</v>
      </c>
      <c r="D292" s="143" t="s">
        <v>69</v>
      </c>
      <c r="E292" s="257">
        <v>5513760</v>
      </c>
      <c r="F292" s="257">
        <v>5513760</v>
      </c>
      <c r="G292" s="257">
        <v>5513760</v>
      </c>
      <c r="H292" s="257">
        <v>0</v>
      </c>
      <c r="I292" s="257">
        <v>3000000</v>
      </c>
      <c r="J292" s="257">
        <v>0</v>
      </c>
      <c r="K292" s="257">
        <v>0</v>
      </c>
      <c r="L292" s="257">
        <v>0</v>
      </c>
      <c r="M292" s="257"/>
      <c r="N292" s="279">
        <v>2513760</v>
      </c>
      <c r="O292" s="257">
        <v>2513760</v>
      </c>
    </row>
    <row r="293" spans="1:15" s="143" customFormat="1" ht="30" hidden="1" x14ac:dyDescent="0.25">
      <c r="A293" s="143" t="s">
        <v>707</v>
      </c>
      <c r="B293" s="143" t="s">
        <v>128</v>
      </c>
      <c r="C293" s="290" t="s">
        <v>129</v>
      </c>
      <c r="D293" s="143" t="s">
        <v>69</v>
      </c>
      <c r="E293" s="257">
        <v>2620000</v>
      </c>
      <c r="F293" s="257">
        <v>2620000</v>
      </c>
      <c r="G293" s="257">
        <v>2620000</v>
      </c>
      <c r="H293" s="257">
        <v>0</v>
      </c>
      <c r="I293" s="257">
        <v>0</v>
      </c>
      <c r="J293" s="257">
        <v>0</v>
      </c>
      <c r="K293" s="257">
        <v>0</v>
      </c>
      <c r="L293" s="257">
        <v>0</v>
      </c>
      <c r="M293" s="257"/>
      <c r="N293" s="279">
        <v>2620000</v>
      </c>
      <c r="O293" s="257">
        <v>2620000</v>
      </c>
    </row>
    <row r="294" spans="1:15" s="143" customFormat="1" ht="30" hidden="1" x14ac:dyDescent="0.25">
      <c r="A294" s="143" t="s">
        <v>707</v>
      </c>
      <c r="B294" s="143" t="s">
        <v>132</v>
      </c>
      <c r="C294" s="290" t="s">
        <v>133</v>
      </c>
      <c r="D294" s="143" t="s">
        <v>69</v>
      </c>
      <c r="E294" s="257">
        <v>1500000</v>
      </c>
      <c r="F294" s="257">
        <v>1500000</v>
      </c>
      <c r="G294" s="257">
        <v>1500000</v>
      </c>
      <c r="H294" s="257">
        <v>0</v>
      </c>
      <c r="I294" s="257">
        <v>0</v>
      </c>
      <c r="J294" s="257">
        <v>0</v>
      </c>
      <c r="K294" s="257">
        <v>0</v>
      </c>
      <c r="L294" s="257">
        <v>0</v>
      </c>
      <c r="M294" s="257"/>
      <c r="N294" s="279">
        <v>1500000</v>
      </c>
      <c r="O294" s="257">
        <v>1500000</v>
      </c>
    </row>
    <row r="295" spans="1:15" s="143" customFormat="1" ht="30" hidden="1" x14ac:dyDescent="0.25">
      <c r="A295" s="143" t="s">
        <v>707</v>
      </c>
      <c r="B295" s="143" t="s">
        <v>134</v>
      </c>
      <c r="C295" s="290" t="s">
        <v>135</v>
      </c>
      <c r="D295" s="143" t="s">
        <v>69</v>
      </c>
      <c r="E295" s="257">
        <v>312558343</v>
      </c>
      <c r="F295" s="257">
        <v>312558343</v>
      </c>
      <c r="G295" s="257">
        <v>309558343</v>
      </c>
      <c r="H295" s="257">
        <v>0</v>
      </c>
      <c r="I295" s="257">
        <v>120974383.06</v>
      </c>
      <c r="J295" s="257">
        <v>21437069.379999999</v>
      </c>
      <c r="K295" s="257">
        <v>19335600.280000001</v>
      </c>
      <c r="L295" s="257">
        <v>19007357.57</v>
      </c>
      <c r="M295" s="257"/>
      <c r="N295" s="279">
        <v>150811290.28</v>
      </c>
      <c r="O295" s="257">
        <v>147811290.28</v>
      </c>
    </row>
    <row r="296" spans="1:15" s="143" customFormat="1" ht="30" hidden="1" x14ac:dyDescent="0.25">
      <c r="A296" s="143" t="s">
        <v>707</v>
      </c>
      <c r="B296" s="143" t="s">
        <v>346</v>
      </c>
      <c r="C296" s="290" t="s">
        <v>347</v>
      </c>
      <c r="D296" s="143" t="s">
        <v>69</v>
      </c>
      <c r="E296" s="257">
        <v>34001608</v>
      </c>
      <c r="F296" s="257">
        <v>34001608</v>
      </c>
      <c r="G296" s="257">
        <v>31001608</v>
      </c>
      <c r="H296" s="257">
        <v>0</v>
      </c>
      <c r="I296" s="257">
        <v>25403313.129999999</v>
      </c>
      <c r="J296" s="257">
        <v>5228032</v>
      </c>
      <c r="K296" s="257">
        <v>328242.71000000002</v>
      </c>
      <c r="L296" s="257">
        <v>0</v>
      </c>
      <c r="M296" s="257"/>
      <c r="N296" s="279">
        <v>3042020.16</v>
      </c>
      <c r="O296" s="257">
        <v>42020.160000000003</v>
      </c>
    </row>
    <row r="297" spans="1:15" s="143" customFormat="1" ht="30" hidden="1" x14ac:dyDescent="0.25">
      <c r="A297" s="143" t="s">
        <v>707</v>
      </c>
      <c r="B297" s="143" t="s">
        <v>308</v>
      </c>
      <c r="C297" s="290" t="s">
        <v>309</v>
      </c>
      <c r="D297" s="143" t="s">
        <v>69</v>
      </c>
      <c r="E297" s="257">
        <v>95000000</v>
      </c>
      <c r="F297" s="257">
        <v>95000000</v>
      </c>
      <c r="G297" s="257">
        <v>95000000</v>
      </c>
      <c r="H297" s="257">
        <v>0</v>
      </c>
      <c r="I297" s="257">
        <v>33134601.510000002</v>
      </c>
      <c r="J297" s="257">
        <v>5940000</v>
      </c>
      <c r="K297" s="257">
        <v>3476500</v>
      </c>
      <c r="L297" s="257">
        <v>3476500</v>
      </c>
      <c r="M297" s="257"/>
      <c r="N297" s="279">
        <v>52448898.490000002</v>
      </c>
      <c r="O297" s="257">
        <v>52448898.490000002</v>
      </c>
    </row>
    <row r="298" spans="1:15" s="143" customFormat="1" hidden="1" x14ac:dyDescent="0.25">
      <c r="A298" s="143" t="s">
        <v>707</v>
      </c>
      <c r="B298" s="143" t="s">
        <v>136</v>
      </c>
      <c r="C298" s="290" t="s">
        <v>137</v>
      </c>
      <c r="D298" s="143" t="s">
        <v>69</v>
      </c>
      <c r="E298" s="257">
        <v>131200000</v>
      </c>
      <c r="F298" s="257">
        <v>131200000</v>
      </c>
      <c r="G298" s="257">
        <v>131200000</v>
      </c>
      <c r="H298" s="257">
        <v>0</v>
      </c>
      <c r="I298" s="257">
        <v>53205478.850000001</v>
      </c>
      <c r="J298" s="257">
        <v>10269037.380000001</v>
      </c>
      <c r="K298" s="257">
        <v>12822233.970000001</v>
      </c>
      <c r="L298" s="257">
        <v>12822233.970000001</v>
      </c>
      <c r="M298" s="257"/>
      <c r="N298" s="279">
        <v>54903249.799999997</v>
      </c>
      <c r="O298" s="257">
        <v>54903249.799999997</v>
      </c>
    </row>
    <row r="299" spans="1:15" s="143" customFormat="1" ht="30" hidden="1" x14ac:dyDescent="0.25">
      <c r="A299" s="143" t="s">
        <v>707</v>
      </c>
      <c r="B299" s="143" t="s">
        <v>138</v>
      </c>
      <c r="C299" s="290" t="s">
        <v>139</v>
      </c>
      <c r="D299" s="143" t="s">
        <v>69</v>
      </c>
      <c r="E299" s="257">
        <v>52356735</v>
      </c>
      <c r="F299" s="257">
        <v>52356735</v>
      </c>
      <c r="G299" s="257">
        <v>52356735</v>
      </c>
      <c r="H299" s="257">
        <v>0</v>
      </c>
      <c r="I299" s="257">
        <v>9230989.5700000003</v>
      </c>
      <c r="J299" s="257">
        <v>0</v>
      </c>
      <c r="K299" s="257">
        <v>2708623.6</v>
      </c>
      <c r="L299" s="257">
        <v>2708623.6</v>
      </c>
      <c r="M299" s="257"/>
      <c r="N299" s="279">
        <v>40417121.829999998</v>
      </c>
      <c r="O299" s="257">
        <v>40417121.829999998</v>
      </c>
    </row>
    <row r="300" spans="1:15" s="143" customFormat="1" ht="30" hidden="1" x14ac:dyDescent="0.25">
      <c r="A300" s="143" t="s">
        <v>707</v>
      </c>
      <c r="B300" s="143" t="s">
        <v>140</v>
      </c>
      <c r="C300" s="290" t="s">
        <v>141</v>
      </c>
      <c r="D300" s="143" t="s">
        <v>69</v>
      </c>
      <c r="E300" s="257">
        <v>134000000</v>
      </c>
      <c r="F300" s="257">
        <v>134000000</v>
      </c>
      <c r="G300" s="257">
        <v>67000000</v>
      </c>
      <c r="H300" s="257">
        <v>128800</v>
      </c>
      <c r="I300" s="257">
        <v>11057073</v>
      </c>
      <c r="J300" s="257">
        <v>0</v>
      </c>
      <c r="K300" s="257">
        <v>17467319</v>
      </c>
      <c r="L300" s="257">
        <v>16116219</v>
      </c>
      <c r="M300" s="257"/>
      <c r="N300" s="279">
        <v>105346808</v>
      </c>
      <c r="O300" s="257">
        <v>38346808</v>
      </c>
    </row>
    <row r="301" spans="1:15" s="143" customFormat="1" hidden="1" x14ac:dyDescent="0.25">
      <c r="A301" s="143" t="s">
        <v>707</v>
      </c>
      <c r="B301" s="143" t="s">
        <v>142</v>
      </c>
      <c r="C301" s="290" t="s">
        <v>143</v>
      </c>
      <c r="D301" s="143" t="s">
        <v>69</v>
      </c>
      <c r="E301" s="257">
        <v>4000000</v>
      </c>
      <c r="F301" s="257">
        <v>4000000</v>
      </c>
      <c r="G301" s="257">
        <v>2000000</v>
      </c>
      <c r="H301" s="257">
        <v>0</v>
      </c>
      <c r="I301" s="257">
        <v>500055</v>
      </c>
      <c r="J301" s="257">
        <v>0</v>
      </c>
      <c r="K301" s="257">
        <v>489055</v>
      </c>
      <c r="L301" s="257">
        <v>489055</v>
      </c>
      <c r="M301" s="257"/>
      <c r="N301" s="279">
        <v>3010890</v>
      </c>
      <c r="O301" s="257">
        <v>1010890</v>
      </c>
    </row>
    <row r="302" spans="1:15" s="143" customFormat="1" hidden="1" x14ac:dyDescent="0.25">
      <c r="A302" s="143" t="s">
        <v>707</v>
      </c>
      <c r="B302" s="143" t="s">
        <v>144</v>
      </c>
      <c r="C302" s="290" t="s">
        <v>145</v>
      </c>
      <c r="D302" s="143" t="s">
        <v>69</v>
      </c>
      <c r="E302" s="257">
        <v>130000000</v>
      </c>
      <c r="F302" s="257">
        <v>130000000</v>
      </c>
      <c r="G302" s="257">
        <v>65000000</v>
      </c>
      <c r="H302" s="257">
        <v>128800</v>
      </c>
      <c r="I302" s="257">
        <v>10557018</v>
      </c>
      <c r="J302" s="257">
        <v>0</v>
      </c>
      <c r="K302" s="257">
        <v>16978264</v>
      </c>
      <c r="L302" s="257">
        <v>15627164</v>
      </c>
      <c r="M302" s="257"/>
      <c r="N302" s="279">
        <v>102335918</v>
      </c>
      <c r="O302" s="257">
        <v>37335918</v>
      </c>
    </row>
    <row r="303" spans="1:15" s="143" customFormat="1" ht="30" hidden="1" x14ac:dyDescent="0.25">
      <c r="A303" s="143" t="s">
        <v>707</v>
      </c>
      <c r="B303" s="143" t="s">
        <v>150</v>
      </c>
      <c r="C303" s="290" t="s">
        <v>151</v>
      </c>
      <c r="D303" s="143" t="s">
        <v>69</v>
      </c>
      <c r="E303" s="257">
        <v>1300000000</v>
      </c>
      <c r="F303" s="257">
        <v>1300000000</v>
      </c>
      <c r="G303" s="257">
        <v>686242189</v>
      </c>
      <c r="H303" s="257">
        <v>0</v>
      </c>
      <c r="I303" s="257">
        <v>4322041.7</v>
      </c>
      <c r="J303" s="257">
        <v>0</v>
      </c>
      <c r="K303" s="257">
        <v>0</v>
      </c>
      <c r="L303" s="257">
        <v>0</v>
      </c>
      <c r="M303" s="257"/>
      <c r="N303" s="279">
        <v>1295677958.3</v>
      </c>
      <c r="O303" s="257">
        <v>681920147.29999995</v>
      </c>
    </row>
    <row r="304" spans="1:15" s="143" customFormat="1" hidden="1" x14ac:dyDescent="0.25">
      <c r="A304" s="143" t="s">
        <v>707</v>
      </c>
      <c r="B304" s="143" t="s">
        <v>152</v>
      </c>
      <c r="C304" s="290" t="s">
        <v>153</v>
      </c>
      <c r="D304" s="143" t="s">
        <v>69</v>
      </c>
      <c r="E304" s="257">
        <v>1300000000</v>
      </c>
      <c r="F304" s="257">
        <v>1300000000</v>
      </c>
      <c r="G304" s="257">
        <v>686242189</v>
      </c>
      <c r="H304" s="257">
        <v>0</v>
      </c>
      <c r="I304" s="257">
        <v>4322041.7</v>
      </c>
      <c r="J304" s="257">
        <v>0</v>
      </c>
      <c r="K304" s="257">
        <v>0</v>
      </c>
      <c r="L304" s="257">
        <v>0</v>
      </c>
      <c r="M304" s="257"/>
      <c r="N304" s="279">
        <v>1295677958.3</v>
      </c>
      <c r="O304" s="257">
        <v>681920147.29999995</v>
      </c>
    </row>
    <row r="305" spans="1:15" s="143" customFormat="1" hidden="1" x14ac:dyDescent="0.25">
      <c r="A305" s="143" t="s">
        <v>707</v>
      </c>
      <c r="B305" s="143" t="s">
        <v>154</v>
      </c>
      <c r="C305" s="290" t="s">
        <v>155</v>
      </c>
      <c r="D305" s="143" t="s">
        <v>69</v>
      </c>
      <c r="E305" s="257">
        <v>5000000</v>
      </c>
      <c r="F305" s="257">
        <v>5000000</v>
      </c>
      <c r="G305" s="257">
        <v>5000000</v>
      </c>
      <c r="H305" s="257">
        <v>158100</v>
      </c>
      <c r="I305" s="257">
        <v>1145000</v>
      </c>
      <c r="J305" s="257">
        <v>0</v>
      </c>
      <c r="K305" s="257">
        <v>0</v>
      </c>
      <c r="L305" s="257">
        <v>0</v>
      </c>
      <c r="M305" s="257"/>
      <c r="N305" s="279">
        <v>3696900</v>
      </c>
      <c r="O305" s="257">
        <v>3696900</v>
      </c>
    </row>
    <row r="306" spans="1:15" s="143" customFormat="1" ht="30" hidden="1" x14ac:dyDescent="0.25">
      <c r="A306" s="143" t="s">
        <v>707</v>
      </c>
      <c r="B306" s="143" t="s">
        <v>156</v>
      </c>
      <c r="C306" s="290" t="s">
        <v>157</v>
      </c>
      <c r="D306" s="143" t="s">
        <v>69</v>
      </c>
      <c r="E306" s="257">
        <v>5000000</v>
      </c>
      <c r="F306" s="257">
        <v>5000000</v>
      </c>
      <c r="G306" s="257">
        <v>5000000</v>
      </c>
      <c r="H306" s="257">
        <v>158100</v>
      </c>
      <c r="I306" s="257">
        <v>1145000</v>
      </c>
      <c r="J306" s="257">
        <v>0</v>
      </c>
      <c r="K306" s="257">
        <v>0</v>
      </c>
      <c r="L306" s="257">
        <v>0</v>
      </c>
      <c r="M306" s="257"/>
      <c r="N306" s="279">
        <v>3696900</v>
      </c>
      <c r="O306" s="257">
        <v>3696900</v>
      </c>
    </row>
    <row r="307" spans="1:15" s="143" customFormat="1" ht="30" hidden="1" x14ac:dyDescent="0.25">
      <c r="A307" s="143" t="s">
        <v>707</v>
      </c>
      <c r="B307" s="143" t="s">
        <v>162</v>
      </c>
      <c r="C307" s="290" t="s">
        <v>163</v>
      </c>
      <c r="D307" s="143" t="s">
        <v>69</v>
      </c>
      <c r="E307" s="257">
        <v>932264008</v>
      </c>
      <c r="F307" s="257">
        <v>932264008</v>
      </c>
      <c r="G307" s="257">
        <v>870602675</v>
      </c>
      <c r="H307" s="257">
        <v>0</v>
      </c>
      <c r="I307" s="257">
        <v>228891182.84999999</v>
      </c>
      <c r="J307" s="257">
        <v>9983205.1500000004</v>
      </c>
      <c r="K307" s="257">
        <v>70329047.299999997</v>
      </c>
      <c r="L307" s="257">
        <v>43224683.07</v>
      </c>
      <c r="M307" s="257"/>
      <c r="N307" s="279">
        <v>623060572.70000005</v>
      </c>
      <c r="O307" s="257">
        <v>561399239.70000005</v>
      </c>
    </row>
    <row r="308" spans="1:15" s="143" customFormat="1" ht="45" hidden="1" x14ac:dyDescent="0.25">
      <c r="A308" s="143" t="s">
        <v>707</v>
      </c>
      <c r="B308" s="143" t="s">
        <v>310</v>
      </c>
      <c r="C308" s="290" t="s">
        <v>311</v>
      </c>
      <c r="D308" s="143" t="s">
        <v>69</v>
      </c>
      <c r="E308" s="257">
        <v>120656000</v>
      </c>
      <c r="F308" s="257">
        <v>120656000</v>
      </c>
      <c r="G308" s="257">
        <v>58994667</v>
      </c>
      <c r="H308" s="257">
        <v>0</v>
      </c>
      <c r="I308" s="257">
        <v>5177143.3099999996</v>
      </c>
      <c r="J308" s="257">
        <v>420508.59</v>
      </c>
      <c r="K308" s="257">
        <v>0</v>
      </c>
      <c r="L308" s="257">
        <v>0</v>
      </c>
      <c r="M308" s="257"/>
      <c r="N308" s="279">
        <v>115058348.09999999</v>
      </c>
      <c r="O308" s="257">
        <v>53397015.100000001</v>
      </c>
    </row>
    <row r="309" spans="1:15" s="143" customFormat="1" ht="45" hidden="1" x14ac:dyDescent="0.25">
      <c r="A309" s="143" t="s">
        <v>707</v>
      </c>
      <c r="B309" s="143" t="s">
        <v>164</v>
      </c>
      <c r="C309" s="290" t="s">
        <v>165</v>
      </c>
      <c r="D309" s="143" t="s">
        <v>69</v>
      </c>
      <c r="E309" s="257">
        <v>504520000</v>
      </c>
      <c r="F309" s="257">
        <v>504520000</v>
      </c>
      <c r="G309" s="257">
        <v>504520000</v>
      </c>
      <c r="H309" s="257">
        <v>0</v>
      </c>
      <c r="I309" s="257">
        <v>121867752.53</v>
      </c>
      <c r="J309" s="257">
        <v>2637793.7799999998</v>
      </c>
      <c r="K309" s="257">
        <v>64157459.57</v>
      </c>
      <c r="L309" s="257">
        <v>42240826.75</v>
      </c>
      <c r="M309" s="257"/>
      <c r="N309" s="279">
        <v>315856994.12</v>
      </c>
      <c r="O309" s="257">
        <v>315856994.12</v>
      </c>
    </row>
    <row r="310" spans="1:15" s="143" customFormat="1" ht="45" hidden="1" x14ac:dyDescent="0.25">
      <c r="A310" s="143" t="s">
        <v>707</v>
      </c>
      <c r="B310" s="143" t="s">
        <v>164</v>
      </c>
      <c r="C310" s="290" t="s">
        <v>165</v>
      </c>
      <c r="D310" s="143" t="s">
        <v>85</v>
      </c>
      <c r="E310" s="257">
        <v>0</v>
      </c>
      <c r="F310" s="257">
        <v>0</v>
      </c>
      <c r="G310" s="257">
        <v>0</v>
      </c>
      <c r="H310" s="257">
        <v>0</v>
      </c>
      <c r="I310" s="257">
        <v>0</v>
      </c>
      <c r="J310" s="257">
        <v>0</v>
      </c>
      <c r="K310" s="257">
        <v>0</v>
      </c>
      <c r="L310" s="257">
        <v>0</v>
      </c>
      <c r="M310" s="257"/>
      <c r="N310" s="279">
        <v>0</v>
      </c>
      <c r="O310" s="257">
        <v>0</v>
      </c>
    </row>
    <row r="311" spans="1:15" s="143" customFormat="1" ht="30" hidden="1" x14ac:dyDescent="0.25">
      <c r="A311" s="143" t="s">
        <v>707</v>
      </c>
      <c r="B311" s="143" t="s">
        <v>166</v>
      </c>
      <c r="C311" s="290" t="s">
        <v>167</v>
      </c>
      <c r="D311" s="143" t="s">
        <v>69</v>
      </c>
      <c r="E311" s="257">
        <v>95028648</v>
      </c>
      <c r="F311" s="257">
        <v>95028648</v>
      </c>
      <c r="G311" s="257">
        <v>95028648</v>
      </c>
      <c r="H311" s="257">
        <v>0</v>
      </c>
      <c r="I311" s="257">
        <v>67059609.619999997</v>
      </c>
      <c r="J311" s="257">
        <v>99000</v>
      </c>
      <c r="K311" s="257">
        <v>327918.32</v>
      </c>
      <c r="L311" s="257">
        <v>327918.32</v>
      </c>
      <c r="M311" s="257"/>
      <c r="N311" s="279">
        <v>27542120.059999999</v>
      </c>
      <c r="O311" s="257">
        <v>27542120.059999999</v>
      </c>
    </row>
    <row r="312" spans="1:15" s="143" customFormat="1" ht="30" hidden="1" x14ac:dyDescent="0.25">
      <c r="A312" s="143" t="s">
        <v>707</v>
      </c>
      <c r="B312" s="143" t="s">
        <v>312</v>
      </c>
      <c r="C312" s="290" t="s">
        <v>313</v>
      </c>
      <c r="D312" s="143" t="s">
        <v>69</v>
      </c>
      <c r="E312" s="257">
        <v>3000000</v>
      </c>
      <c r="F312" s="257">
        <v>3000000</v>
      </c>
      <c r="G312" s="257">
        <v>3000000</v>
      </c>
      <c r="H312" s="257">
        <v>0</v>
      </c>
      <c r="I312" s="257">
        <v>0</v>
      </c>
      <c r="J312" s="257">
        <v>0</v>
      </c>
      <c r="K312" s="257">
        <v>0</v>
      </c>
      <c r="L312" s="257">
        <v>0</v>
      </c>
      <c r="M312" s="257"/>
      <c r="N312" s="279">
        <v>3000000</v>
      </c>
      <c r="O312" s="257">
        <v>3000000</v>
      </c>
    </row>
    <row r="313" spans="1:15" s="143" customFormat="1" ht="30" hidden="1" x14ac:dyDescent="0.25">
      <c r="A313" s="143" t="s">
        <v>707</v>
      </c>
      <c r="B313" s="143" t="s">
        <v>168</v>
      </c>
      <c r="C313" s="290" t="s">
        <v>169</v>
      </c>
      <c r="D313" s="143" t="s">
        <v>69</v>
      </c>
      <c r="E313" s="257">
        <v>16864852</v>
      </c>
      <c r="F313" s="257">
        <v>16864852</v>
      </c>
      <c r="G313" s="257">
        <v>16864852</v>
      </c>
      <c r="H313" s="257">
        <v>0</v>
      </c>
      <c r="I313" s="257">
        <v>3231175</v>
      </c>
      <c r="J313" s="257">
        <v>767175</v>
      </c>
      <c r="K313" s="257">
        <v>0</v>
      </c>
      <c r="L313" s="257">
        <v>0</v>
      </c>
      <c r="M313" s="257"/>
      <c r="N313" s="279">
        <v>12866502</v>
      </c>
      <c r="O313" s="257">
        <v>12866502</v>
      </c>
    </row>
    <row r="314" spans="1:15" s="143" customFormat="1" ht="30" hidden="1" x14ac:dyDescent="0.25">
      <c r="A314" s="143" t="s">
        <v>707</v>
      </c>
      <c r="B314" s="143" t="s">
        <v>170</v>
      </c>
      <c r="C314" s="290" t="s">
        <v>171</v>
      </c>
      <c r="D314" s="143" t="s">
        <v>69</v>
      </c>
      <c r="E314" s="257">
        <v>40562000</v>
      </c>
      <c r="F314" s="257">
        <v>40562000</v>
      </c>
      <c r="G314" s="257">
        <v>40562000</v>
      </c>
      <c r="H314" s="257">
        <v>0</v>
      </c>
      <c r="I314" s="257">
        <v>1215134.47</v>
      </c>
      <c r="J314" s="257">
        <v>0</v>
      </c>
      <c r="K314" s="257">
        <v>0</v>
      </c>
      <c r="L314" s="257">
        <v>0</v>
      </c>
      <c r="M314" s="257"/>
      <c r="N314" s="279">
        <v>39346865.530000001</v>
      </c>
      <c r="O314" s="257">
        <v>39346865.530000001</v>
      </c>
    </row>
    <row r="315" spans="1:15" s="143" customFormat="1" ht="45" hidden="1" x14ac:dyDescent="0.25">
      <c r="A315" s="143" t="s">
        <v>707</v>
      </c>
      <c r="B315" s="143" t="s">
        <v>172</v>
      </c>
      <c r="C315" s="290" t="s">
        <v>173</v>
      </c>
      <c r="D315" s="143" t="s">
        <v>69</v>
      </c>
      <c r="E315" s="257">
        <v>151632508</v>
      </c>
      <c r="F315" s="257">
        <v>151632508</v>
      </c>
      <c r="G315" s="257">
        <v>151632508</v>
      </c>
      <c r="H315" s="257">
        <v>0</v>
      </c>
      <c r="I315" s="257">
        <v>30340367.920000002</v>
      </c>
      <c r="J315" s="257">
        <v>6058727.7800000003</v>
      </c>
      <c r="K315" s="257">
        <v>5843669.4100000001</v>
      </c>
      <c r="L315" s="257">
        <v>655938</v>
      </c>
      <c r="M315" s="257"/>
      <c r="N315" s="279">
        <v>109389742.89</v>
      </c>
      <c r="O315" s="257">
        <v>109389742.89</v>
      </c>
    </row>
    <row r="316" spans="1:15" s="143" customFormat="1" hidden="1" x14ac:dyDescent="0.25">
      <c r="A316" s="143" t="s">
        <v>707</v>
      </c>
      <c r="B316" s="143" t="s">
        <v>174</v>
      </c>
      <c r="C316" s="290" t="s">
        <v>175</v>
      </c>
      <c r="D316" s="143" t="s">
        <v>69</v>
      </c>
      <c r="E316" s="257">
        <v>18000000</v>
      </c>
      <c r="F316" s="257">
        <v>18000000</v>
      </c>
      <c r="G316" s="257">
        <v>9000000</v>
      </c>
      <c r="H316" s="257">
        <v>0</v>
      </c>
      <c r="I316" s="257">
        <v>1413520</v>
      </c>
      <c r="J316" s="257">
        <v>0</v>
      </c>
      <c r="K316" s="257">
        <v>136480</v>
      </c>
      <c r="L316" s="257">
        <v>136480</v>
      </c>
      <c r="M316" s="257"/>
      <c r="N316" s="279">
        <v>16450000</v>
      </c>
      <c r="O316" s="257">
        <v>7450000</v>
      </c>
    </row>
    <row r="317" spans="1:15" s="143" customFormat="1" hidden="1" x14ac:dyDescent="0.25">
      <c r="A317" s="143" t="s">
        <v>707</v>
      </c>
      <c r="B317" s="143" t="s">
        <v>176</v>
      </c>
      <c r="C317" s="290" t="s">
        <v>177</v>
      </c>
      <c r="D317" s="143" t="s">
        <v>69</v>
      </c>
      <c r="E317" s="257">
        <v>18000000</v>
      </c>
      <c r="F317" s="257">
        <v>18000000</v>
      </c>
      <c r="G317" s="257">
        <v>9000000</v>
      </c>
      <c r="H317" s="257">
        <v>0</v>
      </c>
      <c r="I317" s="257">
        <v>1413520</v>
      </c>
      <c r="J317" s="257">
        <v>0</v>
      </c>
      <c r="K317" s="257">
        <v>136480</v>
      </c>
      <c r="L317" s="257">
        <v>136480</v>
      </c>
      <c r="M317" s="257"/>
      <c r="N317" s="279">
        <v>16450000</v>
      </c>
      <c r="O317" s="257">
        <v>7450000</v>
      </c>
    </row>
    <row r="318" spans="1:15" s="143" customFormat="1" hidden="1" x14ac:dyDescent="0.25">
      <c r="A318" s="143" t="s">
        <v>707</v>
      </c>
      <c r="B318" s="143" t="s">
        <v>178</v>
      </c>
      <c r="C318" s="290" t="s">
        <v>179</v>
      </c>
      <c r="D318" s="143" t="s">
        <v>69</v>
      </c>
      <c r="E318" s="257">
        <v>36890625</v>
      </c>
      <c r="F318" s="257">
        <v>36890625</v>
      </c>
      <c r="G318" s="257">
        <v>18648469</v>
      </c>
      <c r="H318" s="257">
        <v>0</v>
      </c>
      <c r="I318" s="257">
        <v>4612106.0999999996</v>
      </c>
      <c r="J318" s="257">
        <v>0</v>
      </c>
      <c r="K318" s="257">
        <v>919990.69</v>
      </c>
      <c r="L318" s="257">
        <v>919990.69</v>
      </c>
      <c r="M318" s="257"/>
      <c r="N318" s="279">
        <v>31358528.210000001</v>
      </c>
      <c r="O318" s="257">
        <v>13116372.210000001</v>
      </c>
    </row>
    <row r="319" spans="1:15" s="143" customFormat="1" hidden="1" x14ac:dyDescent="0.25">
      <c r="A319" s="143" t="s">
        <v>707</v>
      </c>
      <c r="B319" s="143" t="s">
        <v>348</v>
      </c>
      <c r="C319" s="290" t="s">
        <v>349</v>
      </c>
      <c r="D319" s="143" t="s">
        <v>69</v>
      </c>
      <c r="E319" s="257">
        <v>3000000</v>
      </c>
      <c r="F319" s="257">
        <v>3000000</v>
      </c>
      <c r="G319" s="257">
        <v>1703157</v>
      </c>
      <c r="H319" s="257">
        <v>0</v>
      </c>
      <c r="I319" s="257">
        <v>0</v>
      </c>
      <c r="J319" s="257">
        <v>0</v>
      </c>
      <c r="K319" s="257">
        <v>919990.69</v>
      </c>
      <c r="L319" s="257">
        <v>919990.69</v>
      </c>
      <c r="M319" s="257"/>
      <c r="N319" s="279">
        <v>2080009.31</v>
      </c>
      <c r="O319" s="257">
        <v>783166.31</v>
      </c>
    </row>
    <row r="320" spans="1:15" s="143" customFormat="1" ht="30" hidden="1" x14ac:dyDescent="0.25">
      <c r="A320" s="143" t="s">
        <v>707</v>
      </c>
      <c r="B320" s="143" t="s">
        <v>180</v>
      </c>
      <c r="C320" s="290" t="s">
        <v>181</v>
      </c>
      <c r="D320" s="143" t="s">
        <v>69</v>
      </c>
      <c r="E320" s="257">
        <v>19500000</v>
      </c>
      <c r="F320" s="257">
        <v>19500000</v>
      </c>
      <c r="G320" s="257">
        <v>9750000</v>
      </c>
      <c r="H320" s="257">
        <v>0</v>
      </c>
      <c r="I320" s="257">
        <v>1426615.85</v>
      </c>
      <c r="J320" s="257">
        <v>0</v>
      </c>
      <c r="K320" s="257">
        <v>0</v>
      </c>
      <c r="L320" s="257">
        <v>0</v>
      </c>
      <c r="M320" s="257"/>
      <c r="N320" s="279">
        <v>18073384.149999999</v>
      </c>
      <c r="O320" s="257">
        <v>8323384.1500000004</v>
      </c>
    </row>
    <row r="321" spans="1:16" s="143" customFormat="1" hidden="1" x14ac:dyDescent="0.25">
      <c r="A321" s="143" t="s">
        <v>707</v>
      </c>
      <c r="B321" s="143" t="s">
        <v>182</v>
      </c>
      <c r="C321" s="290" t="s">
        <v>183</v>
      </c>
      <c r="D321" s="143" t="s">
        <v>69</v>
      </c>
      <c r="E321" s="257">
        <v>14390625</v>
      </c>
      <c r="F321" s="257">
        <v>14390625</v>
      </c>
      <c r="G321" s="257">
        <v>7195312</v>
      </c>
      <c r="H321" s="257">
        <v>0</v>
      </c>
      <c r="I321" s="257">
        <v>3185490.25</v>
      </c>
      <c r="J321" s="257">
        <v>0</v>
      </c>
      <c r="K321" s="257">
        <v>0</v>
      </c>
      <c r="L321" s="257">
        <v>0</v>
      </c>
      <c r="M321" s="257"/>
      <c r="N321" s="279">
        <v>11205134.75</v>
      </c>
      <c r="O321" s="257">
        <v>4009821.75</v>
      </c>
    </row>
    <row r="322" spans="1:16" s="143" customFormat="1" x14ac:dyDescent="0.25">
      <c r="A322" s="296" t="s">
        <v>707</v>
      </c>
      <c r="B322" s="297" t="s">
        <v>184</v>
      </c>
      <c r="C322" s="298" t="s">
        <v>185</v>
      </c>
      <c r="D322" s="299" t="s">
        <v>69</v>
      </c>
      <c r="E322" s="257">
        <v>5938711949</v>
      </c>
      <c r="F322" s="300">
        <v>5938711949</v>
      </c>
      <c r="G322" s="257">
        <v>5500788930</v>
      </c>
      <c r="H322" s="257">
        <v>74928816.140000001</v>
      </c>
      <c r="I322" s="257">
        <v>955906006.13</v>
      </c>
      <c r="J322" s="257">
        <v>210841841.75999999</v>
      </c>
      <c r="K322" s="300">
        <v>921749902.29999995</v>
      </c>
      <c r="L322" s="257">
        <v>858778476.02999997</v>
      </c>
      <c r="M322" s="301">
        <f>+K322/F322</f>
        <v>0.15521040761291854</v>
      </c>
      <c r="N322" s="302">
        <v>3775285382.6700001</v>
      </c>
      <c r="O322" s="257">
        <v>3337362363.6700001</v>
      </c>
      <c r="P322" s="303">
        <f>+N322/F322</f>
        <v>0.63570777890746288</v>
      </c>
    </row>
    <row r="323" spans="1:16" s="143" customFormat="1" ht="30" hidden="1" x14ac:dyDescent="0.25">
      <c r="A323" s="143" t="s">
        <v>707</v>
      </c>
      <c r="B323" s="143" t="s">
        <v>186</v>
      </c>
      <c r="C323" s="290" t="s">
        <v>187</v>
      </c>
      <c r="D323" s="143" t="s">
        <v>69</v>
      </c>
      <c r="E323" s="257">
        <v>1018969461</v>
      </c>
      <c r="F323" s="257">
        <v>1018969461</v>
      </c>
      <c r="G323" s="257">
        <v>648580394</v>
      </c>
      <c r="H323" s="257">
        <v>355540.94</v>
      </c>
      <c r="I323" s="257">
        <v>197778741.53</v>
      </c>
      <c r="J323" s="257">
        <v>45047391.259999998</v>
      </c>
      <c r="K323" s="257">
        <v>132635833.02</v>
      </c>
      <c r="L323" s="257">
        <v>129242087.48</v>
      </c>
      <c r="M323" s="257"/>
      <c r="N323" s="279">
        <v>643151954.25</v>
      </c>
      <c r="O323" s="257">
        <v>272762887.25</v>
      </c>
    </row>
    <row r="324" spans="1:16" s="143" customFormat="1" hidden="1" x14ac:dyDescent="0.25">
      <c r="A324" s="143" t="s">
        <v>707</v>
      </c>
      <c r="B324" s="143" t="s">
        <v>188</v>
      </c>
      <c r="C324" s="290" t="s">
        <v>189</v>
      </c>
      <c r="D324" s="143" t="s">
        <v>69</v>
      </c>
      <c r="E324" s="257">
        <v>735778133</v>
      </c>
      <c r="F324" s="257">
        <v>735778133</v>
      </c>
      <c r="G324" s="257">
        <v>367889066</v>
      </c>
      <c r="H324" s="257">
        <v>0</v>
      </c>
      <c r="I324" s="257">
        <v>21188251.609999999</v>
      </c>
      <c r="J324" s="257">
        <v>10500791.26</v>
      </c>
      <c r="K324" s="257">
        <v>131098273.02</v>
      </c>
      <c r="L324" s="257">
        <v>127704527.48</v>
      </c>
      <c r="M324" s="257"/>
      <c r="N324" s="279">
        <v>572990817.11000001</v>
      </c>
      <c r="O324" s="257">
        <v>205101750.11000001</v>
      </c>
    </row>
    <row r="325" spans="1:16" s="143" customFormat="1" ht="30" hidden="1" x14ac:dyDescent="0.25">
      <c r="A325" s="143" t="s">
        <v>707</v>
      </c>
      <c r="B325" s="143" t="s">
        <v>190</v>
      </c>
      <c r="C325" s="290" t="s">
        <v>191</v>
      </c>
      <c r="D325" s="143" t="s">
        <v>69</v>
      </c>
      <c r="E325" s="257">
        <v>224830540</v>
      </c>
      <c r="F325" s="257">
        <v>224830540</v>
      </c>
      <c r="G325" s="257">
        <v>222330540</v>
      </c>
      <c r="H325" s="257">
        <v>0</v>
      </c>
      <c r="I325" s="257">
        <v>174453400</v>
      </c>
      <c r="J325" s="257">
        <v>34546600</v>
      </c>
      <c r="K325" s="257">
        <v>311400</v>
      </c>
      <c r="L325" s="257">
        <v>311400</v>
      </c>
      <c r="M325" s="257"/>
      <c r="N325" s="279">
        <v>15519140</v>
      </c>
      <c r="O325" s="257">
        <v>13019140</v>
      </c>
    </row>
    <row r="326" spans="1:16" s="143" customFormat="1" hidden="1" x14ac:dyDescent="0.25">
      <c r="A326" s="143" t="s">
        <v>707</v>
      </c>
      <c r="B326" s="143" t="s">
        <v>350</v>
      </c>
      <c r="C326" s="290" t="s">
        <v>351</v>
      </c>
      <c r="D326" s="143" t="s">
        <v>69</v>
      </c>
      <c r="E326" s="257">
        <v>12909188</v>
      </c>
      <c r="F326" s="257">
        <v>12909188</v>
      </c>
      <c r="G326" s="257">
        <v>12909188</v>
      </c>
      <c r="H326" s="257">
        <v>0</v>
      </c>
      <c r="I326" s="257">
        <v>2137089.92</v>
      </c>
      <c r="J326" s="257">
        <v>0</v>
      </c>
      <c r="K326" s="257">
        <v>0</v>
      </c>
      <c r="L326" s="257">
        <v>0</v>
      </c>
      <c r="M326" s="257"/>
      <c r="N326" s="279">
        <v>10772098.08</v>
      </c>
      <c r="O326" s="257">
        <v>10772098.08</v>
      </c>
    </row>
    <row r="327" spans="1:16" s="143" customFormat="1" ht="30" hidden="1" x14ac:dyDescent="0.25">
      <c r="A327" s="143" t="s">
        <v>707</v>
      </c>
      <c r="B327" s="143" t="s">
        <v>192</v>
      </c>
      <c r="C327" s="290" t="s">
        <v>193</v>
      </c>
      <c r="D327" s="143" t="s">
        <v>69</v>
      </c>
      <c r="E327" s="257">
        <v>40465200</v>
      </c>
      <c r="F327" s="257">
        <v>40465200</v>
      </c>
      <c r="G327" s="257">
        <v>40465200</v>
      </c>
      <c r="H327" s="257">
        <v>355540.94</v>
      </c>
      <c r="I327" s="257">
        <v>0</v>
      </c>
      <c r="J327" s="257">
        <v>0</v>
      </c>
      <c r="K327" s="257">
        <v>0</v>
      </c>
      <c r="L327" s="257">
        <v>0</v>
      </c>
      <c r="M327" s="257"/>
      <c r="N327" s="279">
        <v>40109659.060000002</v>
      </c>
      <c r="O327" s="257">
        <v>40109659.060000002</v>
      </c>
    </row>
    <row r="328" spans="1:16" s="143" customFormat="1" ht="30" hidden="1" x14ac:dyDescent="0.25">
      <c r="A328" s="143" t="s">
        <v>707</v>
      </c>
      <c r="B328" s="143" t="s">
        <v>194</v>
      </c>
      <c r="C328" s="290" t="s">
        <v>195</v>
      </c>
      <c r="D328" s="143" t="s">
        <v>69</v>
      </c>
      <c r="E328" s="257">
        <v>4986400</v>
      </c>
      <c r="F328" s="257">
        <v>4986400</v>
      </c>
      <c r="G328" s="257">
        <v>4986400</v>
      </c>
      <c r="H328" s="257">
        <v>0</v>
      </c>
      <c r="I328" s="257">
        <v>0</v>
      </c>
      <c r="J328" s="257">
        <v>0</v>
      </c>
      <c r="K328" s="257">
        <v>1226160</v>
      </c>
      <c r="L328" s="257">
        <v>1226160</v>
      </c>
      <c r="M328" s="257"/>
      <c r="N328" s="279">
        <v>3760240</v>
      </c>
      <c r="O328" s="257">
        <v>3760240</v>
      </c>
    </row>
    <row r="329" spans="1:16" s="143" customFormat="1" ht="30" hidden="1" x14ac:dyDescent="0.25">
      <c r="A329" s="143" t="s">
        <v>707</v>
      </c>
      <c r="B329" s="143" t="s">
        <v>196</v>
      </c>
      <c r="C329" s="290" t="s">
        <v>197</v>
      </c>
      <c r="D329" s="143" t="s">
        <v>69</v>
      </c>
      <c r="E329" s="257">
        <v>1012911000</v>
      </c>
      <c r="F329" s="257">
        <v>1012911000</v>
      </c>
      <c r="G329" s="257">
        <v>999955500</v>
      </c>
      <c r="H329" s="257">
        <v>6197965.7999999998</v>
      </c>
      <c r="I329" s="257">
        <v>343125170.08999997</v>
      </c>
      <c r="J329" s="257">
        <v>0</v>
      </c>
      <c r="K329" s="257">
        <v>638924005.86000001</v>
      </c>
      <c r="L329" s="257">
        <v>625726270.86000001</v>
      </c>
      <c r="M329" s="257"/>
      <c r="N329" s="279">
        <v>24663858.25</v>
      </c>
      <c r="O329" s="257">
        <v>11708358.25</v>
      </c>
    </row>
    <row r="330" spans="1:16" s="143" customFormat="1" hidden="1" x14ac:dyDescent="0.25">
      <c r="A330" s="143" t="s">
        <v>707</v>
      </c>
      <c r="B330" s="143" t="s">
        <v>198</v>
      </c>
      <c r="C330" s="290" t="s">
        <v>199</v>
      </c>
      <c r="D330" s="143" t="s">
        <v>69</v>
      </c>
      <c r="E330" s="257">
        <v>987000000</v>
      </c>
      <c r="F330" s="257">
        <v>987000000</v>
      </c>
      <c r="G330" s="257">
        <v>987000000</v>
      </c>
      <c r="H330" s="257">
        <v>6197965.7999999998</v>
      </c>
      <c r="I330" s="257">
        <v>337449020.08999997</v>
      </c>
      <c r="J330" s="257">
        <v>0</v>
      </c>
      <c r="K330" s="257">
        <v>638924005.86000001</v>
      </c>
      <c r="L330" s="257">
        <v>625726270.86000001</v>
      </c>
      <c r="M330" s="257"/>
      <c r="N330" s="279">
        <v>4429008.25</v>
      </c>
      <c r="O330" s="257">
        <v>4429008.25</v>
      </c>
    </row>
    <row r="331" spans="1:16" s="143" customFormat="1" hidden="1" x14ac:dyDescent="0.25">
      <c r="A331" s="143" t="s">
        <v>707</v>
      </c>
      <c r="B331" s="143" t="s">
        <v>352</v>
      </c>
      <c r="C331" s="290" t="s">
        <v>353</v>
      </c>
      <c r="D331" s="143" t="s">
        <v>69</v>
      </c>
      <c r="E331" s="257">
        <v>25911000</v>
      </c>
      <c r="F331" s="257">
        <v>25911000</v>
      </c>
      <c r="G331" s="257">
        <v>12955500</v>
      </c>
      <c r="H331" s="257">
        <v>0</v>
      </c>
      <c r="I331" s="257">
        <v>5676150</v>
      </c>
      <c r="J331" s="257">
        <v>0</v>
      </c>
      <c r="K331" s="257">
        <v>0</v>
      </c>
      <c r="L331" s="257">
        <v>0</v>
      </c>
      <c r="M331" s="257"/>
      <c r="N331" s="279">
        <v>20234850</v>
      </c>
      <c r="O331" s="257">
        <v>7279350</v>
      </c>
    </row>
    <row r="332" spans="1:16" s="143" customFormat="1" ht="30" hidden="1" x14ac:dyDescent="0.25">
      <c r="A332" s="143" t="s">
        <v>707</v>
      </c>
      <c r="B332" s="143" t="s">
        <v>200</v>
      </c>
      <c r="C332" s="290" t="s">
        <v>201</v>
      </c>
      <c r="D332" s="143" t="s">
        <v>69</v>
      </c>
      <c r="E332" s="257">
        <v>492133633</v>
      </c>
      <c r="F332" s="257">
        <v>491910153</v>
      </c>
      <c r="G332" s="257">
        <v>480668172</v>
      </c>
      <c r="H332" s="257">
        <v>24503073.399999999</v>
      </c>
      <c r="I332" s="257">
        <v>40649320.270000003</v>
      </c>
      <c r="J332" s="257">
        <v>2418079.7999999998</v>
      </c>
      <c r="K332" s="257">
        <v>69981170.079999998</v>
      </c>
      <c r="L332" s="257">
        <v>65565130.079999998</v>
      </c>
      <c r="M332" s="257"/>
      <c r="N332" s="279">
        <v>354358509.44999999</v>
      </c>
      <c r="O332" s="257">
        <v>343116528.44999999</v>
      </c>
    </row>
    <row r="333" spans="1:16" s="143" customFormat="1" ht="30" hidden="1" x14ac:dyDescent="0.25">
      <c r="A333" s="143" t="s">
        <v>707</v>
      </c>
      <c r="B333" s="143" t="s">
        <v>314</v>
      </c>
      <c r="C333" s="290" t="s">
        <v>315</v>
      </c>
      <c r="D333" s="143" t="s">
        <v>69</v>
      </c>
      <c r="E333" s="257">
        <v>116502163</v>
      </c>
      <c r="F333" s="257">
        <v>116502163</v>
      </c>
      <c r="G333" s="257">
        <v>116502163</v>
      </c>
      <c r="H333" s="257">
        <v>0</v>
      </c>
      <c r="I333" s="257">
        <v>112836.15</v>
      </c>
      <c r="J333" s="257">
        <v>0</v>
      </c>
      <c r="K333" s="257">
        <v>3034362.5</v>
      </c>
      <c r="L333" s="257">
        <v>3034362.5</v>
      </c>
      <c r="M333" s="257"/>
      <c r="N333" s="279">
        <v>113354964.34999999</v>
      </c>
      <c r="O333" s="257">
        <v>113354964.34999999</v>
      </c>
    </row>
    <row r="334" spans="1:16" s="143" customFormat="1" ht="30" hidden="1" x14ac:dyDescent="0.25">
      <c r="A334" s="143" t="s">
        <v>707</v>
      </c>
      <c r="B334" s="143" t="s">
        <v>316</v>
      </c>
      <c r="C334" s="290" t="s">
        <v>317</v>
      </c>
      <c r="D334" s="143" t="s">
        <v>69</v>
      </c>
      <c r="E334" s="257">
        <v>100168000</v>
      </c>
      <c r="F334" s="257">
        <v>100168000</v>
      </c>
      <c r="G334" s="257">
        <v>100168000</v>
      </c>
      <c r="H334" s="257">
        <v>9943073.4000000004</v>
      </c>
      <c r="I334" s="257">
        <v>35773084</v>
      </c>
      <c r="J334" s="257">
        <v>0</v>
      </c>
      <c r="K334" s="257">
        <v>20102530</v>
      </c>
      <c r="L334" s="257">
        <v>16068430</v>
      </c>
      <c r="M334" s="257"/>
      <c r="N334" s="279">
        <v>34349312.600000001</v>
      </c>
      <c r="O334" s="257">
        <v>34349312.600000001</v>
      </c>
    </row>
    <row r="335" spans="1:16" s="143" customFormat="1" hidden="1" x14ac:dyDescent="0.25">
      <c r="A335" s="143" t="s">
        <v>707</v>
      </c>
      <c r="B335" s="143" t="s">
        <v>318</v>
      </c>
      <c r="C335" s="290" t="s">
        <v>319</v>
      </c>
      <c r="D335" s="143" t="s">
        <v>69</v>
      </c>
      <c r="E335" s="257">
        <v>88546837</v>
      </c>
      <c r="F335" s="257">
        <v>88546837</v>
      </c>
      <c r="G335" s="257">
        <v>88546837</v>
      </c>
      <c r="H335" s="257">
        <v>0</v>
      </c>
      <c r="I335" s="257">
        <v>2536800</v>
      </c>
      <c r="J335" s="257">
        <v>0</v>
      </c>
      <c r="K335" s="257">
        <v>36440070</v>
      </c>
      <c r="L335" s="257">
        <v>36440070</v>
      </c>
      <c r="M335" s="257"/>
      <c r="N335" s="279">
        <v>49569967</v>
      </c>
      <c r="O335" s="257">
        <v>49569967</v>
      </c>
    </row>
    <row r="336" spans="1:16" s="143" customFormat="1" ht="30" hidden="1" x14ac:dyDescent="0.25">
      <c r="A336" s="143" t="s">
        <v>707</v>
      </c>
      <c r="B336" s="143" t="s">
        <v>202</v>
      </c>
      <c r="C336" s="290" t="s">
        <v>203</v>
      </c>
      <c r="D336" s="143" t="s">
        <v>69</v>
      </c>
      <c r="E336" s="257">
        <v>110456300</v>
      </c>
      <c r="F336" s="257">
        <v>110456300</v>
      </c>
      <c r="G336" s="257">
        <v>110456299</v>
      </c>
      <c r="H336" s="257">
        <v>14560000</v>
      </c>
      <c r="I336" s="257">
        <v>1540836.43</v>
      </c>
      <c r="J336" s="257">
        <v>0</v>
      </c>
      <c r="K336" s="257">
        <v>1196024.3</v>
      </c>
      <c r="L336" s="257">
        <v>1196024.3</v>
      </c>
      <c r="M336" s="257"/>
      <c r="N336" s="279">
        <v>93159439.269999996</v>
      </c>
      <c r="O336" s="257">
        <v>93159438.269999996</v>
      </c>
    </row>
    <row r="337" spans="1:16" s="143" customFormat="1" ht="30" hidden="1" x14ac:dyDescent="0.25">
      <c r="A337" s="143" t="s">
        <v>707</v>
      </c>
      <c r="B337" s="143" t="s">
        <v>320</v>
      </c>
      <c r="C337" s="290" t="s">
        <v>321</v>
      </c>
      <c r="D337" s="143" t="s">
        <v>69</v>
      </c>
      <c r="E337" s="257">
        <v>2261183</v>
      </c>
      <c r="F337" s="257">
        <v>2261183</v>
      </c>
      <c r="G337" s="257">
        <v>2261183</v>
      </c>
      <c r="H337" s="257">
        <v>0</v>
      </c>
      <c r="I337" s="257">
        <v>0</v>
      </c>
      <c r="J337" s="257">
        <v>0</v>
      </c>
      <c r="K337" s="257">
        <v>0</v>
      </c>
      <c r="L337" s="257">
        <v>0</v>
      </c>
      <c r="M337" s="257"/>
      <c r="N337" s="279">
        <v>2261183</v>
      </c>
      <c r="O337" s="257">
        <v>2261183</v>
      </c>
    </row>
    <row r="338" spans="1:16" s="143" customFormat="1" ht="30" hidden="1" x14ac:dyDescent="0.25">
      <c r="A338" s="143" t="s">
        <v>707</v>
      </c>
      <c r="B338" s="143" t="s">
        <v>204</v>
      </c>
      <c r="C338" s="290" t="s">
        <v>205</v>
      </c>
      <c r="D338" s="143" t="s">
        <v>69</v>
      </c>
      <c r="E338" s="257">
        <v>51120350</v>
      </c>
      <c r="F338" s="257">
        <v>50896870</v>
      </c>
      <c r="G338" s="257">
        <v>39654890</v>
      </c>
      <c r="H338" s="257">
        <v>0</v>
      </c>
      <c r="I338" s="257">
        <v>390764.17</v>
      </c>
      <c r="J338" s="257">
        <v>0</v>
      </c>
      <c r="K338" s="257">
        <v>2311164.38</v>
      </c>
      <c r="L338" s="257">
        <v>2311164.38</v>
      </c>
      <c r="M338" s="257"/>
      <c r="N338" s="279">
        <v>48194941.450000003</v>
      </c>
      <c r="O338" s="257">
        <v>36952961.450000003</v>
      </c>
    </row>
    <row r="339" spans="1:16" s="143" customFormat="1" ht="30" hidden="1" x14ac:dyDescent="0.25">
      <c r="A339" s="143" t="s">
        <v>707</v>
      </c>
      <c r="B339" s="143" t="s">
        <v>322</v>
      </c>
      <c r="C339" s="290" t="s">
        <v>323</v>
      </c>
      <c r="D339" s="143" t="s">
        <v>69</v>
      </c>
      <c r="E339" s="257">
        <v>23078800</v>
      </c>
      <c r="F339" s="257">
        <v>23078800</v>
      </c>
      <c r="G339" s="257">
        <v>23078800</v>
      </c>
      <c r="H339" s="257">
        <v>0</v>
      </c>
      <c r="I339" s="257">
        <v>294999.52</v>
      </c>
      <c r="J339" s="257">
        <v>2418079.7999999998</v>
      </c>
      <c r="K339" s="257">
        <v>6897018.9000000004</v>
      </c>
      <c r="L339" s="257">
        <v>6515078.9000000004</v>
      </c>
      <c r="M339" s="257"/>
      <c r="N339" s="279">
        <v>13468701.779999999</v>
      </c>
      <c r="O339" s="257">
        <v>13468701.779999999</v>
      </c>
    </row>
    <row r="340" spans="1:16" s="143" customFormat="1" ht="30" hidden="1" x14ac:dyDescent="0.25">
      <c r="A340" s="143" t="s">
        <v>707</v>
      </c>
      <c r="B340" s="143" t="s">
        <v>206</v>
      </c>
      <c r="C340" s="290" t="s">
        <v>207</v>
      </c>
      <c r="D340" s="143" t="s">
        <v>69</v>
      </c>
      <c r="E340" s="257">
        <v>144803139</v>
      </c>
      <c r="F340" s="257">
        <v>145026619</v>
      </c>
      <c r="G340" s="257">
        <v>145026619</v>
      </c>
      <c r="H340" s="257">
        <v>23181000</v>
      </c>
      <c r="I340" s="257">
        <v>58711599.649999999</v>
      </c>
      <c r="J340" s="257">
        <v>8329106.7000000002</v>
      </c>
      <c r="K340" s="257">
        <v>0</v>
      </c>
      <c r="L340" s="257">
        <v>0</v>
      </c>
      <c r="M340" s="257"/>
      <c r="N340" s="279">
        <v>54804912.649999999</v>
      </c>
      <c r="O340" s="257">
        <v>54804912.649999999</v>
      </c>
    </row>
    <row r="341" spans="1:16" s="143" customFormat="1" ht="30" hidden="1" x14ac:dyDescent="0.25">
      <c r="A341" s="143" t="s">
        <v>707</v>
      </c>
      <c r="B341" s="143" t="s">
        <v>208</v>
      </c>
      <c r="C341" s="290" t="s">
        <v>209</v>
      </c>
      <c r="D341" s="143" t="s">
        <v>69</v>
      </c>
      <c r="E341" s="257">
        <v>17162500</v>
      </c>
      <c r="F341" s="257">
        <v>17385980</v>
      </c>
      <c r="G341" s="257">
        <v>17385980</v>
      </c>
      <c r="H341" s="257">
        <v>23181000</v>
      </c>
      <c r="I341" s="257">
        <v>223480</v>
      </c>
      <c r="J341" s="257">
        <v>0</v>
      </c>
      <c r="K341" s="257">
        <v>0</v>
      </c>
      <c r="L341" s="257">
        <v>0</v>
      </c>
      <c r="M341" s="257"/>
      <c r="N341" s="340">
        <v>-6018500</v>
      </c>
      <c r="O341" s="275">
        <v>-6018500</v>
      </c>
    </row>
    <row r="342" spans="1:16" s="143" customFormat="1" hidden="1" x14ac:dyDescent="0.25">
      <c r="A342" s="143" t="s">
        <v>707</v>
      </c>
      <c r="B342" s="143" t="s">
        <v>210</v>
      </c>
      <c r="C342" s="290" t="s">
        <v>211</v>
      </c>
      <c r="D342" s="143" t="s">
        <v>69</v>
      </c>
      <c r="E342" s="257">
        <v>127640639</v>
      </c>
      <c r="F342" s="257">
        <v>127640639</v>
      </c>
      <c r="G342" s="257">
        <v>127640639</v>
      </c>
      <c r="H342" s="257">
        <v>0</v>
      </c>
      <c r="I342" s="257">
        <v>58488119.649999999</v>
      </c>
      <c r="J342" s="257">
        <v>8329106.7000000002</v>
      </c>
      <c r="K342" s="257">
        <v>0</v>
      </c>
      <c r="L342" s="257">
        <v>0</v>
      </c>
      <c r="M342" s="257"/>
      <c r="N342" s="279">
        <v>60823412.649999999</v>
      </c>
      <c r="O342" s="257">
        <v>60823412.649999999</v>
      </c>
    </row>
    <row r="343" spans="1:16" s="143" customFormat="1" ht="30" hidden="1" x14ac:dyDescent="0.25">
      <c r="A343" s="143" t="s">
        <v>707</v>
      </c>
      <c r="B343" s="143" t="s">
        <v>212</v>
      </c>
      <c r="C343" s="290" t="s">
        <v>213</v>
      </c>
      <c r="D343" s="143" t="s">
        <v>69</v>
      </c>
      <c r="E343" s="257">
        <v>3269894716</v>
      </c>
      <c r="F343" s="257">
        <v>3269894716</v>
      </c>
      <c r="G343" s="257">
        <v>3226558245</v>
      </c>
      <c r="H343" s="257">
        <v>20691236</v>
      </c>
      <c r="I343" s="257">
        <v>315641174.58999997</v>
      </c>
      <c r="J343" s="257">
        <v>155047264</v>
      </c>
      <c r="K343" s="257">
        <v>80208893.340000004</v>
      </c>
      <c r="L343" s="257">
        <v>38244987.609999999</v>
      </c>
      <c r="M343" s="257"/>
      <c r="N343" s="279">
        <v>2698306148.0700002</v>
      </c>
      <c r="O343" s="257">
        <v>2654969677.0700002</v>
      </c>
    </row>
    <row r="344" spans="1:16" s="143" customFormat="1" ht="30" hidden="1" x14ac:dyDescent="0.25">
      <c r="A344" s="143" t="s">
        <v>707</v>
      </c>
      <c r="B344" s="143" t="s">
        <v>214</v>
      </c>
      <c r="C344" s="290" t="s">
        <v>215</v>
      </c>
      <c r="D344" s="143" t="s">
        <v>69</v>
      </c>
      <c r="E344" s="257">
        <v>34070136</v>
      </c>
      <c r="F344" s="257">
        <v>34070136</v>
      </c>
      <c r="G344" s="257">
        <v>34070136</v>
      </c>
      <c r="H344" s="257">
        <v>0</v>
      </c>
      <c r="I344" s="257">
        <v>1004707.4</v>
      </c>
      <c r="J344" s="257">
        <v>0</v>
      </c>
      <c r="K344" s="257">
        <v>592475.1</v>
      </c>
      <c r="L344" s="257">
        <v>0</v>
      </c>
      <c r="M344" s="257"/>
      <c r="N344" s="279">
        <v>32472953.5</v>
      </c>
      <c r="O344" s="257">
        <v>32472953.5</v>
      </c>
    </row>
    <row r="345" spans="1:16" s="143" customFormat="1" ht="30" hidden="1" x14ac:dyDescent="0.25">
      <c r="A345" s="143" t="s">
        <v>707</v>
      </c>
      <c r="B345" s="143" t="s">
        <v>216</v>
      </c>
      <c r="C345" s="290" t="s">
        <v>217</v>
      </c>
      <c r="D345" s="143" t="s">
        <v>69</v>
      </c>
      <c r="E345" s="257">
        <v>26479307</v>
      </c>
      <c r="F345" s="257">
        <v>26479307</v>
      </c>
      <c r="G345" s="257">
        <v>26479307</v>
      </c>
      <c r="H345" s="257">
        <v>0</v>
      </c>
      <c r="I345" s="257">
        <v>6890478.9699999997</v>
      </c>
      <c r="J345" s="257">
        <v>0</v>
      </c>
      <c r="K345" s="257">
        <v>2308012.0099999998</v>
      </c>
      <c r="L345" s="257">
        <v>2183443.2999999998</v>
      </c>
      <c r="M345" s="257"/>
      <c r="N345" s="279">
        <v>17280816.02</v>
      </c>
      <c r="O345" s="257">
        <v>17280816.02</v>
      </c>
    </row>
    <row r="346" spans="1:16" s="143" customFormat="1" ht="30" hidden="1" x14ac:dyDescent="0.25">
      <c r="A346" s="143" t="s">
        <v>707</v>
      </c>
      <c r="B346" s="143" t="s">
        <v>218</v>
      </c>
      <c r="C346" s="290" t="s">
        <v>219</v>
      </c>
      <c r="D346" s="143" t="s">
        <v>69</v>
      </c>
      <c r="E346" s="257">
        <v>140601000</v>
      </c>
      <c r="F346" s="257">
        <v>140601000</v>
      </c>
      <c r="G346" s="257">
        <v>137607000</v>
      </c>
      <c r="H346" s="257">
        <v>0</v>
      </c>
      <c r="I346" s="257">
        <v>49288637.32</v>
      </c>
      <c r="J346" s="257">
        <v>0</v>
      </c>
      <c r="K346" s="257">
        <v>23816028</v>
      </c>
      <c r="L346" s="257">
        <v>23816028</v>
      </c>
      <c r="M346" s="257"/>
      <c r="N346" s="279">
        <v>67496334.680000007</v>
      </c>
      <c r="O346" s="257">
        <v>64502334.68</v>
      </c>
    </row>
    <row r="347" spans="1:16" s="143" customFormat="1" hidden="1" x14ac:dyDescent="0.25">
      <c r="A347" s="143" t="s">
        <v>707</v>
      </c>
      <c r="B347" s="143" t="s">
        <v>220</v>
      </c>
      <c r="C347" s="290" t="s">
        <v>221</v>
      </c>
      <c r="D347" s="143" t="s">
        <v>69</v>
      </c>
      <c r="E347" s="257">
        <v>1260371675</v>
      </c>
      <c r="F347" s="257">
        <v>1260371675</v>
      </c>
      <c r="G347" s="257">
        <v>1249371675</v>
      </c>
      <c r="H347" s="257">
        <v>5099540</v>
      </c>
      <c r="I347" s="257">
        <v>43046622.640000001</v>
      </c>
      <c r="J347" s="257">
        <v>0</v>
      </c>
      <c r="K347" s="257">
        <v>0</v>
      </c>
      <c r="L347" s="257">
        <v>0</v>
      </c>
      <c r="M347" s="257"/>
      <c r="N347" s="279">
        <v>1212225512.3599999</v>
      </c>
      <c r="O347" s="257">
        <v>1201225512.3599999</v>
      </c>
    </row>
    <row r="348" spans="1:16" s="143" customFormat="1" ht="30" hidden="1" x14ac:dyDescent="0.25">
      <c r="A348" s="143" t="s">
        <v>707</v>
      </c>
      <c r="B348" s="143" t="s">
        <v>222</v>
      </c>
      <c r="C348" s="290" t="s">
        <v>223</v>
      </c>
      <c r="D348" s="143" t="s">
        <v>69</v>
      </c>
      <c r="E348" s="257">
        <v>291010979</v>
      </c>
      <c r="F348" s="257">
        <v>291010979</v>
      </c>
      <c r="G348" s="257">
        <v>261668508</v>
      </c>
      <c r="H348" s="257">
        <v>15591696</v>
      </c>
      <c r="I348" s="257">
        <v>104807765.98</v>
      </c>
      <c r="J348" s="257">
        <v>34567264</v>
      </c>
      <c r="K348" s="257">
        <v>576011.1</v>
      </c>
      <c r="L348" s="257">
        <v>576011.1</v>
      </c>
      <c r="M348" s="257"/>
      <c r="N348" s="279">
        <v>135468241.91999999</v>
      </c>
      <c r="O348" s="257">
        <v>106125770.92</v>
      </c>
    </row>
    <row r="349" spans="1:16" s="143" customFormat="1" ht="30" hidden="1" x14ac:dyDescent="0.25">
      <c r="A349" s="143" t="s">
        <v>707</v>
      </c>
      <c r="B349" s="143" t="s">
        <v>224</v>
      </c>
      <c r="C349" s="290" t="s">
        <v>225</v>
      </c>
      <c r="D349" s="143" t="s">
        <v>69</v>
      </c>
      <c r="E349" s="257">
        <v>1243089320</v>
      </c>
      <c r="F349" s="257">
        <v>1243089320</v>
      </c>
      <c r="G349" s="257">
        <v>1243089320</v>
      </c>
      <c r="H349" s="257">
        <v>0</v>
      </c>
      <c r="I349" s="257">
        <v>34724245.340000004</v>
      </c>
      <c r="J349" s="257">
        <v>120480000</v>
      </c>
      <c r="K349" s="257">
        <v>1414230</v>
      </c>
      <c r="L349" s="257">
        <v>1414230</v>
      </c>
      <c r="M349" s="257"/>
      <c r="N349" s="279">
        <v>1086470844.6600001</v>
      </c>
      <c r="O349" s="257">
        <v>1086470844.6600001</v>
      </c>
    </row>
    <row r="350" spans="1:16" s="143" customFormat="1" ht="30" hidden="1" x14ac:dyDescent="0.25">
      <c r="A350" s="143" t="s">
        <v>707</v>
      </c>
      <c r="B350" s="143" t="s">
        <v>226</v>
      </c>
      <c r="C350" s="290" t="s">
        <v>227</v>
      </c>
      <c r="D350" s="143" t="s">
        <v>69</v>
      </c>
      <c r="E350" s="257">
        <v>90632447</v>
      </c>
      <c r="F350" s="257">
        <v>90632447</v>
      </c>
      <c r="G350" s="257">
        <v>90632447</v>
      </c>
      <c r="H350" s="257">
        <v>0</v>
      </c>
      <c r="I350" s="257">
        <v>0</v>
      </c>
      <c r="J350" s="257">
        <v>0</v>
      </c>
      <c r="K350" s="257">
        <v>2072760</v>
      </c>
      <c r="L350" s="257">
        <v>2072760</v>
      </c>
      <c r="M350" s="257"/>
      <c r="N350" s="279">
        <v>88559687</v>
      </c>
      <c r="O350" s="257">
        <v>88559687</v>
      </c>
    </row>
    <row r="351" spans="1:16" s="143" customFormat="1" ht="30" hidden="1" x14ac:dyDescent="0.25">
      <c r="A351" s="143" t="s">
        <v>707</v>
      </c>
      <c r="B351" s="143" t="s">
        <v>228</v>
      </c>
      <c r="C351" s="290" t="s">
        <v>229</v>
      </c>
      <c r="D351" s="143" t="s">
        <v>69</v>
      </c>
      <c r="E351" s="257">
        <v>183639852</v>
      </c>
      <c r="F351" s="257">
        <v>183639852</v>
      </c>
      <c r="G351" s="257">
        <v>183639852</v>
      </c>
      <c r="H351" s="257">
        <v>0</v>
      </c>
      <c r="I351" s="257">
        <v>75878716.939999998</v>
      </c>
      <c r="J351" s="257">
        <v>0</v>
      </c>
      <c r="K351" s="257">
        <v>49429377.130000003</v>
      </c>
      <c r="L351" s="257">
        <v>8182515.21</v>
      </c>
      <c r="M351" s="257"/>
      <c r="N351" s="279">
        <v>58331757.93</v>
      </c>
      <c r="O351" s="257">
        <v>58331757.93</v>
      </c>
    </row>
    <row r="352" spans="1:16" s="143" customFormat="1" x14ac:dyDescent="0.25">
      <c r="A352" s="296" t="s">
        <v>707</v>
      </c>
      <c r="B352" s="297" t="s">
        <v>230</v>
      </c>
      <c r="C352" s="298" t="s">
        <v>231</v>
      </c>
      <c r="D352" s="299" t="s">
        <v>85</v>
      </c>
      <c r="E352" s="257">
        <v>2053989952</v>
      </c>
      <c r="F352" s="300">
        <v>2053989952</v>
      </c>
      <c r="G352" s="257">
        <v>1786494147</v>
      </c>
      <c r="H352" s="257">
        <v>45369556.840000004</v>
      </c>
      <c r="I352" s="257">
        <v>654613968.15999997</v>
      </c>
      <c r="J352" s="257">
        <v>0</v>
      </c>
      <c r="K352" s="300">
        <v>48797469.600000001</v>
      </c>
      <c r="L352" s="257">
        <v>48797469.600000001</v>
      </c>
      <c r="M352" s="301">
        <f>+K352/F352</f>
        <v>2.3757404242647436E-2</v>
      </c>
      <c r="N352" s="302">
        <v>1305208957.4000001</v>
      </c>
      <c r="O352" s="257">
        <v>1037713152.4</v>
      </c>
      <c r="P352" s="303">
        <f>+N352/F352</f>
        <v>0.63545050750082743</v>
      </c>
    </row>
    <row r="353" spans="1:16" s="143" customFormat="1" ht="30" hidden="1" x14ac:dyDescent="0.25">
      <c r="A353" s="143" t="s">
        <v>707</v>
      </c>
      <c r="B353" s="143" t="s">
        <v>232</v>
      </c>
      <c r="C353" s="290" t="s">
        <v>233</v>
      </c>
      <c r="D353" s="143" t="s">
        <v>85</v>
      </c>
      <c r="E353" s="257">
        <v>1511257014</v>
      </c>
      <c r="F353" s="257">
        <v>1511257014</v>
      </c>
      <c r="G353" s="257">
        <v>1410742052</v>
      </c>
      <c r="H353" s="257">
        <v>45369556.840000004</v>
      </c>
      <c r="I353" s="257">
        <v>654183899.98000002</v>
      </c>
      <c r="J353" s="257">
        <v>0</v>
      </c>
      <c r="K353" s="257">
        <v>48199598</v>
      </c>
      <c r="L353" s="257">
        <v>48199598</v>
      </c>
      <c r="M353" s="257"/>
      <c r="N353" s="279">
        <v>763503959.17999995</v>
      </c>
      <c r="O353" s="257">
        <v>662988997.17999995</v>
      </c>
    </row>
    <row r="354" spans="1:16" s="143" customFormat="1" ht="30" hidden="1" x14ac:dyDescent="0.25">
      <c r="A354" s="143" t="s">
        <v>707</v>
      </c>
      <c r="B354" s="143" t="s">
        <v>234</v>
      </c>
      <c r="C354" s="290" t="s">
        <v>235</v>
      </c>
      <c r="D354" s="143" t="s">
        <v>85</v>
      </c>
      <c r="E354" s="257">
        <v>46000000</v>
      </c>
      <c r="F354" s="257">
        <v>46000000</v>
      </c>
      <c r="G354" s="257">
        <v>46000000</v>
      </c>
      <c r="H354" s="257">
        <v>45369556.840000004</v>
      </c>
      <c r="I354" s="257">
        <v>0</v>
      </c>
      <c r="J354" s="257">
        <v>0</v>
      </c>
      <c r="K354" s="257">
        <v>0</v>
      </c>
      <c r="L354" s="257">
        <v>0</v>
      </c>
      <c r="M354" s="257"/>
      <c r="N354" s="279">
        <v>630443.16</v>
      </c>
      <c r="O354" s="257">
        <v>630443.16</v>
      </c>
    </row>
    <row r="355" spans="1:16" s="143" customFormat="1" hidden="1" x14ac:dyDescent="0.25">
      <c r="A355" s="143" t="s">
        <v>707</v>
      </c>
      <c r="B355" s="143" t="s">
        <v>324</v>
      </c>
      <c r="C355" s="290" t="s">
        <v>325</v>
      </c>
      <c r="D355" s="143" t="s">
        <v>85</v>
      </c>
      <c r="E355" s="257">
        <v>0</v>
      </c>
      <c r="F355" s="257">
        <v>815400</v>
      </c>
      <c r="G355" s="257">
        <v>815400</v>
      </c>
      <c r="H355" s="257">
        <v>0</v>
      </c>
      <c r="I355" s="257">
        <v>815400</v>
      </c>
      <c r="J355" s="257">
        <v>0</v>
      </c>
      <c r="K355" s="257">
        <v>0</v>
      </c>
      <c r="L355" s="257">
        <v>0</v>
      </c>
      <c r="M355" s="257"/>
      <c r="N355" s="279">
        <v>0</v>
      </c>
      <c r="O355" s="257">
        <v>0</v>
      </c>
    </row>
    <row r="356" spans="1:16" s="143" customFormat="1" hidden="1" x14ac:dyDescent="0.25">
      <c r="A356" s="143" t="s">
        <v>707</v>
      </c>
      <c r="B356" s="143" t="s">
        <v>236</v>
      </c>
      <c r="C356" s="290" t="s">
        <v>237</v>
      </c>
      <c r="D356" s="143" t="s">
        <v>85</v>
      </c>
      <c r="E356" s="257">
        <v>302703422</v>
      </c>
      <c r="F356" s="257">
        <v>302703422</v>
      </c>
      <c r="G356" s="257">
        <v>287003422</v>
      </c>
      <c r="H356" s="257">
        <v>0</v>
      </c>
      <c r="I356" s="257">
        <v>211188499.97999999</v>
      </c>
      <c r="J356" s="257">
        <v>0</v>
      </c>
      <c r="K356" s="257">
        <v>0</v>
      </c>
      <c r="L356" s="257">
        <v>0</v>
      </c>
      <c r="M356" s="257"/>
      <c r="N356" s="279">
        <v>91514922.019999996</v>
      </c>
      <c r="O356" s="257">
        <v>75814922.019999996</v>
      </c>
    </row>
    <row r="357" spans="1:16" s="143" customFormat="1" ht="30" hidden="1" x14ac:dyDescent="0.25">
      <c r="A357" s="143" t="s">
        <v>707</v>
      </c>
      <c r="B357" s="143" t="s">
        <v>238</v>
      </c>
      <c r="C357" s="290" t="s">
        <v>239</v>
      </c>
      <c r="D357" s="143" t="s">
        <v>85</v>
      </c>
      <c r="E357" s="257">
        <v>68995579</v>
      </c>
      <c r="F357" s="257">
        <v>68995579</v>
      </c>
      <c r="G357" s="257">
        <v>68995579</v>
      </c>
      <c r="H357" s="257">
        <v>0</v>
      </c>
      <c r="I357" s="257">
        <v>0</v>
      </c>
      <c r="J357" s="257">
        <v>0</v>
      </c>
      <c r="K357" s="257">
        <v>43357170</v>
      </c>
      <c r="L357" s="257">
        <v>43357170</v>
      </c>
      <c r="M357" s="257"/>
      <c r="N357" s="279">
        <v>25638409</v>
      </c>
      <c r="O357" s="257">
        <v>25638409</v>
      </c>
    </row>
    <row r="358" spans="1:16" s="143" customFormat="1" ht="30" hidden="1" x14ac:dyDescent="0.25">
      <c r="A358" s="143" t="s">
        <v>707</v>
      </c>
      <c r="B358" s="143" t="s">
        <v>282</v>
      </c>
      <c r="C358" s="290" t="s">
        <v>283</v>
      </c>
      <c r="D358" s="143" t="s">
        <v>85</v>
      </c>
      <c r="E358" s="257">
        <v>100000000</v>
      </c>
      <c r="F358" s="257">
        <v>100000000</v>
      </c>
      <c r="G358" s="257">
        <v>100000000</v>
      </c>
      <c r="H358" s="257">
        <v>0</v>
      </c>
      <c r="I358" s="257">
        <v>0</v>
      </c>
      <c r="J358" s="257">
        <v>0</v>
      </c>
      <c r="K358" s="257">
        <v>0</v>
      </c>
      <c r="L358" s="257">
        <v>0</v>
      </c>
      <c r="M358" s="257"/>
      <c r="N358" s="279">
        <v>100000000</v>
      </c>
      <c r="O358" s="257">
        <v>100000000</v>
      </c>
    </row>
    <row r="359" spans="1:16" s="143" customFormat="1" ht="45" hidden="1" x14ac:dyDescent="0.25">
      <c r="A359" s="143" t="s">
        <v>707</v>
      </c>
      <c r="B359" s="143" t="s">
        <v>326</v>
      </c>
      <c r="C359" s="290" t="s">
        <v>327</v>
      </c>
      <c r="D359" s="143" t="s">
        <v>85</v>
      </c>
      <c r="E359" s="257">
        <v>1200000</v>
      </c>
      <c r="F359" s="257">
        <v>1200000</v>
      </c>
      <c r="G359" s="257">
        <v>1200000</v>
      </c>
      <c r="H359" s="257">
        <v>0</v>
      </c>
      <c r="I359" s="257">
        <v>0</v>
      </c>
      <c r="J359" s="257">
        <v>0</v>
      </c>
      <c r="K359" s="257">
        <v>0</v>
      </c>
      <c r="L359" s="257">
        <v>0</v>
      </c>
      <c r="M359" s="257"/>
      <c r="N359" s="279">
        <v>1200000</v>
      </c>
      <c r="O359" s="257">
        <v>1200000</v>
      </c>
    </row>
    <row r="360" spans="1:16" s="143" customFormat="1" ht="45" hidden="1" x14ac:dyDescent="0.25">
      <c r="A360" s="143" t="s">
        <v>707</v>
      </c>
      <c r="B360" s="143" t="s">
        <v>240</v>
      </c>
      <c r="C360" s="290" t="s">
        <v>241</v>
      </c>
      <c r="D360" s="143" t="s">
        <v>85</v>
      </c>
      <c r="E360" s="257">
        <v>2700000</v>
      </c>
      <c r="F360" s="257">
        <v>2700000</v>
      </c>
      <c r="G360" s="257">
        <v>2700000</v>
      </c>
      <c r="H360" s="257">
        <v>0</v>
      </c>
      <c r="I360" s="257">
        <v>0</v>
      </c>
      <c r="J360" s="257">
        <v>0</v>
      </c>
      <c r="K360" s="257">
        <v>0</v>
      </c>
      <c r="L360" s="257">
        <v>0</v>
      </c>
      <c r="M360" s="257"/>
      <c r="N360" s="279">
        <v>2700000</v>
      </c>
      <c r="O360" s="257">
        <v>2700000</v>
      </c>
    </row>
    <row r="361" spans="1:16" s="143" customFormat="1" ht="30" hidden="1" x14ac:dyDescent="0.25">
      <c r="A361" s="143" t="s">
        <v>707</v>
      </c>
      <c r="B361" s="143" t="s">
        <v>242</v>
      </c>
      <c r="C361" s="290" t="s">
        <v>243</v>
      </c>
      <c r="D361" s="143" t="s">
        <v>85</v>
      </c>
      <c r="E361" s="257">
        <v>989658013</v>
      </c>
      <c r="F361" s="257">
        <v>988842613</v>
      </c>
      <c r="G361" s="257">
        <v>904027651</v>
      </c>
      <c r="H361" s="257">
        <v>0</v>
      </c>
      <c r="I361" s="257">
        <v>442180000</v>
      </c>
      <c r="J361" s="257">
        <v>0</v>
      </c>
      <c r="K361" s="257">
        <v>4842428</v>
      </c>
      <c r="L361" s="257">
        <v>4842428</v>
      </c>
      <c r="M361" s="257"/>
      <c r="N361" s="279">
        <v>541820185</v>
      </c>
      <c r="O361" s="257">
        <v>457005223</v>
      </c>
    </row>
    <row r="362" spans="1:16" s="143" customFormat="1" ht="30" hidden="1" x14ac:dyDescent="0.25">
      <c r="A362" s="143" t="s">
        <v>707</v>
      </c>
      <c r="B362" s="143" t="s">
        <v>328</v>
      </c>
      <c r="C362" s="290" t="s">
        <v>329</v>
      </c>
      <c r="D362" s="143" t="s">
        <v>85</v>
      </c>
      <c r="E362" s="257">
        <v>94148000</v>
      </c>
      <c r="F362" s="257">
        <v>94148000</v>
      </c>
      <c r="G362" s="257">
        <v>94148000</v>
      </c>
      <c r="H362" s="257">
        <v>0</v>
      </c>
      <c r="I362" s="257">
        <v>430068.18</v>
      </c>
      <c r="J362" s="257">
        <v>0</v>
      </c>
      <c r="K362" s="257">
        <v>597871.6</v>
      </c>
      <c r="L362" s="257">
        <v>597871.6</v>
      </c>
      <c r="M362" s="257"/>
      <c r="N362" s="279">
        <v>93120060.219999999</v>
      </c>
      <c r="O362" s="257">
        <v>93120060.219999999</v>
      </c>
    </row>
    <row r="363" spans="1:16" s="143" customFormat="1" hidden="1" x14ac:dyDescent="0.25">
      <c r="A363" s="143" t="s">
        <v>707</v>
      </c>
      <c r="B363" s="143" t="s">
        <v>330</v>
      </c>
      <c r="C363" s="290" t="s">
        <v>331</v>
      </c>
      <c r="D363" s="143" t="s">
        <v>85</v>
      </c>
      <c r="E363" s="257">
        <v>92800000</v>
      </c>
      <c r="F363" s="257">
        <v>92800000</v>
      </c>
      <c r="G363" s="257">
        <v>92800000</v>
      </c>
      <c r="H363" s="257">
        <v>0</v>
      </c>
      <c r="I363" s="257">
        <v>0</v>
      </c>
      <c r="J363" s="257">
        <v>0</v>
      </c>
      <c r="K363" s="257">
        <v>597871.6</v>
      </c>
      <c r="L363" s="257">
        <v>597871.6</v>
      </c>
      <c r="M363" s="257"/>
      <c r="N363" s="279">
        <v>92202128.400000006</v>
      </c>
      <c r="O363" s="257">
        <v>92202128.400000006</v>
      </c>
    </row>
    <row r="364" spans="1:16" s="143" customFormat="1" hidden="1" x14ac:dyDescent="0.25">
      <c r="A364" s="143" t="s">
        <v>707</v>
      </c>
      <c r="B364" s="143" t="s">
        <v>358</v>
      </c>
      <c r="C364" s="290" t="s">
        <v>359</v>
      </c>
      <c r="D364" s="143" t="s">
        <v>85</v>
      </c>
      <c r="E364" s="257">
        <v>1348000</v>
      </c>
      <c r="F364" s="257">
        <v>1348000</v>
      </c>
      <c r="G364" s="257">
        <v>1348000</v>
      </c>
      <c r="H364" s="257">
        <v>0</v>
      </c>
      <c r="I364" s="257">
        <v>430068.18</v>
      </c>
      <c r="J364" s="257">
        <v>0</v>
      </c>
      <c r="K364" s="257">
        <v>0</v>
      </c>
      <c r="L364" s="257">
        <v>0</v>
      </c>
      <c r="M364" s="257"/>
      <c r="N364" s="279">
        <v>917931.82</v>
      </c>
      <c r="O364" s="257">
        <v>917931.82</v>
      </c>
    </row>
    <row r="365" spans="1:16" s="143" customFormat="1" hidden="1" x14ac:dyDescent="0.25">
      <c r="A365" s="143" t="s">
        <v>707</v>
      </c>
      <c r="B365" s="143" t="s">
        <v>244</v>
      </c>
      <c r="C365" s="290" t="s">
        <v>245</v>
      </c>
      <c r="D365" s="143" t="s">
        <v>85</v>
      </c>
      <c r="E365" s="257">
        <v>448584938</v>
      </c>
      <c r="F365" s="257">
        <v>448584938</v>
      </c>
      <c r="G365" s="257">
        <v>281604095</v>
      </c>
      <c r="H365" s="257">
        <v>0</v>
      </c>
      <c r="I365" s="257">
        <v>0</v>
      </c>
      <c r="J365" s="257">
        <v>0</v>
      </c>
      <c r="K365" s="257">
        <v>0</v>
      </c>
      <c r="L365" s="257">
        <v>0</v>
      </c>
      <c r="M365" s="257"/>
      <c r="N365" s="279">
        <v>448584938</v>
      </c>
      <c r="O365" s="257">
        <v>281604095</v>
      </c>
    </row>
    <row r="366" spans="1:16" s="143" customFormat="1" hidden="1" x14ac:dyDescent="0.25">
      <c r="A366" s="143" t="s">
        <v>707</v>
      </c>
      <c r="B366" s="143" t="s">
        <v>246</v>
      </c>
      <c r="C366" s="290" t="s">
        <v>247</v>
      </c>
      <c r="D366" s="143" t="s">
        <v>85</v>
      </c>
      <c r="E366" s="257">
        <v>448584938</v>
      </c>
      <c r="F366" s="257">
        <v>448584938</v>
      </c>
      <c r="G366" s="257">
        <v>281604095</v>
      </c>
      <c r="H366" s="257">
        <v>0</v>
      </c>
      <c r="I366" s="257">
        <v>0</v>
      </c>
      <c r="J366" s="257">
        <v>0</v>
      </c>
      <c r="K366" s="257">
        <v>0</v>
      </c>
      <c r="L366" s="257">
        <v>0</v>
      </c>
      <c r="M366" s="257"/>
      <c r="N366" s="279">
        <v>448584938</v>
      </c>
      <c r="O366" s="257">
        <v>281604095</v>
      </c>
    </row>
    <row r="367" spans="1:16" s="143" customFormat="1" x14ac:dyDescent="0.25">
      <c r="A367" s="296" t="s">
        <v>707</v>
      </c>
      <c r="B367" s="297" t="s">
        <v>248</v>
      </c>
      <c r="C367" s="298" t="s">
        <v>249</v>
      </c>
      <c r="D367" s="299" t="s">
        <v>69</v>
      </c>
      <c r="E367" s="257">
        <v>13160774264</v>
      </c>
      <c r="F367" s="300">
        <v>13160774264</v>
      </c>
      <c r="G367" s="257">
        <v>10809555558</v>
      </c>
      <c r="H367" s="257">
        <v>0</v>
      </c>
      <c r="I367" s="257">
        <v>7174022867.3599997</v>
      </c>
      <c r="J367" s="257">
        <v>0</v>
      </c>
      <c r="K367" s="300">
        <v>2963298044.1300001</v>
      </c>
      <c r="L367" s="257">
        <v>2061420263.6700001</v>
      </c>
      <c r="M367" s="301">
        <f>+K367/F367</f>
        <v>0.22516137612327336</v>
      </c>
      <c r="N367" s="302">
        <v>3023453352.5100002</v>
      </c>
      <c r="O367" s="257">
        <v>672234646.50999999</v>
      </c>
      <c r="P367" s="303">
        <f>+N367/F367</f>
        <v>0.22973217926701764</v>
      </c>
    </row>
    <row r="368" spans="1:16" s="143" customFormat="1" ht="30" hidden="1" x14ac:dyDescent="0.25">
      <c r="A368" s="143" t="s">
        <v>707</v>
      </c>
      <c r="B368" s="143" t="s">
        <v>250</v>
      </c>
      <c r="C368" s="290" t="s">
        <v>251</v>
      </c>
      <c r="D368" s="143" t="s">
        <v>69</v>
      </c>
      <c r="E368" s="257">
        <v>11073271142</v>
      </c>
      <c r="F368" s="257">
        <v>11073271142</v>
      </c>
      <c r="G368" s="257">
        <v>9869797595</v>
      </c>
      <c r="H368" s="257">
        <v>0</v>
      </c>
      <c r="I368" s="257">
        <v>7018889773.3000002</v>
      </c>
      <c r="J368" s="257">
        <v>0</v>
      </c>
      <c r="K368" s="257">
        <v>2736471266.6999998</v>
      </c>
      <c r="L368" s="257">
        <v>1890093486.24</v>
      </c>
      <c r="M368" s="257"/>
      <c r="N368" s="279">
        <v>1317910102</v>
      </c>
      <c r="O368" s="257">
        <v>114436555</v>
      </c>
    </row>
    <row r="369" spans="1:16" s="143" customFormat="1" ht="105" hidden="1" x14ac:dyDescent="0.25">
      <c r="A369" s="143" t="s">
        <v>707</v>
      </c>
      <c r="B369" s="143" t="s">
        <v>621</v>
      </c>
      <c r="C369" s="290" t="s">
        <v>708</v>
      </c>
      <c r="D369" s="143" t="s">
        <v>69</v>
      </c>
      <c r="E369" s="257">
        <v>44000000</v>
      </c>
      <c r="F369" s="257">
        <v>44000000</v>
      </c>
      <c r="G369" s="257">
        <v>22000000</v>
      </c>
      <c r="H369" s="257">
        <v>0</v>
      </c>
      <c r="I369" s="257">
        <v>0</v>
      </c>
      <c r="J369" s="257">
        <v>0</v>
      </c>
      <c r="K369" s="257">
        <v>0</v>
      </c>
      <c r="L369" s="257">
        <v>0</v>
      </c>
      <c r="M369" s="257"/>
      <c r="N369" s="279">
        <v>44000000</v>
      </c>
      <c r="O369" s="257">
        <v>22000000</v>
      </c>
    </row>
    <row r="370" spans="1:16" s="143" customFormat="1" ht="90" hidden="1" x14ac:dyDescent="0.25">
      <c r="A370" s="143" t="s">
        <v>707</v>
      </c>
      <c r="B370" s="143" t="s">
        <v>629</v>
      </c>
      <c r="C370" s="290" t="s">
        <v>702</v>
      </c>
      <c r="D370" s="143" t="s">
        <v>69</v>
      </c>
      <c r="E370" s="257">
        <v>540115935</v>
      </c>
      <c r="F370" s="257">
        <v>540115935</v>
      </c>
      <c r="G370" s="257">
        <v>527361381</v>
      </c>
      <c r="H370" s="257">
        <v>0</v>
      </c>
      <c r="I370" s="257">
        <v>379048767</v>
      </c>
      <c r="J370" s="257">
        <v>0</v>
      </c>
      <c r="K370" s="257">
        <v>161067168</v>
      </c>
      <c r="L370" s="257">
        <v>161067168</v>
      </c>
      <c r="M370" s="257"/>
      <c r="N370" s="279">
        <v>0</v>
      </c>
      <c r="O370" s="275">
        <v>-12754554</v>
      </c>
    </row>
    <row r="371" spans="1:16" s="143" customFormat="1" ht="90" hidden="1" x14ac:dyDescent="0.25">
      <c r="A371" s="143" t="s">
        <v>707</v>
      </c>
      <c r="B371" s="143" t="s">
        <v>644</v>
      </c>
      <c r="C371" s="290" t="s">
        <v>703</v>
      </c>
      <c r="D371" s="143" t="s">
        <v>69</v>
      </c>
      <c r="E371" s="257">
        <v>95765207</v>
      </c>
      <c r="F371" s="257">
        <v>95765207</v>
      </c>
      <c r="G371" s="257">
        <v>93503762</v>
      </c>
      <c r="H371" s="257">
        <v>0</v>
      </c>
      <c r="I371" s="257">
        <v>65197894</v>
      </c>
      <c r="J371" s="257">
        <v>0</v>
      </c>
      <c r="K371" s="257">
        <v>30567313</v>
      </c>
      <c r="L371" s="257">
        <v>30567313</v>
      </c>
      <c r="M371" s="257"/>
      <c r="N371" s="279">
        <v>0</v>
      </c>
      <c r="O371" s="275">
        <v>-2261445</v>
      </c>
    </row>
    <row r="372" spans="1:16" s="143" customFormat="1" ht="90" hidden="1" x14ac:dyDescent="0.25">
      <c r="A372" s="143" t="s">
        <v>707</v>
      </c>
      <c r="B372" s="143" t="s">
        <v>655</v>
      </c>
      <c r="C372" s="290" t="s">
        <v>709</v>
      </c>
      <c r="D372" s="143" t="s">
        <v>69</v>
      </c>
      <c r="E372" s="257">
        <v>10393390000</v>
      </c>
      <c r="F372" s="257">
        <v>10393390000</v>
      </c>
      <c r="G372" s="257">
        <v>9226932452</v>
      </c>
      <c r="H372" s="257">
        <v>0</v>
      </c>
      <c r="I372" s="257">
        <v>6574643112.3000002</v>
      </c>
      <c r="J372" s="257">
        <v>0</v>
      </c>
      <c r="K372" s="257">
        <v>2544836785.6999998</v>
      </c>
      <c r="L372" s="257">
        <v>1698459005.24</v>
      </c>
      <c r="M372" s="257"/>
      <c r="N372" s="279">
        <v>1273910102</v>
      </c>
      <c r="O372" s="257">
        <v>107452554</v>
      </c>
    </row>
    <row r="373" spans="1:16" s="143" customFormat="1" ht="30" hidden="1" x14ac:dyDescent="0.25">
      <c r="A373" s="143" t="s">
        <v>707</v>
      </c>
      <c r="B373" s="143" t="s">
        <v>366</v>
      </c>
      <c r="C373" s="290" t="s">
        <v>367</v>
      </c>
      <c r="D373" s="143" t="s">
        <v>69</v>
      </c>
      <c r="E373" s="257">
        <v>666000000</v>
      </c>
      <c r="F373" s="257">
        <v>666000000</v>
      </c>
      <c r="G373" s="257">
        <v>333000000</v>
      </c>
      <c r="H373" s="257">
        <v>0</v>
      </c>
      <c r="I373" s="257">
        <v>0</v>
      </c>
      <c r="J373" s="257">
        <v>0</v>
      </c>
      <c r="K373" s="257">
        <v>166500000</v>
      </c>
      <c r="L373" s="257">
        <v>111000000</v>
      </c>
      <c r="M373" s="257"/>
      <c r="N373" s="279">
        <v>499500000</v>
      </c>
      <c r="O373" s="257">
        <v>166500000</v>
      </c>
    </row>
    <row r="374" spans="1:16" s="143" customFormat="1" ht="30" hidden="1" x14ac:dyDescent="0.25">
      <c r="A374" s="143" t="s">
        <v>707</v>
      </c>
      <c r="B374" s="143" t="s">
        <v>368</v>
      </c>
      <c r="C374" s="290" t="s">
        <v>369</v>
      </c>
      <c r="D374" s="143" t="s">
        <v>69</v>
      </c>
      <c r="E374" s="257">
        <v>666000000</v>
      </c>
      <c r="F374" s="257">
        <v>666000000</v>
      </c>
      <c r="G374" s="257">
        <v>333000000</v>
      </c>
      <c r="H374" s="257">
        <v>0</v>
      </c>
      <c r="I374" s="257">
        <v>0</v>
      </c>
      <c r="J374" s="257">
        <v>0</v>
      </c>
      <c r="K374" s="257">
        <v>166500000</v>
      </c>
      <c r="L374" s="257">
        <v>111000000</v>
      </c>
      <c r="M374" s="257"/>
      <c r="N374" s="279">
        <v>499500000</v>
      </c>
      <c r="O374" s="257">
        <v>166500000</v>
      </c>
    </row>
    <row r="375" spans="1:16" s="143" customFormat="1" hidden="1" x14ac:dyDescent="0.25">
      <c r="A375" s="143" t="s">
        <v>707</v>
      </c>
      <c r="B375" s="143" t="s">
        <v>260</v>
      </c>
      <c r="C375" s="290" t="s">
        <v>261</v>
      </c>
      <c r="D375" s="143" t="s">
        <v>69</v>
      </c>
      <c r="E375" s="257">
        <v>1271503122</v>
      </c>
      <c r="F375" s="257">
        <v>1271503122</v>
      </c>
      <c r="G375" s="257">
        <v>521500780</v>
      </c>
      <c r="H375" s="257">
        <v>0</v>
      </c>
      <c r="I375" s="257">
        <v>99324891.959999993</v>
      </c>
      <c r="J375" s="257">
        <v>0</v>
      </c>
      <c r="K375" s="257">
        <v>38377797.210000001</v>
      </c>
      <c r="L375" s="257">
        <v>38377797.210000001</v>
      </c>
      <c r="M375" s="257"/>
      <c r="N375" s="279">
        <v>1133800432.8299999</v>
      </c>
      <c r="O375" s="257">
        <v>383798090.82999998</v>
      </c>
    </row>
    <row r="376" spans="1:16" s="143" customFormat="1" hidden="1" x14ac:dyDescent="0.25">
      <c r="A376" s="143" t="s">
        <v>707</v>
      </c>
      <c r="B376" s="143" t="s">
        <v>262</v>
      </c>
      <c r="C376" s="290" t="s">
        <v>263</v>
      </c>
      <c r="D376" s="143" t="s">
        <v>69</v>
      </c>
      <c r="E376" s="257">
        <v>1000003122</v>
      </c>
      <c r="F376" s="257">
        <v>1000003122</v>
      </c>
      <c r="G376" s="257">
        <v>250000780</v>
      </c>
      <c r="H376" s="257">
        <v>0</v>
      </c>
      <c r="I376" s="257">
        <v>99324891.959999993</v>
      </c>
      <c r="J376" s="257">
        <v>0</v>
      </c>
      <c r="K376" s="257">
        <v>18236299.710000001</v>
      </c>
      <c r="L376" s="257">
        <v>18236299.710000001</v>
      </c>
      <c r="M376" s="257"/>
      <c r="N376" s="279">
        <v>882441930.33000004</v>
      </c>
      <c r="O376" s="257">
        <v>132439588.33</v>
      </c>
    </row>
    <row r="377" spans="1:16" s="143" customFormat="1" hidden="1" x14ac:dyDescent="0.25">
      <c r="A377" s="143" t="s">
        <v>707</v>
      </c>
      <c r="B377" s="143" t="s">
        <v>264</v>
      </c>
      <c r="C377" s="290" t="s">
        <v>265</v>
      </c>
      <c r="D377" s="143" t="s">
        <v>69</v>
      </c>
      <c r="E377" s="257">
        <v>271500000</v>
      </c>
      <c r="F377" s="257">
        <v>271500000</v>
      </c>
      <c r="G377" s="257">
        <v>271500000</v>
      </c>
      <c r="H377" s="257">
        <v>0</v>
      </c>
      <c r="I377" s="257">
        <v>0</v>
      </c>
      <c r="J377" s="257">
        <v>0</v>
      </c>
      <c r="K377" s="257">
        <v>20141497.5</v>
      </c>
      <c r="L377" s="257">
        <v>20141497.5</v>
      </c>
      <c r="M377" s="257"/>
      <c r="N377" s="279">
        <v>251358502.5</v>
      </c>
      <c r="O377" s="257">
        <v>251358502.5</v>
      </c>
    </row>
    <row r="378" spans="1:16" s="143" customFormat="1" ht="45" hidden="1" x14ac:dyDescent="0.25">
      <c r="A378" s="143" t="s">
        <v>707</v>
      </c>
      <c r="B378" s="143" t="s">
        <v>286</v>
      </c>
      <c r="C378" s="290" t="s">
        <v>287</v>
      </c>
      <c r="D378" s="143" t="s">
        <v>69</v>
      </c>
      <c r="E378" s="257">
        <v>150000000</v>
      </c>
      <c r="F378" s="257">
        <v>150000000</v>
      </c>
      <c r="G378" s="257">
        <v>85257183</v>
      </c>
      <c r="H378" s="257">
        <v>0</v>
      </c>
      <c r="I378" s="257">
        <v>55808202.100000001</v>
      </c>
      <c r="J378" s="257">
        <v>0</v>
      </c>
      <c r="K378" s="257">
        <v>21948980.219999999</v>
      </c>
      <c r="L378" s="257">
        <v>21948980.219999999</v>
      </c>
      <c r="M378" s="257"/>
      <c r="N378" s="279">
        <v>72242817.680000007</v>
      </c>
      <c r="O378" s="257">
        <v>7500000.6799999997</v>
      </c>
    </row>
    <row r="379" spans="1:16" s="143" customFormat="1" hidden="1" x14ac:dyDescent="0.25">
      <c r="A379" s="143" t="s">
        <v>707</v>
      </c>
      <c r="B379" s="143" t="s">
        <v>288</v>
      </c>
      <c r="C379" s="290" t="s">
        <v>289</v>
      </c>
      <c r="D379" s="143" t="s">
        <v>69</v>
      </c>
      <c r="E379" s="257">
        <v>100000000</v>
      </c>
      <c r="F379" s="257">
        <v>100000000</v>
      </c>
      <c r="G379" s="257">
        <v>50257183</v>
      </c>
      <c r="H379" s="257">
        <v>0</v>
      </c>
      <c r="I379" s="257">
        <v>48974836.640000001</v>
      </c>
      <c r="J379" s="257">
        <v>0</v>
      </c>
      <c r="K379" s="257">
        <v>1282345.68</v>
      </c>
      <c r="L379" s="257">
        <v>1282345.68</v>
      </c>
      <c r="M379" s="257"/>
      <c r="N379" s="279">
        <v>49742817.68</v>
      </c>
      <c r="O379" s="257">
        <v>0.68</v>
      </c>
    </row>
    <row r="380" spans="1:16" s="143" customFormat="1" hidden="1" x14ac:dyDescent="0.25">
      <c r="A380" s="143" t="s">
        <v>707</v>
      </c>
      <c r="B380" s="143" t="s">
        <v>370</v>
      </c>
      <c r="C380" s="290" t="s">
        <v>371</v>
      </c>
      <c r="D380" s="143" t="s">
        <v>69</v>
      </c>
      <c r="E380" s="257">
        <v>50000000</v>
      </c>
      <c r="F380" s="257">
        <v>50000000</v>
      </c>
      <c r="G380" s="257">
        <v>35000000</v>
      </c>
      <c r="H380" s="257">
        <v>0</v>
      </c>
      <c r="I380" s="257">
        <v>6833365.46</v>
      </c>
      <c r="J380" s="257">
        <v>0</v>
      </c>
      <c r="K380" s="257">
        <v>20666634.539999999</v>
      </c>
      <c r="L380" s="257">
        <v>20666634.539999999</v>
      </c>
      <c r="M380" s="257"/>
      <c r="N380" s="279">
        <v>22500000</v>
      </c>
      <c r="O380" s="257">
        <v>7500000</v>
      </c>
    </row>
    <row r="381" spans="1:16" s="143" customFormat="1" x14ac:dyDescent="0.25">
      <c r="A381" s="296" t="s">
        <v>707</v>
      </c>
      <c r="B381" s="297" t="s">
        <v>372</v>
      </c>
      <c r="C381" s="298" t="s">
        <v>373</v>
      </c>
      <c r="D381" s="299" t="s">
        <v>85</v>
      </c>
      <c r="E381" s="257">
        <v>581400000</v>
      </c>
      <c r="F381" s="300">
        <v>581400000</v>
      </c>
      <c r="G381" s="257">
        <v>443021191</v>
      </c>
      <c r="H381" s="257">
        <v>0</v>
      </c>
      <c r="I381" s="257">
        <v>0</v>
      </c>
      <c r="J381" s="257">
        <v>0</v>
      </c>
      <c r="K381" s="300">
        <v>0</v>
      </c>
      <c r="L381" s="257">
        <v>0</v>
      </c>
      <c r="M381" s="301">
        <f>+K381/F381</f>
        <v>0</v>
      </c>
      <c r="N381" s="302">
        <v>581400000</v>
      </c>
      <c r="O381" s="257">
        <v>443021191</v>
      </c>
      <c r="P381" s="303">
        <f>+N381/F381</f>
        <v>1</v>
      </c>
    </row>
    <row r="382" spans="1:16" s="143" customFormat="1" ht="30" hidden="1" x14ac:dyDescent="0.25">
      <c r="A382" s="143" t="s">
        <v>707</v>
      </c>
      <c r="B382" s="143" t="s">
        <v>374</v>
      </c>
      <c r="C382" s="290" t="s">
        <v>375</v>
      </c>
      <c r="D382" s="143" t="s">
        <v>85</v>
      </c>
      <c r="E382" s="257">
        <v>581400000</v>
      </c>
      <c r="F382" s="257">
        <v>581400000</v>
      </c>
      <c r="G382" s="257">
        <v>443021191</v>
      </c>
      <c r="H382" s="257">
        <v>0</v>
      </c>
      <c r="I382" s="257">
        <v>0</v>
      </c>
      <c r="J382" s="257">
        <v>0</v>
      </c>
      <c r="K382" s="257">
        <v>0</v>
      </c>
      <c r="L382" s="257">
        <v>0</v>
      </c>
      <c r="M382" s="257"/>
      <c r="N382" s="279">
        <v>581400000</v>
      </c>
      <c r="O382" s="257">
        <v>443021191</v>
      </c>
    </row>
    <row r="383" spans="1:16" s="143" customFormat="1" ht="105" hidden="1" x14ac:dyDescent="0.25">
      <c r="A383" s="143" t="s">
        <v>707</v>
      </c>
      <c r="B383" s="143" t="s">
        <v>674</v>
      </c>
      <c r="C383" s="290" t="s">
        <v>710</v>
      </c>
      <c r="D383" s="143" t="s">
        <v>85</v>
      </c>
      <c r="E383" s="257">
        <v>581400000</v>
      </c>
      <c r="F383" s="257">
        <v>581400000</v>
      </c>
      <c r="G383" s="257">
        <v>443021191</v>
      </c>
      <c r="H383" s="257">
        <v>0</v>
      </c>
      <c r="I383" s="257">
        <v>0</v>
      </c>
      <c r="J383" s="257">
        <v>0</v>
      </c>
      <c r="K383" s="257">
        <v>0</v>
      </c>
      <c r="L383" s="257">
        <v>0</v>
      </c>
      <c r="M383" s="257"/>
      <c r="N383" s="279">
        <v>581400000</v>
      </c>
      <c r="O383" s="257">
        <v>443021191</v>
      </c>
    </row>
    <row r="384" spans="1:16" s="143" customFormat="1" hidden="1" x14ac:dyDescent="0.25">
      <c r="A384" s="143" t="s">
        <v>711</v>
      </c>
      <c r="C384" s="290"/>
      <c r="D384" s="143" t="s">
        <v>69</v>
      </c>
      <c r="E384" s="257">
        <v>27896892306</v>
      </c>
      <c r="F384" s="257">
        <v>27896892306</v>
      </c>
      <c r="G384" s="257">
        <v>20617233226</v>
      </c>
      <c r="H384" s="257">
        <v>714995723.24000001</v>
      </c>
      <c r="I384" s="257">
        <v>2498663680.3000002</v>
      </c>
      <c r="J384" s="257">
        <v>0</v>
      </c>
      <c r="K384" s="257">
        <v>5341487407.7200003</v>
      </c>
      <c r="L384" s="257">
        <v>4369822176.1899996</v>
      </c>
      <c r="M384" s="257"/>
      <c r="N384" s="279">
        <v>19341745494.740002</v>
      </c>
      <c r="O384" s="257">
        <v>12062086414.74</v>
      </c>
    </row>
    <row r="385" spans="1:16" s="143" customFormat="1" x14ac:dyDescent="0.25">
      <c r="C385" s="290"/>
      <c r="E385" s="257"/>
      <c r="F385" s="292">
        <f>SUBTOTAL(9,F259:F384)</f>
        <v>259529448630</v>
      </c>
      <c r="G385" s="257"/>
      <c r="H385" s="257"/>
      <c r="I385" s="257"/>
      <c r="J385" s="257"/>
      <c r="K385" s="292">
        <f>SUBTOTAL(9,K259:K384)</f>
        <v>58980152080.659996</v>
      </c>
      <c r="L385" s="257"/>
      <c r="M385" s="293">
        <f>+K385/F385</f>
        <v>0.22725803330606026</v>
      </c>
      <c r="N385" s="341">
        <f>SUBTOTAL(9,N259:N384)</f>
        <v>151925530056.22998</v>
      </c>
      <c r="O385" s="257"/>
      <c r="P385" s="295">
        <f>+N385/F385</f>
        <v>0.5853884052781374</v>
      </c>
    </row>
    <row r="386" spans="1:16" s="143" customFormat="1" x14ac:dyDescent="0.25">
      <c r="A386" s="291"/>
      <c r="C386" s="290"/>
      <c r="E386" s="257"/>
      <c r="F386" s="257"/>
      <c r="G386" s="257"/>
      <c r="H386" s="257"/>
      <c r="I386" s="257"/>
      <c r="J386" s="257"/>
      <c r="K386" s="257"/>
      <c r="L386" s="257"/>
      <c r="M386" s="257"/>
      <c r="N386" s="257"/>
      <c r="O386" s="257"/>
    </row>
    <row r="387" spans="1:16" s="143" customFormat="1" x14ac:dyDescent="0.25">
      <c r="A387" s="280" t="s">
        <v>711</v>
      </c>
      <c r="B387" s="281" t="s">
        <v>71</v>
      </c>
      <c r="C387" s="282" t="s">
        <v>72</v>
      </c>
      <c r="D387" s="283" t="s">
        <v>69</v>
      </c>
      <c r="E387" s="257">
        <v>13888392480</v>
      </c>
      <c r="F387" s="284">
        <v>13888392480</v>
      </c>
      <c r="G387" s="257">
        <v>13450241509</v>
      </c>
      <c r="H387" s="257">
        <v>0</v>
      </c>
      <c r="I387" s="257">
        <v>1685782807</v>
      </c>
      <c r="J387" s="257">
        <v>0</v>
      </c>
      <c r="K387" s="284">
        <v>3466092660.9299998</v>
      </c>
      <c r="L387" s="257">
        <v>3466092660.9299998</v>
      </c>
      <c r="M387" s="285">
        <f>+K387/F387</f>
        <v>0.24956759149205723</v>
      </c>
      <c r="N387" s="286">
        <v>8736517012.0699997</v>
      </c>
      <c r="O387" s="257">
        <v>8298366041.0699997</v>
      </c>
      <c r="P387" s="287">
        <f>+N387/F387</f>
        <v>0.62905170808292132</v>
      </c>
    </row>
    <row r="388" spans="1:16" s="143" customFormat="1" hidden="1" x14ac:dyDescent="0.25">
      <c r="A388" s="143" t="s">
        <v>711</v>
      </c>
      <c r="B388" s="143" t="s">
        <v>73</v>
      </c>
      <c r="C388" s="290" t="s">
        <v>74</v>
      </c>
      <c r="D388" s="143" t="s">
        <v>69</v>
      </c>
      <c r="E388" s="257">
        <v>5229936552</v>
      </c>
      <c r="F388" s="257">
        <v>5229936552</v>
      </c>
      <c r="G388" s="257">
        <v>5032025148</v>
      </c>
      <c r="H388" s="257">
        <v>0</v>
      </c>
      <c r="I388" s="257">
        <v>0</v>
      </c>
      <c r="J388" s="257">
        <v>0</v>
      </c>
      <c r="K388" s="257">
        <v>1171954914.25</v>
      </c>
      <c r="L388" s="257">
        <v>1171954914.25</v>
      </c>
      <c r="M388" s="288">
        <f>K388/F388*100</f>
        <v>22.408587610911422</v>
      </c>
      <c r="N388" s="257">
        <v>4057981637.75</v>
      </c>
      <c r="O388" s="257">
        <v>3860070233.75</v>
      </c>
      <c r="P388" s="289">
        <f>N388/F388*100</f>
        <v>77.591412389088575</v>
      </c>
    </row>
    <row r="389" spans="1:16" s="143" customFormat="1" hidden="1" x14ac:dyDescent="0.25">
      <c r="A389" s="143" t="s">
        <v>711</v>
      </c>
      <c r="B389" s="143" t="s">
        <v>75</v>
      </c>
      <c r="C389" s="290" t="s">
        <v>76</v>
      </c>
      <c r="D389" s="143" t="s">
        <v>69</v>
      </c>
      <c r="E389" s="257">
        <v>5229936552</v>
      </c>
      <c r="F389" s="257">
        <v>5229936552</v>
      </c>
      <c r="G389" s="257">
        <v>5032025148</v>
      </c>
      <c r="H389" s="257">
        <v>0</v>
      </c>
      <c r="I389" s="257">
        <v>0</v>
      </c>
      <c r="J389" s="257">
        <v>0</v>
      </c>
      <c r="K389" s="257">
        <v>1171954914.25</v>
      </c>
      <c r="L389" s="257">
        <v>1171954914.25</v>
      </c>
      <c r="M389" s="257"/>
      <c r="N389" s="279">
        <v>4057981637.75</v>
      </c>
      <c r="O389" s="257">
        <v>3860070233.75</v>
      </c>
    </row>
    <row r="390" spans="1:16" s="143" customFormat="1" ht="30" hidden="1" x14ac:dyDescent="0.25">
      <c r="A390" s="143" t="s">
        <v>711</v>
      </c>
      <c r="B390" s="143" t="s">
        <v>293</v>
      </c>
      <c r="C390" s="290" t="s">
        <v>294</v>
      </c>
      <c r="D390" s="143" t="s">
        <v>69</v>
      </c>
      <c r="E390" s="257">
        <v>26335200</v>
      </c>
      <c r="F390" s="257">
        <v>26335200</v>
      </c>
      <c r="G390" s="257">
        <v>26335200</v>
      </c>
      <c r="H390" s="257">
        <v>0</v>
      </c>
      <c r="I390" s="257">
        <v>0</v>
      </c>
      <c r="J390" s="257">
        <v>0</v>
      </c>
      <c r="K390" s="257">
        <v>1306990</v>
      </c>
      <c r="L390" s="257">
        <v>1306990</v>
      </c>
      <c r="M390" s="288">
        <f>K390/F390*100</f>
        <v>4.9629013639539474</v>
      </c>
      <c r="N390" s="257">
        <v>25028210</v>
      </c>
      <c r="O390" s="257">
        <v>25028210</v>
      </c>
      <c r="P390" s="289">
        <f>N390/F390*100</f>
        <v>95.037098636046053</v>
      </c>
    </row>
    <row r="391" spans="1:16" s="143" customFormat="1" hidden="1" x14ac:dyDescent="0.25">
      <c r="A391" s="143" t="s">
        <v>711</v>
      </c>
      <c r="B391" s="143" t="s">
        <v>339</v>
      </c>
      <c r="C391" s="290" t="s">
        <v>340</v>
      </c>
      <c r="D391" s="143" t="s">
        <v>69</v>
      </c>
      <c r="E391" s="257">
        <v>26335200</v>
      </c>
      <c r="F391" s="257">
        <v>26335200</v>
      </c>
      <c r="G391" s="257">
        <v>26335200</v>
      </c>
      <c r="H391" s="257">
        <v>0</v>
      </c>
      <c r="I391" s="257">
        <v>0</v>
      </c>
      <c r="J391" s="257">
        <v>0</v>
      </c>
      <c r="K391" s="257">
        <v>1306990</v>
      </c>
      <c r="L391" s="257">
        <v>1306990</v>
      </c>
      <c r="M391" s="257"/>
      <c r="N391" s="279">
        <v>25028210</v>
      </c>
      <c r="O391" s="257">
        <v>25028210</v>
      </c>
    </row>
    <row r="392" spans="1:16" s="143" customFormat="1" hidden="1" x14ac:dyDescent="0.25">
      <c r="A392" s="143" t="s">
        <v>711</v>
      </c>
      <c r="B392" s="143" t="s">
        <v>77</v>
      </c>
      <c r="C392" s="290" t="s">
        <v>78</v>
      </c>
      <c r="D392" s="143" t="s">
        <v>69</v>
      </c>
      <c r="E392" s="257">
        <v>6513497315</v>
      </c>
      <c r="F392" s="257">
        <v>6513497315</v>
      </c>
      <c r="G392" s="257">
        <v>6340096078</v>
      </c>
      <c r="H392" s="257">
        <v>0</v>
      </c>
      <c r="I392" s="257">
        <v>0</v>
      </c>
      <c r="J392" s="257">
        <v>0</v>
      </c>
      <c r="K392" s="257">
        <v>1859990150.6800001</v>
      </c>
      <c r="L392" s="257">
        <v>1859990150.6800001</v>
      </c>
      <c r="M392" s="288">
        <f>K392/F392*100</f>
        <v>28.555936399890879</v>
      </c>
      <c r="N392" s="257">
        <v>4653507164.3199997</v>
      </c>
      <c r="O392" s="257">
        <v>4480105927.3199997</v>
      </c>
      <c r="P392" s="289">
        <f>N392/F392*100</f>
        <v>71.444063600109118</v>
      </c>
    </row>
    <row r="393" spans="1:16" s="143" customFormat="1" ht="30" hidden="1" x14ac:dyDescent="0.25">
      <c r="A393" s="143" t="s">
        <v>711</v>
      </c>
      <c r="B393" s="143" t="s">
        <v>79</v>
      </c>
      <c r="C393" s="290" t="s">
        <v>80</v>
      </c>
      <c r="D393" s="143" t="s">
        <v>69</v>
      </c>
      <c r="E393" s="257">
        <v>1819317700</v>
      </c>
      <c r="F393" s="257">
        <v>1819317700</v>
      </c>
      <c r="G393" s="257">
        <v>1737983822</v>
      </c>
      <c r="H393" s="257">
        <v>0</v>
      </c>
      <c r="I393" s="257">
        <v>0</v>
      </c>
      <c r="J393" s="257">
        <v>0</v>
      </c>
      <c r="K393" s="257">
        <v>385020580.31</v>
      </c>
      <c r="L393" s="257">
        <v>385020580.31</v>
      </c>
      <c r="M393" s="257"/>
      <c r="N393" s="279">
        <v>1434297119.6900001</v>
      </c>
      <c r="O393" s="257">
        <v>1352963241.6900001</v>
      </c>
    </row>
    <row r="394" spans="1:16" s="143" customFormat="1" ht="30" hidden="1" x14ac:dyDescent="0.25">
      <c r="A394" s="143" t="s">
        <v>711</v>
      </c>
      <c r="B394" s="143" t="s">
        <v>81</v>
      </c>
      <c r="C394" s="290" t="s">
        <v>82</v>
      </c>
      <c r="D394" s="143" t="s">
        <v>69</v>
      </c>
      <c r="E394" s="257">
        <v>1750176673</v>
      </c>
      <c r="F394" s="257">
        <v>1750176673</v>
      </c>
      <c r="G394" s="257">
        <v>1705397775</v>
      </c>
      <c r="H394" s="257">
        <v>0</v>
      </c>
      <c r="I394" s="257">
        <v>0</v>
      </c>
      <c r="J394" s="257">
        <v>0</v>
      </c>
      <c r="K394" s="257">
        <v>388897698.72000003</v>
      </c>
      <c r="L394" s="257">
        <v>388897698.72000003</v>
      </c>
      <c r="M394" s="257"/>
      <c r="N394" s="279">
        <v>1361278974.28</v>
      </c>
      <c r="O394" s="257">
        <v>1316500076.28</v>
      </c>
    </row>
    <row r="395" spans="1:16" s="143" customFormat="1" hidden="1" x14ac:dyDescent="0.25">
      <c r="A395" s="143" t="s">
        <v>711</v>
      </c>
      <c r="B395" s="143" t="s">
        <v>83</v>
      </c>
      <c r="C395" s="290" t="s">
        <v>84</v>
      </c>
      <c r="D395" s="143" t="s">
        <v>85</v>
      </c>
      <c r="E395" s="257">
        <v>905032542</v>
      </c>
      <c r="F395" s="257">
        <v>905032542</v>
      </c>
      <c r="G395" s="257">
        <v>876480578</v>
      </c>
      <c r="H395" s="257">
        <v>0</v>
      </c>
      <c r="I395" s="257">
        <v>0</v>
      </c>
      <c r="J395" s="257">
        <v>0</v>
      </c>
      <c r="K395" s="257">
        <v>221644.11</v>
      </c>
      <c r="L395" s="257">
        <v>221644.11</v>
      </c>
      <c r="M395" s="257"/>
      <c r="N395" s="279">
        <v>904810897.88999999</v>
      </c>
      <c r="O395" s="257">
        <v>876258933.88999999</v>
      </c>
    </row>
    <row r="396" spans="1:16" s="143" customFormat="1" hidden="1" x14ac:dyDescent="0.25">
      <c r="A396" s="143" t="s">
        <v>711</v>
      </c>
      <c r="B396" s="143" t="s">
        <v>86</v>
      </c>
      <c r="C396" s="290" t="s">
        <v>87</v>
      </c>
      <c r="D396" s="143" t="s">
        <v>69</v>
      </c>
      <c r="E396" s="257">
        <v>831593600</v>
      </c>
      <c r="F396" s="257">
        <v>831593600</v>
      </c>
      <c r="G396" s="257">
        <v>831593600</v>
      </c>
      <c r="H396" s="257">
        <v>0</v>
      </c>
      <c r="I396" s="257">
        <v>0</v>
      </c>
      <c r="J396" s="257">
        <v>0</v>
      </c>
      <c r="K396" s="257">
        <v>804786810.5</v>
      </c>
      <c r="L396" s="257">
        <v>804786810.5</v>
      </c>
      <c r="M396" s="257"/>
      <c r="N396" s="279">
        <v>26806789.5</v>
      </c>
      <c r="O396" s="257">
        <v>26806789.5</v>
      </c>
    </row>
    <row r="397" spans="1:16" s="143" customFormat="1" ht="30" hidden="1" x14ac:dyDescent="0.25">
      <c r="A397" s="143" t="s">
        <v>711</v>
      </c>
      <c r="B397" s="143" t="s">
        <v>88</v>
      </c>
      <c r="C397" s="290" t="s">
        <v>89</v>
      </c>
      <c r="D397" s="143" t="s">
        <v>69</v>
      </c>
      <c r="E397" s="257">
        <v>1207376800</v>
      </c>
      <c r="F397" s="257">
        <v>1207376800</v>
      </c>
      <c r="G397" s="257">
        <v>1188640303</v>
      </c>
      <c r="H397" s="257">
        <v>0</v>
      </c>
      <c r="I397" s="257">
        <v>0</v>
      </c>
      <c r="J397" s="257">
        <v>0</v>
      </c>
      <c r="K397" s="257">
        <v>281063417.04000002</v>
      </c>
      <c r="L397" s="257">
        <v>281063417.04000002</v>
      </c>
      <c r="M397" s="257"/>
      <c r="N397" s="279">
        <v>926313382.96000004</v>
      </c>
      <c r="O397" s="257">
        <v>907576885.96000004</v>
      </c>
    </row>
    <row r="398" spans="1:16" s="143" customFormat="1" ht="30" hidden="1" x14ac:dyDescent="0.25">
      <c r="A398" s="143" t="s">
        <v>711</v>
      </c>
      <c r="B398" s="143" t="s">
        <v>90</v>
      </c>
      <c r="C398" s="290" t="s">
        <v>91</v>
      </c>
      <c r="D398" s="143" t="s">
        <v>69</v>
      </c>
      <c r="E398" s="257">
        <v>1059311707</v>
      </c>
      <c r="F398" s="257">
        <v>1059311707</v>
      </c>
      <c r="G398" s="257">
        <v>1025892542</v>
      </c>
      <c r="H398" s="257">
        <v>0</v>
      </c>
      <c r="I398" s="257">
        <v>842266399</v>
      </c>
      <c r="J398" s="257">
        <v>0</v>
      </c>
      <c r="K398" s="257">
        <v>217045308</v>
      </c>
      <c r="L398" s="257">
        <v>217045308</v>
      </c>
      <c r="M398" s="288">
        <f>K398/F398*100</f>
        <v>20.489276816800061</v>
      </c>
      <c r="N398" s="257">
        <v>0</v>
      </c>
      <c r="O398" s="275">
        <v>-33419165</v>
      </c>
      <c r="P398" s="289">
        <f>N398/F398*100</f>
        <v>0</v>
      </c>
    </row>
    <row r="399" spans="1:16" s="143" customFormat="1" ht="90" hidden="1" x14ac:dyDescent="0.25">
      <c r="A399" s="143" t="s">
        <v>711</v>
      </c>
      <c r="B399" s="143" t="s">
        <v>421</v>
      </c>
      <c r="C399" s="290" t="s">
        <v>697</v>
      </c>
      <c r="D399" s="143" t="s">
        <v>69</v>
      </c>
      <c r="E399" s="257">
        <v>1004988079</v>
      </c>
      <c r="F399" s="257">
        <v>1004988079</v>
      </c>
      <c r="G399" s="257">
        <v>973282717</v>
      </c>
      <c r="H399" s="257">
        <v>0</v>
      </c>
      <c r="I399" s="257">
        <v>799073299</v>
      </c>
      <c r="J399" s="257">
        <v>0</v>
      </c>
      <c r="K399" s="257">
        <v>205914780</v>
      </c>
      <c r="L399" s="257">
        <v>205914780</v>
      </c>
      <c r="M399" s="257"/>
      <c r="N399" s="279">
        <v>0</v>
      </c>
      <c r="O399" s="275">
        <v>-31705362</v>
      </c>
    </row>
    <row r="400" spans="1:16" s="143" customFormat="1" ht="75" hidden="1" x14ac:dyDescent="0.25">
      <c r="A400" s="143" t="s">
        <v>711</v>
      </c>
      <c r="B400" s="143" t="s">
        <v>438</v>
      </c>
      <c r="C400" s="290" t="s">
        <v>95</v>
      </c>
      <c r="D400" s="143" t="s">
        <v>69</v>
      </c>
      <c r="E400" s="257">
        <v>54323628</v>
      </c>
      <c r="F400" s="257">
        <v>54323628</v>
      </c>
      <c r="G400" s="257">
        <v>52609825</v>
      </c>
      <c r="H400" s="257">
        <v>0</v>
      </c>
      <c r="I400" s="257">
        <v>43193100</v>
      </c>
      <c r="J400" s="257">
        <v>0</v>
      </c>
      <c r="K400" s="257">
        <v>11130528</v>
      </c>
      <c r="L400" s="257">
        <v>11130528</v>
      </c>
      <c r="M400" s="257"/>
      <c r="N400" s="279">
        <v>0</v>
      </c>
      <c r="O400" s="275">
        <v>-1713803</v>
      </c>
    </row>
    <row r="401" spans="1:16" s="143" customFormat="1" ht="30" hidden="1" x14ac:dyDescent="0.25">
      <c r="A401" s="143" t="s">
        <v>711</v>
      </c>
      <c r="B401" s="143" t="s">
        <v>96</v>
      </c>
      <c r="C401" s="290" t="s">
        <v>97</v>
      </c>
      <c r="D401" s="143" t="s">
        <v>69</v>
      </c>
      <c r="E401" s="257">
        <v>1059311706</v>
      </c>
      <c r="F401" s="257">
        <v>1059311706</v>
      </c>
      <c r="G401" s="257">
        <v>1025892541</v>
      </c>
      <c r="H401" s="257">
        <v>0</v>
      </c>
      <c r="I401" s="257">
        <v>843516408</v>
      </c>
      <c r="J401" s="257">
        <v>0</v>
      </c>
      <c r="K401" s="257">
        <v>215795298</v>
      </c>
      <c r="L401" s="257">
        <v>215795298</v>
      </c>
      <c r="M401" s="288">
        <f>K401/F401*100</f>
        <v>20.371274741676459</v>
      </c>
      <c r="N401" s="257">
        <v>0</v>
      </c>
      <c r="O401" s="275">
        <v>-33419165</v>
      </c>
      <c r="P401" s="289">
        <f>N401/F401*100</f>
        <v>0</v>
      </c>
    </row>
    <row r="402" spans="1:16" s="143" customFormat="1" ht="90" hidden="1" x14ac:dyDescent="0.25">
      <c r="A402" s="143" t="s">
        <v>711</v>
      </c>
      <c r="B402" s="143" t="s">
        <v>456</v>
      </c>
      <c r="C402" s="290" t="s">
        <v>698</v>
      </c>
      <c r="D402" s="143" t="s">
        <v>69</v>
      </c>
      <c r="E402" s="257">
        <v>570398650</v>
      </c>
      <c r="F402" s="257">
        <v>570398650</v>
      </c>
      <c r="G402" s="257">
        <v>552403715</v>
      </c>
      <c r="H402" s="257">
        <v>0</v>
      </c>
      <c r="I402" s="257">
        <v>454778110</v>
      </c>
      <c r="J402" s="257">
        <v>0</v>
      </c>
      <c r="K402" s="257">
        <v>115620540</v>
      </c>
      <c r="L402" s="257">
        <v>115620540</v>
      </c>
      <c r="M402" s="257"/>
      <c r="N402" s="279">
        <v>0</v>
      </c>
      <c r="O402" s="275">
        <v>-17994935</v>
      </c>
    </row>
    <row r="403" spans="1:16" s="143" customFormat="1" ht="90" hidden="1" x14ac:dyDescent="0.25">
      <c r="A403" s="143" t="s">
        <v>711</v>
      </c>
      <c r="B403" s="143" t="s">
        <v>473</v>
      </c>
      <c r="C403" s="290" t="s">
        <v>699</v>
      </c>
      <c r="D403" s="143" t="s">
        <v>69</v>
      </c>
      <c r="E403" s="257">
        <v>162970985</v>
      </c>
      <c r="F403" s="257">
        <v>162970985</v>
      </c>
      <c r="G403" s="257">
        <v>157829575</v>
      </c>
      <c r="H403" s="257">
        <v>0</v>
      </c>
      <c r="I403" s="257">
        <v>129579399</v>
      </c>
      <c r="J403" s="257">
        <v>0</v>
      </c>
      <c r="K403" s="257">
        <v>33391586</v>
      </c>
      <c r="L403" s="257">
        <v>33391586</v>
      </c>
      <c r="M403" s="257"/>
      <c r="N403" s="279">
        <v>0</v>
      </c>
      <c r="O403" s="275">
        <v>-5141410</v>
      </c>
    </row>
    <row r="404" spans="1:16" s="143" customFormat="1" ht="90" hidden="1" x14ac:dyDescent="0.25">
      <c r="A404" s="143" t="s">
        <v>711</v>
      </c>
      <c r="B404" s="143" t="s">
        <v>490</v>
      </c>
      <c r="C404" s="290" t="s">
        <v>700</v>
      </c>
      <c r="D404" s="143" t="s">
        <v>69</v>
      </c>
      <c r="E404" s="257">
        <v>325942071</v>
      </c>
      <c r="F404" s="257">
        <v>325942071</v>
      </c>
      <c r="G404" s="257">
        <v>315659251</v>
      </c>
      <c r="H404" s="257">
        <v>0</v>
      </c>
      <c r="I404" s="257">
        <v>259158899</v>
      </c>
      <c r="J404" s="257">
        <v>0</v>
      </c>
      <c r="K404" s="257">
        <v>66783172</v>
      </c>
      <c r="L404" s="257">
        <v>66783172</v>
      </c>
      <c r="M404" s="257"/>
      <c r="N404" s="279">
        <v>0</v>
      </c>
      <c r="O404" s="275">
        <v>-10282820</v>
      </c>
    </row>
    <row r="405" spans="1:16" s="143" customFormat="1" x14ac:dyDescent="0.25">
      <c r="A405" s="280" t="s">
        <v>711</v>
      </c>
      <c r="B405" s="281" t="s">
        <v>104</v>
      </c>
      <c r="C405" s="282" t="s">
        <v>105</v>
      </c>
      <c r="D405" s="283" t="s">
        <v>69</v>
      </c>
      <c r="E405" s="257">
        <v>3955829992</v>
      </c>
      <c r="F405" s="284">
        <v>3955829992</v>
      </c>
      <c r="G405" s="257">
        <v>2033514996</v>
      </c>
      <c r="H405" s="257">
        <v>0</v>
      </c>
      <c r="I405" s="257">
        <v>503263371.64999998</v>
      </c>
      <c r="J405" s="257">
        <v>0</v>
      </c>
      <c r="K405" s="284">
        <v>439929088.57999998</v>
      </c>
      <c r="L405" s="257">
        <v>119576700.17</v>
      </c>
      <c r="M405" s="285">
        <f>+K405/F405</f>
        <v>0.11121031224033451</v>
      </c>
      <c r="N405" s="286">
        <v>3012637531.77</v>
      </c>
      <c r="O405" s="257">
        <v>1090322535.77</v>
      </c>
      <c r="P405" s="287">
        <f>+N405/F405</f>
        <v>0.76156901026145007</v>
      </c>
    </row>
    <row r="406" spans="1:16" s="143" customFormat="1" hidden="1" x14ac:dyDescent="0.25">
      <c r="A406" s="143" t="s">
        <v>711</v>
      </c>
      <c r="B406" s="143" t="s">
        <v>112</v>
      </c>
      <c r="C406" s="290" t="s">
        <v>113</v>
      </c>
      <c r="D406" s="143" t="s">
        <v>69</v>
      </c>
      <c r="E406" s="257">
        <v>3954369992</v>
      </c>
      <c r="F406" s="257">
        <v>3954369992</v>
      </c>
      <c r="G406" s="257">
        <v>2032854996</v>
      </c>
      <c r="H406" s="257">
        <v>0</v>
      </c>
      <c r="I406" s="257">
        <v>503263371.64999998</v>
      </c>
      <c r="J406" s="257">
        <v>0</v>
      </c>
      <c r="K406" s="257">
        <v>439929088.57999998</v>
      </c>
      <c r="L406" s="257">
        <v>119576700.17</v>
      </c>
      <c r="M406" s="257"/>
      <c r="N406" s="279">
        <v>3011177531.77</v>
      </c>
      <c r="O406" s="257">
        <v>1089662535.77</v>
      </c>
    </row>
    <row r="407" spans="1:16" s="143" customFormat="1" ht="30" hidden="1" x14ac:dyDescent="0.25">
      <c r="A407" s="143" t="s">
        <v>711</v>
      </c>
      <c r="B407" s="143" t="s">
        <v>114</v>
      </c>
      <c r="C407" s="290" t="s">
        <v>115</v>
      </c>
      <c r="D407" s="143" t="s">
        <v>69</v>
      </c>
      <c r="E407" s="257">
        <v>2664489000</v>
      </c>
      <c r="F407" s="257">
        <v>2664489000</v>
      </c>
      <c r="G407" s="257">
        <v>1331514500</v>
      </c>
      <c r="H407" s="257">
        <v>0</v>
      </c>
      <c r="I407" s="257">
        <v>310268863.37</v>
      </c>
      <c r="J407" s="257">
        <v>0</v>
      </c>
      <c r="K407" s="257">
        <v>354758386.63</v>
      </c>
      <c r="L407" s="257">
        <v>107925768.63</v>
      </c>
      <c r="M407" s="257"/>
      <c r="N407" s="279">
        <v>1999461750</v>
      </c>
      <c r="O407" s="257">
        <v>666487250</v>
      </c>
    </row>
    <row r="408" spans="1:16" s="143" customFormat="1" ht="30" hidden="1" x14ac:dyDescent="0.25">
      <c r="A408" s="143" t="s">
        <v>711</v>
      </c>
      <c r="B408" s="143" t="s">
        <v>116</v>
      </c>
      <c r="C408" s="290" t="s">
        <v>117</v>
      </c>
      <c r="D408" s="143" t="s">
        <v>69</v>
      </c>
      <c r="E408" s="257">
        <v>1052390992</v>
      </c>
      <c r="F408" s="257">
        <v>1052390992</v>
      </c>
      <c r="G408" s="257">
        <v>526195496</v>
      </c>
      <c r="H408" s="257">
        <v>0</v>
      </c>
      <c r="I408" s="257">
        <v>191660201.36000001</v>
      </c>
      <c r="J408" s="257">
        <v>0</v>
      </c>
      <c r="K408" s="257">
        <v>71437546.640000001</v>
      </c>
      <c r="L408" s="257">
        <v>7399067.75</v>
      </c>
      <c r="M408" s="257"/>
      <c r="N408" s="279">
        <v>789293244</v>
      </c>
      <c r="O408" s="257">
        <v>263097748</v>
      </c>
    </row>
    <row r="409" spans="1:16" s="143" customFormat="1" ht="30" hidden="1" x14ac:dyDescent="0.25">
      <c r="A409" s="143" t="s">
        <v>711</v>
      </c>
      <c r="B409" s="143" t="s">
        <v>120</v>
      </c>
      <c r="C409" s="290" t="s">
        <v>121</v>
      </c>
      <c r="D409" s="143" t="s">
        <v>69</v>
      </c>
      <c r="E409" s="257">
        <v>124690000</v>
      </c>
      <c r="F409" s="257">
        <v>124690000</v>
      </c>
      <c r="G409" s="257">
        <v>62345000</v>
      </c>
      <c r="H409" s="257">
        <v>0</v>
      </c>
      <c r="I409" s="257">
        <v>0</v>
      </c>
      <c r="J409" s="257">
        <v>0</v>
      </c>
      <c r="K409" s="257">
        <v>0</v>
      </c>
      <c r="L409" s="257">
        <v>0</v>
      </c>
      <c r="M409" s="257"/>
      <c r="N409" s="279">
        <v>124690000</v>
      </c>
      <c r="O409" s="257">
        <v>62345000</v>
      </c>
    </row>
    <row r="410" spans="1:16" s="143" customFormat="1" hidden="1" x14ac:dyDescent="0.25">
      <c r="A410" s="143" t="s">
        <v>711</v>
      </c>
      <c r="B410" s="143" t="s">
        <v>122</v>
      </c>
      <c r="C410" s="290" t="s">
        <v>123</v>
      </c>
      <c r="D410" s="143" t="s">
        <v>69</v>
      </c>
      <c r="E410" s="257">
        <v>112800000</v>
      </c>
      <c r="F410" s="257">
        <v>112800000</v>
      </c>
      <c r="G410" s="257">
        <v>112800000</v>
      </c>
      <c r="H410" s="257">
        <v>0</v>
      </c>
      <c r="I410" s="257">
        <v>1334306.92</v>
      </c>
      <c r="J410" s="257">
        <v>0</v>
      </c>
      <c r="K410" s="257">
        <v>13733155.310000001</v>
      </c>
      <c r="L410" s="257">
        <v>4251863.79</v>
      </c>
      <c r="M410" s="257"/>
      <c r="N410" s="279">
        <v>97732537.769999996</v>
      </c>
      <c r="O410" s="257">
        <v>97732537.769999996</v>
      </c>
    </row>
    <row r="411" spans="1:16" s="143" customFormat="1" ht="30" hidden="1" x14ac:dyDescent="0.25">
      <c r="A411" s="143" t="s">
        <v>711</v>
      </c>
      <c r="B411" s="143" t="s">
        <v>134</v>
      </c>
      <c r="C411" s="290" t="s">
        <v>135</v>
      </c>
      <c r="D411" s="143" t="s">
        <v>69</v>
      </c>
      <c r="E411" s="257">
        <v>340000</v>
      </c>
      <c r="F411" s="257">
        <v>340000</v>
      </c>
      <c r="G411" s="257">
        <v>340000</v>
      </c>
      <c r="H411" s="257">
        <v>0</v>
      </c>
      <c r="I411" s="257">
        <v>0</v>
      </c>
      <c r="J411" s="257">
        <v>0</v>
      </c>
      <c r="K411" s="257">
        <v>0</v>
      </c>
      <c r="L411" s="257">
        <v>0</v>
      </c>
      <c r="M411" s="257"/>
      <c r="N411" s="279">
        <v>340000</v>
      </c>
      <c r="O411" s="257">
        <v>340000</v>
      </c>
    </row>
    <row r="412" spans="1:16" s="143" customFormat="1" ht="30" hidden="1" x14ac:dyDescent="0.25">
      <c r="A412" s="143" t="s">
        <v>711</v>
      </c>
      <c r="B412" s="143" t="s">
        <v>346</v>
      </c>
      <c r="C412" s="290" t="s">
        <v>347</v>
      </c>
      <c r="D412" s="143" t="s">
        <v>69</v>
      </c>
      <c r="E412" s="257">
        <v>180000</v>
      </c>
      <c r="F412" s="257">
        <v>180000</v>
      </c>
      <c r="G412" s="257">
        <v>180000</v>
      </c>
      <c r="H412" s="257">
        <v>0</v>
      </c>
      <c r="I412" s="257">
        <v>0</v>
      </c>
      <c r="J412" s="257">
        <v>0</v>
      </c>
      <c r="K412" s="257">
        <v>0</v>
      </c>
      <c r="L412" s="257">
        <v>0</v>
      </c>
      <c r="M412" s="257"/>
      <c r="N412" s="279">
        <v>180000</v>
      </c>
      <c r="O412" s="257">
        <v>180000</v>
      </c>
    </row>
    <row r="413" spans="1:16" s="143" customFormat="1" ht="30" hidden="1" x14ac:dyDescent="0.25">
      <c r="A413" s="143" t="s">
        <v>711</v>
      </c>
      <c r="B413" s="143" t="s">
        <v>138</v>
      </c>
      <c r="C413" s="290" t="s">
        <v>139</v>
      </c>
      <c r="D413" s="143" t="s">
        <v>69</v>
      </c>
      <c r="E413" s="257">
        <v>160000</v>
      </c>
      <c r="F413" s="257">
        <v>160000</v>
      </c>
      <c r="G413" s="257">
        <v>160000</v>
      </c>
      <c r="H413" s="257">
        <v>0</v>
      </c>
      <c r="I413" s="257">
        <v>0</v>
      </c>
      <c r="J413" s="257">
        <v>0</v>
      </c>
      <c r="K413" s="257">
        <v>0</v>
      </c>
      <c r="L413" s="257">
        <v>0</v>
      </c>
      <c r="M413" s="257"/>
      <c r="N413" s="279">
        <v>160000</v>
      </c>
      <c r="O413" s="257">
        <v>160000</v>
      </c>
    </row>
    <row r="414" spans="1:16" s="143" customFormat="1" ht="30" hidden="1" x14ac:dyDescent="0.25">
      <c r="A414" s="143" t="s">
        <v>711</v>
      </c>
      <c r="B414" s="143" t="s">
        <v>162</v>
      </c>
      <c r="C414" s="290" t="s">
        <v>163</v>
      </c>
      <c r="D414" s="143" t="s">
        <v>69</v>
      </c>
      <c r="E414" s="257">
        <v>1120000</v>
      </c>
      <c r="F414" s="257">
        <v>1120000</v>
      </c>
      <c r="G414" s="257">
        <v>320000</v>
      </c>
      <c r="H414" s="257">
        <v>0</v>
      </c>
      <c r="I414" s="257">
        <v>0</v>
      </c>
      <c r="J414" s="257">
        <v>0</v>
      </c>
      <c r="K414" s="257">
        <v>0</v>
      </c>
      <c r="L414" s="257">
        <v>0</v>
      </c>
      <c r="M414" s="257"/>
      <c r="N414" s="279">
        <v>1120000</v>
      </c>
      <c r="O414" s="257">
        <v>320000</v>
      </c>
    </row>
    <row r="415" spans="1:16" s="143" customFormat="1" ht="45" hidden="1" x14ac:dyDescent="0.25">
      <c r="A415" s="143" t="s">
        <v>711</v>
      </c>
      <c r="B415" s="143" t="s">
        <v>164</v>
      </c>
      <c r="C415" s="290" t="s">
        <v>165</v>
      </c>
      <c r="D415" s="143" t="s">
        <v>69</v>
      </c>
      <c r="E415" s="257">
        <v>800000</v>
      </c>
      <c r="F415" s="257">
        <v>800000</v>
      </c>
      <c r="G415" s="257">
        <v>0</v>
      </c>
      <c r="H415" s="257">
        <v>0</v>
      </c>
      <c r="I415" s="257">
        <v>0</v>
      </c>
      <c r="J415" s="257">
        <v>0</v>
      </c>
      <c r="K415" s="257">
        <v>0</v>
      </c>
      <c r="L415" s="257">
        <v>0</v>
      </c>
      <c r="M415" s="257"/>
      <c r="N415" s="279">
        <v>800000</v>
      </c>
      <c r="O415" s="257">
        <v>0</v>
      </c>
    </row>
    <row r="416" spans="1:16" s="143" customFormat="1" ht="45" hidden="1" x14ac:dyDescent="0.25">
      <c r="A416" s="143" t="s">
        <v>711</v>
      </c>
      <c r="B416" s="143" t="s">
        <v>172</v>
      </c>
      <c r="C416" s="290" t="s">
        <v>173</v>
      </c>
      <c r="D416" s="143" t="s">
        <v>69</v>
      </c>
      <c r="E416" s="257">
        <v>320000</v>
      </c>
      <c r="F416" s="257">
        <v>320000</v>
      </c>
      <c r="G416" s="257">
        <v>320000</v>
      </c>
      <c r="H416" s="257">
        <v>0</v>
      </c>
      <c r="I416" s="257">
        <v>0</v>
      </c>
      <c r="J416" s="257">
        <v>0</v>
      </c>
      <c r="K416" s="257">
        <v>0</v>
      </c>
      <c r="L416" s="257">
        <v>0</v>
      </c>
      <c r="M416" s="257"/>
      <c r="N416" s="279">
        <v>320000</v>
      </c>
      <c r="O416" s="257">
        <v>320000</v>
      </c>
    </row>
    <row r="417" spans="1:16" s="143" customFormat="1" x14ac:dyDescent="0.25">
      <c r="A417" s="280" t="s">
        <v>711</v>
      </c>
      <c r="B417" s="281" t="s">
        <v>184</v>
      </c>
      <c r="C417" s="282" t="s">
        <v>185</v>
      </c>
      <c r="D417" s="283" t="s">
        <v>69</v>
      </c>
      <c r="E417" s="257">
        <v>9762991308</v>
      </c>
      <c r="F417" s="284">
        <v>9762991308</v>
      </c>
      <c r="G417" s="257">
        <v>4852608020</v>
      </c>
      <c r="H417" s="257">
        <v>714995723.24000001</v>
      </c>
      <c r="I417" s="257">
        <v>164966319.65000001</v>
      </c>
      <c r="J417" s="257">
        <v>0</v>
      </c>
      <c r="K417" s="284">
        <v>1390099826.21</v>
      </c>
      <c r="L417" s="257">
        <v>738786983.09000003</v>
      </c>
      <c r="M417" s="285">
        <f>+K417/F417</f>
        <v>0.14238462192124693</v>
      </c>
      <c r="N417" s="286">
        <v>7492929438.8999996</v>
      </c>
      <c r="O417" s="257">
        <v>2582546150.9000001</v>
      </c>
      <c r="P417" s="287">
        <f>+N417/F417</f>
        <v>0.76748295706871483</v>
      </c>
    </row>
    <row r="418" spans="1:16" s="143" customFormat="1" ht="30" hidden="1" x14ac:dyDescent="0.25">
      <c r="A418" s="143" t="s">
        <v>711</v>
      </c>
      <c r="B418" s="143" t="s">
        <v>186</v>
      </c>
      <c r="C418" s="290" t="s">
        <v>187</v>
      </c>
      <c r="D418" s="143" t="s">
        <v>69</v>
      </c>
      <c r="E418" s="257">
        <v>20114885</v>
      </c>
      <c r="F418" s="257">
        <v>20114885</v>
      </c>
      <c r="G418" s="257">
        <v>11213415</v>
      </c>
      <c r="H418" s="257">
        <v>1232287</v>
      </c>
      <c r="I418" s="257">
        <v>0</v>
      </c>
      <c r="J418" s="257">
        <v>0</v>
      </c>
      <c r="K418" s="257">
        <v>0</v>
      </c>
      <c r="L418" s="257">
        <v>0</v>
      </c>
      <c r="M418" s="257"/>
      <c r="N418" s="279">
        <v>18882598</v>
      </c>
      <c r="O418" s="257">
        <v>9981128</v>
      </c>
    </row>
    <row r="419" spans="1:16" s="143" customFormat="1" hidden="1" x14ac:dyDescent="0.25">
      <c r="A419" s="143" t="s">
        <v>711</v>
      </c>
      <c r="B419" s="143" t="s">
        <v>188</v>
      </c>
      <c r="C419" s="290" t="s">
        <v>189</v>
      </c>
      <c r="D419" s="143" t="s">
        <v>69</v>
      </c>
      <c r="E419" s="257">
        <v>4558400</v>
      </c>
      <c r="F419" s="257">
        <v>4558400</v>
      </c>
      <c r="G419" s="257">
        <v>2279200</v>
      </c>
      <c r="H419" s="257">
        <v>0</v>
      </c>
      <c r="I419" s="257">
        <v>0</v>
      </c>
      <c r="J419" s="257">
        <v>0</v>
      </c>
      <c r="K419" s="257">
        <v>0</v>
      </c>
      <c r="L419" s="257">
        <v>0</v>
      </c>
      <c r="M419" s="257"/>
      <c r="N419" s="279">
        <v>4558400</v>
      </c>
      <c r="O419" s="257">
        <v>2279200</v>
      </c>
    </row>
    <row r="420" spans="1:16" s="143" customFormat="1" ht="30" hidden="1" x14ac:dyDescent="0.25">
      <c r="A420" s="143" t="s">
        <v>711</v>
      </c>
      <c r="B420" s="143" t="s">
        <v>190</v>
      </c>
      <c r="C420" s="290" t="s">
        <v>191</v>
      </c>
      <c r="D420" s="143" t="s">
        <v>69</v>
      </c>
      <c r="E420" s="257">
        <v>1998283</v>
      </c>
      <c r="F420" s="257">
        <v>1998283</v>
      </c>
      <c r="G420" s="257">
        <v>1998283</v>
      </c>
      <c r="H420" s="257">
        <v>0</v>
      </c>
      <c r="I420" s="257">
        <v>0</v>
      </c>
      <c r="J420" s="257">
        <v>0</v>
      </c>
      <c r="K420" s="257">
        <v>0</v>
      </c>
      <c r="L420" s="257">
        <v>0</v>
      </c>
      <c r="M420" s="257"/>
      <c r="N420" s="279">
        <v>1998283</v>
      </c>
      <c r="O420" s="257">
        <v>1998283</v>
      </c>
    </row>
    <row r="421" spans="1:16" s="143" customFormat="1" hidden="1" x14ac:dyDescent="0.25">
      <c r="A421" s="143" t="s">
        <v>711</v>
      </c>
      <c r="B421" s="143" t="s">
        <v>350</v>
      </c>
      <c r="C421" s="290" t="s">
        <v>351</v>
      </c>
      <c r="D421" s="143" t="s">
        <v>69</v>
      </c>
      <c r="E421" s="257">
        <v>1432676</v>
      </c>
      <c r="F421" s="257">
        <v>1432676</v>
      </c>
      <c r="G421" s="257">
        <v>1432676</v>
      </c>
      <c r="H421" s="257">
        <v>1232287</v>
      </c>
      <c r="I421" s="257">
        <v>0</v>
      </c>
      <c r="J421" s="257">
        <v>0</v>
      </c>
      <c r="K421" s="257">
        <v>0</v>
      </c>
      <c r="L421" s="257">
        <v>0</v>
      </c>
      <c r="M421" s="257"/>
      <c r="N421" s="279">
        <v>200389</v>
      </c>
      <c r="O421" s="257">
        <v>200389</v>
      </c>
    </row>
    <row r="422" spans="1:16" s="143" customFormat="1" ht="30" hidden="1" x14ac:dyDescent="0.25">
      <c r="A422" s="143" t="s">
        <v>711</v>
      </c>
      <c r="B422" s="143" t="s">
        <v>194</v>
      </c>
      <c r="C422" s="290" t="s">
        <v>195</v>
      </c>
      <c r="D422" s="143" t="s">
        <v>69</v>
      </c>
      <c r="E422" s="257">
        <v>12125526</v>
      </c>
      <c r="F422" s="257">
        <v>12125526</v>
      </c>
      <c r="G422" s="257">
        <v>5503256</v>
      </c>
      <c r="H422" s="257">
        <v>0</v>
      </c>
      <c r="I422" s="257">
        <v>0</v>
      </c>
      <c r="J422" s="257">
        <v>0</v>
      </c>
      <c r="K422" s="257">
        <v>0</v>
      </c>
      <c r="L422" s="257">
        <v>0</v>
      </c>
      <c r="M422" s="257"/>
      <c r="N422" s="279">
        <v>12125526</v>
      </c>
      <c r="O422" s="257">
        <v>5503256</v>
      </c>
    </row>
    <row r="423" spans="1:16" s="143" customFormat="1" ht="30" hidden="1" x14ac:dyDescent="0.25">
      <c r="A423" s="143" t="s">
        <v>711</v>
      </c>
      <c r="B423" s="143" t="s">
        <v>196</v>
      </c>
      <c r="C423" s="290" t="s">
        <v>197</v>
      </c>
      <c r="D423" s="143" t="s">
        <v>69</v>
      </c>
      <c r="E423" s="257">
        <v>9704809902</v>
      </c>
      <c r="F423" s="257">
        <v>9704809902</v>
      </c>
      <c r="G423" s="257">
        <v>4809007034</v>
      </c>
      <c r="H423" s="257">
        <v>706200809.24000001</v>
      </c>
      <c r="I423" s="257">
        <v>164966319.65000001</v>
      </c>
      <c r="J423" s="257">
        <v>0</v>
      </c>
      <c r="K423" s="257">
        <v>1390099826.21</v>
      </c>
      <c r="L423" s="257">
        <v>738786983.09000003</v>
      </c>
      <c r="M423" s="257"/>
      <c r="N423" s="279">
        <v>7443542946.8999996</v>
      </c>
      <c r="O423" s="257">
        <v>2547740078.9000001</v>
      </c>
    </row>
    <row r="424" spans="1:16" s="143" customFormat="1" hidden="1" x14ac:dyDescent="0.25">
      <c r="A424" s="143" t="s">
        <v>711</v>
      </c>
      <c r="B424" s="143" t="s">
        <v>579</v>
      </c>
      <c r="C424" s="290" t="s">
        <v>580</v>
      </c>
      <c r="D424" s="143" t="s">
        <v>69</v>
      </c>
      <c r="E424" s="257">
        <v>3494885</v>
      </c>
      <c r="F424" s="257">
        <v>3494885</v>
      </c>
      <c r="G424" s="257">
        <v>3494885</v>
      </c>
      <c r="H424" s="257">
        <v>3193200</v>
      </c>
      <c r="I424" s="257">
        <v>0</v>
      </c>
      <c r="J424" s="257">
        <v>0</v>
      </c>
      <c r="K424" s="257">
        <v>0</v>
      </c>
      <c r="L424" s="257">
        <v>0</v>
      </c>
      <c r="M424" s="257"/>
      <c r="N424" s="279">
        <v>301685</v>
      </c>
      <c r="O424" s="257">
        <v>301685</v>
      </c>
    </row>
    <row r="425" spans="1:16" s="143" customFormat="1" hidden="1" x14ac:dyDescent="0.25">
      <c r="A425" s="143" t="s">
        <v>711</v>
      </c>
      <c r="B425" s="143" t="s">
        <v>198</v>
      </c>
      <c r="C425" s="290" t="s">
        <v>199</v>
      </c>
      <c r="D425" s="143" t="s">
        <v>69</v>
      </c>
      <c r="E425" s="257">
        <v>9654391017</v>
      </c>
      <c r="F425" s="257">
        <v>9654391017</v>
      </c>
      <c r="G425" s="257">
        <v>4783797592</v>
      </c>
      <c r="H425" s="257">
        <v>703007609.24000001</v>
      </c>
      <c r="I425" s="257">
        <v>164966319.65000001</v>
      </c>
      <c r="J425" s="257">
        <v>0</v>
      </c>
      <c r="K425" s="257">
        <v>1390099826.21</v>
      </c>
      <c r="L425" s="257">
        <v>738786983.09000003</v>
      </c>
      <c r="M425" s="257"/>
      <c r="N425" s="279">
        <v>7396317261.8999996</v>
      </c>
      <c r="O425" s="257">
        <v>2525723836.9000001</v>
      </c>
    </row>
    <row r="426" spans="1:16" s="143" customFormat="1" hidden="1" x14ac:dyDescent="0.25">
      <c r="A426" s="143" t="s">
        <v>711</v>
      </c>
      <c r="B426" s="143" t="s">
        <v>352</v>
      </c>
      <c r="C426" s="290" t="s">
        <v>353</v>
      </c>
      <c r="D426" s="143" t="s">
        <v>69</v>
      </c>
      <c r="E426" s="257">
        <v>46924000</v>
      </c>
      <c r="F426" s="257">
        <v>46924000</v>
      </c>
      <c r="G426" s="257">
        <v>21714557</v>
      </c>
      <c r="H426" s="257">
        <v>0</v>
      </c>
      <c r="I426" s="257">
        <v>0</v>
      </c>
      <c r="J426" s="257">
        <v>0</v>
      </c>
      <c r="K426" s="257">
        <v>0</v>
      </c>
      <c r="L426" s="257">
        <v>0</v>
      </c>
      <c r="M426" s="257"/>
      <c r="N426" s="279">
        <v>46924000</v>
      </c>
      <c r="O426" s="257">
        <v>21714557</v>
      </c>
    </row>
    <row r="427" spans="1:16" s="143" customFormat="1" ht="30" hidden="1" x14ac:dyDescent="0.25">
      <c r="A427" s="143" t="s">
        <v>711</v>
      </c>
      <c r="B427" s="143" t="s">
        <v>200</v>
      </c>
      <c r="C427" s="290" t="s">
        <v>201</v>
      </c>
      <c r="D427" s="143" t="s">
        <v>69</v>
      </c>
      <c r="E427" s="257">
        <v>9701312</v>
      </c>
      <c r="F427" s="257">
        <v>9701312</v>
      </c>
      <c r="G427" s="257">
        <v>9022362</v>
      </c>
      <c r="H427" s="257">
        <v>3580877</v>
      </c>
      <c r="I427" s="257">
        <v>0</v>
      </c>
      <c r="J427" s="257">
        <v>0</v>
      </c>
      <c r="K427" s="257">
        <v>0</v>
      </c>
      <c r="L427" s="257">
        <v>0</v>
      </c>
      <c r="M427" s="257"/>
      <c r="N427" s="279">
        <v>6120435</v>
      </c>
      <c r="O427" s="257">
        <v>5441485</v>
      </c>
    </row>
    <row r="428" spans="1:16" s="143" customFormat="1" ht="30" hidden="1" x14ac:dyDescent="0.25">
      <c r="A428" s="143" t="s">
        <v>711</v>
      </c>
      <c r="B428" s="143" t="s">
        <v>314</v>
      </c>
      <c r="C428" s="290" t="s">
        <v>315</v>
      </c>
      <c r="D428" s="143" t="s">
        <v>69</v>
      </c>
      <c r="E428" s="257">
        <v>3440012</v>
      </c>
      <c r="F428" s="257">
        <v>3440012</v>
      </c>
      <c r="G428" s="257">
        <v>3440012</v>
      </c>
      <c r="H428" s="257">
        <v>3309013</v>
      </c>
      <c r="I428" s="257">
        <v>0</v>
      </c>
      <c r="J428" s="257">
        <v>0</v>
      </c>
      <c r="K428" s="257">
        <v>0</v>
      </c>
      <c r="L428" s="257">
        <v>0</v>
      </c>
      <c r="M428" s="257"/>
      <c r="N428" s="279">
        <v>130999</v>
      </c>
      <c r="O428" s="257">
        <v>130999</v>
      </c>
    </row>
    <row r="429" spans="1:16" s="143" customFormat="1" ht="30" hidden="1" x14ac:dyDescent="0.25">
      <c r="A429" s="143" t="s">
        <v>711</v>
      </c>
      <c r="B429" s="143" t="s">
        <v>316</v>
      </c>
      <c r="C429" s="290" t="s">
        <v>317</v>
      </c>
      <c r="D429" s="143" t="s">
        <v>69</v>
      </c>
      <c r="E429" s="257">
        <v>678950</v>
      </c>
      <c r="F429" s="257">
        <v>678950</v>
      </c>
      <c r="G429" s="257">
        <v>0</v>
      </c>
      <c r="H429" s="257">
        <v>0</v>
      </c>
      <c r="I429" s="257">
        <v>0</v>
      </c>
      <c r="J429" s="257">
        <v>0</v>
      </c>
      <c r="K429" s="257">
        <v>0</v>
      </c>
      <c r="L429" s="257">
        <v>0</v>
      </c>
      <c r="M429" s="257"/>
      <c r="N429" s="279">
        <v>678950</v>
      </c>
      <c r="O429" s="257">
        <v>0</v>
      </c>
    </row>
    <row r="430" spans="1:16" s="143" customFormat="1" hidden="1" x14ac:dyDescent="0.25">
      <c r="A430" s="143" t="s">
        <v>711</v>
      </c>
      <c r="B430" s="143" t="s">
        <v>318</v>
      </c>
      <c r="C430" s="290" t="s">
        <v>319</v>
      </c>
      <c r="D430" s="143" t="s">
        <v>69</v>
      </c>
      <c r="E430" s="257">
        <v>648835</v>
      </c>
      <c r="F430" s="257">
        <v>648835</v>
      </c>
      <c r="G430" s="257">
        <v>648835</v>
      </c>
      <c r="H430" s="257">
        <v>0</v>
      </c>
      <c r="I430" s="257">
        <v>0</v>
      </c>
      <c r="J430" s="257">
        <v>0</v>
      </c>
      <c r="K430" s="257">
        <v>0</v>
      </c>
      <c r="L430" s="257">
        <v>0</v>
      </c>
      <c r="M430" s="257"/>
      <c r="N430" s="279">
        <v>648835</v>
      </c>
      <c r="O430" s="257">
        <v>648835</v>
      </c>
    </row>
    <row r="431" spans="1:16" s="143" customFormat="1" ht="30" hidden="1" x14ac:dyDescent="0.25">
      <c r="A431" s="143" t="s">
        <v>711</v>
      </c>
      <c r="B431" s="143" t="s">
        <v>202</v>
      </c>
      <c r="C431" s="290" t="s">
        <v>203</v>
      </c>
      <c r="D431" s="143" t="s">
        <v>69</v>
      </c>
      <c r="E431" s="257">
        <v>274510</v>
      </c>
      <c r="F431" s="257">
        <v>274510</v>
      </c>
      <c r="G431" s="257">
        <v>274510</v>
      </c>
      <c r="H431" s="257">
        <v>271864</v>
      </c>
      <c r="I431" s="257">
        <v>0</v>
      </c>
      <c r="J431" s="257">
        <v>0</v>
      </c>
      <c r="K431" s="257">
        <v>0</v>
      </c>
      <c r="L431" s="257">
        <v>0</v>
      </c>
      <c r="M431" s="257"/>
      <c r="N431" s="279">
        <v>2646</v>
      </c>
      <c r="O431" s="257">
        <v>2646</v>
      </c>
    </row>
    <row r="432" spans="1:16" s="143" customFormat="1" ht="30" hidden="1" x14ac:dyDescent="0.25">
      <c r="A432" s="143" t="s">
        <v>711</v>
      </c>
      <c r="B432" s="143" t="s">
        <v>204</v>
      </c>
      <c r="C432" s="290" t="s">
        <v>205</v>
      </c>
      <c r="D432" s="143" t="s">
        <v>69</v>
      </c>
      <c r="E432" s="257">
        <v>4524220</v>
      </c>
      <c r="F432" s="257">
        <v>4524220</v>
      </c>
      <c r="G432" s="257">
        <v>4524220</v>
      </c>
      <c r="H432" s="257">
        <v>0</v>
      </c>
      <c r="I432" s="257">
        <v>0</v>
      </c>
      <c r="J432" s="257">
        <v>0</v>
      </c>
      <c r="K432" s="257">
        <v>0</v>
      </c>
      <c r="L432" s="257">
        <v>0</v>
      </c>
      <c r="M432" s="257"/>
      <c r="N432" s="279">
        <v>4524220</v>
      </c>
      <c r="O432" s="257">
        <v>4524220</v>
      </c>
    </row>
    <row r="433" spans="1:16" s="143" customFormat="1" ht="30" hidden="1" x14ac:dyDescent="0.25">
      <c r="A433" s="143" t="s">
        <v>711</v>
      </c>
      <c r="B433" s="143" t="s">
        <v>322</v>
      </c>
      <c r="C433" s="290" t="s">
        <v>323</v>
      </c>
      <c r="D433" s="143" t="s">
        <v>69</v>
      </c>
      <c r="E433" s="257">
        <v>134785</v>
      </c>
      <c r="F433" s="257">
        <v>134785</v>
      </c>
      <c r="G433" s="257">
        <v>134785</v>
      </c>
      <c r="H433" s="257">
        <v>0</v>
      </c>
      <c r="I433" s="257">
        <v>0</v>
      </c>
      <c r="J433" s="257">
        <v>0</v>
      </c>
      <c r="K433" s="257">
        <v>0</v>
      </c>
      <c r="L433" s="257">
        <v>0</v>
      </c>
      <c r="M433" s="257"/>
      <c r="N433" s="279">
        <v>134785</v>
      </c>
      <c r="O433" s="257">
        <v>134785</v>
      </c>
    </row>
    <row r="434" spans="1:16" s="143" customFormat="1" ht="30" hidden="1" x14ac:dyDescent="0.25">
      <c r="A434" s="143" t="s">
        <v>711</v>
      </c>
      <c r="B434" s="143" t="s">
        <v>206</v>
      </c>
      <c r="C434" s="290" t="s">
        <v>207</v>
      </c>
      <c r="D434" s="143" t="s">
        <v>69</v>
      </c>
      <c r="E434" s="257">
        <v>4818247</v>
      </c>
      <c r="F434" s="257">
        <v>4818247</v>
      </c>
      <c r="G434" s="257">
        <v>1818247</v>
      </c>
      <c r="H434" s="257">
        <v>0</v>
      </c>
      <c r="I434" s="257">
        <v>0</v>
      </c>
      <c r="J434" s="257">
        <v>0</v>
      </c>
      <c r="K434" s="257">
        <v>0</v>
      </c>
      <c r="L434" s="257">
        <v>0</v>
      </c>
      <c r="M434" s="257"/>
      <c r="N434" s="279">
        <v>4818247</v>
      </c>
      <c r="O434" s="257">
        <v>1818247</v>
      </c>
    </row>
    <row r="435" spans="1:16" s="143" customFormat="1" ht="30" hidden="1" x14ac:dyDescent="0.25">
      <c r="A435" s="143" t="s">
        <v>711</v>
      </c>
      <c r="B435" s="143" t="s">
        <v>208</v>
      </c>
      <c r="C435" s="290" t="s">
        <v>209</v>
      </c>
      <c r="D435" s="143" t="s">
        <v>69</v>
      </c>
      <c r="E435" s="257">
        <v>4818247</v>
      </c>
      <c r="F435" s="257">
        <v>4818247</v>
      </c>
      <c r="G435" s="257">
        <v>1818247</v>
      </c>
      <c r="H435" s="257">
        <v>0</v>
      </c>
      <c r="I435" s="257">
        <v>0</v>
      </c>
      <c r="J435" s="257">
        <v>0</v>
      </c>
      <c r="K435" s="257">
        <v>0</v>
      </c>
      <c r="L435" s="257">
        <v>0</v>
      </c>
      <c r="M435" s="257"/>
      <c r="N435" s="279">
        <v>4818247</v>
      </c>
      <c r="O435" s="257">
        <v>1818247</v>
      </c>
    </row>
    <row r="436" spans="1:16" s="143" customFormat="1" ht="30" hidden="1" x14ac:dyDescent="0.25">
      <c r="A436" s="143" t="s">
        <v>711</v>
      </c>
      <c r="B436" s="143" t="s">
        <v>354</v>
      </c>
      <c r="C436" s="290" t="s">
        <v>355</v>
      </c>
      <c r="D436" s="143" t="s">
        <v>69</v>
      </c>
      <c r="E436" s="257">
        <v>2859160</v>
      </c>
      <c r="F436" s="257">
        <v>2859160</v>
      </c>
      <c r="G436" s="257">
        <v>859160</v>
      </c>
      <c r="H436" s="257">
        <v>0</v>
      </c>
      <c r="I436" s="257">
        <v>0</v>
      </c>
      <c r="J436" s="257">
        <v>0</v>
      </c>
      <c r="K436" s="257">
        <v>0</v>
      </c>
      <c r="L436" s="257">
        <v>0</v>
      </c>
      <c r="M436" s="257"/>
      <c r="N436" s="279">
        <v>2859160</v>
      </c>
      <c r="O436" s="257">
        <v>859160</v>
      </c>
    </row>
    <row r="437" spans="1:16" s="143" customFormat="1" ht="45" hidden="1" x14ac:dyDescent="0.25">
      <c r="A437" s="143" t="s">
        <v>711</v>
      </c>
      <c r="B437" s="143" t="s">
        <v>356</v>
      </c>
      <c r="C437" s="290" t="s">
        <v>357</v>
      </c>
      <c r="D437" s="143" t="s">
        <v>69</v>
      </c>
      <c r="E437" s="257">
        <v>2859160</v>
      </c>
      <c r="F437" s="257">
        <v>2859160</v>
      </c>
      <c r="G437" s="257">
        <v>859160</v>
      </c>
      <c r="H437" s="257">
        <v>0</v>
      </c>
      <c r="I437" s="257">
        <v>0</v>
      </c>
      <c r="J437" s="257">
        <v>0</v>
      </c>
      <c r="K437" s="257">
        <v>0</v>
      </c>
      <c r="L437" s="257">
        <v>0</v>
      </c>
      <c r="M437" s="257"/>
      <c r="N437" s="279">
        <v>2859160</v>
      </c>
      <c r="O437" s="257">
        <v>859160</v>
      </c>
    </row>
    <row r="438" spans="1:16" s="143" customFormat="1" ht="30" hidden="1" x14ac:dyDescent="0.25">
      <c r="A438" s="143" t="s">
        <v>711</v>
      </c>
      <c r="B438" s="143" t="s">
        <v>212</v>
      </c>
      <c r="C438" s="290" t="s">
        <v>213</v>
      </c>
      <c r="D438" s="143" t="s">
        <v>69</v>
      </c>
      <c r="E438" s="257">
        <v>20687802</v>
      </c>
      <c r="F438" s="257">
        <v>20687802</v>
      </c>
      <c r="G438" s="257">
        <v>20687802</v>
      </c>
      <c r="H438" s="257">
        <v>3981750</v>
      </c>
      <c r="I438" s="257">
        <v>0</v>
      </c>
      <c r="J438" s="257">
        <v>0</v>
      </c>
      <c r="K438" s="257">
        <v>0</v>
      </c>
      <c r="L438" s="257">
        <v>0</v>
      </c>
      <c r="M438" s="257"/>
      <c r="N438" s="279">
        <v>16706052</v>
      </c>
      <c r="O438" s="257">
        <v>16706052</v>
      </c>
    </row>
    <row r="439" spans="1:16" s="143" customFormat="1" ht="30" hidden="1" x14ac:dyDescent="0.25">
      <c r="A439" s="143" t="s">
        <v>711</v>
      </c>
      <c r="B439" s="143" t="s">
        <v>216</v>
      </c>
      <c r="C439" s="290" t="s">
        <v>217</v>
      </c>
      <c r="D439" s="143" t="s">
        <v>69</v>
      </c>
      <c r="E439" s="257">
        <v>9443712</v>
      </c>
      <c r="F439" s="257">
        <v>9443712</v>
      </c>
      <c r="G439" s="257">
        <v>9443712</v>
      </c>
      <c r="H439" s="257">
        <v>0</v>
      </c>
      <c r="I439" s="257">
        <v>0</v>
      </c>
      <c r="J439" s="257">
        <v>0</v>
      </c>
      <c r="K439" s="257">
        <v>0</v>
      </c>
      <c r="L439" s="257">
        <v>0</v>
      </c>
      <c r="M439" s="257"/>
      <c r="N439" s="279">
        <v>9443712</v>
      </c>
      <c r="O439" s="257">
        <v>9443712</v>
      </c>
    </row>
    <row r="440" spans="1:16" s="143" customFormat="1" ht="30" hidden="1" x14ac:dyDescent="0.25">
      <c r="A440" s="143" t="s">
        <v>711</v>
      </c>
      <c r="B440" s="143" t="s">
        <v>218</v>
      </c>
      <c r="C440" s="290" t="s">
        <v>219</v>
      </c>
      <c r="D440" s="143" t="s">
        <v>69</v>
      </c>
      <c r="E440" s="257">
        <v>4708500</v>
      </c>
      <c r="F440" s="257">
        <v>4708500</v>
      </c>
      <c r="G440" s="257">
        <v>4708500</v>
      </c>
      <c r="H440" s="257">
        <v>0</v>
      </c>
      <c r="I440" s="257">
        <v>0</v>
      </c>
      <c r="J440" s="257">
        <v>0</v>
      </c>
      <c r="K440" s="257">
        <v>0</v>
      </c>
      <c r="L440" s="257">
        <v>0</v>
      </c>
      <c r="M440" s="257"/>
      <c r="N440" s="279">
        <v>4708500</v>
      </c>
      <c r="O440" s="257">
        <v>4708500</v>
      </c>
    </row>
    <row r="441" spans="1:16" s="143" customFormat="1" hidden="1" x14ac:dyDescent="0.25">
      <c r="A441" s="143" t="s">
        <v>711</v>
      </c>
      <c r="B441" s="143" t="s">
        <v>220</v>
      </c>
      <c r="C441" s="290" t="s">
        <v>221</v>
      </c>
      <c r="D441" s="143" t="s">
        <v>69</v>
      </c>
      <c r="E441" s="257">
        <v>4306450</v>
      </c>
      <c r="F441" s="257">
        <v>4306450</v>
      </c>
      <c r="G441" s="257">
        <v>4306450</v>
      </c>
      <c r="H441" s="257">
        <v>3981750</v>
      </c>
      <c r="I441" s="257">
        <v>0</v>
      </c>
      <c r="J441" s="257">
        <v>0</v>
      </c>
      <c r="K441" s="257">
        <v>0</v>
      </c>
      <c r="L441" s="257">
        <v>0</v>
      </c>
      <c r="M441" s="257"/>
      <c r="N441" s="279">
        <v>324700</v>
      </c>
      <c r="O441" s="257">
        <v>324700</v>
      </c>
    </row>
    <row r="442" spans="1:16" s="143" customFormat="1" ht="30" hidden="1" x14ac:dyDescent="0.25">
      <c r="A442" s="143" t="s">
        <v>711</v>
      </c>
      <c r="B442" s="143" t="s">
        <v>222</v>
      </c>
      <c r="C442" s="290" t="s">
        <v>223</v>
      </c>
      <c r="D442" s="143" t="s">
        <v>69</v>
      </c>
      <c r="E442" s="257">
        <v>842640</v>
      </c>
      <c r="F442" s="257">
        <v>842640</v>
      </c>
      <c r="G442" s="257">
        <v>842640</v>
      </c>
      <c r="H442" s="257">
        <v>0</v>
      </c>
      <c r="I442" s="257">
        <v>0</v>
      </c>
      <c r="J442" s="257">
        <v>0</v>
      </c>
      <c r="K442" s="257">
        <v>0</v>
      </c>
      <c r="L442" s="257">
        <v>0</v>
      </c>
      <c r="M442" s="257"/>
      <c r="N442" s="279">
        <v>842640</v>
      </c>
      <c r="O442" s="257">
        <v>842640</v>
      </c>
    </row>
    <row r="443" spans="1:16" s="143" customFormat="1" ht="30" hidden="1" x14ac:dyDescent="0.25">
      <c r="A443" s="143" t="s">
        <v>711</v>
      </c>
      <c r="B443" s="143" t="s">
        <v>224</v>
      </c>
      <c r="C443" s="290" t="s">
        <v>225</v>
      </c>
      <c r="D443" s="143" t="s">
        <v>69</v>
      </c>
      <c r="E443" s="257">
        <v>887300</v>
      </c>
      <c r="F443" s="257">
        <v>887300</v>
      </c>
      <c r="G443" s="257">
        <v>887300</v>
      </c>
      <c r="H443" s="257">
        <v>0</v>
      </c>
      <c r="I443" s="257">
        <v>0</v>
      </c>
      <c r="J443" s="257">
        <v>0</v>
      </c>
      <c r="K443" s="257">
        <v>0</v>
      </c>
      <c r="L443" s="257">
        <v>0</v>
      </c>
      <c r="M443" s="257"/>
      <c r="N443" s="279">
        <v>887300</v>
      </c>
      <c r="O443" s="257">
        <v>887300</v>
      </c>
    </row>
    <row r="444" spans="1:16" s="143" customFormat="1" ht="30" hidden="1" x14ac:dyDescent="0.25">
      <c r="A444" s="143" t="s">
        <v>711</v>
      </c>
      <c r="B444" s="143" t="s">
        <v>228</v>
      </c>
      <c r="C444" s="290" t="s">
        <v>229</v>
      </c>
      <c r="D444" s="143" t="s">
        <v>69</v>
      </c>
      <c r="E444" s="257">
        <v>499200</v>
      </c>
      <c r="F444" s="257">
        <v>499200</v>
      </c>
      <c r="G444" s="257">
        <v>499200</v>
      </c>
      <c r="H444" s="257">
        <v>0</v>
      </c>
      <c r="I444" s="257">
        <v>0</v>
      </c>
      <c r="J444" s="257">
        <v>0</v>
      </c>
      <c r="K444" s="257">
        <v>0</v>
      </c>
      <c r="L444" s="257">
        <v>0</v>
      </c>
      <c r="M444" s="257"/>
      <c r="N444" s="279">
        <v>499200</v>
      </c>
      <c r="O444" s="257">
        <v>499200</v>
      </c>
    </row>
    <row r="445" spans="1:16" s="143" customFormat="1" x14ac:dyDescent="0.25">
      <c r="A445" s="280" t="s">
        <v>711</v>
      </c>
      <c r="B445" s="281" t="s">
        <v>230</v>
      </c>
      <c r="C445" s="282" t="s">
        <v>231</v>
      </c>
      <c r="D445" s="283" t="s">
        <v>85</v>
      </c>
      <c r="E445" s="257">
        <v>53324000</v>
      </c>
      <c r="F445" s="284">
        <v>53324000</v>
      </c>
      <c r="G445" s="257">
        <v>50204000</v>
      </c>
      <c r="H445" s="257">
        <v>0</v>
      </c>
      <c r="I445" s="257">
        <v>0</v>
      </c>
      <c r="J445" s="257">
        <v>0</v>
      </c>
      <c r="K445" s="284">
        <v>0</v>
      </c>
      <c r="L445" s="257">
        <v>0</v>
      </c>
      <c r="M445" s="285">
        <f>+K445/F445</f>
        <v>0</v>
      </c>
      <c r="N445" s="286">
        <v>53324000</v>
      </c>
      <c r="O445" s="257">
        <v>50204000</v>
      </c>
      <c r="P445" s="287">
        <f>+N445/F445</f>
        <v>1</v>
      </c>
    </row>
    <row r="446" spans="1:16" s="143" customFormat="1" ht="30" hidden="1" x14ac:dyDescent="0.25">
      <c r="A446" s="143" t="s">
        <v>711</v>
      </c>
      <c r="B446" s="143" t="s">
        <v>232</v>
      </c>
      <c r="C446" s="290" t="s">
        <v>233</v>
      </c>
      <c r="D446" s="143" t="s">
        <v>85</v>
      </c>
      <c r="E446" s="257">
        <v>45824000</v>
      </c>
      <c r="F446" s="257">
        <v>45824000</v>
      </c>
      <c r="G446" s="257">
        <v>42704000</v>
      </c>
      <c r="H446" s="257">
        <v>0</v>
      </c>
      <c r="I446" s="257">
        <v>0</v>
      </c>
      <c r="J446" s="257">
        <v>0</v>
      </c>
      <c r="K446" s="257">
        <v>0</v>
      </c>
      <c r="L446" s="257">
        <v>0</v>
      </c>
      <c r="M446" s="257"/>
      <c r="N446" s="279">
        <v>45824000</v>
      </c>
      <c r="O446" s="257">
        <v>42704000</v>
      </c>
    </row>
    <row r="447" spans="1:16" s="143" customFormat="1" ht="30" hidden="1" x14ac:dyDescent="0.25">
      <c r="A447" s="143" t="s">
        <v>711</v>
      </c>
      <c r="B447" s="143" t="s">
        <v>234</v>
      </c>
      <c r="C447" s="290" t="s">
        <v>235</v>
      </c>
      <c r="D447" s="143" t="s">
        <v>85</v>
      </c>
      <c r="E447" s="257">
        <v>3490000</v>
      </c>
      <c r="F447" s="257">
        <v>3490000</v>
      </c>
      <c r="G447" s="257">
        <v>790000</v>
      </c>
      <c r="H447" s="257">
        <v>0</v>
      </c>
      <c r="I447" s="257">
        <v>0</v>
      </c>
      <c r="J447" s="257">
        <v>0</v>
      </c>
      <c r="K447" s="257">
        <v>0</v>
      </c>
      <c r="L447" s="257">
        <v>0</v>
      </c>
      <c r="M447" s="257"/>
      <c r="N447" s="279">
        <v>3490000</v>
      </c>
      <c r="O447" s="257">
        <v>790000</v>
      </c>
    </row>
    <row r="448" spans="1:16" s="143" customFormat="1" ht="30" hidden="1" x14ac:dyDescent="0.25">
      <c r="A448" s="143" t="s">
        <v>711</v>
      </c>
      <c r="B448" s="143" t="s">
        <v>238</v>
      </c>
      <c r="C448" s="290" t="s">
        <v>239</v>
      </c>
      <c r="D448" s="143" t="s">
        <v>85</v>
      </c>
      <c r="E448" s="257">
        <v>420000</v>
      </c>
      <c r="F448" s="257">
        <v>420000</v>
      </c>
      <c r="G448" s="257">
        <v>0</v>
      </c>
      <c r="H448" s="257">
        <v>0</v>
      </c>
      <c r="I448" s="257">
        <v>0</v>
      </c>
      <c r="J448" s="257">
        <v>0</v>
      </c>
      <c r="K448" s="257">
        <v>0</v>
      </c>
      <c r="L448" s="257">
        <v>0</v>
      </c>
      <c r="M448" s="257"/>
      <c r="N448" s="279">
        <v>420000</v>
      </c>
      <c r="O448" s="257">
        <v>0</v>
      </c>
    </row>
    <row r="449" spans="1:16" s="143" customFormat="1" ht="45" hidden="1" x14ac:dyDescent="0.25">
      <c r="A449" s="143" t="s">
        <v>711</v>
      </c>
      <c r="B449" s="143" t="s">
        <v>326</v>
      </c>
      <c r="C449" s="290" t="s">
        <v>327</v>
      </c>
      <c r="D449" s="143" t="s">
        <v>85</v>
      </c>
      <c r="E449" s="257">
        <v>41125000</v>
      </c>
      <c r="F449" s="257">
        <v>41125000</v>
      </c>
      <c r="G449" s="257">
        <v>41125000</v>
      </c>
      <c r="H449" s="257">
        <v>0</v>
      </c>
      <c r="I449" s="257">
        <v>0</v>
      </c>
      <c r="J449" s="257">
        <v>0</v>
      </c>
      <c r="K449" s="257">
        <v>0</v>
      </c>
      <c r="L449" s="257">
        <v>0</v>
      </c>
      <c r="M449" s="257"/>
      <c r="N449" s="279">
        <v>41125000</v>
      </c>
      <c r="O449" s="257">
        <v>41125000</v>
      </c>
    </row>
    <row r="450" spans="1:16" s="143" customFormat="1" ht="30" hidden="1" x14ac:dyDescent="0.25">
      <c r="A450" s="143" t="s">
        <v>711</v>
      </c>
      <c r="B450" s="143" t="s">
        <v>242</v>
      </c>
      <c r="C450" s="290" t="s">
        <v>243</v>
      </c>
      <c r="D450" s="143" t="s">
        <v>85</v>
      </c>
      <c r="E450" s="257">
        <v>789000</v>
      </c>
      <c r="F450" s="257">
        <v>789000</v>
      </c>
      <c r="G450" s="257">
        <v>789000</v>
      </c>
      <c r="H450" s="257">
        <v>0</v>
      </c>
      <c r="I450" s="257">
        <v>0</v>
      </c>
      <c r="J450" s="257">
        <v>0</v>
      </c>
      <c r="K450" s="257">
        <v>0</v>
      </c>
      <c r="L450" s="257">
        <v>0</v>
      </c>
      <c r="M450" s="257"/>
      <c r="N450" s="279">
        <v>789000</v>
      </c>
      <c r="O450" s="257">
        <v>789000</v>
      </c>
    </row>
    <row r="451" spans="1:16" s="143" customFormat="1" hidden="1" x14ac:dyDescent="0.25">
      <c r="A451" s="143" t="s">
        <v>711</v>
      </c>
      <c r="B451" s="143" t="s">
        <v>244</v>
      </c>
      <c r="C451" s="290" t="s">
        <v>245</v>
      </c>
      <c r="D451" s="143" t="s">
        <v>85</v>
      </c>
      <c r="E451" s="257">
        <v>7500000</v>
      </c>
      <c r="F451" s="257">
        <v>7500000</v>
      </c>
      <c r="G451" s="257">
        <v>7500000</v>
      </c>
      <c r="H451" s="257">
        <v>0</v>
      </c>
      <c r="I451" s="257">
        <v>0</v>
      </c>
      <c r="J451" s="257">
        <v>0</v>
      </c>
      <c r="K451" s="257">
        <v>0</v>
      </c>
      <c r="L451" s="257">
        <v>0</v>
      </c>
      <c r="M451" s="257"/>
      <c r="N451" s="279">
        <v>7500000</v>
      </c>
      <c r="O451" s="257">
        <v>7500000</v>
      </c>
    </row>
    <row r="452" spans="1:16" s="143" customFormat="1" hidden="1" x14ac:dyDescent="0.25">
      <c r="A452" s="143" t="s">
        <v>711</v>
      </c>
      <c r="B452" s="143" t="s">
        <v>611</v>
      </c>
      <c r="C452" s="290" t="s">
        <v>612</v>
      </c>
      <c r="D452" s="143" t="s">
        <v>85</v>
      </c>
      <c r="E452" s="257">
        <v>7500000</v>
      </c>
      <c r="F452" s="257">
        <v>7500000</v>
      </c>
      <c r="G452" s="257">
        <v>7500000</v>
      </c>
      <c r="H452" s="257">
        <v>0</v>
      </c>
      <c r="I452" s="257">
        <v>0</v>
      </c>
      <c r="J452" s="257">
        <v>0</v>
      </c>
      <c r="K452" s="257">
        <v>0</v>
      </c>
      <c r="L452" s="257">
        <v>0</v>
      </c>
      <c r="M452" s="257"/>
      <c r="N452" s="279">
        <v>7500000</v>
      </c>
      <c r="O452" s="257">
        <v>7500000</v>
      </c>
    </row>
    <row r="453" spans="1:16" s="143" customFormat="1" x14ac:dyDescent="0.25">
      <c r="A453" s="280" t="s">
        <v>711</v>
      </c>
      <c r="B453" s="281" t="s">
        <v>248</v>
      </c>
      <c r="C453" s="282" t="s">
        <v>249</v>
      </c>
      <c r="D453" s="283" t="s">
        <v>69</v>
      </c>
      <c r="E453" s="257">
        <v>236354526</v>
      </c>
      <c r="F453" s="284">
        <v>236354526</v>
      </c>
      <c r="G453" s="257">
        <v>230664701</v>
      </c>
      <c r="H453" s="257">
        <v>0</v>
      </c>
      <c r="I453" s="257">
        <v>144651182</v>
      </c>
      <c r="J453" s="257">
        <v>0</v>
      </c>
      <c r="K453" s="284">
        <v>45365832</v>
      </c>
      <c r="L453" s="257">
        <v>45365832</v>
      </c>
      <c r="M453" s="285">
        <f>+K453/F453</f>
        <v>0.19193976425059023</v>
      </c>
      <c r="N453" s="286">
        <v>46337512</v>
      </c>
      <c r="O453" s="257">
        <v>40647687</v>
      </c>
      <c r="P453" s="287">
        <f>+N453/F453</f>
        <v>0.19605087655482425</v>
      </c>
    </row>
    <row r="454" spans="1:16" s="143" customFormat="1" ht="30" hidden="1" x14ac:dyDescent="0.25">
      <c r="A454" s="143" t="s">
        <v>711</v>
      </c>
      <c r="B454" s="143" t="s">
        <v>250</v>
      </c>
      <c r="C454" s="290" t="s">
        <v>251</v>
      </c>
      <c r="D454" s="143" t="s">
        <v>69</v>
      </c>
      <c r="E454" s="257">
        <v>180354526</v>
      </c>
      <c r="F454" s="257">
        <v>180354526</v>
      </c>
      <c r="G454" s="257">
        <v>174664701</v>
      </c>
      <c r="H454" s="257">
        <v>0</v>
      </c>
      <c r="I454" s="257">
        <v>144651182</v>
      </c>
      <c r="J454" s="257">
        <v>0</v>
      </c>
      <c r="K454" s="257">
        <v>35703344</v>
      </c>
      <c r="L454" s="257">
        <v>35703344</v>
      </c>
      <c r="M454" s="257"/>
      <c r="N454" s="279">
        <v>0</v>
      </c>
      <c r="O454" s="275">
        <v>-5689825</v>
      </c>
    </row>
    <row r="455" spans="1:16" s="143" customFormat="1" ht="90" hidden="1" x14ac:dyDescent="0.25">
      <c r="A455" s="143" t="s">
        <v>711</v>
      </c>
      <c r="B455" s="143" t="s">
        <v>630</v>
      </c>
      <c r="C455" s="290" t="s">
        <v>702</v>
      </c>
      <c r="D455" s="143" t="s">
        <v>69</v>
      </c>
      <c r="E455" s="257">
        <v>153192762</v>
      </c>
      <c r="F455" s="257">
        <v>153192762</v>
      </c>
      <c r="G455" s="257">
        <v>148359836</v>
      </c>
      <c r="H455" s="257">
        <v>0</v>
      </c>
      <c r="I455" s="257">
        <v>123054682</v>
      </c>
      <c r="J455" s="257">
        <v>0</v>
      </c>
      <c r="K455" s="257">
        <v>30138080</v>
      </c>
      <c r="L455" s="257">
        <v>30138080</v>
      </c>
      <c r="M455" s="257"/>
      <c r="N455" s="279">
        <v>0</v>
      </c>
      <c r="O455" s="275">
        <v>-4832926</v>
      </c>
    </row>
    <row r="456" spans="1:16" s="143" customFormat="1" ht="90" hidden="1" x14ac:dyDescent="0.25">
      <c r="A456" s="143" t="s">
        <v>711</v>
      </c>
      <c r="B456" s="143" t="s">
        <v>645</v>
      </c>
      <c r="C456" s="290" t="s">
        <v>703</v>
      </c>
      <c r="D456" s="143" t="s">
        <v>69</v>
      </c>
      <c r="E456" s="257">
        <v>27161764</v>
      </c>
      <c r="F456" s="257">
        <v>27161764</v>
      </c>
      <c r="G456" s="257">
        <v>26304865</v>
      </c>
      <c r="H456" s="257">
        <v>0</v>
      </c>
      <c r="I456" s="257">
        <v>21596500</v>
      </c>
      <c r="J456" s="257">
        <v>0</v>
      </c>
      <c r="K456" s="257">
        <v>5565264</v>
      </c>
      <c r="L456" s="257">
        <v>5565264</v>
      </c>
      <c r="M456" s="257"/>
      <c r="N456" s="279">
        <v>0</v>
      </c>
      <c r="O456" s="275">
        <v>-856899</v>
      </c>
    </row>
    <row r="457" spans="1:16" s="143" customFormat="1" hidden="1" x14ac:dyDescent="0.25">
      <c r="A457" s="143" t="s">
        <v>711</v>
      </c>
      <c r="B457" s="143" t="s">
        <v>260</v>
      </c>
      <c r="C457" s="290" t="s">
        <v>261</v>
      </c>
      <c r="D457" s="143" t="s">
        <v>69</v>
      </c>
      <c r="E457" s="257">
        <v>56000000</v>
      </c>
      <c r="F457" s="257">
        <v>56000000</v>
      </c>
      <c r="G457" s="257">
        <v>56000000</v>
      </c>
      <c r="H457" s="257">
        <v>0</v>
      </c>
      <c r="I457" s="257">
        <v>0</v>
      </c>
      <c r="J457" s="257">
        <v>0</v>
      </c>
      <c r="K457" s="257">
        <v>9662488</v>
      </c>
      <c r="L457" s="257">
        <v>9662488</v>
      </c>
      <c r="M457" s="257"/>
      <c r="N457" s="279">
        <v>46337512</v>
      </c>
      <c r="O457" s="257">
        <v>46337512</v>
      </c>
    </row>
    <row r="458" spans="1:16" s="143" customFormat="1" hidden="1" x14ac:dyDescent="0.25">
      <c r="A458" s="143" t="s">
        <v>711</v>
      </c>
      <c r="B458" s="143" t="s">
        <v>264</v>
      </c>
      <c r="C458" s="290" t="s">
        <v>265</v>
      </c>
      <c r="D458" s="143" t="s">
        <v>69</v>
      </c>
      <c r="E458" s="257">
        <v>56000000</v>
      </c>
      <c r="F458" s="257">
        <v>56000000</v>
      </c>
      <c r="G458" s="257">
        <v>56000000</v>
      </c>
      <c r="H458" s="257">
        <v>0</v>
      </c>
      <c r="I458" s="257">
        <v>0</v>
      </c>
      <c r="J458" s="257">
        <v>0</v>
      </c>
      <c r="K458" s="257">
        <v>9662488</v>
      </c>
      <c r="L458" s="257">
        <v>9662488</v>
      </c>
      <c r="M458" s="257"/>
      <c r="N458" s="279">
        <v>46337512</v>
      </c>
      <c r="O458" s="257">
        <v>46337512</v>
      </c>
    </row>
    <row r="459" spans="1:16" s="143" customFormat="1" hidden="1" x14ac:dyDescent="0.25">
      <c r="A459" s="143" t="s">
        <v>712</v>
      </c>
      <c r="C459" s="290"/>
      <c r="D459" s="143" t="s">
        <v>69</v>
      </c>
      <c r="E459" s="257">
        <v>2218633702</v>
      </c>
      <c r="F459" s="257">
        <v>2218633702</v>
      </c>
      <c r="G459" s="257">
        <v>1739893566</v>
      </c>
      <c r="H459" s="257">
        <v>8958600</v>
      </c>
      <c r="I459" s="257">
        <v>218754936.80000001</v>
      </c>
      <c r="J459" s="257">
        <v>0</v>
      </c>
      <c r="K459" s="257">
        <v>403141059.88</v>
      </c>
      <c r="L459" s="257">
        <v>338824368.48000002</v>
      </c>
      <c r="M459" s="257"/>
      <c r="N459" s="279">
        <v>1587779105.3199999</v>
      </c>
      <c r="O459" s="257">
        <v>1109038969.3199999</v>
      </c>
    </row>
    <row r="460" spans="1:16" s="143" customFormat="1" x14ac:dyDescent="0.25">
      <c r="C460" s="290"/>
      <c r="E460" s="257"/>
      <c r="F460" s="292">
        <f>SUBTOTAL(9,F387:F459)</f>
        <v>85909310620</v>
      </c>
      <c r="G460" s="257"/>
      <c r="H460" s="257"/>
      <c r="I460" s="257"/>
      <c r="J460" s="257"/>
      <c r="K460" s="292">
        <f>SUBTOTAL(9,K387:K459)</f>
        <v>16427603283.039995</v>
      </c>
      <c r="L460" s="257"/>
      <c r="M460" s="293">
        <f>+K460/F460</f>
        <v>0.19122028991367077</v>
      </c>
      <c r="N460" s="341">
        <f>SUBTOTAL(9,N387:N459)</f>
        <v>59613015589.540001</v>
      </c>
      <c r="O460" s="257"/>
      <c r="P460" s="295">
        <f>+N460/F460</f>
        <v>0.69390634332085854</v>
      </c>
    </row>
    <row r="461" spans="1:16" s="143" customFormat="1" x14ac:dyDescent="0.25">
      <c r="A461" s="291"/>
      <c r="C461" s="290"/>
      <c r="E461" s="257"/>
      <c r="F461" s="257"/>
      <c r="G461" s="257"/>
      <c r="H461" s="257"/>
      <c r="I461" s="257"/>
      <c r="J461" s="257"/>
      <c r="K461" s="257"/>
      <c r="L461" s="257"/>
      <c r="M461" s="257"/>
      <c r="N461" s="257"/>
      <c r="O461" s="257"/>
    </row>
    <row r="462" spans="1:16" s="143" customFormat="1" x14ac:dyDescent="0.25">
      <c r="A462" s="296" t="s">
        <v>712</v>
      </c>
      <c r="B462" s="297" t="s">
        <v>71</v>
      </c>
      <c r="C462" s="298" t="s">
        <v>72</v>
      </c>
      <c r="D462" s="299" t="s">
        <v>69</v>
      </c>
      <c r="E462" s="257">
        <v>1258145726</v>
      </c>
      <c r="F462" s="300">
        <v>1258145726</v>
      </c>
      <c r="G462" s="257">
        <v>1219624729</v>
      </c>
      <c r="H462" s="257">
        <v>0</v>
      </c>
      <c r="I462" s="257">
        <v>149829094</v>
      </c>
      <c r="J462" s="257">
        <v>0</v>
      </c>
      <c r="K462" s="300">
        <v>317591654.83999997</v>
      </c>
      <c r="L462" s="257">
        <v>317591654.83999997</v>
      </c>
      <c r="M462" s="301">
        <f>+K462/F462</f>
        <v>0.25242835410625553</v>
      </c>
      <c r="N462" s="302">
        <v>790724977.15999997</v>
      </c>
      <c r="O462" s="257">
        <v>752203980.15999997</v>
      </c>
      <c r="P462" s="303">
        <f>+N462/F462</f>
        <v>0.62848441227387675</v>
      </c>
    </row>
    <row r="463" spans="1:16" s="143" customFormat="1" hidden="1" x14ac:dyDescent="0.25">
      <c r="A463" s="143" t="s">
        <v>712</v>
      </c>
      <c r="B463" s="143" t="s">
        <v>73</v>
      </c>
      <c r="C463" s="290" t="s">
        <v>74</v>
      </c>
      <c r="D463" s="143" t="s">
        <v>69</v>
      </c>
      <c r="E463" s="257">
        <v>493376624</v>
      </c>
      <c r="F463" s="257">
        <v>493376624</v>
      </c>
      <c r="G463" s="257">
        <v>477092402</v>
      </c>
      <c r="H463" s="257">
        <v>0</v>
      </c>
      <c r="I463" s="257">
        <v>0</v>
      </c>
      <c r="J463" s="257">
        <v>0</v>
      </c>
      <c r="K463" s="257">
        <v>112723987.84</v>
      </c>
      <c r="L463" s="257">
        <v>112723987.84</v>
      </c>
      <c r="M463" s="288">
        <f>K463/F463*100</f>
        <v>22.847452099797902</v>
      </c>
      <c r="N463" s="257">
        <v>380652636.16000003</v>
      </c>
      <c r="O463" s="257">
        <v>364368414.16000003</v>
      </c>
      <c r="P463" s="289">
        <f>N463/F463*100</f>
        <v>77.152547900202109</v>
      </c>
    </row>
    <row r="464" spans="1:16" s="143" customFormat="1" hidden="1" x14ac:dyDescent="0.25">
      <c r="A464" s="143" t="s">
        <v>712</v>
      </c>
      <c r="B464" s="143" t="s">
        <v>75</v>
      </c>
      <c r="C464" s="290" t="s">
        <v>76</v>
      </c>
      <c r="D464" s="143" t="s">
        <v>69</v>
      </c>
      <c r="E464" s="257">
        <v>493376624</v>
      </c>
      <c r="F464" s="257">
        <v>493376624</v>
      </c>
      <c r="G464" s="257">
        <v>477092402</v>
      </c>
      <c r="H464" s="257">
        <v>0</v>
      </c>
      <c r="I464" s="257">
        <v>0</v>
      </c>
      <c r="J464" s="257">
        <v>0</v>
      </c>
      <c r="K464" s="257">
        <v>112723987.84</v>
      </c>
      <c r="L464" s="257">
        <v>112723987.84</v>
      </c>
      <c r="M464" s="257"/>
      <c r="N464" s="279">
        <v>380652636.16000003</v>
      </c>
      <c r="O464" s="257">
        <v>364368414.16000003</v>
      </c>
    </row>
    <row r="465" spans="1:16" s="143" customFormat="1" hidden="1" x14ac:dyDescent="0.25">
      <c r="A465" s="143" t="s">
        <v>712</v>
      </c>
      <c r="B465" s="143" t="s">
        <v>77</v>
      </c>
      <c r="C465" s="290" t="s">
        <v>78</v>
      </c>
      <c r="D465" s="143" t="s">
        <v>69</v>
      </c>
      <c r="E465" s="257">
        <v>572843880</v>
      </c>
      <c r="F465" s="257">
        <v>572843880</v>
      </c>
      <c r="G465" s="257">
        <v>556483341</v>
      </c>
      <c r="H465" s="257">
        <v>0</v>
      </c>
      <c r="I465" s="257">
        <v>0</v>
      </c>
      <c r="J465" s="257">
        <v>0</v>
      </c>
      <c r="K465" s="257">
        <v>162771539</v>
      </c>
      <c r="L465" s="257">
        <v>162771539</v>
      </c>
      <c r="M465" s="288">
        <f>K465/F465*100</f>
        <v>28.414642223287785</v>
      </c>
      <c r="N465" s="257">
        <v>410072341</v>
      </c>
      <c r="O465" s="257">
        <v>393711802</v>
      </c>
      <c r="P465" s="289">
        <f>N465/F465*100</f>
        <v>71.585357776712215</v>
      </c>
    </row>
    <row r="466" spans="1:16" s="143" customFormat="1" ht="30" hidden="1" x14ac:dyDescent="0.25">
      <c r="A466" s="143" t="s">
        <v>712</v>
      </c>
      <c r="B466" s="143" t="s">
        <v>79</v>
      </c>
      <c r="C466" s="290" t="s">
        <v>80</v>
      </c>
      <c r="D466" s="143" t="s">
        <v>69</v>
      </c>
      <c r="E466" s="257">
        <v>166263500</v>
      </c>
      <c r="F466" s="257">
        <v>166263500</v>
      </c>
      <c r="G466" s="257">
        <v>159438723</v>
      </c>
      <c r="H466" s="257">
        <v>0</v>
      </c>
      <c r="I466" s="257">
        <v>0</v>
      </c>
      <c r="J466" s="257">
        <v>0</v>
      </c>
      <c r="K466" s="257">
        <v>35920101.149999999</v>
      </c>
      <c r="L466" s="257">
        <v>35920101.149999999</v>
      </c>
      <c r="M466" s="257"/>
      <c r="N466" s="279">
        <v>130343398.84999999</v>
      </c>
      <c r="O466" s="257">
        <v>123518621.84999999</v>
      </c>
    </row>
    <row r="467" spans="1:16" s="143" customFormat="1" ht="30" hidden="1" x14ac:dyDescent="0.25">
      <c r="A467" s="143" t="s">
        <v>712</v>
      </c>
      <c r="B467" s="143" t="s">
        <v>81</v>
      </c>
      <c r="C467" s="290" t="s">
        <v>82</v>
      </c>
      <c r="D467" s="143" t="s">
        <v>69</v>
      </c>
      <c r="E467" s="257">
        <v>139725380</v>
      </c>
      <c r="F467" s="257">
        <v>139725380</v>
      </c>
      <c r="G467" s="257">
        <v>133724590</v>
      </c>
      <c r="H467" s="257">
        <v>0</v>
      </c>
      <c r="I467" s="257">
        <v>0</v>
      </c>
      <c r="J467" s="257">
        <v>0</v>
      </c>
      <c r="K467" s="257">
        <v>35881816.920000002</v>
      </c>
      <c r="L467" s="257">
        <v>35881816.920000002</v>
      </c>
      <c r="M467" s="257"/>
      <c r="N467" s="279">
        <v>103843563.08</v>
      </c>
      <c r="O467" s="257">
        <v>97842773.079999998</v>
      </c>
    </row>
    <row r="468" spans="1:16" s="143" customFormat="1" hidden="1" x14ac:dyDescent="0.25">
      <c r="A468" s="143" t="s">
        <v>712</v>
      </c>
      <c r="B468" s="143" t="s">
        <v>83</v>
      </c>
      <c r="C468" s="290" t="s">
        <v>84</v>
      </c>
      <c r="D468" s="143" t="s">
        <v>85</v>
      </c>
      <c r="E468" s="257">
        <v>81986600</v>
      </c>
      <c r="F468" s="257">
        <v>81986600</v>
      </c>
      <c r="G468" s="257">
        <v>79476392</v>
      </c>
      <c r="H468" s="257">
        <v>0</v>
      </c>
      <c r="I468" s="257">
        <v>0</v>
      </c>
      <c r="J468" s="257">
        <v>0</v>
      </c>
      <c r="K468" s="257">
        <v>0</v>
      </c>
      <c r="L468" s="257">
        <v>0</v>
      </c>
      <c r="M468" s="257"/>
      <c r="N468" s="279">
        <v>81986600</v>
      </c>
      <c r="O468" s="257">
        <v>79476392</v>
      </c>
    </row>
    <row r="469" spans="1:16" s="143" customFormat="1" hidden="1" x14ac:dyDescent="0.25">
      <c r="A469" s="143" t="s">
        <v>712</v>
      </c>
      <c r="B469" s="143" t="s">
        <v>86</v>
      </c>
      <c r="C469" s="290" t="s">
        <v>87</v>
      </c>
      <c r="D469" s="143" t="s">
        <v>69</v>
      </c>
      <c r="E469" s="257">
        <v>75278800</v>
      </c>
      <c r="F469" s="257">
        <v>75278800</v>
      </c>
      <c r="G469" s="257">
        <v>75278800</v>
      </c>
      <c r="H469" s="257">
        <v>0</v>
      </c>
      <c r="I469" s="257">
        <v>0</v>
      </c>
      <c r="J469" s="257">
        <v>0</v>
      </c>
      <c r="K469" s="257">
        <v>63363055.5</v>
      </c>
      <c r="L469" s="257">
        <v>63363055.5</v>
      </c>
      <c r="M469" s="257"/>
      <c r="N469" s="279">
        <v>11915744.5</v>
      </c>
      <c r="O469" s="257">
        <v>11915744.5</v>
      </c>
    </row>
    <row r="470" spans="1:16" s="143" customFormat="1" ht="30" hidden="1" x14ac:dyDescent="0.25">
      <c r="A470" s="143" t="s">
        <v>712</v>
      </c>
      <c r="B470" s="143" t="s">
        <v>88</v>
      </c>
      <c r="C470" s="290" t="s">
        <v>89</v>
      </c>
      <c r="D470" s="143" t="s">
        <v>69</v>
      </c>
      <c r="E470" s="257">
        <v>109589600</v>
      </c>
      <c r="F470" s="257">
        <v>109589600</v>
      </c>
      <c r="G470" s="257">
        <v>108564836</v>
      </c>
      <c r="H470" s="257">
        <v>0</v>
      </c>
      <c r="I470" s="257">
        <v>0</v>
      </c>
      <c r="J470" s="257">
        <v>0</v>
      </c>
      <c r="K470" s="257">
        <v>27606565.43</v>
      </c>
      <c r="L470" s="257">
        <v>27606565.43</v>
      </c>
      <c r="M470" s="257"/>
      <c r="N470" s="279">
        <v>81983034.569999993</v>
      </c>
      <c r="O470" s="257">
        <v>80958270.569999993</v>
      </c>
    </row>
    <row r="471" spans="1:16" s="143" customFormat="1" ht="30" hidden="1" x14ac:dyDescent="0.25">
      <c r="A471" s="143" t="s">
        <v>712</v>
      </c>
      <c r="B471" s="143" t="s">
        <v>90</v>
      </c>
      <c r="C471" s="290" t="s">
        <v>91</v>
      </c>
      <c r="D471" s="143" t="s">
        <v>69</v>
      </c>
      <c r="E471" s="257">
        <v>95962711</v>
      </c>
      <c r="F471" s="257">
        <v>95962711</v>
      </c>
      <c r="G471" s="257">
        <v>93024593</v>
      </c>
      <c r="H471" s="257">
        <v>0</v>
      </c>
      <c r="I471" s="257">
        <v>74851407</v>
      </c>
      <c r="J471" s="257">
        <v>0</v>
      </c>
      <c r="K471" s="257">
        <v>21111304</v>
      </c>
      <c r="L471" s="257">
        <v>21111304</v>
      </c>
      <c r="M471" s="288">
        <f>K471/F471*100</f>
        <v>21.999486863183762</v>
      </c>
      <c r="N471" s="257">
        <v>0</v>
      </c>
      <c r="O471" s="275">
        <v>-2938118</v>
      </c>
      <c r="P471" s="289">
        <f>N471/F471*100</f>
        <v>0</v>
      </c>
    </row>
    <row r="472" spans="1:16" s="143" customFormat="1" ht="90" hidden="1" x14ac:dyDescent="0.25">
      <c r="A472" s="143" t="s">
        <v>712</v>
      </c>
      <c r="B472" s="143" t="s">
        <v>422</v>
      </c>
      <c r="C472" s="290" t="s">
        <v>697</v>
      </c>
      <c r="D472" s="143" t="s">
        <v>69</v>
      </c>
      <c r="E472" s="257">
        <v>91041575</v>
      </c>
      <c r="F472" s="257">
        <v>91041575</v>
      </c>
      <c r="G472" s="257">
        <v>88254129</v>
      </c>
      <c r="H472" s="257">
        <v>0</v>
      </c>
      <c r="I472" s="257">
        <v>71012901</v>
      </c>
      <c r="J472" s="257">
        <v>0</v>
      </c>
      <c r="K472" s="257">
        <v>20028674</v>
      </c>
      <c r="L472" s="257">
        <v>20028674</v>
      </c>
      <c r="M472" s="257"/>
      <c r="N472" s="279">
        <v>0</v>
      </c>
      <c r="O472" s="275">
        <v>-2787446</v>
      </c>
    </row>
    <row r="473" spans="1:16" s="143" customFormat="1" ht="75" hidden="1" x14ac:dyDescent="0.25">
      <c r="A473" s="143" t="s">
        <v>712</v>
      </c>
      <c r="B473" s="143" t="s">
        <v>439</v>
      </c>
      <c r="C473" s="290" t="s">
        <v>95</v>
      </c>
      <c r="D473" s="143" t="s">
        <v>69</v>
      </c>
      <c r="E473" s="257">
        <v>4921136</v>
      </c>
      <c r="F473" s="257">
        <v>4921136</v>
      </c>
      <c r="G473" s="257">
        <v>4770464</v>
      </c>
      <c r="H473" s="257">
        <v>0</v>
      </c>
      <c r="I473" s="257">
        <v>3838506</v>
      </c>
      <c r="J473" s="257">
        <v>0</v>
      </c>
      <c r="K473" s="257">
        <v>1082630</v>
      </c>
      <c r="L473" s="257">
        <v>1082630</v>
      </c>
      <c r="M473" s="257"/>
      <c r="N473" s="279">
        <v>0</v>
      </c>
      <c r="O473" s="275">
        <v>-150672</v>
      </c>
    </row>
    <row r="474" spans="1:16" s="143" customFormat="1" ht="30" hidden="1" x14ac:dyDescent="0.25">
      <c r="A474" s="143" t="s">
        <v>712</v>
      </c>
      <c r="B474" s="143" t="s">
        <v>96</v>
      </c>
      <c r="C474" s="290" t="s">
        <v>97</v>
      </c>
      <c r="D474" s="143" t="s">
        <v>69</v>
      </c>
      <c r="E474" s="257">
        <v>95962511</v>
      </c>
      <c r="F474" s="257">
        <v>95962511</v>
      </c>
      <c r="G474" s="257">
        <v>93024393</v>
      </c>
      <c r="H474" s="257">
        <v>0</v>
      </c>
      <c r="I474" s="257">
        <v>74977687</v>
      </c>
      <c r="J474" s="257">
        <v>0</v>
      </c>
      <c r="K474" s="257">
        <v>20984824</v>
      </c>
      <c r="L474" s="257">
        <v>20984824</v>
      </c>
      <c r="M474" s="288">
        <f>K474/F474*100</f>
        <v>21.867731243506121</v>
      </c>
      <c r="N474" s="257">
        <v>0</v>
      </c>
      <c r="O474" s="275">
        <v>-2938118</v>
      </c>
      <c r="P474" s="289">
        <f>N474/F474*100</f>
        <v>0</v>
      </c>
    </row>
    <row r="475" spans="1:16" s="143" customFormat="1" ht="90" hidden="1" x14ac:dyDescent="0.25">
      <c r="A475" s="143" t="s">
        <v>712</v>
      </c>
      <c r="B475" s="143" t="s">
        <v>457</v>
      </c>
      <c r="C475" s="290" t="s">
        <v>698</v>
      </c>
      <c r="D475" s="143" t="s">
        <v>69</v>
      </c>
      <c r="E475" s="257">
        <v>51672183</v>
      </c>
      <c r="F475" s="257">
        <v>51672183</v>
      </c>
      <c r="G475" s="257">
        <v>50090119</v>
      </c>
      <c r="H475" s="257">
        <v>0</v>
      </c>
      <c r="I475" s="257">
        <v>40431038</v>
      </c>
      <c r="J475" s="257">
        <v>0</v>
      </c>
      <c r="K475" s="257">
        <v>11241145</v>
      </c>
      <c r="L475" s="257">
        <v>11241145</v>
      </c>
      <c r="M475" s="257"/>
      <c r="N475" s="279">
        <v>0</v>
      </c>
      <c r="O475" s="275">
        <v>-1582064</v>
      </c>
    </row>
    <row r="476" spans="1:16" s="143" customFormat="1" ht="90" hidden="1" x14ac:dyDescent="0.25">
      <c r="A476" s="143" t="s">
        <v>712</v>
      </c>
      <c r="B476" s="143" t="s">
        <v>474</v>
      </c>
      <c r="C476" s="290" t="s">
        <v>699</v>
      </c>
      <c r="D476" s="143" t="s">
        <v>69</v>
      </c>
      <c r="E476" s="257">
        <v>14763409</v>
      </c>
      <c r="F476" s="257">
        <v>14763409</v>
      </c>
      <c r="G476" s="257">
        <v>14311391</v>
      </c>
      <c r="H476" s="257">
        <v>0</v>
      </c>
      <c r="I476" s="257">
        <v>11515516</v>
      </c>
      <c r="J476" s="257">
        <v>0</v>
      </c>
      <c r="K476" s="257">
        <v>3247893</v>
      </c>
      <c r="L476" s="257">
        <v>3247893</v>
      </c>
      <c r="M476" s="257"/>
      <c r="N476" s="279">
        <v>0</v>
      </c>
      <c r="O476" s="275">
        <v>-452018</v>
      </c>
    </row>
    <row r="477" spans="1:16" s="143" customFormat="1" ht="90" hidden="1" x14ac:dyDescent="0.25">
      <c r="A477" s="143" t="s">
        <v>712</v>
      </c>
      <c r="B477" s="143" t="s">
        <v>491</v>
      </c>
      <c r="C477" s="290" t="s">
        <v>700</v>
      </c>
      <c r="D477" s="143" t="s">
        <v>69</v>
      </c>
      <c r="E477" s="257">
        <v>29526919</v>
      </c>
      <c r="F477" s="257">
        <v>29526919</v>
      </c>
      <c r="G477" s="257">
        <v>28622883</v>
      </c>
      <c r="H477" s="257">
        <v>0</v>
      </c>
      <c r="I477" s="257">
        <v>23031133</v>
      </c>
      <c r="J477" s="257">
        <v>0</v>
      </c>
      <c r="K477" s="257">
        <v>6495786</v>
      </c>
      <c r="L477" s="257">
        <v>6495786</v>
      </c>
      <c r="M477" s="257"/>
      <c r="N477" s="279">
        <v>0</v>
      </c>
      <c r="O477" s="275">
        <v>-904036</v>
      </c>
    </row>
    <row r="478" spans="1:16" s="143" customFormat="1" x14ac:dyDescent="0.25">
      <c r="A478" s="296" t="s">
        <v>712</v>
      </c>
      <c r="B478" s="297" t="s">
        <v>104</v>
      </c>
      <c r="C478" s="298" t="s">
        <v>105</v>
      </c>
      <c r="D478" s="299" t="s">
        <v>69</v>
      </c>
      <c r="E478" s="257">
        <v>306630000</v>
      </c>
      <c r="F478" s="300">
        <v>306630000</v>
      </c>
      <c r="G478" s="257">
        <v>160411875</v>
      </c>
      <c r="H478" s="257">
        <v>0</v>
      </c>
      <c r="I478" s="257">
        <v>36082851.399999999</v>
      </c>
      <c r="J478" s="257">
        <v>0</v>
      </c>
      <c r="K478" s="300">
        <v>32427148.600000001</v>
      </c>
      <c r="L478" s="257">
        <v>0</v>
      </c>
      <c r="M478" s="301">
        <f>+K478/F478</f>
        <v>0.10575334637837133</v>
      </c>
      <c r="N478" s="302">
        <v>238120000</v>
      </c>
      <c r="O478" s="257">
        <v>91901875</v>
      </c>
      <c r="P478" s="303">
        <f>+N478/F478</f>
        <v>0.77657111176336302</v>
      </c>
    </row>
    <row r="479" spans="1:16" s="143" customFormat="1" hidden="1" x14ac:dyDescent="0.25">
      <c r="A479" s="143" t="s">
        <v>712</v>
      </c>
      <c r="B479" s="143" t="s">
        <v>112</v>
      </c>
      <c r="C479" s="290" t="s">
        <v>113</v>
      </c>
      <c r="D479" s="143" t="s">
        <v>69</v>
      </c>
      <c r="E479" s="257">
        <v>291630000</v>
      </c>
      <c r="F479" s="257">
        <v>291630000</v>
      </c>
      <c r="G479" s="257">
        <v>145411875</v>
      </c>
      <c r="H479" s="257">
        <v>0</v>
      </c>
      <c r="I479" s="257">
        <v>36082851.399999999</v>
      </c>
      <c r="J479" s="257">
        <v>0</v>
      </c>
      <c r="K479" s="257">
        <v>32427148.600000001</v>
      </c>
      <c r="L479" s="257">
        <v>0</v>
      </c>
      <c r="M479" s="257"/>
      <c r="N479" s="279">
        <v>223120000</v>
      </c>
      <c r="O479" s="257">
        <v>76901875</v>
      </c>
    </row>
    <row r="480" spans="1:16" s="143" customFormat="1" ht="30" hidden="1" x14ac:dyDescent="0.25">
      <c r="A480" s="143" t="s">
        <v>712</v>
      </c>
      <c r="B480" s="143" t="s">
        <v>114</v>
      </c>
      <c r="C480" s="290" t="s">
        <v>115</v>
      </c>
      <c r="D480" s="143" t="s">
        <v>69</v>
      </c>
      <c r="E480" s="257">
        <v>221840000</v>
      </c>
      <c r="F480" s="257">
        <v>221840000</v>
      </c>
      <c r="G480" s="257">
        <v>108266875</v>
      </c>
      <c r="H480" s="257">
        <v>0</v>
      </c>
      <c r="I480" s="257">
        <v>28220916</v>
      </c>
      <c r="J480" s="257">
        <v>0</v>
      </c>
      <c r="K480" s="257">
        <v>27239084</v>
      </c>
      <c r="L480" s="257">
        <v>0</v>
      </c>
      <c r="M480" s="257"/>
      <c r="N480" s="279">
        <v>166380000</v>
      </c>
      <c r="O480" s="257">
        <v>52806875</v>
      </c>
    </row>
    <row r="481" spans="1:16" s="143" customFormat="1" ht="30" hidden="1" x14ac:dyDescent="0.25">
      <c r="A481" s="143" t="s">
        <v>712</v>
      </c>
      <c r="B481" s="143" t="s">
        <v>116</v>
      </c>
      <c r="C481" s="290" t="s">
        <v>117</v>
      </c>
      <c r="D481" s="143" t="s">
        <v>69</v>
      </c>
      <c r="E481" s="257">
        <v>52200000</v>
      </c>
      <c r="F481" s="257">
        <v>52200000</v>
      </c>
      <c r="G481" s="257">
        <v>26100000</v>
      </c>
      <c r="H481" s="257">
        <v>0</v>
      </c>
      <c r="I481" s="257">
        <v>7861935.4000000004</v>
      </c>
      <c r="J481" s="257">
        <v>0</v>
      </c>
      <c r="K481" s="257">
        <v>5188064.5999999996</v>
      </c>
      <c r="L481" s="257">
        <v>0</v>
      </c>
      <c r="M481" s="257"/>
      <c r="N481" s="279">
        <v>39150000</v>
      </c>
      <c r="O481" s="257">
        <v>13050000</v>
      </c>
    </row>
    <row r="482" spans="1:16" s="143" customFormat="1" ht="30" hidden="1" x14ac:dyDescent="0.25">
      <c r="A482" s="143" t="s">
        <v>712</v>
      </c>
      <c r="B482" s="143" t="s">
        <v>120</v>
      </c>
      <c r="C482" s="290" t="s">
        <v>121</v>
      </c>
      <c r="D482" s="143" t="s">
        <v>69</v>
      </c>
      <c r="E482" s="257">
        <v>13090000</v>
      </c>
      <c r="F482" s="257">
        <v>13090000</v>
      </c>
      <c r="G482" s="257">
        <v>6545000</v>
      </c>
      <c r="H482" s="257">
        <v>0</v>
      </c>
      <c r="I482" s="257">
        <v>0</v>
      </c>
      <c r="J482" s="257">
        <v>0</v>
      </c>
      <c r="K482" s="257">
        <v>0</v>
      </c>
      <c r="L482" s="257">
        <v>0</v>
      </c>
      <c r="M482" s="257"/>
      <c r="N482" s="279">
        <v>13090000</v>
      </c>
      <c r="O482" s="257">
        <v>6545000</v>
      </c>
    </row>
    <row r="483" spans="1:16" s="143" customFormat="1" hidden="1" x14ac:dyDescent="0.25">
      <c r="A483" s="143" t="s">
        <v>712</v>
      </c>
      <c r="B483" s="143" t="s">
        <v>122</v>
      </c>
      <c r="C483" s="290" t="s">
        <v>123</v>
      </c>
      <c r="D483" s="143" t="s">
        <v>69</v>
      </c>
      <c r="E483" s="257">
        <v>4500000</v>
      </c>
      <c r="F483" s="257">
        <v>4500000</v>
      </c>
      <c r="G483" s="257">
        <v>4500000</v>
      </c>
      <c r="H483" s="257">
        <v>0</v>
      </c>
      <c r="I483" s="257">
        <v>0</v>
      </c>
      <c r="J483" s="257">
        <v>0</v>
      </c>
      <c r="K483" s="257">
        <v>0</v>
      </c>
      <c r="L483" s="257">
        <v>0</v>
      </c>
      <c r="M483" s="257"/>
      <c r="N483" s="279">
        <v>4500000</v>
      </c>
      <c r="O483" s="257">
        <v>4500000</v>
      </c>
    </row>
    <row r="484" spans="1:16" s="143" customFormat="1" ht="30" hidden="1" x14ac:dyDescent="0.25">
      <c r="A484" s="143" t="s">
        <v>712</v>
      </c>
      <c r="B484" s="143" t="s">
        <v>162</v>
      </c>
      <c r="C484" s="290" t="s">
        <v>163</v>
      </c>
      <c r="D484" s="143" t="s">
        <v>69</v>
      </c>
      <c r="E484" s="257">
        <v>15000000</v>
      </c>
      <c r="F484" s="257">
        <v>15000000</v>
      </c>
      <c r="G484" s="257">
        <v>15000000</v>
      </c>
      <c r="H484" s="257">
        <v>0</v>
      </c>
      <c r="I484" s="257">
        <v>0</v>
      </c>
      <c r="J484" s="257">
        <v>0</v>
      </c>
      <c r="K484" s="257">
        <v>0</v>
      </c>
      <c r="L484" s="257">
        <v>0</v>
      </c>
      <c r="M484" s="257"/>
      <c r="N484" s="279">
        <v>15000000</v>
      </c>
      <c r="O484" s="257">
        <v>15000000</v>
      </c>
    </row>
    <row r="485" spans="1:16" s="143" customFormat="1" ht="45" hidden="1" x14ac:dyDescent="0.25">
      <c r="A485" s="143" t="s">
        <v>712</v>
      </c>
      <c r="B485" s="143" t="s">
        <v>164</v>
      </c>
      <c r="C485" s="290" t="s">
        <v>165</v>
      </c>
      <c r="D485" s="143" t="s">
        <v>69</v>
      </c>
      <c r="E485" s="257">
        <v>15000000</v>
      </c>
      <c r="F485" s="257">
        <v>15000000</v>
      </c>
      <c r="G485" s="257">
        <v>15000000</v>
      </c>
      <c r="H485" s="257">
        <v>0</v>
      </c>
      <c r="I485" s="257">
        <v>0</v>
      </c>
      <c r="J485" s="257">
        <v>0</v>
      </c>
      <c r="K485" s="257">
        <v>0</v>
      </c>
      <c r="L485" s="257">
        <v>0</v>
      </c>
      <c r="M485" s="257"/>
      <c r="N485" s="279">
        <v>15000000</v>
      </c>
      <c r="O485" s="257">
        <v>15000000</v>
      </c>
    </row>
    <row r="486" spans="1:16" s="143" customFormat="1" x14ac:dyDescent="0.25">
      <c r="A486" s="296" t="s">
        <v>712</v>
      </c>
      <c r="B486" s="297" t="s">
        <v>184</v>
      </c>
      <c r="C486" s="298" t="s">
        <v>185</v>
      </c>
      <c r="D486" s="299" t="s">
        <v>69</v>
      </c>
      <c r="E486" s="257">
        <v>621407272</v>
      </c>
      <c r="F486" s="300">
        <v>621407272</v>
      </c>
      <c r="G486" s="257">
        <v>327906489</v>
      </c>
      <c r="H486" s="257">
        <v>2998600</v>
      </c>
      <c r="I486" s="257">
        <v>19972642.399999999</v>
      </c>
      <c r="J486" s="257">
        <v>0</v>
      </c>
      <c r="K486" s="300">
        <v>48975473.439999998</v>
      </c>
      <c r="L486" s="257">
        <v>17085930.640000001</v>
      </c>
      <c r="M486" s="301">
        <f>+K486/F486</f>
        <v>7.8813808023797949E-2</v>
      </c>
      <c r="N486" s="302">
        <v>549460556.15999997</v>
      </c>
      <c r="O486" s="257">
        <v>255959773.16</v>
      </c>
      <c r="P486" s="303">
        <f>+N486/F486</f>
        <v>0.8842197072968917</v>
      </c>
    </row>
    <row r="487" spans="1:16" s="143" customFormat="1" ht="30" hidden="1" x14ac:dyDescent="0.25">
      <c r="A487" s="143" t="s">
        <v>712</v>
      </c>
      <c r="B487" s="143" t="s">
        <v>186</v>
      </c>
      <c r="C487" s="290" t="s">
        <v>187</v>
      </c>
      <c r="D487" s="143" t="s">
        <v>69</v>
      </c>
      <c r="E487" s="257">
        <v>25251750</v>
      </c>
      <c r="F487" s="257">
        <v>25251750</v>
      </c>
      <c r="G487" s="257">
        <v>12508376</v>
      </c>
      <c r="H487" s="257">
        <v>0</v>
      </c>
      <c r="I487" s="257">
        <v>0</v>
      </c>
      <c r="J487" s="257">
        <v>0</v>
      </c>
      <c r="K487" s="257">
        <v>0</v>
      </c>
      <c r="L487" s="257">
        <v>0</v>
      </c>
      <c r="M487" s="257"/>
      <c r="N487" s="279">
        <v>25251750</v>
      </c>
      <c r="O487" s="257">
        <v>12508376</v>
      </c>
    </row>
    <row r="488" spans="1:16" s="143" customFormat="1" hidden="1" x14ac:dyDescent="0.25">
      <c r="A488" s="143" t="s">
        <v>712</v>
      </c>
      <c r="B488" s="143" t="s">
        <v>188</v>
      </c>
      <c r="C488" s="290" t="s">
        <v>189</v>
      </c>
      <c r="D488" s="143" t="s">
        <v>69</v>
      </c>
      <c r="E488" s="257">
        <v>24819750</v>
      </c>
      <c r="F488" s="257">
        <v>24819750</v>
      </c>
      <c r="G488" s="257">
        <v>12311376</v>
      </c>
      <c r="H488" s="257">
        <v>0</v>
      </c>
      <c r="I488" s="257">
        <v>0</v>
      </c>
      <c r="J488" s="257">
        <v>0</v>
      </c>
      <c r="K488" s="257">
        <v>0</v>
      </c>
      <c r="L488" s="257">
        <v>0</v>
      </c>
      <c r="M488" s="257"/>
      <c r="N488" s="279">
        <v>24819750</v>
      </c>
      <c r="O488" s="257">
        <v>12311376</v>
      </c>
    </row>
    <row r="489" spans="1:16" s="143" customFormat="1" ht="30" hidden="1" x14ac:dyDescent="0.25">
      <c r="A489" s="143" t="s">
        <v>712</v>
      </c>
      <c r="B489" s="143" t="s">
        <v>190</v>
      </c>
      <c r="C489" s="290" t="s">
        <v>191</v>
      </c>
      <c r="D489" s="143" t="s">
        <v>69</v>
      </c>
      <c r="E489" s="257">
        <v>197000</v>
      </c>
      <c r="F489" s="257">
        <v>197000</v>
      </c>
      <c r="G489" s="257">
        <v>197000</v>
      </c>
      <c r="H489" s="257">
        <v>0</v>
      </c>
      <c r="I489" s="257">
        <v>0</v>
      </c>
      <c r="J489" s="257">
        <v>0</v>
      </c>
      <c r="K489" s="257">
        <v>0</v>
      </c>
      <c r="L489" s="257">
        <v>0</v>
      </c>
      <c r="M489" s="257"/>
      <c r="N489" s="279">
        <v>197000</v>
      </c>
      <c r="O489" s="257">
        <v>197000</v>
      </c>
    </row>
    <row r="490" spans="1:16" s="143" customFormat="1" ht="30" hidden="1" x14ac:dyDescent="0.25">
      <c r="A490" s="143" t="s">
        <v>712</v>
      </c>
      <c r="B490" s="143" t="s">
        <v>194</v>
      </c>
      <c r="C490" s="290" t="s">
        <v>195</v>
      </c>
      <c r="D490" s="143" t="s">
        <v>69</v>
      </c>
      <c r="E490" s="257">
        <v>235000</v>
      </c>
      <c r="F490" s="257">
        <v>235000</v>
      </c>
      <c r="G490" s="257">
        <v>0</v>
      </c>
      <c r="H490" s="257">
        <v>0</v>
      </c>
      <c r="I490" s="257">
        <v>0</v>
      </c>
      <c r="J490" s="257">
        <v>0</v>
      </c>
      <c r="K490" s="257">
        <v>0</v>
      </c>
      <c r="L490" s="257">
        <v>0</v>
      </c>
      <c r="M490" s="257"/>
      <c r="N490" s="279">
        <v>235000</v>
      </c>
      <c r="O490" s="257">
        <v>0</v>
      </c>
    </row>
    <row r="491" spans="1:16" s="143" customFormat="1" ht="30" hidden="1" x14ac:dyDescent="0.25">
      <c r="A491" s="143" t="s">
        <v>712</v>
      </c>
      <c r="B491" s="143" t="s">
        <v>196</v>
      </c>
      <c r="C491" s="290" t="s">
        <v>197</v>
      </c>
      <c r="D491" s="143" t="s">
        <v>69</v>
      </c>
      <c r="E491" s="257">
        <v>582942552</v>
      </c>
      <c r="F491" s="257">
        <v>582942552</v>
      </c>
      <c r="G491" s="257">
        <v>302185143</v>
      </c>
      <c r="H491" s="257">
        <v>0</v>
      </c>
      <c r="I491" s="257">
        <v>19972642.399999999</v>
      </c>
      <c r="J491" s="257">
        <v>0</v>
      </c>
      <c r="K491" s="257">
        <v>48975473.439999998</v>
      </c>
      <c r="L491" s="257">
        <v>17085930.640000001</v>
      </c>
      <c r="M491" s="257"/>
      <c r="N491" s="279">
        <v>513994436.16000003</v>
      </c>
      <c r="O491" s="257">
        <v>233237027.16</v>
      </c>
    </row>
    <row r="492" spans="1:16" s="143" customFormat="1" hidden="1" x14ac:dyDescent="0.25">
      <c r="A492" s="143" t="s">
        <v>712</v>
      </c>
      <c r="B492" s="143" t="s">
        <v>198</v>
      </c>
      <c r="C492" s="290" t="s">
        <v>199</v>
      </c>
      <c r="D492" s="143" t="s">
        <v>69</v>
      </c>
      <c r="E492" s="257">
        <v>582942552</v>
      </c>
      <c r="F492" s="257">
        <v>582942552</v>
      </c>
      <c r="G492" s="257">
        <v>302185143</v>
      </c>
      <c r="H492" s="257">
        <v>0</v>
      </c>
      <c r="I492" s="257">
        <v>19972642.399999999</v>
      </c>
      <c r="J492" s="257">
        <v>0</v>
      </c>
      <c r="K492" s="257">
        <v>48975473.439999998</v>
      </c>
      <c r="L492" s="257">
        <v>17085930.640000001</v>
      </c>
      <c r="M492" s="257"/>
      <c r="N492" s="279">
        <v>513994436.16000003</v>
      </c>
      <c r="O492" s="257">
        <v>233237027.16</v>
      </c>
    </row>
    <row r="493" spans="1:16" s="143" customFormat="1" ht="30" hidden="1" x14ac:dyDescent="0.25">
      <c r="A493" s="143" t="s">
        <v>712</v>
      </c>
      <c r="B493" s="143" t="s">
        <v>206</v>
      </c>
      <c r="C493" s="290" t="s">
        <v>207</v>
      </c>
      <c r="D493" s="143" t="s">
        <v>69</v>
      </c>
      <c r="E493" s="257">
        <v>367200</v>
      </c>
      <c r="F493" s="257">
        <v>367200</v>
      </c>
      <c r="G493" s="257">
        <v>367200</v>
      </c>
      <c r="H493" s="257">
        <v>0</v>
      </c>
      <c r="I493" s="257">
        <v>0</v>
      </c>
      <c r="J493" s="257">
        <v>0</v>
      </c>
      <c r="K493" s="257">
        <v>0</v>
      </c>
      <c r="L493" s="257">
        <v>0</v>
      </c>
      <c r="M493" s="257"/>
      <c r="N493" s="279">
        <v>367200</v>
      </c>
      <c r="O493" s="257">
        <v>367200</v>
      </c>
    </row>
    <row r="494" spans="1:16" s="143" customFormat="1" ht="30" hidden="1" x14ac:dyDescent="0.25">
      <c r="A494" s="143" t="s">
        <v>712</v>
      </c>
      <c r="B494" s="143" t="s">
        <v>208</v>
      </c>
      <c r="C494" s="290" t="s">
        <v>209</v>
      </c>
      <c r="D494" s="143" t="s">
        <v>69</v>
      </c>
      <c r="E494" s="257">
        <v>367200</v>
      </c>
      <c r="F494" s="257">
        <v>367200</v>
      </c>
      <c r="G494" s="257">
        <v>367200</v>
      </c>
      <c r="H494" s="257">
        <v>0</v>
      </c>
      <c r="I494" s="257">
        <v>0</v>
      </c>
      <c r="J494" s="257">
        <v>0</v>
      </c>
      <c r="K494" s="257">
        <v>0</v>
      </c>
      <c r="L494" s="257">
        <v>0</v>
      </c>
      <c r="M494" s="257"/>
      <c r="N494" s="279">
        <v>367200</v>
      </c>
      <c r="O494" s="257">
        <v>367200</v>
      </c>
    </row>
    <row r="495" spans="1:16" s="143" customFormat="1" ht="30" hidden="1" x14ac:dyDescent="0.25">
      <c r="A495" s="143" t="s">
        <v>712</v>
      </c>
      <c r="B495" s="143" t="s">
        <v>354</v>
      </c>
      <c r="C495" s="290" t="s">
        <v>355</v>
      </c>
      <c r="D495" s="143" t="s">
        <v>69</v>
      </c>
      <c r="E495" s="257">
        <v>6280000</v>
      </c>
      <c r="F495" s="257">
        <v>6280000</v>
      </c>
      <c r="G495" s="257">
        <v>6280000</v>
      </c>
      <c r="H495" s="257">
        <v>0</v>
      </c>
      <c r="I495" s="257">
        <v>0</v>
      </c>
      <c r="J495" s="257">
        <v>0</v>
      </c>
      <c r="K495" s="257">
        <v>0</v>
      </c>
      <c r="L495" s="257">
        <v>0</v>
      </c>
      <c r="M495" s="257"/>
      <c r="N495" s="279">
        <v>6280000</v>
      </c>
      <c r="O495" s="257">
        <v>6280000</v>
      </c>
    </row>
    <row r="496" spans="1:16" s="143" customFormat="1" ht="45" hidden="1" x14ac:dyDescent="0.25">
      <c r="A496" s="143" t="s">
        <v>712</v>
      </c>
      <c r="B496" s="143" t="s">
        <v>356</v>
      </c>
      <c r="C496" s="290" t="s">
        <v>357</v>
      </c>
      <c r="D496" s="143" t="s">
        <v>69</v>
      </c>
      <c r="E496" s="257">
        <v>6280000</v>
      </c>
      <c r="F496" s="257">
        <v>6280000</v>
      </c>
      <c r="G496" s="257">
        <v>6280000</v>
      </c>
      <c r="H496" s="257">
        <v>0</v>
      </c>
      <c r="I496" s="257">
        <v>0</v>
      </c>
      <c r="J496" s="257">
        <v>0</v>
      </c>
      <c r="K496" s="257">
        <v>0</v>
      </c>
      <c r="L496" s="257">
        <v>0</v>
      </c>
      <c r="M496" s="257"/>
      <c r="N496" s="279">
        <v>6280000</v>
      </c>
      <c r="O496" s="257">
        <v>6280000</v>
      </c>
    </row>
    <row r="497" spans="1:16" s="143" customFormat="1" ht="30" hidden="1" x14ac:dyDescent="0.25">
      <c r="A497" s="143" t="s">
        <v>712</v>
      </c>
      <c r="B497" s="143" t="s">
        <v>212</v>
      </c>
      <c r="C497" s="290" t="s">
        <v>213</v>
      </c>
      <c r="D497" s="143" t="s">
        <v>69</v>
      </c>
      <c r="E497" s="257">
        <v>6565770</v>
      </c>
      <c r="F497" s="257">
        <v>6565770</v>
      </c>
      <c r="G497" s="257">
        <v>6565770</v>
      </c>
      <c r="H497" s="257">
        <v>2998600</v>
      </c>
      <c r="I497" s="257">
        <v>0</v>
      </c>
      <c r="J497" s="257">
        <v>0</v>
      </c>
      <c r="K497" s="257">
        <v>0</v>
      </c>
      <c r="L497" s="257">
        <v>0</v>
      </c>
      <c r="M497" s="257"/>
      <c r="N497" s="279">
        <v>3567170</v>
      </c>
      <c r="O497" s="257">
        <v>3567170</v>
      </c>
    </row>
    <row r="498" spans="1:16" s="143" customFormat="1" ht="30" hidden="1" x14ac:dyDescent="0.25">
      <c r="A498" s="143" t="s">
        <v>712</v>
      </c>
      <c r="B498" s="143" t="s">
        <v>216</v>
      </c>
      <c r="C498" s="290" t="s">
        <v>217</v>
      </c>
      <c r="D498" s="143" t="s">
        <v>69</v>
      </c>
      <c r="E498" s="257">
        <v>1076170</v>
      </c>
      <c r="F498" s="257">
        <v>1076170</v>
      </c>
      <c r="G498" s="257">
        <v>1076170</v>
      </c>
      <c r="H498" s="257">
        <v>0</v>
      </c>
      <c r="I498" s="257">
        <v>0</v>
      </c>
      <c r="J498" s="257">
        <v>0</v>
      </c>
      <c r="K498" s="257">
        <v>0</v>
      </c>
      <c r="L498" s="257">
        <v>0</v>
      </c>
      <c r="M498" s="257"/>
      <c r="N498" s="279">
        <v>1076170</v>
      </c>
      <c r="O498" s="257">
        <v>1076170</v>
      </c>
    </row>
    <row r="499" spans="1:16" s="143" customFormat="1" ht="30" hidden="1" x14ac:dyDescent="0.25">
      <c r="A499" s="143" t="s">
        <v>712</v>
      </c>
      <c r="B499" s="143" t="s">
        <v>218</v>
      </c>
      <c r="C499" s="290" t="s">
        <v>219</v>
      </c>
      <c r="D499" s="143" t="s">
        <v>69</v>
      </c>
      <c r="E499" s="257">
        <v>333500</v>
      </c>
      <c r="F499" s="257">
        <v>333500</v>
      </c>
      <c r="G499" s="257">
        <v>333500</v>
      </c>
      <c r="H499" s="257">
        <v>0</v>
      </c>
      <c r="I499" s="257">
        <v>0</v>
      </c>
      <c r="J499" s="257">
        <v>0</v>
      </c>
      <c r="K499" s="257">
        <v>0</v>
      </c>
      <c r="L499" s="257">
        <v>0</v>
      </c>
      <c r="M499" s="257"/>
      <c r="N499" s="279">
        <v>333500</v>
      </c>
      <c r="O499" s="257">
        <v>333500</v>
      </c>
    </row>
    <row r="500" spans="1:16" s="143" customFormat="1" hidden="1" x14ac:dyDescent="0.25">
      <c r="A500" s="143" t="s">
        <v>712</v>
      </c>
      <c r="B500" s="143" t="s">
        <v>220</v>
      </c>
      <c r="C500" s="290" t="s">
        <v>221</v>
      </c>
      <c r="D500" s="143" t="s">
        <v>69</v>
      </c>
      <c r="E500" s="257">
        <v>2531700</v>
      </c>
      <c r="F500" s="257">
        <v>2531700</v>
      </c>
      <c r="G500" s="257">
        <v>2531700</v>
      </c>
      <c r="H500" s="257">
        <v>2530600</v>
      </c>
      <c r="I500" s="257">
        <v>0</v>
      </c>
      <c r="J500" s="257">
        <v>0</v>
      </c>
      <c r="K500" s="257">
        <v>0</v>
      </c>
      <c r="L500" s="257">
        <v>0</v>
      </c>
      <c r="M500" s="257"/>
      <c r="N500" s="279">
        <v>1100</v>
      </c>
      <c r="O500" s="257">
        <v>1100</v>
      </c>
    </row>
    <row r="501" spans="1:16" s="143" customFormat="1" ht="30" hidden="1" x14ac:dyDescent="0.25">
      <c r="A501" s="143" t="s">
        <v>712</v>
      </c>
      <c r="B501" s="143" t="s">
        <v>224</v>
      </c>
      <c r="C501" s="290" t="s">
        <v>225</v>
      </c>
      <c r="D501" s="143" t="s">
        <v>69</v>
      </c>
      <c r="E501" s="257">
        <v>525000</v>
      </c>
      <c r="F501" s="257">
        <v>525000</v>
      </c>
      <c r="G501" s="257">
        <v>525000</v>
      </c>
      <c r="H501" s="257">
        <v>468000</v>
      </c>
      <c r="I501" s="257">
        <v>0</v>
      </c>
      <c r="J501" s="257">
        <v>0</v>
      </c>
      <c r="K501" s="257">
        <v>0</v>
      </c>
      <c r="L501" s="257">
        <v>0</v>
      </c>
      <c r="M501" s="257"/>
      <c r="N501" s="279">
        <v>57000</v>
      </c>
      <c r="O501" s="257">
        <v>57000</v>
      </c>
    </row>
    <row r="502" spans="1:16" s="143" customFormat="1" ht="30" hidden="1" x14ac:dyDescent="0.25">
      <c r="A502" s="143" t="s">
        <v>712</v>
      </c>
      <c r="B502" s="143" t="s">
        <v>226</v>
      </c>
      <c r="C502" s="290" t="s">
        <v>227</v>
      </c>
      <c r="D502" s="143" t="s">
        <v>69</v>
      </c>
      <c r="E502" s="257">
        <v>2094900</v>
      </c>
      <c r="F502" s="257">
        <v>2094900</v>
      </c>
      <c r="G502" s="257">
        <v>2094900</v>
      </c>
      <c r="H502" s="257">
        <v>0</v>
      </c>
      <c r="I502" s="257">
        <v>0</v>
      </c>
      <c r="J502" s="257">
        <v>0</v>
      </c>
      <c r="K502" s="257">
        <v>0</v>
      </c>
      <c r="L502" s="257">
        <v>0</v>
      </c>
      <c r="M502" s="257"/>
      <c r="N502" s="279">
        <v>2094900</v>
      </c>
      <c r="O502" s="257">
        <v>2094900</v>
      </c>
    </row>
    <row r="503" spans="1:16" s="143" customFormat="1" ht="30" hidden="1" x14ac:dyDescent="0.25">
      <c r="A503" s="143" t="s">
        <v>712</v>
      </c>
      <c r="B503" s="143" t="s">
        <v>228</v>
      </c>
      <c r="C503" s="290" t="s">
        <v>229</v>
      </c>
      <c r="D503" s="143" t="s">
        <v>69</v>
      </c>
      <c r="E503" s="257">
        <v>4500</v>
      </c>
      <c r="F503" s="257">
        <v>4500</v>
      </c>
      <c r="G503" s="257">
        <v>4500</v>
      </c>
      <c r="H503" s="257">
        <v>0</v>
      </c>
      <c r="I503" s="257">
        <v>0</v>
      </c>
      <c r="J503" s="257">
        <v>0</v>
      </c>
      <c r="K503" s="257">
        <v>0</v>
      </c>
      <c r="L503" s="257">
        <v>0</v>
      </c>
      <c r="M503" s="257"/>
      <c r="N503" s="279">
        <v>4500</v>
      </c>
      <c r="O503" s="257">
        <v>4500</v>
      </c>
    </row>
    <row r="504" spans="1:16" s="143" customFormat="1" x14ac:dyDescent="0.25">
      <c r="A504" s="296" t="s">
        <v>712</v>
      </c>
      <c r="B504" s="297" t="s">
        <v>230</v>
      </c>
      <c r="C504" s="298" t="s">
        <v>231</v>
      </c>
      <c r="D504" s="299" t="s">
        <v>85</v>
      </c>
      <c r="E504" s="257">
        <v>10612500</v>
      </c>
      <c r="F504" s="300">
        <v>10612500</v>
      </c>
      <c r="G504" s="257">
        <v>10612500</v>
      </c>
      <c r="H504" s="257">
        <v>5960000</v>
      </c>
      <c r="I504" s="257">
        <v>0</v>
      </c>
      <c r="J504" s="257">
        <v>0</v>
      </c>
      <c r="K504" s="300">
        <v>0</v>
      </c>
      <c r="L504" s="257">
        <v>0</v>
      </c>
      <c r="M504" s="301">
        <f>+K504/F504</f>
        <v>0</v>
      </c>
      <c r="N504" s="302">
        <v>4652500</v>
      </c>
      <c r="O504" s="257">
        <v>4652500</v>
      </c>
      <c r="P504" s="303">
        <f>+N504/F504</f>
        <v>0.43839811542991752</v>
      </c>
    </row>
    <row r="505" spans="1:16" s="143" customFormat="1" ht="30" hidden="1" x14ac:dyDescent="0.25">
      <c r="A505" s="143" t="s">
        <v>712</v>
      </c>
      <c r="B505" s="143" t="s">
        <v>232</v>
      </c>
      <c r="C505" s="290" t="s">
        <v>233</v>
      </c>
      <c r="D505" s="143" t="s">
        <v>85</v>
      </c>
      <c r="E505" s="257">
        <v>10612500</v>
      </c>
      <c r="F505" s="257">
        <v>10612500</v>
      </c>
      <c r="G505" s="257">
        <v>10612500</v>
      </c>
      <c r="H505" s="257">
        <v>5960000</v>
      </c>
      <c r="I505" s="257">
        <v>0</v>
      </c>
      <c r="J505" s="257">
        <v>0</v>
      </c>
      <c r="K505" s="257">
        <v>0</v>
      </c>
      <c r="L505" s="257">
        <v>0</v>
      </c>
      <c r="M505" s="257"/>
      <c r="N505" s="279">
        <v>4652500</v>
      </c>
      <c r="O505" s="257">
        <v>4652500</v>
      </c>
    </row>
    <row r="506" spans="1:16" s="143" customFormat="1" ht="30" hidden="1" x14ac:dyDescent="0.25">
      <c r="A506" s="143" t="s">
        <v>712</v>
      </c>
      <c r="B506" s="143" t="s">
        <v>234</v>
      </c>
      <c r="C506" s="290" t="s">
        <v>235</v>
      </c>
      <c r="D506" s="143" t="s">
        <v>85</v>
      </c>
      <c r="E506" s="257">
        <v>6650000</v>
      </c>
      <c r="F506" s="257">
        <v>6650000</v>
      </c>
      <c r="G506" s="257">
        <v>6650000</v>
      </c>
      <c r="H506" s="257">
        <v>5960000</v>
      </c>
      <c r="I506" s="257">
        <v>0</v>
      </c>
      <c r="J506" s="257">
        <v>0</v>
      </c>
      <c r="K506" s="257">
        <v>0</v>
      </c>
      <c r="L506" s="257">
        <v>0</v>
      </c>
      <c r="M506" s="257"/>
      <c r="N506" s="279">
        <v>690000</v>
      </c>
      <c r="O506" s="257">
        <v>690000</v>
      </c>
    </row>
    <row r="507" spans="1:16" s="143" customFormat="1" ht="45" hidden="1" x14ac:dyDescent="0.25">
      <c r="A507" s="143" t="s">
        <v>712</v>
      </c>
      <c r="B507" s="143" t="s">
        <v>326</v>
      </c>
      <c r="C507" s="290" t="s">
        <v>327</v>
      </c>
      <c r="D507" s="143" t="s">
        <v>85</v>
      </c>
      <c r="E507" s="257">
        <v>760000</v>
      </c>
      <c r="F507" s="257">
        <v>760000</v>
      </c>
      <c r="G507" s="257">
        <v>760000</v>
      </c>
      <c r="H507" s="257">
        <v>0</v>
      </c>
      <c r="I507" s="257">
        <v>0</v>
      </c>
      <c r="J507" s="257">
        <v>0</v>
      </c>
      <c r="K507" s="257">
        <v>0</v>
      </c>
      <c r="L507" s="257">
        <v>0</v>
      </c>
      <c r="M507" s="257"/>
      <c r="N507" s="279">
        <v>760000</v>
      </c>
      <c r="O507" s="257">
        <v>760000</v>
      </c>
    </row>
    <row r="508" spans="1:16" s="143" customFormat="1" ht="30" hidden="1" x14ac:dyDescent="0.25">
      <c r="A508" s="143" t="s">
        <v>712</v>
      </c>
      <c r="B508" s="143" t="s">
        <v>242</v>
      </c>
      <c r="C508" s="290" t="s">
        <v>243</v>
      </c>
      <c r="D508" s="143" t="s">
        <v>85</v>
      </c>
      <c r="E508" s="257">
        <v>3202500</v>
      </c>
      <c r="F508" s="257">
        <v>3202500</v>
      </c>
      <c r="G508" s="257">
        <v>3202500</v>
      </c>
      <c r="H508" s="257">
        <v>0</v>
      </c>
      <c r="I508" s="257">
        <v>0</v>
      </c>
      <c r="J508" s="257">
        <v>0</v>
      </c>
      <c r="K508" s="257">
        <v>0</v>
      </c>
      <c r="L508" s="257">
        <v>0</v>
      </c>
      <c r="M508" s="257"/>
      <c r="N508" s="279">
        <v>3202500</v>
      </c>
      <c r="O508" s="257">
        <v>3202500</v>
      </c>
    </row>
    <row r="509" spans="1:16" s="143" customFormat="1" x14ac:dyDescent="0.25">
      <c r="A509" s="296" t="s">
        <v>712</v>
      </c>
      <c r="B509" s="297" t="s">
        <v>248</v>
      </c>
      <c r="C509" s="298" t="s">
        <v>249</v>
      </c>
      <c r="D509" s="299" t="s">
        <v>69</v>
      </c>
      <c r="E509" s="257">
        <v>21838204</v>
      </c>
      <c r="F509" s="300">
        <v>21838204</v>
      </c>
      <c r="G509" s="257">
        <v>21337973</v>
      </c>
      <c r="H509" s="257">
        <v>0</v>
      </c>
      <c r="I509" s="257">
        <v>12870349</v>
      </c>
      <c r="J509" s="257">
        <v>0</v>
      </c>
      <c r="K509" s="300">
        <v>4146783</v>
      </c>
      <c r="L509" s="257">
        <v>4146783</v>
      </c>
      <c r="M509" s="301">
        <f>+K509/F509</f>
        <v>0.18988663170286349</v>
      </c>
      <c r="N509" s="302">
        <v>4821072</v>
      </c>
      <c r="O509" s="257">
        <v>4320841</v>
      </c>
      <c r="P509" s="303">
        <f>+N509/F509</f>
        <v>0.22076320928222853</v>
      </c>
    </row>
    <row r="510" spans="1:16" s="143" customFormat="1" ht="30" hidden="1" x14ac:dyDescent="0.25">
      <c r="A510" s="143" t="s">
        <v>712</v>
      </c>
      <c r="B510" s="143" t="s">
        <v>250</v>
      </c>
      <c r="C510" s="290" t="s">
        <v>251</v>
      </c>
      <c r="D510" s="143" t="s">
        <v>69</v>
      </c>
      <c r="E510" s="257">
        <v>16338204</v>
      </c>
      <c r="F510" s="257">
        <v>16338204</v>
      </c>
      <c r="G510" s="257">
        <v>15837973</v>
      </c>
      <c r="H510" s="257">
        <v>0</v>
      </c>
      <c r="I510" s="257">
        <v>12870349</v>
      </c>
      <c r="J510" s="257">
        <v>0</v>
      </c>
      <c r="K510" s="257">
        <v>3467855</v>
      </c>
      <c r="L510" s="257">
        <v>3467855</v>
      </c>
      <c r="M510" s="257"/>
      <c r="N510" s="279">
        <v>0</v>
      </c>
      <c r="O510" s="275">
        <v>-500231</v>
      </c>
    </row>
    <row r="511" spans="1:16" s="143" customFormat="1" ht="90" hidden="1" x14ac:dyDescent="0.25">
      <c r="A511" s="143" t="s">
        <v>712</v>
      </c>
      <c r="B511" s="143" t="s">
        <v>631</v>
      </c>
      <c r="C511" s="290" t="s">
        <v>702</v>
      </c>
      <c r="D511" s="143" t="s">
        <v>69</v>
      </c>
      <c r="E511" s="257">
        <v>13877686</v>
      </c>
      <c r="F511" s="257">
        <v>13877686</v>
      </c>
      <c r="G511" s="257">
        <v>13452790</v>
      </c>
      <c r="H511" s="257">
        <v>0</v>
      </c>
      <c r="I511" s="257">
        <v>10951147</v>
      </c>
      <c r="J511" s="257">
        <v>0</v>
      </c>
      <c r="K511" s="257">
        <v>2926539</v>
      </c>
      <c r="L511" s="257">
        <v>2926539</v>
      </c>
      <c r="M511" s="257"/>
      <c r="N511" s="279">
        <v>0</v>
      </c>
      <c r="O511" s="275">
        <v>-424896</v>
      </c>
    </row>
    <row r="512" spans="1:16" s="143" customFormat="1" ht="90" hidden="1" x14ac:dyDescent="0.25">
      <c r="A512" s="143" t="s">
        <v>712</v>
      </c>
      <c r="B512" s="143" t="s">
        <v>646</v>
      </c>
      <c r="C512" s="290" t="s">
        <v>703</v>
      </c>
      <c r="D512" s="143" t="s">
        <v>69</v>
      </c>
      <c r="E512" s="257">
        <v>2460518</v>
      </c>
      <c r="F512" s="257">
        <v>2460518</v>
      </c>
      <c r="G512" s="257">
        <v>2385183</v>
      </c>
      <c r="H512" s="257">
        <v>0</v>
      </c>
      <c r="I512" s="257">
        <v>1919202</v>
      </c>
      <c r="J512" s="257">
        <v>0</v>
      </c>
      <c r="K512" s="257">
        <v>541316</v>
      </c>
      <c r="L512" s="257">
        <v>541316</v>
      </c>
      <c r="M512" s="257"/>
      <c r="N512" s="279">
        <v>0</v>
      </c>
      <c r="O512" s="275">
        <v>-75335</v>
      </c>
    </row>
    <row r="513" spans="1:16" s="143" customFormat="1" hidden="1" x14ac:dyDescent="0.25">
      <c r="A513" s="143" t="s">
        <v>712</v>
      </c>
      <c r="B513" s="143" t="s">
        <v>260</v>
      </c>
      <c r="C513" s="290" t="s">
        <v>261</v>
      </c>
      <c r="D513" s="143" t="s">
        <v>69</v>
      </c>
      <c r="E513" s="257">
        <v>5500000</v>
      </c>
      <c r="F513" s="257">
        <v>5500000</v>
      </c>
      <c r="G513" s="257">
        <v>5500000</v>
      </c>
      <c r="H513" s="257">
        <v>0</v>
      </c>
      <c r="I513" s="257">
        <v>0</v>
      </c>
      <c r="J513" s="257">
        <v>0</v>
      </c>
      <c r="K513" s="257">
        <v>678928</v>
      </c>
      <c r="L513" s="257">
        <v>678928</v>
      </c>
      <c r="M513" s="257"/>
      <c r="N513" s="279">
        <v>4821072</v>
      </c>
      <c r="O513" s="257">
        <v>4821072</v>
      </c>
    </row>
    <row r="514" spans="1:16" s="143" customFormat="1" hidden="1" x14ac:dyDescent="0.25">
      <c r="A514" s="143" t="s">
        <v>712</v>
      </c>
      <c r="B514" s="143" t="s">
        <v>264</v>
      </c>
      <c r="C514" s="290" t="s">
        <v>265</v>
      </c>
      <c r="D514" s="143" t="s">
        <v>69</v>
      </c>
      <c r="E514" s="257">
        <v>5500000</v>
      </c>
      <c r="F514" s="257">
        <v>5500000</v>
      </c>
      <c r="G514" s="257">
        <v>5500000</v>
      </c>
      <c r="H514" s="257">
        <v>0</v>
      </c>
      <c r="I514" s="257">
        <v>0</v>
      </c>
      <c r="J514" s="257">
        <v>0</v>
      </c>
      <c r="K514" s="257">
        <v>678928</v>
      </c>
      <c r="L514" s="257">
        <v>678928</v>
      </c>
      <c r="M514" s="257"/>
      <c r="N514" s="279">
        <v>4821072</v>
      </c>
      <c r="O514" s="257">
        <v>4821072</v>
      </c>
    </row>
    <row r="515" spans="1:16" s="143" customFormat="1" hidden="1" x14ac:dyDescent="0.25">
      <c r="A515" s="143" t="s">
        <v>713</v>
      </c>
      <c r="C515" s="290"/>
      <c r="D515" s="143" t="s">
        <v>69</v>
      </c>
      <c r="E515" s="257">
        <v>1434240030</v>
      </c>
      <c r="F515" s="257">
        <v>1434240030</v>
      </c>
      <c r="G515" s="257">
        <v>1294169993</v>
      </c>
      <c r="H515" s="257">
        <v>0</v>
      </c>
      <c r="I515" s="257">
        <v>166851978.84999999</v>
      </c>
      <c r="J515" s="257">
        <v>5855721.7699999996</v>
      </c>
      <c r="K515" s="257">
        <v>326685438.55000001</v>
      </c>
      <c r="L515" s="257">
        <v>313360710.25</v>
      </c>
      <c r="M515" s="257"/>
      <c r="N515" s="279">
        <v>934846890.83000004</v>
      </c>
      <c r="O515" s="257">
        <v>794776853.83000004</v>
      </c>
    </row>
    <row r="516" spans="1:16" s="143" customFormat="1" x14ac:dyDescent="0.25">
      <c r="C516" s="290"/>
      <c r="E516" s="257"/>
      <c r="F516" s="292">
        <f>SUBTOTAL(9,F462:F515)</f>
        <v>8090141136</v>
      </c>
      <c r="G516" s="257"/>
      <c r="H516" s="257"/>
      <c r="I516" s="257"/>
      <c r="J516" s="257"/>
      <c r="K516" s="292">
        <f>SUBTOTAL(9,K462:K515)</f>
        <v>1536108618.1900001</v>
      </c>
      <c r="L516" s="257"/>
      <c r="M516" s="293">
        <f>+K516/F516</f>
        <v>0.18987414340085254</v>
      </c>
      <c r="N516" s="341">
        <f>SUBTOTAL(9,N462:N515)</f>
        <v>5698184206.79</v>
      </c>
      <c r="O516" s="257"/>
      <c r="P516" s="295">
        <f>+N516/F516</f>
        <v>0.7043368108170418</v>
      </c>
    </row>
    <row r="517" spans="1:16" s="143" customFormat="1" x14ac:dyDescent="0.25">
      <c r="A517" s="291"/>
      <c r="C517" s="290"/>
      <c r="E517" s="257"/>
      <c r="F517" s="257"/>
      <c r="G517" s="257"/>
      <c r="H517" s="257"/>
      <c r="I517" s="257"/>
      <c r="J517" s="257"/>
      <c r="K517" s="257"/>
      <c r="L517" s="257"/>
      <c r="M517" s="257"/>
      <c r="N517" s="257"/>
      <c r="O517" s="257"/>
    </row>
    <row r="518" spans="1:16" s="143" customFormat="1" x14ac:dyDescent="0.25">
      <c r="A518" s="280" t="s">
        <v>713</v>
      </c>
      <c r="B518" s="281" t="s">
        <v>71</v>
      </c>
      <c r="C518" s="282" t="s">
        <v>72</v>
      </c>
      <c r="D518" s="283" t="s">
        <v>69</v>
      </c>
      <c r="E518" s="257">
        <v>1171265212</v>
      </c>
      <c r="F518" s="284">
        <v>1171265212</v>
      </c>
      <c r="G518" s="257">
        <v>1152605746</v>
      </c>
      <c r="H518" s="257">
        <v>0</v>
      </c>
      <c r="I518" s="257">
        <v>141172311</v>
      </c>
      <c r="J518" s="257">
        <v>0</v>
      </c>
      <c r="K518" s="284">
        <v>290371189.20999998</v>
      </c>
      <c r="L518" s="257">
        <v>290371189.20999998</v>
      </c>
      <c r="M518" s="285">
        <f>+K518/F518</f>
        <v>0.24791241662012239</v>
      </c>
      <c r="N518" s="286">
        <v>739721711.78999996</v>
      </c>
      <c r="O518" s="257">
        <v>721062245.78999996</v>
      </c>
      <c r="P518" s="287">
        <f>+N518/F518</f>
        <v>0.63155782670850802</v>
      </c>
    </row>
    <row r="519" spans="1:16" s="143" customFormat="1" hidden="1" x14ac:dyDescent="0.25">
      <c r="A519" s="143" t="s">
        <v>713</v>
      </c>
      <c r="B519" s="143" t="s">
        <v>73</v>
      </c>
      <c r="C519" s="290" t="s">
        <v>74</v>
      </c>
      <c r="D519" s="143" t="s">
        <v>69</v>
      </c>
      <c r="E519" s="257">
        <v>419650432</v>
      </c>
      <c r="F519" s="257">
        <v>419650432</v>
      </c>
      <c r="G519" s="257">
        <v>414102244</v>
      </c>
      <c r="H519" s="257">
        <v>0</v>
      </c>
      <c r="I519" s="257">
        <v>0</v>
      </c>
      <c r="J519" s="257">
        <v>0</v>
      </c>
      <c r="K519" s="257">
        <v>98102688.219999999</v>
      </c>
      <c r="L519" s="257">
        <v>98102688.219999999</v>
      </c>
      <c r="M519" s="288">
        <f>K519/F519*100</f>
        <v>23.377239897610778</v>
      </c>
      <c r="N519" s="257">
        <v>321547743.77999997</v>
      </c>
      <c r="O519" s="257">
        <v>315999555.77999997</v>
      </c>
      <c r="P519" s="289">
        <f>N519/F519*100</f>
        <v>76.622760102389208</v>
      </c>
    </row>
    <row r="520" spans="1:16" s="143" customFormat="1" hidden="1" x14ac:dyDescent="0.25">
      <c r="A520" s="143" t="s">
        <v>713</v>
      </c>
      <c r="B520" s="143" t="s">
        <v>75</v>
      </c>
      <c r="C520" s="290" t="s">
        <v>76</v>
      </c>
      <c r="D520" s="143" t="s">
        <v>69</v>
      </c>
      <c r="E520" s="257">
        <v>419650432</v>
      </c>
      <c r="F520" s="257">
        <v>419650432</v>
      </c>
      <c r="G520" s="257">
        <v>414102244</v>
      </c>
      <c r="H520" s="257">
        <v>0</v>
      </c>
      <c r="I520" s="257">
        <v>0</v>
      </c>
      <c r="J520" s="257">
        <v>0</v>
      </c>
      <c r="K520" s="257">
        <v>98102688.219999999</v>
      </c>
      <c r="L520" s="257">
        <v>98102688.219999999</v>
      </c>
      <c r="M520" s="257"/>
      <c r="N520" s="279">
        <v>321547743.77999997</v>
      </c>
      <c r="O520" s="257">
        <v>315999555.77999997</v>
      </c>
    </row>
    <row r="521" spans="1:16" s="143" customFormat="1" ht="30" hidden="1" x14ac:dyDescent="0.25">
      <c r="A521" s="143" t="s">
        <v>713</v>
      </c>
      <c r="B521" s="143" t="s">
        <v>293</v>
      </c>
      <c r="C521" s="290" t="s">
        <v>294</v>
      </c>
      <c r="D521" s="143" t="s">
        <v>69</v>
      </c>
      <c r="E521" s="257">
        <v>5204100</v>
      </c>
      <c r="F521" s="257">
        <v>5204100</v>
      </c>
      <c r="G521" s="257">
        <v>5204100</v>
      </c>
      <c r="H521" s="257">
        <v>0</v>
      </c>
      <c r="I521" s="257">
        <v>0</v>
      </c>
      <c r="J521" s="257">
        <v>0</v>
      </c>
      <c r="K521" s="257">
        <v>0</v>
      </c>
      <c r="L521" s="257">
        <v>0</v>
      </c>
      <c r="M521" s="288">
        <f>K521/F521*100</f>
        <v>0</v>
      </c>
      <c r="N521" s="257">
        <v>5204100</v>
      </c>
      <c r="O521" s="257">
        <v>5204100</v>
      </c>
      <c r="P521" s="289">
        <f>N521/F521*100</f>
        <v>100</v>
      </c>
    </row>
    <row r="522" spans="1:16" s="143" customFormat="1" hidden="1" x14ac:dyDescent="0.25">
      <c r="A522" s="143" t="s">
        <v>713</v>
      </c>
      <c r="B522" s="143" t="s">
        <v>339</v>
      </c>
      <c r="C522" s="290" t="s">
        <v>340</v>
      </c>
      <c r="D522" s="143" t="s">
        <v>69</v>
      </c>
      <c r="E522" s="257">
        <v>5204100</v>
      </c>
      <c r="F522" s="257">
        <v>5204100</v>
      </c>
      <c r="G522" s="257">
        <v>5204100</v>
      </c>
      <c r="H522" s="257">
        <v>0</v>
      </c>
      <c r="I522" s="257">
        <v>0</v>
      </c>
      <c r="J522" s="257">
        <v>0</v>
      </c>
      <c r="K522" s="257">
        <v>0</v>
      </c>
      <c r="L522" s="257">
        <v>0</v>
      </c>
      <c r="M522" s="257"/>
      <c r="N522" s="279">
        <v>5204100</v>
      </c>
      <c r="O522" s="257">
        <v>5204100</v>
      </c>
    </row>
    <row r="523" spans="1:16" s="143" customFormat="1" hidden="1" x14ac:dyDescent="0.25">
      <c r="A523" s="143" t="s">
        <v>713</v>
      </c>
      <c r="B523" s="143" t="s">
        <v>77</v>
      </c>
      <c r="C523" s="290" t="s">
        <v>78</v>
      </c>
      <c r="D523" s="143" t="s">
        <v>69</v>
      </c>
      <c r="E523" s="257">
        <v>567738543</v>
      </c>
      <c r="F523" s="257">
        <v>567738543</v>
      </c>
      <c r="G523" s="257">
        <v>557473696</v>
      </c>
      <c r="H523" s="257">
        <v>0</v>
      </c>
      <c r="I523" s="257">
        <v>0</v>
      </c>
      <c r="J523" s="257">
        <v>0</v>
      </c>
      <c r="K523" s="257">
        <v>154768674.99000001</v>
      </c>
      <c r="L523" s="257">
        <v>154768674.99000001</v>
      </c>
      <c r="M523" s="288">
        <f>K523/F523*100</f>
        <v>27.260554510212287</v>
      </c>
      <c r="N523" s="257">
        <v>412969868.00999999</v>
      </c>
      <c r="O523" s="257">
        <v>402705021.00999999</v>
      </c>
      <c r="P523" s="289">
        <f>N523/F523*100</f>
        <v>72.739445489787713</v>
      </c>
    </row>
    <row r="524" spans="1:16" s="143" customFormat="1" ht="30" hidden="1" x14ac:dyDescent="0.25">
      <c r="A524" s="143" t="s">
        <v>713</v>
      </c>
      <c r="B524" s="143" t="s">
        <v>79</v>
      </c>
      <c r="C524" s="290" t="s">
        <v>80</v>
      </c>
      <c r="D524" s="143" t="s">
        <v>69</v>
      </c>
      <c r="E524" s="257">
        <v>176537100</v>
      </c>
      <c r="F524" s="257">
        <v>176537100</v>
      </c>
      <c r="G524" s="257">
        <v>170058581</v>
      </c>
      <c r="H524" s="257">
        <v>0</v>
      </c>
      <c r="I524" s="257">
        <v>0</v>
      </c>
      <c r="J524" s="257">
        <v>0</v>
      </c>
      <c r="K524" s="257">
        <v>37514443.109999999</v>
      </c>
      <c r="L524" s="257">
        <v>37514443.109999999</v>
      </c>
      <c r="M524" s="257"/>
      <c r="N524" s="279">
        <v>139022656.88999999</v>
      </c>
      <c r="O524" s="257">
        <v>132544137.89</v>
      </c>
    </row>
    <row r="525" spans="1:16" s="143" customFormat="1" ht="30" hidden="1" x14ac:dyDescent="0.25">
      <c r="A525" s="143" t="s">
        <v>713</v>
      </c>
      <c r="B525" s="143" t="s">
        <v>81</v>
      </c>
      <c r="C525" s="290" t="s">
        <v>82</v>
      </c>
      <c r="D525" s="143" t="s">
        <v>69</v>
      </c>
      <c r="E525" s="257">
        <v>145353690</v>
      </c>
      <c r="F525" s="257">
        <v>145353690</v>
      </c>
      <c r="G525" s="257">
        <v>142783300</v>
      </c>
      <c r="H525" s="257">
        <v>0</v>
      </c>
      <c r="I525" s="257">
        <v>0</v>
      </c>
      <c r="J525" s="257">
        <v>0</v>
      </c>
      <c r="K525" s="257">
        <v>31401227.059999999</v>
      </c>
      <c r="L525" s="257">
        <v>31401227.059999999</v>
      </c>
      <c r="M525" s="257"/>
      <c r="N525" s="279">
        <v>113952462.94</v>
      </c>
      <c r="O525" s="257">
        <v>111382072.94</v>
      </c>
    </row>
    <row r="526" spans="1:16" s="143" customFormat="1" hidden="1" x14ac:dyDescent="0.25">
      <c r="A526" s="143" t="s">
        <v>713</v>
      </c>
      <c r="B526" s="143" t="s">
        <v>83</v>
      </c>
      <c r="C526" s="290" t="s">
        <v>84</v>
      </c>
      <c r="D526" s="143" t="s">
        <v>85</v>
      </c>
      <c r="E526" s="257">
        <v>76324653</v>
      </c>
      <c r="F526" s="257">
        <v>76324653</v>
      </c>
      <c r="G526" s="257">
        <v>75108715</v>
      </c>
      <c r="H526" s="257">
        <v>0</v>
      </c>
      <c r="I526" s="257">
        <v>0</v>
      </c>
      <c r="J526" s="257">
        <v>0</v>
      </c>
      <c r="K526" s="257">
        <v>0</v>
      </c>
      <c r="L526" s="257">
        <v>0</v>
      </c>
      <c r="M526" s="257"/>
      <c r="N526" s="279">
        <v>76324653</v>
      </c>
      <c r="O526" s="257">
        <v>75108715</v>
      </c>
    </row>
    <row r="527" spans="1:16" s="143" customFormat="1" hidden="1" x14ac:dyDescent="0.25">
      <c r="A527" s="143" t="s">
        <v>713</v>
      </c>
      <c r="B527" s="143" t="s">
        <v>86</v>
      </c>
      <c r="C527" s="290" t="s">
        <v>87</v>
      </c>
      <c r="D527" s="143" t="s">
        <v>69</v>
      </c>
      <c r="E527" s="257">
        <v>70126000</v>
      </c>
      <c r="F527" s="257">
        <v>70126000</v>
      </c>
      <c r="G527" s="257">
        <v>70126000</v>
      </c>
      <c r="H527" s="257">
        <v>0</v>
      </c>
      <c r="I527" s="257">
        <v>0</v>
      </c>
      <c r="J527" s="257">
        <v>0</v>
      </c>
      <c r="K527" s="257">
        <v>62351269.950000003</v>
      </c>
      <c r="L527" s="257">
        <v>62351269.950000003</v>
      </c>
      <c r="M527" s="257"/>
      <c r="N527" s="279">
        <v>7774730.0499999998</v>
      </c>
      <c r="O527" s="257">
        <v>7774730.0499999998</v>
      </c>
    </row>
    <row r="528" spans="1:16" s="143" customFormat="1" ht="30" hidden="1" x14ac:dyDescent="0.25">
      <c r="A528" s="143" t="s">
        <v>713</v>
      </c>
      <c r="B528" s="143" t="s">
        <v>88</v>
      </c>
      <c r="C528" s="290" t="s">
        <v>89</v>
      </c>
      <c r="D528" s="143" t="s">
        <v>69</v>
      </c>
      <c r="E528" s="257">
        <v>99397100</v>
      </c>
      <c r="F528" s="257">
        <v>99397100</v>
      </c>
      <c r="G528" s="257">
        <v>99397100</v>
      </c>
      <c r="H528" s="257">
        <v>0</v>
      </c>
      <c r="I528" s="257">
        <v>0</v>
      </c>
      <c r="J528" s="257">
        <v>0</v>
      </c>
      <c r="K528" s="257">
        <v>23501734.870000001</v>
      </c>
      <c r="L528" s="257">
        <v>23501734.870000001</v>
      </c>
      <c r="M528" s="257"/>
      <c r="N528" s="279">
        <v>75895365.129999995</v>
      </c>
      <c r="O528" s="257">
        <v>75895365.129999995</v>
      </c>
    </row>
    <row r="529" spans="1:16" s="143" customFormat="1" ht="30" hidden="1" x14ac:dyDescent="0.25">
      <c r="A529" s="143" t="s">
        <v>713</v>
      </c>
      <c r="B529" s="143" t="s">
        <v>90</v>
      </c>
      <c r="C529" s="290" t="s">
        <v>91</v>
      </c>
      <c r="D529" s="143" t="s">
        <v>69</v>
      </c>
      <c r="E529" s="257">
        <v>89336069</v>
      </c>
      <c r="F529" s="257">
        <v>89336069</v>
      </c>
      <c r="G529" s="257">
        <v>87912853</v>
      </c>
      <c r="H529" s="257">
        <v>0</v>
      </c>
      <c r="I529" s="257">
        <v>70532314</v>
      </c>
      <c r="J529" s="257">
        <v>0</v>
      </c>
      <c r="K529" s="257">
        <v>18803755</v>
      </c>
      <c r="L529" s="257">
        <v>18803755</v>
      </c>
      <c r="M529" s="288">
        <f>K529/F529*100</f>
        <v>21.048334911624554</v>
      </c>
      <c r="N529" s="257">
        <v>0</v>
      </c>
      <c r="O529" s="275">
        <v>-1423216</v>
      </c>
      <c r="P529" s="289">
        <f>N529/F529*100</f>
        <v>0</v>
      </c>
    </row>
    <row r="530" spans="1:16" s="143" customFormat="1" ht="90" hidden="1" x14ac:dyDescent="0.25">
      <c r="A530" s="143" t="s">
        <v>713</v>
      </c>
      <c r="B530" s="143" t="s">
        <v>423</v>
      </c>
      <c r="C530" s="290" t="s">
        <v>697</v>
      </c>
      <c r="D530" s="143" t="s">
        <v>69</v>
      </c>
      <c r="E530" s="257">
        <v>84754804</v>
      </c>
      <c r="F530" s="257">
        <v>84754804</v>
      </c>
      <c r="G530" s="257">
        <v>83404573</v>
      </c>
      <c r="H530" s="257">
        <v>0</v>
      </c>
      <c r="I530" s="257">
        <v>66915344</v>
      </c>
      <c r="J530" s="257">
        <v>0</v>
      </c>
      <c r="K530" s="257">
        <v>17839460</v>
      </c>
      <c r="L530" s="257">
        <v>17839460</v>
      </c>
      <c r="M530" s="257"/>
      <c r="N530" s="279">
        <v>0</v>
      </c>
      <c r="O530" s="275">
        <v>-1350231</v>
      </c>
    </row>
    <row r="531" spans="1:16" s="143" customFormat="1" ht="75" hidden="1" x14ac:dyDescent="0.25">
      <c r="A531" s="143" t="s">
        <v>713</v>
      </c>
      <c r="B531" s="143" t="s">
        <v>440</v>
      </c>
      <c r="C531" s="290" t="s">
        <v>95</v>
      </c>
      <c r="D531" s="143" t="s">
        <v>69</v>
      </c>
      <c r="E531" s="257">
        <v>4581265</v>
      </c>
      <c r="F531" s="257">
        <v>4581265</v>
      </c>
      <c r="G531" s="257">
        <v>4508280</v>
      </c>
      <c r="H531" s="257">
        <v>0</v>
      </c>
      <c r="I531" s="257">
        <v>3616970</v>
      </c>
      <c r="J531" s="257">
        <v>0</v>
      </c>
      <c r="K531" s="257">
        <v>964295</v>
      </c>
      <c r="L531" s="257">
        <v>964295</v>
      </c>
      <c r="M531" s="257"/>
      <c r="N531" s="279">
        <v>0</v>
      </c>
      <c r="O531" s="275">
        <v>-72985</v>
      </c>
    </row>
    <row r="532" spans="1:16" s="143" customFormat="1" ht="30" hidden="1" x14ac:dyDescent="0.25">
      <c r="A532" s="143" t="s">
        <v>713</v>
      </c>
      <c r="B532" s="143" t="s">
        <v>96</v>
      </c>
      <c r="C532" s="290" t="s">
        <v>97</v>
      </c>
      <c r="D532" s="143" t="s">
        <v>69</v>
      </c>
      <c r="E532" s="257">
        <v>89336068</v>
      </c>
      <c r="F532" s="257">
        <v>89336068</v>
      </c>
      <c r="G532" s="257">
        <v>87912853</v>
      </c>
      <c r="H532" s="257">
        <v>0</v>
      </c>
      <c r="I532" s="257">
        <v>70639997</v>
      </c>
      <c r="J532" s="257">
        <v>0</v>
      </c>
      <c r="K532" s="257">
        <v>18696071</v>
      </c>
      <c r="L532" s="257">
        <v>18696071</v>
      </c>
      <c r="M532" s="288">
        <f>K532/F532*100</f>
        <v>20.92779704609341</v>
      </c>
      <c r="N532" s="257">
        <v>0</v>
      </c>
      <c r="O532" s="275">
        <v>-1423215</v>
      </c>
      <c r="P532" s="289">
        <f>N532/F532*100</f>
        <v>0</v>
      </c>
    </row>
    <row r="533" spans="1:16" s="143" customFormat="1" ht="90" hidden="1" x14ac:dyDescent="0.25">
      <c r="A533" s="143" t="s">
        <v>713</v>
      </c>
      <c r="B533" s="143" t="s">
        <v>458</v>
      </c>
      <c r="C533" s="290" t="s">
        <v>698</v>
      </c>
      <c r="D533" s="143" t="s">
        <v>69</v>
      </c>
      <c r="E533" s="257">
        <v>48104083</v>
      </c>
      <c r="F533" s="257">
        <v>48104083</v>
      </c>
      <c r="G533" s="257">
        <v>47337736</v>
      </c>
      <c r="H533" s="257">
        <v>0</v>
      </c>
      <c r="I533" s="257">
        <v>38086668</v>
      </c>
      <c r="J533" s="257">
        <v>0</v>
      </c>
      <c r="K533" s="257">
        <v>10017415</v>
      </c>
      <c r="L533" s="257">
        <v>10017415</v>
      </c>
      <c r="M533" s="257"/>
      <c r="N533" s="279">
        <v>0</v>
      </c>
      <c r="O533" s="275">
        <v>-766347</v>
      </c>
    </row>
    <row r="534" spans="1:16" s="143" customFormat="1" ht="90" hidden="1" x14ac:dyDescent="0.25">
      <c r="A534" s="143" t="s">
        <v>713</v>
      </c>
      <c r="B534" s="143" t="s">
        <v>475</v>
      </c>
      <c r="C534" s="290" t="s">
        <v>699</v>
      </c>
      <c r="D534" s="143" t="s">
        <v>69</v>
      </c>
      <c r="E534" s="257">
        <v>13743995</v>
      </c>
      <c r="F534" s="257">
        <v>13743995</v>
      </c>
      <c r="G534" s="257">
        <v>13525039</v>
      </c>
      <c r="H534" s="257">
        <v>0</v>
      </c>
      <c r="I534" s="257">
        <v>10851110</v>
      </c>
      <c r="J534" s="257">
        <v>0</v>
      </c>
      <c r="K534" s="257">
        <v>2892885</v>
      </c>
      <c r="L534" s="257">
        <v>2892885</v>
      </c>
      <c r="M534" s="257"/>
      <c r="N534" s="279">
        <v>0</v>
      </c>
      <c r="O534" s="275">
        <v>-218956</v>
      </c>
    </row>
    <row r="535" spans="1:16" s="143" customFormat="1" ht="90" hidden="1" x14ac:dyDescent="0.25">
      <c r="A535" s="143" t="s">
        <v>713</v>
      </c>
      <c r="B535" s="143" t="s">
        <v>492</v>
      </c>
      <c r="C535" s="290" t="s">
        <v>700</v>
      </c>
      <c r="D535" s="143" t="s">
        <v>69</v>
      </c>
      <c r="E535" s="257">
        <v>27487990</v>
      </c>
      <c r="F535" s="257">
        <v>27487990</v>
      </c>
      <c r="G535" s="257">
        <v>27050078</v>
      </c>
      <c r="H535" s="257">
        <v>0</v>
      </c>
      <c r="I535" s="257">
        <v>21702219</v>
      </c>
      <c r="J535" s="257">
        <v>0</v>
      </c>
      <c r="K535" s="257">
        <v>5785771</v>
      </c>
      <c r="L535" s="257">
        <v>5785771</v>
      </c>
      <c r="M535" s="257"/>
      <c r="N535" s="279">
        <v>0</v>
      </c>
      <c r="O535" s="275">
        <v>-437912</v>
      </c>
    </row>
    <row r="536" spans="1:16" s="143" customFormat="1" x14ac:dyDescent="0.25">
      <c r="A536" s="280" t="s">
        <v>713</v>
      </c>
      <c r="B536" s="281" t="s">
        <v>104</v>
      </c>
      <c r="C536" s="282" t="s">
        <v>105</v>
      </c>
      <c r="D536" s="283" t="s">
        <v>69</v>
      </c>
      <c r="E536" s="257">
        <v>92630000</v>
      </c>
      <c r="F536" s="284">
        <v>92630000</v>
      </c>
      <c r="G536" s="257">
        <v>46915000</v>
      </c>
      <c r="H536" s="257">
        <v>0</v>
      </c>
      <c r="I536" s="257">
        <v>11253271.699999999</v>
      </c>
      <c r="J536" s="257">
        <v>0</v>
      </c>
      <c r="K536" s="284">
        <v>11076728.300000001</v>
      </c>
      <c r="L536" s="257">
        <v>4218055</v>
      </c>
      <c r="M536" s="285">
        <f>+K536/F536</f>
        <v>0.1195803551765087</v>
      </c>
      <c r="N536" s="286">
        <v>70300000</v>
      </c>
      <c r="O536" s="257">
        <v>24585000</v>
      </c>
      <c r="P536" s="287">
        <f>+N536/F536</f>
        <v>0.75893339091007228</v>
      </c>
    </row>
    <row r="537" spans="1:16" s="143" customFormat="1" hidden="1" x14ac:dyDescent="0.25">
      <c r="A537" s="143" t="s">
        <v>713</v>
      </c>
      <c r="B537" s="143" t="s">
        <v>112</v>
      </c>
      <c r="C537" s="290" t="s">
        <v>113</v>
      </c>
      <c r="D537" s="143" t="s">
        <v>69</v>
      </c>
      <c r="E537" s="257">
        <v>92630000</v>
      </c>
      <c r="F537" s="257">
        <v>92630000</v>
      </c>
      <c r="G537" s="257">
        <v>46915000</v>
      </c>
      <c r="H537" s="257">
        <v>0</v>
      </c>
      <c r="I537" s="257">
        <v>11253271.699999999</v>
      </c>
      <c r="J537" s="257">
        <v>0</v>
      </c>
      <c r="K537" s="257">
        <v>11076728.300000001</v>
      </c>
      <c r="L537" s="257">
        <v>4218055</v>
      </c>
      <c r="M537" s="257"/>
      <c r="N537" s="279">
        <v>70300000</v>
      </c>
      <c r="O537" s="257">
        <v>24585000</v>
      </c>
    </row>
    <row r="538" spans="1:16" s="143" customFormat="1" ht="30" hidden="1" x14ac:dyDescent="0.25">
      <c r="A538" s="143" t="s">
        <v>713</v>
      </c>
      <c r="B538" s="143" t="s">
        <v>114</v>
      </c>
      <c r="C538" s="290" t="s">
        <v>115</v>
      </c>
      <c r="D538" s="143" t="s">
        <v>69</v>
      </c>
      <c r="E538" s="257">
        <v>54520000</v>
      </c>
      <c r="F538" s="257">
        <v>54520000</v>
      </c>
      <c r="G538" s="257">
        <v>27360000</v>
      </c>
      <c r="H538" s="257">
        <v>0</v>
      </c>
      <c r="I538" s="257">
        <v>5326747</v>
      </c>
      <c r="J538" s="257">
        <v>0</v>
      </c>
      <c r="K538" s="257">
        <v>8303253</v>
      </c>
      <c r="L538" s="257">
        <v>4218055</v>
      </c>
      <c r="M538" s="257"/>
      <c r="N538" s="279">
        <v>40890000</v>
      </c>
      <c r="O538" s="257">
        <v>13730000</v>
      </c>
    </row>
    <row r="539" spans="1:16" s="143" customFormat="1" ht="30" hidden="1" x14ac:dyDescent="0.25">
      <c r="A539" s="143" t="s">
        <v>713</v>
      </c>
      <c r="B539" s="143" t="s">
        <v>116</v>
      </c>
      <c r="C539" s="290" t="s">
        <v>117</v>
      </c>
      <c r="D539" s="143" t="s">
        <v>69</v>
      </c>
      <c r="E539" s="257">
        <v>34800000</v>
      </c>
      <c r="F539" s="257">
        <v>34800000</v>
      </c>
      <c r="G539" s="257">
        <v>17400000</v>
      </c>
      <c r="H539" s="257">
        <v>0</v>
      </c>
      <c r="I539" s="257">
        <v>5926524.7000000002</v>
      </c>
      <c r="J539" s="257">
        <v>0</v>
      </c>
      <c r="K539" s="257">
        <v>2773475.3</v>
      </c>
      <c r="L539" s="257">
        <v>0</v>
      </c>
      <c r="M539" s="257"/>
      <c r="N539" s="279">
        <v>26100000</v>
      </c>
      <c r="O539" s="257">
        <v>8700000</v>
      </c>
    </row>
    <row r="540" spans="1:16" s="143" customFormat="1" ht="30" hidden="1" x14ac:dyDescent="0.25">
      <c r="A540" s="143" t="s">
        <v>713</v>
      </c>
      <c r="B540" s="143" t="s">
        <v>120</v>
      </c>
      <c r="C540" s="290" t="s">
        <v>121</v>
      </c>
      <c r="D540" s="143" t="s">
        <v>69</v>
      </c>
      <c r="E540" s="257">
        <v>2310000</v>
      </c>
      <c r="F540" s="257">
        <v>2310000</v>
      </c>
      <c r="G540" s="257">
        <v>1155000</v>
      </c>
      <c r="H540" s="257">
        <v>0</v>
      </c>
      <c r="I540" s="257">
        <v>0</v>
      </c>
      <c r="J540" s="257">
        <v>0</v>
      </c>
      <c r="K540" s="257">
        <v>0</v>
      </c>
      <c r="L540" s="257">
        <v>0</v>
      </c>
      <c r="M540" s="257"/>
      <c r="N540" s="279">
        <v>2310000</v>
      </c>
      <c r="O540" s="257">
        <v>1155000</v>
      </c>
    </row>
    <row r="541" spans="1:16" s="143" customFormat="1" hidden="1" x14ac:dyDescent="0.25">
      <c r="A541" s="143" t="s">
        <v>713</v>
      </c>
      <c r="B541" s="143" t="s">
        <v>122</v>
      </c>
      <c r="C541" s="290" t="s">
        <v>123</v>
      </c>
      <c r="D541" s="143" t="s">
        <v>69</v>
      </c>
      <c r="E541" s="257">
        <v>1000000</v>
      </c>
      <c r="F541" s="257">
        <v>1000000</v>
      </c>
      <c r="G541" s="257">
        <v>1000000</v>
      </c>
      <c r="H541" s="257">
        <v>0</v>
      </c>
      <c r="I541" s="257">
        <v>0</v>
      </c>
      <c r="J541" s="257">
        <v>0</v>
      </c>
      <c r="K541" s="257">
        <v>0</v>
      </c>
      <c r="L541" s="257">
        <v>0</v>
      </c>
      <c r="M541" s="257"/>
      <c r="N541" s="279">
        <v>1000000</v>
      </c>
      <c r="O541" s="257">
        <v>1000000</v>
      </c>
    </row>
    <row r="542" spans="1:16" s="143" customFormat="1" x14ac:dyDescent="0.25">
      <c r="A542" s="280" t="s">
        <v>713</v>
      </c>
      <c r="B542" s="281" t="s">
        <v>184</v>
      </c>
      <c r="C542" s="282" t="s">
        <v>185</v>
      </c>
      <c r="D542" s="283" t="s">
        <v>69</v>
      </c>
      <c r="E542" s="257">
        <v>150099855</v>
      </c>
      <c r="F542" s="284">
        <v>150099855</v>
      </c>
      <c r="G542" s="257">
        <v>74646595</v>
      </c>
      <c r="H542" s="257">
        <v>0</v>
      </c>
      <c r="I542" s="257">
        <v>2310210.15</v>
      </c>
      <c r="J542" s="257">
        <v>5855721.7699999996</v>
      </c>
      <c r="K542" s="284">
        <v>21224765.039999999</v>
      </c>
      <c r="L542" s="257">
        <v>14758710.039999999</v>
      </c>
      <c r="M542" s="285">
        <f>+K542/F542</f>
        <v>0.14140430075698607</v>
      </c>
      <c r="N542" s="286">
        <v>120709158.04000001</v>
      </c>
      <c r="O542" s="257">
        <v>45255898.039999999</v>
      </c>
      <c r="P542" s="287">
        <f>+N542/F542</f>
        <v>0.80419236940635286</v>
      </c>
    </row>
    <row r="543" spans="1:16" s="143" customFormat="1" ht="30" hidden="1" x14ac:dyDescent="0.25">
      <c r="A543" s="143" t="s">
        <v>713</v>
      </c>
      <c r="B543" s="143" t="s">
        <v>186</v>
      </c>
      <c r="C543" s="290" t="s">
        <v>187</v>
      </c>
      <c r="D543" s="143" t="s">
        <v>69</v>
      </c>
      <c r="E543" s="257">
        <v>568000</v>
      </c>
      <c r="F543" s="257">
        <v>568000</v>
      </c>
      <c r="G543" s="257">
        <v>153000</v>
      </c>
      <c r="H543" s="257">
        <v>0</v>
      </c>
      <c r="I543" s="257">
        <v>0</v>
      </c>
      <c r="J543" s="257">
        <v>0</v>
      </c>
      <c r="K543" s="257">
        <v>0</v>
      </c>
      <c r="L543" s="257">
        <v>0</v>
      </c>
      <c r="M543" s="257"/>
      <c r="N543" s="279">
        <v>568000</v>
      </c>
      <c r="O543" s="257">
        <v>153000</v>
      </c>
    </row>
    <row r="544" spans="1:16" s="143" customFormat="1" hidden="1" x14ac:dyDescent="0.25">
      <c r="A544" s="143" t="s">
        <v>713</v>
      </c>
      <c r="B544" s="143" t="s">
        <v>188</v>
      </c>
      <c r="C544" s="290" t="s">
        <v>189</v>
      </c>
      <c r="D544" s="143" t="s">
        <v>69</v>
      </c>
      <c r="E544" s="257">
        <v>5500</v>
      </c>
      <c r="F544" s="257">
        <v>5500</v>
      </c>
      <c r="G544" s="257">
        <v>5500</v>
      </c>
      <c r="H544" s="257">
        <v>0</v>
      </c>
      <c r="I544" s="257">
        <v>0</v>
      </c>
      <c r="J544" s="257">
        <v>0</v>
      </c>
      <c r="K544" s="257">
        <v>0</v>
      </c>
      <c r="L544" s="257">
        <v>0</v>
      </c>
      <c r="M544" s="257"/>
      <c r="N544" s="279">
        <v>5500</v>
      </c>
      <c r="O544" s="257">
        <v>5500</v>
      </c>
    </row>
    <row r="545" spans="1:16" s="143" customFormat="1" ht="30" hidden="1" x14ac:dyDescent="0.25">
      <c r="A545" s="143" t="s">
        <v>713</v>
      </c>
      <c r="B545" s="143" t="s">
        <v>190</v>
      </c>
      <c r="C545" s="290" t="s">
        <v>191</v>
      </c>
      <c r="D545" s="143" t="s">
        <v>69</v>
      </c>
      <c r="E545" s="257">
        <v>147500</v>
      </c>
      <c r="F545" s="257">
        <v>147500</v>
      </c>
      <c r="G545" s="257">
        <v>147500</v>
      </c>
      <c r="H545" s="257">
        <v>0</v>
      </c>
      <c r="I545" s="257">
        <v>0</v>
      </c>
      <c r="J545" s="257">
        <v>0</v>
      </c>
      <c r="K545" s="257">
        <v>0</v>
      </c>
      <c r="L545" s="257">
        <v>0</v>
      </c>
      <c r="M545" s="257"/>
      <c r="N545" s="279">
        <v>147500</v>
      </c>
      <c r="O545" s="257">
        <v>147500</v>
      </c>
    </row>
    <row r="546" spans="1:16" s="143" customFormat="1" ht="30" hidden="1" x14ac:dyDescent="0.25">
      <c r="A546" s="143" t="s">
        <v>713</v>
      </c>
      <c r="B546" s="143" t="s">
        <v>194</v>
      </c>
      <c r="C546" s="290" t="s">
        <v>195</v>
      </c>
      <c r="D546" s="143" t="s">
        <v>69</v>
      </c>
      <c r="E546" s="257">
        <v>415000</v>
      </c>
      <c r="F546" s="257">
        <v>415000</v>
      </c>
      <c r="G546" s="257">
        <v>0</v>
      </c>
      <c r="H546" s="257">
        <v>0</v>
      </c>
      <c r="I546" s="257">
        <v>0</v>
      </c>
      <c r="J546" s="257">
        <v>0</v>
      </c>
      <c r="K546" s="257">
        <v>0</v>
      </c>
      <c r="L546" s="257">
        <v>0</v>
      </c>
      <c r="M546" s="257"/>
      <c r="N546" s="279">
        <v>415000</v>
      </c>
      <c r="O546" s="257">
        <v>0</v>
      </c>
    </row>
    <row r="547" spans="1:16" s="143" customFormat="1" ht="30" hidden="1" x14ac:dyDescent="0.25">
      <c r="A547" s="143" t="s">
        <v>713</v>
      </c>
      <c r="B547" s="143" t="s">
        <v>196</v>
      </c>
      <c r="C547" s="290" t="s">
        <v>197</v>
      </c>
      <c r="D547" s="143" t="s">
        <v>69</v>
      </c>
      <c r="E547" s="257">
        <v>148180115</v>
      </c>
      <c r="F547" s="257">
        <v>148180115</v>
      </c>
      <c r="G547" s="257">
        <v>73141855</v>
      </c>
      <c r="H547" s="257">
        <v>0</v>
      </c>
      <c r="I547" s="257">
        <v>2310210.15</v>
      </c>
      <c r="J547" s="257">
        <v>5855721.7699999996</v>
      </c>
      <c r="K547" s="257">
        <v>21224765.039999999</v>
      </c>
      <c r="L547" s="257">
        <v>14758710.039999999</v>
      </c>
      <c r="M547" s="257"/>
      <c r="N547" s="279">
        <v>118789418.04000001</v>
      </c>
      <c r="O547" s="257">
        <v>43751158.039999999</v>
      </c>
    </row>
    <row r="548" spans="1:16" s="143" customFormat="1" hidden="1" x14ac:dyDescent="0.25">
      <c r="A548" s="143" t="s">
        <v>713</v>
      </c>
      <c r="B548" s="143" t="s">
        <v>198</v>
      </c>
      <c r="C548" s="290" t="s">
        <v>199</v>
      </c>
      <c r="D548" s="143" t="s">
        <v>69</v>
      </c>
      <c r="E548" s="257">
        <v>148180115</v>
      </c>
      <c r="F548" s="257">
        <v>148180115</v>
      </c>
      <c r="G548" s="257">
        <v>73141855</v>
      </c>
      <c r="H548" s="257">
        <v>0</v>
      </c>
      <c r="I548" s="257">
        <v>2310210.15</v>
      </c>
      <c r="J548" s="257">
        <v>5855721.7699999996</v>
      </c>
      <c r="K548" s="257">
        <v>21224765.039999999</v>
      </c>
      <c r="L548" s="257">
        <v>14758710.039999999</v>
      </c>
      <c r="M548" s="257"/>
      <c r="N548" s="279">
        <v>118789418.04000001</v>
      </c>
      <c r="O548" s="257">
        <v>43751158.039999999</v>
      </c>
    </row>
    <row r="549" spans="1:16" s="143" customFormat="1" ht="30" hidden="1" x14ac:dyDescent="0.25">
      <c r="A549" s="143" t="s">
        <v>713</v>
      </c>
      <c r="B549" s="143" t="s">
        <v>212</v>
      </c>
      <c r="C549" s="290" t="s">
        <v>213</v>
      </c>
      <c r="D549" s="143" t="s">
        <v>69</v>
      </c>
      <c r="E549" s="257">
        <v>1351740</v>
      </c>
      <c r="F549" s="257">
        <v>1351740</v>
      </c>
      <c r="G549" s="257">
        <v>1351740</v>
      </c>
      <c r="H549" s="257">
        <v>0</v>
      </c>
      <c r="I549" s="257">
        <v>0</v>
      </c>
      <c r="J549" s="257">
        <v>0</v>
      </c>
      <c r="K549" s="257">
        <v>0</v>
      </c>
      <c r="L549" s="257">
        <v>0</v>
      </c>
      <c r="M549" s="257"/>
      <c r="N549" s="279">
        <v>1351740</v>
      </c>
      <c r="O549" s="257">
        <v>1351740</v>
      </c>
    </row>
    <row r="550" spans="1:16" s="143" customFormat="1" ht="30" hidden="1" x14ac:dyDescent="0.25">
      <c r="A550" s="143" t="s">
        <v>713</v>
      </c>
      <c r="B550" s="143" t="s">
        <v>216</v>
      </c>
      <c r="C550" s="290" t="s">
        <v>217</v>
      </c>
      <c r="D550" s="143" t="s">
        <v>69</v>
      </c>
      <c r="E550" s="257">
        <v>708740</v>
      </c>
      <c r="F550" s="257">
        <v>708740</v>
      </c>
      <c r="G550" s="257">
        <v>708740</v>
      </c>
      <c r="H550" s="257">
        <v>0</v>
      </c>
      <c r="I550" s="257">
        <v>0</v>
      </c>
      <c r="J550" s="257">
        <v>0</v>
      </c>
      <c r="K550" s="257">
        <v>0</v>
      </c>
      <c r="L550" s="257">
        <v>0</v>
      </c>
      <c r="M550" s="257"/>
      <c r="N550" s="279">
        <v>708740</v>
      </c>
      <c r="O550" s="257">
        <v>708740</v>
      </c>
    </row>
    <row r="551" spans="1:16" s="143" customFormat="1" ht="30" hidden="1" x14ac:dyDescent="0.25">
      <c r="A551" s="143" t="s">
        <v>713</v>
      </c>
      <c r="B551" s="143" t="s">
        <v>218</v>
      </c>
      <c r="C551" s="290" t="s">
        <v>219</v>
      </c>
      <c r="D551" s="143" t="s">
        <v>69</v>
      </c>
      <c r="E551" s="257">
        <v>616000</v>
      </c>
      <c r="F551" s="257">
        <v>616000</v>
      </c>
      <c r="G551" s="257">
        <v>616000</v>
      </c>
      <c r="H551" s="257">
        <v>0</v>
      </c>
      <c r="I551" s="257">
        <v>0</v>
      </c>
      <c r="J551" s="257">
        <v>0</v>
      </c>
      <c r="K551" s="257">
        <v>0</v>
      </c>
      <c r="L551" s="257">
        <v>0</v>
      </c>
      <c r="M551" s="257"/>
      <c r="N551" s="279">
        <v>616000</v>
      </c>
      <c r="O551" s="257">
        <v>616000</v>
      </c>
    </row>
    <row r="552" spans="1:16" s="143" customFormat="1" ht="30" hidden="1" x14ac:dyDescent="0.25">
      <c r="A552" s="143" t="s">
        <v>713</v>
      </c>
      <c r="B552" s="143" t="s">
        <v>224</v>
      </c>
      <c r="C552" s="290" t="s">
        <v>225</v>
      </c>
      <c r="D552" s="143" t="s">
        <v>69</v>
      </c>
      <c r="E552" s="257">
        <v>27000</v>
      </c>
      <c r="F552" s="257">
        <v>27000</v>
      </c>
      <c r="G552" s="257">
        <v>27000</v>
      </c>
      <c r="H552" s="257">
        <v>0</v>
      </c>
      <c r="I552" s="257">
        <v>0</v>
      </c>
      <c r="J552" s="257">
        <v>0</v>
      </c>
      <c r="K552" s="257">
        <v>0</v>
      </c>
      <c r="L552" s="257">
        <v>0</v>
      </c>
      <c r="M552" s="257"/>
      <c r="N552" s="279">
        <v>27000</v>
      </c>
      <c r="O552" s="257">
        <v>27000</v>
      </c>
    </row>
    <row r="553" spans="1:16" s="143" customFormat="1" x14ac:dyDescent="0.25">
      <c r="A553" s="280" t="s">
        <v>713</v>
      </c>
      <c r="B553" s="281" t="s">
        <v>230</v>
      </c>
      <c r="C553" s="282" t="s">
        <v>231</v>
      </c>
      <c r="D553" s="283" t="s">
        <v>85</v>
      </c>
      <c r="E553" s="257">
        <v>535000</v>
      </c>
      <c r="F553" s="284">
        <v>535000</v>
      </c>
      <c r="G553" s="257">
        <v>535000</v>
      </c>
      <c r="H553" s="257">
        <v>0</v>
      </c>
      <c r="I553" s="257">
        <v>0</v>
      </c>
      <c r="J553" s="257">
        <v>0</v>
      </c>
      <c r="K553" s="284">
        <v>0</v>
      </c>
      <c r="L553" s="257">
        <v>0</v>
      </c>
      <c r="M553" s="285">
        <f>+K553/F553</f>
        <v>0</v>
      </c>
      <c r="N553" s="286">
        <v>535000</v>
      </c>
      <c r="O553" s="257">
        <v>535000</v>
      </c>
      <c r="P553" s="287">
        <f>+N553/F553</f>
        <v>1</v>
      </c>
    </row>
    <row r="554" spans="1:16" s="143" customFormat="1" ht="30" hidden="1" x14ac:dyDescent="0.25">
      <c r="A554" s="143" t="s">
        <v>713</v>
      </c>
      <c r="B554" s="143" t="s">
        <v>232</v>
      </c>
      <c r="C554" s="290" t="s">
        <v>233</v>
      </c>
      <c r="D554" s="143" t="s">
        <v>85</v>
      </c>
      <c r="E554" s="257">
        <v>535000</v>
      </c>
      <c r="F554" s="257">
        <v>535000</v>
      </c>
      <c r="G554" s="257">
        <v>535000</v>
      </c>
      <c r="H554" s="257">
        <v>0</v>
      </c>
      <c r="I554" s="257">
        <v>0</v>
      </c>
      <c r="J554" s="257">
        <v>0</v>
      </c>
      <c r="K554" s="257">
        <v>0</v>
      </c>
      <c r="L554" s="257">
        <v>0</v>
      </c>
      <c r="M554" s="257"/>
      <c r="N554" s="279">
        <v>535000</v>
      </c>
      <c r="O554" s="257">
        <v>535000</v>
      </c>
    </row>
    <row r="555" spans="1:16" s="143" customFormat="1" ht="45" hidden="1" x14ac:dyDescent="0.25">
      <c r="A555" s="143" t="s">
        <v>713</v>
      </c>
      <c r="B555" s="143" t="s">
        <v>326</v>
      </c>
      <c r="C555" s="290" t="s">
        <v>327</v>
      </c>
      <c r="D555" s="143" t="s">
        <v>85</v>
      </c>
      <c r="E555" s="257">
        <v>535000</v>
      </c>
      <c r="F555" s="257">
        <v>535000</v>
      </c>
      <c r="G555" s="257">
        <v>535000</v>
      </c>
      <c r="H555" s="257">
        <v>0</v>
      </c>
      <c r="I555" s="257">
        <v>0</v>
      </c>
      <c r="J555" s="257">
        <v>0</v>
      </c>
      <c r="K555" s="257">
        <v>0</v>
      </c>
      <c r="L555" s="257">
        <v>0</v>
      </c>
      <c r="M555" s="257"/>
      <c r="N555" s="279">
        <v>535000</v>
      </c>
      <c r="O555" s="257">
        <v>535000</v>
      </c>
    </row>
    <row r="556" spans="1:16" s="143" customFormat="1" x14ac:dyDescent="0.25">
      <c r="A556" s="280" t="s">
        <v>713</v>
      </c>
      <c r="B556" s="281" t="s">
        <v>248</v>
      </c>
      <c r="C556" s="282" t="s">
        <v>249</v>
      </c>
      <c r="D556" s="283" t="s">
        <v>69</v>
      </c>
      <c r="E556" s="257">
        <v>19709963</v>
      </c>
      <c r="F556" s="284">
        <v>19709963</v>
      </c>
      <c r="G556" s="257">
        <v>19467652</v>
      </c>
      <c r="H556" s="257">
        <v>0</v>
      </c>
      <c r="I556" s="257">
        <v>12116186</v>
      </c>
      <c r="J556" s="257">
        <v>0</v>
      </c>
      <c r="K556" s="284">
        <v>4012756</v>
      </c>
      <c r="L556" s="257">
        <v>4012756</v>
      </c>
      <c r="M556" s="285">
        <f>+K556/F556</f>
        <v>0.20359023505016219</v>
      </c>
      <c r="N556" s="286">
        <v>3581021</v>
      </c>
      <c r="O556" s="257">
        <v>3338710</v>
      </c>
      <c r="P556" s="287">
        <f>+N556/F556</f>
        <v>0.18168583066340613</v>
      </c>
    </row>
    <row r="557" spans="1:16" s="143" customFormat="1" ht="30" hidden="1" x14ac:dyDescent="0.25">
      <c r="A557" s="143" t="s">
        <v>713</v>
      </c>
      <c r="B557" s="143" t="s">
        <v>250</v>
      </c>
      <c r="C557" s="290" t="s">
        <v>251</v>
      </c>
      <c r="D557" s="143" t="s">
        <v>69</v>
      </c>
      <c r="E557" s="257">
        <v>15209963</v>
      </c>
      <c r="F557" s="257">
        <v>15209963</v>
      </c>
      <c r="G557" s="257">
        <v>14967652</v>
      </c>
      <c r="H557" s="257">
        <v>0</v>
      </c>
      <c r="I557" s="257">
        <v>12116186</v>
      </c>
      <c r="J557" s="257">
        <v>0</v>
      </c>
      <c r="K557" s="257">
        <v>3093777</v>
      </c>
      <c r="L557" s="257">
        <v>3093777</v>
      </c>
      <c r="M557" s="257"/>
      <c r="N557" s="279">
        <v>0</v>
      </c>
      <c r="O557" s="275">
        <v>-242311</v>
      </c>
    </row>
    <row r="558" spans="1:16" s="143" customFormat="1" ht="90" hidden="1" x14ac:dyDescent="0.25">
      <c r="A558" s="143" t="s">
        <v>713</v>
      </c>
      <c r="B558" s="143" t="s">
        <v>632</v>
      </c>
      <c r="C558" s="290" t="s">
        <v>702</v>
      </c>
      <c r="D558" s="143" t="s">
        <v>69</v>
      </c>
      <c r="E558" s="257">
        <v>12919331</v>
      </c>
      <c r="F558" s="257">
        <v>12919331</v>
      </c>
      <c r="G558" s="257">
        <v>12713512</v>
      </c>
      <c r="H558" s="257">
        <v>0</v>
      </c>
      <c r="I558" s="257">
        <v>10307702</v>
      </c>
      <c r="J558" s="257">
        <v>0</v>
      </c>
      <c r="K558" s="257">
        <v>2611629</v>
      </c>
      <c r="L558" s="257">
        <v>2611629</v>
      </c>
      <c r="M558" s="257"/>
      <c r="N558" s="279">
        <v>0</v>
      </c>
      <c r="O558" s="275">
        <v>-205819</v>
      </c>
    </row>
    <row r="559" spans="1:16" s="143" customFormat="1" ht="90" hidden="1" x14ac:dyDescent="0.25">
      <c r="A559" s="143" t="s">
        <v>713</v>
      </c>
      <c r="B559" s="143" t="s">
        <v>647</v>
      </c>
      <c r="C559" s="290" t="s">
        <v>703</v>
      </c>
      <c r="D559" s="143" t="s">
        <v>69</v>
      </c>
      <c r="E559" s="257">
        <v>2290632</v>
      </c>
      <c r="F559" s="257">
        <v>2290632</v>
      </c>
      <c r="G559" s="257">
        <v>2254140</v>
      </c>
      <c r="H559" s="257">
        <v>0</v>
      </c>
      <c r="I559" s="257">
        <v>1808484</v>
      </c>
      <c r="J559" s="257">
        <v>0</v>
      </c>
      <c r="K559" s="257">
        <v>482148</v>
      </c>
      <c r="L559" s="257">
        <v>482148</v>
      </c>
      <c r="M559" s="257"/>
      <c r="N559" s="279">
        <v>0</v>
      </c>
      <c r="O559" s="275">
        <v>-36492</v>
      </c>
    </row>
    <row r="560" spans="1:16" s="143" customFormat="1" hidden="1" x14ac:dyDescent="0.25">
      <c r="A560" s="143" t="s">
        <v>713</v>
      </c>
      <c r="B560" s="143" t="s">
        <v>260</v>
      </c>
      <c r="C560" s="290" t="s">
        <v>261</v>
      </c>
      <c r="D560" s="143" t="s">
        <v>69</v>
      </c>
      <c r="E560" s="257">
        <v>4500000</v>
      </c>
      <c r="F560" s="257">
        <v>4500000</v>
      </c>
      <c r="G560" s="257">
        <v>4500000</v>
      </c>
      <c r="H560" s="257">
        <v>0</v>
      </c>
      <c r="I560" s="257">
        <v>0</v>
      </c>
      <c r="J560" s="257">
        <v>0</v>
      </c>
      <c r="K560" s="257">
        <v>918979</v>
      </c>
      <c r="L560" s="257">
        <v>918979</v>
      </c>
      <c r="M560" s="257"/>
      <c r="N560" s="279">
        <v>3581021</v>
      </c>
      <c r="O560" s="257">
        <v>3581021</v>
      </c>
    </row>
    <row r="561" spans="1:16" s="143" customFormat="1" hidden="1" x14ac:dyDescent="0.25">
      <c r="A561" s="143" t="s">
        <v>713</v>
      </c>
      <c r="B561" s="143" t="s">
        <v>264</v>
      </c>
      <c r="C561" s="290" t="s">
        <v>265</v>
      </c>
      <c r="D561" s="143" t="s">
        <v>69</v>
      </c>
      <c r="E561" s="257">
        <v>4500000</v>
      </c>
      <c r="F561" s="257">
        <v>4500000</v>
      </c>
      <c r="G561" s="257">
        <v>4500000</v>
      </c>
      <c r="H561" s="257">
        <v>0</v>
      </c>
      <c r="I561" s="257">
        <v>0</v>
      </c>
      <c r="J561" s="257">
        <v>0</v>
      </c>
      <c r="K561" s="257">
        <v>918979</v>
      </c>
      <c r="L561" s="257">
        <v>918979</v>
      </c>
      <c r="M561" s="257"/>
      <c r="N561" s="279">
        <v>3581021</v>
      </c>
      <c r="O561" s="257">
        <v>3581021</v>
      </c>
    </row>
    <row r="562" spans="1:16" s="143" customFormat="1" hidden="1" x14ac:dyDescent="0.25">
      <c r="A562" s="143" t="s">
        <v>714</v>
      </c>
      <c r="C562" s="290"/>
      <c r="D562" s="143" t="s">
        <v>69</v>
      </c>
      <c r="E562" s="257">
        <v>2343912564</v>
      </c>
      <c r="F562" s="257">
        <v>2343912564</v>
      </c>
      <c r="G562" s="257">
        <v>2087292037</v>
      </c>
      <c r="H562" s="257">
        <v>17727554.359999999</v>
      </c>
      <c r="I562" s="257">
        <v>261651239.69</v>
      </c>
      <c r="J562" s="257">
        <v>12693564.869999999</v>
      </c>
      <c r="K562" s="257">
        <v>522434207.00999999</v>
      </c>
      <c r="L562" s="257">
        <v>515974749.57999998</v>
      </c>
      <c r="M562" s="257"/>
      <c r="N562" s="279">
        <v>1529405998.0699999</v>
      </c>
      <c r="O562" s="257">
        <v>1272785471.0699999</v>
      </c>
    </row>
    <row r="563" spans="1:16" s="143" customFormat="1" x14ac:dyDescent="0.25">
      <c r="C563" s="290"/>
      <c r="E563" s="257"/>
      <c r="F563" s="292">
        <f>SUBTOTAL(9,F518:F562)</f>
        <v>6646632654</v>
      </c>
      <c r="G563" s="257"/>
      <c r="H563" s="257"/>
      <c r="I563" s="257"/>
      <c r="J563" s="257"/>
      <c r="K563" s="292">
        <f>SUBTOTAL(9,K518:K562)</f>
        <v>1502490522.6599998</v>
      </c>
      <c r="L563" s="257"/>
      <c r="M563" s="293">
        <f>+K563/F563</f>
        <v>0.22605289036934939</v>
      </c>
      <c r="N563" s="341">
        <f>SUBTOTAL(9,N518:N562)</f>
        <v>4333946670.5599995</v>
      </c>
      <c r="O563" s="257"/>
      <c r="P563" s="295">
        <f>+N563/F563</f>
        <v>0.65205148173064653</v>
      </c>
    </row>
    <row r="564" spans="1:16" s="143" customFormat="1" x14ac:dyDescent="0.25">
      <c r="A564" s="291"/>
      <c r="C564" s="290"/>
      <c r="E564" s="257"/>
      <c r="F564" s="257"/>
      <c r="G564" s="257"/>
      <c r="H564" s="257"/>
      <c r="I564" s="257"/>
      <c r="J564" s="257"/>
      <c r="K564" s="257"/>
      <c r="L564" s="257"/>
      <c r="M564" s="257"/>
      <c r="N564" s="257"/>
      <c r="O564" s="257"/>
    </row>
    <row r="565" spans="1:16" s="143" customFormat="1" x14ac:dyDescent="0.25">
      <c r="A565" s="296" t="s">
        <v>714</v>
      </c>
      <c r="B565" s="297" t="s">
        <v>71</v>
      </c>
      <c r="C565" s="298" t="s">
        <v>72</v>
      </c>
      <c r="D565" s="299" t="s">
        <v>69</v>
      </c>
      <c r="E565" s="257">
        <v>1911246104</v>
      </c>
      <c r="F565" s="300">
        <v>1911246104</v>
      </c>
      <c r="G565" s="257">
        <v>1860273235</v>
      </c>
      <c r="H565" s="257">
        <v>0</v>
      </c>
      <c r="I565" s="257">
        <v>227801917</v>
      </c>
      <c r="J565" s="257">
        <v>0</v>
      </c>
      <c r="K565" s="300">
        <v>487675440.83999997</v>
      </c>
      <c r="L565" s="257">
        <v>487675440.83999997</v>
      </c>
      <c r="M565" s="301">
        <f>+K565/F565</f>
        <v>0.25516098623790834</v>
      </c>
      <c r="N565" s="302">
        <v>1195768746.1600001</v>
      </c>
      <c r="O565" s="257">
        <v>1144795877.1600001</v>
      </c>
      <c r="P565" s="303">
        <f>+N565/F565</f>
        <v>0.62564875536300901</v>
      </c>
    </row>
    <row r="566" spans="1:16" s="143" customFormat="1" hidden="1" x14ac:dyDescent="0.25">
      <c r="A566" s="143" t="s">
        <v>714</v>
      </c>
      <c r="B566" s="143" t="s">
        <v>73</v>
      </c>
      <c r="C566" s="290" t="s">
        <v>74</v>
      </c>
      <c r="D566" s="143" t="s">
        <v>69</v>
      </c>
      <c r="E566" s="257">
        <v>693088616</v>
      </c>
      <c r="F566" s="257">
        <v>693088616</v>
      </c>
      <c r="G566" s="257">
        <v>672914792</v>
      </c>
      <c r="H566" s="257">
        <v>0</v>
      </c>
      <c r="I566" s="257">
        <v>0</v>
      </c>
      <c r="J566" s="257">
        <v>0</v>
      </c>
      <c r="K566" s="257">
        <v>162638494.25999999</v>
      </c>
      <c r="L566" s="257">
        <v>162638494.25999999</v>
      </c>
      <c r="M566" s="288">
        <f>K566/F566*100</f>
        <v>23.465757553288107</v>
      </c>
      <c r="N566" s="257">
        <v>530450121.74000001</v>
      </c>
      <c r="O566" s="257">
        <v>510276297.74000001</v>
      </c>
      <c r="P566" s="289">
        <f>N566/F566*100</f>
        <v>76.5342424467119</v>
      </c>
    </row>
    <row r="567" spans="1:16" s="143" customFormat="1" hidden="1" x14ac:dyDescent="0.25">
      <c r="A567" s="143" t="s">
        <v>714</v>
      </c>
      <c r="B567" s="143" t="s">
        <v>75</v>
      </c>
      <c r="C567" s="290" t="s">
        <v>76</v>
      </c>
      <c r="D567" s="143" t="s">
        <v>69</v>
      </c>
      <c r="E567" s="257">
        <v>693088616</v>
      </c>
      <c r="F567" s="257">
        <v>693088616</v>
      </c>
      <c r="G567" s="257">
        <v>672914792</v>
      </c>
      <c r="H567" s="257">
        <v>0</v>
      </c>
      <c r="I567" s="257">
        <v>0</v>
      </c>
      <c r="J567" s="257">
        <v>0</v>
      </c>
      <c r="K567" s="257">
        <v>162638494.25999999</v>
      </c>
      <c r="L567" s="257">
        <v>162638494.25999999</v>
      </c>
      <c r="M567" s="257"/>
      <c r="N567" s="279">
        <v>530450121.74000001</v>
      </c>
      <c r="O567" s="257">
        <v>510276297.74000001</v>
      </c>
    </row>
    <row r="568" spans="1:16" s="143" customFormat="1" ht="30" hidden="1" x14ac:dyDescent="0.25">
      <c r="A568" s="143" t="s">
        <v>714</v>
      </c>
      <c r="B568" s="143" t="s">
        <v>293</v>
      </c>
      <c r="C568" s="290" t="s">
        <v>294</v>
      </c>
      <c r="D568" s="143" t="s">
        <v>69</v>
      </c>
      <c r="E568" s="257">
        <v>2572600</v>
      </c>
      <c r="F568" s="257">
        <v>2572600</v>
      </c>
      <c r="G568" s="257">
        <v>2572600</v>
      </c>
      <c r="H568" s="257">
        <v>0</v>
      </c>
      <c r="I568" s="257">
        <v>0</v>
      </c>
      <c r="J568" s="257">
        <v>0</v>
      </c>
      <c r="K568" s="257">
        <v>485122.5</v>
      </c>
      <c r="L568" s="257">
        <v>485122.5</v>
      </c>
      <c r="M568" s="288">
        <f>K568/F568*100</f>
        <v>18.857284459301873</v>
      </c>
      <c r="N568" s="257">
        <v>2087477.5</v>
      </c>
      <c r="O568" s="257">
        <v>2087477.5</v>
      </c>
      <c r="P568" s="289">
        <f>N568/F568*100</f>
        <v>81.142715540698134</v>
      </c>
    </row>
    <row r="569" spans="1:16" s="143" customFormat="1" hidden="1" x14ac:dyDescent="0.25">
      <c r="A569" s="143" t="s">
        <v>714</v>
      </c>
      <c r="B569" s="143" t="s">
        <v>339</v>
      </c>
      <c r="C569" s="290" t="s">
        <v>340</v>
      </c>
      <c r="D569" s="143" t="s">
        <v>69</v>
      </c>
      <c r="E569" s="257">
        <v>2572600</v>
      </c>
      <c r="F569" s="257">
        <v>2572600</v>
      </c>
      <c r="G569" s="257">
        <v>2572600</v>
      </c>
      <c r="H569" s="257">
        <v>0</v>
      </c>
      <c r="I569" s="257">
        <v>0</v>
      </c>
      <c r="J569" s="257">
        <v>0</v>
      </c>
      <c r="K569" s="257">
        <v>485122.5</v>
      </c>
      <c r="L569" s="257">
        <v>485122.5</v>
      </c>
      <c r="M569" s="257"/>
      <c r="N569" s="279">
        <v>2087477.5</v>
      </c>
      <c r="O569" s="257">
        <v>2087477.5</v>
      </c>
    </row>
    <row r="570" spans="1:16" s="143" customFormat="1" hidden="1" x14ac:dyDescent="0.25">
      <c r="A570" s="143" t="s">
        <v>714</v>
      </c>
      <c r="B570" s="143" t="s">
        <v>77</v>
      </c>
      <c r="C570" s="290" t="s">
        <v>78</v>
      </c>
      <c r="D570" s="143" t="s">
        <v>69</v>
      </c>
      <c r="E570" s="257">
        <v>924031359</v>
      </c>
      <c r="F570" s="257">
        <v>924031359</v>
      </c>
      <c r="G570" s="257">
        <v>901008037</v>
      </c>
      <c r="H570" s="257">
        <v>0</v>
      </c>
      <c r="I570" s="257">
        <v>0</v>
      </c>
      <c r="J570" s="257">
        <v>0</v>
      </c>
      <c r="K570" s="257">
        <v>260800212.08000001</v>
      </c>
      <c r="L570" s="257">
        <v>260800212.08000001</v>
      </c>
      <c r="M570" s="288">
        <f>K570/F570*100</f>
        <v>28.224173296698691</v>
      </c>
      <c r="N570" s="257">
        <v>663231146.91999996</v>
      </c>
      <c r="O570" s="257">
        <v>640207824.91999996</v>
      </c>
      <c r="P570" s="289">
        <f>N570/F570*100</f>
        <v>71.775826703301306</v>
      </c>
    </row>
    <row r="571" spans="1:16" s="143" customFormat="1" ht="30" hidden="1" x14ac:dyDescent="0.25">
      <c r="A571" s="143" t="s">
        <v>714</v>
      </c>
      <c r="B571" s="143" t="s">
        <v>79</v>
      </c>
      <c r="C571" s="290" t="s">
        <v>80</v>
      </c>
      <c r="D571" s="143" t="s">
        <v>69</v>
      </c>
      <c r="E571" s="257">
        <v>322806400</v>
      </c>
      <c r="F571" s="257">
        <v>322806400</v>
      </c>
      <c r="G571" s="257">
        <v>311730487</v>
      </c>
      <c r="H571" s="257">
        <v>0</v>
      </c>
      <c r="I571" s="257">
        <v>0</v>
      </c>
      <c r="J571" s="257">
        <v>0</v>
      </c>
      <c r="K571" s="257">
        <v>70580691.469999999</v>
      </c>
      <c r="L571" s="257">
        <v>70580691.469999999</v>
      </c>
      <c r="M571" s="257"/>
      <c r="N571" s="279">
        <v>252225708.53</v>
      </c>
      <c r="O571" s="257">
        <v>241149795.53</v>
      </c>
    </row>
    <row r="572" spans="1:16" s="143" customFormat="1" ht="30" hidden="1" x14ac:dyDescent="0.25">
      <c r="A572" s="143" t="s">
        <v>714</v>
      </c>
      <c r="B572" s="143" t="s">
        <v>81</v>
      </c>
      <c r="C572" s="290" t="s">
        <v>82</v>
      </c>
      <c r="D572" s="143" t="s">
        <v>69</v>
      </c>
      <c r="E572" s="257">
        <v>234712205</v>
      </c>
      <c r="F572" s="257">
        <v>234712205</v>
      </c>
      <c r="G572" s="257">
        <v>227111190</v>
      </c>
      <c r="H572" s="257">
        <v>0</v>
      </c>
      <c r="I572" s="257">
        <v>0</v>
      </c>
      <c r="J572" s="257">
        <v>0</v>
      </c>
      <c r="K572" s="257">
        <v>58403645.729999997</v>
      </c>
      <c r="L572" s="257">
        <v>58403645.729999997</v>
      </c>
      <c r="M572" s="257"/>
      <c r="N572" s="279">
        <v>176308559.27000001</v>
      </c>
      <c r="O572" s="257">
        <v>168707544.27000001</v>
      </c>
    </row>
    <row r="573" spans="1:16" s="143" customFormat="1" hidden="1" x14ac:dyDescent="0.25">
      <c r="A573" s="143" t="s">
        <v>714</v>
      </c>
      <c r="B573" s="143" t="s">
        <v>83</v>
      </c>
      <c r="C573" s="290" t="s">
        <v>84</v>
      </c>
      <c r="D573" s="143" t="s">
        <v>85</v>
      </c>
      <c r="E573" s="257">
        <v>124545654</v>
      </c>
      <c r="F573" s="257">
        <v>124545654</v>
      </c>
      <c r="G573" s="257">
        <v>121224024</v>
      </c>
      <c r="H573" s="257">
        <v>0</v>
      </c>
      <c r="I573" s="257">
        <v>0</v>
      </c>
      <c r="J573" s="257">
        <v>0</v>
      </c>
      <c r="K573" s="257">
        <v>0</v>
      </c>
      <c r="L573" s="257">
        <v>0</v>
      </c>
      <c r="M573" s="257"/>
      <c r="N573" s="279">
        <v>124545654</v>
      </c>
      <c r="O573" s="257">
        <v>121224024</v>
      </c>
    </row>
    <row r="574" spans="1:16" s="143" customFormat="1" hidden="1" x14ac:dyDescent="0.25">
      <c r="A574" s="143" t="s">
        <v>714</v>
      </c>
      <c r="B574" s="143" t="s">
        <v>86</v>
      </c>
      <c r="C574" s="290" t="s">
        <v>87</v>
      </c>
      <c r="D574" s="143" t="s">
        <v>69</v>
      </c>
      <c r="E574" s="257">
        <v>114340800</v>
      </c>
      <c r="F574" s="257">
        <v>114340800</v>
      </c>
      <c r="G574" s="257">
        <v>114340800</v>
      </c>
      <c r="H574" s="257">
        <v>0</v>
      </c>
      <c r="I574" s="257">
        <v>0</v>
      </c>
      <c r="J574" s="257">
        <v>0</v>
      </c>
      <c r="K574" s="257">
        <v>100891549.97</v>
      </c>
      <c r="L574" s="257">
        <v>100891549.97</v>
      </c>
      <c r="M574" s="257"/>
      <c r="N574" s="279">
        <v>13449250.029999999</v>
      </c>
      <c r="O574" s="257">
        <v>13449250.029999999</v>
      </c>
    </row>
    <row r="575" spans="1:16" s="143" customFormat="1" ht="30" hidden="1" x14ac:dyDescent="0.25">
      <c r="A575" s="143" t="s">
        <v>714</v>
      </c>
      <c r="B575" s="143" t="s">
        <v>88</v>
      </c>
      <c r="C575" s="290" t="s">
        <v>89</v>
      </c>
      <c r="D575" s="143" t="s">
        <v>69</v>
      </c>
      <c r="E575" s="257">
        <v>127626300</v>
      </c>
      <c r="F575" s="257">
        <v>127626300</v>
      </c>
      <c r="G575" s="257">
        <v>126601536</v>
      </c>
      <c r="H575" s="257">
        <v>0</v>
      </c>
      <c r="I575" s="257">
        <v>0</v>
      </c>
      <c r="J575" s="257">
        <v>0</v>
      </c>
      <c r="K575" s="257">
        <v>30924324.91</v>
      </c>
      <c r="L575" s="257">
        <v>30924324.91</v>
      </c>
      <c r="M575" s="257"/>
      <c r="N575" s="279">
        <v>96701975.090000004</v>
      </c>
      <c r="O575" s="257">
        <v>95677211.090000004</v>
      </c>
    </row>
    <row r="576" spans="1:16" s="143" customFormat="1" ht="30" hidden="1" x14ac:dyDescent="0.25">
      <c r="A576" s="143" t="s">
        <v>714</v>
      </c>
      <c r="B576" s="143" t="s">
        <v>90</v>
      </c>
      <c r="C576" s="290" t="s">
        <v>91</v>
      </c>
      <c r="D576" s="143" t="s">
        <v>69</v>
      </c>
      <c r="E576" s="257">
        <v>145776815</v>
      </c>
      <c r="F576" s="257">
        <v>145776815</v>
      </c>
      <c r="G576" s="257">
        <v>141888953</v>
      </c>
      <c r="H576" s="257">
        <v>0</v>
      </c>
      <c r="I576" s="257">
        <v>113807458</v>
      </c>
      <c r="J576" s="257">
        <v>0</v>
      </c>
      <c r="K576" s="257">
        <v>31969357</v>
      </c>
      <c r="L576" s="257">
        <v>31969357</v>
      </c>
      <c r="M576" s="288">
        <f>K576/F576*100</f>
        <v>21.930343998803924</v>
      </c>
      <c r="N576" s="257">
        <v>0</v>
      </c>
      <c r="O576" s="275">
        <v>-3887862</v>
      </c>
      <c r="P576" s="289">
        <f>N576/F576*100</f>
        <v>0</v>
      </c>
    </row>
    <row r="577" spans="1:16" s="143" customFormat="1" ht="90" hidden="1" x14ac:dyDescent="0.25">
      <c r="A577" s="143" t="s">
        <v>714</v>
      </c>
      <c r="B577" s="143" t="s">
        <v>424</v>
      </c>
      <c r="C577" s="290" t="s">
        <v>697</v>
      </c>
      <c r="D577" s="143" t="s">
        <v>69</v>
      </c>
      <c r="E577" s="257">
        <v>138301084</v>
      </c>
      <c r="F577" s="257">
        <v>138301084</v>
      </c>
      <c r="G577" s="257">
        <v>134612599</v>
      </c>
      <c r="H577" s="257">
        <v>0</v>
      </c>
      <c r="I577" s="257">
        <v>107971182</v>
      </c>
      <c r="J577" s="257">
        <v>0</v>
      </c>
      <c r="K577" s="257">
        <v>30329902</v>
      </c>
      <c r="L577" s="257">
        <v>30329902</v>
      </c>
      <c r="M577" s="257"/>
      <c r="N577" s="279">
        <v>0</v>
      </c>
      <c r="O577" s="275">
        <v>-3688485</v>
      </c>
    </row>
    <row r="578" spans="1:16" s="143" customFormat="1" ht="75" hidden="1" x14ac:dyDescent="0.25">
      <c r="A578" s="143" t="s">
        <v>714</v>
      </c>
      <c r="B578" s="143" t="s">
        <v>441</v>
      </c>
      <c r="C578" s="290" t="s">
        <v>95</v>
      </c>
      <c r="D578" s="143" t="s">
        <v>69</v>
      </c>
      <c r="E578" s="257">
        <v>7475731</v>
      </c>
      <c r="F578" s="257">
        <v>7475731</v>
      </c>
      <c r="G578" s="257">
        <v>7276354</v>
      </c>
      <c r="H578" s="257">
        <v>0</v>
      </c>
      <c r="I578" s="257">
        <v>5836276</v>
      </c>
      <c r="J578" s="257">
        <v>0</v>
      </c>
      <c r="K578" s="257">
        <v>1639455</v>
      </c>
      <c r="L578" s="257">
        <v>1639455</v>
      </c>
      <c r="M578" s="257"/>
      <c r="N578" s="279">
        <v>0</v>
      </c>
      <c r="O578" s="275">
        <v>-199377</v>
      </c>
    </row>
    <row r="579" spans="1:16" s="143" customFormat="1" ht="30" hidden="1" x14ac:dyDescent="0.25">
      <c r="A579" s="143" t="s">
        <v>714</v>
      </c>
      <c r="B579" s="143" t="s">
        <v>96</v>
      </c>
      <c r="C579" s="290" t="s">
        <v>97</v>
      </c>
      <c r="D579" s="143" t="s">
        <v>69</v>
      </c>
      <c r="E579" s="257">
        <v>145776714</v>
      </c>
      <c r="F579" s="257">
        <v>145776714</v>
      </c>
      <c r="G579" s="257">
        <v>141888853</v>
      </c>
      <c r="H579" s="257">
        <v>0</v>
      </c>
      <c r="I579" s="257">
        <v>113994459</v>
      </c>
      <c r="J579" s="257">
        <v>0</v>
      </c>
      <c r="K579" s="257">
        <v>31782255</v>
      </c>
      <c r="L579" s="257">
        <v>31782255</v>
      </c>
      <c r="M579" s="288">
        <f>K579/F579*100</f>
        <v>21.802010847905379</v>
      </c>
      <c r="N579" s="257">
        <v>0</v>
      </c>
      <c r="O579" s="275">
        <v>-3887861</v>
      </c>
      <c r="P579" s="289">
        <f>N579/F579*100</f>
        <v>0</v>
      </c>
    </row>
    <row r="580" spans="1:16" s="143" customFormat="1" ht="90" hidden="1" x14ac:dyDescent="0.25">
      <c r="A580" s="143" t="s">
        <v>714</v>
      </c>
      <c r="B580" s="143" t="s">
        <v>459</v>
      </c>
      <c r="C580" s="290" t="s">
        <v>698</v>
      </c>
      <c r="D580" s="143" t="s">
        <v>69</v>
      </c>
      <c r="E580" s="257">
        <v>78495131</v>
      </c>
      <c r="F580" s="257">
        <v>78495131</v>
      </c>
      <c r="G580" s="257">
        <v>76401667</v>
      </c>
      <c r="H580" s="257">
        <v>0</v>
      </c>
      <c r="I580" s="257">
        <v>61467964</v>
      </c>
      <c r="J580" s="257">
        <v>0</v>
      </c>
      <c r="K580" s="257">
        <v>17027167</v>
      </c>
      <c r="L580" s="257">
        <v>17027167</v>
      </c>
      <c r="M580" s="257"/>
      <c r="N580" s="279">
        <v>0</v>
      </c>
      <c r="O580" s="275">
        <v>-2093464</v>
      </c>
    </row>
    <row r="581" spans="1:16" s="143" customFormat="1" ht="90" hidden="1" x14ac:dyDescent="0.25">
      <c r="A581" s="143" t="s">
        <v>714</v>
      </c>
      <c r="B581" s="143" t="s">
        <v>476</v>
      </c>
      <c r="C581" s="290" t="s">
        <v>699</v>
      </c>
      <c r="D581" s="143" t="s">
        <v>69</v>
      </c>
      <c r="E581" s="257">
        <v>22427194</v>
      </c>
      <c r="F581" s="257">
        <v>22427194</v>
      </c>
      <c r="G581" s="257">
        <v>21829062</v>
      </c>
      <c r="H581" s="257">
        <v>0</v>
      </c>
      <c r="I581" s="257">
        <v>17508831</v>
      </c>
      <c r="J581" s="257">
        <v>0</v>
      </c>
      <c r="K581" s="257">
        <v>4918363</v>
      </c>
      <c r="L581" s="257">
        <v>4918363</v>
      </c>
      <c r="M581" s="257"/>
      <c r="N581" s="279">
        <v>0</v>
      </c>
      <c r="O581" s="275">
        <v>-598132</v>
      </c>
    </row>
    <row r="582" spans="1:16" s="143" customFormat="1" ht="90" hidden="1" x14ac:dyDescent="0.25">
      <c r="A582" s="143" t="s">
        <v>714</v>
      </c>
      <c r="B582" s="143" t="s">
        <v>493</v>
      </c>
      <c r="C582" s="290" t="s">
        <v>700</v>
      </c>
      <c r="D582" s="143" t="s">
        <v>69</v>
      </c>
      <c r="E582" s="257">
        <v>44854389</v>
      </c>
      <c r="F582" s="257">
        <v>44854389</v>
      </c>
      <c r="G582" s="257">
        <v>43658124</v>
      </c>
      <c r="H582" s="257">
        <v>0</v>
      </c>
      <c r="I582" s="257">
        <v>35017664</v>
      </c>
      <c r="J582" s="257">
        <v>0</v>
      </c>
      <c r="K582" s="257">
        <v>9836725</v>
      </c>
      <c r="L582" s="257">
        <v>9836725</v>
      </c>
      <c r="M582" s="257"/>
      <c r="N582" s="279">
        <v>0</v>
      </c>
      <c r="O582" s="275">
        <v>-1196265</v>
      </c>
    </row>
    <row r="583" spans="1:16" s="143" customFormat="1" x14ac:dyDescent="0.25">
      <c r="A583" s="296" t="s">
        <v>714</v>
      </c>
      <c r="B583" s="297" t="s">
        <v>104</v>
      </c>
      <c r="C583" s="298" t="s">
        <v>105</v>
      </c>
      <c r="D583" s="299" t="s">
        <v>69</v>
      </c>
      <c r="E583" s="257">
        <v>93714000</v>
      </c>
      <c r="F583" s="300">
        <v>93714000</v>
      </c>
      <c r="G583" s="257">
        <v>47357000</v>
      </c>
      <c r="H583" s="257">
        <v>0</v>
      </c>
      <c r="I583" s="257">
        <v>10041057.76</v>
      </c>
      <c r="J583" s="257">
        <v>0</v>
      </c>
      <c r="K583" s="300">
        <v>9560708.7699999996</v>
      </c>
      <c r="L583" s="257">
        <v>3247991.34</v>
      </c>
      <c r="M583" s="301">
        <f>+K583/F583</f>
        <v>0.10202006925325992</v>
      </c>
      <c r="N583" s="302">
        <v>74112233.469999999</v>
      </c>
      <c r="O583" s="257">
        <v>27755233.469999999</v>
      </c>
      <c r="P583" s="303">
        <f>+N583/F583</f>
        <v>0.79083417066820327</v>
      </c>
    </row>
    <row r="584" spans="1:16" s="143" customFormat="1" hidden="1" x14ac:dyDescent="0.25">
      <c r="A584" s="143" t="s">
        <v>714</v>
      </c>
      <c r="B584" s="143" t="s">
        <v>112</v>
      </c>
      <c r="C584" s="290" t="s">
        <v>113</v>
      </c>
      <c r="D584" s="143" t="s">
        <v>69</v>
      </c>
      <c r="E584" s="257">
        <v>92804000</v>
      </c>
      <c r="F584" s="257">
        <v>92804000</v>
      </c>
      <c r="G584" s="257">
        <v>46447000</v>
      </c>
      <c r="H584" s="257">
        <v>0</v>
      </c>
      <c r="I584" s="257">
        <v>10041057.76</v>
      </c>
      <c r="J584" s="257">
        <v>0</v>
      </c>
      <c r="K584" s="257">
        <v>9560708.7699999996</v>
      </c>
      <c r="L584" s="257">
        <v>3247991.34</v>
      </c>
      <c r="M584" s="257"/>
      <c r="N584" s="279">
        <v>73202233.469999999</v>
      </c>
      <c r="O584" s="257">
        <v>26845233.469999999</v>
      </c>
    </row>
    <row r="585" spans="1:16" s="143" customFormat="1" ht="30" hidden="1" x14ac:dyDescent="0.25">
      <c r="A585" s="143" t="s">
        <v>714</v>
      </c>
      <c r="B585" s="143" t="s">
        <v>114</v>
      </c>
      <c r="C585" s="290" t="s">
        <v>115</v>
      </c>
      <c r="D585" s="143" t="s">
        <v>69</v>
      </c>
      <c r="E585" s="257">
        <v>36754000</v>
      </c>
      <c r="F585" s="257">
        <v>36754000</v>
      </c>
      <c r="G585" s="257">
        <v>18127000</v>
      </c>
      <c r="H585" s="257">
        <v>0</v>
      </c>
      <c r="I585" s="257">
        <v>2746585.99</v>
      </c>
      <c r="J585" s="257">
        <v>0</v>
      </c>
      <c r="K585" s="257">
        <v>6066914.0099999998</v>
      </c>
      <c r="L585" s="257">
        <v>971862.01</v>
      </c>
      <c r="M585" s="257"/>
      <c r="N585" s="279">
        <v>27940500</v>
      </c>
      <c r="O585" s="257">
        <v>9313500</v>
      </c>
    </row>
    <row r="586" spans="1:16" s="143" customFormat="1" ht="30" hidden="1" x14ac:dyDescent="0.25">
      <c r="A586" s="143" t="s">
        <v>714</v>
      </c>
      <c r="B586" s="143" t="s">
        <v>116</v>
      </c>
      <c r="C586" s="290" t="s">
        <v>117</v>
      </c>
      <c r="D586" s="143" t="s">
        <v>69</v>
      </c>
      <c r="E586" s="257">
        <v>43500000</v>
      </c>
      <c r="F586" s="257">
        <v>43500000</v>
      </c>
      <c r="G586" s="257">
        <v>21545000</v>
      </c>
      <c r="H586" s="257">
        <v>0</v>
      </c>
      <c r="I586" s="257">
        <v>7294471.7699999996</v>
      </c>
      <c r="J586" s="257">
        <v>0</v>
      </c>
      <c r="K586" s="257">
        <v>3273028.23</v>
      </c>
      <c r="L586" s="257">
        <v>2071049.33</v>
      </c>
      <c r="M586" s="257"/>
      <c r="N586" s="279">
        <v>32932500</v>
      </c>
      <c r="O586" s="257">
        <v>10977500</v>
      </c>
    </row>
    <row r="587" spans="1:16" s="143" customFormat="1" ht="30" hidden="1" x14ac:dyDescent="0.25">
      <c r="A587" s="143" t="s">
        <v>714</v>
      </c>
      <c r="B587" s="143" t="s">
        <v>120</v>
      </c>
      <c r="C587" s="290" t="s">
        <v>121</v>
      </c>
      <c r="D587" s="143" t="s">
        <v>69</v>
      </c>
      <c r="E587" s="257">
        <v>11550000</v>
      </c>
      <c r="F587" s="257">
        <v>11550000</v>
      </c>
      <c r="G587" s="257">
        <v>5775000</v>
      </c>
      <c r="H587" s="257">
        <v>0</v>
      </c>
      <c r="I587" s="257">
        <v>0</v>
      </c>
      <c r="J587" s="257">
        <v>0</v>
      </c>
      <c r="K587" s="257">
        <v>0</v>
      </c>
      <c r="L587" s="257">
        <v>0</v>
      </c>
      <c r="M587" s="257"/>
      <c r="N587" s="279">
        <v>11550000</v>
      </c>
      <c r="O587" s="257">
        <v>5775000</v>
      </c>
    </row>
    <row r="588" spans="1:16" s="143" customFormat="1" hidden="1" x14ac:dyDescent="0.25">
      <c r="A588" s="143" t="s">
        <v>714</v>
      </c>
      <c r="B588" s="143" t="s">
        <v>122</v>
      </c>
      <c r="C588" s="290" t="s">
        <v>123</v>
      </c>
      <c r="D588" s="143" t="s">
        <v>69</v>
      </c>
      <c r="E588" s="257">
        <v>1000000</v>
      </c>
      <c r="F588" s="257">
        <v>1000000</v>
      </c>
      <c r="G588" s="257">
        <v>1000000</v>
      </c>
      <c r="H588" s="257">
        <v>0</v>
      </c>
      <c r="I588" s="257">
        <v>0</v>
      </c>
      <c r="J588" s="257">
        <v>0</v>
      </c>
      <c r="K588" s="257">
        <v>220766.53</v>
      </c>
      <c r="L588" s="257">
        <v>205080</v>
      </c>
      <c r="M588" s="257"/>
      <c r="N588" s="279">
        <v>779233.47</v>
      </c>
      <c r="O588" s="257">
        <v>779233.47</v>
      </c>
    </row>
    <row r="589" spans="1:16" s="143" customFormat="1" ht="30" hidden="1" x14ac:dyDescent="0.25">
      <c r="A589" s="143" t="s">
        <v>714</v>
      </c>
      <c r="B589" s="143" t="s">
        <v>134</v>
      </c>
      <c r="C589" s="290" t="s">
        <v>135</v>
      </c>
      <c r="D589" s="143" t="s">
        <v>69</v>
      </c>
      <c r="E589" s="257">
        <v>410000</v>
      </c>
      <c r="F589" s="257">
        <v>410000</v>
      </c>
      <c r="G589" s="257">
        <v>410000</v>
      </c>
      <c r="H589" s="257">
        <v>0</v>
      </c>
      <c r="I589" s="257">
        <v>0</v>
      </c>
      <c r="J589" s="257">
        <v>0</v>
      </c>
      <c r="K589" s="257">
        <v>0</v>
      </c>
      <c r="L589" s="257">
        <v>0</v>
      </c>
      <c r="M589" s="257"/>
      <c r="N589" s="279">
        <v>410000</v>
      </c>
      <c r="O589" s="257">
        <v>410000</v>
      </c>
    </row>
    <row r="590" spans="1:16" s="143" customFormat="1" ht="30" hidden="1" x14ac:dyDescent="0.25">
      <c r="A590" s="143" t="s">
        <v>714</v>
      </c>
      <c r="B590" s="143" t="s">
        <v>346</v>
      </c>
      <c r="C590" s="290" t="s">
        <v>347</v>
      </c>
      <c r="D590" s="143" t="s">
        <v>69</v>
      </c>
      <c r="E590" s="257">
        <v>20000</v>
      </c>
      <c r="F590" s="257">
        <v>20000</v>
      </c>
      <c r="G590" s="257">
        <v>20000</v>
      </c>
      <c r="H590" s="257">
        <v>0</v>
      </c>
      <c r="I590" s="257">
        <v>0</v>
      </c>
      <c r="J590" s="257">
        <v>0</v>
      </c>
      <c r="K590" s="257">
        <v>0</v>
      </c>
      <c r="L590" s="257">
        <v>0</v>
      </c>
      <c r="M590" s="257"/>
      <c r="N590" s="279">
        <v>20000</v>
      </c>
      <c r="O590" s="257">
        <v>20000</v>
      </c>
    </row>
    <row r="591" spans="1:16" s="143" customFormat="1" hidden="1" x14ac:dyDescent="0.25">
      <c r="A591" s="143" t="s">
        <v>714</v>
      </c>
      <c r="B591" s="143" t="s">
        <v>136</v>
      </c>
      <c r="C591" s="290" t="s">
        <v>137</v>
      </c>
      <c r="D591" s="143" t="s">
        <v>69</v>
      </c>
      <c r="E591" s="257">
        <v>350000</v>
      </c>
      <c r="F591" s="257">
        <v>350000</v>
      </c>
      <c r="G591" s="257">
        <v>350000</v>
      </c>
      <c r="H591" s="257">
        <v>0</v>
      </c>
      <c r="I591" s="257">
        <v>0</v>
      </c>
      <c r="J591" s="257">
        <v>0</v>
      </c>
      <c r="K591" s="257">
        <v>0</v>
      </c>
      <c r="L591" s="257">
        <v>0</v>
      </c>
      <c r="M591" s="257"/>
      <c r="N591" s="279">
        <v>350000</v>
      </c>
      <c r="O591" s="257">
        <v>350000</v>
      </c>
    </row>
    <row r="592" spans="1:16" s="143" customFormat="1" ht="30" hidden="1" x14ac:dyDescent="0.25">
      <c r="A592" s="143" t="s">
        <v>714</v>
      </c>
      <c r="B592" s="143" t="s">
        <v>138</v>
      </c>
      <c r="C592" s="290" t="s">
        <v>139</v>
      </c>
      <c r="D592" s="143" t="s">
        <v>69</v>
      </c>
      <c r="E592" s="257">
        <v>40000</v>
      </c>
      <c r="F592" s="257">
        <v>40000</v>
      </c>
      <c r="G592" s="257">
        <v>40000</v>
      </c>
      <c r="H592" s="257">
        <v>0</v>
      </c>
      <c r="I592" s="257">
        <v>0</v>
      </c>
      <c r="J592" s="257">
        <v>0</v>
      </c>
      <c r="K592" s="257">
        <v>0</v>
      </c>
      <c r="L592" s="257">
        <v>0</v>
      </c>
      <c r="M592" s="257"/>
      <c r="N592" s="279">
        <v>40000</v>
      </c>
      <c r="O592" s="257">
        <v>40000</v>
      </c>
    </row>
    <row r="593" spans="1:16" s="143" customFormat="1" ht="30" hidden="1" x14ac:dyDescent="0.25">
      <c r="A593" s="143" t="s">
        <v>714</v>
      </c>
      <c r="B593" s="143" t="s">
        <v>162</v>
      </c>
      <c r="C593" s="290" t="s">
        <v>163</v>
      </c>
      <c r="D593" s="143" t="s">
        <v>69</v>
      </c>
      <c r="E593" s="257">
        <v>500000</v>
      </c>
      <c r="F593" s="257">
        <v>500000</v>
      </c>
      <c r="G593" s="257">
        <v>500000</v>
      </c>
      <c r="H593" s="257">
        <v>0</v>
      </c>
      <c r="I593" s="257">
        <v>0</v>
      </c>
      <c r="J593" s="257">
        <v>0</v>
      </c>
      <c r="K593" s="257">
        <v>0</v>
      </c>
      <c r="L593" s="257">
        <v>0</v>
      </c>
      <c r="M593" s="257"/>
      <c r="N593" s="279">
        <v>500000</v>
      </c>
      <c r="O593" s="257">
        <v>500000</v>
      </c>
    </row>
    <row r="594" spans="1:16" s="143" customFormat="1" ht="45" hidden="1" x14ac:dyDescent="0.25">
      <c r="A594" s="143" t="s">
        <v>714</v>
      </c>
      <c r="B594" s="143" t="s">
        <v>164</v>
      </c>
      <c r="C594" s="290" t="s">
        <v>165</v>
      </c>
      <c r="D594" s="143" t="s">
        <v>69</v>
      </c>
      <c r="E594" s="257">
        <v>100000</v>
      </c>
      <c r="F594" s="257">
        <v>100000</v>
      </c>
      <c r="G594" s="257">
        <v>100000</v>
      </c>
      <c r="H594" s="257">
        <v>0</v>
      </c>
      <c r="I594" s="257">
        <v>0</v>
      </c>
      <c r="J594" s="257">
        <v>0</v>
      </c>
      <c r="K594" s="257">
        <v>0</v>
      </c>
      <c r="L594" s="257">
        <v>0</v>
      </c>
      <c r="M594" s="257"/>
      <c r="N594" s="279">
        <v>100000</v>
      </c>
      <c r="O594" s="257">
        <v>100000</v>
      </c>
    </row>
    <row r="595" spans="1:16" s="143" customFormat="1" ht="45" hidden="1" x14ac:dyDescent="0.25">
      <c r="A595" s="143" t="s">
        <v>714</v>
      </c>
      <c r="B595" s="143" t="s">
        <v>172</v>
      </c>
      <c r="C595" s="290" t="s">
        <v>173</v>
      </c>
      <c r="D595" s="143" t="s">
        <v>69</v>
      </c>
      <c r="E595" s="257">
        <v>400000</v>
      </c>
      <c r="F595" s="257">
        <v>400000</v>
      </c>
      <c r="G595" s="257">
        <v>400000</v>
      </c>
      <c r="H595" s="257">
        <v>0</v>
      </c>
      <c r="I595" s="257">
        <v>0</v>
      </c>
      <c r="J595" s="257">
        <v>0</v>
      </c>
      <c r="K595" s="257">
        <v>0</v>
      </c>
      <c r="L595" s="257">
        <v>0</v>
      </c>
      <c r="M595" s="257"/>
      <c r="N595" s="279">
        <v>400000</v>
      </c>
      <c r="O595" s="257">
        <v>400000</v>
      </c>
    </row>
    <row r="596" spans="1:16" s="143" customFormat="1" x14ac:dyDescent="0.25">
      <c r="A596" s="296" t="s">
        <v>714</v>
      </c>
      <c r="B596" s="297" t="s">
        <v>184</v>
      </c>
      <c r="C596" s="298" t="s">
        <v>185</v>
      </c>
      <c r="D596" s="299" t="s">
        <v>69</v>
      </c>
      <c r="E596" s="257">
        <v>301595100</v>
      </c>
      <c r="F596" s="300">
        <v>301595100</v>
      </c>
      <c r="G596" s="257">
        <v>147266375</v>
      </c>
      <c r="H596" s="257">
        <v>17727554.359999999</v>
      </c>
      <c r="I596" s="257">
        <v>4244790.93</v>
      </c>
      <c r="J596" s="257">
        <v>12693564.869999999</v>
      </c>
      <c r="K596" s="300">
        <v>19337465.399999999</v>
      </c>
      <c r="L596" s="257">
        <v>19190725.399999999</v>
      </c>
      <c r="M596" s="301">
        <f>+K596/F596</f>
        <v>6.411730628249597E-2</v>
      </c>
      <c r="N596" s="302">
        <v>247591724.44</v>
      </c>
      <c r="O596" s="257">
        <v>93262999.439999998</v>
      </c>
      <c r="P596" s="303">
        <f>+N596/F596</f>
        <v>0.82094080586853035</v>
      </c>
    </row>
    <row r="597" spans="1:16" s="143" customFormat="1" ht="30" hidden="1" x14ac:dyDescent="0.25">
      <c r="A597" s="143" t="s">
        <v>714</v>
      </c>
      <c r="B597" s="143" t="s">
        <v>186</v>
      </c>
      <c r="C597" s="290" t="s">
        <v>187</v>
      </c>
      <c r="D597" s="143" t="s">
        <v>69</v>
      </c>
      <c r="E597" s="257">
        <v>6620568</v>
      </c>
      <c r="F597" s="257">
        <v>6620568</v>
      </c>
      <c r="G597" s="257">
        <v>3382426</v>
      </c>
      <c r="H597" s="257">
        <v>0</v>
      </c>
      <c r="I597" s="257">
        <v>0</v>
      </c>
      <c r="J597" s="257">
        <v>0</v>
      </c>
      <c r="K597" s="257">
        <v>0</v>
      </c>
      <c r="L597" s="257">
        <v>0</v>
      </c>
      <c r="M597" s="257"/>
      <c r="N597" s="279">
        <v>6620568</v>
      </c>
      <c r="O597" s="257">
        <v>3382426</v>
      </c>
    </row>
    <row r="598" spans="1:16" s="143" customFormat="1" hidden="1" x14ac:dyDescent="0.25">
      <c r="A598" s="143" t="s">
        <v>714</v>
      </c>
      <c r="B598" s="143" t="s">
        <v>188</v>
      </c>
      <c r="C598" s="290" t="s">
        <v>189</v>
      </c>
      <c r="D598" s="143" t="s">
        <v>69</v>
      </c>
      <c r="E598" s="257">
        <v>2413000</v>
      </c>
      <c r="F598" s="257">
        <v>2413000</v>
      </c>
      <c r="G598" s="257">
        <v>1174858</v>
      </c>
      <c r="H598" s="257">
        <v>0</v>
      </c>
      <c r="I598" s="257">
        <v>0</v>
      </c>
      <c r="J598" s="257">
        <v>0</v>
      </c>
      <c r="K598" s="257">
        <v>0</v>
      </c>
      <c r="L598" s="257">
        <v>0</v>
      </c>
      <c r="M598" s="257"/>
      <c r="N598" s="279">
        <v>2413000</v>
      </c>
      <c r="O598" s="257">
        <v>1174858</v>
      </c>
    </row>
    <row r="599" spans="1:16" s="143" customFormat="1" hidden="1" x14ac:dyDescent="0.25">
      <c r="A599" s="143" t="s">
        <v>714</v>
      </c>
      <c r="B599" s="143" t="s">
        <v>350</v>
      </c>
      <c r="C599" s="290" t="s">
        <v>351</v>
      </c>
      <c r="D599" s="143" t="s">
        <v>69</v>
      </c>
      <c r="E599" s="257">
        <v>63287</v>
      </c>
      <c r="F599" s="257">
        <v>63287</v>
      </c>
      <c r="G599" s="257">
        <v>63287</v>
      </c>
      <c r="H599" s="257">
        <v>0</v>
      </c>
      <c r="I599" s="257">
        <v>0</v>
      </c>
      <c r="J599" s="257">
        <v>0</v>
      </c>
      <c r="K599" s="257">
        <v>0</v>
      </c>
      <c r="L599" s="257">
        <v>0</v>
      </c>
      <c r="M599" s="257"/>
      <c r="N599" s="279">
        <v>63287</v>
      </c>
      <c r="O599" s="257">
        <v>63287</v>
      </c>
    </row>
    <row r="600" spans="1:16" s="143" customFormat="1" ht="30" hidden="1" x14ac:dyDescent="0.25">
      <c r="A600" s="143" t="s">
        <v>714</v>
      </c>
      <c r="B600" s="143" t="s">
        <v>194</v>
      </c>
      <c r="C600" s="290" t="s">
        <v>195</v>
      </c>
      <c r="D600" s="143" t="s">
        <v>69</v>
      </c>
      <c r="E600" s="257">
        <v>4144281</v>
      </c>
      <c r="F600" s="257">
        <v>4144281</v>
      </c>
      <c r="G600" s="257">
        <v>2144281</v>
      </c>
      <c r="H600" s="257">
        <v>0</v>
      </c>
      <c r="I600" s="257">
        <v>0</v>
      </c>
      <c r="J600" s="257">
        <v>0</v>
      </c>
      <c r="K600" s="257">
        <v>0</v>
      </c>
      <c r="L600" s="257">
        <v>0</v>
      </c>
      <c r="M600" s="257"/>
      <c r="N600" s="279">
        <v>4144281</v>
      </c>
      <c r="O600" s="257">
        <v>2144281</v>
      </c>
    </row>
    <row r="601" spans="1:16" s="143" customFormat="1" ht="30" hidden="1" x14ac:dyDescent="0.25">
      <c r="A601" s="143" t="s">
        <v>714</v>
      </c>
      <c r="B601" s="143" t="s">
        <v>196</v>
      </c>
      <c r="C601" s="290" t="s">
        <v>197</v>
      </c>
      <c r="D601" s="143" t="s">
        <v>69</v>
      </c>
      <c r="E601" s="257">
        <v>280709986</v>
      </c>
      <c r="F601" s="257">
        <v>280709986</v>
      </c>
      <c r="G601" s="257">
        <v>139119403</v>
      </c>
      <c r="H601" s="257">
        <v>17727554.359999999</v>
      </c>
      <c r="I601" s="257">
        <v>4244790.93</v>
      </c>
      <c r="J601" s="257">
        <v>12693564.869999999</v>
      </c>
      <c r="K601" s="257">
        <v>19337465.399999999</v>
      </c>
      <c r="L601" s="257">
        <v>19190725.399999999</v>
      </c>
      <c r="M601" s="257"/>
      <c r="N601" s="279">
        <v>226706610.44</v>
      </c>
      <c r="O601" s="257">
        <v>85116027.439999998</v>
      </c>
    </row>
    <row r="602" spans="1:16" s="143" customFormat="1" hidden="1" x14ac:dyDescent="0.25">
      <c r="A602" s="143" t="s">
        <v>714</v>
      </c>
      <c r="B602" s="143" t="s">
        <v>579</v>
      </c>
      <c r="C602" s="290" t="s">
        <v>580</v>
      </c>
      <c r="D602" s="143" t="s">
        <v>69</v>
      </c>
      <c r="E602" s="257">
        <v>1988520</v>
      </c>
      <c r="F602" s="257">
        <v>1988520</v>
      </c>
      <c r="G602" s="257">
        <v>1988520</v>
      </c>
      <c r="H602" s="257">
        <v>1872200</v>
      </c>
      <c r="I602" s="257">
        <v>0</v>
      </c>
      <c r="J602" s="257">
        <v>0</v>
      </c>
      <c r="K602" s="257">
        <v>0</v>
      </c>
      <c r="L602" s="257">
        <v>0</v>
      </c>
      <c r="M602" s="257"/>
      <c r="N602" s="279">
        <v>116320</v>
      </c>
      <c r="O602" s="257">
        <v>116320</v>
      </c>
    </row>
    <row r="603" spans="1:16" s="143" customFormat="1" hidden="1" x14ac:dyDescent="0.25">
      <c r="A603" s="143" t="s">
        <v>714</v>
      </c>
      <c r="B603" s="143" t="s">
        <v>198</v>
      </c>
      <c r="C603" s="290" t="s">
        <v>199</v>
      </c>
      <c r="D603" s="143" t="s">
        <v>69</v>
      </c>
      <c r="E603" s="257">
        <v>278273098</v>
      </c>
      <c r="F603" s="257">
        <v>278273098</v>
      </c>
      <c r="G603" s="257">
        <v>136682515</v>
      </c>
      <c r="H603" s="257">
        <v>15855354.359999999</v>
      </c>
      <c r="I603" s="257">
        <v>4244790.93</v>
      </c>
      <c r="J603" s="257">
        <v>12693564.869999999</v>
      </c>
      <c r="K603" s="257">
        <v>19337465.399999999</v>
      </c>
      <c r="L603" s="257">
        <v>19190725.399999999</v>
      </c>
      <c r="M603" s="257"/>
      <c r="N603" s="279">
        <v>226141922.44</v>
      </c>
      <c r="O603" s="257">
        <v>84551339.439999998</v>
      </c>
    </row>
    <row r="604" spans="1:16" s="143" customFormat="1" hidden="1" x14ac:dyDescent="0.25">
      <c r="A604" s="143" t="s">
        <v>714</v>
      </c>
      <c r="B604" s="143" t="s">
        <v>352</v>
      </c>
      <c r="C604" s="290" t="s">
        <v>353</v>
      </c>
      <c r="D604" s="143" t="s">
        <v>69</v>
      </c>
      <c r="E604" s="257">
        <v>448368</v>
      </c>
      <c r="F604" s="257">
        <v>448368</v>
      </c>
      <c r="G604" s="257">
        <v>448368</v>
      </c>
      <c r="H604" s="257">
        <v>0</v>
      </c>
      <c r="I604" s="257">
        <v>0</v>
      </c>
      <c r="J604" s="257">
        <v>0</v>
      </c>
      <c r="K604" s="257">
        <v>0</v>
      </c>
      <c r="L604" s="257">
        <v>0</v>
      </c>
      <c r="M604" s="257"/>
      <c r="N604" s="279">
        <v>448368</v>
      </c>
      <c r="O604" s="257">
        <v>448368</v>
      </c>
    </row>
    <row r="605" spans="1:16" s="143" customFormat="1" ht="30" hidden="1" x14ac:dyDescent="0.25">
      <c r="A605" s="143" t="s">
        <v>714</v>
      </c>
      <c r="B605" s="143" t="s">
        <v>200</v>
      </c>
      <c r="C605" s="290" t="s">
        <v>201</v>
      </c>
      <c r="D605" s="143" t="s">
        <v>69</v>
      </c>
      <c r="E605" s="257">
        <v>8117062</v>
      </c>
      <c r="F605" s="257">
        <v>8117062</v>
      </c>
      <c r="G605" s="257">
        <v>1817062</v>
      </c>
      <c r="H605" s="257">
        <v>0</v>
      </c>
      <c r="I605" s="257">
        <v>0</v>
      </c>
      <c r="J605" s="257">
        <v>0</v>
      </c>
      <c r="K605" s="257">
        <v>0</v>
      </c>
      <c r="L605" s="257">
        <v>0</v>
      </c>
      <c r="M605" s="257"/>
      <c r="N605" s="279">
        <v>8117062</v>
      </c>
      <c r="O605" s="257">
        <v>1817062</v>
      </c>
    </row>
    <row r="606" spans="1:16" s="143" customFormat="1" ht="30" hidden="1" x14ac:dyDescent="0.25">
      <c r="A606" s="143" t="s">
        <v>714</v>
      </c>
      <c r="B606" s="143" t="s">
        <v>314</v>
      </c>
      <c r="C606" s="290" t="s">
        <v>315</v>
      </c>
      <c r="D606" s="143" t="s">
        <v>69</v>
      </c>
      <c r="E606" s="257">
        <v>2959825</v>
      </c>
      <c r="F606" s="257">
        <v>2959825</v>
      </c>
      <c r="G606" s="257">
        <v>159825</v>
      </c>
      <c r="H606" s="257">
        <v>0</v>
      </c>
      <c r="I606" s="257">
        <v>0</v>
      </c>
      <c r="J606" s="257">
        <v>0</v>
      </c>
      <c r="K606" s="257">
        <v>0</v>
      </c>
      <c r="L606" s="257">
        <v>0</v>
      </c>
      <c r="M606" s="257"/>
      <c r="N606" s="279">
        <v>2959825</v>
      </c>
      <c r="O606" s="257">
        <v>159825</v>
      </c>
    </row>
    <row r="607" spans="1:16" s="143" customFormat="1" ht="30" hidden="1" x14ac:dyDescent="0.25">
      <c r="A607" s="143" t="s">
        <v>714</v>
      </c>
      <c r="B607" s="143" t="s">
        <v>202</v>
      </c>
      <c r="C607" s="290" t="s">
        <v>203</v>
      </c>
      <c r="D607" s="143" t="s">
        <v>69</v>
      </c>
      <c r="E607" s="257">
        <v>1322500</v>
      </c>
      <c r="F607" s="257">
        <v>1322500</v>
      </c>
      <c r="G607" s="257">
        <v>22500</v>
      </c>
      <c r="H607" s="257">
        <v>0</v>
      </c>
      <c r="I607" s="257">
        <v>0</v>
      </c>
      <c r="J607" s="257">
        <v>0</v>
      </c>
      <c r="K607" s="257">
        <v>0</v>
      </c>
      <c r="L607" s="257">
        <v>0</v>
      </c>
      <c r="M607" s="257"/>
      <c r="N607" s="279">
        <v>1322500</v>
      </c>
      <c r="O607" s="257">
        <v>22500</v>
      </c>
    </row>
    <row r="608" spans="1:16" s="143" customFormat="1" ht="30" hidden="1" x14ac:dyDescent="0.25">
      <c r="A608" s="143" t="s">
        <v>714</v>
      </c>
      <c r="B608" s="143" t="s">
        <v>320</v>
      </c>
      <c r="C608" s="290" t="s">
        <v>321</v>
      </c>
      <c r="D608" s="143" t="s">
        <v>69</v>
      </c>
      <c r="E608" s="257">
        <v>220000</v>
      </c>
      <c r="F608" s="257">
        <v>220000</v>
      </c>
      <c r="G608" s="257">
        <v>20000</v>
      </c>
      <c r="H608" s="257">
        <v>0</v>
      </c>
      <c r="I608" s="257">
        <v>0</v>
      </c>
      <c r="J608" s="257">
        <v>0</v>
      </c>
      <c r="K608" s="257">
        <v>0</v>
      </c>
      <c r="L608" s="257">
        <v>0</v>
      </c>
      <c r="M608" s="257"/>
      <c r="N608" s="279">
        <v>220000</v>
      </c>
      <c r="O608" s="257">
        <v>20000</v>
      </c>
    </row>
    <row r="609" spans="1:16" s="143" customFormat="1" ht="30" hidden="1" x14ac:dyDescent="0.25">
      <c r="A609" s="143" t="s">
        <v>714</v>
      </c>
      <c r="B609" s="143" t="s">
        <v>204</v>
      </c>
      <c r="C609" s="290" t="s">
        <v>205</v>
      </c>
      <c r="D609" s="143" t="s">
        <v>69</v>
      </c>
      <c r="E609" s="257">
        <v>1532505</v>
      </c>
      <c r="F609" s="257">
        <v>1532505</v>
      </c>
      <c r="G609" s="257">
        <v>1532505</v>
      </c>
      <c r="H609" s="257">
        <v>0</v>
      </c>
      <c r="I609" s="257">
        <v>0</v>
      </c>
      <c r="J609" s="257">
        <v>0</v>
      </c>
      <c r="K609" s="257">
        <v>0</v>
      </c>
      <c r="L609" s="257">
        <v>0</v>
      </c>
      <c r="M609" s="257"/>
      <c r="N609" s="279">
        <v>1532505</v>
      </c>
      <c r="O609" s="257">
        <v>1532505</v>
      </c>
    </row>
    <row r="610" spans="1:16" s="143" customFormat="1" ht="30" hidden="1" x14ac:dyDescent="0.25">
      <c r="A610" s="143" t="s">
        <v>714</v>
      </c>
      <c r="B610" s="143" t="s">
        <v>322</v>
      </c>
      <c r="C610" s="290" t="s">
        <v>323</v>
      </c>
      <c r="D610" s="143" t="s">
        <v>69</v>
      </c>
      <c r="E610" s="257">
        <v>2082232</v>
      </c>
      <c r="F610" s="257">
        <v>2082232</v>
      </c>
      <c r="G610" s="257">
        <v>82232</v>
      </c>
      <c r="H610" s="257">
        <v>0</v>
      </c>
      <c r="I610" s="257">
        <v>0</v>
      </c>
      <c r="J610" s="257">
        <v>0</v>
      </c>
      <c r="K610" s="257">
        <v>0</v>
      </c>
      <c r="L610" s="257">
        <v>0</v>
      </c>
      <c r="M610" s="257"/>
      <c r="N610" s="279">
        <v>2082232</v>
      </c>
      <c r="O610" s="257">
        <v>82232</v>
      </c>
    </row>
    <row r="611" spans="1:16" s="143" customFormat="1" ht="30" hidden="1" x14ac:dyDescent="0.25">
      <c r="A611" s="143" t="s">
        <v>714</v>
      </c>
      <c r="B611" s="143" t="s">
        <v>206</v>
      </c>
      <c r="C611" s="290" t="s">
        <v>207</v>
      </c>
      <c r="D611" s="143" t="s">
        <v>69</v>
      </c>
      <c r="E611" s="257">
        <v>1362914</v>
      </c>
      <c r="F611" s="257">
        <v>1362914</v>
      </c>
      <c r="G611" s="257">
        <v>662914</v>
      </c>
      <c r="H611" s="257">
        <v>0</v>
      </c>
      <c r="I611" s="257">
        <v>0</v>
      </c>
      <c r="J611" s="257">
        <v>0</v>
      </c>
      <c r="K611" s="257">
        <v>0</v>
      </c>
      <c r="L611" s="257">
        <v>0</v>
      </c>
      <c r="M611" s="257"/>
      <c r="N611" s="279">
        <v>1362914</v>
      </c>
      <c r="O611" s="257">
        <v>662914</v>
      </c>
    </row>
    <row r="612" spans="1:16" s="143" customFormat="1" ht="30" hidden="1" x14ac:dyDescent="0.25">
      <c r="A612" s="143" t="s">
        <v>714</v>
      </c>
      <c r="B612" s="143" t="s">
        <v>208</v>
      </c>
      <c r="C612" s="290" t="s">
        <v>209</v>
      </c>
      <c r="D612" s="143" t="s">
        <v>69</v>
      </c>
      <c r="E612" s="257">
        <v>571414</v>
      </c>
      <c r="F612" s="257">
        <v>571414</v>
      </c>
      <c r="G612" s="257">
        <v>571414</v>
      </c>
      <c r="H612" s="257">
        <v>0</v>
      </c>
      <c r="I612" s="257">
        <v>0</v>
      </c>
      <c r="J612" s="257">
        <v>0</v>
      </c>
      <c r="K612" s="257">
        <v>0</v>
      </c>
      <c r="L612" s="257">
        <v>0</v>
      </c>
      <c r="M612" s="257"/>
      <c r="N612" s="279">
        <v>571414</v>
      </c>
      <c r="O612" s="257">
        <v>571414</v>
      </c>
    </row>
    <row r="613" spans="1:16" s="143" customFormat="1" hidden="1" x14ac:dyDescent="0.25">
      <c r="A613" s="143" t="s">
        <v>714</v>
      </c>
      <c r="B613" s="143" t="s">
        <v>210</v>
      </c>
      <c r="C613" s="290" t="s">
        <v>211</v>
      </c>
      <c r="D613" s="143" t="s">
        <v>69</v>
      </c>
      <c r="E613" s="257">
        <v>791500</v>
      </c>
      <c r="F613" s="257">
        <v>791500</v>
      </c>
      <c r="G613" s="257">
        <v>91500</v>
      </c>
      <c r="H613" s="257">
        <v>0</v>
      </c>
      <c r="I613" s="257">
        <v>0</v>
      </c>
      <c r="J613" s="257">
        <v>0</v>
      </c>
      <c r="K613" s="257">
        <v>0</v>
      </c>
      <c r="L613" s="257">
        <v>0</v>
      </c>
      <c r="M613" s="257"/>
      <c r="N613" s="279">
        <v>791500</v>
      </c>
      <c r="O613" s="257">
        <v>91500</v>
      </c>
    </row>
    <row r="614" spans="1:16" s="143" customFormat="1" ht="30" hidden="1" x14ac:dyDescent="0.25">
      <c r="A614" s="143" t="s">
        <v>714</v>
      </c>
      <c r="B614" s="143" t="s">
        <v>354</v>
      </c>
      <c r="C614" s="290" t="s">
        <v>355</v>
      </c>
      <c r="D614" s="143" t="s">
        <v>69</v>
      </c>
      <c r="E614" s="257">
        <v>585840</v>
      </c>
      <c r="F614" s="257">
        <v>585840</v>
      </c>
      <c r="G614" s="257">
        <v>585840</v>
      </c>
      <c r="H614" s="257">
        <v>0</v>
      </c>
      <c r="I614" s="257">
        <v>0</v>
      </c>
      <c r="J614" s="257">
        <v>0</v>
      </c>
      <c r="K614" s="257">
        <v>0</v>
      </c>
      <c r="L614" s="257">
        <v>0</v>
      </c>
      <c r="M614" s="257"/>
      <c r="N614" s="279">
        <v>585840</v>
      </c>
      <c r="O614" s="257">
        <v>585840</v>
      </c>
    </row>
    <row r="615" spans="1:16" s="143" customFormat="1" ht="45" hidden="1" x14ac:dyDescent="0.25">
      <c r="A615" s="143" t="s">
        <v>714</v>
      </c>
      <c r="B615" s="143" t="s">
        <v>356</v>
      </c>
      <c r="C615" s="290" t="s">
        <v>357</v>
      </c>
      <c r="D615" s="143" t="s">
        <v>69</v>
      </c>
      <c r="E615" s="257">
        <v>585840</v>
      </c>
      <c r="F615" s="257">
        <v>585840</v>
      </c>
      <c r="G615" s="257">
        <v>585840</v>
      </c>
      <c r="H615" s="257">
        <v>0</v>
      </c>
      <c r="I615" s="257">
        <v>0</v>
      </c>
      <c r="J615" s="257">
        <v>0</v>
      </c>
      <c r="K615" s="257">
        <v>0</v>
      </c>
      <c r="L615" s="257">
        <v>0</v>
      </c>
      <c r="M615" s="257"/>
      <c r="N615" s="279">
        <v>585840</v>
      </c>
      <c r="O615" s="257">
        <v>585840</v>
      </c>
    </row>
    <row r="616" spans="1:16" s="143" customFormat="1" ht="30" hidden="1" x14ac:dyDescent="0.25">
      <c r="A616" s="143" t="s">
        <v>714</v>
      </c>
      <c r="B616" s="143" t="s">
        <v>212</v>
      </c>
      <c r="C616" s="290" t="s">
        <v>213</v>
      </c>
      <c r="D616" s="143" t="s">
        <v>69</v>
      </c>
      <c r="E616" s="257">
        <v>4198730</v>
      </c>
      <c r="F616" s="257">
        <v>4198730</v>
      </c>
      <c r="G616" s="257">
        <v>1698730</v>
      </c>
      <c r="H616" s="257">
        <v>0</v>
      </c>
      <c r="I616" s="257">
        <v>0</v>
      </c>
      <c r="J616" s="257">
        <v>0</v>
      </c>
      <c r="K616" s="257">
        <v>0</v>
      </c>
      <c r="L616" s="257">
        <v>0</v>
      </c>
      <c r="M616" s="257"/>
      <c r="N616" s="279">
        <v>4198730</v>
      </c>
      <c r="O616" s="257">
        <v>1698730</v>
      </c>
    </row>
    <row r="617" spans="1:16" s="143" customFormat="1" hidden="1" x14ac:dyDescent="0.25">
      <c r="A617" s="143" t="s">
        <v>714</v>
      </c>
      <c r="B617" s="143" t="s">
        <v>220</v>
      </c>
      <c r="C617" s="290" t="s">
        <v>221</v>
      </c>
      <c r="D617" s="143" t="s">
        <v>69</v>
      </c>
      <c r="E617" s="257">
        <v>1076090</v>
      </c>
      <c r="F617" s="257">
        <v>1076090</v>
      </c>
      <c r="G617" s="257">
        <v>1076090</v>
      </c>
      <c r="H617" s="257">
        <v>0</v>
      </c>
      <c r="I617" s="257">
        <v>0</v>
      </c>
      <c r="J617" s="257">
        <v>0</v>
      </c>
      <c r="K617" s="257">
        <v>0</v>
      </c>
      <c r="L617" s="257">
        <v>0</v>
      </c>
      <c r="M617" s="257"/>
      <c r="N617" s="279">
        <v>1076090</v>
      </c>
      <c r="O617" s="257">
        <v>1076090</v>
      </c>
    </row>
    <row r="618" spans="1:16" s="143" customFormat="1" ht="30" hidden="1" x14ac:dyDescent="0.25">
      <c r="A618" s="143" t="s">
        <v>714</v>
      </c>
      <c r="B618" s="143" t="s">
        <v>222</v>
      </c>
      <c r="C618" s="290" t="s">
        <v>223</v>
      </c>
      <c r="D618" s="143" t="s">
        <v>69</v>
      </c>
      <c r="E618" s="257">
        <v>35760</v>
      </c>
      <c r="F618" s="257">
        <v>35760</v>
      </c>
      <c r="G618" s="257">
        <v>35760</v>
      </c>
      <c r="H618" s="257">
        <v>0</v>
      </c>
      <c r="I618" s="257">
        <v>0</v>
      </c>
      <c r="J618" s="257">
        <v>0</v>
      </c>
      <c r="K618" s="257">
        <v>0</v>
      </c>
      <c r="L618" s="257">
        <v>0</v>
      </c>
      <c r="M618" s="257"/>
      <c r="N618" s="279">
        <v>35760</v>
      </c>
      <c r="O618" s="257">
        <v>35760</v>
      </c>
    </row>
    <row r="619" spans="1:16" s="143" customFormat="1" ht="30" hidden="1" x14ac:dyDescent="0.25">
      <c r="A619" s="143" t="s">
        <v>714</v>
      </c>
      <c r="B619" s="143" t="s">
        <v>224</v>
      </c>
      <c r="C619" s="290" t="s">
        <v>225</v>
      </c>
      <c r="D619" s="143" t="s">
        <v>69</v>
      </c>
      <c r="E619" s="257">
        <v>2587400</v>
      </c>
      <c r="F619" s="257">
        <v>2587400</v>
      </c>
      <c r="G619" s="257">
        <v>87400</v>
      </c>
      <c r="H619" s="257">
        <v>0</v>
      </c>
      <c r="I619" s="257">
        <v>0</v>
      </c>
      <c r="J619" s="257">
        <v>0</v>
      </c>
      <c r="K619" s="257">
        <v>0</v>
      </c>
      <c r="L619" s="257">
        <v>0</v>
      </c>
      <c r="M619" s="257"/>
      <c r="N619" s="279">
        <v>2587400</v>
      </c>
      <c r="O619" s="257">
        <v>87400</v>
      </c>
    </row>
    <row r="620" spans="1:16" s="143" customFormat="1" ht="30" hidden="1" x14ac:dyDescent="0.25">
      <c r="A620" s="143" t="s">
        <v>714</v>
      </c>
      <c r="B620" s="143" t="s">
        <v>228</v>
      </c>
      <c r="C620" s="290" t="s">
        <v>229</v>
      </c>
      <c r="D620" s="143" t="s">
        <v>69</v>
      </c>
      <c r="E620" s="257">
        <v>499480</v>
      </c>
      <c r="F620" s="257">
        <v>499480</v>
      </c>
      <c r="G620" s="257">
        <v>499480</v>
      </c>
      <c r="H620" s="257">
        <v>0</v>
      </c>
      <c r="I620" s="257">
        <v>0</v>
      </c>
      <c r="J620" s="257">
        <v>0</v>
      </c>
      <c r="K620" s="257">
        <v>0</v>
      </c>
      <c r="L620" s="257">
        <v>0</v>
      </c>
      <c r="M620" s="257"/>
      <c r="N620" s="279">
        <v>499480</v>
      </c>
      <c r="O620" s="257">
        <v>499480</v>
      </c>
    </row>
    <row r="621" spans="1:16" s="143" customFormat="1" x14ac:dyDescent="0.25">
      <c r="A621" s="296" t="s">
        <v>714</v>
      </c>
      <c r="B621" s="297" t="s">
        <v>230</v>
      </c>
      <c r="C621" s="298" t="s">
        <v>231</v>
      </c>
      <c r="D621" s="299" t="s">
        <v>85</v>
      </c>
      <c r="E621" s="257">
        <v>5038000</v>
      </c>
      <c r="F621" s="300">
        <v>5038000</v>
      </c>
      <c r="G621" s="257">
        <v>738000</v>
      </c>
      <c r="H621" s="257">
        <v>0</v>
      </c>
      <c r="I621" s="257">
        <v>0</v>
      </c>
      <c r="J621" s="257">
        <v>0</v>
      </c>
      <c r="K621" s="300">
        <v>0</v>
      </c>
      <c r="L621" s="257">
        <v>0</v>
      </c>
      <c r="M621" s="301">
        <f>+K621/F621</f>
        <v>0</v>
      </c>
      <c r="N621" s="302">
        <v>5038000</v>
      </c>
      <c r="O621" s="257">
        <v>738000</v>
      </c>
      <c r="P621" s="303">
        <f>+N621/F621</f>
        <v>1</v>
      </c>
    </row>
    <row r="622" spans="1:16" s="143" customFormat="1" ht="30" hidden="1" x14ac:dyDescent="0.25">
      <c r="A622" s="143" t="s">
        <v>714</v>
      </c>
      <c r="B622" s="143" t="s">
        <v>232</v>
      </c>
      <c r="C622" s="290" t="s">
        <v>233</v>
      </c>
      <c r="D622" s="143" t="s">
        <v>85</v>
      </c>
      <c r="E622" s="257">
        <v>4954000</v>
      </c>
      <c r="F622" s="257">
        <v>4954000</v>
      </c>
      <c r="G622" s="257">
        <v>654000</v>
      </c>
      <c r="H622" s="257">
        <v>0</v>
      </c>
      <c r="I622" s="257">
        <v>0</v>
      </c>
      <c r="J622" s="257">
        <v>0</v>
      </c>
      <c r="K622" s="257">
        <v>0</v>
      </c>
      <c r="L622" s="257">
        <v>0</v>
      </c>
      <c r="M622" s="257"/>
      <c r="N622" s="279">
        <v>4954000</v>
      </c>
      <c r="O622" s="257">
        <v>654000</v>
      </c>
    </row>
    <row r="623" spans="1:16" s="143" customFormat="1" ht="30" hidden="1" x14ac:dyDescent="0.25">
      <c r="A623" s="143" t="s">
        <v>714</v>
      </c>
      <c r="B623" s="143" t="s">
        <v>234</v>
      </c>
      <c r="C623" s="290" t="s">
        <v>235</v>
      </c>
      <c r="D623" s="143" t="s">
        <v>85</v>
      </c>
      <c r="E623" s="257">
        <v>3565000</v>
      </c>
      <c r="F623" s="257">
        <v>3565000</v>
      </c>
      <c r="G623" s="257">
        <v>565000</v>
      </c>
      <c r="H623" s="257">
        <v>0</v>
      </c>
      <c r="I623" s="257">
        <v>0</v>
      </c>
      <c r="J623" s="257">
        <v>0</v>
      </c>
      <c r="K623" s="257">
        <v>0</v>
      </c>
      <c r="L623" s="257">
        <v>0</v>
      </c>
      <c r="M623" s="257"/>
      <c r="N623" s="279">
        <v>3565000</v>
      </c>
      <c r="O623" s="257">
        <v>565000</v>
      </c>
    </row>
    <row r="624" spans="1:16" s="143" customFormat="1" ht="30" hidden="1" x14ac:dyDescent="0.25">
      <c r="A624" s="143" t="s">
        <v>714</v>
      </c>
      <c r="B624" s="143" t="s">
        <v>242</v>
      </c>
      <c r="C624" s="290" t="s">
        <v>243</v>
      </c>
      <c r="D624" s="143" t="s">
        <v>85</v>
      </c>
      <c r="E624" s="257">
        <v>1389000</v>
      </c>
      <c r="F624" s="257">
        <v>1389000</v>
      </c>
      <c r="G624" s="257">
        <v>89000</v>
      </c>
      <c r="H624" s="257">
        <v>0</v>
      </c>
      <c r="I624" s="257">
        <v>0</v>
      </c>
      <c r="J624" s="257">
        <v>0</v>
      </c>
      <c r="K624" s="257">
        <v>0</v>
      </c>
      <c r="L624" s="257">
        <v>0</v>
      </c>
      <c r="M624" s="257"/>
      <c r="N624" s="279">
        <v>1389000</v>
      </c>
      <c r="O624" s="257">
        <v>89000</v>
      </c>
    </row>
    <row r="625" spans="1:16" s="143" customFormat="1" hidden="1" x14ac:dyDescent="0.25">
      <c r="A625" s="143" t="s">
        <v>714</v>
      </c>
      <c r="B625" s="143" t="s">
        <v>244</v>
      </c>
      <c r="C625" s="290" t="s">
        <v>245</v>
      </c>
      <c r="D625" s="143" t="s">
        <v>85</v>
      </c>
      <c r="E625" s="257">
        <v>84000</v>
      </c>
      <c r="F625" s="257">
        <v>84000</v>
      </c>
      <c r="G625" s="257">
        <v>84000</v>
      </c>
      <c r="H625" s="257">
        <v>0</v>
      </c>
      <c r="I625" s="257">
        <v>0</v>
      </c>
      <c r="J625" s="257">
        <v>0</v>
      </c>
      <c r="K625" s="257">
        <v>0</v>
      </c>
      <c r="L625" s="257">
        <v>0</v>
      </c>
      <c r="M625" s="257"/>
      <c r="N625" s="279">
        <v>84000</v>
      </c>
      <c r="O625" s="257">
        <v>84000</v>
      </c>
    </row>
    <row r="626" spans="1:16" s="143" customFormat="1" hidden="1" x14ac:dyDescent="0.25">
      <c r="A626" s="143" t="s">
        <v>714</v>
      </c>
      <c r="B626" s="143" t="s">
        <v>611</v>
      </c>
      <c r="C626" s="290" t="s">
        <v>612</v>
      </c>
      <c r="D626" s="143" t="s">
        <v>85</v>
      </c>
      <c r="E626" s="257">
        <v>84000</v>
      </c>
      <c r="F626" s="257">
        <v>84000</v>
      </c>
      <c r="G626" s="257">
        <v>84000</v>
      </c>
      <c r="H626" s="257">
        <v>0</v>
      </c>
      <c r="I626" s="257">
        <v>0</v>
      </c>
      <c r="J626" s="257">
        <v>0</v>
      </c>
      <c r="K626" s="257">
        <v>0</v>
      </c>
      <c r="L626" s="257">
        <v>0</v>
      </c>
      <c r="M626" s="257"/>
      <c r="N626" s="279">
        <v>84000</v>
      </c>
      <c r="O626" s="257">
        <v>84000</v>
      </c>
    </row>
    <row r="627" spans="1:16" s="143" customFormat="1" x14ac:dyDescent="0.25">
      <c r="A627" s="296" t="s">
        <v>714</v>
      </c>
      <c r="B627" s="297" t="s">
        <v>248</v>
      </c>
      <c r="C627" s="298" t="s">
        <v>249</v>
      </c>
      <c r="D627" s="299" t="s">
        <v>69</v>
      </c>
      <c r="E627" s="257">
        <v>32319360</v>
      </c>
      <c r="F627" s="300">
        <v>32319360</v>
      </c>
      <c r="G627" s="257">
        <v>31657427</v>
      </c>
      <c r="H627" s="257">
        <v>0</v>
      </c>
      <c r="I627" s="257">
        <v>19563474</v>
      </c>
      <c r="J627" s="257">
        <v>0</v>
      </c>
      <c r="K627" s="300">
        <v>5860592</v>
      </c>
      <c r="L627" s="257">
        <v>5860592</v>
      </c>
      <c r="M627" s="301">
        <f>+K627/F627</f>
        <v>0.1813337887878968</v>
      </c>
      <c r="N627" s="302">
        <v>6895294</v>
      </c>
      <c r="O627" s="257">
        <v>6233361</v>
      </c>
      <c r="P627" s="303">
        <f>+N627/F627</f>
        <v>0.2133487173013327</v>
      </c>
    </row>
    <row r="628" spans="1:16" s="143" customFormat="1" ht="30" hidden="1" x14ac:dyDescent="0.25">
      <c r="A628" s="143" t="s">
        <v>714</v>
      </c>
      <c r="B628" s="143" t="s">
        <v>250</v>
      </c>
      <c r="C628" s="290" t="s">
        <v>251</v>
      </c>
      <c r="D628" s="143" t="s">
        <v>69</v>
      </c>
      <c r="E628" s="257">
        <v>24819360</v>
      </c>
      <c r="F628" s="257">
        <v>24819360</v>
      </c>
      <c r="G628" s="257">
        <v>24157427</v>
      </c>
      <c r="H628" s="257">
        <v>0</v>
      </c>
      <c r="I628" s="257">
        <v>19563474</v>
      </c>
      <c r="J628" s="257">
        <v>0</v>
      </c>
      <c r="K628" s="257">
        <v>5255886</v>
      </c>
      <c r="L628" s="257">
        <v>5255886</v>
      </c>
      <c r="M628" s="257"/>
      <c r="N628" s="279">
        <v>0</v>
      </c>
      <c r="O628" s="275">
        <v>-661933</v>
      </c>
    </row>
    <row r="629" spans="1:16" s="143" customFormat="1" ht="90" hidden="1" x14ac:dyDescent="0.25">
      <c r="A629" s="143" t="s">
        <v>714</v>
      </c>
      <c r="B629" s="143" t="s">
        <v>633</v>
      </c>
      <c r="C629" s="290" t="s">
        <v>702</v>
      </c>
      <c r="D629" s="143" t="s">
        <v>69</v>
      </c>
      <c r="E629" s="257">
        <v>21081545</v>
      </c>
      <c r="F629" s="257">
        <v>21081545</v>
      </c>
      <c r="G629" s="257">
        <v>20519300</v>
      </c>
      <c r="H629" s="257">
        <v>0</v>
      </c>
      <c r="I629" s="257">
        <v>16645385</v>
      </c>
      <c r="J629" s="257">
        <v>0</v>
      </c>
      <c r="K629" s="257">
        <v>4436160</v>
      </c>
      <c r="L629" s="257">
        <v>4436160</v>
      </c>
      <c r="M629" s="257"/>
      <c r="N629" s="279">
        <v>0</v>
      </c>
      <c r="O629" s="275">
        <v>-562245</v>
      </c>
    </row>
    <row r="630" spans="1:16" s="143" customFormat="1" ht="90" hidden="1" x14ac:dyDescent="0.25">
      <c r="A630" s="143" t="s">
        <v>714</v>
      </c>
      <c r="B630" s="143" t="s">
        <v>648</v>
      </c>
      <c r="C630" s="290" t="s">
        <v>703</v>
      </c>
      <c r="D630" s="143" t="s">
        <v>69</v>
      </c>
      <c r="E630" s="257">
        <v>3737815</v>
      </c>
      <c r="F630" s="257">
        <v>3737815</v>
      </c>
      <c r="G630" s="257">
        <v>3638127</v>
      </c>
      <c r="H630" s="257">
        <v>0</v>
      </c>
      <c r="I630" s="257">
        <v>2918089</v>
      </c>
      <c r="J630" s="257">
        <v>0</v>
      </c>
      <c r="K630" s="257">
        <v>819726</v>
      </c>
      <c r="L630" s="257">
        <v>819726</v>
      </c>
      <c r="M630" s="257"/>
      <c r="N630" s="279">
        <v>0</v>
      </c>
      <c r="O630" s="275">
        <v>-99688</v>
      </c>
    </row>
    <row r="631" spans="1:16" s="143" customFormat="1" hidden="1" x14ac:dyDescent="0.25">
      <c r="A631" s="143" t="s">
        <v>714</v>
      </c>
      <c r="B631" s="143" t="s">
        <v>260</v>
      </c>
      <c r="C631" s="290" t="s">
        <v>261</v>
      </c>
      <c r="D631" s="143" t="s">
        <v>69</v>
      </c>
      <c r="E631" s="257">
        <v>7500000</v>
      </c>
      <c r="F631" s="257">
        <v>7500000</v>
      </c>
      <c r="G631" s="257">
        <v>7500000</v>
      </c>
      <c r="H631" s="257">
        <v>0</v>
      </c>
      <c r="I631" s="257">
        <v>0</v>
      </c>
      <c r="J631" s="257">
        <v>0</v>
      </c>
      <c r="K631" s="257">
        <v>604706</v>
      </c>
      <c r="L631" s="257">
        <v>604706</v>
      </c>
      <c r="M631" s="257"/>
      <c r="N631" s="279">
        <v>6895294</v>
      </c>
      <c r="O631" s="257">
        <v>6895294</v>
      </c>
    </row>
    <row r="632" spans="1:16" s="143" customFormat="1" hidden="1" x14ac:dyDescent="0.25">
      <c r="A632" s="143" t="s">
        <v>714</v>
      </c>
      <c r="B632" s="143" t="s">
        <v>264</v>
      </c>
      <c r="C632" s="290" t="s">
        <v>265</v>
      </c>
      <c r="D632" s="143" t="s">
        <v>69</v>
      </c>
      <c r="E632" s="257">
        <v>7500000</v>
      </c>
      <c r="F632" s="257">
        <v>7500000</v>
      </c>
      <c r="G632" s="257">
        <v>7500000</v>
      </c>
      <c r="H632" s="257">
        <v>0</v>
      </c>
      <c r="I632" s="257">
        <v>0</v>
      </c>
      <c r="J632" s="257">
        <v>0</v>
      </c>
      <c r="K632" s="257">
        <v>604706</v>
      </c>
      <c r="L632" s="257">
        <v>604706</v>
      </c>
      <c r="M632" s="257"/>
      <c r="N632" s="279">
        <v>6895294</v>
      </c>
      <c r="O632" s="257">
        <v>6895294</v>
      </c>
    </row>
    <row r="633" spans="1:16" s="143" customFormat="1" hidden="1" x14ac:dyDescent="0.25">
      <c r="A633" s="143" t="s">
        <v>715</v>
      </c>
      <c r="C633" s="290"/>
      <c r="D633" s="143" t="s">
        <v>69</v>
      </c>
      <c r="E633" s="257">
        <v>1188120522</v>
      </c>
      <c r="F633" s="257">
        <v>1188120522</v>
      </c>
      <c r="G633" s="257">
        <v>1141407532</v>
      </c>
      <c r="H633" s="257">
        <v>0</v>
      </c>
      <c r="I633" s="257">
        <v>155671922.37</v>
      </c>
      <c r="J633" s="257">
        <v>0</v>
      </c>
      <c r="K633" s="257">
        <v>280030694.12</v>
      </c>
      <c r="L633" s="257">
        <v>279948778.56999999</v>
      </c>
      <c r="M633" s="257"/>
      <c r="N633" s="279">
        <v>752417905.50999999</v>
      </c>
      <c r="O633" s="257">
        <v>705704915.50999999</v>
      </c>
    </row>
    <row r="634" spans="1:16" s="143" customFormat="1" x14ac:dyDescent="0.25">
      <c r="C634" s="290"/>
      <c r="E634" s="257"/>
      <c r="F634" s="292">
        <f>SUBTOTAL(9,F565:F633)</f>
        <v>8219858214</v>
      </c>
      <c r="G634" s="257"/>
      <c r="H634" s="257"/>
      <c r="I634" s="257"/>
      <c r="J634" s="257"/>
      <c r="K634" s="292">
        <f>SUBTOTAL(9,K565:K633)</f>
        <v>1847333315.1500001</v>
      </c>
      <c r="L634" s="257"/>
      <c r="M634" s="293">
        <f>+K634/F634</f>
        <v>0.22474028955920869</v>
      </c>
      <c r="N634" s="341">
        <f>SUBTOTAL(9,N565:N633)</f>
        <v>5340635899.7200003</v>
      </c>
      <c r="O634" s="257"/>
      <c r="P634" s="295">
        <f>+N634/F634</f>
        <v>0.64972360358039627</v>
      </c>
    </row>
    <row r="635" spans="1:16" s="143" customFormat="1" x14ac:dyDescent="0.25">
      <c r="A635" s="291"/>
      <c r="C635" s="290"/>
      <c r="E635" s="257"/>
      <c r="F635" s="257"/>
      <c r="G635" s="257"/>
      <c r="H635" s="257"/>
      <c r="I635" s="257"/>
      <c r="J635" s="257"/>
      <c r="K635" s="257"/>
      <c r="L635" s="257"/>
      <c r="M635" s="257"/>
      <c r="N635" s="257"/>
      <c r="O635" s="257"/>
    </row>
    <row r="636" spans="1:16" s="143" customFormat="1" x14ac:dyDescent="0.25">
      <c r="A636" s="280" t="s">
        <v>715</v>
      </c>
      <c r="B636" s="281" t="s">
        <v>71</v>
      </c>
      <c r="C636" s="282" t="s">
        <v>72</v>
      </c>
      <c r="D636" s="283" t="s">
        <v>69</v>
      </c>
      <c r="E636" s="257">
        <v>1139557000</v>
      </c>
      <c r="F636" s="284">
        <v>1139557000</v>
      </c>
      <c r="G636" s="257">
        <v>1107863284</v>
      </c>
      <c r="H636" s="257">
        <v>0</v>
      </c>
      <c r="I636" s="257">
        <v>137707294</v>
      </c>
      <c r="J636" s="257">
        <v>0</v>
      </c>
      <c r="K636" s="284">
        <v>275928943.49000001</v>
      </c>
      <c r="L636" s="257">
        <v>275928943.49000001</v>
      </c>
      <c r="M636" s="285">
        <f>+K636/F636</f>
        <v>0.24213702648485333</v>
      </c>
      <c r="N636" s="286">
        <v>725920762.50999999</v>
      </c>
      <c r="O636" s="257">
        <v>694227046.50999999</v>
      </c>
      <c r="P636" s="287">
        <f>+N636/F636</f>
        <v>0.63702014248519379</v>
      </c>
    </row>
    <row r="637" spans="1:16" s="143" customFormat="1" hidden="1" x14ac:dyDescent="0.25">
      <c r="A637" s="143" t="s">
        <v>715</v>
      </c>
      <c r="B637" s="143" t="s">
        <v>73</v>
      </c>
      <c r="C637" s="290" t="s">
        <v>74</v>
      </c>
      <c r="D637" s="143" t="s">
        <v>69</v>
      </c>
      <c r="E637" s="257">
        <v>400867000</v>
      </c>
      <c r="F637" s="257">
        <v>400867000</v>
      </c>
      <c r="G637" s="257">
        <v>388692700</v>
      </c>
      <c r="H637" s="257">
        <v>0</v>
      </c>
      <c r="I637" s="257">
        <v>0</v>
      </c>
      <c r="J637" s="257">
        <v>0</v>
      </c>
      <c r="K637" s="257">
        <v>89998069.719999999</v>
      </c>
      <c r="L637" s="257">
        <v>89998069.719999999</v>
      </c>
      <c r="M637" s="288">
        <f>K637/F637*100</f>
        <v>22.450855201351072</v>
      </c>
      <c r="N637" s="257">
        <v>310868930.27999997</v>
      </c>
      <c r="O637" s="257">
        <v>298694630.27999997</v>
      </c>
      <c r="P637" s="289">
        <f>N637/F637*100</f>
        <v>77.549144798648911</v>
      </c>
    </row>
    <row r="638" spans="1:16" s="143" customFormat="1" hidden="1" x14ac:dyDescent="0.25">
      <c r="A638" s="143" t="s">
        <v>715</v>
      </c>
      <c r="B638" s="143" t="s">
        <v>75</v>
      </c>
      <c r="C638" s="290" t="s">
        <v>76</v>
      </c>
      <c r="D638" s="143" t="s">
        <v>69</v>
      </c>
      <c r="E638" s="257">
        <v>400867000</v>
      </c>
      <c r="F638" s="257">
        <v>400867000</v>
      </c>
      <c r="G638" s="257">
        <v>388692700</v>
      </c>
      <c r="H638" s="257">
        <v>0</v>
      </c>
      <c r="I638" s="257">
        <v>0</v>
      </c>
      <c r="J638" s="257">
        <v>0</v>
      </c>
      <c r="K638" s="257">
        <v>89998069.719999999</v>
      </c>
      <c r="L638" s="257">
        <v>89998069.719999999</v>
      </c>
      <c r="M638" s="257"/>
      <c r="N638" s="279">
        <v>310868930.27999997</v>
      </c>
      <c r="O638" s="257">
        <v>298694630.27999997</v>
      </c>
    </row>
    <row r="639" spans="1:16" s="143" customFormat="1" hidden="1" x14ac:dyDescent="0.25">
      <c r="A639" s="143" t="s">
        <v>715</v>
      </c>
      <c r="B639" s="143" t="s">
        <v>77</v>
      </c>
      <c r="C639" s="290" t="s">
        <v>78</v>
      </c>
      <c r="D639" s="143" t="s">
        <v>69</v>
      </c>
      <c r="E639" s="257">
        <v>564855020</v>
      </c>
      <c r="F639" s="257">
        <v>564855020</v>
      </c>
      <c r="G639" s="257">
        <v>550170363</v>
      </c>
      <c r="H639" s="257">
        <v>0</v>
      </c>
      <c r="I639" s="257">
        <v>0</v>
      </c>
      <c r="J639" s="257">
        <v>0</v>
      </c>
      <c r="K639" s="257">
        <v>149803187.77000001</v>
      </c>
      <c r="L639" s="257">
        <v>149803187.77000001</v>
      </c>
      <c r="M639" s="288">
        <f>K639/F639*100</f>
        <v>26.5206437874979</v>
      </c>
      <c r="N639" s="257">
        <v>415051832.23000002</v>
      </c>
      <c r="O639" s="257">
        <v>400367175.23000002</v>
      </c>
      <c r="P639" s="289">
        <f>N639/F639*100</f>
        <v>73.479356212502111</v>
      </c>
    </row>
    <row r="640" spans="1:16" s="143" customFormat="1" ht="30" hidden="1" x14ac:dyDescent="0.25">
      <c r="A640" s="143" t="s">
        <v>715</v>
      </c>
      <c r="B640" s="143" t="s">
        <v>79</v>
      </c>
      <c r="C640" s="290" t="s">
        <v>80</v>
      </c>
      <c r="D640" s="143" t="s">
        <v>69</v>
      </c>
      <c r="E640" s="257">
        <v>153608900</v>
      </c>
      <c r="F640" s="257">
        <v>153608900</v>
      </c>
      <c r="G640" s="257">
        <v>147384303</v>
      </c>
      <c r="H640" s="257">
        <v>0</v>
      </c>
      <c r="I640" s="257">
        <v>0</v>
      </c>
      <c r="J640" s="257">
        <v>0</v>
      </c>
      <c r="K640" s="257">
        <v>29816359.969999999</v>
      </c>
      <c r="L640" s="257">
        <v>29816359.969999999</v>
      </c>
      <c r="M640" s="257"/>
      <c r="N640" s="279">
        <v>123792540.03</v>
      </c>
      <c r="O640" s="257">
        <v>117567943.03</v>
      </c>
    </row>
    <row r="641" spans="1:16" s="143" customFormat="1" ht="30" hidden="1" x14ac:dyDescent="0.25">
      <c r="A641" s="143" t="s">
        <v>715</v>
      </c>
      <c r="B641" s="143" t="s">
        <v>81</v>
      </c>
      <c r="C641" s="290" t="s">
        <v>82</v>
      </c>
      <c r="D641" s="143" t="s">
        <v>69</v>
      </c>
      <c r="E641" s="257">
        <v>194052109</v>
      </c>
      <c r="F641" s="257">
        <v>194052109</v>
      </c>
      <c r="G641" s="257">
        <v>188799681</v>
      </c>
      <c r="H641" s="257">
        <v>0</v>
      </c>
      <c r="I641" s="257">
        <v>0</v>
      </c>
      <c r="J641" s="257">
        <v>0</v>
      </c>
      <c r="K641" s="257">
        <v>42773740.380000003</v>
      </c>
      <c r="L641" s="257">
        <v>42773740.380000003</v>
      </c>
      <c r="M641" s="257"/>
      <c r="N641" s="279">
        <v>151278368.62</v>
      </c>
      <c r="O641" s="257">
        <v>146025940.62</v>
      </c>
    </row>
    <row r="642" spans="1:16" s="143" customFormat="1" hidden="1" x14ac:dyDescent="0.25">
      <c r="A642" s="143" t="s">
        <v>715</v>
      </c>
      <c r="B642" s="143" t="s">
        <v>83</v>
      </c>
      <c r="C642" s="290" t="s">
        <v>84</v>
      </c>
      <c r="D642" s="143" t="s">
        <v>85</v>
      </c>
      <c r="E642" s="257">
        <v>74258811</v>
      </c>
      <c r="F642" s="257">
        <v>74258811</v>
      </c>
      <c r="G642" s="257">
        <v>72193501</v>
      </c>
      <c r="H642" s="257">
        <v>0</v>
      </c>
      <c r="I642" s="257">
        <v>0</v>
      </c>
      <c r="J642" s="257">
        <v>0</v>
      </c>
      <c r="K642" s="257">
        <v>0</v>
      </c>
      <c r="L642" s="257">
        <v>0</v>
      </c>
      <c r="M642" s="257"/>
      <c r="N642" s="279">
        <v>74258811</v>
      </c>
      <c r="O642" s="257">
        <v>72193501</v>
      </c>
    </row>
    <row r="643" spans="1:16" s="143" customFormat="1" hidden="1" x14ac:dyDescent="0.25">
      <c r="A643" s="143" t="s">
        <v>715</v>
      </c>
      <c r="B643" s="143" t="s">
        <v>86</v>
      </c>
      <c r="C643" s="290" t="s">
        <v>87</v>
      </c>
      <c r="D643" s="143" t="s">
        <v>69</v>
      </c>
      <c r="E643" s="257">
        <v>68267000</v>
      </c>
      <c r="F643" s="257">
        <v>68267000</v>
      </c>
      <c r="G643" s="257">
        <v>68267000</v>
      </c>
      <c r="H643" s="257">
        <v>0</v>
      </c>
      <c r="I643" s="257">
        <v>0</v>
      </c>
      <c r="J643" s="257">
        <v>0</v>
      </c>
      <c r="K643" s="257">
        <v>61310698.509999998</v>
      </c>
      <c r="L643" s="257">
        <v>61310698.509999998</v>
      </c>
      <c r="M643" s="257"/>
      <c r="N643" s="279">
        <v>6956301.4900000002</v>
      </c>
      <c r="O643" s="257">
        <v>6956301.4900000002</v>
      </c>
    </row>
    <row r="644" spans="1:16" s="143" customFormat="1" ht="30" hidden="1" x14ac:dyDescent="0.25">
      <c r="A644" s="143" t="s">
        <v>715</v>
      </c>
      <c r="B644" s="143" t="s">
        <v>88</v>
      </c>
      <c r="C644" s="290" t="s">
        <v>89</v>
      </c>
      <c r="D644" s="143" t="s">
        <v>69</v>
      </c>
      <c r="E644" s="257">
        <v>74668200</v>
      </c>
      <c r="F644" s="257">
        <v>74668200</v>
      </c>
      <c r="G644" s="257">
        <v>73525878</v>
      </c>
      <c r="H644" s="257">
        <v>0</v>
      </c>
      <c r="I644" s="257">
        <v>0</v>
      </c>
      <c r="J644" s="257">
        <v>0</v>
      </c>
      <c r="K644" s="257">
        <v>15902388.91</v>
      </c>
      <c r="L644" s="257">
        <v>15902388.91</v>
      </c>
      <c r="M644" s="257"/>
      <c r="N644" s="279">
        <v>58765811.090000004</v>
      </c>
      <c r="O644" s="257">
        <v>57623489.090000004</v>
      </c>
    </row>
    <row r="645" spans="1:16" s="143" customFormat="1" ht="30" hidden="1" x14ac:dyDescent="0.25">
      <c r="A645" s="143" t="s">
        <v>715</v>
      </c>
      <c r="B645" s="143" t="s">
        <v>90</v>
      </c>
      <c r="C645" s="290" t="s">
        <v>91</v>
      </c>
      <c r="D645" s="143" t="s">
        <v>69</v>
      </c>
      <c r="E645" s="257">
        <v>86917540</v>
      </c>
      <c r="F645" s="257">
        <v>86917540</v>
      </c>
      <c r="G645" s="257">
        <v>84500160</v>
      </c>
      <c r="H645" s="257">
        <v>0</v>
      </c>
      <c r="I645" s="257">
        <v>68798346</v>
      </c>
      <c r="J645" s="257">
        <v>0</v>
      </c>
      <c r="K645" s="257">
        <v>18119194</v>
      </c>
      <c r="L645" s="257">
        <v>18119194</v>
      </c>
      <c r="M645" s="288">
        <f>K645/F645*100</f>
        <v>20.846418340878031</v>
      </c>
      <c r="N645" s="257">
        <v>0</v>
      </c>
      <c r="O645" s="275">
        <v>-2417380</v>
      </c>
      <c r="P645" s="289">
        <f>N645/F645*100</f>
        <v>0</v>
      </c>
    </row>
    <row r="646" spans="1:16" s="143" customFormat="1" ht="90" hidden="1" x14ac:dyDescent="0.25">
      <c r="A646" s="143" t="s">
        <v>715</v>
      </c>
      <c r="B646" s="143" t="s">
        <v>425</v>
      </c>
      <c r="C646" s="290" t="s">
        <v>697</v>
      </c>
      <c r="D646" s="143" t="s">
        <v>69</v>
      </c>
      <c r="E646" s="257">
        <v>82460320</v>
      </c>
      <c r="F646" s="257">
        <v>82460320</v>
      </c>
      <c r="G646" s="257">
        <v>80166908</v>
      </c>
      <c r="H646" s="257">
        <v>0</v>
      </c>
      <c r="I646" s="257">
        <v>65270316</v>
      </c>
      <c r="J646" s="257">
        <v>0</v>
      </c>
      <c r="K646" s="257">
        <v>17190004</v>
      </c>
      <c r="L646" s="257">
        <v>17190004</v>
      </c>
      <c r="M646" s="257"/>
      <c r="N646" s="279">
        <v>0</v>
      </c>
      <c r="O646" s="275">
        <v>-2293412</v>
      </c>
    </row>
    <row r="647" spans="1:16" s="143" customFormat="1" ht="75" hidden="1" x14ac:dyDescent="0.25">
      <c r="A647" s="143" t="s">
        <v>715</v>
      </c>
      <c r="B647" s="143" t="s">
        <v>442</v>
      </c>
      <c r="C647" s="290" t="s">
        <v>95</v>
      </c>
      <c r="D647" s="143" t="s">
        <v>69</v>
      </c>
      <c r="E647" s="257">
        <v>4457220</v>
      </c>
      <c r="F647" s="257">
        <v>4457220</v>
      </c>
      <c r="G647" s="257">
        <v>4333252</v>
      </c>
      <c r="H647" s="257">
        <v>0</v>
      </c>
      <c r="I647" s="257">
        <v>3528030</v>
      </c>
      <c r="J647" s="257">
        <v>0</v>
      </c>
      <c r="K647" s="257">
        <v>929190</v>
      </c>
      <c r="L647" s="257">
        <v>929190</v>
      </c>
      <c r="M647" s="257"/>
      <c r="N647" s="279">
        <v>0</v>
      </c>
      <c r="O647" s="275">
        <v>-123968</v>
      </c>
    </row>
    <row r="648" spans="1:16" s="143" customFormat="1" ht="30" hidden="1" x14ac:dyDescent="0.25">
      <c r="A648" s="143" t="s">
        <v>715</v>
      </c>
      <c r="B648" s="143" t="s">
        <v>96</v>
      </c>
      <c r="C648" s="290" t="s">
        <v>97</v>
      </c>
      <c r="D648" s="143" t="s">
        <v>69</v>
      </c>
      <c r="E648" s="257">
        <v>86917440</v>
      </c>
      <c r="F648" s="257">
        <v>86917440</v>
      </c>
      <c r="G648" s="257">
        <v>84500061</v>
      </c>
      <c r="H648" s="257">
        <v>0</v>
      </c>
      <c r="I648" s="257">
        <v>68908948</v>
      </c>
      <c r="J648" s="257">
        <v>0</v>
      </c>
      <c r="K648" s="257">
        <v>18008492</v>
      </c>
      <c r="L648" s="257">
        <v>18008492</v>
      </c>
      <c r="M648" s="288">
        <f>K648/F648*100</f>
        <v>20.719077782318486</v>
      </c>
      <c r="N648" s="257">
        <v>0</v>
      </c>
      <c r="O648" s="275">
        <v>-2417379</v>
      </c>
      <c r="P648" s="289">
        <f>N648/F648*100</f>
        <v>0</v>
      </c>
    </row>
    <row r="649" spans="1:16" s="143" customFormat="1" ht="90" hidden="1" x14ac:dyDescent="0.25">
      <c r="A649" s="143" t="s">
        <v>715</v>
      </c>
      <c r="B649" s="143" t="s">
        <v>460</v>
      </c>
      <c r="C649" s="290" t="s">
        <v>698</v>
      </c>
      <c r="D649" s="143" t="s">
        <v>69</v>
      </c>
      <c r="E649" s="257">
        <v>46801760</v>
      </c>
      <c r="F649" s="257">
        <v>46801760</v>
      </c>
      <c r="G649" s="257">
        <v>45500094</v>
      </c>
      <c r="H649" s="257">
        <v>0</v>
      </c>
      <c r="I649" s="257">
        <v>37155974</v>
      </c>
      <c r="J649" s="257">
        <v>0</v>
      </c>
      <c r="K649" s="257">
        <v>9645786</v>
      </c>
      <c r="L649" s="257">
        <v>9645786</v>
      </c>
      <c r="M649" s="257"/>
      <c r="N649" s="279">
        <v>0</v>
      </c>
      <c r="O649" s="275">
        <v>-1301666</v>
      </c>
    </row>
    <row r="650" spans="1:16" s="143" customFormat="1" ht="90" hidden="1" x14ac:dyDescent="0.25">
      <c r="A650" s="143" t="s">
        <v>715</v>
      </c>
      <c r="B650" s="143" t="s">
        <v>477</v>
      </c>
      <c r="C650" s="290" t="s">
        <v>699</v>
      </c>
      <c r="D650" s="143" t="s">
        <v>69</v>
      </c>
      <c r="E650" s="257">
        <v>13371860</v>
      </c>
      <c r="F650" s="257">
        <v>13371860</v>
      </c>
      <c r="G650" s="257">
        <v>12999956</v>
      </c>
      <c r="H650" s="257">
        <v>0</v>
      </c>
      <c r="I650" s="257">
        <v>10584291</v>
      </c>
      <c r="J650" s="257">
        <v>0</v>
      </c>
      <c r="K650" s="257">
        <v>2787569</v>
      </c>
      <c r="L650" s="257">
        <v>2787569</v>
      </c>
      <c r="M650" s="257"/>
      <c r="N650" s="279">
        <v>0</v>
      </c>
      <c r="O650" s="275">
        <v>-371904</v>
      </c>
    </row>
    <row r="651" spans="1:16" s="143" customFormat="1" ht="90" hidden="1" x14ac:dyDescent="0.25">
      <c r="A651" s="143" t="s">
        <v>715</v>
      </c>
      <c r="B651" s="143" t="s">
        <v>494</v>
      </c>
      <c r="C651" s="290" t="s">
        <v>700</v>
      </c>
      <c r="D651" s="143" t="s">
        <v>69</v>
      </c>
      <c r="E651" s="257">
        <v>26743820</v>
      </c>
      <c r="F651" s="257">
        <v>26743820</v>
      </c>
      <c r="G651" s="257">
        <v>26000011</v>
      </c>
      <c r="H651" s="257">
        <v>0</v>
      </c>
      <c r="I651" s="257">
        <v>21168683</v>
      </c>
      <c r="J651" s="257">
        <v>0</v>
      </c>
      <c r="K651" s="257">
        <v>5575137</v>
      </c>
      <c r="L651" s="257">
        <v>5575137</v>
      </c>
      <c r="M651" s="257"/>
      <c r="N651" s="279">
        <v>0</v>
      </c>
      <c r="O651" s="275">
        <v>-743809</v>
      </c>
    </row>
    <row r="652" spans="1:16" s="143" customFormat="1" x14ac:dyDescent="0.25">
      <c r="A652" s="280" t="s">
        <v>715</v>
      </c>
      <c r="B652" s="281" t="s">
        <v>104</v>
      </c>
      <c r="C652" s="282" t="s">
        <v>105</v>
      </c>
      <c r="D652" s="283" t="s">
        <v>69</v>
      </c>
      <c r="E652" s="257">
        <v>30265400</v>
      </c>
      <c r="F652" s="284">
        <v>30265400</v>
      </c>
      <c r="G652" s="257">
        <v>15657700</v>
      </c>
      <c r="H652" s="257">
        <v>0</v>
      </c>
      <c r="I652" s="257">
        <v>6140712.3700000001</v>
      </c>
      <c r="J652" s="257">
        <v>0</v>
      </c>
      <c r="K652" s="284">
        <v>455597.63</v>
      </c>
      <c r="L652" s="257">
        <v>373682.08</v>
      </c>
      <c r="M652" s="285">
        <f>+K652/F652</f>
        <v>1.505341512089713E-2</v>
      </c>
      <c r="N652" s="286">
        <v>23669090</v>
      </c>
      <c r="O652" s="257">
        <v>9061390</v>
      </c>
      <c r="P652" s="287">
        <f>+N652/F652</f>
        <v>0.78205112108215979</v>
      </c>
    </row>
    <row r="653" spans="1:16" s="143" customFormat="1" hidden="1" x14ac:dyDescent="0.25">
      <c r="A653" s="143" t="s">
        <v>715</v>
      </c>
      <c r="B653" s="143" t="s">
        <v>112</v>
      </c>
      <c r="C653" s="290" t="s">
        <v>113</v>
      </c>
      <c r="D653" s="143" t="s">
        <v>69</v>
      </c>
      <c r="E653" s="257">
        <v>30265400</v>
      </c>
      <c r="F653" s="257">
        <v>30265400</v>
      </c>
      <c r="G653" s="257">
        <v>15657700</v>
      </c>
      <c r="H653" s="257">
        <v>0</v>
      </c>
      <c r="I653" s="257">
        <v>6140712.3700000001</v>
      </c>
      <c r="J653" s="257">
        <v>0</v>
      </c>
      <c r="K653" s="257">
        <v>455597.63</v>
      </c>
      <c r="L653" s="257">
        <v>373682.08</v>
      </c>
      <c r="M653" s="257"/>
      <c r="N653" s="279">
        <v>23669090</v>
      </c>
      <c r="O653" s="257">
        <v>9061390</v>
      </c>
    </row>
    <row r="654" spans="1:16" s="143" customFormat="1" ht="30" hidden="1" x14ac:dyDescent="0.25">
      <c r="A654" s="143" t="s">
        <v>715</v>
      </c>
      <c r="B654" s="143" t="s">
        <v>114</v>
      </c>
      <c r="C654" s="290" t="s">
        <v>115</v>
      </c>
      <c r="D654" s="143" t="s">
        <v>69</v>
      </c>
      <c r="E654" s="257">
        <v>3196000</v>
      </c>
      <c r="F654" s="257">
        <v>3196000</v>
      </c>
      <c r="G654" s="257">
        <v>1598000</v>
      </c>
      <c r="H654" s="257">
        <v>0</v>
      </c>
      <c r="I654" s="257">
        <v>778596</v>
      </c>
      <c r="J654" s="257">
        <v>0</v>
      </c>
      <c r="K654" s="257">
        <v>20404</v>
      </c>
      <c r="L654" s="257">
        <v>20404</v>
      </c>
      <c r="M654" s="257"/>
      <c r="N654" s="279">
        <v>2397000</v>
      </c>
      <c r="O654" s="257">
        <v>799000</v>
      </c>
    </row>
    <row r="655" spans="1:16" s="143" customFormat="1" ht="30" hidden="1" x14ac:dyDescent="0.25">
      <c r="A655" s="143" t="s">
        <v>715</v>
      </c>
      <c r="B655" s="143" t="s">
        <v>116</v>
      </c>
      <c r="C655" s="290" t="s">
        <v>117</v>
      </c>
      <c r="D655" s="143" t="s">
        <v>69</v>
      </c>
      <c r="E655" s="257">
        <v>21749400</v>
      </c>
      <c r="F655" s="257">
        <v>21749400</v>
      </c>
      <c r="G655" s="257">
        <v>11049700</v>
      </c>
      <c r="H655" s="257">
        <v>0</v>
      </c>
      <c r="I655" s="257">
        <v>5059497.8499999996</v>
      </c>
      <c r="J655" s="257">
        <v>0</v>
      </c>
      <c r="K655" s="257">
        <v>377812.15</v>
      </c>
      <c r="L655" s="257">
        <v>295896.59999999998</v>
      </c>
      <c r="M655" s="257"/>
      <c r="N655" s="279">
        <v>16312090</v>
      </c>
      <c r="O655" s="257">
        <v>5612390</v>
      </c>
    </row>
    <row r="656" spans="1:16" s="143" customFormat="1" ht="30" hidden="1" x14ac:dyDescent="0.25">
      <c r="A656" s="143" t="s">
        <v>715</v>
      </c>
      <c r="B656" s="143" t="s">
        <v>120</v>
      </c>
      <c r="C656" s="290" t="s">
        <v>121</v>
      </c>
      <c r="D656" s="143" t="s">
        <v>69</v>
      </c>
      <c r="E656" s="257">
        <v>4620000</v>
      </c>
      <c r="F656" s="257">
        <v>4620000</v>
      </c>
      <c r="G656" s="257">
        <v>2310000</v>
      </c>
      <c r="H656" s="257">
        <v>0</v>
      </c>
      <c r="I656" s="257">
        <v>0</v>
      </c>
      <c r="J656" s="257">
        <v>0</v>
      </c>
      <c r="K656" s="257">
        <v>0</v>
      </c>
      <c r="L656" s="257">
        <v>0</v>
      </c>
      <c r="M656" s="257"/>
      <c r="N656" s="279">
        <v>4620000</v>
      </c>
      <c r="O656" s="257">
        <v>2310000</v>
      </c>
    </row>
    <row r="657" spans="1:16" s="143" customFormat="1" hidden="1" x14ac:dyDescent="0.25">
      <c r="A657" s="143" t="s">
        <v>715</v>
      </c>
      <c r="B657" s="143" t="s">
        <v>122</v>
      </c>
      <c r="C657" s="290" t="s">
        <v>123</v>
      </c>
      <c r="D657" s="143" t="s">
        <v>69</v>
      </c>
      <c r="E657" s="257">
        <v>700000</v>
      </c>
      <c r="F657" s="257">
        <v>700000</v>
      </c>
      <c r="G657" s="257">
        <v>700000</v>
      </c>
      <c r="H657" s="257">
        <v>0</v>
      </c>
      <c r="I657" s="257">
        <v>302618.52</v>
      </c>
      <c r="J657" s="257">
        <v>0</v>
      </c>
      <c r="K657" s="257">
        <v>57381.48</v>
      </c>
      <c r="L657" s="257">
        <v>57381.48</v>
      </c>
      <c r="M657" s="257"/>
      <c r="N657" s="279">
        <v>340000</v>
      </c>
      <c r="O657" s="257">
        <v>340000</v>
      </c>
    </row>
    <row r="658" spans="1:16" s="143" customFormat="1" x14ac:dyDescent="0.25">
      <c r="A658" s="280" t="s">
        <v>715</v>
      </c>
      <c r="B658" s="281" t="s">
        <v>248</v>
      </c>
      <c r="C658" s="282" t="s">
        <v>249</v>
      </c>
      <c r="D658" s="283" t="s">
        <v>69</v>
      </c>
      <c r="E658" s="257">
        <v>18298122</v>
      </c>
      <c r="F658" s="284">
        <v>18298122</v>
      </c>
      <c r="G658" s="257">
        <v>17886548</v>
      </c>
      <c r="H658" s="257">
        <v>0</v>
      </c>
      <c r="I658" s="257">
        <v>11823916</v>
      </c>
      <c r="J658" s="257">
        <v>0</v>
      </c>
      <c r="K658" s="284">
        <v>3646153</v>
      </c>
      <c r="L658" s="257">
        <v>3646153</v>
      </c>
      <c r="M658" s="285">
        <f>+K658/F658</f>
        <v>0.19926378237067169</v>
      </c>
      <c r="N658" s="286">
        <v>2828053</v>
      </c>
      <c r="O658" s="257">
        <v>2416479</v>
      </c>
      <c r="P658" s="287">
        <f>+N658/F658</f>
        <v>0.15455427611642331</v>
      </c>
    </row>
    <row r="659" spans="1:16" s="143" customFormat="1" ht="30" hidden="1" x14ac:dyDescent="0.25">
      <c r="A659" s="143" t="s">
        <v>715</v>
      </c>
      <c r="B659" s="143" t="s">
        <v>250</v>
      </c>
      <c r="C659" s="290" t="s">
        <v>251</v>
      </c>
      <c r="D659" s="143" t="s">
        <v>69</v>
      </c>
      <c r="E659" s="257">
        <v>14798122</v>
      </c>
      <c r="F659" s="257">
        <v>14798122</v>
      </c>
      <c r="G659" s="257">
        <v>14386548</v>
      </c>
      <c r="H659" s="257">
        <v>0</v>
      </c>
      <c r="I659" s="257">
        <v>11823916</v>
      </c>
      <c r="J659" s="257">
        <v>0</v>
      </c>
      <c r="K659" s="257">
        <v>2974206</v>
      </c>
      <c r="L659" s="257">
        <v>2974206</v>
      </c>
      <c r="M659" s="257"/>
      <c r="N659" s="279">
        <v>0</v>
      </c>
      <c r="O659" s="275">
        <v>-411574</v>
      </c>
    </row>
    <row r="660" spans="1:16" s="143" customFormat="1" ht="90" hidden="1" x14ac:dyDescent="0.25">
      <c r="A660" s="143" t="s">
        <v>715</v>
      </c>
      <c r="B660" s="143" t="s">
        <v>634</v>
      </c>
      <c r="C660" s="290" t="s">
        <v>702</v>
      </c>
      <c r="D660" s="143" t="s">
        <v>69</v>
      </c>
      <c r="E660" s="257">
        <v>12569562</v>
      </c>
      <c r="F660" s="257">
        <v>12569562</v>
      </c>
      <c r="G660" s="257">
        <v>12219972</v>
      </c>
      <c r="H660" s="257">
        <v>0</v>
      </c>
      <c r="I660" s="257">
        <v>10059950</v>
      </c>
      <c r="J660" s="257">
        <v>0</v>
      </c>
      <c r="K660" s="257">
        <v>2509612</v>
      </c>
      <c r="L660" s="257">
        <v>2509612</v>
      </c>
      <c r="M660" s="257"/>
      <c r="N660" s="279">
        <v>0</v>
      </c>
      <c r="O660" s="275">
        <v>-349590</v>
      </c>
    </row>
    <row r="661" spans="1:16" s="143" customFormat="1" ht="90" hidden="1" x14ac:dyDescent="0.25">
      <c r="A661" s="143" t="s">
        <v>715</v>
      </c>
      <c r="B661" s="143" t="s">
        <v>649</v>
      </c>
      <c r="C661" s="290" t="s">
        <v>703</v>
      </c>
      <c r="D661" s="143" t="s">
        <v>69</v>
      </c>
      <c r="E661" s="257">
        <v>2228560</v>
      </c>
      <c r="F661" s="257">
        <v>2228560</v>
      </c>
      <c r="G661" s="257">
        <v>2166576</v>
      </c>
      <c r="H661" s="257">
        <v>0</v>
      </c>
      <c r="I661" s="257">
        <v>1763966</v>
      </c>
      <c r="J661" s="257">
        <v>0</v>
      </c>
      <c r="K661" s="257">
        <v>464594</v>
      </c>
      <c r="L661" s="257">
        <v>464594</v>
      </c>
      <c r="M661" s="257"/>
      <c r="N661" s="279">
        <v>0</v>
      </c>
      <c r="O661" s="275">
        <v>-61984</v>
      </c>
    </row>
    <row r="662" spans="1:16" s="143" customFormat="1" hidden="1" x14ac:dyDescent="0.25">
      <c r="A662" s="143" t="s">
        <v>715</v>
      </c>
      <c r="B662" s="143" t="s">
        <v>260</v>
      </c>
      <c r="C662" s="290" t="s">
        <v>261</v>
      </c>
      <c r="D662" s="143" t="s">
        <v>69</v>
      </c>
      <c r="E662" s="257">
        <v>3500000</v>
      </c>
      <c r="F662" s="257">
        <v>3500000</v>
      </c>
      <c r="G662" s="257">
        <v>3500000</v>
      </c>
      <c r="H662" s="257">
        <v>0</v>
      </c>
      <c r="I662" s="257">
        <v>0</v>
      </c>
      <c r="J662" s="257">
        <v>0</v>
      </c>
      <c r="K662" s="257">
        <v>671947</v>
      </c>
      <c r="L662" s="257">
        <v>671947</v>
      </c>
      <c r="M662" s="257"/>
      <c r="N662" s="279">
        <v>2828053</v>
      </c>
      <c r="O662" s="257">
        <v>2828053</v>
      </c>
    </row>
    <row r="663" spans="1:16" s="143" customFormat="1" hidden="1" x14ac:dyDescent="0.25">
      <c r="A663" s="143" t="s">
        <v>715</v>
      </c>
      <c r="B663" s="143" t="s">
        <v>264</v>
      </c>
      <c r="C663" s="290" t="s">
        <v>265</v>
      </c>
      <c r="D663" s="143" t="s">
        <v>69</v>
      </c>
      <c r="E663" s="257">
        <v>3500000</v>
      </c>
      <c r="F663" s="257">
        <v>3500000</v>
      </c>
      <c r="G663" s="257">
        <v>3500000</v>
      </c>
      <c r="H663" s="257">
        <v>0</v>
      </c>
      <c r="I663" s="257">
        <v>0</v>
      </c>
      <c r="J663" s="257">
        <v>0</v>
      </c>
      <c r="K663" s="257">
        <v>671947</v>
      </c>
      <c r="L663" s="257">
        <v>671947</v>
      </c>
      <c r="M663" s="257"/>
      <c r="N663" s="279">
        <v>2828053</v>
      </c>
      <c r="O663" s="257">
        <v>2828053</v>
      </c>
    </row>
    <row r="664" spans="1:16" s="143" customFormat="1" hidden="1" x14ac:dyDescent="0.25">
      <c r="A664" s="143" t="s">
        <v>716</v>
      </c>
      <c r="C664" s="290"/>
      <c r="D664" s="143" t="s">
        <v>69</v>
      </c>
      <c r="E664" s="257">
        <v>7207746597</v>
      </c>
      <c r="F664" s="257">
        <v>7207746597</v>
      </c>
      <c r="G664" s="257">
        <v>3739550939</v>
      </c>
      <c r="H664" s="257">
        <v>0</v>
      </c>
      <c r="I664" s="257">
        <v>1201568876.01</v>
      </c>
      <c r="J664" s="257">
        <v>0</v>
      </c>
      <c r="K664" s="257">
        <v>66598108.119999997</v>
      </c>
      <c r="L664" s="257">
        <v>66598108.119999997</v>
      </c>
      <c r="M664" s="257"/>
      <c r="N664" s="279">
        <v>5939579612.8699999</v>
      </c>
      <c r="O664" s="257">
        <v>2471383954.8699999</v>
      </c>
    </row>
    <row r="665" spans="1:16" s="143" customFormat="1" x14ac:dyDescent="0.25">
      <c r="C665" s="290"/>
      <c r="E665" s="257"/>
      <c r="F665" s="292">
        <f>SUBTOTAL(9,F636:F664)</f>
        <v>10772108163</v>
      </c>
      <c r="G665" s="257"/>
      <c r="H665" s="257"/>
      <c r="I665" s="257"/>
      <c r="J665" s="257"/>
      <c r="K665" s="292">
        <f>SUBTOTAL(9,K636:K664)</f>
        <v>906690190.48000002</v>
      </c>
      <c r="L665" s="257"/>
      <c r="M665" s="293">
        <f>+K665/F665</f>
        <v>8.4170171405658217E-2</v>
      </c>
      <c r="N665" s="341">
        <f>SUBTOTAL(9,N636:N664)</f>
        <v>8196833329.3999996</v>
      </c>
      <c r="O665" s="257"/>
      <c r="P665" s="295">
        <f>+N665/F665</f>
        <v>0.76093121284786713</v>
      </c>
    </row>
    <row r="666" spans="1:16" s="143" customFormat="1" x14ac:dyDescent="0.25">
      <c r="A666" s="291"/>
      <c r="C666" s="290"/>
      <c r="E666" s="257"/>
      <c r="F666" s="257"/>
      <c r="G666" s="257"/>
      <c r="H666" s="257"/>
      <c r="I666" s="257"/>
      <c r="J666" s="257"/>
      <c r="K666" s="257"/>
      <c r="L666" s="257"/>
      <c r="M666" s="257"/>
      <c r="N666" s="257"/>
      <c r="O666" s="257"/>
    </row>
    <row r="667" spans="1:16" s="143" customFormat="1" x14ac:dyDescent="0.25">
      <c r="A667" s="296" t="s">
        <v>716</v>
      </c>
      <c r="B667" s="297" t="s">
        <v>71</v>
      </c>
      <c r="C667" s="298" t="s">
        <v>72</v>
      </c>
      <c r="D667" s="299" t="s">
        <v>69</v>
      </c>
      <c r="E667" s="257">
        <v>273249937</v>
      </c>
      <c r="F667" s="300">
        <v>273249937</v>
      </c>
      <c r="G667" s="257">
        <v>269822981</v>
      </c>
      <c r="H667" s="257">
        <v>0</v>
      </c>
      <c r="I667" s="257">
        <v>32509239</v>
      </c>
      <c r="J667" s="257">
        <v>0</v>
      </c>
      <c r="K667" s="300">
        <v>65841703.119999997</v>
      </c>
      <c r="L667" s="257">
        <v>65841703.119999997</v>
      </c>
      <c r="M667" s="301">
        <f>+K667/F667</f>
        <v>0.24095779798844014</v>
      </c>
      <c r="N667" s="302">
        <v>174898994.88</v>
      </c>
      <c r="O667" s="257">
        <v>171472038.88</v>
      </c>
      <c r="P667" s="303">
        <f>+N667/F667</f>
        <v>0.64006966223015083</v>
      </c>
    </row>
    <row r="668" spans="1:16" s="143" customFormat="1" hidden="1" x14ac:dyDescent="0.25">
      <c r="A668" s="143" t="s">
        <v>716</v>
      </c>
      <c r="B668" s="143" t="s">
        <v>73</v>
      </c>
      <c r="C668" s="290" t="s">
        <v>74</v>
      </c>
      <c r="D668" s="143" t="s">
        <v>69</v>
      </c>
      <c r="E668" s="257">
        <v>97637632</v>
      </c>
      <c r="F668" s="257">
        <v>97637632</v>
      </c>
      <c r="G668" s="257">
        <v>96661384</v>
      </c>
      <c r="H668" s="257">
        <v>0</v>
      </c>
      <c r="I668" s="257">
        <v>0</v>
      </c>
      <c r="J668" s="257">
        <v>0</v>
      </c>
      <c r="K668" s="257">
        <v>23437372.829999998</v>
      </c>
      <c r="L668" s="257">
        <v>23437372.829999998</v>
      </c>
      <c r="M668" s="288">
        <f>K668/F668*100</f>
        <v>24.004446185257748</v>
      </c>
      <c r="N668" s="257">
        <v>74200259.170000002</v>
      </c>
      <c r="O668" s="257">
        <v>73224011.170000002</v>
      </c>
      <c r="P668" s="289">
        <f>N668/F668*100</f>
        <v>75.995553814742252</v>
      </c>
    </row>
    <row r="669" spans="1:16" s="143" customFormat="1" hidden="1" x14ac:dyDescent="0.25">
      <c r="A669" s="143" t="s">
        <v>716</v>
      </c>
      <c r="B669" s="143" t="s">
        <v>75</v>
      </c>
      <c r="C669" s="290" t="s">
        <v>76</v>
      </c>
      <c r="D669" s="143" t="s">
        <v>69</v>
      </c>
      <c r="E669" s="257">
        <v>97637632</v>
      </c>
      <c r="F669" s="257">
        <v>97637632</v>
      </c>
      <c r="G669" s="257">
        <v>96661384</v>
      </c>
      <c r="H669" s="257">
        <v>0</v>
      </c>
      <c r="I669" s="257">
        <v>0</v>
      </c>
      <c r="J669" s="257">
        <v>0</v>
      </c>
      <c r="K669" s="257">
        <v>23437372.829999998</v>
      </c>
      <c r="L669" s="257">
        <v>23437372.829999998</v>
      </c>
      <c r="M669" s="257"/>
      <c r="N669" s="279">
        <v>74200259.170000002</v>
      </c>
      <c r="O669" s="257">
        <v>73224011.170000002</v>
      </c>
    </row>
    <row r="670" spans="1:16" s="143" customFormat="1" hidden="1" x14ac:dyDescent="0.25">
      <c r="A670" s="143" t="s">
        <v>716</v>
      </c>
      <c r="B670" s="143" t="s">
        <v>77</v>
      </c>
      <c r="C670" s="290" t="s">
        <v>78</v>
      </c>
      <c r="D670" s="143" t="s">
        <v>69</v>
      </c>
      <c r="E670" s="257">
        <v>133929275</v>
      </c>
      <c r="F670" s="257">
        <v>133929275</v>
      </c>
      <c r="G670" s="257">
        <v>132001335</v>
      </c>
      <c r="H670" s="257">
        <v>0</v>
      </c>
      <c r="I670" s="257">
        <v>0</v>
      </c>
      <c r="J670" s="257">
        <v>0</v>
      </c>
      <c r="K670" s="257">
        <v>33230539.289999999</v>
      </c>
      <c r="L670" s="257">
        <v>33230539.289999999</v>
      </c>
      <c r="M670" s="288">
        <f>K670/F670*100</f>
        <v>24.812005657463612</v>
      </c>
      <c r="N670" s="257">
        <v>100698735.70999999</v>
      </c>
      <c r="O670" s="257">
        <v>98770795.709999993</v>
      </c>
      <c r="P670" s="289">
        <f>N670/F670*100</f>
        <v>75.187994342536385</v>
      </c>
    </row>
    <row r="671" spans="1:16" s="143" customFormat="1" ht="30" hidden="1" x14ac:dyDescent="0.25">
      <c r="A671" s="143" t="s">
        <v>716</v>
      </c>
      <c r="B671" s="143" t="s">
        <v>79</v>
      </c>
      <c r="C671" s="290" t="s">
        <v>80</v>
      </c>
      <c r="D671" s="143" t="s">
        <v>69</v>
      </c>
      <c r="E671" s="257">
        <v>34862400</v>
      </c>
      <c r="F671" s="257">
        <v>34862400</v>
      </c>
      <c r="G671" s="257">
        <v>33521255</v>
      </c>
      <c r="H671" s="257">
        <v>0</v>
      </c>
      <c r="I671" s="257">
        <v>0</v>
      </c>
      <c r="J671" s="257">
        <v>0</v>
      </c>
      <c r="K671" s="257">
        <v>8177204.7300000004</v>
      </c>
      <c r="L671" s="257">
        <v>8177204.7300000004</v>
      </c>
      <c r="M671" s="257"/>
      <c r="N671" s="279">
        <v>26685195.27</v>
      </c>
      <c r="O671" s="257">
        <v>25344050.27</v>
      </c>
    </row>
    <row r="672" spans="1:16" s="143" customFormat="1" ht="30" hidden="1" x14ac:dyDescent="0.25">
      <c r="A672" s="143" t="s">
        <v>716</v>
      </c>
      <c r="B672" s="143" t="s">
        <v>81</v>
      </c>
      <c r="C672" s="290" t="s">
        <v>82</v>
      </c>
      <c r="D672" s="143" t="s">
        <v>69</v>
      </c>
      <c r="E672" s="257">
        <v>32733979</v>
      </c>
      <c r="F672" s="257">
        <v>32733979</v>
      </c>
      <c r="G672" s="257">
        <v>32370500</v>
      </c>
      <c r="H672" s="257">
        <v>0</v>
      </c>
      <c r="I672" s="257">
        <v>0</v>
      </c>
      <c r="J672" s="257">
        <v>0</v>
      </c>
      <c r="K672" s="257">
        <v>7701131.25</v>
      </c>
      <c r="L672" s="257">
        <v>7701131.25</v>
      </c>
      <c r="M672" s="257"/>
      <c r="N672" s="279">
        <v>25032847.75</v>
      </c>
      <c r="O672" s="257">
        <v>24669368.75</v>
      </c>
    </row>
    <row r="673" spans="1:16" s="143" customFormat="1" hidden="1" x14ac:dyDescent="0.25">
      <c r="A673" s="143" t="s">
        <v>716</v>
      </c>
      <c r="B673" s="143" t="s">
        <v>83</v>
      </c>
      <c r="C673" s="290" t="s">
        <v>84</v>
      </c>
      <c r="D673" s="143" t="s">
        <v>85</v>
      </c>
      <c r="E673" s="257">
        <v>17806196</v>
      </c>
      <c r="F673" s="257">
        <v>17806196</v>
      </c>
      <c r="G673" s="257">
        <v>17582880</v>
      </c>
      <c r="H673" s="257">
        <v>0</v>
      </c>
      <c r="I673" s="257">
        <v>0</v>
      </c>
      <c r="J673" s="257">
        <v>0</v>
      </c>
      <c r="K673" s="257">
        <v>0</v>
      </c>
      <c r="L673" s="257">
        <v>0</v>
      </c>
      <c r="M673" s="257"/>
      <c r="N673" s="279">
        <v>17806196</v>
      </c>
      <c r="O673" s="257">
        <v>17582880</v>
      </c>
    </row>
    <row r="674" spans="1:16" s="143" customFormat="1" hidden="1" x14ac:dyDescent="0.25">
      <c r="A674" s="143" t="s">
        <v>716</v>
      </c>
      <c r="B674" s="143" t="s">
        <v>86</v>
      </c>
      <c r="C674" s="290" t="s">
        <v>87</v>
      </c>
      <c r="D674" s="143" t="s">
        <v>69</v>
      </c>
      <c r="E674" s="257">
        <v>16387600</v>
      </c>
      <c r="F674" s="257">
        <v>16387600</v>
      </c>
      <c r="G674" s="257">
        <v>16387600</v>
      </c>
      <c r="H674" s="257">
        <v>0</v>
      </c>
      <c r="I674" s="257">
        <v>0</v>
      </c>
      <c r="J674" s="257">
        <v>0</v>
      </c>
      <c r="K674" s="257">
        <v>9494365.5</v>
      </c>
      <c r="L674" s="257">
        <v>9494365.5</v>
      </c>
      <c r="M674" s="257"/>
      <c r="N674" s="279">
        <v>6893234.5</v>
      </c>
      <c r="O674" s="257">
        <v>6893234.5</v>
      </c>
    </row>
    <row r="675" spans="1:16" s="143" customFormat="1" ht="30" hidden="1" x14ac:dyDescent="0.25">
      <c r="A675" s="143" t="s">
        <v>716</v>
      </c>
      <c r="B675" s="143" t="s">
        <v>88</v>
      </c>
      <c r="C675" s="290" t="s">
        <v>89</v>
      </c>
      <c r="D675" s="143" t="s">
        <v>69</v>
      </c>
      <c r="E675" s="257">
        <v>32139100</v>
      </c>
      <c r="F675" s="257">
        <v>32139100</v>
      </c>
      <c r="G675" s="257">
        <v>32139100</v>
      </c>
      <c r="H675" s="257">
        <v>0</v>
      </c>
      <c r="I675" s="257">
        <v>0</v>
      </c>
      <c r="J675" s="257">
        <v>0</v>
      </c>
      <c r="K675" s="257">
        <v>7857837.8099999996</v>
      </c>
      <c r="L675" s="257">
        <v>7857837.8099999996</v>
      </c>
      <c r="M675" s="257"/>
      <c r="N675" s="279">
        <v>24281262.190000001</v>
      </c>
      <c r="O675" s="257">
        <v>24281262.190000001</v>
      </c>
    </row>
    <row r="676" spans="1:16" s="143" customFormat="1" ht="30" hidden="1" x14ac:dyDescent="0.25">
      <c r="A676" s="143" t="s">
        <v>716</v>
      </c>
      <c r="B676" s="143" t="s">
        <v>90</v>
      </c>
      <c r="C676" s="290" t="s">
        <v>91</v>
      </c>
      <c r="D676" s="143" t="s">
        <v>69</v>
      </c>
      <c r="E676" s="257">
        <v>20841515</v>
      </c>
      <c r="F676" s="257">
        <v>20841515</v>
      </c>
      <c r="G676" s="257">
        <v>20580131</v>
      </c>
      <c r="H676" s="257">
        <v>0</v>
      </c>
      <c r="I676" s="257">
        <v>16241207</v>
      </c>
      <c r="J676" s="257">
        <v>0</v>
      </c>
      <c r="K676" s="257">
        <v>4600308</v>
      </c>
      <c r="L676" s="257">
        <v>4600308</v>
      </c>
      <c r="M676" s="288">
        <f>K676/F676*100</f>
        <v>22.072809966070125</v>
      </c>
      <c r="N676" s="257">
        <v>0</v>
      </c>
      <c r="O676" s="275">
        <v>-261384</v>
      </c>
      <c r="P676" s="289">
        <f>N676/F676*100</f>
        <v>0</v>
      </c>
    </row>
    <row r="677" spans="1:16" s="143" customFormat="1" ht="90" hidden="1" x14ac:dyDescent="0.25">
      <c r="A677" s="143" t="s">
        <v>716</v>
      </c>
      <c r="B677" s="143" t="s">
        <v>426</v>
      </c>
      <c r="C677" s="290" t="s">
        <v>697</v>
      </c>
      <c r="D677" s="143" t="s">
        <v>69</v>
      </c>
      <c r="E677" s="257">
        <v>19772804</v>
      </c>
      <c r="F677" s="257">
        <v>19772804</v>
      </c>
      <c r="G677" s="257">
        <v>19524824</v>
      </c>
      <c r="H677" s="257">
        <v>0</v>
      </c>
      <c r="I677" s="257">
        <v>15408409</v>
      </c>
      <c r="J677" s="257">
        <v>0</v>
      </c>
      <c r="K677" s="257">
        <v>4364395</v>
      </c>
      <c r="L677" s="257">
        <v>4364395</v>
      </c>
      <c r="M677" s="257"/>
      <c r="N677" s="279">
        <v>0</v>
      </c>
      <c r="O677" s="275">
        <v>-247980</v>
      </c>
    </row>
    <row r="678" spans="1:16" s="143" customFormat="1" ht="75" hidden="1" x14ac:dyDescent="0.25">
      <c r="A678" s="143" t="s">
        <v>716</v>
      </c>
      <c r="B678" s="143" t="s">
        <v>443</v>
      </c>
      <c r="C678" s="290" t="s">
        <v>95</v>
      </c>
      <c r="D678" s="143" t="s">
        <v>69</v>
      </c>
      <c r="E678" s="257">
        <v>1068711</v>
      </c>
      <c r="F678" s="257">
        <v>1068711</v>
      </c>
      <c r="G678" s="257">
        <v>1055307</v>
      </c>
      <c r="H678" s="257">
        <v>0</v>
      </c>
      <c r="I678" s="257">
        <v>832798</v>
      </c>
      <c r="J678" s="257">
        <v>0</v>
      </c>
      <c r="K678" s="257">
        <v>235913</v>
      </c>
      <c r="L678" s="257">
        <v>235913</v>
      </c>
      <c r="M678" s="257"/>
      <c r="N678" s="279">
        <v>0</v>
      </c>
      <c r="O678" s="275">
        <v>-13404</v>
      </c>
    </row>
    <row r="679" spans="1:16" s="143" customFormat="1" ht="30" hidden="1" x14ac:dyDescent="0.25">
      <c r="A679" s="143" t="s">
        <v>716</v>
      </c>
      <c r="B679" s="143" t="s">
        <v>96</v>
      </c>
      <c r="C679" s="290" t="s">
        <v>97</v>
      </c>
      <c r="D679" s="143" t="s">
        <v>69</v>
      </c>
      <c r="E679" s="257">
        <v>20841515</v>
      </c>
      <c r="F679" s="257">
        <v>20841515</v>
      </c>
      <c r="G679" s="257">
        <v>20580131</v>
      </c>
      <c r="H679" s="257">
        <v>0</v>
      </c>
      <c r="I679" s="257">
        <v>16268032</v>
      </c>
      <c r="J679" s="257">
        <v>0</v>
      </c>
      <c r="K679" s="257">
        <v>4573483</v>
      </c>
      <c r="L679" s="257">
        <v>4573483</v>
      </c>
      <c r="M679" s="288">
        <f>K679/F679*100</f>
        <v>21.944100512846596</v>
      </c>
      <c r="N679" s="257">
        <v>0</v>
      </c>
      <c r="O679" s="275">
        <v>-261384</v>
      </c>
      <c r="P679" s="289">
        <f>N679/F679*100</f>
        <v>0</v>
      </c>
    </row>
    <row r="680" spans="1:16" s="143" customFormat="1" ht="90" hidden="1" x14ac:dyDescent="0.25">
      <c r="A680" s="143" t="s">
        <v>716</v>
      </c>
      <c r="B680" s="143" t="s">
        <v>461</v>
      </c>
      <c r="C680" s="290" t="s">
        <v>698</v>
      </c>
      <c r="D680" s="143" t="s">
        <v>69</v>
      </c>
      <c r="E680" s="257">
        <v>11222416</v>
      </c>
      <c r="F680" s="257">
        <v>11222416</v>
      </c>
      <c r="G680" s="257">
        <v>11081671</v>
      </c>
      <c r="H680" s="257">
        <v>0</v>
      </c>
      <c r="I680" s="257">
        <v>8772153</v>
      </c>
      <c r="J680" s="257">
        <v>0</v>
      </c>
      <c r="K680" s="257">
        <v>2450263</v>
      </c>
      <c r="L680" s="257">
        <v>2450263</v>
      </c>
      <c r="M680" s="257"/>
      <c r="N680" s="279">
        <v>0</v>
      </c>
      <c r="O680" s="275">
        <v>-140745</v>
      </c>
    </row>
    <row r="681" spans="1:16" s="143" customFormat="1" ht="90" hidden="1" x14ac:dyDescent="0.25">
      <c r="A681" s="143" t="s">
        <v>716</v>
      </c>
      <c r="B681" s="143" t="s">
        <v>478</v>
      </c>
      <c r="C681" s="290" t="s">
        <v>699</v>
      </c>
      <c r="D681" s="143" t="s">
        <v>69</v>
      </c>
      <c r="E681" s="257">
        <v>3206333</v>
      </c>
      <c r="F681" s="257">
        <v>3206333</v>
      </c>
      <c r="G681" s="257">
        <v>3166120</v>
      </c>
      <c r="H681" s="257">
        <v>0</v>
      </c>
      <c r="I681" s="257">
        <v>2498593</v>
      </c>
      <c r="J681" s="257">
        <v>0</v>
      </c>
      <c r="K681" s="257">
        <v>707740</v>
      </c>
      <c r="L681" s="257">
        <v>707740</v>
      </c>
      <c r="M681" s="257"/>
      <c r="N681" s="279">
        <v>0</v>
      </c>
      <c r="O681" s="275">
        <v>-40213</v>
      </c>
    </row>
    <row r="682" spans="1:16" s="143" customFormat="1" ht="90" hidden="1" x14ac:dyDescent="0.25">
      <c r="A682" s="143" t="s">
        <v>716</v>
      </c>
      <c r="B682" s="143" t="s">
        <v>495</v>
      </c>
      <c r="C682" s="290" t="s">
        <v>700</v>
      </c>
      <c r="D682" s="143" t="s">
        <v>69</v>
      </c>
      <c r="E682" s="257">
        <v>6412766</v>
      </c>
      <c r="F682" s="257">
        <v>6412766</v>
      </c>
      <c r="G682" s="257">
        <v>6332340</v>
      </c>
      <c r="H682" s="257">
        <v>0</v>
      </c>
      <c r="I682" s="257">
        <v>4997286</v>
      </c>
      <c r="J682" s="257">
        <v>0</v>
      </c>
      <c r="K682" s="257">
        <v>1415480</v>
      </c>
      <c r="L682" s="257">
        <v>1415480</v>
      </c>
      <c r="M682" s="257"/>
      <c r="N682" s="279">
        <v>0</v>
      </c>
      <c r="O682" s="275">
        <v>-80426</v>
      </c>
    </row>
    <row r="683" spans="1:16" s="143" customFormat="1" x14ac:dyDescent="0.25">
      <c r="A683" s="296" t="s">
        <v>716</v>
      </c>
      <c r="B683" s="297" t="s">
        <v>104</v>
      </c>
      <c r="C683" s="298" t="s">
        <v>105</v>
      </c>
      <c r="D683" s="299" t="s">
        <v>69</v>
      </c>
      <c r="E683" s="257">
        <v>6929448400</v>
      </c>
      <c r="F683" s="300">
        <v>6929448400</v>
      </c>
      <c r="G683" s="257">
        <v>3464724200</v>
      </c>
      <c r="H683" s="257">
        <v>0</v>
      </c>
      <c r="I683" s="257">
        <v>1166267782.01</v>
      </c>
      <c r="J683" s="257">
        <v>0</v>
      </c>
      <c r="K683" s="300">
        <v>0</v>
      </c>
      <c r="L683" s="257">
        <v>0</v>
      </c>
      <c r="M683" s="301">
        <f>+K683/F683</f>
        <v>0</v>
      </c>
      <c r="N683" s="302">
        <v>5763180617.9899998</v>
      </c>
      <c r="O683" s="257">
        <v>2298456417.9899998</v>
      </c>
      <c r="P683" s="303">
        <f>+N683/F683</f>
        <v>0.8316939942853171</v>
      </c>
    </row>
    <row r="684" spans="1:16" s="143" customFormat="1" hidden="1" x14ac:dyDescent="0.25">
      <c r="A684" s="143" t="s">
        <v>716</v>
      </c>
      <c r="B684" s="143" t="s">
        <v>106</v>
      </c>
      <c r="C684" s="290" t="s">
        <v>107</v>
      </c>
      <c r="D684" s="143" t="s">
        <v>69</v>
      </c>
      <c r="E684" s="257">
        <v>6927908871</v>
      </c>
      <c r="F684" s="257">
        <v>6927908871</v>
      </c>
      <c r="G684" s="257">
        <v>3463954436</v>
      </c>
      <c r="H684" s="257">
        <v>0</v>
      </c>
      <c r="I684" s="257">
        <v>1166267782.01</v>
      </c>
      <c r="J684" s="257">
        <v>0</v>
      </c>
      <c r="K684" s="257">
        <v>0</v>
      </c>
      <c r="L684" s="257">
        <v>0</v>
      </c>
      <c r="M684" s="257"/>
      <c r="N684" s="279">
        <v>5761641088.9899998</v>
      </c>
      <c r="O684" s="257">
        <v>2297686653.9899998</v>
      </c>
    </row>
    <row r="685" spans="1:16" s="143" customFormat="1" hidden="1" x14ac:dyDescent="0.25">
      <c r="A685" s="143" t="s">
        <v>716</v>
      </c>
      <c r="B685" s="143" t="s">
        <v>110</v>
      </c>
      <c r="C685" s="290" t="s">
        <v>111</v>
      </c>
      <c r="D685" s="143" t="s">
        <v>69</v>
      </c>
      <c r="E685" s="257">
        <v>6927908871</v>
      </c>
      <c r="F685" s="257">
        <v>6927908871</v>
      </c>
      <c r="G685" s="257">
        <v>3463954436</v>
      </c>
      <c r="H685" s="257">
        <v>0</v>
      </c>
      <c r="I685" s="257">
        <v>1166267782.01</v>
      </c>
      <c r="J685" s="257">
        <v>0</v>
      </c>
      <c r="K685" s="257">
        <v>0</v>
      </c>
      <c r="L685" s="257">
        <v>0</v>
      </c>
      <c r="M685" s="257"/>
      <c r="N685" s="279">
        <v>5761641088.9899998</v>
      </c>
      <c r="O685" s="257">
        <v>2297686653.9899998</v>
      </c>
    </row>
    <row r="686" spans="1:16" s="143" customFormat="1" hidden="1" x14ac:dyDescent="0.25">
      <c r="A686" s="143" t="s">
        <v>716</v>
      </c>
      <c r="B686" s="143" t="s">
        <v>112</v>
      </c>
      <c r="C686" s="290" t="s">
        <v>113</v>
      </c>
      <c r="D686" s="143" t="s">
        <v>69</v>
      </c>
      <c r="E686" s="257">
        <v>1539529</v>
      </c>
      <c r="F686" s="257">
        <v>1539529</v>
      </c>
      <c r="G686" s="257">
        <v>769764</v>
      </c>
      <c r="H686" s="257">
        <v>0</v>
      </c>
      <c r="I686" s="257">
        <v>0</v>
      </c>
      <c r="J686" s="257">
        <v>0</v>
      </c>
      <c r="K686" s="257">
        <v>0</v>
      </c>
      <c r="L686" s="257">
        <v>0</v>
      </c>
      <c r="M686" s="257"/>
      <c r="N686" s="279">
        <v>1539529</v>
      </c>
      <c r="O686" s="257">
        <v>769764</v>
      </c>
    </row>
    <row r="687" spans="1:16" s="143" customFormat="1" ht="30" hidden="1" x14ac:dyDescent="0.25">
      <c r="A687" s="143" t="s">
        <v>716</v>
      </c>
      <c r="B687" s="143" t="s">
        <v>120</v>
      </c>
      <c r="C687" s="290" t="s">
        <v>121</v>
      </c>
      <c r="D687" s="143" t="s">
        <v>69</v>
      </c>
      <c r="E687" s="257">
        <v>1539529</v>
      </c>
      <c r="F687" s="257">
        <v>1539529</v>
      </c>
      <c r="G687" s="257">
        <v>769764</v>
      </c>
      <c r="H687" s="257">
        <v>0</v>
      </c>
      <c r="I687" s="257">
        <v>0</v>
      </c>
      <c r="J687" s="257">
        <v>0</v>
      </c>
      <c r="K687" s="257">
        <v>0</v>
      </c>
      <c r="L687" s="257">
        <v>0</v>
      </c>
      <c r="M687" s="257"/>
      <c r="N687" s="279">
        <v>1539529</v>
      </c>
      <c r="O687" s="257">
        <v>769764</v>
      </c>
    </row>
    <row r="688" spans="1:16" s="143" customFormat="1" x14ac:dyDescent="0.25">
      <c r="A688" s="296" t="s">
        <v>716</v>
      </c>
      <c r="B688" s="297" t="s">
        <v>248</v>
      </c>
      <c r="C688" s="298" t="s">
        <v>249</v>
      </c>
      <c r="D688" s="299" t="s">
        <v>69</v>
      </c>
      <c r="E688" s="257">
        <v>5048260</v>
      </c>
      <c r="F688" s="300">
        <v>5048260</v>
      </c>
      <c r="G688" s="257">
        <v>5003758</v>
      </c>
      <c r="H688" s="257">
        <v>0</v>
      </c>
      <c r="I688" s="257">
        <v>2791855</v>
      </c>
      <c r="J688" s="257">
        <v>0</v>
      </c>
      <c r="K688" s="300">
        <v>756405</v>
      </c>
      <c r="L688" s="257">
        <v>756405</v>
      </c>
      <c r="M688" s="301">
        <f>+K688/F688</f>
        <v>0.1498347945628791</v>
      </c>
      <c r="N688" s="302">
        <v>1500000</v>
      </c>
      <c r="O688" s="257">
        <v>1455498</v>
      </c>
      <c r="P688" s="303">
        <f>+N688/F688</f>
        <v>0.297132081152714</v>
      </c>
    </row>
    <row r="689" spans="1:16" s="143" customFormat="1" ht="30" hidden="1" x14ac:dyDescent="0.25">
      <c r="A689" s="143" t="s">
        <v>716</v>
      </c>
      <c r="B689" s="143" t="s">
        <v>250</v>
      </c>
      <c r="C689" s="290" t="s">
        <v>251</v>
      </c>
      <c r="D689" s="143" t="s">
        <v>69</v>
      </c>
      <c r="E689" s="257">
        <v>3548260</v>
      </c>
      <c r="F689" s="257">
        <v>3548260</v>
      </c>
      <c r="G689" s="257">
        <v>3503758</v>
      </c>
      <c r="H689" s="257">
        <v>0</v>
      </c>
      <c r="I689" s="257">
        <v>2791855</v>
      </c>
      <c r="J689" s="257">
        <v>0</v>
      </c>
      <c r="K689" s="257">
        <v>756405</v>
      </c>
      <c r="L689" s="257">
        <v>756405</v>
      </c>
      <c r="M689" s="257"/>
      <c r="N689" s="279">
        <v>0</v>
      </c>
      <c r="O689" s="275">
        <v>-44502</v>
      </c>
    </row>
    <row r="690" spans="1:16" s="143" customFormat="1" ht="90" hidden="1" x14ac:dyDescent="0.25">
      <c r="A690" s="143" t="s">
        <v>716</v>
      </c>
      <c r="B690" s="143" t="s">
        <v>635</v>
      </c>
      <c r="C690" s="290" t="s">
        <v>702</v>
      </c>
      <c r="D690" s="143" t="s">
        <v>69</v>
      </c>
      <c r="E690" s="257">
        <v>3013955</v>
      </c>
      <c r="F690" s="257">
        <v>3013955</v>
      </c>
      <c r="G690" s="257">
        <v>2976155</v>
      </c>
      <c r="H690" s="257">
        <v>0</v>
      </c>
      <c r="I690" s="257">
        <v>2375506</v>
      </c>
      <c r="J690" s="257">
        <v>0</v>
      </c>
      <c r="K690" s="257">
        <v>638449</v>
      </c>
      <c r="L690" s="257">
        <v>638449</v>
      </c>
      <c r="M690" s="257"/>
      <c r="N690" s="279">
        <v>0</v>
      </c>
      <c r="O690" s="275">
        <v>-37800</v>
      </c>
    </row>
    <row r="691" spans="1:16" s="143" customFormat="1" ht="90" hidden="1" x14ac:dyDescent="0.25">
      <c r="A691" s="143" t="s">
        <v>716</v>
      </c>
      <c r="B691" s="143" t="s">
        <v>650</v>
      </c>
      <c r="C691" s="290" t="s">
        <v>703</v>
      </c>
      <c r="D691" s="143" t="s">
        <v>69</v>
      </c>
      <c r="E691" s="257">
        <v>534305</v>
      </c>
      <c r="F691" s="257">
        <v>534305</v>
      </c>
      <c r="G691" s="257">
        <v>527603</v>
      </c>
      <c r="H691" s="257">
        <v>0</v>
      </c>
      <c r="I691" s="257">
        <v>416349</v>
      </c>
      <c r="J691" s="257">
        <v>0</v>
      </c>
      <c r="K691" s="257">
        <v>117956</v>
      </c>
      <c r="L691" s="257">
        <v>117956</v>
      </c>
      <c r="M691" s="257"/>
      <c r="N691" s="279">
        <v>0</v>
      </c>
      <c r="O691" s="275">
        <v>-6702</v>
      </c>
    </row>
    <row r="692" spans="1:16" s="143" customFormat="1" hidden="1" x14ac:dyDescent="0.25">
      <c r="A692" s="143" t="s">
        <v>716</v>
      </c>
      <c r="B692" s="143" t="s">
        <v>260</v>
      </c>
      <c r="C692" s="290" t="s">
        <v>261</v>
      </c>
      <c r="D692" s="143" t="s">
        <v>69</v>
      </c>
      <c r="E692" s="257">
        <v>1500000</v>
      </c>
      <c r="F692" s="257">
        <v>1500000</v>
      </c>
      <c r="G692" s="257">
        <v>1500000</v>
      </c>
      <c r="H692" s="257">
        <v>0</v>
      </c>
      <c r="I692" s="257">
        <v>0</v>
      </c>
      <c r="J692" s="257">
        <v>0</v>
      </c>
      <c r="K692" s="257">
        <v>0</v>
      </c>
      <c r="L692" s="257">
        <v>0</v>
      </c>
      <c r="M692" s="257"/>
      <c r="N692" s="279">
        <v>1500000</v>
      </c>
      <c r="O692" s="257">
        <v>1500000</v>
      </c>
    </row>
    <row r="693" spans="1:16" s="143" customFormat="1" hidden="1" x14ac:dyDescent="0.25">
      <c r="A693" s="143" t="s">
        <v>716</v>
      </c>
      <c r="B693" s="143" t="s">
        <v>264</v>
      </c>
      <c r="C693" s="290" t="s">
        <v>265</v>
      </c>
      <c r="D693" s="143" t="s">
        <v>69</v>
      </c>
      <c r="E693" s="257">
        <v>1500000</v>
      </c>
      <c r="F693" s="257">
        <v>1500000</v>
      </c>
      <c r="G693" s="257">
        <v>1500000</v>
      </c>
      <c r="H693" s="257">
        <v>0</v>
      </c>
      <c r="I693" s="257">
        <v>0</v>
      </c>
      <c r="J693" s="257">
        <v>0</v>
      </c>
      <c r="K693" s="257">
        <v>0</v>
      </c>
      <c r="L693" s="257">
        <v>0</v>
      </c>
      <c r="M693" s="257"/>
      <c r="N693" s="279">
        <v>1500000</v>
      </c>
      <c r="O693" s="257">
        <v>1500000</v>
      </c>
    </row>
    <row r="694" spans="1:16" s="143" customFormat="1" hidden="1" x14ac:dyDescent="0.25">
      <c r="A694" s="143">
        <v>214790</v>
      </c>
      <c r="C694" s="290"/>
      <c r="D694" s="143" t="s">
        <v>69</v>
      </c>
      <c r="E694" s="257">
        <v>1417740073</v>
      </c>
      <c r="F694" s="257">
        <v>1417740073</v>
      </c>
      <c r="G694" s="257">
        <v>1177747871.0799999</v>
      </c>
      <c r="H694" s="257">
        <v>1306200</v>
      </c>
      <c r="I694" s="257">
        <v>164032578.21000001</v>
      </c>
      <c r="J694" s="257">
        <v>612394.21</v>
      </c>
      <c r="K694" s="257">
        <v>291539142.27999997</v>
      </c>
      <c r="L694" s="257">
        <v>291381463.74000001</v>
      </c>
      <c r="M694" s="257"/>
      <c r="N694" s="279">
        <v>960249758.29999995</v>
      </c>
      <c r="O694" s="257">
        <v>720257556.38</v>
      </c>
    </row>
    <row r="695" spans="1:16" s="143" customFormat="1" x14ac:dyDescent="0.25">
      <c r="C695" s="290"/>
      <c r="E695" s="257"/>
      <c r="F695" s="292">
        <f>SUBTOTAL(9,F667:F694)</f>
        <v>23040979864</v>
      </c>
      <c r="G695" s="257"/>
      <c r="H695" s="257"/>
      <c r="I695" s="257"/>
      <c r="J695" s="257"/>
      <c r="K695" s="292">
        <f>SUBTOTAL(9,K667:K694)</f>
        <v>491333466.63999999</v>
      </c>
      <c r="L695" s="257"/>
      <c r="M695" s="293">
        <f>+K695/F695</f>
        <v>2.1324330368765083E-2</v>
      </c>
      <c r="N695" s="341">
        <f>SUBTOTAL(9,N667:N694)</f>
        <v>18778988596.91</v>
      </c>
      <c r="O695" s="257"/>
      <c r="P695" s="295">
        <f>+N695/F695</f>
        <v>0.81502560688622971</v>
      </c>
    </row>
    <row r="696" spans="1:16" s="143" customFormat="1" x14ac:dyDescent="0.25">
      <c r="C696" s="290"/>
      <c r="E696" s="257"/>
      <c r="F696" s="305"/>
      <c r="G696" s="257"/>
      <c r="H696" s="257"/>
      <c r="I696" s="257"/>
      <c r="J696" s="257"/>
      <c r="K696" s="305"/>
      <c r="L696" s="257"/>
      <c r="M696" s="306"/>
      <c r="N696" s="305"/>
      <c r="O696" s="257"/>
      <c r="P696" s="307"/>
    </row>
    <row r="697" spans="1:16" s="143" customFormat="1" ht="15.75" customHeight="1" x14ac:dyDescent="0.25">
      <c r="A697" s="621" t="s">
        <v>780</v>
      </c>
      <c r="B697" s="621"/>
      <c r="C697" s="621"/>
      <c r="E697" s="257"/>
      <c r="F697" s="305"/>
      <c r="G697" s="257"/>
      <c r="H697" s="257"/>
      <c r="I697" s="257"/>
      <c r="J697" s="257"/>
      <c r="K697" s="305"/>
      <c r="L697" s="257"/>
      <c r="M697" s="306"/>
      <c r="N697" s="305"/>
      <c r="O697" s="257"/>
      <c r="P697" s="307"/>
    </row>
    <row r="698" spans="1:16" s="143" customFormat="1" x14ac:dyDescent="0.25">
      <c r="A698" s="308"/>
      <c r="B698" s="342" t="s">
        <v>71</v>
      </c>
      <c r="C698" s="343" t="s">
        <v>72</v>
      </c>
      <c r="E698" s="257"/>
      <c r="F698" s="344">
        <f t="shared" ref="F698:L698" si="5">F259+F387+F462+F518+F565+F636+F667</f>
        <v>68608540825</v>
      </c>
      <c r="G698" s="345">
        <f t="shared" si="5"/>
        <v>62376622870</v>
      </c>
      <c r="H698" s="346">
        <f t="shared" si="5"/>
        <v>0</v>
      </c>
      <c r="I698" s="346">
        <f t="shared" si="5"/>
        <v>7471513195</v>
      </c>
      <c r="J698" s="346">
        <f t="shared" si="5"/>
        <v>0</v>
      </c>
      <c r="K698" s="344">
        <f t="shared" si="5"/>
        <v>18389614416.599998</v>
      </c>
      <c r="L698" s="345">
        <f t="shared" si="5"/>
        <v>18389614416.599998</v>
      </c>
      <c r="M698" s="347">
        <f t="shared" ref="M698:M703" si="6">+K698/F698</f>
        <v>0.26803680992875856</v>
      </c>
      <c r="N698" s="316">
        <f>N259+N387+N462+N518+N565+N636+N667</f>
        <v>42747413213.400009</v>
      </c>
      <c r="O698" s="257"/>
      <c r="P698" s="348">
        <f t="shared" ref="P698:P703" si="7">+N698/F698</f>
        <v>0.62306256188185016</v>
      </c>
    </row>
    <row r="699" spans="1:16" s="143" customFormat="1" x14ac:dyDescent="0.25">
      <c r="A699" s="308"/>
      <c r="B699" s="318" t="s">
        <v>104</v>
      </c>
      <c r="C699" s="319" t="s">
        <v>105</v>
      </c>
      <c r="E699" s="257"/>
      <c r="F699" s="344">
        <f>F279+F405+F478+F536+F583+F652+F683</f>
        <v>17917809369</v>
      </c>
      <c r="G699" s="257"/>
      <c r="H699" s="257"/>
      <c r="I699" s="257"/>
      <c r="J699" s="257"/>
      <c r="K699" s="344">
        <f>K279+K405+K478+K536+K583+K652+K683</f>
        <v>953045922.65999985</v>
      </c>
      <c r="L699" s="257"/>
      <c r="M699" s="347">
        <f t="shared" si="6"/>
        <v>5.3189868417111624E-2</v>
      </c>
      <c r="N699" s="316">
        <f>+N279+N405+N478+N536+N583+N652+N683</f>
        <v>14307405625.650002</v>
      </c>
      <c r="O699" s="257"/>
      <c r="P699" s="348">
        <f t="shared" si="7"/>
        <v>0.7985019446854682</v>
      </c>
    </row>
    <row r="700" spans="1:16" s="143" customFormat="1" x14ac:dyDescent="0.25">
      <c r="A700" s="308"/>
      <c r="B700" s="318" t="s">
        <v>184</v>
      </c>
      <c r="C700" s="319" t="s">
        <v>185</v>
      </c>
      <c r="E700" s="257"/>
      <c r="F700" s="344">
        <f>F322+F417+F486+F542+F596</f>
        <v>16774805484</v>
      </c>
      <c r="G700" s="257"/>
      <c r="H700" s="257"/>
      <c r="I700" s="257"/>
      <c r="J700" s="257"/>
      <c r="K700" s="344">
        <f>+K322+K417+K486+K542+K596</f>
        <v>2401387432.3900003</v>
      </c>
      <c r="L700" s="257"/>
      <c r="M700" s="347">
        <f t="shared" si="6"/>
        <v>0.14315441300827428</v>
      </c>
      <c r="N700" s="316">
        <f t="shared" ref="N700:N702" si="8">N261+N389+N464+N520+N567+N638+N669</f>
        <v>19143504044.639999</v>
      </c>
      <c r="O700" s="257"/>
      <c r="P700" s="348">
        <f t="shared" si="7"/>
        <v>1.1412057244359282</v>
      </c>
    </row>
    <row r="701" spans="1:16" s="143" customFormat="1" x14ac:dyDescent="0.25">
      <c r="A701" s="308"/>
      <c r="B701" s="318" t="s">
        <v>230</v>
      </c>
      <c r="C701" s="319" t="s">
        <v>231</v>
      </c>
      <c r="E701" s="257"/>
      <c r="F701" s="349">
        <f>F352+F445+F504+F553+F621</f>
        <v>2123499452</v>
      </c>
      <c r="G701" s="257"/>
      <c r="H701" s="257"/>
      <c r="I701" s="257"/>
      <c r="J701" s="257"/>
      <c r="K701" s="349">
        <f>+K352+K445+K504+K553+K621</f>
        <v>48797469.600000001</v>
      </c>
      <c r="L701" s="257"/>
      <c r="M701" s="350">
        <f t="shared" si="6"/>
        <v>2.2979742026323819E-2</v>
      </c>
      <c r="N701" s="351">
        <f t="shared" si="8"/>
        <v>3723338640.79</v>
      </c>
      <c r="O701" s="257"/>
      <c r="P701" s="352">
        <f t="shared" si="7"/>
        <v>1.7533975048984378</v>
      </c>
    </row>
    <row r="702" spans="1:16" s="143" customFormat="1" x14ac:dyDescent="0.25">
      <c r="A702" s="308"/>
      <c r="B702" s="322" t="s">
        <v>248</v>
      </c>
      <c r="C702" s="323" t="s">
        <v>249</v>
      </c>
      <c r="E702" s="257"/>
      <c r="F702" s="353">
        <f>F367+F453+F556+F627+F658+F688</f>
        <v>13472504495</v>
      </c>
      <c r="G702" s="257"/>
      <c r="H702" s="257"/>
      <c r="I702" s="257"/>
      <c r="J702" s="257"/>
      <c r="K702" s="353">
        <f>+K367+K453+K509+K556+K627+K658+K688</f>
        <v>3027086565.1300001</v>
      </c>
      <c r="L702" s="257"/>
      <c r="M702" s="354">
        <f t="shared" si="6"/>
        <v>0.22468625386270469</v>
      </c>
      <c r="N702" s="355">
        <f t="shared" si="8"/>
        <v>318314532.83999997</v>
      </c>
      <c r="O702" s="257"/>
      <c r="P702" s="356">
        <f t="shared" si="7"/>
        <v>2.3626975441584364E-2</v>
      </c>
    </row>
    <row r="703" spans="1:16" s="143" customFormat="1" x14ac:dyDescent="0.25">
      <c r="A703" s="357"/>
      <c r="C703" s="290"/>
      <c r="E703" s="257"/>
      <c r="F703" s="358">
        <f>SUBTOTAL(9,F698:F702)</f>
        <v>118897159625</v>
      </c>
      <c r="G703" s="257"/>
      <c r="H703" s="257"/>
      <c r="I703" s="257"/>
      <c r="J703" s="257"/>
      <c r="K703" s="358">
        <f>SUBTOTAL(9,K698:K702)</f>
        <v>24819931806.379997</v>
      </c>
      <c r="L703" s="257"/>
      <c r="M703" s="359">
        <f t="shared" si="6"/>
        <v>0.20875125936281169</v>
      </c>
      <c r="N703" s="360">
        <f>SUBTOTAL(9,N698:N702)</f>
        <v>80239976057.319992</v>
      </c>
      <c r="O703" s="257"/>
      <c r="P703" s="361">
        <f t="shared" si="7"/>
        <v>0.67486873791094559</v>
      </c>
    </row>
    <row r="704" spans="1:16" s="143" customFormat="1" x14ac:dyDescent="0.25">
      <c r="C704" s="290"/>
      <c r="E704" s="257"/>
      <c r="F704" s="305"/>
      <c r="G704" s="257"/>
      <c r="H704" s="257"/>
      <c r="I704" s="257"/>
      <c r="J704" s="257"/>
      <c r="K704" s="305"/>
      <c r="L704" s="257"/>
      <c r="M704" s="306"/>
      <c r="N704" s="305"/>
      <c r="O704" s="257"/>
      <c r="P704" s="307"/>
    </row>
    <row r="705" spans="1:16" s="143" customFormat="1" x14ac:dyDescent="0.25">
      <c r="C705" s="290"/>
      <c r="E705" s="257"/>
      <c r="F705" s="305"/>
      <c r="G705" s="257"/>
      <c r="H705" s="257"/>
      <c r="I705" s="257"/>
      <c r="J705" s="257"/>
      <c r="K705" s="305"/>
      <c r="L705" s="257"/>
      <c r="M705" s="306"/>
      <c r="N705" s="305"/>
      <c r="O705" s="257"/>
      <c r="P705" s="307"/>
    </row>
    <row r="706" spans="1:16" s="143" customFormat="1" x14ac:dyDescent="0.25">
      <c r="C706" s="290"/>
      <c r="E706" s="257"/>
      <c r="F706" s="305"/>
      <c r="G706" s="257"/>
      <c r="H706" s="257"/>
      <c r="I706" s="257"/>
      <c r="J706" s="257"/>
      <c r="K706" s="305"/>
      <c r="L706" s="257"/>
      <c r="M706" s="306"/>
      <c r="N706" s="305"/>
      <c r="O706" s="257"/>
      <c r="P706" s="307"/>
    </row>
    <row r="707" spans="1:16" s="143" customFormat="1" x14ac:dyDescent="0.25">
      <c r="A707" s="291"/>
      <c r="C707" s="290"/>
      <c r="E707" s="257"/>
      <c r="F707" s="257"/>
      <c r="G707" s="257"/>
      <c r="H707" s="257"/>
      <c r="I707" s="257"/>
      <c r="J707" s="257"/>
      <c r="K707" s="257"/>
      <c r="L707" s="257"/>
      <c r="M707" s="257"/>
      <c r="N707" s="257"/>
      <c r="O707" s="257"/>
    </row>
    <row r="708" spans="1:16" s="143" customFormat="1" x14ac:dyDescent="0.25">
      <c r="A708" s="280" t="s">
        <v>717</v>
      </c>
      <c r="B708" s="281" t="s">
        <v>71</v>
      </c>
      <c r="C708" s="282" t="s">
        <v>72</v>
      </c>
      <c r="D708" s="283" t="s">
        <v>69</v>
      </c>
      <c r="E708" s="257">
        <v>1125132721</v>
      </c>
      <c r="F708" s="284">
        <v>1125132721</v>
      </c>
      <c r="G708" s="257">
        <v>1089706735</v>
      </c>
      <c r="H708" s="257">
        <v>0</v>
      </c>
      <c r="I708" s="257">
        <v>126657285</v>
      </c>
      <c r="J708" s="257">
        <v>0</v>
      </c>
      <c r="K708" s="284">
        <v>276670844.50999999</v>
      </c>
      <c r="L708" s="257">
        <v>276670844.50999999</v>
      </c>
      <c r="M708" s="285">
        <f>+K708/F708</f>
        <v>0.24590062962892001</v>
      </c>
      <c r="N708" s="286">
        <v>721804591.49000001</v>
      </c>
      <c r="O708" s="257">
        <v>686378605.49000001</v>
      </c>
      <c r="P708" s="287">
        <f>+N708/F708</f>
        <v>0.64152839751071467</v>
      </c>
    </row>
    <row r="709" spans="1:16" s="143" customFormat="1" hidden="1" x14ac:dyDescent="0.25">
      <c r="A709" s="143" t="s">
        <v>717</v>
      </c>
      <c r="B709" s="143" t="s">
        <v>73</v>
      </c>
      <c r="C709" s="290" t="s">
        <v>74</v>
      </c>
      <c r="D709" s="143" t="s">
        <v>69</v>
      </c>
      <c r="E709" s="257">
        <v>456307400</v>
      </c>
      <c r="F709" s="257">
        <v>456307400</v>
      </c>
      <c r="G709" s="257">
        <v>441766100</v>
      </c>
      <c r="H709" s="257">
        <v>0</v>
      </c>
      <c r="I709" s="257">
        <v>0</v>
      </c>
      <c r="J709" s="257">
        <v>0</v>
      </c>
      <c r="K709" s="257">
        <v>103105141.89</v>
      </c>
      <c r="L709" s="257">
        <v>103105141.89</v>
      </c>
      <c r="M709" s="288">
        <f>K709/F709*100</f>
        <v>22.595544558339402</v>
      </c>
      <c r="N709" s="257">
        <v>353202258.11000001</v>
      </c>
      <c r="O709" s="257">
        <v>338660958.11000001</v>
      </c>
      <c r="P709" s="289">
        <f>N709/F709*100</f>
        <v>77.404455441660602</v>
      </c>
    </row>
    <row r="710" spans="1:16" s="143" customFormat="1" hidden="1" x14ac:dyDescent="0.25">
      <c r="A710" s="143" t="s">
        <v>717</v>
      </c>
      <c r="B710" s="143" t="s">
        <v>75</v>
      </c>
      <c r="C710" s="290" t="s">
        <v>76</v>
      </c>
      <c r="D710" s="143" t="s">
        <v>69</v>
      </c>
      <c r="E710" s="257">
        <v>456307400</v>
      </c>
      <c r="F710" s="257">
        <v>456307400</v>
      </c>
      <c r="G710" s="257">
        <v>441766100</v>
      </c>
      <c r="H710" s="257">
        <v>0</v>
      </c>
      <c r="I710" s="257">
        <v>0</v>
      </c>
      <c r="J710" s="257">
        <v>0</v>
      </c>
      <c r="K710" s="257">
        <v>103105141.89</v>
      </c>
      <c r="L710" s="257">
        <v>103105141.89</v>
      </c>
      <c r="M710" s="257"/>
      <c r="N710" s="279">
        <v>353202258.11000001</v>
      </c>
      <c r="O710" s="257">
        <v>338660958.11000001</v>
      </c>
    </row>
    <row r="711" spans="1:16" s="143" customFormat="1" hidden="1" x14ac:dyDescent="0.25">
      <c r="A711" s="143" t="s">
        <v>717</v>
      </c>
      <c r="B711" s="143" t="s">
        <v>77</v>
      </c>
      <c r="C711" s="290" t="s">
        <v>78</v>
      </c>
      <c r="D711" s="143" t="s">
        <v>69</v>
      </c>
      <c r="E711" s="257">
        <v>497190642</v>
      </c>
      <c r="F711" s="257">
        <v>497190642</v>
      </c>
      <c r="G711" s="257">
        <v>481710060</v>
      </c>
      <c r="H711" s="257">
        <v>0</v>
      </c>
      <c r="I711" s="257">
        <v>0</v>
      </c>
      <c r="J711" s="257">
        <v>0</v>
      </c>
      <c r="K711" s="257">
        <v>128588308.62</v>
      </c>
      <c r="L711" s="257">
        <v>128588308.62</v>
      </c>
      <c r="M711" s="288">
        <f>K711/F711*100</f>
        <v>25.86297845485193</v>
      </c>
      <c r="N711" s="257">
        <v>368602333.38</v>
      </c>
      <c r="O711" s="257">
        <v>353121751.38</v>
      </c>
      <c r="P711" s="289">
        <f>N711/F711*100</f>
        <v>74.137021545148059</v>
      </c>
    </row>
    <row r="712" spans="1:16" s="143" customFormat="1" ht="30" hidden="1" x14ac:dyDescent="0.25">
      <c r="A712" s="143" t="s">
        <v>717</v>
      </c>
      <c r="B712" s="143" t="s">
        <v>79</v>
      </c>
      <c r="C712" s="290" t="s">
        <v>80</v>
      </c>
      <c r="D712" s="143" t="s">
        <v>69</v>
      </c>
      <c r="E712" s="257">
        <v>91313600</v>
      </c>
      <c r="F712" s="257">
        <v>91313600</v>
      </c>
      <c r="G712" s="257">
        <v>84507129</v>
      </c>
      <c r="H712" s="257">
        <v>0</v>
      </c>
      <c r="I712" s="257">
        <v>0</v>
      </c>
      <c r="J712" s="257">
        <v>0</v>
      </c>
      <c r="K712" s="257">
        <v>20951398.379999999</v>
      </c>
      <c r="L712" s="257">
        <v>20951398.379999999</v>
      </c>
      <c r="M712" s="257"/>
      <c r="N712" s="279">
        <v>70362201.620000005</v>
      </c>
      <c r="O712" s="257">
        <v>63555730.619999997</v>
      </c>
    </row>
    <row r="713" spans="1:16" s="143" customFormat="1" ht="30" hidden="1" x14ac:dyDescent="0.25">
      <c r="A713" s="143" t="s">
        <v>717</v>
      </c>
      <c r="B713" s="143" t="s">
        <v>81</v>
      </c>
      <c r="C713" s="290" t="s">
        <v>82</v>
      </c>
      <c r="D713" s="143" t="s">
        <v>69</v>
      </c>
      <c r="E713" s="257">
        <v>214869984</v>
      </c>
      <c r="F713" s="257">
        <v>214869984</v>
      </c>
      <c r="G713" s="257">
        <v>209049915</v>
      </c>
      <c r="H713" s="257">
        <v>0</v>
      </c>
      <c r="I713" s="257">
        <v>0</v>
      </c>
      <c r="J713" s="257">
        <v>0</v>
      </c>
      <c r="K713" s="257">
        <v>47557841.850000001</v>
      </c>
      <c r="L713" s="257">
        <v>47557841.850000001</v>
      </c>
      <c r="M713" s="257"/>
      <c r="N713" s="279">
        <v>167312142.15000001</v>
      </c>
      <c r="O713" s="257">
        <v>161492073.15000001</v>
      </c>
    </row>
    <row r="714" spans="1:16" s="143" customFormat="1" hidden="1" x14ac:dyDescent="0.25">
      <c r="A714" s="143" t="s">
        <v>717</v>
      </c>
      <c r="B714" s="143" t="s">
        <v>83</v>
      </c>
      <c r="C714" s="290" t="s">
        <v>84</v>
      </c>
      <c r="D714" s="143" t="s">
        <v>85</v>
      </c>
      <c r="E714" s="257">
        <v>73318858</v>
      </c>
      <c r="F714" s="257">
        <v>73318858</v>
      </c>
      <c r="G714" s="257">
        <v>71010336</v>
      </c>
      <c r="H714" s="257">
        <v>0</v>
      </c>
      <c r="I714" s="257">
        <v>0</v>
      </c>
      <c r="J714" s="257">
        <v>0</v>
      </c>
      <c r="K714" s="257">
        <v>33397.65</v>
      </c>
      <c r="L714" s="257">
        <v>33397.65</v>
      </c>
      <c r="M714" s="257"/>
      <c r="N714" s="279">
        <v>73285460.349999994</v>
      </c>
      <c r="O714" s="257">
        <v>70976938.349999994</v>
      </c>
    </row>
    <row r="715" spans="1:16" s="143" customFormat="1" hidden="1" x14ac:dyDescent="0.25">
      <c r="A715" s="143" t="s">
        <v>717</v>
      </c>
      <c r="B715" s="143" t="s">
        <v>86</v>
      </c>
      <c r="C715" s="290" t="s">
        <v>87</v>
      </c>
      <c r="D715" s="143" t="s">
        <v>69</v>
      </c>
      <c r="E715" s="257">
        <v>67452900</v>
      </c>
      <c r="F715" s="257">
        <v>67452900</v>
      </c>
      <c r="G715" s="257">
        <v>67452900</v>
      </c>
      <c r="H715" s="257">
        <v>0</v>
      </c>
      <c r="I715" s="257">
        <v>0</v>
      </c>
      <c r="J715" s="257">
        <v>0</v>
      </c>
      <c r="K715" s="257">
        <v>49770797.770000003</v>
      </c>
      <c r="L715" s="257">
        <v>49770797.770000003</v>
      </c>
      <c r="M715" s="257"/>
      <c r="N715" s="279">
        <v>17682102.23</v>
      </c>
      <c r="O715" s="257">
        <v>17682102.23</v>
      </c>
    </row>
    <row r="716" spans="1:16" s="143" customFormat="1" ht="30" hidden="1" x14ac:dyDescent="0.25">
      <c r="A716" s="143" t="s">
        <v>717</v>
      </c>
      <c r="B716" s="143" t="s">
        <v>88</v>
      </c>
      <c r="C716" s="290" t="s">
        <v>89</v>
      </c>
      <c r="D716" s="143" t="s">
        <v>69</v>
      </c>
      <c r="E716" s="257">
        <v>50235300</v>
      </c>
      <c r="F716" s="257">
        <v>50235300</v>
      </c>
      <c r="G716" s="257">
        <v>49689780</v>
      </c>
      <c r="H716" s="257">
        <v>0</v>
      </c>
      <c r="I716" s="257">
        <v>0</v>
      </c>
      <c r="J716" s="257">
        <v>0</v>
      </c>
      <c r="K716" s="257">
        <v>10274872.970000001</v>
      </c>
      <c r="L716" s="257">
        <v>10274872.970000001</v>
      </c>
      <c r="M716" s="257"/>
      <c r="N716" s="279">
        <v>39960427.030000001</v>
      </c>
      <c r="O716" s="257">
        <v>39414907.030000001</v>
      </c>
    </row>
    <row r="717" spans="1:16" s="143" customFormat="1" ht="30" hidden="1" x14ac:dyDescent="0.25">
      <c r="A717" s="143" t="s">
        <v>717</v>
      </c>
      <c r="B717" s="143" t="s">
        <v>90</v>
      </c>
      <c r="C717" s="290" t="s">
        <v>91</v>
      </c>
      <c r="D717" s="143" t="s">
        <v>69</v>
      </c>
      <c r="E717" s="257">
        <v>85817390</v>
      </c>
      <c r="F717" s="257">
        <v>85817390</v>
      </c>
      <c r="G717" s="257">
        <v>83115337</v>
      </c>
      <c r="H717" s="257">
        <v>0</v>
      </c>
      <c r="I717" s="257">
        <v>63236246</v>
      </c>
      <c r="J717" s="257">
        <v>0</v>
      </c>
      <c r="K717" s="257">
        <v>22581144</v>
      </c>
      <c r="L717" s="257">
        <v>22581144</v>
      </c>
      <c r="M717" s="288">
        <f>K717/F717*100</f>
        <v>26.313016510989208</v>
      </c>
      <c r="N717" s="257">
        <v>0</v>
      </c>
      <c r="O717" s="275">
        <v>-2702053</v>
      </c>
      <c r="P717" s="289">
        <f>N717/F717*100</f>
        <v>0</v>
      </c>
    </row>
    <row r="718" spans="1:16" s="143" customFormat="1" ht="90" hidden="1" x14ac:dyDescent="0.25">
      <c r="A718" s="143" t="s">
        <v>717</v>
      </c>
      <c r="B718" s="143" t="s">
        <v>427</v>
      </c>
      <c r="C718" s="290" t="s">
        <v>697</v>
      </c>
      <c r="D718" s="143" t="s">
        <v>69</v>
      </c>
      <c r="E718" s="257">
        <v>81416555</v>
      </c>
      <c r="F718" s="257">
        <v>81416555</v>
      </c>
      <c r="G718" s="257">
        <v>78853069</v>
      </c>
      <c r="H718" s="257">
        <v>0</v>
      </c>
      <c r="I718" s="257">
        <v>59993430</v>
      </c>
      <c r="J718" s="257">
        <v>0</v>
      </c>
      <c r="K718" s="257">
        <v>21423125</v>
      </c>
      <c r="L718" s="257">
        <v>21423125</v>
      </c>
      <c r="M718" s="257"/>
      <c r="N718" s="279">
        <v>0</v>
      </c>
      <c r="O718" s="275">
        <v>-2563486</v>
      </c>
    </row>
    <row r="719" spans="1:16" s="143" customFormat="1" ht="75" hidden="1" x14ac:dyDescent="0.25">
      <c r="A719" s="143" t="s">
        <v>717</v>
      </c>
      <c r="B719" s="143" t="s">
        <v>444</v>
      </c>
      <c r="C719" s="290" t="s">
        <v>95</v>
      </c>
      <c r="D719" s="143" t="s">
        <v>69</v>
      </c>
      <c r="E719" s="257">
        <v>4400835</v>
      </c>
      <c r="F719" s="257">
        <v>4400835</v>
      </c>
      <c r="G719" s="257">
        <v>4262268</v>
      </c>
      <c r="H719" s="257">
        <v>0</v>
      </c>
      <c r="I719" s="257">
        <v>3242816</v>
      </c>
      <c r="J719" s="257">
        <v>0</v>
      </c>
      <c r="K719" s="257">
        <v>1158019</v>
      </c>
      <c r="L719" s="257">
        <v>1158019</v>
      </c>
      <c r="M719" s="257"/>
      <c r="N719" s="279">
        <v>0</v>
      </c>
      <c r="O719" s="275">
        <v>-138567</v>
      </c>
    </row>
    <row r="720" spans="1:16" s="143" customFormat="1" ht="30" hidden="1" x14ac:dyDescent="0.25">
      <c r="A720" s="143" t="s">
        <v>717</v>
      </c>
      <c r="B720" s="143" t="s">
        <v>96</v>
      </c>
      <c r="C720" s="290" t="s">
        <v>97</v>
      </c>
      <c r="D720" s="143" t="s">
        <v>69</v>
      </c>
      <c r="E720" s="257">
        <v>85817289</v>
      </c>
      <c r="F720" s="257">
        <v>85817289</v>
      </c>
      <c r="G720" s="257">
        <v>83115238</v>
      </c>
      <c r="H720" s="257">
        <v>0</v>
      </c>
      <c r="I720" s="257">
        <v>63421039</v>
      </c>
      <c r="J720" s="257">
        <v>0</v>
      </c>
      <c r="K720" s="257">
        <v>22396250</v>
      </c>
      <c r="L720" s="257">
        <v>22396250</v>
      </c>
      <c r="M720" s="288">
        <f>K720/F720*100</f>
        <v>26.097596720865884</v>
      </c>
      <c r="N720" s="257">
        <v>0</v>
      </c>
      <c r="O720" s="275">
        <v>-2702051</v>
      </c>
      <c r="P720" s="289">
        <f>N720/F720*100</f>
        <v>0</v>
      </c>
    </row>
    <row r="721" spans="1:16" s="143" customFormat="1" ht="90" hidden="1" x14ac:dyDescent="0.25">
      <c r="A721" s="143" t="s">
        <v>717</v>
      </c>
      <c r="B721" s="143" t="s">
        <v>462</v>
      </c>
      <c r="C721" s="290" t="s">
        <v>698</v>
      </c>
      <c r="D721" s="143" t="s">
        <v>69</v>
      </c>
      <c r="E721" s="257">
        <v>46209371</v>
      </c>
      <c r="F721" s="257">
        <v>46209371</v>
      </c>
      <c r="G721" s="257">
        <v>44754420</v>
      </c>
      <c r="H721" s="257">
        <v>0</v>
      </c>
      <c r="I721" s="257">
        <v>34235176</v>
      </c>
      <c r="J721" s="257">
        <v>0</v>
      </c>
      <c r="K721" s="257">
        <v>11974195</v>
      </c>
      <c r="L721" s="257">
        <v>11974195</v>
      </c>
      <c r="M721" s="257"/>
      <c r="N721" s="279">
        <v>0</v>
      </c>
      <c r="O721" s="275">
        <v>-1454951</v>
      </c>
    </row>
    <row r="722" spans="1:16" s="143" customFormat="1" ht="90" hidden="1" x14ac:dyDescent="0.25">
      <c r="A722" s="143" t="s">
        <v>717</v>
      </c>
      <c r="B722" s="143" t="s">
        <v>479</v>
      </c>
      <c r="C722" s="290" t="s">
        <v>699</v>
      </c>
      <c r="D722" s="143" t="s">
        <v>69</v>
      </c>
      <c r="E722" s="257">
        <v>13202606</v>
      </c>
      <c r="F722" s="257">
        <v>13202606</v>
      </c>
      <c r="G722" s="257">
        <v>12786906</v>
      </c>
      <c r="H722" s="257">
        <v>0</v>
      </c>
      <c r="I722" s="257">
        <v>9728592</v>
      </c>
      <c r="J722" s="257">
        <v>0</v>
      </c>
      <c r="K722" s="257">
        <v>3474014</v>
      </c>
      <c r="L722" s="257">
        <v>3474014</v>
      </c>
      <c r="M722" s="257"/>
      <c r="N722" s="279">
        <v>0</v>
      </c>
      <c r="O722" s="275">
        <v>-415700</v>
      </c>
    </row>
    <row r="723" spans="1:16" s="143" customFormat="1" ht="90" hidden="1" x14ac:dyDescent="0.25">
      <c r="A723" s="143" t="s">
        <v>717</v>
      </c>
      <c r="B723" s="143" t="s">
        <v>496</v>
      </c>
      <c r="C723" s="290" t="s">
        <v>700</v>
      </c>
      <c r="D723" s="143" t="s">
        <v>69</v>
      </c>
      <c r="E723" s="257">
        <v>26405312</v>
      </c>
      <c r="F723" s="257">
        <v>26405312</v>
      </c>
      <c r="G723" s="257">
        <v>25573912</v>
      </c>
      <c r="H723" s="257">
        <v>0</v>
      </c>
      <c r="I723" s="257">
        <v>19457271</v>
      </c>
      <c r="J723" s="257">
        <v>0</v>
      </c>
      <c r="K723" s="257">
        <v>6948041</v>
      </c>
      <c r="L723" s="257">
        <v>6948041</v>
      </c>
      <c r="M723" s="257"/>
      <c r="N723" s="279">
        <v>0</v>
      </c>
      <c r="O723" s="275">
        <v>-831400</v>
      </c>
    </row>
    <row r="724" spans="1:16" s="143" customFormat="1" x14ac:dyDescent="0.25">
      <c r="A724" s="280" t="s">
        <v>717</v>
      </c>
      <c r="B724" s="281" t="s">
        <v>104</v>
      </c>
      <c r="C724" s="282" t="s">
        <v>105</v>
      </c>
      <c r="D724" s="283" t="s">
        <v>69</v>
      </c>
      <c r="E724" s="257">
        <v>143937951</v>
      </c>
      <c r="F724" s="284">
        <v>143937951</v>
      </c>
      <c r="G724" s="257">
        <v>50910556</v>
      </c>
      <c r="H724" s="257">
        <v>924000</v>
      </c>
      <c r="I724" s="257">
        <v>22269676.52</v>
      </c>
      <c r="J724" s="257">
        <v>612394.21</v>
      </c>
      <c r="K724" s="284">
        <v>3633295.99</v>
      </c>
      <c r="L724" s="257">
        <v>3475617.45</v>
      </c>
      <c r="M724" s="285">
        <f>+K724/F724</f>
        <v>2.5242098868004589E-2</v>
      </c>
      <c r="N724" s="286">
        <v>116498584.28</v>
      </c>
      <c r="O724" s="257">
        <v>23471189.280000001</v>
      </c>
      <c r="P724" s="287">
        <f>+N724/F724</f>
        <v>0.80936669912718151</v>
      </c>
    </row>
    <row r="725" spans="1:16" s="143" customFormat="1" hidden="1" x14ac:dyDescent="0.25">
      <c r="A725" s="143" t="s">
        <v>717</v>
      </c>
      <c r="B725" s="143" t="s">
        <v>106</v>
      </c>
      <c r="C725" s="290" t="s">
        <v>107</v>
      </c>
      <c r="D725" s="143" t="s">
        <v>69</v>
      </c>
      <c r="E725" s="257">
        <v>60469231</v>
      </c>
      <c r="F725" s="257">
        <v>60315823</v>
      </c>
      <c r="G725" s="257">
        <v>21882467</v>
      </c>
      <c r="H725" s="257">
        <v>0</v>
      </c>
      <c r="I725" s="257">
        <v>7206901.2599999998</v>
      </c>
      <c r="J725" s="257">
        <v>288394.21000000002</v>
      </c>
      <c r="K725" s="257">
        <v>533670.32999999996</v>
      </c>
      <c r="L725" s="257">
        <v>383991.79</v>
      </c>
      <c r="M725" s="257"/>
      <c r="N725" s="279">
        <v>52286857.200000003</v>
      </c>
      <c r="O725" s="257">
        <v>13853501.199999999</v>
      </c>
    </row>
    <row r="726" spans="1:16" s="143" customFormat="1" ht="30" hidden="1" x14ac:dyDescent="0.25">
      <c r="A726" s="143" t="s">
        <v>717</v>
      </c>
      <c r="B726" s="143" t="s">
        <v>108</v>
      </c>
      <c r="C726" s="290" t="s">
        <v>109</v>
      </c>
      <c r="D726" s="143" t="s">
        <v>69</v>
      </c>
      <c r="E726" s="257">
        <v>60469231</v>
      </c>
      <c r="F726" s="257">
        <v>60315823</v>
      </c>
      <c r="G726" s="257">
        <v>21882467</v>
      </c>
      <c r="H726" s="257">
        <v>0</v>
      </c>
      <c r="I726" s="257">
        <v>7206901.2599999998</v>
      </c>
      <c r="J726" s="257">
        <v>288394.21000000002</v>
      </c>
      <c r="K726" s="257">
        <v>533670.32999999996</v>
      </c>
      <c r="L726" s="257">
        <v>383991.79</v>
      </c>
      <c r="M726" s="257"/>
      <c r="N726" s="279">
        <v>52286857.200000003</v>
      </c>
      <c r="O726" s="257">
        <v>13853501.199999999</v>
      </c>
    </row>
    <row r="727" spans="1:16" s="143" customFormat="1" hidden="1" x14ac:dyDescent="0.25">
      <c r="A727" s="143" t="s">
        <v>717</v>
      </c>
      <c r="B727" s="143" t="s">
        <v>112</v>
      </c>
      <c r="C727" s="290" t="s">
        <v>113</v>
      </c>
      <c r="D727" s="143" t="s">
        <v>69</v>
      </c>
      <c r="E727" s="257">
        <v>12862800</v>
      </c>
      <c r="F727" s="257">
        <v>13016208</v>
      </c>
      <c r="G727" s="257">
        <v>7171108</v>
      </c>
      <c r="H727" s="257">
        <v>0</v>
      </c>
      <c r="I727" s="257">
        <v>1910875.06</v>
      </c>
      <c r="J727" s="257">
        <v>0</v>
      </c>
      <c r="K727" s="257">
        <v>1513090.66</v>
      </c>
      <c r="L727" s="257">
        <v>1513090.66</v>
      </c>
      <c r="M727" s="257"/>
      <c r="N727" s="279">
        <v>9592242.2799999993</v>
      </c>
      <c r="O727" s="257">
        <v>3747142.28</v>
      </c>
    </row>
    <row r="728" spans="1:16" s="143" customFormat="1" ht="30" hidden="1" x14ac:dyDescent="0.25">
      <c r="A728" s="143" t="s">
        <v>717</v>
      </c>
      <c r="B728" s="143" t="s">
        <v>114</v>
      </c>
      <c r="C728" s="290" t="s">
        <v>115</v>
      </c>
      <c r="D728" s="143" t="s">
        <v>69</v>
      </c>
      <c r="E728" s="257">
        <v>0</v>
      </c>
      <c r="F728" s="257">
        <v>153408</v>
      </c>
      <c r="G728" s="257">
        <v>153408</v>
      </c>
      <c r="H728" s="257">
        <v>0</v>
      </c>
      <c r="I728" s="257">
        <v>153408</v>
      </c>
      <c r="J728" s="257">
        <v>0</v>
      </c>
      <c r="K728" s="257">
        <v>0</v>
      </c>
      <c r="L728" s="257">
        <v>0</v>
      </c>
      <c r="M728" s="257"/>
      <c r="N728" s="279">
        <v>0</v>
      </c>
      <c r="O728" s="257">
        <v>0</v>
      </c>
    </row>
    <row r="729" spans="1:16" s="143" customFormat="1" ht="30" hidden="1" x14ac:dyDescent="0.25">
      <c r="A729" s="143" t="s">
        <v>717</v>
      </c>
      <c r="B729" s="143" t="s">
        <v>116</v>
      </c>
      <c r="C729" s="290" t="s">
        <v>117</v>
      </c>
      <c r="D729" s="143" t="s">
        <v>69</v>
      </c>
      <c r="E729" s="257">
        <v>500000</v>
      </c>
      <c r="F729" s="257">
        <v>500000</v>
      </c>
      <c r="G729" s="257">
        <v>427000</v>
      </c>
      <c r="H729" s="257">
        <v>0</v>
      </c>
      <c r="I729" s="257">
        <v>31590</v>
      </c>
      <c r="J729" s="257">
        <v>0</v>
      </c>
      <c r="K729" s="257">
        <v>311142</v>
      </c>
      <c r="L729" s="257">
        <v>311142</v>
      </c>
      <c r="M729" s="257"/>
      <c r="N729" s="279">
        <v>157268</v>
      </c>
      <c r="O729" s="257">
        <v>84268</v>
      </c>
    </row>
    <row r="730" spans="1:16" s="143" customFormat="1" ht="30" hidden="1" x14ac:dyDescent="0.25">
      <c r="A730" s="143" t="s">
        <v>717</v>
      </c>
      <c r="B730" s="143" t="s">
        <v>120</v>
      </c>
      <c r="C730" s="290" t="s">
        <v>121</v>
      </c>
      <c r="D730" s="143" t="s">
        <v>69</v>
      </c>
      <c r="E730" s="257">
        <v>12362800</v>
      </c>
      <c r="F730" s="257">
        <v>12362800</v>
      </c>
      <c r="G730" s="257">
        <v>6590700</v>
      </c>
      <c r="H730" s="257">
        <v>0</v>
      </c>
      <c r="I730" s="257">
        <v>1725877.06</v>
      </c>
      <c r="J730" s="257">
        <v>0</v>
      </c>
      <c r="K730" s="257">
        <v>1201948.6599999999</v>
      </c>
      <c r="L730" s="257">
        <v>1201948.6599999999</v>
      </c>
      <c r="M730" s="257"/>
      <c r="N730" s="279">
        <v>9434974.2799999993</v>
      </c>
      <c r="O730" s="257">
        <v>3662874.28</v>
      </c>
    </row>
    <row r="731" spans="1:16" s="143" customFormat="1" ht="30" hidden="1" x14ac:dyDescent="0.25">
      <c r="A731" s="143" t="s">
        <v>717</v>
      </c>
      <c r="B731" s="143" t="s">
        <v>124</v>
      </c>
      <c r="C731" s="290" t="s">
        <v>125</v>
      </c>
      <c r="D731" s="143" t="s">
        <v>69</v>
      </c>
      <c r="E731" s="257">
        <v>4286000</v>
      </c>
      <c r="F731" s="257">
        <v>4286000</v>
      </c>
      <c r="G731" s="257">
        <v>1037500</v>
      </c>
      <c r="H731" s="257">
        <v>924000</v>
      </c>
      <c r="I731" s="257">
        <v>78600</v>
      </c>
      <c r="J731" s="257">
        <v>0</v>
      </c>
      <c r="K731" s="257">
        <v>0</v>
      </c>
      <c r="L731" s="257">
        <v>0</v>
      </c>
      <c r="M731" s="257"/>
      <c r="N731" s="279">
        <v>3283400</v>
      </c>
      <c r="O731" s="257">
        <v>34900</v>
      </c>
    </row>
    <row r="732" spans="1:16" s="143" customFormat="1" hidden="1" x14ac:dyDescent="0.25">
      <c r="A732" s="143" t="s">
        <v>717</v>
      </c>
      <c r="B732" s="143" t="s">
        <v>126</v>
      </c>
      <c r="C732" s="290" t="s">
        <v>127</v>
      </c>
      <c r="D732" s="143" t="s">
        <v>69</v>
      </c>
      <c r="E732" s="257">
        <v>450000</v>
      </c>
      <c r="F732" s="257">
        <v>450000</v>
      </c>
      <c r="G732" s="257">
        <v>112500</v>
      </c>
      <c r="H732" s="257">
        <v>0</v>
      </c>
      <c r="I732" s="257">
        <v>78600</v>
      </c>
      <c r="J732" s="257">
        <v>0</v>
      </c>
      <c r="K732" s="257">
        <v>0</v>
      </c>
      <c r="L732" s="257">
        <v>0</v>
      </c>
      <c r="M732" s="257"/>
      <c r="N732" s="279">
        <v>371400</v>
      </c>
      <c r="O732" s="257">
        <v>33900</v>
      </c>
    </row>
    <row r="733" spans="1:16" s="143" customFormat="1" hidden="1" x14ac:dyDescent="0.25">
      <c r="A733" s="143" t="s">
        <v>717</v>
      </c>
      <c r="B733" s="143" t="s">
        <v>532</v>
      </c>
      <c r="C733" s="290" t="s">
        <v>718</v>
      </c>
      <c r="D733" s="143" t="s">
        <v>69</v>
      </c>
      <c r="E733" s="257">
        <v>1336000</v>
      </c>
      <c r="F733" s="257">
        <v>1336000</v>
      </c>
      <c r="G733" s="257">
        <v>0</v>
      </c>
      <c r="H733" s="257">
        <v>0</v>
      </c>
      <c r="I733" s="257">
        <v>0</v>
      </c>
      <c r="J733" s="257">
        <v>0</v>
      </c>
      <c r="K733" s="257">
        <v>0</v>
      </c>
      <c r="L733" s="257">
        <v>0</v>
      </c>
      <c r="M733" s="257"/>
      <c r="N733" s="279">
        <v>1336000</v>
      </c>
      <c r="O733" s="257">
        <v>0</v>
      </c>
    </row>
    <row r="734" spans="1:16" s="143" customFormat="1" ht="30" hidden="1" x14ac:dyDescent="0.25">
      <c r="A734" s="143" t="s">
        <v>717</v>
      </c>
      <c r="B734" s="143" t="s">
        <v>128</v>
      </c>
      <c r="C734" s="290" t="s">
        <v>129</v>
      </c>
      <c r="D734" s="143" t="s">
        <v>69</v>
      </c>
      <c r="E734" s="257">
        <v>2500000</v>
      </c>
      <c r="F734" s="257">
        <v>2500000</v>
      </c>
      <c r="G734" s="257">
        <v>925000</v>
      </c>
      <c r="H734" s="257">
        <v>924000</v>
      </c>
      <c r="I734" s="257">
        <v>0</v>
      </c>
      <c r="J734" s="257">
        <v>0</v>
      </c>
      <c r="K734" s="257">
        <v>0</v>
      </c>
      <c r="L734" s="257">
        <v>0</v>
      </c>
      <c r="M734" s="257"/>
      <c r="N734" s="279">
        <v>1576000</v>
      </c>
      <c r="O734" s="257">
        <v>1000</v>
      </c>
    </row>
    <row r="735" spans="1:16" s="143" customFormat="1" ht="30" hidden="1" x14ac:dyDescent="0.25">
      <c r="A735" s="143" t="s">
        <v>717</v>
      </c>
      <c r="B735" s="143" t="s">
        <v>134</v>
      </c>
      <c r="C735" s="290" t="s">
        <v>135</v>
      </c>
      <c r="D735" s="143" t="s">
        <v>69</v>
      </c>
      <c r="E735" s="257">
        <v>3625200</v>
      </c>
      <c r="F735" s="257">
        <v>3625200</v>
      </c>
      <c r="G735" s="257">
        <v>66300</v>
      </c>
      <c r="H735" s="257">
        <v>0</v>
      </c>
      <c r="I735" s="257">
        <v>0</v>
      </c>
      <c r="J735" s="257">
        <v>0</v>
      </c>
      <c r="K735" s="257">
        <v>0</v>
      </c>
      <c r="L735" s="257">
        <v>0</v>
      </c>
      <c r="M735" s="257"/>
      <c r="N735" s="279">
        <v>3625200</v>
      </c>
      <c r="O735" s="257">
        <v>66300</v>
      </c>
    </row>
    <row r="736" spans="1:16" s="143" customFormat="1" ht="30" hidden="1" x14ac:dyDescent="0.25">
      <c r="A736" s="143" t="s">
        <v>717</v>
      </c>
      <c r="B736" s="143" t="s">
        <v>138</v>
      </c>
      <c r="C736" s="290" t="s">
        <v>139</v>
      </c>
      <c r="D736" s="143" t="s">
        <v>69</v>
      </c>
      <c r="E736" s="257">
        <v>3625200</v>
      </c>
      <c r="F736" s="257">
        <v>3625200</v>
      </c>
      <c r="G736" s="257">
        <v>66300</v>
      </c>
      <c r="H736" s="257">
        <v>0</v>
      </c>
      <c r="I736" s="257">
        <v>0</v>
      </c>
      <c r="J736" s="257">
        <v>0</v>
      </c>
      <c r="K736" s="257">
        <v>0</v>
      </c>
      <c r="L736" s="257">
        <v>0</v>
      </c>
      <c r="M736" s="257"/>
      <c r="N736" s="279">
        <v>3625200</v>
      </c>
      <c r="O736" s="257">
        <v>66300</v>
      </c>
    </row>
    <row r="737" spans="1:16" s="143" customFormat="1" ht="30" hidden="1" x14ac:dyDescent="0.25">
      <c r="A737" s="143" t="s">
        <v>717</v>
      </c>
      <c r="B737" s="143" t="s">
        <v>140</v>
      </c>
      <c r="C737" s="290" t="s">
        <v>141</v>
      </c>
      <c r="D737" s="143" t="s">
        <v>69</v>
      </c>
      <c r="E737" s="257">
        <v>18004720</v>
      </c>
      <c r="F737" s="257">
        <v>18004720</v>
      </c>
      <c r="G737" s="257">
        <v>4451180</v>
      </c>
      <c r="H737" s="257">
        <v>0</v>
      </c>
      <c r="I737" s="257">
        <v>2470570</v>
      </c>
      <c r="J737" s="257">
        <v>0</v>
      </c>
      <c r="K737" s="257">
        <v>1540450</v>
      </c>
      <c r="L737" s="257">
        <v>1532450</v>
      </c>
      <c r="M737" s="257"/>
      <c r="N737" s="279">
        <v>13993700</v>
      </c>
      <c r="O737" s="257">
        <v>440160</v>
      </c>
    </row>
    <row r="738" spans="1:16" s="143" customFormat="1" hidden="1" x14ac:dyDescent="0.25">
      <c r="A738" s="143" t="s">
        <v>717</v>
      </c>
      <c r="B738" s="143" t="s">
        <v>142</v>
      </c>
      <c r="C738" s="290" t="s">
        <v>143</v>
      </c>
      <c r="D738" s="143" t="s">
        <v>69</v>
      </c>
      <c r="E738" s="257">
        <v>1560220</v>
      </c>
      <c r="F738" s="257">
        <v>1560220</v>
      </c>
      <c r="G738" s="257">
        <v>340055</v>
      </c>
      <c r="H738" s="257">
        <v>0</v>
      </c>
      <c r="I738" s="257">
        <v>155670</v>
      </c>
      <c r="J738" s="257">
        <v>0</v>
      </c>
      <c r="K738" s="257">
        <v>155850</v>
      </c>
      <c r="L738" s="257">
        <v>155850</v>
      </c>
      <c r="M738" s="257"/>
      <c r="N738" s="279">
        <v>1248700</v>
      </c>
      <c r="O738" s="257">
        <v>28535</v>
      </c>
    </row>
    <row r="739" spans="1:16" s="143" customFormat="1" hidden="1" x14ac:dyDescent="0.25">
      <c r="A739" s="143" t="s">
        <v>717</v>
      </c>
      <c r="B739" s="143" t="s">
        <v>144</v>
      </c>
      <c r="C739" s="290" t="s">
        <v>145</v>
      </c>
      <c r="D739" s="143" t="s">
        <v>69</v>
      </c>
      <c r="E739" s="257">
        <v>16444500</v>
      </c>
      <c r="F739" s="257">
        <v>16444500</v>
      </c>
      <c r="G739" s="257">
        <v>4111125</v>
      </c>
      <c r="H739" s="257">
        <v>0</v>
      </c>
      <c r="I739" s="257">
        <v>2314900</v>
      </c>
      <c r="J739" s="257">
        <v>0</v>
      </c>
      <c r="K739" s="257">
        <v>1384600</v>
      </c>
      <c r="L739" s="257">
        <v>1376600</v>
      </c>
      <c r="M739" s="257"/>
      <c r="N739" s="279">
        <v>12745000</v>
      </c>
      <c r="O739" s="257">
        <v>411625</v>
      </c>
    </row>
    <row r="740" spans="1:16" s="143" customFormat="1" ht="30" hidden="1" x14ac:dyDescent="0.25">
      <c r="A740" s="143" t="s">
        <v>717</v>
      </c>
      <c r="B740" s="143" t="s">
        <v>150</v>
      </c>
      <c r="C740" s="290" t="s">
        <v>151</v>
      </c>
      <c r="D740" s="143" t="s">
        <v>69</v>
      </c>
      <c r="E740" s="257">
        <v>6000000</v>
      </c>
      <c r="F740" s="257">
        <v>6000000</v>
      </c>
      <c r="G740" s="257">
        <v>3400000</v>
      </c>
      <c r="H740" s="257">
        <v>0</v>
      </c>
      <c r="I740" s="257">
        <v>1100000</v>
      </c>
      <c r="J740" s="257">
        <v>0</v>
      </c>
      <c r="K740" s="257">
        <v>0</v>
      </c>
      <c r="L740" s="257">
        <v>0</v>
      </c>
      <c r="M740" s="257"/>
      <c r="N740" s="279">
        <v>4900000</v>
      </c>
      <c r="O740" s="257">
        <v>2300000</v>
      </c>
    </row>
    <row r="741" spans="1:16" s="143" customFormat="1" hidden="1" x14ac:dyDescent="0.25">
      <c r="A741" s="143" t="s">
        <v>717</v>
      </c>
      <c r="B741" s="143" t="s">
        <v>152</v>
      </c>
      <c r="C741" s="290" t="s">
        <v>153</v>
      </c>
      <c r="D741" s="143" t="s">
        <v>69</v>
      </c>
      <c r="E741" s="257">
        <v>6000000</v>
      </c>
      <c r="F741" s="257">
        <v>6000000</v>
      </c>
      <c r="G741" s="257">
        <v>3400000</v>
      </c>
      <c r="H741" s="257">
        <v>0</v>
      </c>
      <c r="I741" s="257">
        <v>1100000</v>
      </c>
      <c r="J741" s="257">
        <v>0</v>
      </c>
      <c r="K741" s="257">
        <v>0</v>
      </c>
      <c r="L741" s="257">
        <v>0</v>
      </c>
      <c r="M741" s="257"/>
      <c r="N741" s="279">
        <v>4900000</v>
      </c>
      <c r="O741" s="257">
        <v>2300000</v>
      </c>
    </row>
    <row r="742" spans="1:16" s="143" customFormat="1" hidden="1" x14ac:dyDescent="0.25">
      <c r="A742" s="143" t="s">
        <v>717</v>
      </c>
      <c r="B742" s="143" t="s">
        <v>154</v>
      </c>
      <c r="C742" s="290" t="s">
        <v>155</v>
      </c>
      <c r="D742" s="143" t="s">
        <v>69</v>
      </c>
      <c r="E742" s="257">
        <v>27190000</v>
      </c>
      <c r="F742" s="257">
        <v>27190000</v>
      </c>
      <c r="G742" s="257">
        <v>7097500</v>
      </c>
      <c r="H742" s="257">
        <v>0</v>
      </c>
      <c r="I742" s="257">
        <v>5926450.2000000002</v>
      </c>
      <c r="J742" s="257">
        <v>324000</v>
      </c>
      <c r="K742" s="257">
        <v>0</v>
      </c>
      <c r="L742" s="257">
        <v>0</v>
      </c>
      <c r="M742" s="257"/>
      <c r="N742" s="279">
        <v>20939549.800000001</v>
      </c>
      <c r="O742" s="257">
        <v>847049.8</v>
      </c>
    </row>
    <row r="743" spans="1:16" s="143" customFormat="1" ht="30" hidden="1" x14ac:dyDescent="0.25">
      <c r="A743" s="143" t="s">
        <v>717</v>
      </c>
      <c r="B743" s="143" t="s">
        <v>156</v>
      </c>
      <c r="C743" s="290" t="s">
        <v>157</v>
      </c>
      <c r="D743" s="143" t="s">
        <v>69</v>
      </c>
      <c r="E743" s="257">
        <v>27190000</v>
      </c>
      <c r="F743" s="257">
        <v>27190000</v>
      </c>
      <c r="G743" s="257">
        <v>7097500</v>
      </c>
      <c r="H743" s="257">
        <v>0</v>
      </c>
      <c r="I743" s="257">
        <v>5926450.2000000002</v>
      </c>
      <c r="J743" s="257">
        <v>324000</v>
      </c>
      <c r="K743" s="257">
        <v>0</v>
      </c>
      <c r="L743" s="257">
        <v>0</v>
      </c>
      <c r="M743" s="257"/>
      <c r="N743" s="279">
        <v>20939549.800000001</v>
      </c>
      <c r="O743" s="257">
        <v>847049.8</v>
      </c>
    </row>
    <row r="744" spans="1:16" s="143" customFormat="1" ht="30" hidden="1" x14ac:dyDescent="0.25">
      <c r="A744" s="143" t="s">
        <v>717</v>
      </c>
      <c r="B744" s="143" t="s">
        <v>162</v>
      </c>
      <c r="C744" s="290" t="s">
        <v>163</v>
      </c>
      <c r="D744" s="143" t="s">
        <v>69</v>
      </c>
      <c r="E744" s="257">
        <v>9500000</v>
      </c>
      <c r="F744" s="257">
        <v>9500000</v>
      </c>
      <c r="G744" s="257">
        <v>5724501</v>
      </c>
      <c r="H744" s="257">
        <v>0</v>
      </c>
      <c r="I744" s="257">
        <v>3576280</v>
      </c>
      <c r="J744" s="257">
        <v>0</v>
      </c>
      <c r="K744" s="257">
        <v>0</v>
      </c>
      <c r="L744" s="257">
        <v>0</v>
      </c>
      <c r="M744" s="257"/>
      <c r="N744" s="279">
        <v>5923720</v>
      </c>
      <c r="O744" s="257">
        <v>2148221</v>
      </c>
    </row>
    <row r="745" spans="1:16" s="143" customFormat="1" ht="30" hidden="1" x14ac:dyDescent="0.25">
      <c r="A745" s="143" t="s">
        <v>717</v>
      </c>
      <c r="B745" s="143" t="s">
        <v>166</v>
      </c>
      <c r="C745" s="290" t="s">
        <v>167</v>
      </c>
      <c r="D745" s="143" t="s">
        <v>69</v>
      </c>
      <c r="E745" s="257">
        <v>4500000</v>
      </c>
      <c r="F745" s="257">
        <v>4500000</v>
      </c>
      <c r="G745" s="257">
        <v>2329501</v>
      </c>
      <c r="H745" s="257">
        <v>0</v>
      </c>
      <c r="I745" s="257">
        <v>2329500</v>
      </c>
      <c r="J745" s="257">
        <v>0</v>
      </c>
      <c r="K745" s="257">
        <v>0</v>
      </c>
      <c r="L745" s="257">
        <v>0</v>
      </c>
      <c r="M745" s="257"/>
      <c r="N745" s="279">
        <v>2170500</v>
      </c>
      <c r="O745" s="257">
        <v>1</v>
      </c>
    </row>
    <row r="746" spans="1:16" s="143" customFormat="1" ht="30" hidden="1" x14ac:dyDescent="0.25">
      <c r="A746" s="143" t="s">
        <v>717</v>
      </c>
      <c r="B746" s="143" t="s">
        <v>170</v>
      </c>
      <c r="C746" s="290" t="s">
        <v>171</v>
      </c>
      <c r="D746" s="143" t="s">
        <v>69</v>
      </c>
      <c r="E746" s="257">
        <v>5000000</v>
      </c>
      <c r="F746" s="257">
        <v>5000000</v>
      </c>
      <c r="G746" s="257">
        <v>3395000</v>
      </c>
      <c r="H746" s="257">
        <v>0</v>
      </c>
      <c r="I746" s="257">
        <v>1246780</v>
      </c>
      <c r="J746" s="257">
        <v>0</v>
      </c>
      <c r="K746" s="257">
        <v>0</v>
      </c>
      <c r="L746" s="257">
        <v>0</v>
      </c>
      <c r="M746" s="257"/>
      <c r="N746" s="279">
        <v>3753220</v>
      </c>
      <c r="O746" s="257">
        <v>2148220</v>
      </c>
    </row>
    <row r="747" spans="1:16" s="143" customFormat="1" hidden="1" x14ac:dyDescent="0.25">
      <c r="A747" s="143" t="s">
        <v>717</v>
      </c>
      <c r="B747" s="143" t="s">
        <v>174</v>
      </c>
      <c r="C747" s="290" t="s">
        <v>175</v>
      </c>
      <c r="D747" s="143" t="s">
        <v>69</v>
      </c>
      <c r="E747" s="257">
        <v>500000</v>
      </c>
      <c r="F747" s="257">
        <v>500000</v>
      </c>
      <c r="G747" s="257">
        <v>55000</v>
      </c>
      <c r="H747" s="257">
        <v>0</v>
      </c>
      <c r="I747" s="257">
        <v>0</v>
      </c>
      <c r="J747" s="257">
        <v>0</v>
      </c>
      <c r="K747" s="257">
        <v>46085</v>
      </c>
      <c r="L747" s="257">
        <v>46085</v>
      </c>
      <c r="M747" s="257"/>
      <c r="N747" s="279">
        <v>453915</v>
      </c>
      <c r="O747" s="257">
        <v>8915</v>
      </c>
    </row>
    <row r="748" spans="1:16" s="143" customFormat="1" hidden="1" x14ac:dyDescent="0.25">
      <c r="A748" s="143" t="s">
        <v>717</v>
      </c>
      <c r="B748" s="143" t="s">
        <v>176</v>
      </c>
      <c r="C748" s="290" t="s">
        <v>177</v>
      </c>
      <c r="D748" s="143" t="s">
        <v>69</v>
      </c>
      <c r="E748" s="257">
        <v>500000</v>
      </c>
      <c r="F748" s="257">
        <v>500000</v>
      </c>
      <c r="G748" s="257">
        <v>55000</v>
      </c>
      <c r="H748" s="257">
        <v>0</v>
      </c>
      <c r="I748" s="257">
        <v>0</v>
      </c>
      <c r="J748" s="257">
        <v>0</v>
      </c>
      <c r="K748" s="257">
        <v>46085</v>
      </c>
      <c r="L748" s="257">
        <v>46085</v>
      </c>
      <c r="M748" s="257"/>
      <c r="N748" s="279">
        <v>453915</v>
      </c>
      <c r="O748" s="257">
        <v>8915</v>
      </c>
    </row>
    <row r="749" spans="1:16" s="143" customFormat="1" hidden="1" x14ac:dyDescent="0.25">
      <c r="A749" s="143" t="s">
        <v>717</v>
      </c>
      <c r="B749" s="143" t="s">
        <v>178</v>
      </c>
      <c r="C749" s="290" t="s">
        <v>179</v>
      </c>
      <c r="D749" s="143" t="s">
        <v>69</v>
      </c>
      <c r="E749" s="257">
        <v>1500000</v>
      </c>
      <c r="F749" s="257">
        <v>1500000</v>
      </c>
      <c r="G749" s="257">
        <v>25000</v>
      </c>
      <c r="H749" s="257">
        <v>0</v>
      </c>
      <c r="I749" s="257">
        <v>0</v>
      </c>
      <c r="J749" s="257">
        <v>0</v>
      </c>
      <c r="K749" s="257">
        <v>0</v>
      </c>
      <c r="L749" s="257">
        <v>0</v>
      </c>
      <c r="M749" s="257"/>
      <c r="N749" s="279">
        <v>1500000</v>
      </c>
      <c r="O749" s="257">
        <v>25000</v>
      </c>
    </row>
    <row r="750" spans="1:16" s="143" customFormat="1" hidden="1" x14ac:dyDescent="0.25">
      <c r="A750" s="143" t="s">
        <v>717</v>
      </c>
      <c r="B750" s="143" t="s">
        <v>182</v>
      </c>
      <c r="C750" s="290" t="s">
        <v>183</v>
      </c>
      <c r="D750" s="143" t="s">
        <v>69</v>
      </c>
      <c r="E750" s="257">
        <v>1500000</v>
      </c>
      <c r="F750" s="257">
        <v>1500000</v>
      </c>
      <c r="G750" s="257">
        <v>25000</v>
      </c>
      <c r="H750" s="257">
        <v>0</v>
      </c>
      <c r="I750" s="257">
        <v>0</v>
      </c>
      <c r="J750" s="257">
        <v>0</v>
      </c>
      <c r="K750" s="257">
        <v>0</v>
      </c>
      <c r="L750" s="257">
        <v>0</v>
      </c>
      <c r="M750" s="257"/>
      <c r="N750" s="279">
        <v>1500000</v>
      </c>
      <c r="O750" s="257">
        <v>25000</v>
      </c>
    </row>
    <row r="751" spans="1:16" s="143" customFormat="1" x14ac:dyDescent="0.25">
      <c r="A751" s="280" t="s">
        <v>717</v>
      </c>
      <c r="B751" s="281" t="s">
        <v>184</v>
      </c>
      <c r="C751" s="282" t="s">
        <v>185</v>
      </c>
      <c r="D751" s="283" t="s">
        <v>69</v>
      </c>
      <c r="E751" s="257">
        <v>52884335</v>
      </c>
      <c r="F751" s="284">
        <v>52884335</v>
      </c>
      <c r="G751" s="257">
        <v>12906661.08</v>
      </c>
      <c r="H751" s="257">
        <v>382200</v>
      </c>
      <c r="I751" s="257">
        <v>4091993.69</v>
      </c>
      <c r="J751" s="257">
        <v>0</v>
      </c>
      <c r="K751" s="284">
        <v>5360935.38</v>
      </c>
      <c r="L751" s="257">
        <v>5360935.38</v>
      </c>
      <c r="M751" s="285">
        <f>+K751/F751</f>
        <v>0.10137095190853776</v>
      </c>
      <c r="N751" s="286">
        <v>43049205.93</v>
      </c>
      <c r="O751" s="257">
        <v>3071532.01</v>
      </c>
      <c r="P751" s="287">
        <f>+N751/F751</f>
        <v>0.81402566431061296</v>
      </c>
    </row>
    <row r="752" spans="1:16" s="143" customFormat="1" ht="30" hidden="1" x14ac:dyDescent="0.25">
      <c r="A752" s="143" t="s">
        <v>717</v>
      </c>
      <c r="B752" s="143" t="s">
        <v>186</v>
      </c>
      <c r="C752" s="290" t="s">
        <v>187</v>
      </c>
      <c r="D752" s="143" t="s">
        <v>69</v>
      </c>
      <c r="E752" s="257">
        <v>21308004</v>
      </c>
      <c r="F752" s="257">
        <v>21308004</v>
      </c>
      <c r="G752" s="257">
        <v>5637970</v>
      </c>
      <c r="H752" s="257">
        <v>0</v>
      </c>
      <c r="I752" s="257">
        <v>2510377.12</v>
      </c>
      <c r="J752" s="257">
        <v>0</v>
      </c>
      <c r="K752" s="257">
        <v>3125961.28</v>
      </c>
      <c r="L752" s="257">
        <v>3125961.28</v>
      </c>
      <c r="M752" s="257"/>
      <c r="N752" s="279">
        <v>15671665.6</v>
      </c>
      <c r="O752" s="257">
        <v>1631.6</v>
      </c>
    </row>
    <row r="753" spans="1:15" s="143" customFormat="1" hidden="1" x14ac:dyDescent="0.25">
      <c r="A753" s="143" t="s">
        <v>717</v>
      </c>
      <c r="B753" s="143" t="s">
        <v>188</v>
      </c>
      <c r="C753" s="290" t="s">
        <v>189</v>
      </c>
      <c r="D753" s="143" t="s">
        <v>69</v>
      </c>
      <c r="E753" s="257">
        <v>9500000</v>
      </c>
      <c r="F753" s="257">
        <v>9500000</v>
      </c>
      <c r="G753" s="257">
        <v>1701631</v>
      </c>
      <c r="H753" s="257">
        <v>0</v>
      </c>
      <c r="I753" s="257">
        <v>868132</v>
      </c>
      <c r="J753" s="257">
        <v>0</v>
      </c>
      <c r="K753" s="257">
        <v>831868</v>
      </c>
      <c r="L753" s="257">
        <v>831868</v>
      </c>
      <c r="M753" s="257"/>
      <c r="N753" s="279">
        <v>7800000</v>
      </c>
      <c r="O753" s="257">
        <v>1631</v>
      </c>
    </row>
    <row r="754" spans="1:15" s="143" customFormat="1" ht="30" hidden="1" x14ac:dyDescent="0.25">
      <c r="A754" s="143" t="s">
        <v>717</v>
      </c>
      <c r="B754" s="143" t="s">
        <v>192</v>
      </c>
      <c r="C754" s="290" t="s">
        <v>193</v>
      </c>
      <c r="D754" s="143" t="s">
        <v>69</v>
      </c>
      <c r="E754" s="257">
        <v>11808004</v>
      </c>
      <c r="F754" s="257">
        <v>11808004</v>
      </c>
      <c r="G754" s="257">
        <v>3936339</v>
      </c>
      <c r="H754" s="257">
        <v>0</v>
      </c>
      <c r="I754" s="257">
        <v>1642245.1200000001</v>
      </c>
      <c r="J754" s="257">
        <v>0</v>
      </c>
      <c r="K754" s="257">
        <v>2294093.2799999998</v>
      </c>
      <c r="L754" s="257">
        <v>2294093.2799999998</v>
      </c>
      <c r="M754" s="257"/>
      <c r="N754" s="279">
        <v>7871665.5999999996</v>
      </c>
      <c r="O754" s="257">
        <v>0.60000000000000009</v>
      </c>
    </row>
    <row r="755" spans="1:15" s="143" customFormat="1" ht="30" hidden="1" x14ac:dyDescent="0.25">
      <c r="A755" s="143" t="s">
        <v>717</v>
      </c>
      <c r="B755" s="143" t="s">
        <v>196</v>
      </c>
      <c r="C755" s="290" t="s">
        <v>197</v>
      </c>
      <c r="D755" s="143" t="s">
        <v>69</v>
      </c>
      <c r="E755" s="257">
        <v>7008325</v>
      </c>
      <c r="F755" s="257">
        <v>7008325</v>
      </c>
      <c r="G755" s="257">
        <v>2502082</v>
      </c>
      <c r="H755" s="257">
        <v>0</v>
      </c>
      <c r="I755" s="257">
        <v>599367.69999999995</v>
      </c>
      <c r="J755" s="257">
        <v>0</v>
      </c>
      <c r="K755" s="257">
        <v>0</v>
      </c>
      <c r="L755" s="257">
        <v>0</v>
      </c>
      <c r="M755" s="257"/>
      <c r="N755" s="279">
        <v>6408957.2999999998</v>
      </c>
      <c r="O755" s="257">
        <v>1902714.3</v>
      </c>
    </row>
    <row r="756" spans="1:15" s="143" customFormat="1" hidden="1" x14ac:dyDescent="0.25">
      <c r="A756" s="143" t="s">
        <v>717</v>
      </c>
      <c r="B756" s="143" t="s">
        <v>198</v>
      </c>
      <c r="C756" s="290" t="s">
        <v>199</v>
      </c>
      <c r="D756" s="143" t="s">
        <v>69</v>
      </c>
      <c r="E756" s="257">
        <v>7008325</v>
      </c>
      <c r="F756" s="257">
        <v>7008325</v>
      </c>
      <c r="G756" s="257">
        <v>2502082</v>
      </c>
      <c r="H756" s="257">
        <v>0</v>
      </c>
      <c r="I756" s="257">
        <v>599367.69999999995</v>
      </c>
      <c r="J756" s="257">
        <v>0</v>
      </c>
      <c r="K756" s="257">
        <v>0</v>
      </c>
      <c r="L756" s="257">
        <v>0</v>
      </c>
      <c r="M756" s="257"/>
      <c r="N756" s="279">
        <v>6408957.2999999998</v>
      </c>
      <c r="O756" s="257">
        <v>1902714.3</v>
      </c>
    </row>
    <row r="757" spans="1:15" s="143" customFormat="1" ht="30" hidden="1" x14ac:dyDescent="0.25">
      <c r="A757" s="143" t="s">
        <v>717</v>
      </c>
      <c r="B757" s="143" t="s">
        <v>200</v>
      </c>
      <c r="C757" s="290" t="s">
        <v>201</v>
      </c>
      <c r="D757" s="143" t="s">
        <v>69</v>
      </c>
      <c r="E757" s="257">
        <v>900000</v>
      </c>
      <c r="F757" s="257">
        <v>900000</v>
      </c>
      <c r="G757" s="257">
        <v>159000.01</v>
      </c>
      <c r="H757" s="257">
        <v>0</v>
      </c>
      <c r="I757" s="257">
        <v>132953.99</v>
      </c>
      <c r="J757" s="257">
        <v>0</v>
      </c>
      <c r="K757" s="257">
        <v>0</v>
      </c>
      <c r="L757" s="257">
        <v>0</v>
      </c>
      <c r="M757" s="257"/>
      <c r="N757" s="279">
        <v>767046.01</v>
      </c>
      <c r="O757" s="257">
        <v>26046.02</v>
      </c>
    </row>
    <row r="758" spans="1:15" s="143" customFormat="1" ht="30" hidden="1" x14ac:dyDescent="0.25">
      <c r="A758" s="143" t="s">
        <v>717</v>
      </c>
      <c r="B758" s="143" t="s">
        <v>316</v>
      </c>
      <c r="C758" s="290" t="s">
        <v>317</v>
      </c>
      <c r="D758" s="143" t="s">
        <v>69</v>
      </c>
      <c r="E758" s="257">
        <v>420000</v>
      </c>
      <c r="F758" s="257">
        <v>420000</v>
      </c>
      <c r="G758" s="257">
        <v>19046.009999999998</v>
      </c>
      <c r="H758" s="257">
        <v>0</v>
      </c>
      <c r="I758" s="257">
        <v>0</v>
      </c>
      <c r="J758" s="257">
        <v>0</v>
      </c>
      <c r="K758" s="257">
        <v>0</v>
      </c>
      <c r="L758" s="257">
        <v>0</v>
      </c>
      <c r="M758" s="257"/>
      <c r="N758" s="279">
        <v>420000</v>
      </c>
      <c r="O758" s="257">
        <v>19046.009999999998</v>
      </c>
    </row>
    <row r="759" spans="1:15" s="143" customFormat="1" ht="30" hidden="1" x14ac:dyDescent="0.25">
      <c r="A759" s="143" t="s">
        <v>717</v>
      </c>
      <c r="B759" s="143" t="s">
        <v>202</v>
      </c>
      <c r="C759" s="290" t="s">
        <v>203</v>
      </c>
      <c r="D759" s="143" t="s">
        <v>69</v>
      </c>
      <c r="E759" s="257">
        <v>480000</v>
      </c>
      <c r="F759" s="257">
        <v>480000</v>
      </c>
      <c r="G759" s="257">
        <v>139954</v>
      </c>
      <c r="H759" s="257">
        <v>0</v>
      </c>
      <c r="I759" s="257">
        <v>132953.99</v>
      </c>
      <c r="J759" s="257">
        <v>0</v>
      </c>
      <c r="K759" s="257">
        <v>0</v>
      </c>
      <c r="L759" s="257">
        <v>0</v>
      </c>
      <c r="M759" s="257"/>
      <c r="N759" s="279">
        <v>347046.01</v>
      </c>
      <c r="O759" s="257">
        <v>7000.01</v>
      </c>
    </row>
    <row r="760" spans="1:15" s="143" customFormat="1" ht="30" hidden="1" x14ac:dyDescent="0.25">
      <c r="A760" s="143" t="s">
        <v>717</v>
      </c>
      <c r="B760" s="143" t="s">
        <v>206</v>
      </c>
      <c r="C760" s="290" t="s">
        <v>207</v>
      </c>
      <c r="D760" s="143" t="s">
        <v>69</v>
      </c>
      <c r="E760" s="257">
        <v>3052196</v>
      </c>
      <c r="F760" s="257">
        <v>3052196</v>
      </c>
      <c r="G760" s="257">
        <v>3052</v>
      </c>
      <c r="H760" s="257">
        <v>0</v>
      </c>
      <c r="I760" s="257">
        <v>0</v>
      </c>
      <c r="J760" s="257">
        <v>0</v>
      </c>
      <c r="K760" s="257">
        <v>0</v>
      </c>
      <c r="L760" s="257">
        <v>0</v>
      </c>
      <c r="M760" s="257"/>
      <c r="N760" s="279">
        <v>3052196</v>
      </c>
      <c r="O760" s="257">
        <v>3052</v>
      </c>
    </row>
    <row r="761" spans="1:15" s="143" customFormat="1" ht="30" hidden="1" x14ac:dyDescent="0.25">
      <c r="A761" s="143" t="s">
        <v>717</v>
      </c>
      <c r="B761" s="143" t="s">
        <v>208</v>
      </c>
      <c r="C761" s="290" t="s">
        <v>209</v>
      </c>
      <c r="D761" s="143" t="s">
        <v>69</v>
      </c>
      <c r="E761" s="257">
        <v>885321</v>
      </c>
      <c r="F761" s="257">
        <v>885321</v>
      </c>
      <c r="G761" s="257">
        <v>1331</v>
      </c>
      <c r="H761" s="257">
        <v>0</v>
      </c>
      <c r="I761" s="257">
        <v>0</v>
      </c>
      <c r="J761" s="257">
        <v>0</v>
      </c>
      <c r="K761" s="257">
        <v>0</v>
      </c>
      <c r="L761" s="257">
        <v>0</v>
      </c>
      <c r="M761" s="257"/>
      <c r="N761" s="279">
        <v>885321</v>
      </c>
      <c r="O761" s="257">
        <v>1331</v>
      </c>
    </row>
    <row r="762" spans="1:15" s="143" customFormat="1" hidden="1" x14ac:dyDescent="0.25">
      <c r="A762" s="143" t="s">
        <v>717</v>
      </c>
      <c r="B762" s="143" t="s">
        <v>210</v>
      </c>
      <c r="C762" s="290" t="s">
        <v>211</v>
      </c>
      <c r="D762" s="143" t="s">
        <v>69</v>
      </c>
      <c r="E762" s="257">
        <v>2166875</v>
      </c>
      <c r="F762" s="257">
        <v>2166875</v>
      </c>
      <c r="G762" s="257">
        <v>1721</v>
      </c>
      <c r="H762" s="257">
        <v>0</v>
      </c>
      <c r="I762" s="257">
        <v>0</v>
      </c>
      <c r="J762" s="257">
        <v>0</v>
      </c>
      <c r="K762" s="257">
        <v>0</v>
      </c>
      <c r="L762" s="257">
        <v>0</v>
      </c>
      <c r="M762" s="257"/>
      <c r="N762" s="279">
        <v>2166875</v>
      </c>
      <c r="O762" s="257">
        <v>1721</v>
      </c>
    </row>
    <row r="763" spans="1:15" s="143" customFormat="1" ht="30" hidden="1" x14ac:dyDescent="0.25">
      <c r="A763" s="143" t="s">
        <v>717</v>
      </c>
      <c r="B763" s="143" t="s">
        <v>212</v>
      </c>
      <c r="C763" s="290" t="s">
        <v>213</v>
      </c>
      <c r="D763" s="143" t="s">
        <v>69</v>
      </c>
      <c r="E763" s="257">
        <v>20615810</v>
      </c>
      <c r="F763" s="257">
        <v>20615810</v>
      </c>
      <c r="G763" s="257">
        <v>4604557.07</v>
      </c>
      <c r="H763" s="257">
        <v>382200</v>
      </c>
      <c r="I763" s="257">
        <v>849294.88</v>
      </c>
      <c r="J763" s="257">
        <v>0</v>
      </c>
      <c r="K763" s="257">
        <v>2234974.1</v>
      </c>
      <c r="L763" s="257">
        <v>2234974.1</v>
      </c>
      <c r="M763" s="257"/>
      <c r="N763" s="279">
        <v>17149341.02</v>
      </c>
      <c r="O763" s="257">
        <v>1138088.0900000001</v>
      </c>
    </row>
    <row r="764" spans="1:15" s="143" customFormat="1" ht="30" hidden="1" x14ac:dyDescent="0.25">
      <c r="A764" s="143" t="s">
        <v>717</v>
      </c>
      <c r="B764" s="143" t="s">
        <v>214</v>
      </c>
      <c r="C764" s="290" t="s">
        <v>215</v>
      </c>
      <c r="D764" s="143" t="s">
        <v>69</v>
      </c>
      <c r="E764" s="257">
        <v>8014742</v>
      </c>
      <c r="F764" s="257">
        <v>8014742</v>
      </c>
      <c r="G764" s="257">
        <v>993687</v>
      </c>
      <c r="H764" s="257">
        <v>0</v>
      </c>
      <c r="I764" s="257">
        <v>0</v>
      </c>
      <c r="J764" s="257">
        <v>0</v>
      </c>
      <c r="K764" s="257">
        <v>493107</v>
      </c>
      <c r="L764" s="257">
        <v>493107</v>
      </c>
      <c r="M764" s="257"/>
      <c r="N764" s="279">
        <v>7521635</v>
      </c>
      <c r="O764" s="257">
        <v>500580</v>
      </c>
    </row>
    <row r="765" spans="1:15" s="143" customFormat="1" ht="30" hidden="1" x14ac:dyDescent="0.25">
      <c r="A765" s="143" t="s">
        <v>717</v>
      </c>
      <c r="B765" s="143" t="s">
        <v>218</v>
      </c>
      <c r="C765" s="290" t="s">
        <v>219</v>
      </c>
      <c r="D765" s="143" t="s">
        <v>69</v>
      </c>
      <c r="E765" s="257">
        <v>5268045</v>
      </c>
      <c r="F765" s="257">
        <v>5268045</v>
      </c>
      <c r="G765" s="257">
        <v>887866.47</v>
      </c>
      <c r="H765" s="257">
        <v>0</v>
      </c>
      <c r="I765" s="257">
        <v>125100</v>
      </c>
      <c r="J765" s="257">
        <v>0</v>
      </c>
      <c r="K765" s="257">
        <v>259408.45</v>
      </c>
      <c r="L765" s="257">
        <v>259408.45</v>
      </c>
      <c r="M765" s="257"/>
      <c r="N765" s="279">
        <v>4883536.55</v>
      </c>
      <c r="O765" s="257">
        <v>503358.02</v>
      </c>
    </row>
    <row r="766" spans="1:15" s="143" customFormat="1" hidden="1" x14ac:dyDescent="0.25">
      <c r="A766" s="143" t="s">
        <v>717</v>
      </c>
      <c r="B766" s="143" t="s">
        <v>220</v>
      </c>
      <c r="C766" s="290" t="s">
        <v>221</v>
      </c>
      <c r="D766" s="143" t="s">
        <v>69</v>
      </c>
      <c r="E766" s="257">
        <v>3038980</v>
      </c>
      <c r="F766" s="257">
        <v>3038980</v>
      </c>
      <c r="G766" s="257">
        <v>407.6</v>
      </c>
      <c r="H766" s="257">
        <v>0</v>
      </c>
      <c r="I766" s="257">
        <v>0</v>
      </c>
      <c r="J766" s="257">
        <v>0</v>
      </c>
      <c r="K766" s="257">
        <v>0</v>
      </c>
      <c r="L766" s="257">
        <v>0</v>
      </c>
      <c r="M766" s="257"/>
      <c r="N766" s="279">
        <v>3038980</v>
      </c>
      <c r="O766" s="257">
        <v>407.6</v>
      </c>
    </row>
    <row r="767" spans="1:15" s="143" customFormat="1" ht="30" hidden="1" x14ac:dyDescent="0.25">
      <c r="A767" s="143" t="s">
        <v>717</v>
      </c>
      <c r="B767" s="143" t="s">
        <v>222</v>
      </c>
      <c r="C767" s="290" t="s">
        <v>223</v>
      </c>
      <c r="D767" s="143" t="s">
        <v>69</v>
      </c>
      <c r="E767" s="257">
        <v>2590023</v>
      </c>
      <c r="F767" s="257">
        <v>2590023</v>
      </c>
      <c r="G767" s="257">
        <v>2590023</v>
      </c>
      <c r="H767" s="257">
        <v>382200</v>
      </c>
      <c r="I767" s="257">
        <v>724194.88</v>
      </c>
      <c r="J767" s="257">
        <v>0</v>
      </c>
      <c r="K767" s="257">
        <v>1482458.65</v>
      </c>
      <c r="L767" s="257">
        <v>1482458.65</v>
      </c>
      <c r="M767" s="257"/>
      <c r="N767" s="279">
        <v>1169.47</v>
      </c>
      <c r="O767" s="257">
        <v>1169.47</v>
      </c>
    </row>
    <row r="768" spans="1:15" s="143" customFormat="1" ht="30" hidden="1" x14ac:dyDescent="0.25">
      <c r="A768" s="143" t="s">
        <v>717</v>
      </c>
      <c r="B768" s="143" t="s">
        <v>226</v>
      </c>
      <c r="C768" s="290" t="s">
        <v>227</v>
      </c>
      <c r="D768" s="143" t="s">
        <v>69</v>
      </c>
      <c r="E768" s="257">
        <v>774300</v>
      </c>
      <c r="F768" s="257">
        <v>774300</v>
      </c>
      <c r="G768" s="257">
        <v>128143</v>
      </c>
      <c r="H768" s="257">
        <v>0</v>
      </c>
      <c r="I768" s="257">
        <v>0</v>
      </c>
      <c r="J768" s="257">
        <v>0</v>
      </c>
      <c r="K768" s="257">
        <v>0</v>
      </c>
      <c r="L768" s="257">
        <v>0</v>
      </c>
      <c r="M768" s="257"/>
      <c r="N768" s="279">
        <v>774300</v>
      </c>
      <c r="O768" s="257">
        <v>128143</v>
      </c>
    </row>
    <row r="769" spans="1:16" s="143" customFormat="1" ht="30" hidden="1" x14ac:dyDescent="0.25">
      <c r="A769" s="143" t="s">
        <v>717</v>
      </c>
      <c r="B769" s="143" t="s">
        <v>228</v>
      </c>
      <c r="C769" s="290" t="s">
        <v>229</v>
      </c>
      <c r="D769" s="143" t="s">
        <v>69</v>
      </c>
      <c r="E769" s="257">
        <v>929720</v>
      </c>
      <c r="F769" s="257">
        <v>929720</v>
      </c>
      <c r="G769" s="257">
        <v>4430</v>
      </c>
      <c r="H769" s="257">
        <v>0</v>
      </c>
      <c r="I769" s="257">
        <v>0</v>
      </c>
      <c r="J769" s="257">
        <v>0</v>
      </c>
      <c r="K769" s="257">
        <v>0</v>
      </c>
      <c r="L769" s="257">
        <v>0</v>
      </c>
      <c r="M769" s="257"/>
      <c r="N769" s="279">
        <v>929720</v>
      </c>
      <c r="O769" s="257">
        <v>4430</v>
      </c>
    </row>
    <row r="770" spans="1:16" s="143" customFormat="1" x14ac:dyDescent="0.25">
      <c r="A770" s="280" t="s">
        <v>717</v>
      </c>
      <c r="B770" s="281" t="s">
        <v>230</v>
      </c>
      <c r="C770" s="282" t="s">
        <v>231</v>
      </c>
      <c r="D770" s="283" t="s">
        <v>85</v>
      </c>
      <c r="E770" s="257">
        <v>45174214</v>
      </c>
      <c r="F770" s="284">
        <v>45174214</v>
      </c>
      <c r="G770" s="257">
        <v>2073108</v>
      </c>
      <c r="H770" s="257">
        <v>0</v>
      </c>
      <c r="I770" s="257">
        <v>62400</v>
      </c>
      <c r="J770" s="257">
        <v>0</v>
      </c>
      <c r="K770" s="284">
        <v>1010183.4</v>
      </c>
      <c r="L770" s="257">
        <v>1010183.4</v>
      </c>
      <c r="M770" s="285">
        <f>+K770/F770</f>
        <v>2.236194745967246E-2</v>
      </c>
      <c r="N770" s="286">
        <v>44101630.600000001</v>
      </c>
      <c r="O770" s="257">
        <v>1000524.6</v>
      </c>
      <c r="P770" s="287">
        <f>+N770/F770</f>
        <v>0.97625673354272424</v>
      </c>
    </row>
    <row r="771" spans="1:16" s="143" customFormat="1" ht="30" hidden="1" x14ac:dyDescent="0.25">
      <c r="A771" s="143" t="s">
        <v>717</v>
      </c>
      <c r="B771" s="143" t="s">
        <v>232</v>
      </c>
      <c r="C771" s="290" t="s">
        <v>233</v>
      </c>
      <c r="D771" s="143" t="s">
        <v>85</v>
      </c>
      <c r="E771" s="257">
        <v>45174214</v>
      </c>
      <c r="F771" s="257">
        <v>45174214</v>
      </c>
      <c r="G771" s="257">
        <v>2073108</v>
      </c>
      <c r="H771" s="257">
        <v>0</v>
      </c>
      <c r="I771" s="257">
        <v>62400</v>
      </c>
      <c r="J771" s="257">
        <v>0</v>
      </c>
      <c r="K771" s="257">
        <v>1010183.4</v>
      </c>
      <c r="L771" s="257">
        <v>1010183.4</v>
      </c>
      <c r="M771" s="257"/>
      <c r="N771" s="279">
        <v>44101630.600000001</v>
      </c>
      <c r="O771" s="257">
        <v>1000524.6</v>
      </c>
    </row>
    <row r="772" spans="1:16" s="143" customFormat="1" hidden="1" x14ac:dyDescent="0.25">
      <c r="A772" s="143" t="s">
        <v>717</v>
      </c>
      <c r="B772" s="143" t="s">
        <v>324</v>
      </c>
      <c r="C772" s="290" t="s">
        <v>325</v>
      </c>
      <c r="D772" s="143" t="s">
        <v>85</v>
      </c>
      <c r="E772" s="257">
        <v>400000</v>
      </c>
      <c r="F772" s="257">
        <v>400000</v>
      </c>
      <c r="G772" s="257">
        <v>200000</v>
      </c>
      <c r="H772" s="257">
        <v>0</v>
      </c>
      <c r="I772" s="257">
        <v>0</v>
      </c>
      <c r="J772" s="257">
        <v>0</v>
      </c>
      <c r="K772" s="257">
        <v>0</v>
      </c>
      <c r="L772" s="257">
        <v>0</v>
      </c>
      <c r="M772" s="257"/>
      <c r="N772" s="279">
        <v>400000</v>
      </c>
      <c r="O772" s="257">
        <v>200000</v>
      </c>
    </row>
    <row r="773" spans="1:16" s="143" customFormat="1" hidden="1" x14ac:dyDescent="0.25">
      <c r="A773" s="143" t="s">
        <v>717</v>
      </c>
      <c r="B773" s="143" t="s">
        <v>236</v>
      </c>
      <c r="C773" s="290" t="s">
        <v>237</v>
      </c>
      <c r="D773" s="143" t="s">
        <v>85</v>
      </c>
      <c r="E773" s="257">
        <v>10235014</v>
      </c>
      <c r="F773" s="257">
        <v>10235014</v>
      </c>
      <c r="G773" s="257">
        <v>1058755</v>
      </c>
      <c r="H773" s="257">
        <v>0</v>
      </c>
      <c r="I773" s="257">
        <v>0</v>
      </c>
      <c r="J773" s="257">
        <v>0</v>
      </c>
      <c r="K773" s="257">
        <v>1010183.4</v>
      </c>
      <c r="L773" s="257">
        <v>1010183.4</v>
      </c>
      <c r="M773" s="257"/>
      <c r="N773" s="279">
        <v>9224830.5999999996</v>
      </c>
      <c r="O773" s="257">
        <v>48571.6</v>
      </c>
    </row>
    <row r="774" spans="1:16" s="143" customFormat="1" ht="30" hidden="1" x14ac:dyDescent="0.25">
      <c r="A774" s="143" t="s">
        <v>717</v>
      </c>
      <c r="B774" s="143" t="s">
        <v>238</v>
      </c>
      <c r="C774" s="290" t="s">
        <v>239</v>
      </c>
      <c r="D774" s="143" t="s">
        <v>85</v>
      </c>
      <c r="E774" s="257">
        <v>3243620</v>
      </c>
      <c r="F774" s="257">
        <v>3243620</v>
      </c>
      <c r="G774" s="257">
        <v>243620</v>
      </c>
      <c r="H774" s="257">
        <v>0</v>
      </c>
      <c r="I774" s="257">
        <v>0</v>
      </c>
      <c r="J774" s="257">
        <v>0</v>
      </c>
      <c r="K774" s="257">
        <v>0</v>
      </c>
      <c r="L774" s="257">
        <v>0</v>
      </c>
      <c r="M774" s="257"/>
      <c r="N774" s="279">
        <v>3243620</v>
      </c>
      <c r="O774" s="257">
        <v>243620</v>
      </c>
    </row>
    <row r="775" spans="1:16" s="143" customFormat="1" ht="30" hidden="1" x14ac:dyDescent="0.25">
      <c r="A775" s="143" t="s">
        <v>717</v>
      </c>
      <c r="B775" s="143" t="s">
        <v>282</v>
      </c>
      <c r="C775" s="290" t="s">
        <v>283</v>
      </c>
      <c r="D775" s="143" t="s">
        <v>85</v>
      </c>
      <c r="E775" s="257">
        <v>414480</v>
      </c>
      <c r="F775" s="257">
        <v>414480</v>
      </c>
      <c r="G775" s="257">
        <v>480</v>
      </c>
      <c r="H775" s="257">
        <v>0</v>
      </c>
      <c r="I775" s="257">
        <v>0</v>
      </c>
      <c r="J775" s="257">
        <v>0</v>
      </c>
      <c r="K775" s="257">
        <v>0</v>
      </c>
      <c r="L775" s="257">
        <v>0</v>
      </c>
      <c r="M775" s="257"/>
      <c r="N775" s="279">
        <v>414480</v>
      </c>
      <c r="O775" s="257">
        <v>480</v>
      </c>
    </row>
    <row r="776" spans="1:16" s="143" customFormat="1" ht="45" hidden="1" x14ac:dyDescent="0.25">
      <c r="A776" s="143" t="s">
        <v>717</v>
      </c>
      <c r="B776" s="143" t="s">
        <v>240</v>
      </c>
      <c r="C776" s="290" t="s">
        <v>241</v>
      </c>
      <c r="D776" s="143" t="s">
        <v>85</v>
      </c>
      <c r="E776" s="257">
        <v>27531100</v>
      </c>
      <c r="F776" s="257">
        <v>27531100</v>
      </c>
      <c r="G776" s="257">
        <v>467753</v>
      </c>
      <c r="H776" s="257">
        <v>0</v>
      </c>
      <c r="I776" s="257">
        <v>0</v>
      </c>
      <c r="J776" s="257">
        <v>0</v>
      </c>
      <c r="K776" s="257">
        <v>0</v>
      </c>
      <c r="L776" s="257">
        <v>0</v>
      </c>
      <c r="M776" s="257"/>
      <c r="N776" s="279">
        <v>27531100</v>
      </c>
      <c r="O776" s="257">
        <v>467753</v>
      </c>
    </row>
    <row r="777" spans="1:16" s="143" customFormat="1" ht="30" hidden="1" x14ac:dyDescent="0.25">
      <c r="A777" s="143" t="s">
        <v>717</v>
      </c>
      <c r="B777" s="143" t="s">
        <v>242</v>
      </c>
      <c r="C777" s="290" t="s">
        <v>243</v>
      </c>
      <c r="D777" s="143" t="s">
        <v>85</v>
      </c>
      <c r="E777" s="257">
        <v>3350000</v>
      </c>
      <c r="F777" s="257">
        <v>3350000</v>
      </c>
      <c r="G777" s="257">
        <v>102500</v>
      </c>
      <c r="H777" s="257">
        <v>0</v>
      </c>
      <c r="I777" s="257">
        <v>62400</v>
      </c>
      <c r="J777" s="257">
        <v>0</v>
      </c>
      <c r="K777" s="257">
        <v>0</v>
      </c>
      <c r="L777" s="257">
        <v>0</v>
      </c>
      <c r="M777" s="257"/>
      <c r="N777" s="279">
        <v>3287600</v>
      </c>
      <c r="O777" s="257">
        <v>40100</v>
      </c>
    </row>
    <row r="778" spans="1:16" s="143" customFormat="1" x14ac:dyDescent="0.25">
      <c r="A778" s="280" t="s">
        <v>717</v>
      </c>
      <c r="B778" s="281" t="s">
        <v>248</v>
      </c>
      <c r="C778" s="282" t="s">
        <v>249</v>
      </c>
      <c r="D778" s="283" t="s">
        <v>69</v>
      </c>
      <c r="E778" s="257">
        <v>50610852</v>
      </c>
      <c r="F778" s="284">
        <v>50610852</v>
      </c>
      <c r="G778" s="257">
        <v>22150811</v>
      </c>
      <c r="H778" s="257">
        <v>0</v>
      </c>
      <c r="I778" s="257">
        <v>10951223</v>
      </c>
      <c r="J778" s="257">
        <v>0</v>
      </c>
      <c r="K778" s="284">
        <v>4863883</v>
      </c>
      <c r="L778" s="257">
        <v>4863883</v>
      </c>
      <c r="M778" s="285">
        <f>+K778/F778</f>
        <v>9.6103558975849684E-2</v>
      </c>
      <c r="N778" s="286">
        <v>34795746</v>
      </c>
      <c r="O778" s="257">
        <v>6335705</v>
      </c>
      <c r="P778" s="287">
        <f>+N778/F778</f>
        <v>0.68751551544716138</v>
      </c>
    </row>
    <row r="779" spans="1:16" s="143" customFormat="1" ht="30" hidden="1" x14ac:dyDescent="0.25">
      <c r="A779" s="143" t="s">
        <v>717</v>
      </c>
      <c r="B779" s="143" t="s">
        <v>250</v>
      </c>
      <c r="C779" s="290" t="s">
        <v>251</v>
      </c>
      <c r="D779" s="143" t="s">
        <v>69</v>
      </c>
      <c r="E779" s="257">
        <v>14610852</v>
      </c>
      <c r="F779" s="257">
        <v>14610852</v>
      </c>
      <c r="G779" s="257">
        <v>14150811</v>
      </c>
      <c r="H779" s="257">
        <v>0</v>
      </c>
      <c r="I779" s="257">
        <v>10951223</v>
      </c>
      <c r="J779" s="257">
        <v>0</v>
      </c>
      <c r="K779" s="257">
        <v>3659629</v>
      </c>
      <c r="L779" s="257">
        <v>3659629</v>
      </c>
      <c r="M779" s="257"/>
      <c r="N779" s="279">
        <v>0</v>
      </c>
      <c r="O779" s="275">
        <v>-460041</v>
      </c>
    </row>
    <row r="780" spans="1:16" s="143" customFormat="1" ht="90" hidden="1" x14ac:dyDescent="0.25">
      <c r="A780" s="143" t="s">
        <v>717</v>
      </c>
      <c r="B780" s="143" t="s">
        <v>636</v>
      </c>
      <c r="C780" s="290" t="s">
        <v>702</v>
      </c>
      <c r="D780" s="143" t="s">
        <v>69</v>
      </c>
      <c r="E780" s="257">
        <v>12410435</v>
      </c>
      <c r="F780" s="257">
        <v>12410435</v>
      </c>
      <c r="G780" s="257">
        <v>12019677</v>
      </c>
      <c r="H780" s="257">
        <v>0</v>
      </c>
      <c r="I780" s="257">
        <v>9329811</v>
      </c>
      <c r="J780" s="257">
        <v>0</v>
      </c>
      <c r="K780" s="257">
        <v>3080624</v>
      </c>
      <c r="L780" s="257">
        <v>3080624</v>
      </c>
      <c r="M780" s="257"/>
      <c r="N780" s="279">
        <v>0</v>
      </c>
      <c r="O780" s="275">
        <v>-390758</v>
      </c>
    </row>
    <row r="781" spans="1:16" s="143" customFormat="1" ht="90" hidden="1" x14ac:dyDescent="0.25">
      <c r="A781" s="143" t="s">
        <v>717</v>
      </c>
      <c r="B781" s="143" t="s">
        <v>651</v>
      </c>
      <c r="C781" s="290" t="s">
        <v>703</v>
      </c>
      <c r="D781" s="143" t="s">
        <v>69</v>
      </c>
      <c r="E781" s="257">
        <v>2200417</v>
      </c>
      <c r="F781" s="257">
        <v>2200417</v>
      </c>
      <c r="G781" s="257">
        <v>2131134</v>
      </c>
      <c r="H781" s="257">
        <v>0</v>
      </c>
      <c r="I781" s="257">
        <v>1621412</v>
      </c>
      <c r="J781" s="257">
        <v>0</v>
      </c>
      <c r="K781" s="257">
        <v>579005</v>
      </c>
      <c r="L781" s="257">
        <v>579005</v>
      </c>
      <c r="M781" s="257"/>
      <c r="N781" s="279">
        <v>0</v>
      </c>
      <c r="O781" s="275">
        <v>-69283</v>
      </c>
    </row>
    <row r="782" spans="1:16" s="143" customFormat="1" hidden="1" x14ac:dyDescent="0.25">
      <c r="A782" s="143" t="s">
        <v>717</v>
      </c>
      <c r="B782" s="143" t="s">
        <v>260</v>
      </c>
      <c r="C782" s="290" t="s">
        <v>261</v>
      </c>
      <c r="D782" s="143" t="s">
        <v>69</v>
      </c>
      <c r="E782" s="257">
        <v>26000000</v>
      </c>
      <c r="F782" s="257">
        <v>26000000</v>
      </c>
      <c r="G782" s="257">
        <v>8000000</v>
      </c>
      <c r="H782" s="257">
        <v>0</v>
      </c>
      <c r="I782" s="257">
        <v>0</v>
      </c>
      <c r="J782" s="257">
        <v>0</v>
      </c>
      <c r="K782" s="257">
        <v>1204254</v>
      </c>
      <c r="L782" s="257">
        <v>1204254</v>
      </c>
      <c r="M782" s="257"/>
      <c r="N782" s="279">
        <v>24795746</v>
      </c>
      <c r="O782" s="257">
        <v>6795746</v>
      </c>
    </row>
    <row r="783" spans="1:16" s="143" customFormat="1" hidden="1" x14ac:dyDescent="0.25">
      <c r="A783" s="143" t="s">
        <v>717</v>
      </c>
      <c r="B783" s="143" t="s">
        <v>262</v>
      </c>
      <c r="C783" s="290" t="s">
        <v>263</v>
      </c>
      <c r="D783" s="143" t="s">
        <v>69</v>
      </c>
      <c r="E783" s="257">
        <v>18000000</v>
      </c>
      <c r="F783" s="257">
        <v>18000000</v>
      </c>
      <c r="G783" s="257">
        <v>0</v>
      </c>
      <c r="H783" s="257">
        <v>0</v>
      </c>
      <c r="I783" s="257">
        <v>0</v>
      </c>
      <c r="J783" s="257">
        <v>0</v>
      </c>
      <c r="K783" s="257">
        <v>0</v>
      </c>
      <c r="L783" s="257">
        <v>0</v>
      </c>
      <c r="M783" s="257"/>
      <c r="N783" s="279">
        <v>18000000</v>
      </c>
      <c r="O783" s="257">
        <v>0</v>
      </c>
    </row>
    <row r="784" spans="1:16" s="143" customFormat="1" hidden="1" x14ac:dyDescent="0.25">
      <c r="A784" s="143" t="s">
        <v>717</v>
      </c>
      <c r="B784" s="143" t="s">
        <v>264</v>
      </c>
      <c r="C784" s="290" t="s">
        <v>265</v>
      </c>
      <c r="D784" s="143" t="s">
        <v>69</v>
      </c>
      <c r="E784" s="257">
        <v>8000000</v>
      </c>
      <c r="F784" s="257">
        <v>8000000</v>
      </c>
      <c r="G784" s="257">
        <v>8000000</v>
      </c>
      <c r="H784" s="257">
        <v>0</v>
      </c>
      <c r="I784" s="257">
        <v>0</v>
      </c>
      <c r="J784" s="257">
        <v>0</v>
      </c>
      <c r="K784" s="257">
        <v>1204254</v>
      </c>
      <c r="L784" s="257">
        <v>1204254</v>
      </c>
      <c r="M784" s="257"/>
      <c r="N784" s="279">
        <v>6795746</v>
      </c>
      <c r="O784" s="257">
        <v>6795746</v>
      </c>
    </row>
    <row r="785" spans="1:16" s="143" customFormat="1" ht="45" hidden="1" x14ac:dyDescent="0.25">
      <c r="A785" s="143" t="s">
        <v>717</v>
      </c>
      <c r="B785" s="143" t="s">
        <v>286</v>
      </c>
      <c r="C785" s="290" t="s">
        <v>287</v>
      </c>
      <c r="D785" s="143" t="s">
        <v>69</v>
      </c>
      <c r="E785" s="257">
        <v>10000000</v>
      </c>
      <c r="F785" s="257">
        <v>10000000</v>
      </c>
      <c r="G785" s="257">
        <v>0</v>
      </c>
      <c r="H785" s="257">
        <v>0</v>
      </c>
      <c r="I785" s="257">
        <v>0</v>
      </c>
      <c r="J785" s="257">
        <v>0</v>
      </c>
      <c r="K785" s="257">
        <v>0</v>
      </c>
      <c r="L785" s="257">
        <v>0</v>
      </c>
      <c r="M785" s="257"/>
      <c r="N785" s="279">
        <v>10000000</v>
      </c>
      <c r="O785" s="257">
        <v>0</v>
      </c>
    </row>
    <row r="786" spans="1:16" s="143" customFormat="1" hidden="1" x14ac:dyDescent="0.25">
      <c r="A786" s="143" t="s">
        <v>717</v>
      </c>
      <c r="B786" s="143" t="s">
        <v>288</v>
      </c>
      <c r="C786" s="290" t="s">
        <v>289</v>
      </c>
      <c r="D786" s="143" t="s">
        <v>69</v>
      </c>
      <c r="E786" s="257">
        <v>10000000</v>
      </c>
      <c r="F786" s="257">
        <v>10000000</v>
      </c>
      <c r="G786" s="257">
        <v>0</v>
      </c>
      <c r="H786" s="257">
        <v>0</v>
      </c>
      <c r="I786" s="257">
        <v>0</v>
      </c>
      <c r="J786" s="257">
        <v>0</v>
      </c>
      <c r="K786" s="257">
        <v>0</v>
      </c>
      <c r="L786" s="257">
        <v>0</v>
      </c>
      <c r="M786" s="257"/>
      <c r="N786" s="279">
        <v>10000000</v>
      </c>
      <c r="O786" s="257">
        <v>0</v>
      </c>
    </row>
    <row r="787" spans="1:16" s="143" customFormat="1" hidden="1" x14ac:dyDescent="0.25">
      <c r="A787" s="143">
        <v>214791</v>
      </c>
      <c r="C787" s="290"/>
      <c r="D787" s="143" t="s">
        <v>69</v>
      </c>
      <c r="E787" s="257">
        <v>7826709762</v>
      </c>
      <c r="F787" s="257">
        <v>7826709762</v>
      </c>
      <c r="G787" s="257">
        <v>7580676047</v>
      </c>
      <c r="H787" s="257">
        <v>0</v>
      </c>
      <c r="I787" s="257">
        <v>929274094.96000004</v>
      </c>
      <c r="J787" s="257">
        <v>0</v>
      </c>
      <c r="K787" s="257">
        <v>2033438013.3900001</v>
      </c>
      <c r="L787" s="257">
        <v>2033438013.3900001</v>
      </c>
      <c r="M787" s="257"/>
      <c r="N787" s="279">
        <v>4863997653.6499996</v>
      </c>
      <c r="O787" s="257">
        <v>4617963938.6499996</v>
      </c>
    </row>
    <row r="788" spans="1:16" s="143" customFormat="1" x14ac:dyDescent="0.25">
      <c r="C788" s="290"/>
      <c r="E788" s="257"/>
      <c r="F788" s="292">
        <f>SUBTOTAL(9,F708:F787)</f>
        <v>12079929981</v>
      </c>
      <c r="G788" s="257"/>
      <c r="H788" s="257"/>
      <c r="I788" s="257"/>
      <c r="J788" s="257"/>
      <c r="K788" s="292">
        <f>SUBTOTAL(9,K708:K787)</f>
        <v>2908055440.23</v>
      </c>
      <c r="L788" s="257"/>
      <c r="M788" s="293">
        <f>+K788/F788</f>
        <v>0.24073446160730688</v>
      </c>
      <c r="N788" s="341">
        <f>SUBTOTAL(9,N708:N787)</f>
        <v>7744746928.5500011</v>
      </c>
      <c r="O788" s="257"/>
      <c r="P788" s="295">
        <f>+N788/F788</f>
        <v>0.64112515062019226</v>
      </c>
    </row>
    <row r="789" spans="1:16" s="143" customFormat="1" x14ac:dyDescent="0.25">
      <c r="C789" s="290"/>
      <c r="E789" s="257"/>
      <c r="F789" s="305"/>
      <c r="G789" s="257"/>
      <c r="H789" s="257"/>
      <c r="I789" s="257"/>
      <c r="J789" s="257"/>
      <c r="K789" s="305"/>
      <c r="L789" s="257"/>
      <c r="M789" s="306"/>
      <c r="N789" s="305"/>
      <c r="O789" s="257"/>
      <c r="P789" s="307"/>
    </row>
    <row r="790" spans="1:16" s="143" customFormat="1" x14ac:dyDescent="0.25">
      <c r="C790" s="290"/>
      <c r="E790" s="257"/>
      <c r="F790" s="305"/>
      <c r="G790" s="257"/>
      <c r="H790" s="257"/>
      <c r="I790" s="257"/>
      <c r="J790" s="257"/>
      <c r="K790" s="305"/>
      <c r="L790" s="257"/>
      <c r="M790" s="306"/>
      <c r="N790" s="305"/>
      <c r="O790" s="257"/>
      <c r="P790" s="307"/>
    </row>
    <row r="791" spans="1:16" s="143" customFormat="1" x14ac:dyDescent="0.25">
      <c r="C791" s="290"/>
      <c r="E791" s="257"/>
      <c r="F791" s="305"/>
      <c r="G791" s="257"/>
      <c r="H791" s="257"/>
      <c r="I791" s="257"/>
      <c r="J791" s="257"/>
      <c r="K791" s="305"/>
      <c r="L791" s="257"/>
      <c r="M791" s="306"/>
      <c r="N791" s="305"/>
      <c r="O791" s="257"/>
      <c r="P791" s="307"/>
    </row>
    <row r="792" spans="1:16" s="143" customFormat="1" x14ac:dyDescent="0.25">
      <c r="C792" s="290"/>
      <c r="E792" s="257"/>
      <c r="F792" s="305"/>
      <c r="G792" s="257"/>
      <c r="H792" s="257"/>
      <c r="I792" s="257"/>
      <c r="J792" s="257"/>
      <c r="K792" s="305"/>
      <c r="L792" s="257"/>
      <c r="M792" s="306"/>
      <c r="N792" s="305"/>
      <c r="O792" s="257"/>
      <c r="P792" s="307"/>
    </row>
    <row r="793" spans="1:16" s="143" customFormat="1" x14ac:dyDescent="0.25">
      <c r="A793" s="280" t="s">
        <v>706</v>
      </c>
      <c r="B793" s="281" t="s">
        <v>71</v>
      </c>
      <c r="C793" s="282" t="s">
        <v>72</v>
      </c>
      <c r="E793" s="257"/>
      <c r="F793" s="284">
        <v>1329087181</v>
      </c>
      <c r="G793" s="284">
        <v>321472441.04000002</v>
      </c>
      <c r="H793" s="285">
        <v>0.24187460810368</v>
      </c>
      <c r="I793" s="286">
        <v>854855378.65999997</v>
      </c>
      <c r="J793" s="287">
        <v>0.64318984554256997</v>
      </c>
      <c r="K793" s="284">
        <v>321472441.04000002</v>
      </c>
      <c r="L793" s="257"/>
      <c r="M793" s="285">
        <v>0.24187460810368</v>
      </c>
      <c r="N793" s="286">
        <v>854855378.65999997</v>
      </c>
      <c r="O793" s="257"/>
      <c r="P793" s="287">
        <v>0.64318984554256997</v>
      </c>
    </row>
    <row r="794" spans="1:16" s="143" customFormat="1" x14ac:dyDescent="0.25">
      <c r="A794" s="280" t="s">
        <v>706</v>
      </c>
      <c r="B794" s="281" t="s">
        <v>104</v>
      </c>
      <c r="C794" s="282" t="s">
        <v>105</v>
      </c>
      <c r="E794" s="257"/>
      <c r="F794" s="284">
        <v>1188545520</v>
      </c>
      <c r="G794" s="284">
        <v>124041910</v>
      </c>
      <c r="H794" s="285">
        <v>0.10436445883873301</v>
      </c>
      <c r="I794" s="286">
        <v>928886100.42999995</v>
      </c>
      <c r="J794" s="287">
        <v>0.78153178384787503</v>
      </c>
      <c r="K794" s="284">
        <v>124041910</v>
      </c>
      <c r="L794" s="257"/>
      <c r="M794" s="285">
        <v>0.10436445883873301</v>
      </c>
      <c r="N794" s="286">
        <v>928886100.42999995</v>
      </c>
      <c r="O794" s="257"/>
      <c r="P794" s="287">
        <v>0.78153178384787503</v>
      </c>
    </row>
    <row r="795" spans="1:16" s="143" customFormat="1" x14ac:dyDescent="0.25">
      <c r="A795" s="280" t="s">
        <v>706</v>
      </c>
      <c r="B795" s="281" t="s">
        <v>184</v>
      </c>
      <c r="C795" s="282" t="s">
        <v>185</v>
      </c>
      <c r="E795" s="257"/>
      <c r="F795" s="284">
        <v>56348380</v>
      </c>
      <c r="G795" s="284">
        <v>4202489.1399999997</v>
      </c>
      <c r="H795" s="285">
        <v>7.4580478444988094E-2</v>
      </c>
      <c r="I795" s="286">
        <v>46815870.18</v>
      </c>
      <c r="J795" s="287">
        <v>0.8308290350139611</v>
      </c>
      <c r="K795" s="284">
        <v>4202489.1399999997</v>
      </c>
      <c r="L795" s="257"/>
      <c r="M795" s="285">
        <v>7.4580478444988094E-2</v>
      </c>
      <c r="N795" s="286">
        <v>46815870.18</v>
      </c>
      <c r="O795" s="257"/>
      <c r="P795" s="287">
        <v>0.8308290350139611</v>
      </c>
    </row>
    <row r="796" spans="1:16" s="143" customFormat="1" x14ac:dyDescent="0.25">
      <c r="A796" s="280" t="s">
        <v>706</v>
      </c>
      <c r="B796" s="281" t="s">
        <v>230</v>
      </c>
      <c r="C796" s="282" t="s">
        <v>231</v>
      </c>
      <c r="E796" s="257"/>
      <c r="F796" s="284">
        <v>744452300</v>
      </c>
      <c r="G796" s="284">
        <v>0</v>
      </c>
      <c r="H796" s="285">
        <v>0</v>
      </c>
      <c r="I796" s="286">
        <v>699368579</v>
      </c>
      <c r="J796" s="287">
        <v>0.93944041680037804</v>
      </c>
      <c r="K796" s="284">
        <v>0</v>
      </c>
      <c r="L796" s="257"/>
      <c r="M796" s="285">
        <v>0</v>
      </c>
      <c r="N796" s="286">
        <v>699368579</v>
      </c>
      <c r="O796" s="257"/>
      <c r="P796" s="287">
        <v>0.93944041680037804</v>
      </c>
    </row>
    <row r="797" spans="1:16" s="143" customFormat="1" x14ac:dyDescent="0.25">
      <c r="A797" s="280" t="s">
        <v>706</v>
      </c>
      <c r="B797" s="281" t="s">
        <v>248</v>
      </c>
      <c r="C797" s="282" t="s">
        <v>249</v>
      </c>
      <c r="E797" s="257"/>
      <c r="F797" s="284">
        <v>218960452</v>
      </c>
      <c r="G797" s="284">
        <v>5166764.62</v>
      </c>
      <c r="H797" s="285">
        <v>2.3596793726019499E-2</v>
      </c>
      <c r="I797" s="286">
        <v>200642964</v>
      </c>
      <c r="J797" s="287">
        <v>0.91634339519905605</v>
      </c>
      <c r="K797" s="284">
        <v>5166764.62</v>
      </c>
      <c r="L797" s="257"/>
      <c r="M797" s="285">
        <v>2.3596793726019499E-2</v>
      </c>
      <c r="N797" s="286">
        <v>200642964</v>
      </c>
      <c r="O797" s="257"/>
      <c r="P797" s="287">
        <v>0.91634339519905605</v>
      </c>
    </row>
    <row r="798" spans="1:16" s="143" customFormat="1" x14ac:dyDescent="0.25">
      <c r="C798" s="290"/>
      <c r="E798" s="257"/>
      <c r="F798" s="292">
        <v>3537393833</v>
      </c>
      <c r="G798" s="292">
        <v>454883604.80000001</v>
      </c>
      <c r="H798" s="293">
        <v>0.128592864203142</v>
      </c>
      <c r="I798" s="294">
        <v>2730568892.27</v>
      </c>
      <c r="J798" s="295">
        <v>0.77191543299385901</v>
      </c>
      <c r="K798" s="292">
        <v>454883604.80000001</v>
      </c>
      <c r="L798" s="257"/>
      <c r="M798" s="293">
        <v>0.128592864203142</v>
      </c>
      <c r="N798" s="294">
        <v>2730568892.27</v>
      </c>
      <c r="O798" s="257"/>
      <c r="P798" s="295">
        <v>0.77191543299385901</v>
      </c>
    </row>
    <row r="799" spans="1:16" s="143" customFormat="1" x14ac:dyDescent="0.25">
      <c r="C799" s="290"/>
      <c r="E799" s="257"/>
      <c r="F799" s="305"/>
      <c r="G799" s="257"/>
      <c r="H799" s="257"/>
      <c r="I799" s="257"/>
      <c r="J799" s="257"/>
      <c r="K799" s="305"/>
      <c r="L799" s="257"/>
      <c r="M799" s="306"/>
      <c r="N799" s="305"/>
      <c r="O799" s="257"/>
      <c r="P799" s="307"/>
    </row>
    <row r="800" spans="1:16" s="143" customFormat="1" x14ac:dyDescent="0.25">
      <c r="A800" s="291"/>
      <c r="C800" s="290"/>
      <c r="E800" s="257"/>
      <c r="F800" s="257"/>
      <c r="G800" s="257"/>
      <c r="H800" s="257"/>
      <c r="I800" s="257"/>
      <c r="J800" s="257"/>
      <c r="K800" s="257"/>
      <c r="L800" s="257"/>
      <c r="M800" s="257"/>
      <c r="N800" s="257"/>
      <c r="O800" s="257"/>
    </row>
    <row r="801" spans="1:16" s="143" customFormat="1" x14ac:dyDescent="0.25">
      <c r="A801" s="296" t="s">
        <v>719</v>
      </c>
      <c r="B801" s="297" t="s">
        <v>71</v>
      </c>
      <c r="C801" s="298" t="s">
        <v>72</v>
      </c>
      <c r="D801" s="299" t="s">
        <v>69</v>
      </c>
      <c r="E801" s="257">
        <v>7726375169</v>
      </c>
      <c r="F801" s="300">
        <v>7726375169</v>
      </c>
      <c r="G801" s="257">
        <v>7483123722</v>
      </c>
      <c r="H801" s="257">
        <v>0</v>
      </c>
      <c r="I801" s="257">
        <v>855363171.38999999</v>
      </c>
      <c r="J801" s="257">
        <v>0</v>
      </c>
      <c r="K801" s="300">
        <v>2007014343.96</v>
      </c>
      <c r="L801" s="257">
        <v>2007014343.96</v>
      </c>
      <c r="M801" s="301">
        <f>+K801/F801</f>
        <v>0.25976144052810235</v>
      </c>
      <c r="N801" s="302">
        <v>4863997653.6499996</v>
      </c>
      <c r="O801" s="257">
        <v>4620746206.6499996</v>
      </c>
      <c r="P801" s="303">
        <f>+N801/F801</f>
        <v>0.62953164288028374</v>
      </c>
    </row>
    <row r="802" spans="1:16" s="143" customFormat="1" hidden="1" x14ac:dyDescent="0.25">
      <c r="A802" s="143" t="s">
        <v>719</v>
      </c>
      <c r="B802" s="143" t="s">
        <v>73</v>
      </c>
      <c r="C802" s="290" t="s">
        <v>74</v>
      </c>
      <c r="D802" s="143" t="s">
        <v>69</v>
      </c>
      <c r="E802" s="257">
        <v>2598911346</v>
      </c>
      <c r="F802" s="257">
        <v>2598911346</v>
      </c>
      <c r="G802" s="257">
        <v>2513033928</v>
      </c>
      <c r="H802" s="257">
        <v>0</v>
      </c>
      <c r="I802" s="257">
        <v>0</v>
      </c>
      <c r="J802" s="257">
        <v>0</v>
      </c>
      <c r="K802" s="257">
        <v>603769766.25</v>
      </c>
      <c r="L802" s="257">
        <v>603769766.25</v>
      </c>
      <c r="M802" s="288">
        <f>K802/F802*100</f>
        <v>23.231641478623949</v>
      </c>
      <c r="N802" s="257">
        <v>1995141579.75</v>
      </c>
      <c r="O802" s="257">
        <v>1909264161.75</v>
      </c>
      <c r="P802" s="289">
        <f>N802/F802*100</f>
        <v>76.768358521376044</v>
      </c>
    </row>
    <row r="803" spans="1:16" s="143" customFormat="1" hidden="1" x14ac:dyDescent="0.25">
      <c r="A803" s="143" t="s">
        <v>719</v>
      </c>
      <c r="B803" s="143" t="s">
        <v>75</v>
      </c>
      <c r="C803" s="290" t="s">
        <v>76</v>
      </c>
      <c r="D803" s="143" t="s">
        <v>69</v>
      </c>
      <c r="E803" s="257">
        <v>2598911346</v>
      </c>
      <c r="F803" s="257">
        <v>2598911346</v>
      </c>
      <c r="G803" s="257">
        <v>2513033928</v>
      </c>
      <c r="H803" s="257">
        <v>0</v>
      </c>
      <c r="I803" s="257">
        <v>0</v>
      </c>
      <c r="J803" s="257">
        <v>0</v>
      </c>
      <c r="K803" s="257">
        <v>603769766.25</v>
      </c>
      <c r="L803" s="257">
        <v>603769766.25</v>
      </c>
      <c r="M803" s="257"/>
      <c r="N803" s="279">
        <v>1995141579.75</v>
      </c>
      <c r="O803" s="257">
        <v>1909264161.75</v>
      </c>
    </row>
    <row r="804" spans="1:16" s="143" customFormat="1" hidden="1" x14ac:dyDescent="0.25">
      <c r="A804" s="143" t="s">
        <v>719</v>
      </c>
      <c r="B804" s="143" t="s">
        <v>77</v>
      </c>
      <c r="C804" s="290" t="s">
        <v>78</v>
      </c>
      <c r="D804" s="143" t="s">
        <v>69</v>
      </c>
      <c r="E804" s="257">
        <v>3948833757</v>
      </c>
      <c r="F804" s="257">
        <v>3948833757</v>
      </c>
      <c r="G804" s="257">
        <v>3824143001</v>
      </c>
      <c r="H804" s="257">
        <v>0</v>
      </c>
      <c r="I804" s="257">
        <v>0</v>
      </c>
      <c r="J804" s="257">
        <v>0</v>
      </c>
      <c r="K804" s="257">
        <v>1079977683.0999999</v>
      </c>
      <c r="L804" s="257">
        <v>1079977683.0999999</v>
      </c>
      <c r="M804" s="288">
        <f>K804/F804*100</f>
        <v>27.349282080704214</v>
      </c>
      <c r="N804" s="257">
        <v>2868856073.9000001</v>
      </c>
      <c r="O804" s="257">
        <v>2744165317.9000001</v>
      </c>
      <c r="P804" s="289">
        <f>N804/F804*100</f>
        <v>72.650717919295786</v>
      </c>
    </row>
    <row r="805" spans="1:16" s="143" customFormat="1" ht="30" hidden="1" x14ac:dyDescent="0.25">
      <c r="A805" s="143" t="s">
        <v>719</v>
      </c>
      <c r="B805" s="143" t="s">
        <v>79</v>
      </c>
      <c r="C805" s="290" t="s">
        <v>80</v>
      </c>
      <c r="D805" s="143" t="s">
        <v>69</v>
      </c>
      <c r="E805" s="257">
        <v>655368000</v>
      </c>
      <c r="F805" s="257">
        <v>655368000</v>
      </c>
      <c r="G805" s="257">
        <v>628349621</v>
      </c>
      <c r="H805" s="257">
        <v>0</v>
      </c>
      <c r="I805" s="257">
        <v>0</v>
      </c>
      <c r="J805" s="257">
        <v>0</v>
      </c>
      <c r="K805" s="257">
        <v>144327673.84999999</v>
      </c>
      <c r="L805" s="257">
        <v>144327673.84999999</v>
      </c>
      <c r="M805" s="257"/>
      <c r="N805" s="279">
        <v>511040326.14999998</v>
      </c>
      <c r="O805" s="257">
        <v>484021947.14999998</v>
      </c>
    </row>
    <row r="806" spans="1:16" s="143" customFormat="1" ht="30" hidden="1" x14ac:dyDescent="0.25">
      <c r="A806" s="143" t="s">
        <v>719</v>
      </c>
      <c r="B806" s="143" t="s">
        <v>81</v>
      </c>
      <c r="C806" s="290" t="s">
        <v>82</v>
      </c>
      <c r="D806" s="143" t="s">
        <v>69</v>
      </c>
      <c r="E806" s="257">
        <v>1818533000</v>
      </c>
      <c r="F806" s="257">
        <v>1818533000</v>
      </c>
      <c r="G806" s="257">
        <v>1771965067</v>
      </c>
      <c r="H806" s="257">
        <v>0</v>
      </c>
      <c r="I806" s="257">
        <v>0</v>
      </c>
      <c r="J806" s="257">
        <v>0</v>
      </c>
      <c r="K806" s="257">
        <v>413166546.50999999</v>
      </c>
      <c r="L806" s="257">
        <v>413166546.50999999</v>
      </c>
      <c r="M806" s="257"/>
      <c r="N806" s="279">
        <v>1405366453.49</v>
      </c>
      <c r="O806" s="257">
        <v>1358798520.49</v>
      </c>
    </row>
    <row r="807" spans="1:16" s="143" customFormat="1" hidden="1" x14ac:dyDescent="0.25">
      <c r="A807" s="143" t="s">
        <v>719</v>
      </c>
      <c r="B807" s="143" t="s">
        <v>83</v>
      </c>
      <c r="C807" s="290" t="s">
        <v>84</v>
      </c>
      <c r="D807" s="143" t="s">
        <v>85</v>
      </c>
      <c r="E807" s="257">
        <v>503486357</v>
      </c>
      <c r="F807" s="257">
        <v>503486357</v>
      </c>
      <c r="G807" s="257">
        <v>489524732</v>
      </c>
      <c r="H807" s="257">
        <v>0</v>
      </c>
      <c r="I807" s="257">
        <v>0</v>
      </c>
      <c r="J807" s="257">
        <v>0</v>
      </c>
      <c r="K807" s="257">
        <v>0</v>
      </c>
      <c r="L807" s="257">
        <v>0</v>
      </c>
      <c r="M807" s="257"/>
      <c r="N807" s="279">
        <v>503486357</v>
      </c>
      <c r="O807" s="257">
        <v>489524732</v>
      </c>
    </row>
    <row r="808" spans="1:16" s="143" customFormat="1" hidden="1" x14ac:dyDescent="0.25">
      <c r="A808" s="143" t="s">
        <v>719</v>
      </c>
      <c r="B808" s="143" t="s">
        <v>86</v>
      </c>
      <c r="C808" s="290" t="s">
        <v>87</v>
      </c>
      <c r="D808" s="143" t="s">
        <v>69</v>
      </c>
      <c r="E808" s="257">
        <v>463338500</v>
      </c>
      <c r="F808" s="257">
        <v>463338500</v>
      </c>
      <c r="G808" s="257">
        <v>434338500</v>
      </c>
      <c r="H808" s="257">
        <v>0</v>
      </c>
      <c r="I808" s="257">
        <v>0</v>
      </c>
      <c r="J808" s="257">
        <v>0</v>
      </c>
      <c r="K808" s="257">
        <v>407415356.12</v>
      </c>
      <c r="L808" s="257">
        <v>407415356.12</v>
      </c>
      <c r="M808" s="257"/>
      <c r="N808" s="279">
        <v>55923143.880000003</v>
      </c>
      <c r="O808" s="257">
        <v>26923143.879999999</v>
      </c>
    </row>
    <row r="809" spans="1:16" s="143" customFormat="1" ht="30" hidden="1" x14ac:dyDescent="0.25">
      <c r="A809" s="143" t="s">
        <v>719</v>
      </c>
      <c r="B809" s="143" t="s">
        <v>88</v>
      </c>
      <c r="C809" s="290" t="s">
        <v>89</v>
      </c>
      <c r="D809" s="143" t="s">
        <v>69</v>
      </c>
      <c r="E809" s="257">
        <v>508107900</v>
      </c>
      <c r="F809" s="257">
        <v>508107900</v>
      </c>
      <c r="G809" s="257">
        <v>499965081</v>
      </c>
      <c r="H809" s="257">
        <v>0</v>
      </c>
      <c r="I809" s="257">
        <v>0</v>
      </c>
      <c r="J809" s="257">
        <v>0</v>
      </c>
      <c r="K809" s="257">
        <v>115068106.62</v>
      </c>
      <c r="L809" s="257">
        <v>115068106.62</v>
      </c>
      <c r="M809" s="257"/>
      <c r="N809" s="279">
        <v>393039793.38</v>
      </c>
      <c r="O809" s="257">
        <v>384896974.38</v>
      </c>
    </row>
    <row r="810" spans="1:16" s="143" customFormat="1" ht="30" hidden="1" x14ac:dyDescent="0.25">
      <c r="A810" s="143" t="s">
        <v>719</v>
      </c>
      <c r="B810" s="143" t="s">
        <v>90</v>
      </c>
      <c r="C810" s="290" t="s">
        <v>91</v>
      </c>
      <c r="D810" s="143" t="s">
        <v>69</v>
      </c>
      <c r="E810" s="257">
        <v>589315133</v>
      </c>
      <c r="F810" s="257">
        <v>589315133</v>
      </c>
      <c r="G810" s="257">
        <v>572973497</v>
      </c>
      <c r="H810" s="257">
        <v>0</v>
      </c>
      <c r="I810" s="257">
        <v>425909715.81</v>
      </c>
      <c r="J810" s="257">
        <v>0</v>
      </c>
      <c r="K810" s="257">
        <v>163405417.19</v>
      </c>
      <c r="L810" s="257">
        <v>163405417.19</v>
      </c>
      <c r="M810" s="288">
        <f>K810/F810*100</f>
        <v>27.728019872518701</v>
      </c>
      <c r="N810" s="257">
        <v>0</v>
      </c>
      <c r="O810" s="275">
        <v>-16341636</v>
      </c>
      <c r="P810" s="289">
        <f>N810/F810*100</f>
        <v>0</v>
      </c>
    </row>
    <row r="811" spans="1:16" s="143" customFormat="1" ht="90" hidden="1" x14ac:dyDescent="0.25">
      <c r="A811" s="143" t="s">
        <v>719</v>
      </c>
      <c r="B811" s="143" t="s">
        <v>428</v>
      </c>
      <c r="C811" s="290" t="s">
        <v>697</v>
      </c>
      <c r="D811" s="143" t="s">
        <v>69</v>
      </c>
      <c r="E811" s="257">
        <v>559093873</v>
      </c>
      <c r="F811" s="257">
        <v>559093873</v>
      </c>
      <c r="G811" s="257">
        <v>543590268</v>
      </c>
      <c r="H811" s="257">
        <v>0</v>
      </c>
      <c r="I811" s="257">
        <v>404067673.25</v>
      </c>
      <c r="J811" s="257">
        <v>0</v>
      </c>
      <c r="K811" s="257">
        <v>155026199.75</v>
      </c>
      <c r="L811" s="257">
        <v>155026199.75</v>
      </c>
      <c r="M811" s="257"/>
      <c r="N811" s="279">
        <v>0</v>
      </c>
      <c r="O811" s="275">
        <v>-15503605</v>
      </c>
    </row>
    <row r="812" spans="1:16" s="143" customFormat="1" ht="75" hidden="1" x14ac:dyDescent="0.25">
      <c r="A812" s="143" t="s">
        <v>719</v>
      </c>
      <c r="B812" s="143" t="s">
        <v>445</v>
      </c>
      <c r="C812" s="290" t="s">
        <v>95</v>
      </c>
      <c r="D812" s="143" t="s">
        <v>69</v>
      </c>
      <c r="E812" s="257">
        <v>30221260</v>
      </c>
      <c r="F812" s="257">
        <v>30221260</v>
      </c>
      <c r="G812" s="257">
        <v>29383229</v>
      </c>
      <c r="H812" s="257">
        <v>0</v>
      </c>
      <c r="I812" s="257">
        <v>21842042.559999999</v>
      </c>
      <c r="J812" s="257">
        <v>0</v>
      </c>
      <c r="K812" s="257">
        <v>8379217.4400000004</v>
      </c>
      <c r="L812" s="257">
        <v>8379217.4400000004</v>
      </c>
      <c r="M812" s="257"/>
      <c r="N812" s="279">
        <v>0</v>
      </c>
      <c r="O812" s="275">
        <v>-838031</v>
      </c>
    </row>
    <row r="813" spans="1:16" s="143" customFormat="1" ht="30" hidden="1" x14ac:dyDescent="0.25">
      <c r="A813" s="143" t="s">
        <v>719</v>
      </c>
      <c r="B813" s="143" t="s">
        <v>96</v>
      </c>
      <c r="C813" s="290" t="s">
        <v>97</v>
      </c>
      <c r="D813" s="143" t="s">
        <v>69</v>
      </c>
      <c r="E813" s="257">
        <v>589314933</v>
      </c>
      <c r="F813" s="257">
        <v>589314933</v>
      </c>
      <c r="G813" s="257">
        <v>572973296</v>
      </c>
      <c r="H813" s="257">
        <v>0</v>
      </c>
      <c r="I813" s="257">
        <v>429453455.57999998</v>
      </c>
      <c r="J813" s="257">
        <v>0</v>
      </c>
      <c r="K813" s="257">
        <v>159861477.41999999</v>
      </c>
      <c r="L813" s="257">
        <v>159861477.41999999</v>
      </c>
      <c r="M813" s="288">
        <f>K813/F813*100</f>
        <v>27.126663260711908</v>
      </c>
      <c r="N813" s="257">
        <v>0</v>
      </c>
      <c r="O813" s="275">
        <v>-16341637</v>
      </c>
      <c r="P813" s="289">
        <f>N813/F813*100</f>
        <v>0</v>
      </c>
    </row>
    <row r="814" spans="1:16" s="143" customFormat="1" ht="90" hidden="1" x14ac:dyDescent="0.25">
      <c r="A814" s="143" t="s">
        <v>719</v>
      </c>
      <c r="B814" s="143" t="s">
        <v>463</v>
      </c>
      <c r="C814" s="290" t="s">
        <v>698</v>
      </c>
      <c r="D814" s="143" t="s">
        <v>69</v>
      </c>
      <c r="E814" s="257">
        <v>317323487</v>
      </c>
      <c r="F814" s="257">
        <v>317323487</v>
      </c>
      <c r="G814" s="257">
        <v>308524144</v>
      </c>
      <c r="H814" s="257">
        <v>0</v>
      </c>
      <c r="I814" s="257">
        <v>232875125.75</v>
      </c>
      <c r="J814" s="257">
        <v>0</v>
      </c>
      <c r="K814" s="257">
        <v>84448361.25</v>
      </c>
      <c r="L814" s="257">
        <v>84448361.25</v>
      </c>
      <c r="M814" s="257"/>
      <c r="N814" s="279">
        <v>0</v>
      </c>
      <c r="O814" s="275">
        <v>-8799343</v>
      </c>
    </row>
    <row r="815" spans="1:16" s="143" customFormat="1" ht="90" hidden="1" x14ac:dyDescent="0.25">
      <c r="A815" s="143" t="s">
        <v>719</v>
      </c>
      <c r="B815" s="143" t="s">
        <v>480</v>
      </c>
      <c r="C815" s="290" t="s">
        <v>699</v>
      </c>
      <c r="D815" s="143" t="s">
        <v>69</v>
      </c>
      <c r="E815" s="257">
        <v>90663782</v>
      </c>
      <c r="F815" s="257">
        <v>90663782</v>
      </c>
      <c r="G815" s="257">
        <v>88149684</v>
      </c>
      <c r="H815" s="257">
        <v>0</v>
      </c>
      <c r="I815" s="257">
        <v>65526056.32</v>
      </c>
      <c r="J815" s="257">
        <v>0</v>
      </c>
      <c r="K815" s="257">
        <v>25137725.68</v>
      </c>
      <c r="L815" s="257">
        <v>25137725.68</v>
      </c>
      <c r="M815" s="257"/>
      <c r="N815" s="279">
        <v>0</v>
      </c>
      <c r="O815" s="275">
        <v>-2514098</v>
      </c>
    </row>
    <row r="816" spans="1:16" s="143" customFormat="1" ht="90" hidden="1" x14ac:dyDescent="0.25">
      <c r="A816" s="143" t="s">
        <v>719</v>
      </c>
      <c r="B816" s="143" t="s">
        <v>497</v>
      </c>
      <c r="C816" s="290" t="s">
        <v>700</v>
      </c>
      <c r="D816" s="143" t="s">
        <v>69</v>
      </c>
      <c r="E816" s="257">
        <v>181327664</v>
      </c>
      <c r="F816" s="257">
        <v>181327664</v>
      </c>
      <c r="G816" s="257">
        <v>176299468</v>
      </c>
      <c r="H816" s="257">
        <v>0</v>
      </c>
      <c r="I816" s="257">
        <v>131052273.51000001</v>
      </c>
      <c r="J816" s="257">
        <v>0</v>
      </c>
      <c r="K816" s="257">
        <v>50275390.490000002</v>
      </c>
      <c r="L816" s="257">
        <v>50275390.490000002</v>
      </c>
      <c r="M816" s="257"/>
      <c r="N816" s="279">
        <v>0</v>
      </c>
      <c r="O816" s="275">
        <v>-5028196</v>
      </c>
    </row>
    <row r="817" spans="1:16" s="143" customFormat="1" x14ac:dyDescent="0.25">
      <c r="A817" s="296" t="s">
        <v>719</v>
      </c>
      <c r="B817" s="297" t="s">
        <v>248</v>
      </c>
      <c r="C817" s="298" t="s">
        <v>249</v>
      </c>
      <c r="D817" s="299" t="s">
        <v>69</v>
      </c>
      <c r="E817" s="257">
        <v>100334593</v>
      </c>
      <c r="F817" s="300">
        <v>100334593</v>
      </c>
      <c r="G817" s="257">
        <v>97552325</v>
      </c>
      <c r="H817" s="257">
        <v>0</v>
      </c>
      <c r="I817" s="257">
        <v>73910923.569999993</v>
      </c>
      <c r="J817" s="257">
        <v>0</v>
      </c>
      <c r="K817" s="300">
        <v>26423669.43</v>
      </c>
      <c r="L817" s="257">
        <v>26423669.43</v>
      </c>
      <c r="M817" s="301">
        <f>+K817/F817</f>
        <v>0.26335552514774241</v>
      </c>
      <c r="N817" s="302">
        <v>0</v>
      </c>
      <c r="O817" s="275">
        <v>-2782268</v>
      </c>
      <c r="P817" s="303">
        <f>+N817/F817</f>
        <v>0</v>
      </c>
    </row>
    <row r="818" spans="1:16" s="143" customFormat="1" ht="30" hidden="1" x14ac:dyDescent="0.25">
      <c r="A818" s="143" t="s">
        <v>719</v>
      </c>
      <c r="B818" s="143" t="s">
        <v>250</v>
      </c>
      <c r="C818" s="290" t="s">
        <v>251</v>
      </c>
      <c r="D818" s="143" t="s">
        <v>69</v>
      </c>
      <c r="E818" s="257">
        <v>100334593</v>
      </c>
      <c r="F818" s="257">
        <v>100334593</v>
      </c>
      <c r="G818" s="257">
        <v>97552325</v>
      </c>
      <c r="H818" s="257">
        <v>0</v>
      </c>
      <c r="I818" s="257">
        <v>73910923.569999993</v>
      </c>
      <c r="J818" s="257">
        <v>0</v>
      </c>
      <c r="K818" s="257">
        <v>26423669.43</v>
      </c>
      <c r="L818" s="257">
        <v>26423669.43</v>
      </c>
      <c r="M818" s="257"/>
      <c r="N818" s="279">
        <v>0</v>
      </c>
      <c r="O818" s="275">
        <v>-2782268</v>
      </c>
    </row>
    <row r="819" spans="1:16" s="143" customFormat="1" ht="90" hidden="1" x14ac:dyDescent="0.25">
      <c r="A819" s="143" t="s">
        <v>719</v>
      </c>
      <c r="B819" s="143" t="s">
        <v>637</v>
      </c>
      <c r="C819" s="290" t="s">
        <v>702</v>
      </c>
      <c r="D819" s="143" t="s">
        <v>69</v>
      </c>
      <c r="E819" s="257">
        <v>85224013</v>
      </c>
      <c r="F819" s="257">
        <v>85224013</v>
      </c>
      <c r="G819" s="257">
        <v>82860761</v>
      </c>
      <c r="H819" s="257">
        <v>0</v>
      </c>
      <c r="I819" s="257">
        <v>62992111.640000001</v>
      </c>
      <c r="J819" s="257">
        <v>0</v>
      </c>
      <c r="K819" s="257">
        <v>22231901.359999999</v>
      </c>
      <c r="L819" s="257">
        <v>22231901.359999999</v>
      </c>
      <c r="M819" s="257"/>
      <c r="N819" s="279">
        <v>0</v>
      </c>
      <c r="O819" s="275">
        <v>-2363252</v>
      </c>
    </row>
    <row r="820" spans="1:16" s="143" customFormat="1" ht="90" hidden="1" x14ac:dyDescent="0.25">
      <c r="A820" s="143" t="s">
        <v>719</v>
      </c>
      <c r="B820" s="143" t="s">
        <v>652</v>
      </c>
      <c r="C820" s="290" t="s">
        <v>703</v>
      </c>
      <c r="D820" s="143" t="s">
        <v>69</v>
      </c>
      <c r="E820" s="257">
        <v>15110580</v>
      </c>
      <c r="F820" s="257">
        <v>15110580</v>
      </c>
      <c r="G820" s="257">
        <v>14691564</v>
      </c>
      <c r="H820" s="257">
        <v>0</v>
      </c>
      <c r="I820" s="257">
        <v>10918811.93</v>
      </c>
      <c r="J820" s="257">
        <v>0</v>
      </c>
      <c r="K820" s="257">
        <v>4191768.07</v>
      </c>
      <c r="L820" s="257">
        <v>4191768.07</v>
      </c>
      <c r="M820" s="257"/>
      <c r="N820" s="279">
        <v>0</v>
      </c>
      <c r="O820" s="275">
        <v>-419016</v>
      </c>
    </row>
    <row r="821" spans="1:16" s="143" customFormat="1" hidden="1" x14ac:dyDescent="0.25">
      <c r="A821" s="143">
        <v>214793</v>
      </c>
      <c r="C821" s="290"/>
      <c r="D821" s="143" t="s">
        <v>69</v>
      </c>
      <c r="E821" s="257">
        <v>918243709</v>
      </c>
      <c r="F821" s="257">
        <v>918243709</v>
      </c>
      <c r="G821" s="257">
        <v>889212768</v>
      </c>
      <c r="H821" s="257">
        <v>0</v>
      </c>
      <c r="I821" s="257">
        <v>109834669.45999999</v>
      </c>
      <c r="J821" s="257">
        <v>0</v>
      </c>
      <c r="K821" s="257">
        <v>251380701.75</v>
      </c>
      <c r="L821" s="257">
        <v>250946316.12</v>
      </c>
      <c r="M821" s="257"/>
      <c r="N821" s="279">
        <v>557028337.78999996</v>
      </c>
      <c r="O821" s="257">
        <v>527997396.79000002</v>
      </c>
    </row>
    <row r="822" spans="1:16" s="143" customFormat="1" x14ac:dyDescent="0.25">
      <c r="C822" s="290"/>
      <c r="E822" s="257"/>
      <c r="F822" s="292">
        <f>SUBTOTAL(9,F801:F821)</f>
        <v>24398372995</v>
      </c>
      <c r="G822" s="257"/>
      <c r="H822" s="257"/>
      <c r="I822" s="257"/>
      <c r="J822" s="257"/>
      <c r="K822" s="292">
        <f>SUBTOTAL(9,K801:K821)</f>
        <v>6351694741.9199991</v>
      </c>
      <c r="L822" s="257"/>
      <c r="M822" s="293">
        <f>+K822/F822</f>
        <v>0.26033271739970787</v>
      </c>
      <c r="N822" s="341">
        <f>SUBTOTAL(9,N801:N821)</f>
        <v>15149021298.739998</v>
      </c>
      <c r="O822" s="257"/>
      <c r="P822" s="295">
        <f>+N822/F822</f>
        <v>0.62090293077511816</v>
      </c>
    </row>
    <row r="823" spans="1:16" s="143" customFormat="1" x14ac:dyDescent="0.25">
      <c r="A823" s="291"/>
      <c r="C823" s="290"/>
      <c r="E823" s="257"/>
      <c r="F823" s="257"/>
      <c r="G823" s="257"/>
      <c r="H823" s="257"/>
      <c r="I823" s="257"/>
      <c r="J823" s="257"/>
      <c r="K823" s="257"/>
      <c r="L823" s="257"/>
      <c r="M823" s="257"/>
      <c r="N823" s="257"/>
      <c r="O823" s="257"/>
    </row>
    <row r="824" spans="1:16" s="143" customFormat="1" x14ac:dyDescent="0.25">
      <c r="A824" s="280" t="s">
        <v>720</v>
      </c>
      <c r="B824" s="281" t="s">
        <v>71</v>
      </c>
      <c r="C824" s="282" t="s">
        <v>72</v>
      </c>
      <c r="D824" s="283" t="s">
        <v>69</v>
      </c>
      <c r="E824" s="257">
        <v>899027714</v>
      </c>
      <c r="F824" s="284">
        <v>899027714</v>
      </c>
      <c r="G824" s="257">
        <v>875548918</v>
      </c>
      <c r="H824" s="257">
        <v>0</v>
      </c>
      <c r="I824" s="257">
        <v>96150954.329999998</v>
      </c>
      <c r="J824" s="257">
        <v>0</v>
      </c>
      <c r="K824" s="284">
        <v>246728120.40000001</v>
      </c>
      <c r="L824" s="257">
        <v>246728120.40000001</v>
      </c>
      <c r="M824" s="285">
        <f>+K824/F824</f>
        <v>0.27443883715469086</v>
      </c>
      <c r="N824" s="286">
        <v>556148639.26999998</v>
      </c>
      <c r="O824" s="257">
        <v>532669843.26999998</v>
      </c>
      <c r="P824" s="287">
        <f>+N824/F824</f>
        <v>0.61861122923069312</v>
      </c>
    </row>
    <row r="825" spans="1:16" s="143" customFormat="1" hidden="1" x14ac:dyDescent="0.25">
      <c r="A825" s="143" t="s">
        <v>720</v>
      </c>
      <c r="B825" s="143" t="s">
        <v>73</v>
      </c>
      <c r="C825" s="290" t="s">
        <v>74</v>
      </c>
      <c r="D825" s="143" t="s">
        <v>69</v>
      </c>
      <c r="E825" s="257">
        <v>305726500</v>
      </c>
      <c r="F825" s="257">
        <v>305726500</v>
      </c>
      <c r="G825" s="257">
        <v>298895500</v>
      </c>
      <c r="H825" s="257">
        <v>0</v>
      </c>
      <c r="I825" s="257">
        <v>0</v>
      </c>
      <c r="J825" s="257">
        <v>0</v>
      </c>
      <c r="K825" s="257">
        <v>74690418.840000004</v>
      </c>
      <c r="L825" s="257">
        <v>74690418.840000004</v>
      </c>
      <c r="M825" s="288">
        <f>K825/F825*100</f>
        <v>24.430469337790477</v>
      </c>
      <c r="N825" s="257">
        <v>231036081.16</v>
      </c>
      <c r="O825" s="257">
        <v>224205081.16</v>
      </c>
      <c r="P825" s="289">
        <f>N825/F825*100</f>
        <v>75.56953066220953</v>
      </c>
    </row>
    <row r="826" spans="1:16" s="143" customFormat="1" hidden="1" x14ac:dyDescent="0.25">
      <c r="A826" s="143" t="s">
        <v>720</v>
      </c>
      <c r="B826" s="143" t="s">
        <v>75</v>
      </c>
      <c r="C826" s="290" t="s">
        <v>76</v>
      </c>
      <c r="D826" s="143" t="s">
        <v>69</v>
      </c>
      <c r="E826" s="257">
        <v>305726500</v>
      </c>
      <c r="F826" s="257">
        <v>305726500</v>
      </c>
      <c r="G826" s="257">
        <v>298895500</v>
      </c>
      <c r="H826" s="257">
        <v>0</v>
      </c>
      <c r="I826" s="257">
        <v>0</v>
      </c>
      <c r="J826" s="257">
        <v>0</v>
      </c>
      <c r="K826" s="257">
        <v>74690418.840000004</v>
      </c>
      <c r="L826" s="257">
        <v>74690418.840000004</v>
      </c>
      <c r="M826" s="257"/>
      <c r="N826" s="279">
        <v>231036081.16</v>
      </c>
      <c r="O826" s="257">
        <v>224205081.16</v>
      </c>
    </row>
    <row r="827" spans="1:16" s="143" customFormat="1" hidden="1" x14ac:dyDescent="0.25">
      <c r="A827" s="143" t="s">
        <v>720</v>
      </c>
      <c r="B827" s="143" t="s">
        <v>77</v>
      </c>
      <c r="C827" s="290" t="s">
        <v>78</v>
      </c>
      <c r="D827" s="143" t="s">
        <v>69</v>
      </c>
      <c r="E827" s="257">
        <v>456157950</v>
      </c>
      <c r="F827" s="257">
        <v>456157950</v>
      </c>
      <c r="G827" s="257">
        <v>442252749</v>
      </c>
      <c r="H827" s="257">
        <v>0</v>
      </c>
      <c r="I827" s="257">
        <v>0</v>
      </c>
      <c r="J827" s="257">
        <v>0</v>
      </c>
      <c r="K827" s="257">
        <v>131045391.89</v>
      </c>
      <c r="L827" s="257">
        <v>131045391.89</v>
      </c>
      <c r="M827" s="288">
        <f>K827/F827*100</f>
        <v>28.728073661765624</v>
      </c>
      <c r="N827" s="257">
        <v>325112558.11000001</v>
      </c>
      <c r="O827" s="257">
        <v>311207357.11000001</v>
      </c>
      <c r="P827" s="289">
        <f>N827/F827*100</f>
        <v>71.27192633823438</v>
      </c>
    </row>
    <row r="828" spans="1:16" s="143" customFormat="1" ht="30" hidden="1" x14ac:dyDescent="0.25">
      <c r="A828" s="143" t="s">
        <v>720</v>
      </c>
      <c r="B828" s="143" t="s">
        <v>79</v>
      </c>
      <c r="C828" s="290" t="s">
        <v>80</v>
      </c>
      <c r="D828" s="143" t="s">
        <v>69</v>
      </c>
      <c r="E828" s="257">
        <v>79360300</v>
      </c>
      <c r="F828" s="257">
        <v>79360300</v>
      </c>
      <c r="G828" s="257">
        <v>75866543</v>
      </c>
      <c r="H828" s="257">
        <v>0</v>
      </c>
      <c r="I828" s="257">
        <v>0</v>
      </c>
      <c r="J828" s="257">
        <v>0</v>
      </c>
      <c r="K828" s="257">
        <v>18319559.98</v>
      </c>
      <c r="L828" s="257">
        <v>18319559.98</v>
      </c>
      <c r="M828" s="257"/>
      <c r="N828" s="279">
        <v>61040740.020000003</v>
      </c>
      <c r="O828" s="257">
        <v>57546983.020000003</v>
      </c>
    </row>
    <row r="829" spans="1:16" s="143" customFormat="1" ht="30" hidden="1" x14ac:dyDescent="0.25">
      <c r="A829" s="143" t="s">
        <v>720</v>
      </c>
      <c r="B829" s="143" t="s">
        <v>81</v>
      </c>
      <c r="C829" s="290" t="s">
        <v>82</v>
      </c>
      <c r="D829" s="143" t="s">
        <v>69</v>
      </c>
      <c r="E829" s="257">
        <v>203715000</v>
      </c>
      <c r="F829" s="257">
        <v>203715000</v>
      </c>
      <c r="G829" s="257">
        <v>200338818</v>
      </c>
      <c r="H829" s="257">
        <v>0</v>
      </c>
      <c r="I829" s="257">
        <v>0</v>
      </c>
      <c r="J829" s="257">
        <v>0</v>
      </c>
      <c r="K829" s="257">
        <v>50686253</v>
      </c>
      <c r="L829" s="257">
        <v>50686253</v>
      </c>
      <c r="M829" s="257"/>
      <c r="N829" s="279">
        <v>153028747</v>
      </c>
      <c r="O829" s="257">
        <v>149652565</v>
      </c>
    </row>
    <row r="830" spans="1:16" s="143" customFormat="1" hidden="1" x14ac:dyDescent="0.25">
      <c r="A830" s="143" t="s">
        <v>720</v>
      </c>
      <c r="B830" s="143" t="s">
        <v>83</v>
      </c>
      <c r="C830" s="290" t="s">
        <v>84</v>
      </c>
      <c r="D830" s="143" t="s">
        <v>85</v>
      </c>
      <c r="E830" s="257">
        <v>58584550</v>
      </c>
      <c r="F830" s="257">
        <v>58584550</v>
      </c>
      <c r="G830" s="257">
        <v>57412968</v>
      </c>
      <c r="H830" s="257">
        <v>0</v>
      </c>
      <c r="I830" s="257">
        <v>0</v>
      </c>
      <c r="J830" s="257">
        <v>0</v>
      </c>
      <c r="K830" s="257">
        <v>0</v>
      </c>
      <c r="L830" s="257">
        <v>0</v>
      </c>
      <c r="M830" s="257"/>
      <c r="N830" s="279">
        <v>58584550</v>
      </c>
      <c r="O830" s="257">
        <v>57412968</v>
      </c>
    </row>
    <row r="831" spans="1:16" s="143" customFormat="1" hidden="1" x14ac:dyDescent="0.25">
      <c r="A831" s="143" t="s">
        <v>720</v>
      </c>
      <c r="B831" s="143" t="s">
        <v>86</v>
      </c>
      <c r="C831" s="290" t="s">
        <v>87</v>
      </c>
      <c r="D831" s="143" t="s">
        <v>69</v>
      </c>
      <c r="E831" s="257">
        <v>53908100</v>
      </c>
      <c r="F831" s="257">
        <v>53908100</v>
      </c>
      <c r="G831" s="257">
        <v>48408100</v>
      </c>
      <c r="H831" s="257">
        <v>0</v>
      </c>
      <c r="I831" s="257">
        <v>0</v>
      </c>
      <c r="J831" s="257">
        <v>0</v>
      </c>
      <c r="K831" s="257">
        <v>47507997.909999996</v>
      </c>
      <c r="L831" s="257">
        <v>47507997.909999996</v>
      </c>
      <c r="M831" s="257"/>
      <c r="N831" s="279">
        <v>6400102.0899999999</v>
      </c>
      <c r="O831" s="257">
        <v>900102.09</v>
      </c>
    </row>
    <row r="832" spans="1:16" s="143" customFormat="1" ht="30" hidden="1" x14ac:dyDescent="0.25">
      <c r="A832" s="143" t="s">
        <v>720</v>
      </c>
      <c r="B832" s="143" t="s">
        <v>88</v>
      </c>
      <c r="C832" s="290" t="s">
        <v>89</v>
      </c>
      <c r="D832" s="143" t="s">
        <v>69</v>
      </c>
      <c r="E832" s="257">
        <v>60590000</v>
      </c>
      <c r="F832" s="257">
        <v>60590000</v>
      </c>
      <c r="G832" s="257">
        <v>60226320</v>
      </c>
      <c r="H832" s="257">
        <v>0</v>
      </c>
      <c r="I832" s="257">
        <v>0</v>
      </c>
      <c r="J832" s="257">
        <v>0</v>
      </c>
      <c r="K832" s="257">
        <v>14531581</v>
      </c>
      <c r="L832" s="257">
        <v>14531581</v>
      </c>
      <c r="M832" s="257"/>
      <c r="N832" s="279">
        <v>46058419</v>
      </c>
      <c r="O832" s="257">
        <v>45694739</v>
      </c>
    </row>
    <row r="833" spans="1:16" s="143" customFormat="1" ht="30" hidden="1" x14ac:dyDescent="0.25">
      <c r="A833" s="143" t="s">
        <v>720</v>
      </c>
      <c r="B833" s="143" t="s">
        <v>90</v>
      </c>
      <c r="C833" s="290" t="s">
        <v>91</v>
      </c>
      <c r="D833" s="143" t="s">
        <v>69</v>
      </c>
      <c r="E833" s="257">
        <v>68571682</v>
      </c>
      <c r="F833" s="257">
        <v>68571682</v>
      </c>
      <c r="G833" s="257">
        <v>67200384</v>
      </c>
      <c r="H833" s="257">
        <v>0</v>
      </c>
      <c r="I833" s="257">
        <v>47850335.539999999</v>
      </c>
      <c r="J833" s="257">
        <v>0</v>
      </c>
      <c r="K833" s="257">
        <v>20721346.460000001</v>
      </c>
      <c r="L833" s="257">
        <v>20721346.460000001</v>
      </c>
      <c r="M833" s="288">
        <f>K833/F833*100</f>
        <v>30.218518571558445</v>
      </c>
      <c r="N833" s="257">
        <v>0</v>
      </c>
      <c r="O833" s="275">
        <v>-1371298</v>
      </c>
      <c r="P833" s="289">
        <f>N833/F833*100</f>
        <v>0</v>
      </c>
    </row>
    <row r="834" spans="1:16" s="143" customFormat="1" ht="90" hidden="1" x14ac:dyDescent="0.25">
      <c r="A834" s="143" t="s">
        <v>720</v>
      </c>
      <c r="B834" s="143" t="s">
        <v>429</v>
      </c>
      <c r="C834" s="290" t="s">
        <v>697</v>
      </c>
      <c r="D834" s="143" t="s">
        <v>69</v>
      </c>
      <c r="E834" s="257">
        <v>65055209</v>
      </c>
      <c r="F834" s="257">
        <v>65055209</v>
      </c>
      <c r="G834" s="257">
        <v>63754233</v>
      </c>
      <c r="H834" s="257">
        <v>0</v>
      </c>
      <c r="I834" s="257">
        <v>45397374.979999997</v>
      </c>
      <c r="J834" s="257">
        <v>0</v>
      </c>
      <c r="K834" s="257">
        <v>19657834.02</v>
      </c>
      <c r="L834" s="257">
        <v>19657834.02</v>
      </c>
      <c r="M834" s="257"/>
      <c r="N834" s="279">
        <v>0</v>
      </c>
      <c r="O834" s="275">
        <v>-1300976</v>
      </c>
    </row>
    <row r="835" spans="1:16" s="143" customFormat="1" ht="75" hidden="1" x14ac:dyDescent="0.25">
      <c r="A835" s="143" t="s">
        <v>720</v>
      </c>
      <c r="B835" s="143" t="s">
        <v>446</v>
      </c>
      <c r="C835" s="290" t="s">
        <v>95</v>
      </c>
      <c r="D835" s="143" t="s">
        <v>69</v>
      </c>
      <c r="E835" s="257">
        <v>3516473</v>
      </c>
      <c r="F835" s="257">
        <v>3516473</v>
      </c>
      <c r="G835" s="257">
        <v>3446151</v>
      </c>
      <c r="H835" s="257">
        <v>0</v>
      </c>
      <c r="I835" s="257">
        <v>2452960.56</v>
      </c>
      <c r="J835" s="257">
        <v>0</v>
      </c>
      <c r="K835" s="257">
        <v>1063512.44</v>
      </c>
      <c r="L835" s="257">
        <v>1063512.44</v>
      </c>
      <c r="M835" s="257"/>
      <c r="N835" s="279">
        <v>0</v>
      </c>
      <c r="O835" s="275">
        <v>-70322</v>
      </c>
    </row>
    <row r="836" spans="1:16" s="143" customFormat="1" ht="30" hidden="1" x14ac:dyDescent="0.25">
      <c r="A836" s="143" t="s">
        <v>720</v>
      </c>
      <c r="B836" s="143" t="s">
        <v>96</v>
      </c>
      <c r="C836" s="290" t="s">
        <v>97</v>
      </c>
      <c r="D836" s="143" t="s">
        <v>69</v>
      </c>
      <c r="E836" s="257">
        <v>68571582</v>
      </c>
      <c r="F836" s="257">
        <v>68571582</v>
      </c>
      <c r="G836" s="257">
        <v>67200285</v>
      </c>
      <c r="H836" s="257">
        <v>0</v>
      </c>
      <c r="I836" s="257">
        <v>48300618.789999999</v>
      </c>
      <c r="J836" s="257">
        <v>0</v>
      </c>
      <c r="K836" s="257">
        <v>20270963.210000001</v>
      </c>
      <c r="L836" s="257">
        <v>20270963.210000001</v>
      </c>
      <c r="M836" s="288">
        <f>K836/F836*100</f>
        <v>29.561755203489398</v>
      </c>
      <c r="N836" s="257">
        <v>0</v>
      </c>
      <c r="O836" s="275">
        <v>-1371297</v>
      </c>
      <c r="P836" s="289">
        <f>N836/F836*100</f>
        <v>0</v>
      </c>
    </row>
    <row r="837" spans="1:16" s="143" customFormat="1" ht="90" hidden="1" x14ac:dyDescent="0.25">
      <c r="A837" s="143" t="s">
        <v>720</v>
      </c>
      <c r="B837" s="143" t="s">
        <v>464</v>
      </c>
      <c r="C837" s="290" t="s">
        <v>698</v>
      </c>
      <c r="D837" s="143" t="s">
        <v>69</v>
      </c>
      <c r="E837" s="257">
        <v>36923221</v>
      </c>
      <c r="F837" s="257">
        <v>36923221</v>
      </c>
      <c r="G837" s="257">
        <v>36184829</v>
      </c>
      <c r="H837" s="257">
        <v>0</v>
      </c>
      <c r="I837" s="257">
        <v>26214889.940000001</v>
      </c>
      <c r="J837" s="257">
        <v>0</v>
      </c>
      <c r="K837" s="257">
        <v>10708331.060000001</v>
      </c>
      <c r="L837" s="257">
        <v>10708331.060000001</v>
      </c>
      <c r="M837" s="257"/>
      <c r="N837" s="279">
        <v>0</v>
      </c>
      <c r="O837" s="275">
        <v>-738392</v>
      </c>
    </row>
    <row r="838" spans="1:16" s="143" customFormat="1" ht="90" hidden="1" x14ac:dyDescent="0.25">
      <c r="A838" s="143" t="s">
        <v>720</v>
      </c>
      <c r="B838" s="143" t="s">
        <v>481</v>
      </c>
      <c r="C838" s="290" t="s">
        <v>699</v>
      </c>
      <c r="D838" s="143" t="s">
        <v>69</v>
      </c>
      <c r="E838" s="257">
        <v>10549420</v>
      </c>
      <c r="F838" s="257">
        <v>10549420</v>
      </c>
      <c r="G838" s="257">
        <v>10338452</v>
      </c>
      <c r="H838" s="257">
        <v>0</v>
      </c>
      <c r="I838" s="257">
        <v>7361873.3799999999</v>
      </c>
      <c r="J838" s="257">
        <v>0</v>
      </c>
      <c r="K838" s="257">
        <v>3187546.62</v>
      </c>
      <c r="L838" s="257">
        <v>3187546.62</v>
      </c>
      <c r="M838" s="257"/>
      <c r="N838" s="279">
        <v>0</v>
      </c>
      <c r="O838" s="275">
        <v>-210968</v>
      </c>
    </row>
    <row r="839" spans="1:16" s="143" customFormat="1" ht="90" hidden="1" x14ac:dyDescent="0.25">
      <c r="A839" s="143" t="s">
        <v>720</v>
      </c>
      <c r="B839" s="143" t="s">
        <v>498</v>
      </c>
      <c r="C839" s="290" t="s">
        <v>700</v>
      </c>
      <c r="D839" s="143" t="s">
        <v>69</v>
      </c>
      <c r="E839" s="257">
        <v>21098941</v>
      </c>
      <c r="F839" s="257">
        <v>21098941</v>
      </c>
      <c r="G839" s="257">
        <v>20677004</v>
      </c>
      <c r="H839" s="257">
        <v>0</v>
      </c>
      <c r="I839" s="257">
        <v>14723855.470000001</v>
      </c>
      <c r="J839" s="257">
        <v>0</v>
      </c>
      <c r="K839" s="257">
        <v>6375085.5300000003</v>
      </c>
      <c r="L839" s="257">
        <v>6375085.5300000003</v>
      </c>
      <c r="M839" s="257"/>
      <c r="N839" s="279">
        <v>0</v>
      </c>
      <c r="O839" s="275">
        <v>-421937</v>
      </c>
    </row>
    <row r="840" spans="1:16" s="143" customFormat="1" x14ac:dyDescent="0.25">
      <c r="A840" s="280" t="s">
        <v>720</v>
      </c>
      <c r="B840" s="281" t="s">
        <v>104</v>
      </c>
      <c r="C840" s="282" t="s">
        <v>105</v>
      </c>
      <c r="D840" s="283" t="s">
        <v>69</v>
      </c>
      <c r="E840" s="257">
        <v>7541300</v>
      </c>
      <c r="F840" s="284">
        <v>7541300</v>
      </c>
      <c r="G840" s="257">
        <v>2222626</v>
      </c>
      <c r="H840" s="257">
        <v>0</v>
      </c>
      <c r="I840" s="257">
        <v>5318674.76</v>
      </c>
      <c r="J840" s="257">
        <v>0</v>
      </c>
      <c r="K840" s="284">
        <v>1342926.72</v>
      </c>
      <c r="L840" s="257">
        <v>908541.09</v>
      </c>
      <c r="M840" s="285">
        <f>+K840/F840</f>
        <v>0.17807628923395169</v>
      </c>
      <c r="N840" s="286">
        <v>879698.52</v>
      </c>
      <c r="O840" s="257">
        <v>-4438975.4800000004</v>
      </c>
      <c r="P840" s="287">
        <f>+N840/F840</f>
        <v>0.116650779043401</v>
      </c>
    </row>
    <row r="841" spans="1:16" s="143" customFormat="1" ht="30" hidden="1" x14ac:dyDescent="0.25">
      <c r="A841" s="143" t="s">
        <v>720</v>
      </c>
      <c r="B841" s="143" t="s">
        <v>140</v>
      </c>
      <c r="C841" s="290" t="s">
        <v>141</v>
      </c>
      <c r="D841" s="143" t="s">
        <v>69</v>
      </c>
      <c r="E841" s="257">
        <v>7541300</v>
      </c>
      <c r="F841" s="257">
        <v>7541300</v>
      </c>
      <c r="G841" s="257">
        <v>2222626</v>
      </c>
      <c r="H841" s="257">
        <v>0</v>
      </c>
      <c r="I841" s="257">
        <v>5318674.76</v>
      </c>
      <c r="J841" s="257">
        <v>0</v>
      </c>
      <c r="K841" s="257">
        <v>1342926.72</v>
      </c>
      <c r="L841" s="257">
        <v>908541.09</v>
      </c>
      <c r="M841" s="257"/>
      <c r="N841" s="279">
        <v>879698.52</v>
      </c>
      <c r="O841" s="257">
        <v>-4438975.4800000004</v>
      </c>
    </row>
    <row r="842" spans="1:16" s="143" customFormat="1" hidden="1" x14ac:dyDescent="0.25">
      <c r="A842" s="143" t="s">
        <v>720</v>
      </c>
      <c r="B842" s="143" t="s">
        <v>146</v>
      </c>
      <c r="C842" s="290" t="s">
        <v>147</v>
      </c>
      <c r="D842" s="143" t="s">
        <v>69</v>
      </c>
      <c r="E842" s="257">
        <v>2513800</v>
      </c>
      <c r="F842" s="257">
        <v>2513800</v>
      </c>
      <c r="G842" s="257">
        <v>434386</v>
      </c>
      <c r="H842" s="257">
        <v>0</v>
      </c>
      <c r="I842" s="257">
        <v>2079414.37</v>
      </c>
      <c r="J842" s="257">
        <v>0</v>
      </c>
      <c r="K842" s="257">
        <v>434385.63</v>
      </c>
      <c r="L842" s="257">
        <v>0</v>
      </c>
      <c r="M842" s="257"/>
      <c r="N842" s="279">
        <v>0</v>
      </c>
      <c r="O842" s="275">
        <v>-2079414</v>
      </c>
    </row>
    <row r="843" spans="1:16" s="143" customFormat="1" hidden="1" x14ac:dyDescent="0.25">
      <c r="A843" s="143" t="s">
        <v>720</v>
      </c>
      <c r="B843" s="143" t="s">
        <v>148</v>
      </c>
      <c r="C843" s="290" t="s">
        <v>149</v>
      </c>
      <c r="D843" s="143" t="s">
        <v>69</v>
      </c>
      <c r="E843" s="257">
        <v>5027500</v>
      </c>
      <c r="F843" s="257">
        <v>5027500</v>
      </c>
      <c r="G843" s="257">
        <v>1788240</v>
      </c>
      <c r="H843" s="257">
        <v>0</v>
      </c>
      <c r="I843" s="257">
        <v>3239260.39</v>
      </c>
      <c r="J843" s="257">
        <v>0</v>
      </c>
      <c r="K843" s="257">
        <v>908541.09</v>
      </c>
      <c r="L843" s="257">
        <v>908541.09</v>
      </c>
      <c r="M843" s="257"/>
      <c r="N843" s="279">
        <v>879698.52</v>
      </c>
      <c r="O843" s="257">
        <v>-2359561.48</v>
      </c>
    </row>
    <row r="844" spans="1:16" s="143" customFormat="1" x14ac:dyDescent="0.25">
      <c r="A844" s="280" t="s">
        <v>720</v>
      </c>
      <c r="B844" s="281" t="s">
        <v>248</v>
      </c>
      <c r="C844" s="282" t="s">
        <v>249</v>
      </c>
      <c r="D844" s="283" t="s">
        <v>69</v>
      </c>
      <c r="E844" s="257">
        <v>11674695</v>
      </c>
      <c r="F844" s="284">
        <v>11674695</v>
      </c>
      <c r="G844" s="257">
        <v>11441224</v>
      </c>
      <c r="H844" s="257">
        <v>0</v>
      </c>
      <c r="I844" s="257">
        <v>8365040.3700000001</v>
      </c>
      <c r="J844" s="257">
        <v>0</v>
      </c>
      <c r="K844" s="284">
        <v>3309654.63</v>
      </c>
      <c r="L844" s="257">
        <v>3309654.63</v>
      </c>
      <c r="M844" s="285">
        <f>+K844/F844</f>
        <v>0.28348960122726974</v>
      </c>
      <c r="N844" s="286">
        <v>0</v>
      </c>
      <c r="O844" s="275">
        <v>-233471</v>
      </c>
      <c r="P844" s="287">
        <f>+N844/F844</f>
        <v>0</v>
      </c>
    </row>
    <row r="845" spans="1:16" s="143" customFormat="1" ht="30" hidden="1" x14ac:dyDescent="0.25">
      <c r="A845" s="143" t="s">
        <v>720</v>
      </c>
      <c r="B845" s="143" t="s">
        <v>250</v>
      </c>
      <c r="C845" s="290" t="s">
        <v>251</v>
      </c>
      <c r="D845" s="143" t="s">
        <v>69</v>
      </c>
      <c r="E845" s="257">
        <v>11674695</v>
      </c>
      <c r="F845" s="257">
        <v>11674695</v>
      </c>
      <c r="G845" s="257">
        <v>11441224</v>
      </c>
      <c r="H845" s="257">
        <v>0</v>
      </c>
      <c r="I845" s="257">
        <v>8365040.3700000001</v>
      </c>
      <c r="J845" s="257">
        <v>0</v>
      </c>
      <c r="K845" s="257">
        <v>3309654.63</v>
      </c>
      <c r="L845" s="257">
        <v>3309654.63</v>
      </c>
      <c r="M845" s="257"/>
      <c r="N845" s="279">
        <v>0</v>
      </c>
      <c r="O845" s="275">
        <v>-233471</v>
      </c>
    </row>
    <row r="846" spans="1:16" s="143" customFormat="1" ht="90" hidden="1" x14ac:dyDescent="0.25">
      <c r="A846" s="143" t="s">
        <v>720</v>
      </c>
      <c r="B846" s="143" t="s">
        <v>638</v>
      </c>
      <c r="C846" s="290" t="s">
        <v>702</v>
      </c>
      <c r="D846" s="143" t="s">
        <v>69</v>
      </c>
      <c r="E846" s="257">
        <v>9916509</v>
      </c>
      <c r="F846" s="257">
        <v>9916509</v>
      </c>
      <c r="G846" s="257">
        <v>9718198</v>
      </c>
      <c r="H846" s="257">
        <v>0</v>
      </c>
      <c r="I846" s="257">
        <v>7132216.71</v>
      </c>
      <c r="J846" s="257">
        <v>0</v>
      </c>
      <c r="K846" s="257">
        <v>2784292.29</v>
      </c>
      <c r="L846" s="257">
        <v>2784292.29</v>
      </c>
      <c r="M846" s="257"/>
      <c r="N846" s="279">
        <v>0</v>
      </c>
      <c r="O846" s="275">
        <v>-198311</v>
      </c>
    </row>
    <row r="847" spans="1:16" s="143" customFormat="1" ht="90" hidden="1" x14ac:dyDescent="0.25">
      <c r="A847" s="143" t="s">
        <v>720</v>
      </c>
      <c r="B847" s="143" t="s">
        <v>653</v>
      </c>
      <c r="C847" s="290" t="s">
        <v>703</v>
      </c>
      <c r="D847" s="143" t="s">
        <v>69</v>
      </c>
      <c r="E847" s="257">
        <v>1758186</v>
      </c>
      <c r="F847" s="257">
        <v>1758186</v>
      </c>
      <c r="G847" s="257">
        <v>1723026</v>
      </c>
      <c r="H847" s="257">
        <v>0</v>
      </c>
      <c r="I847" s="257">
        <v>1232823.6599999999</v>
      </c>
      <c r="J847" s="257">
        <v>0</v>
      </c>
      <c r="K847" s="257">
        <v>525362.34</v>
      </c>
      <c r="L847" s="257">
        <v>525362.34</v>
      </c>
      <c r="M847" s="257"/>
      <c r="N847" s="279">
        <v>0</v>
      </c>
      <c r="O847" s="275">
        <v>-35160</v>
      </c>
    </row>
    <row r="848" spans="1:16" s="143" customFormat="1" hidden="1" x14ac:dyDescent="0.25">
      <c r="A848" s="143">
        <v>214794</v>
      </c>
      <c r="C848" s="290"/>
      <c r="D848" s="143" t="s">
        <v>69</v>
      </c>
      <c r="E848" s="257">
        <v>13895221022</v>
      </c>
      <c r="F848" s="257">
        <v>13895221022</v>
      </c>
      <c r="G848" s="257">
        <v>13152973179</v>
      </c>
      <c r="H848" s="257">
        <v>0</v>
      </c>
      <c r="I848" s="257">
        <v>1686498102.4200001</v>
      </c>
      <c r="J848" s="257">
        <v>0</v>
      </c>
      <c r="K848" s="257">
        <v>3435151724.0300002</v>
      </c>
      <c r="L848" s="257">
        <v>3435151724.0300002</v>
      </c>
      <c r="M848" s="257"/>
      <c r="N848" s="279">
        <v>8773571195.5499992</v>
      </c>
      <c r="O848" s="257">
        <v>8031323352.5500002</v>
      </c>
    </row>
    <row r="849" spans="1:16" s="143" customFormat="1" x14ac:dyDescent="0.25">
      <c r="C849" s="290"/>
      <c r="E849" s="257"/>
      <c r="F849" s="292">
        <f>SUBTOTAL(9,F824:F848)</f>
        <v>16649952149</v>
      </c>
      <c r="G849" s="257"/>
      <c r="H849" s="257"/>
      <c r="I849" s="257"/>
      <c r="J849" s="257"/>
      <c r="K849" s="292">
        <f>SUBTOTAL(9,K824:K848)</f>
        <v>4189293829.2800002</v>
      </c>
      <c r="L849" s="257"/>
      <c r="M849" s="293">
        <f>+K849/F849</f>
        <v>0.25160996210620401</v>
      </c>
      <c r="N849" s="341">
        <f>SUBTOTAL(9,N824:N848)</f>
        <v>10444656208.919998</v>
      </c>
      <c r="O849" s="257"/>
      <c r="P849" s="295">
        <f>+N849/F849</f>
        <v>0.62730848205754797</v>
      </c>
    </row>
    <row r="850" spans="1:16" s="143" customFormat="1" ht="15.75" customHeight="1" x14ac:dyDescent="0.25">
      <c r="A850" s="621" t="s">
        <v>781</v>
      </c>
      <c r="B850" s="621"/>
      <c r="C850" s="621"/>
      <c r="E850" s="257"/>
      <c r="F850" s="305"/>
      <c r="G850" s="257"/>
      <c r="H850" s="257"/>
      <c r="I850" s="257"/>
      <c r="J850" s="257"/>
      <c r="K850" s="305"/>
      <c r="L850" s="257"/>
      <c r="M850" s="306"/>
      <c r="N850" s="305"/>
      <c r="O850" s="257"/>
      <c r="P850" s="307"/>
    </row>
    <row r="851" spans="1:16" s="143" customFormat="1" x14ac:dyDescent="0.25">
      <c r="A851" s="308"/>
      <c r="B851" s="362" t="s">
        <v>71</v>
      </c>
      <c r="C851" s="363" t="s">
        <v>72</v>
      </c>
      <c r="E851" s="257"/>
      <c r="F851" s="344">
        <f>F793+F801+F824</f>
        <v>9954490064</v>
      </c>
      <c r="G851" s="257"/>
      <c r="H851" s="257"/>
      <c r="I851" s="257"/>
      <c r="J851" s="257"/>
      <c r="K851" s="344">
        <f>+K793+K801+K824</f>
        <v>2575214905.4000001</v>
      </c>
      <c r="L851" s="257"/>
      <c r="M851" s="364">
        <f t="shared" ref="M851:M856" si="9">+K851/F851</f>
        <v>0.25869882724712923</v>
      </c>
      <c r="N851" s="316">
        <f>+N793+N801+N824</f>
        <v>6275001671.5799999</v>
      </c>
      <c r="O851" s="257"/>
      <c r="P851" s="365">
        <f t="shared" ref="P851:P856" si="10">+N851/F851</f>
        <v>0.63036897231665168</v>
      </c>
    </row>
    <row r="852" spans="1:16" s="143" customFormat="1" x14ac:dyDescent="0.25">
      <c r="A852" s="308"/>
      <c r="B852" s="362" t="s">
        <v>104</v>
      </c>
      <c r="C852" s="363" t="s">
        <v>105</v>
      </c>
      <c r="E852" s="257"/>
      <c r="F852" s="366">
        <f>+F794+F840</f>
        <v>1196086820</v>
      </c>
      <c r="G852" s="257"/>
      <c r="H852" s="257"/>
      <c r="I852" s="257"/>
      <c r="J852" s="257"/>
      <c r="K852" s="366">
        <f>+K794+K840</f>
        <v>125384836.72</v>
      </c>
      <c r="L852" s="257"/>
      <c r="M852" s="367">
        <f t="shared" si="9"/>
        <v>0.10482921024077499</v>
      </c>
      <c r="N852" s="321">
        <f>+N794+N840</f>
        <v>929765798.94999993</v>
      </c>
      <c r="O852" s="257"/>
      <c r="P852" s="368">
        <f t="shared" si="10"/>
        <v>0.7773397243437562</v>
      </c>
    </row>
    <row r="853" spans="1:16" s="143" customFormat="1" x14ac:dyDescent="0.25">
      <c r="A853" s="308"/>
      <c r="B853" s="362" t="s">
        <v>184</v>
      </c>
      <c r="C853" s="363" t="s">
        <v>185</v>
      </c>
      <c r="E853" s="257"/>
      <c r="F853" s="366">
        <f t="shared" ref="F853:F854" si="11">+F795</f>
        <v>56348380</v>
      </c>
      <c r="G853" s="257"/>
      <c r="H853" s="257"/>
      <c r="I853" s="257"/>
      <c r="J853" s="257"/>
      <c r="K853" s="366">
        <f t="shared" ref="K853:K854" si="12">+K795</f>
        <v>4202489.1399999997</v>
      </c>
      <c r="L853" s="257"/>
      <c r="M853" s="367">
        <f t="shared" si="9"/>
        <v>7.4580478444988121E-2</v>
      </c>
      <c r="N853" s="321">
        <f t="shared" ref="N853:N854" si="13">+N795</f>
        <v>46815870.18</v>
      </c>
      <c r="O853" s="257"/>
      <c r="P853" s="368">
        <f t="shared" si="10"/>
        <v>0.83082903501396133</v>
      </c>
    </row>
    <row r="854" spans="1:16" s="143" customFormat="1" x14ac:dyDescent="0.25">
      <c r="A854" s="308"/>
      <c r="B854" s="362" t="s">
        <v>230</v>
      </c>
      <c r="C854" s="363" t="s">
        <v>231</v>
      </c>
      <c r="E854" s="257"/>
      <c r="F854" s="366">
        <f t="shared" si="11"/>
        <v>744452300</v>
      </c>
      <c r="G854" s="257"/>
      <c r="H854" s="257"/>
      <c r="I854" s="257"/>
      <c r="J854" s="257"/>
      <c r="K854" s="366">
        <f t="shared" si="12"/>
        <v>0</v>
      </c>
      <c r="L854" s="257"/>
      <c r="M854" s="367">
        <f t="shared" si="9"/>
        <v>0</v>
      </c>
      <c r="N854" s="321">
        <f t="shared" si="13"/>
        <v>699368579</v>
      </c>
      <c r="O854" s="257"/>
      <c r="P854" s="368">
        <f t="shared" si="10"/>
        <v>0.93944041680037793</v>
      </c>
    </row>
    <row r="855" spans="1:16" s="143" customFormat="1" x14ac:dyDescent="0.25">
      <c r="A855" s="308"/>
      <c r="B855" s="362" t="s">
        <v>248</v>
      </c>
      <c r="C855" s="363" t="s">
        <v>249</v>
      </c>
      <c r="E855" s="257"/>
      <c r="F855" s="353">
        <f>+F797+F817+F844</f>
        <v>330969740</v>
      </c>
      <c r="G855" s="257"/>
      <c r="H855" s="257"/>
      <c r="I855" s="257"/>
      <c r="J855" s="257"/>
      <c r="K855" s="353">
        <f>+K797+K817+K844</f>
        <v>34900088.68</v>
      </c>
      <c r="L855" s="257"/>
      <c r="M855" s="369">
        <f t="shared" si="9"/>
        <v>0.10544797442811539</v>
      </c>
      <c r="N855" s="355">
        <f>+N797+N817+N844</f>
        <v>200642964</v>
      </c>
      <c r="O855" s="257"/>
      <c r="P855" s="370">
        <f t="shared" si="10"/>
        <v>0.60622751795979901</v>
      </c>
    </row>
    <row r="856" spans="1:16" s="143" customFormat="1" x14ac:dyDescent="0.25">
      <c r="C856" s="290"/>
      <c r="E856" s="257"/>
      <c r="F856" s="358">
        <f>SUBTOTAL(9,F851:F855)</f>
        <v>12282347304</v>
      </c>
      <c r="G856" s="257"/>
      <c r="H856" s="257"/>
      <c r="I856" s="257"/>
      <c r="J856" s="257"/>
      <c r="K856" s="358">
        <f>SUBTOTAL(9,K851:K855)</f>
        <v>2739702319.9399996</v>
      </c>
      <c r="L856" s="257"/>
      <c r="M856" s="359">
        <f t="shared" si="9"/>
        <v>0.22306015716130734</v>
      </c>
      <c r="N856" s="371">
        <f>SUBTOTAL(9,N851:N855)</f>
        <v>8151594883.71</v>
      </c>
      <c r="O856" s="257"/>
      <c r="P856" s="361">
        <f t="shared" si="10"/>
        <v>0.66368379609777561</v>
      </c>
    </row>
    <row r="857" spans="1:16" s="143" customFormat="1" x14ac:dyDescent="0.25">
      <c r="C857" s="290"/>
      <c r="E857" s="257"/>
      <c r="F857" s="305"/>
      <c r="G857" s="257"/>
      <c r="H857" s="257"/>
      <c r="I857" s="257"/>
      <c r="J857" s="257"/>
      <c r="K857" s="305"/>
      <c r="L857" s="257"/>
      <c r="M857" s="306"/>
      <c r="N857" s="305"/>
      <c r="O857" s="257"/>
      <c r="P857" s="307"/>
    </row>
    <row r="858" spans="1:16" s="143" customFormat="1" x14ac:dyDescent="0.25">
      <c r="A858" s="291"/>
      <c r="C858" s="290"/>
      <c r="E858" s="257"/>
      <c r="F858" s="257"/>
      <c r="G858" s="257"/>
      <c r="H858" s="257"/>
      <c r="I858" s="257"/>
      <c r="J858" s="257"/>
      <c r="K858" s="257"/>
      <c r="L858" s="257"/>
      <c r="M858" s="257"/>
      <c r="N858" s="257"/>
      <c r="O858" s="257"/>
    </row>
    <row r="859" spans="1:16" s="143" customFormat="1" x14ac:dyDescent="0.25">
      <c r="A859" s="296" t="s">
        <v>721</v>
      </c>
      <c r="B859" s="297" t="s">
        <v>71</v>
      </c>
      <c r="C859" s="298" t="s">
        <v>72</v>
      </c>
      <c r="D859" s="299" t="s">
        <v>69</v>
      </c>
      <c r="E859" s="257">
        <v>13427888280</v>
      </c>
      <c r="F859" s="300">
        <v>13427888280</v>
      </c>
      <c r="G859" s="257">
        <v>12804348017</v>
      </c>
      <c r="H859" s="257">
        <v>0</v>
      </c>
      <c r="I859" s="257">
        <v>1553201457.04</v>
      </c>
      <c r="J859" s="257">
        <v>0</v>
      </c>
      <c r="K859" s="300">
        <v>3319759881.9099998</v>
      </c>
      <c r="L859" s="257">
        <v>3319759881.9099998</v>
      </c>
      <c r="M859" s="301">
        <f>+K859/F859</f>
        <v>0.24722873862858799</v>
      </c>
      <c r="N859" s="302">
        <v>8554926941.0500002</v>
      </c>
      <c r="O859" s="257">
        <v>7931386678.0500002</v>
      </c>
      <c r="P859" s="303">
        <f>+N859/F859</f>
        <v>0.637101438637379</v>
      </c>
    </row>
    <row r="860" spans="1:16" s="143" customFormat="1" hidden="1" x14ac:dyDescent="0.25">
      <c r="A860" s="143" t="s">
        <v>721</v>
      </c>
      <c r="B860" s="143" t="s">
        <v>73</v>
      </c>
      <c r="C860" s="290" t="s">
        <v>74</v>
      </c>
      <c r="D860" s="143" t="s">
        <v>69</v>
      </c>
      <c r="E860" s="257">
        <v>4501527400</v>
      </c>
      <c r="F860" s="257">
        <v>4501527400</v>
      </c>
      <c r="G860" s="257">
        <v>4221913200</v>
      </c>
      <c r="H860" s="257">
        <v>0</v>
      </c>
      <c r="I860" s="257">
        <v>0</v>
      </c>
      <c r="J860" s="257">
        <v>0</v>
      </c>
      <c r="K860" s="257">
        <v>936902015.58000004</v>
      </c>
      <c r="L860" s="257">
        <v>936902015.58000004</v>
      </c>
      <c r="M860" s="288">
        <f>K860/F860*100</f>
        <v>20.812980402607348</v>
      </c>
      <c r="N860" s="257">
        <v>3564625384.4200001</v>
      </c>
      <c r="O860" s="257">
        <v>3285011184.4200001</v>
      </c>
      <c r="P860" s="289">
        <f>N860/F860*100</f>
        <v>79.187019597392663</v>
      </c>
    </row>
    <row r="861" spans="1:16" s="143" customFormat="1" hidden="1" x14ac:dyDescent="0.25">
      <c r="A861" s="143" t="s">
        <v>721</v>
      </c>
      <c r="B861" s="143" t="s">
        <v>75</v>
      </c>
      <c r="C861" s="290" t="s">
        <v>76</v>
      </c>
      <c r="D861" s="143" t="s">
        <v>69</v>
      </c>
      <c r="E861" s="257">
        <v>4501527400</v>
      </c>
      <c r="F861" s="257">
        <v>4501527400</v>
      </c>
      <c r="G861" s="257">
        <v>4221913200</v>
      </c>
      <c r="H861" s="257">
        <v>0</v>
      </c>
      <c r="I861" s="257">
        <v>0</v>
      </c>
      <c r="J861" s="257">
        <v>0</v>
      </c>
      <c r="K861" s="257">
        <v>936902015.58000004</v>
      </c>
      <c r="L861" s="257">
        <v>936902015.58000004</v>
      </c>
      <c r="M861" s="257"/>
      <c r="N861" s="279">
        <v>3564625384.4200001</v>
      </c>
      <c r="O861" s="257">
        <v>3285011184.4200001</v>
      </c>
    </row>
    <row r="862" spans="1:16" s="143" customFormat="1" hidden="1" x14ac:dyDescent="0.25">
      <c r="A862" s="143" t="s">
        <v>721</v>
      </c>
      <c r="B862" s="143" t="s">
        <v>77</v>
      </c>
      <c r="C862" s="290" t="s">
        <v>78</v>
      </c>
      <c r="D862" s="143" t="s">
        <v>69</v>
      </c>
      <c r="E862" s="257">
        <v>6803353044</v>
      </c>
      <c r="F862" s="257">
        <v>6803353044</v>
      </c>
      <c r="G862" s="257">
        <v>6550076334</v>
      </c>
      <c r="H862" s="257">
        <v>0</v>
      </c>
      <c r="I862" s="257">
        <v>0</v>
      </c>
      <c r="J862" s="257">
        <v>0</v>
      </c>
      <c r="K862" s="257">
        <v>1829438527.3699999</v>
      </c>
      <c r="L862" s="257">
        <v>1829438527.3699999</v>
      </c>
      <c r="M862" s="288">
        <f>K862/F862*100</f>
        <v>26.890248316356519</v>
      </c>
      <c r="N862" s="257">
        <v>4973914516.6300001</v>
      </c>
      <c r="O862" s="257">
        <v>4720637806.6300001</v>
      </c>
      <c r="P862" s="289">
        <f>N862/F862*100</f>
        <v>73.109751683643481</v>
      </c>
    </row>
    <row r="863" spans="1:16" s="143" customFormat="1" ht="30" hidden="1" x14ac:dyDescent="0.25">
      <c r="A863" s="143" t="s">
        <v>721</v>
      </c>
      <c r="B863" s="143" t="s">
        <v>79</v>
      </c>
      <c r="C863" s="290" t="s">
        <v>80</v>
      </c>
      <c r="D863" s="143" t="s">
        <v>69</v>
      </c>
      <c r="E863" s="257">
        <v>1381150100</v>
      </c>
      <c r="F863" s="257">
        <v>1381150100</v>
      </c>
      <c r="G863" s="257">
        <v>1310223380</v>
      </c>
      <c r="H863" s="257">
        <v>0</v>
      </c>
      <c r="I863" s="257">
        <v>0</v>
      </c>
      <c r="J863" s="257">
        <v>0</v>
      </c>
      <c r="K863" s="257">
        <v>302324219.68000001</v>
      </c>
      <c r="L863" s="257">
        <v>302324219.68000001</v>
      </c>
      <c r="M863" s="257"/>
      <c r="N863" s="279">
        <v>1078825880.3199999</v>
      </c>
      <c r="O863" s="257">
        <v>1007899160.3200001</v>
      </c>
    </row>
    <row r="864" spans="1:16" s="143" customFormat="1" ht="30" hidden="1" x14ac:dyDescent="0.25">
      <c r="A864" s="143" t="s">
        <v>721</v>
      </c>
      <c r="B864" s="143" t="s">
        <v>81</v>
      </c>
      <c r="C864" s="290" t="s">
        <v>82</v>
      </c>
      <c r="D864" s="143" t="s">
        <v>69</v>
      </c>
      <c r="E864" s="257">
        <v>2537511300</v>
      </c>
      <c r="F864" s="257">
        <v>2537511300</v>
      </c>
      <c r="G864" s="257">
        <v>2434403475</v>
      </c>
      <c r="H864" s="257">
        <v>0</v>
      </c>
      <c r="I864" s="257">
        <v>0</v>
      </c>
      <c r="J864" s="257">
        <v>0</v>
      </c>
      <c r="K864" s="257">
        <v>545854506.23000002</v>
      </c>
      <c r="L864" s="257">
        <v>545854506.23000002</v>
      </c>
      <c r="M864" s="257"/>
      <c r="N864" s="279">
        <v>1991656793.77</v>
      </c>
      <c r="O864" s="257">
        <v>1888548968.77</v>
      </c>
    </row>
    <row r="865" spans="1:16" s="143" customFormat="1" hidden="1" x14ac:dyDescent="0.25">
      <c r="A865" s="143" t="s">
        <v>721</v>
      </c>
      <c r="B865" s="143" t="s">
        <v>83</v>
      </c>
      <c r="C865" s="290" t="s">
        <v>84</v>
      </c>
      <c r="D865" s="143" t="s">
        <v>85</v>
      </c>
      <c r="E865" s="257">
        <v>869285044</v>
      </c>
      <c r="F865" s="257">
        <v>869285044</v>
      </c>
      <c r="G865" s="257">
        <v>826833696</v>
      </c>
      <c r="H865" s="257">
        <v>0</v>
      </c>
      <c r="I865" s="257">
        <v>0</v>
      </c>
      <c r="J865" s="257">
        <v>0</v>
      </c>
      <c r="K865" s="257">
        <v>0</v>
      </c>
      <c r="L865" s="257">
        <v>0</v>
      </c>
      <c r="M865" s="257"/>
      <c r="N865" s="279">
        <v>869285044</v>
      </c>
      <c r="O865" s="257">
        <v>826833696</v>
      </c>
    </row>
    <row r="866" spans="1:16" s="143" customFormat="1" hidden="1" x14ac:dyDescent="0.25">
      <c r="A866" s="143" t="s">
        <v>721</v>
      </c>
      <c r="B866" s="143" t="s">
        <v>86</v>
      </c>
      <c r="C866" s="290" t="s">
        <v>87</v>
      </c>
      <c r="D866" s="143" t="s">
        <v>69</v>
      </c>
      <c r="E866" s="257">
        <v>799025700</v>
      </c>
      <c r="F866" s="257">
        <v>799025700</v>
      </c>
      <c r="G866" s="257">
        <v>799025700</v>
      </c>
      <c r="H866" s="257">
        <v>0</v>
      </c>
      <c r="I866" s="257">
        <v>0</v>
      </c>
      <c r="J866" s="257">
        <v>0</v>
      </c>
      <c r="K866" s="257">
        <v>720602684.51999998</v>
      </c>
      <c r="L866" s="257">
        <v>720602684.51999998</v>
      </c>
      <c r="M866" s="257"/>
      <c r="N866" s="279">
        <v>78423015.480000004</v>
      </c>
      <c r="O866" s="257">
        <v>78423015.480000004</v>
      </c>
    </row>
    <row r="867" spans="1:16" s="143" customFormat="1" ht="30" hidden="1" x14ac:dyDescent="0.25">
      <c r="A867" s="143" t="s">
        <v>721</v>
      </c>
      <c r="B867" s="143" t="s">
        <v>88</v>
      </c>
      <c r="C867" s="290" t="s">
        <v>89</v>
      </c>
      <c r="D867" s="143" t="s">
        <v>69</v>
      </c>
      <c r="E867" s="257">
        <v>1216380900</v>
      </c>
      <c r="F867" s="257">
        <v>1216380900</v>
      </c>
      <c r="G867" s="257">
        <v>1179590083</v>
      </c>
      <c r="H867" s="257">
        <v>0</v>
      </c>
      <c r="I867" s="257">
        <v>0</v>
      </c>
      <c r="J867" s="257">
        <v>0</v>
      </c>
      <c r="K867" s="257">
        <v>260657116.94</v>
      </c>
      <c r="L867" s="257">
        <v>260657116.94</v>
      </c>
      <c r="M867" s="257"/>
      <c r="N867" s="279">
        <v>955723783.05999994</v>
      </c>
      <c r="O867" s="257">
        <v>918932966.05999994</v>
      </c>
    </row>
    <row r="868" spans="1:16" s="143" customFormat="1" ht="30" hidden="1" x14ac:dyDescent="0.25">
      <c r="A868" s="143" t="s">
        <v>721</v>
      </c>
      <c r="B868" s="143" t="s">
        <v>90</v>
      </c>
      <c r="C868" s="290" t="s">
        <v>91</v>
      </c>
      <c r="D868" s="143" t="s">
        <v>69</v>
      </c>
      <c r="E868" s="257">
        <v>1017470468</v>
      </c>
      <c r="F868" s="257">
        <v>1017470468</v>
      </c>
      <c r="G868" s="257">
        <v>972145791</v>
      </c>
      <c r="H868" s="257">
        <v>0</v>
      </c>
      <c r="I868" s="257">
        <v>736987496</v>
      </c>
      <c r="J868" s="257">
        <v>0</v>
      </c>
      <c r="K868" s="257">
        <v>272289452</v>
      </c>
      <c r="L868" s="257">
        <v>272289452</v>
      </c>
      <c r="M868" s="288">
        <f>K868/F868*100</f>
        <v>26.761410828486081</v>
      </c>
      <c r="N868" s="257">
        <v>8193520</v>
      </c>
      <c r="O868" s="275">
        <v>-37131157</v>
      </c>
      <c r="P868" s="289">
        <f>N868/F868*100</f>
        <v>0.80528332346644582</v>
      </c>
    </row>
    <row r="869" spans="1:16" s="143" customFormat="1" ht="90" hidden="1" x14ac:dyDescent="0.25">
      <c r="A869" s="143" t="s">
        <v>721</v>
      </c>
      <c r="B869" s="143" t="s">
        <v>430</v>
      </c>
      <c r="C869" s="290" t="s">
        <v>697</v>
      </c>
      <c r="D869" s="143" t="s">
        <v>69</v>
      </c>
      <c r="E869" s="257">
        <v>965292547</v>
      </c>
      <c r="F869" s="257">
        <v>965292547</v>
      </c>
      <c r="G869" s="257">
        <v>922292212</v>
      </c>
      <c r="H869" s="257">
        <v>0</v>
      </c>
      <c r="I869" s="257">
        <v>699193331</v>
      </c>
      <c r="J869" s="257">
        <v>0</v>
      </c>
      <c r="K869" s="257">
        <v>258325886</v>
      </c>
      <c r="L869" s="257">
        <v>258325886</v>
      </c>
      <c r="M869" s="257"/>
      <c r="N869" s="279">
        <v>7773330</v>
      </c>
      <c r="O869" s="275">
        <v>-35227005</v>
      </c>
    </row>
    <row r="870" spans="1:16" s="143" customFormat="1" ht="75" hidden="1" x14ac:dyDescent="0.25">
      <c r="A870" s="143" t="s">
        <v>721</v>
      </c>
      <c r="B870" s="143" t="s">
        <v>447</v>
      </c>
      <c r="C870" s="290" t="s">
        <v>95</v>
      </c>
      <c r="D870" s="143" t="s">
        <v>69</v>
      </c>
      <c r="E870" s="257">
        <v>52177921</v>
      </c>
      <c r="F870" s="257">
        <v>52177921</v>
      </c>
      <c r="G870" s="257">
        <v>49853579</v>
      </c>
      <c r="H870" s="257">
        <v>0</v>
      </c>
      <c r="I870" s="257">
        <v>37794165</v>
      </c>
      <c r="J870" s="257">
        <v>0</v>
      </c>
      <c r="K870" s="257">
        <v>13963566</v>
      </c>
      <c r="L870" s="257">
        <v>13963566</v>
      </c>
      <c r="M870" s="257"/>
      <c r="N870" s="279">
        <v>420190</v>
      </c>
      <c r="O870" s="275">
        <v>-1904152</v>
      </c>
    </row>
    <row r="871" spans="1:16" s="143" customFormat="1" ht="30" hidden="1" x14ac:dyDescent="0.25">
      <c r="A871" s="143" t="s">
        <v>721</v>
      </c>
      <c r="B871" s="143" t="s">
        <v>96</v>
      </c>
      <c r="C871" s="290" t="s">
        <v>97</v>
      </c>
      <c r="D871" s="143" t="s">
        <v>69</v>
      </c>
      <c r="E871" s="257">
        <v>1105537368</v>
      </c>
      <c r="F871" s="257">
        <v>1105537368</v>
      </c>
      <c r="G871" s="257">
        <v>1060212692</v>
      </c>
      <c r="H871" s="257">
        <v>0</v>
      </c>
      <c r="I871" s="257">
        <v>816213961.03999996</v>
      </c>
      <c r="J871" s="257">
        <v>0</v>
      </c>
      <c r="K871" s="257">
        <v>281129886.95999998</v>
      </c>
      <c r="L871" s="257">
        <v>281129886.95999998</v>
      </c>
      <c r="M871" s="288">
        <f>K871/F871*100</f>
        <v>25.429252334417697</v>
      </c>
      <c r="N871" s="257">
        <v>8193520</v>
      </c>
      <c r="O871" s="275">
        <v>-37131156</v>
      </c>
      <c r="P871" s="289">
        <f>N871/F871*100</f>
        <v>0.74113460450664748</v>
      </c>
    </row>
    <row r="872" spans="1:16" s="143" customFormat="1" ht="90" hidden="1" x14ac:dyDescent="0.25">
      <c r="A872" s="143" t="s">
        <v>721</v>
      </c>
      <c r="B872" s="143" t="s">
        <v>465</v>
      </c>
      <c r="C872" s="290" t="s">
        <v>698</v>
      </c>
      <c r="D872" s="143" t="s">
        <v>69</v>
      </c>
      <c r="E872" s="257">
        <v>547868675</v>
      </c>
      <c r="F872" s="257">
        <v>547868675</v>
      </c>
      <c r="G872" s="257">
        <v>523463080</v>
      </c>
      <c r="H872" s="257">
        <v>0</v>
      </c>
      <c r="I872" s="257">
        <v>412655242</v>
      </c>
      <c r="J872" s="257">
        <v>0</v>
      </c>
      <c r="K872" s="257">
        <v>130801543</v>
      </c>
      <c r="L872" s="257">
        <v>130801543</v>
      </c>
      <c r="M872" s="257"/>
      <c r="N872" s="279">
        <v>4411890</v>
      </c>
      <c r="O872" s="275">
        <v>-19993705</v>
      </c>
    </row>
    <row r="873" spans="1:16" s="143" customFormat="1" ht="90" hidden="1" x14ac:dyDescent="0.25">
      <c r="A873" s="143" t="s">
        <v>721</v>
      </c>
      <c r="B873" s="143" t="s">
        <v>482</v>
      </c>
      <c r="C873" s="290" t="s">
        <v>699</v>
      </c>
      <c r="D873" s="143" t="s">
        <v>69</v>
      </c>
      <c r="E873" s="257">
        <v>156533864</v>
      </c>
      <c r="F873" s="257">
        <v>156533864</v>
      </c>
      <c r="G873" s="257">
        <v>149560837</v>
      </c>
      <c r="H873" s="257">
        <v>0</v>
      </c>
      <c r="I873" s="257">
        <v>113382629</v>
      </c>
      <c r="J873" s="257">
        <v>0</v>
      </c>
      <c r="K873" s="257">
        <v>41890685</v>
      </c>
      <c r="L873" s="257">
        <v>41890685</v>
      </c>
      <c r="M873" s="257"/>
      <c r="N873" s="279">
        <v>1260550</v>
      </c>
      <c r="O873" s="275">
        <v>-5712477</v>
      </c>
    </row>
    <row r="874" spans="1:16" s="143" customFormat="1" ht="90" hidden="1" x14ac:dyDescent="0.25">
      <c r="A874" s="143" t="s">
        <v>721</v>
      </c>
      <c r="B874" s="143" t="s">
        <v>499</v>
      </c>
      <c r="C874" s="290" t="s">
        <v>700</v>
      </c>
      <c r="D874" s="143" t="s">
        <v>69</v>
      </c>
      <c r="E874" s="257">
        <v>313067829</v>
      </c>
      <c r="F874" s="257">
        <v>313067829</v>
      </c>
      <c r="G874" s="257">
        <v>299121775</v>
      </c>
      <c r="H874" s="257">
        <v>0</v>
      </c>
      <c r="I874" s="257">
        <v>226765359</v>
      </c>
      <c r="J874" s="257">
        <v>0</v>
      </c>
      <c r="K874" s="257">
        <v>83781390</v>
      </c>
      <c r="L874" s="257">
        <v>83781390</v>
      </c>
      <c r="M874" s="257"/>
      <c r="N874" s="279">
        <v>2521080</v>
      </c>
      <c r="O874" s="275">
        <v>-11424974</v>
      </c>
    </row>
    <row r="875" spans="1:16" s="143" customFormat="1" ht="90" hidden="1" x14ac:dyDescent="0.25">
      <c r="A875" s="143" t="s">
        <v>721</v>
      </c>
      <c r="B875" s="143" t="s">
        <v>516</v>
      </c>
      <c r="C875" s="290" t="s">
        <v>722</v>
      </c>
      <c r="D875" s="143" t="s">
        <v>69</v>
      </c>
      <c r="E875" s="257">
        <v>88067000</v>
      </c>
      <c r="F875" s="257">
        <v>88067000</v>
      </c>
      <c r="G875" s="257">
        <v>88067000</v>
      </c>
      <c r="H875" s="257">
        <v>0</v>
      </c>
      <c r="I875" s="257">
        <v>63410731.039999999</v>
      </c>
      <c r="J875" s="257">
        <v>0</v>
      </c>
      <c r="K875" s="257">
        <v>24656268.960000001</v>
      </c>
      <c r="L875" s="257">
        <v>24656268.960000001</v>
      </c>
      <c r="M875" s="257"/>
      <c r="N875" s="279">
        <v>0</v>
      </c>
      <c r="O875" s="257">
        <v>0</v>
      </c>
    </row>
    <row r="876" spans="1:16" s="143" customFormat="1" x14ac:dyDescent="0.25">
      <c r="A876" s="296" t="s">
        <v>721</v>
      </c>
      <c r="B876" s="297" t="s">
        <v>104</v>
      </c>
      <c r="C876" s="298" t="s">
        <v>105</v>
      </c>
      <c r="D876" s="299" t="s">
        <v>69</v>
      </c>
      <c r="E876" s="257">
        <v>45500000</v>
      </c>
      <c r="F876" s="300">
        <v>45500000</v>
      </c>
      <c r="G876" s="257">
        <v>44866179</v>
      </c>
      <c r="H876" s="257">
        <v>0</v>
      </c>
      <c r="I876" s="257">
        <v>0</v>
      </c>
      <c r="J876" s="257">
        <v>0</v>
      </c>
      <c r="K876" s="300">
        <v>0</v>
      </c>
      <c r="L876" s="257">
        <v>0</v>
      </c>
      <c r="M876" s="301">
        <f>+K876/F876</f>
        <v>0</v>
      </c>
      <c r="N876" s="302">
        <v>45500000</v>
      </c>
      <c r="O876" s="257">
        <v>44866179</v>
      </c>
      <c r="P876" s="303">
        <f>+N876/F876</f>
        <v>1</v>
      </c>
    </row>
    <row r="877" spans="1:16" s="143" customFormat="1" ht="30" hidden="1" x14ac:dyDescent="0.25">
      <c r="A877" s="143" t="s">
        <v>721</v>
      </c>
      <c r="B877" s="143" t="s">
        <v>150</v>
      </c>
      <c r="C877" s="290" t="s">
        <v>151</v>
      </c>
      <c r="D877" s="143" t="s">
        <v>69</v>
      </c>
      <c r="E877" s="257">
        <v>45500000</v>
      </c>
      <c r="F877" s="257">
        <v>45500000</v>
      </c>
      <c r="G877" s="257">
        <v>44866179</v>
      </c>
      <c r="H877" s="257">
        <v>0</v>
      </c>
      <c r="I877" s="257">
        <v>0</v>
      </c>
      <c r="J877" s="257">
        <v>0</v>
      </c>
      <c r="K877" s="257">
        <v>0</v>
      </c>
      <c r="L877" s="257">
        <v>0</v>
      </c>
      <c r="M877" s="257"/>
      <c r="N877" s="279">
        <v>45500000</v>
      </c>
      <c r="O877" s="257">
        <v>44866179</v>
      </c>
    </row>
    <row r="878" spans="1:16" s="143" customFormat="1" hidden="1" x14ac:dyDescent="0.25">
      <c r="A878" s="143" t="s">
        <v>721</v>
      </c>
      <c r="B878" s="143" t="s">
        <v>152</v>
      </c>
      <c r="C878" s="290" t="s">
        <v>153</v>
      </c>
      <c r="D878" s="143" t="s">
        <v>69</v>
      </c>
      <c r="E878" s="257">
        <v>45500000</v>
      </c>
      <c r="F878" s="257">
        <v>45500000</v>
      </c>
      <c r="G878" s="257">
        <v>44866179</v>
      </c>
      <c r="H878" s="257">
        <v>0</v>
      </c>
      <c r="I878" s="257">
        <v>0</v>
      </c>
      <c r="J878" s="257">
        <v>0</v>
      </c>
      <c r="K878" s="257">
        <v>0</v>
      </c>
      <c r="L878" s="257">
        <v>0</v>
      </c>
      <c r="M878" s="257"/>
      <c r="N878" s="279">
        <v>45500000</v>
      </c>
      <c r="O878" s="257">
        <v>44866179</v>
      </c>
    </row>
    <row r="879" spans="1:16" s="143" customFormat="1" x14ac:dyDescent="0.25">
      <c r="A879" s="296" t="s">
        <v>721</v>
      </c>
      <c r="B879" s="297" t="s">
        <v>248</v>
      </c>
      <c r="C879" s="298" t="s">
        <v>249</v>
      </c>
      <c r="D879" s="299" t="s">
        <v>69</v>
      </c>
      <c r="E879" s="257">
        <v>421832742</v>
      </c>
      <c r="F879" s="300">
        <v>421832742</v>
      </c>
      <c r="G879" s="257">
        <v>303758983</v>
      </c>
      <c r="H879" s="257">
        <v>0</v>
      </c>
      <c r="I879" s="257">
        <v>133296645.38</v>
      </c>
      <c r="J879" s="257">
        <v>0</v>
      </c>
      <c r="K879" s="300">
        <v>115391842.12</v>
      </c>
      <c r="L879" s="257">
        <v>115391842.12</v>
      </c>
      <c r="M879" s="301">
        <f>+K879/F879</f>
        <v>0.27354880413716204</v>
      </c>
      <c r="N879" s="302">
        <v>173144254.5</v>
      </c>
      <c r="O879" s="257">
        <v>55070495.5</v>
      </c>
      <c r="P879" s="303">
        <f>+N879/F879</f>
        <v>0.41045712497110998</v>
      </c>
    </row>
    <row r="880" spans="1:16" s="143" customFormat="1" hidden="1" x14ac:dyDescent="0.25">
      <c r="A880" s="143" t="s">
        <v>721</v>
      </c>
      <c r="B880" s="143" t="s">
        <v>250</v>
      </c>
      <c r="C880" s="143" t="s">
        <v>251</v>
      </c>
      <c r="D880" s="143" t="s">
        <v>69</v>
      </c>
      <c r="E880" s="257">
        <v>173230842</v>
      </c>
      <c r="F880" s="257">
        <v>173230842</v>
      </c>
      <c r="G880" s="257">
        <v>165514033</v>
      </c>
      <c r="H880" s="257">
        <v>0</v>
      </c>
      <c r="I880" s="257">
        <v>127899248.06999999</v>
      </c>
      <c r="J880" s="257">
        <v>0</v>
      </c>
      <c r="K880" s="257">
        <v>43936603.93</v>
      </c>
      <c r="L880" s="257">
        <v>43936603.93</v>
      </c>
      <c r="M880" s="257"/>
      <c r="N880" s="279">
        <v>1394990</v>
      </c>
      <c r="O880" s="275">
        <v>-6321819</v>
      </c>
    </row>
    <row r="881" spans="1:16" s="143" customFormat="1" hidden="1" x14ac:dyDescent="0.25">
      <c r="A881" s="143" t="s">
        <v>721</v>
      </c>
      <c r="B881" s="143" t="s">
        <v>639</v>
      </c>
      <c r="C881" s="143" t="s">
        <v>702</v>
      </c>
      <c r="D881" s="143" t="s">
        <v>69</v>
      </c>
      <c r="E881" s="257">
        <v>147141882</v>
      </c>
      <c r="F881" s="257">
        <v>147141882</v>
      </c>
      <c r="G881" s="257">
        <v>140587244</v>
      </c>
      <c r="H881" s="257">
        <v>0</v>
      </c>
      <c r="I881" s="257">
        <v>109002158.77</v>
      </c>
      <c r="J881" s="257">
        <v>0</v>
      </c>
      <c r="K881" s="257">
        <v>36954823.229999997</v>
      </c>
      <c r="L881" s="257">
        <v>36954823.229999997</v>
      </c>
      <c r="M881" s="257"/>
      <c r="N881" s="279">
        <v>1184900</v>
      </c>
      <c r="O881" s="275">
        <v>-5369738</v>
      </c>
    </row>
    <row r="882" spans="1:16" s="143" customFormat="1" hidden="1" x14ac:dyDescent="0.25">
      <c r="A882" s="143" t="s">
        <v>721</v>
      </c>
      <c r="B882" s="143" t="s">
        <v>654</v>
      </c>
      <c r="C882" s="143" t="s">
        <v>703</v>
      </c>
      <c r="D882" s="143" t="s">
        <v>69</v>
      </c>
      <c r="E882" s="257">
        <v>26088960</v>
      </c>
      <c r="F882" s="257">
        <v>26088960</v>
      </c>
      <c r="G882" s="257">
        <v>24926789</v>
      </c>
      <c r="H882" s="257">
        <v>0</v>
      </c>
      <c r="I882" s="257">
        <v>18897089.300000001</v>
      </c>
      <c r="J882" s="257">
        <v>0</v>
      </c>
      <c r="K882" s="257">
        <v>6981780.7000000002</v>
      </c>
      <c r="L882" s="257">
        <v>6981780.7000000002</v>
      </c>
      <c r="M882" s="257"/>
      <c r="N882" s="279">
        <v>210090</v>
      </c>
      <c r="O882" s="275">
        <v>-952081</v>
      </c>
    </row>
    <row r="883" spans="1:16" s="143" customFormat="1" hidden="1" x14ac:dyDescent="0.25">
      <c r="A883" s="143" t="s">
        <v>721</v>
      </c>
      <c r="B883" s="143" t="s">
        <v>260</v>
      </c>
      <c r="C883" s="143" t="s">
        <v>261</v>
      </c>
      <c r="D883" s="143" t="s">
        <v>69</v>
      </c>
      <c r="E883" s="257">
        <v>223601900</v>
      </c>
      <c r="F883" s="257">
        <v>223601900</v>
      </c>
      <c r="G883" s="257">
        <v>134244950</v>
      </c>
      <c r="H883" s="257">
        <v>0</v>
      </c>
      <c r="I883" s="257">
        <v>5242588.38</v>
      </c>
      <c r="J883" s="257">
        <v>0</v>
      </c>
      <c r="K883" s="257">
        <v>67610047.120000005</v>
      </c>
      <c r="L883" s="257">
        <v>67610047.120000005</v>
      </c>
      <c r="M883" s="257"/>
      <c r="N883" s="279">
        <v>150749264.5</v>
      </c>
      <c r="O883" s="257">
        <v>61392314.5</v>
      </c>
    </row>
    <row r="884" spans="1:16" s="143" customFormat="1" hidden="1" x14ac:dyDescent="0.25">
      <c r="A884" s="143" t="s">
        <v>721</v>
      </c>
      <c r="B884" s="143" t="s">
        <v>262</v>
      </c>
      <c r="C884" s="143" t="s">
        <v>263</v>
      </c>
      <c r="D884" s="143" t="s">
        <v>69</v>
      </c>
      <c r="E884" s="257">
        <v>150213900</v>
      </c>
      <c r="F884" s="257">
        <v>150213900</v>
      </c>
      <c r="G884" s="257">
        <v>60856950</v>
      </c>
      <c r="H884" s="257">
        <v>0</v>
      </c>
      <c r="I884" s="257">
        <v>5242588.38</v>
      </c>
      <c r="J884" s="257">
        <v>0</v>
      </c>
      <c r="K884" s="257">
        <v>45935886.619999997</v>
      </c>
      <c r="L884" s="257">
        <v>45935886.619999997</v>
      </c>
      <c r="M884" s="257"/>
      <c r="N884" s="279">
        <v>99035425</v>
      </c>
      <c r="O884" s="257">
        <v>9678475</v>
      </c>
    </row>
    <row r="885" spans="1:16" s="143" customFormat="1" hidden="1" x14ac:dyDescent="0.25">
      <c r="A885" s="143" t="s">
        <v>721</v>
      </c>
      <c r="B885" s="143" t="s">
        <v>264</v>
      </c>
      <c r="C885" s="143" t="s">
        <v>265</v>
      </c>
      <c r="D885" s="143" t="s">
        <v>69</v>
      </c>
      <c r="E885" s="257">
        <v>73388000</v>
      </c>
      <c r="F885" s="257">
        <v>73388000</v>
      </c>
      <c r="G885" s="257">
        <v>73388000</v>
      </c>
      <c r="H885" s="257">
        <v>0</v>
      </c>
      <c r="I885" s="257">
        <v>0</v>
      </c>
      <c r="J885" s="257">
        <v>0</v>
      </c>
      <c r="K885" s="257">
        <v>21674160.5</v>
      </c>
      <c r="L885" s="257">
        <v>21674160.5</v>
      </c>
      <c r="M885" s="257"/>
      <c r="N885" s="279">
        <v>51713839.5</v>
      </c>
      <c r="O885" s="257">
        <v>51713839.5</v>
      </c>
    </row>
    <row r="886" spans="1:16" s="143" customFormat="1" hidden="1" x14ac:dyDescent="0.25">
      <c r="A886" s="143" t="s">
        <v>721</v>
      </c>
      <c r="B886" s="143" t="s">
        <v>286</v>
      </c>
      <c r="C886" s="143" t="s">
        <v>287</v>
      </c>
      <c r="D886" s="143" t="s">
        <v>69</v>
      </c>
      <c r="E886" s="257">
        <v>25000000</v>
      </c>
      <c r="F886" s="257">
        <v>25000000</v>
      </c>
      <c r="G886" s="257">
        <v>4000000</v>
      </c>
      <c r="H886" s="257">
        <v>0</v>
      </c>
      <c r="I886" s="257">
        <v>154808.93</v>
      </c>
      <c r="J886" s="257">
        <v>0</v>
      </c>
      <c r="K886" s="257">
        <v>3845191.07</v>
      </c>
      <c r="L886" s="257">
        <v>3845191.07</v>
      </c>
      <c r="M886" s="257"/>
      <c r="N886" s="279">
        <v>21000000</v>
      </c>
      <c r="O886" s="257">
        <v>0</v>
      </c>
    </row>
    <row r="887" spans="1:16" s="143" customFormat="1" hidden="1" x14ac:dyDescent="0.25">
      <c r="A887" s="143" t="s">
        <v>721</v>
      </c>
      <c r="B887" s="143" t="s">
        <v>288</v>
      </c>
      <c r="C887" s="143" t="s">
        <v>289</v>
      </c>
      <c r="D887" s="143" t="s">
        <v>69</v>
      </c>
      <c r="E887" s="257">
        <v>10000000</v>
      </c>
      <c r="F887" s="257">
        <v>10000000</v>
      </c>
      <c r="G887" s="257">
        <v>4000000</v>
      </c>
      <c r="H887" s="257">
        <v>0</v>
      </c>
      <c r="I887" s="257">
        <v>154808.93</v>
      </c>
      <c r="J887" s="257">
        <v>0</v>
      </c>
      <c r="K887" s="257">
        <v>3845191.07</v>
      </c>
      <c r="L887" s="257">
        <v>3845191.07</v>
      </c>
      <c r="M887" s="257"/>
      <c r="N887" s="279">
        <v>6000000</v>
      </c>
      <c r="O887" s="257">
        <v>0</v>
      </c>
    </row>
    <row r="888" spans="1:16" s="143" customFormat="1" hidden="1" x14ac:dyDescent="0.25">
      <c r="A888" s="143" t="s">
        <v>721</v>
      </c>
      <c r="B888" s="143" t="s">
        <v>370</v>
      </c>
      <c r="C888" s="143" t="s">
        <v>371</v>
      </c>
      <c r="D888" s="143" t="s">
        <v>69</v>
      </c>
      <c r="E888" s="257">
        <v>15000000</v>
      </c>
      <c r="F888" s="257">
        <v>15000000</v>
      </c>
      <c r="G888" s="257">
        <v>0</v>
      </c>
      <c r="H888" s="257">
        <v>0</v>
      </c>
      <c r="I888" s="257">
        <v>0</v>
      </c>
      <c r="J888" s="257">
        <v>0</v>
      </c>
      <c r="K888" s="257">
        <v>0</v>
      </c>
      <c r="L888" s="257">
        <v>0</v>
      </c>
      <c r="M888" s="257"/>
      <c r="N888" s="279">
        <v>15000000</v>
      </c>
      <c r="O888" s="257">
        <v>0</v>
      </c>
    </row>
    <row r="889" spans="1:16" s="143" customFormat="1" hidden="1" x14ac:dyDescent="0.25">
      <c r="A889" s="53"/>
      <c r="B889" s="53"/>
      <c r="C889" s="53"/>
      <c r="D889" s="53"/>
      <c r="E889" s="54">
        <v>765104920000</v>
      </c>
      <c r="F889" s="372">
        <v>765104920000</v>
      </c>
      <c r="G889" s="54">
        <v>639953135160.40002</v>
      </c>
      <c r="H889" s="50">
        <v>4545038757.8999996</v>
      </c>
      <c r="I889" s="50">
        <v>115992765645.10001</v>
      </c>
      <c r="J889" s="54">
        <v>1520171729.75</v>
      </c>
      <c r="K889" s="373">
        <v>162553196158.89999</v>
      </c>
      <c r="L889" s="54">
        <v>151697700030.70001</v>
      </c>
      <c r="M889" s="372"/>
      <c r="N889" s="372">
        <v>480493747708.34998</v>
      </c>
      <c r="O889" s="54">
        <v>355341962868.75</v>
      </c>
    </row>
    <row r="890" spans="1:16" s="143" customFormat="1" x14ac:dyDescent="0.25">
      <c r="F890" s="374">
        <f>SUBTOTAL(9,F859:F889)</f>
        <v>806790583066</v>
      </c>
      <c r="K890" s="374">
        <f>SUBTOTAL(9,K859:K889)</f>
        <v>172858651330.98999</v>
      </c>
      <c r="M890" s="375">
        <f>+K890/F890</f>
        <v>0.2142546714837513</v>
      </c>
      <c r="N890" s="376">
        <f>SUBTOTAL(9,N859:N889)</f>
        <v>506814461295</v>
      </c>
      <c r="P890" s="374">
        <f>+N890/F890</f>
        <v>0.62818589102637024</v>
      </c>
    </row>
    <row r="891" spans="1:16" s="143" customFormat="1" x14ac:dyDescent="0.25"/>
    <row r="892" spans="1:16" s="143" customFormat="1" x14ac:dyDescent="0.25"/>
    <row r="893" spans="1:16" s="143" customFormat="1" x14ac:dyDescent="0.25"/>
    <row r="894" spans="1:16" s="143" customFormat="1" x14ac:dyDescent="0.25"/>
    <row r="895" spans="1:16" s="143" customFormat="1" x14ac:dyDescent="0.25"/>
    <row r="896" spans="1:16" s="143" customFormat="1" x14ac:dyDescent="0.25"/>
    <row r="897" s="143" customFormat="1" x14ac:dyDescent="0.25"/>
  </sheetData>
  <sheetProtection selectLockedCells="1" selectUnlockedCells="1"/>
  <autoFilter ref="A1:O889"/>
  <mergeCells count="3">
    <mergeCell ref="A148:C148"/>
    <mergeCell ref="A697:C697"/>
    <mergeCell ref="A850:C850"/>
  </mergeCells>
  <conditionalFormatting sqref="K2:K62 K65:K146 K156:K469">
    <cfRule type="cellIs" dxfId="30" priority="1" stopIfTrue="1" operator="lessThan">
      <formula>0</formula>
    </cfRule>
  </conditionalFormatting>
  <conditionalFormatting sqref="E149:E153">
    <cfRule type="cellIs" dxfId="29" priority="2" stopIfTrue="1" operator="lessThan">
      <formula>0</formula>
    </cfRule>
  </conditionalFormatting>
  <conditionalFormatting sqref="G793:G798">
    <cfRule type="cellIs" dxfId="28" priority="3" stopIfTrue="1" operator="lessThan">
      <formula>0</formula>
    </cfRule>
  </conditionalFormatting>
  <conditionalFormatting sqref="K793:K798">
    <cfRule type="cellIs" dxfId="27" priority="4" stopIfTrue="1" operator="lessThan">
      <formula>0</formula>
    </cfRule>
  </conditionalFormatting>
  <pageMargins left="0" right="0" top="0.74791666666666667" bottom="0.74791666666666667" header="0.51180555555555551" footer="0.51180555555555551"/>
  <pageSetup firstPageNumber="0" orientation="landscape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40"/>
  <sheetViews>
    <sheetView zoomScaleNormal="100" workbookViewId="0"/>
  </sheetViews>
  <sheetFormatPr baseColWidth="10" defaultColWidth="36.28515625" defaultRowHeight="15" x14ac:dyDescent="0.25"/>
  <cols>
    <col min="1" max="1" width="17.5703125" customWidth="1"/>
    <col min="2" max="2" width="20.28515625" customWidth="1"/>
    <col min="3" max="3" width="34.42578125" customWidth="1"/>
    <col min="4" max="4" width="6.5703125" hidden="1" customWidth="1"/>
    <col min="5" max="5" width="19.28515625" hidden="1" customWidth="1"/>
    <col min="6" max="6" width="24.28515625" customWidth="1"/>
    <col min="7" max="7" width="18.42578125" hidden="1" customWidth="1"/>
    <col min="8" max="8" width="19.42578125" hidden="1" customWidth="1"/>
    <col min="9" max="9" width="18.5703125" hidden="1" customWidth="1"/>
    <col min="10" max="10" width="21.42578125" hidden="1" customWidth="1"/>
    <col min="11" max="12" width="20.28515625" customWidth="1"/>
    <col min="13" max="13" width="21.42578125" hidden="1" customWidth="1"/>
    <col min="14" max="14" width="22.7109375" style="82" customWidth="1"/>
    <col min="15" max="15" width="22.28515625" customWidth="1"/>
  </cols>
  <sheetData>
    <row r="1" spans="1:15" s="143" customFormat="1" x14ac:dyDescent="0.25">
      <c r="A1" s="377" t="s">
        <v>52</v>
      </c>
      <c r="B1" s="378" t="s">
        <v>691</v>
      </c>
      <c r="C1" s="378" t="s">
        <v>54</v>
      </c>
      <c r="D1" s="378" t="s">
        <v>55</v>
      </c>
      <c r="E1" s="378" t="s">
        <v>56</v>
      </c>
      <c r="F1" s="378" t="s">
        <v>57</v>
      </c>
      <c r="G1" s="378" t="s">
        <v>58</v>
      </c>
      <c r="H1" s="378" t="s">
        <v>59</v>
      </c>
      <c r="I1" s="378" t="s">
        <v>60</v>
      </c>
      <c r="J1" s="378" t="s">
        <v>61</v>
      </c>
      <c r="K1" s="378" t="s">
        <v>12</v>
      </c>
      <c r="L1" s="379" t="s">
        <v>62</v>
      </c>
      <c r="M1" s="378" t="s">
        <v>63</v>
      </c>
      <c r="N1" s="378" t="s">
        <v>65</v>
      </c>
      <c r="O1" s="380" t="s">
        <v>778</v>
      </c>
    </row>
    <row r="2" spans="1:15" s="143" customFormat="1" hidden="1" x14ac:dyDescent="0.25">
      <c r="A2" s="381" t="s">
        <v>68</v>
      </c>
      <c r="B2" s="357"/>
      <c r="C2" s="357"/>
      <c r="D2" s="357" t="s">
        <v>69</v>
      </c>
      <c r="E2" s="154">
        <v>153020984000</v>
      </c>
      <c r="F2" s="154">
        <v>150602076483.42001</v>
      </c>
      <c r="G2" s="154">
        <v>128382670289.67999</v>
      </c>
      <c r="H2" s="154">
        <v>437284559.60000002</v>
      </c>
      <c r="I2" s="154">
        <v>22056644052.290001</v>
      </c>
      <c r="J2" s="154">
        <v>492571652.63999999</v>
      </c>
      <c r="K2" s="154">
        <v>42144630307.980003</v>
      </c>
      <c r="L2" s="154"/>
      <c r="M2" s="154">
        <v>41075666834.099998</v>
      </c>
      <c r="N2" s="154">
        <v>85470945910.910004</v>
      </c>
      <c r="O2" s="382"/>
    </row>
    <row r="3" spans="1:15" s="143" customFormat="1" hidden="1" x14ac:dyDescent="0.25">
      <c r="A3" s="381">
        <v>214786</v>
      </c>
      <c r="B3" s="357"/>
      <c r="C3" s="357"/>
      <c r="D3" s="357" t="s">
        <v>69</v>
      </c>
      <c r="E3" s="154">
        <v>2252563898</v>
      </c>
      <c r="F3" s="154">
        <v>2116485751</v>
      </c>
      <c r="G3" s="154">
        <v>1983135750.5999999</v>
      </c>
      <c r="H3" s="154">
        <v>0</v>
      </c>
      <c r="I3" s="154">
        <v>292303995.22000003</v>
      </c>
      <c r="J3" s="154">
        <v>0</v>
      </c>
      <c r="K3" s="154">
        <v>582069938.30999994</v>
      </c>
      <c r="L3" s="154"/>
      <c r="M3" s="154">
        <v>582069938.30999994</v>
      </c>
      <c r="N3" s="154">
        <v>1242111817.47</v>
      </c>
      <c r="O3" s="382"/>
    </row>
    <row r="4" spans="1:15" s="143" customFormat="1" ht="15" customHeight="1" x14ac:dyDescent="0.25">
      <c r="A4" s="622" t="s">
        <v>696</v>
      </c>
      <c r="B4" s="383" t="s">
        <v>71</v>
      </c>
      <c r="C4" s="383" t="s">
        <v>72</v>
      </c>
      <c r="D4" s="383" t="s">
        <v>69</v>
      </c>
      <c r="E4" s="384">
        <v>1845529688</v>
      </c>
      <c r="F4" s="385">
        <v>1721066664</v>
      </c>
      <c r="G4" s="384">
        <v>1721066664</v>
      </c>
      <c r="H4" s="384">
        <v>0</v>
      </c>
      <c r="I4" s="384">
        <v>199021782</v>
      </c>
      <c r="J4" s="384">
        <v>0</v>
      </c>
      <c r="K4" s="384">
        <v>470233604.36000001</v>
      </c>
      <c r="L4" s="386">
        <f t="shared" ref="L4:L62" si="0">+K4/F4</f>
        <v>0.27322219074716797</v>
      </c>
      <c r="M4" s="384">
        <v>470233604.36000001</v>
      </c>
      <c r="N4" s="384">
        <v>1051811277.64</v>
      </c>
      <c r="O4" s="387">
        <f t="shared" ref="O4:O62" si="1">+N4/F4</f>
        <v>0.61113918457722216</v>
      </c>
    </row>
    <row r="5" spans="1:15" s="143" customFormat="1" ht="15.75" hidden="1" customHeight="1" x14ac:dyDescent="0.25">
      <c r="A5" s="622"/>
      <c r="B5" s="383" t="s">
        <v>73</v>
      </c>
      <c r="C5" s="383" t="s">
        <v>74</v>
      </c>
      <c r="D5" s="383" t="s">
        <v>69</v>
      </c>
      <c r="E5" s="384">
        <v>712211400</v>
      </c>
      <c r="F5" s="384">
        <v>686759100</v>
      </c>
      <c r="G5" s="384">
        <v>686759100</v>
      </c>
      <c r="H5" s="384">
        <v>0</v>
      </c>
      <c r="I5" s="384">
        <v>0</v>
      </c>
      <c r="J5" s="384">
        <v>0</v>
      </c>
      <c r="K5" s="384">
        <v>203369810.88999999</v>
      </c>
      <c r="L5" s="386">
        <f t="shared" si="0"/>
        <v>0.29612976499328508</v>
      </c>
      <c r="M5" s="384">
        <v>203369810.88999999</v>
      </c>
      <c r="N5" s="384">
        <v>483389289.11000001</v>
      </c>
      <c r="O5" s="387">
        <f t="shared" si="1"/>
        <v>0.70387023500671486</v>
      </c>
    </row>
    <row r="6" spans="1:15" s="143" customFormat="1" ht="15.75" hidden="1" customHeight="1" x14ac:dyDescent="0.25">
      <c r="A6" s="622"/>
      <c r="B6" s="383" t="s">
        <v>75</v>
      </c>
      <c r="C6" s="383" t="s">
        <v>76</v>
      </c>
      <c r="D6" s="383" t="s">
        <v>69</v>
      </c>
      <c r="E6" s="384">
        <v>712211400</v>
      </c>
      <c r="F6" s="384">
        <v>686759100</v>
      </c>
      <c r="G6" s="384">
        <v>686759100</v>
      </c>
      <c r="H6" s="384">
        <v>0</v>
      </c>
      <c r="I6" s="384">
        <v>0</v>
      </c>
      <c r="J6" s="384">
        <v>0</v>
      </c>
      <c r="K6" s="384">
        <v>203369810.88999999</v>
      </c>
      <c r="L6" s="386">
        <f t="shared" si="0"/>
        <v>0.29612976499328508</v>
      </c>
      <c r="M6" s="384">
        <v>203369810.88999999</v>
      </c>
      <c r="N6" s="384">
        <v>483389289.11000001</v>
      </c>
      <c r="O6" s="387">
        <f t="shared" si="1"/>
        <v>0.70387023500671486</v>
      </c>
    </row>
    <row r="7" spans="1:15" s="143" customFormat="1" ht="15.75" hidden="1" customHeight="1" x14ac:dyDescent="0.25">
      <c r="A7" s="622"/>
      <c r="B7" s="383" t="s">
        <v>77</v>
      </c>
      <c r="C7" s="383" t="s">
        <v>78</v>
      </c>
      <c r="D7" s="383" t="s">
        <v>69</v>
      </c>
      <c r="E7" s="384">
        <v>851789535</v>
      </c>
      <c r="F7" s="384">
        <v>762470364</v>
      </c>
      <c r="G7" s="384">
        <v>762470364</v>
      </c>
      <c r="H7" s="384">
        <v>0</v>
      </c>
      <c r="I7" s="384">
        <v>0</v>
      </c>
      <c r="J7" s="384">
        <v>0</v>
      </c>
      <c r="K7" s="384">
        <v>194048375.47</v>
      </c>
      <c r="L7" s="386">
        <f t="shared" si="0"/>
        <v>0.25449956435290383</v>
      </c>
      <c r="M7" s="384">
        <v>194048375.47</v>
      </c>
      <c r="N7" s="384">
        <v>568421988.52999997</v>
      </c>
      <c r="O7" s="387">
        <f t="shared" si="1"/>
        <v>0.74550043564709612</v>
      </c>
    </row>
    <row r="8" spans="1:15" s="143" customFormat="1" ht="15.75" hidden="1" customHeight="1" x14ac:dyDescent="0.25">
      <c r="A8" s="622"/>
      <c r="B8" s="383" t="s">
        <v>79</v>
      </c>
      <c r="C8" s="383" t="s">
        <v>80</v>
      </c>
      <c r="D8" s="383" t="s">
        <v>69</v>
      </c>
      <c r="E8" s="384">
        <v>171630900</v>
      </c>
      <c r="F8" s="384">
        <v>171630900</v>
      </c>
      <c r="G8" s="384">
        <v>171630900</v>
      </c>
      <c r="H8" s="384">
        <v>0</v>
      </c>
      <c r="I8" s="384">
        <v>0</v>
      </c>
      <c r="J8" s="384">
        <v>0</v>
      </c>
      <c r="K8" s="384">
        <v>47842640.909999996</v>
      </c>
      <c r="L8" s="386">
        <f t="shared" si="0"/>
        <v>0.278753073659813</v>
      </c>
      <c r="M8" s="384">
        <v>47842640.909999996</v>
      </c>
      <c r="N8" s="384">
        <v>123788259.09</v>
      </c>
      <c r="O8" s="387">
        <f t="shared" si="1"/>
        <v>0.72124692634018706</v>
      </c>
    </row>
    <row r="9" spans="1:15" s="143" customFormat="1" ht="15.75" hidden="1" customHeight="1" x14ac:dyDescent="0.25">
      <c r="A9" s="622"/>
      <c r="B9" s="383" t="s">
        <v>81</v>
      </c>
      <c r="C9" s="383" t="s">
        <v>82</v>
      </c>
      <c r="D9" s="383" t="s">
        <v>69</v>
      </c>
      <c r="E9" s="384">
        <v>362005040</v>
      </c>
      <c r="F9" s="384">
        <v>349729445</v>
      </c>
      <c r="G9" s="384">
        <v>349729445</v>
      </c>
      <c r="H9" s="384">
        <v>0</v>
      </c>
      <c r="I9" s="384">
        <v>0</v>
      </c>
      <c r="J9" s="384">
        <v>0</v>
      </c>
      <c r="K9" s="384">
        <v>95723867.739999995</v>
      </c>
      <c r="L9" s="386">
        <f t="shared" si="0"/>
        <v>0.27370834543256717</v>
      </c>
      <c r="M9" s="384">
        <v>95723867.739999995</v>
      </c>
      <c r="N9" s="384">
        <v>254005577.25999999</v>
      </c>
      <c r="O9" s="387">
        <f t="shared" si="1"/>
        <v>0.72629165456743283</v>
      </c>
    </row>
    <row r="10" spans="1:15" s="143" customFormat="1" ht="15.75" hidden="1" customHeight="1" x14ac:dyDescent="0.25">
      <c r="A10" s="622"/>
      <c r="B10" s="383" t="s">
        <v>83</v>
      </c>
      <c r="C10" s="383" t="s">
        <v>84</v>
      </c>
      <c r="D10" s="383" t="s">
        <v>85</v>
      </c>
      <c r="E10" s="384">
        <v>120263295</v>
      </c>
      <c r="F10" s="384">
        <v>116123261</v>
      </c>
      <c r="G10" s="384">
        <v>116123261</v>
      </c>
      <c r="H10" s="384">
        <v>0</v>
      </c>
      <c r="I10" s="384">
        <v>0</v>
      </c>
      <c r="J10" s="384">
        <v>0</v>
      </c>
      <c r="K10" s="384">
        <v>0</v>
      </c>
      <c r="L10" s="386">
        <f t="shared" si="0"/>
        <v>0</v>
      </c>
      <c r="M10" s="384">
        <v>0</v>
      </c>
      <c r="N10" s="384">
        <v>116123261</v>
      </c>
      <c r="O10" s="387">
        <f t="shared" si="1"/>
        <v>1</v>
      </c>
    </row>
    <row r="11" spans="1:15" s="143" customFormat="1" ht="15.75" hidden="1" customHeight="1" x14ac:dyDescent="0.25">
      <c r="A11" s="622"/>
      <c r="B11" s="383" t="s">
        <v>86</v>
      </c>
      <c r="C11" s="383" t="s">
        <v>87</v>
      </c>
      <c r="D11" s="383" t="s">
        <v>69</v>
      </c>
      <c r="E11" s="384">
        <v>110671900</v>
      </c>
      <c r="F11" s="384">
        <v>38177498</v>
      </c>
      <c r="G11" s="384">
        <v>38177498</v>
      </c>
      <c r="H11" s="384">
        <v>0</v>
      </c>
      <c r="I11" s="384">
        <v>0</v>
      </c>
      <c r="J11" s="384">
        <v>0</v>
      </c>
      <c r="K11" s="384">
        <v>26177497.469999999</v>
      </c>
      <c r="L11" s="386">
        <f t="shared" si="0"/>
        <v>0.68567870712742884</v>
      </c>
      <c r="M11" s="384">
        <v>26177497.469999999</v>
      </c>
      <c r="N11" s="384">
        <v>12000000.529999999</v>
      </c>
      <c r="O11" s="387">
        <f t="shared" si="1"/>
        <v>0.31432129287257116</v>
      </c>
    </row>
    <row r="12" spans="1:15" s="143" customFormat="1" ht="15.75" hidden="1" customHeight="1" x14ac:dyDescent="0.25">
      <c r="A12" s="622"/>
      <c r="B12" s="383" t="s">
        <v>88</v>
      </c>
      <c r="C12" s="383" t="s">
        <v>89</v>
      </c>
      <c r="D12" s="383" t="s">
        <v>69</v>
      </c>
      <c r="E12" s="384">
        <v>87218400</v>
      </c>
      <c r="F12" s="384">
        <v>86809260</v>
      </c>
      <c r="G12" s="384">
        <v>86809260</v>
      </c>
      <c r="H12" s="384">
        <v>0</v>
      </c>
      <c r="I12" s="384">
        <v>0</v>
      </c>
      <c r="J12" s="384">
        <v>0</v>
      </c>
      <c r="K12" s="384">
        <v>24304369.350000001</v>
      </c>
      <c r="L12" s="386">
        <f t="shared" si="0"/>
        <v>0.27997438694904209</v>
      </c>
      <c r="M12" s="384">
        <v>24304369.350000001</v>
      </c>
      <c r="N12" s="384">
        <v>62504890.649999999</v>
      </c>
      <c r="O12" s="387">
        <f t="shared" si="1"/>
        <v>0.72002561305095791</v>
      </c>
    </row>
    <row r="13" spans="1:15" s="143" customFormat="1" ht="15.75" hidden="1" customHeight="1" x14ac:dyDescent="0.25">
      <c r="A13" s="622"/>
      <c r="B13" s="383" t="s">
        <v>90</v>
      </c>
      <c r="C13" s="383" t="s">
        <v>91</v>
      </c>
      <c r="D13" s="383" t="s">
        <v>69</v>
      </c>
      <c r="E13" s="384">
        <v>140764376</v>
      </c>
      <c r="F13" s="384">
        <v>135918599</v>
      </c>
      <c r="G13" s="384">
        <v>135918599</v>
      </c>
      <c r="H13" s="384">
        <v>0</v>
      </c>
      <c r="I13" s="384">
        <v>99430224</v>
      </c>
      <c r="J13" s="384">
        <v>0</v>
      </c>
      <c r="K13" s="384">
        <v>36488375</v>
      </c>
      <c r="L13" s="386">
        <f t="shared" si="0"/>
        <v>0.26845755671745852</v>
      </c>
      <c r="M13" s="384">
        <v>36488375</v>
      </c>
      <c r="N13" s="384">
        <v>0</v>
      </c>
      <c r="O13" s="387">
        <f t="shared" si="1"/>
        <v>0</v>
      </c>
    </row>
    <row r="14" spans="1:15" s="143" customFormat="1" ht="15.75" hidden="1" customHeight="1" x14ac:dyDescent="0.25">
      <c r="A14" s="622"/>
      <c r="B14" s="383" t="s">
        <v>416</v>
      </c>
      <c r="C14" s="383" t="s">
        <v>697</v>
      </c>
      <c r="D14" s="383" t="s">
        <v>69</v>
      </c>
      <c r="E14" s="384">
        <v>133545724</v>
      </c>
      <c r="F14" s="384">
        <v>128948448</v>
      </c>
      <c r="G14" s="384">
        <v>128948448</v>
      </c>
      <c r="H14" s="384">
        <v>0</v>
      </c>
      <c r="I14" s="384">
        <v>94331249</v>
      </c>
      <c r="J14" s="384">
        <v>0</v>
      </c>
      <c r="K14" s="384">
        <v>34617199</v>
      </c>
      <c r="L14" s="386">
        <f t="shared" si="0"/>
        <v>0.26845766301894536</v>
      </c>
      <c r="M14" s="384">
        <v>34617199</v>
      </c>
      <c r="N14" s="384">
        <v>0</v>
      </c>
      <c r="O14" s="387">
        <f t="shared" si="1"/>
        <v>0</v>
      </c>
    </row>
    <row r="15" spans="1:15" s="143" customFormat="1" ht="15.75" hidden="1" customHeight="1" x14ac:dyDescent="0.25">
      <c r="A15" s="622"/>
      <c r="B15" s="383" t="s">
        <v>433</v>
      </c>
      <c r="C15" s="383" t="s">
        <v>95</v>
      </c>
      <c r="D15" s="383" t="s">
        <v>69</v>
      </c>
      <c r="E15" s="384">
        <v>7218652</v>
      </c>
      <c r="F15" s="384">
        <v>6970151</v>
      </c>
      <c r="G15" s="384">
        <v>6970151</v>
      </c>
      <c r="H15" s="384">
        <v>0</v>
      </c>
      <c r="I15" s="384">
        <v>5098975</v>
      </c>
      <c r="J15" s="384">
        <v>0</v>
      </c>
      <c r="K15" s="384">
        <v>1871176</v>
      </c>
      <c r="L15" s="386">
        <f t="shared" si="0"/>
        <v>0.26845559012996995</v>
      </c>
      <c r="M15" s="384">
        <v>1871176</v>
      </c>
      <c r="N15" s="384">
        <v>0</v>
      </c>
      <c r="O15" s="387">
        <f t="shared" si="1"/>
        <v>0</v>
      </c>
    </row>
    <row r="16" spans="1:15" s="143" customFormat="1" ht="15.75" hidden="1" customHeight="1" x14ac:dyDescent="0.25">
      <c r="A16" s="622"/>
      <c r="B16" s="383" t="s">
        <v>96</v>
      </c>
      <c r="C16" s="383" t="s">
        <v>97</v>
      </c>
      <c r="D16" s="383" t="s">
        <v>69</v>
      </c>
      <c r="E16" s="384">
        <v>140764377</v>
      </c>
      <c r="F16" s="384">
        <v>135918601</v>
      </c>
      <c r="G16" s="384">
        <v>135918601</v>
      </c>
      <c r="H16" s="384">
        <v>0</v>
      </c>
      <c r="I16" s="384">
        <v>99591558</v>
      </c>
      <c r="J16" s="384">
        <v>0</v>
      </c>
      <c r="K16" s="384">
        <v>36327043</v>
      </c>
      <c r="L16" s="386">
        <f t="shared" si="0"/>
        <v>0.26727057763050399</v>
      </c>
      <c r="M16" s="384">
        <v>36327043</v>
      </c>
      <c r="N16" s="384">
        <v>0</v>
      </c>
      <c r="O16" s="387">
        <f t="shared" si="1"/>
        <v>0</v>
      </c>
    </row>
    <row r="17" spans="1:15" s="143" customFormat="1" ht="15.75" hidden="1" customHeight="1" x14ac:dyDescent="0.25">
      <c r="A17" s="622"/>
      <c r="B17" s="383" t="s">
        <v>451</v>
      </c>
      <c r="C17" s="383" t="s">
        <v>698</v>
      </c>
      <c r="D17" s="383" t="s">
        <v>69</v>
      </c>
      <c r="E17" s="384">
        <v>75796203</v>
      </c>
      <c r="F17" s="384">
        <v>73186939</v>
      </c>
      <c r="G17" s="384">
        <v>73186939</v>
      </c>
      <c r="H17" s="384">
        <v>0</v>
      </c>
      <c r="I17" s="384">
        <v>53700700</v>
      </c>
      <c r="J17" s="384">
        <v>0</v>
      </c>
      <c r="K17" s="384">
        <v>19486239</v>
      </c>
      <c r="L17" s="386">
        <f t="shared" si="0"/>
        <v>0.26625295805854104</v>
      </c>
      <c r="M17" s="384">
        <v>19486239</v>
      </c>
      <c r="N17" s="384">
        <v>0</v>
      </c>
      <c r="O17" s="387">
        <f t="shared" si="1"/>
        <v>0</v>
      </c>
    </row>
    <row r="18" spans="1:15" s="143" customFormat="1" ht="15.75" hidden="1" customHeight="1" x14ac:dyDescent="0.25">
      <c r="A18" s="622"/>
      <c r="B18" s="383" t="s">
        <v>468</v>
      </c>
      <c r="C18" s="383" t="s">
        <v>699</v>
      </c>
      <c r="D18" s="383" t="s">
        <v>69</v>
      </c>
      <c r="E18" s="384">
        <v>21656058</v>
      </c>
      <c r="F18" s="384">
        <v>20910554</v>
      </c>
      <c r="G18" s="384">
        <v>20910554</v>
      </c>
      <c r="H18" s="384">
        <v>0</v>
      </c>
      <c r="I18" s="384">
        <v>15296948</v>
      </c>
      <c r="J18" s="384">
        <v>0</v>
      </c>
      <c r="K18" s="384">
        <v>5613606</v>
      </c>
      <c r="L18" s="386">
        <f t="shared" si="0"/>
        <v>0.26845802363725035</v>
      </c>
      <c r="M18" s="384">
        <v>5613606</v>
      </c>
      <c r="N18" s="384">
        <v>0</v>
      </c>
      <c r="O18" s="387">
        <f t="shared" si="1"/>
        <v>0</v>
      </c>
    </row>
    <row r="19" spans="1:15" s="143" customFormat="1" ht="15.75" hidden="1" customHeight="1" x14ac:dyDescent="0.25">
      <c r="A19" s="622"/>
      <c r="B19" s="383" t="s">
        <v>485</v>
      </c>
      <c r="C19" s="383" t="s">
        <v>700</v>
      </c>
      <c r="D19" s="383" t="s">
        <v>69</v>
      </c>
      <c r="E19" s="384">
        <v>43312116</v>
      </c>
      <c r="F19" s="384">
        <v>41821108</v>
      </c>
      <c r="G19" s="384">
        <v>41821108</v>
      </c>
      <c r="H19" s="384">
        <v>0</v>
      </c>
      <c r="I19" s="384">
        <v>30593910</v>
      </c>
      <c r="J19" s="384">
        <v>0</v>
      </c>
      <c r="K19" s="384">
        <v>11227198</v>
      </c>
      <c r="L19" s="386">
        <f t="shared" si="0"/>
        <v>0.26845768887806609</v>
      </c>
      <c r="M19" s="384">
        <v>11227198</v>
      </c>
      <c r="N19" s="384">
        <v>0</v>
      </c>
      <c r="O19" s="387">
        <f t="shared" si="1"/>
        <v>0</v>
      </c>
    </row>
    <row r="20" spans="1:15" s="143" customFormat="1" x14ac:dyDescent="0.25">
      <c r="A20" s="622"/>
      <c r="B20" s="383" t="s">
        <v>104</v>
      </c>
      <c r="C20" s="383" t="s">
        <v>105</v>
      </c>
      <c r="D20" s="383" t="s">
        <v>69</v>
      </c>
      <c r="E20" s="384">
        <v>83371900</v>
      </c>
      <c r="F20" s="384">
        <v>73451900</v>
      </c>
      <c r="G20" s="384">
        <v>73451899.599999994</v>
      </c>
      <c r="H20" s="384">
        <v>0</v>
      </c>
      <c r="I20" s="384">
        <v>39431945.829999998</v>
      </c>
      <c r="J20" s="384">
        <v>0</v>
      </c>
      <c r="K20" s="384">
        <v>4954686.58</v>
      </c>
      <c r="L20" s="386">
        <f t="shared" si="0"/>
        <v>6.7454845688130607E-2</v>
      </c>
      <c r="M20" s="384">
        <v>4954686.58</v>
      </c>
      <c r="N20" s="384">
        <v>29065267.59</v>
      </c>
      <c r="O20" s="387">
        <f t="shared" si="1"/>
        <v>0.39570477537000404</v>
      </c>
    </row>
    <row r="21" spans="1:15" s="143" customFormat="1" ht="15.75" hidden="1" customHeight="1" x14ac:dyDescent="0.25">
      <c r="A21" s="622"/>
      <c r="B21" s="383" t="s">
        <v>106</v>
      </c>
      <c r="C21" s="383" t="s">
        <v>107</v>
      </c>
      <c r="D21" s="383" t="s">
        <v>69</v>
      </c>
      <c r="E21" s="384">
        <v>55749325</v>
      </c>
      <c r="F21" s="384">
        <v>54664325</v>
      </c>
      <c r="G21" s="384">
        <v>54664324.600000001</v>
      </c>
      <c r="H21" s="384">
        <v>0</v>
      </c>
      <c r="I21" s="384">
        <v>29594135.449999999</v>
      </c>
      <c r="J21" s="384">
        <v>0</v>
      </c>
      <c r="K21" s="384">
        <v>0</v>
      </c>
      <c r="L21" s="386">
        <f t="shared" si="0"/>
        <v>0</v>
      </c>
      <c r="M21" s="384">
        <v>0</v>
      </c>
      <c r="N21" s="384">
        <v>25070189.550000001</v>
      </c>
      <c r="O21" s="387">
        <f t="shared" si="1"/>
        <v>0.45862067353799763</v>
      </c>
    </row>
    <row r="22" spans="1:15" s="143" customFormat="1" ht="15.75" hidden="1" customHeight="1" x14ac:dyDescent="0.25">
      <c r="A22" s="622"/>
      <c r="B22" s="383" t="s">
        <v>108</v>
      </c>
      <c r="C22" s="383" t="s">
        <v>109</v>
      </c>
      <c r="D22" s="383" t="s">
        <v>69</v>
      </c>
      <c r="E22" s="384">
        <v>55664325</v>
      </c>
      <c r="F22" s="384">
        <v>54664325</v>
      </c>
      <c r="G22" s="384">
        <v>54664324.600000001</v>
      </c>
      <c r="H22" s="384">
        <v>0</v>
      </c>
      <c r="I22" s="384">
        <v>29594135.449999999</v>
      </c>
      <c r="J22" s="384">
        <v>0</v>
      </c>
      <c r="K22" s="384">
        <v>0</v>
      </c>
      <c r="L22" s="386">
        <f t="shared" si="0"/>
        <v>0</v>
      </c>
      <c r="M22" s="384">
        <v>0</v>
      </c>
      <c r="N22" s="384">
        <v>25070189.550000001</v>
      </c>
      <c r="O22" s="387">
        <f t="shared" si="1"/>
        <v>0.45862067353799763</v>
      </c>
    </row>
    <row r="23" spans="1:15" s="143" customFormat="1" ht="15.75" hidden="1" customHeight="1" x14ac:dyDescent="0.25">
      <c r="A23" s="622"/>
      <c r="B23" s="383" t="s">
        <v>110</v>
      </c>
      <c r="C23" s="383" t="s">
        <v>111</v>
      </c>
      <c r="D23" s="383" t="s">
        <v>69</v>
      </c>
      <c r="E23" s="384">
        <v>85000</v>
      </c>
      <c r="F23" s="384">
        <v>0</v>
      </c>
      <c r="G23" s="384">
        <v>0</v>
      </c>
      <c r="H23" s="384">
        <v>0</v>
      </c>
      <c r="I23" s="384">
        <v>0</v>
      </c>
      <c r="J23" s="384">
        <v>0</v>
      </c>
      <c r="K23" s="384">
        <v>0</v>
      </c>
      <c r="L23" s="386" t="e">
        <f t="shared" si="0"/>
        <v>#DIV/0!</v>
      </c>
      <c r="M23" s="384">
        <v>0</v>
      </c>
      <c r="N23" s="384">
        <v>0</v>
      </c>
      <c r="O23" s="387" t="e">
        <f t="shared" si="1"/>
        <v>#DIV/0!</v>
      </c>
    </row>
    <row r="24" spans="1:15" s="143" customFormat="1" ht="15.75" hidden="1" customHeight="1" x14ac:dyDescent="0.25">
      <c r="A24" s="622"/>
      <c r="B24" s="383" t="s">
        <v>124</v>
      </c>
      <c r="C24" s="383" t="s">
        <v>125</v>
      </c>
      <c r="D24" s="383" t="s">
        <v>69</v>
      </c>
      <c r="E24" s="384">
        <v>1900000</v>
      </c>
      <c r="F24" s="384">
        <v>925000</v>
      </c>
      <c r="G24" s="384">
        <v>925000</v>
      </c>
      <c r="H24" s="384">
        <v>0</v>
      </c>
      <c r="I24" s="384">
        <v>298320</v>
      </c>
      <c r="J24" s="384">
        <v>0</v>
      </c>
      <c r="K24" s="384">
        <v>0</v>
      </c>
      <c r="L24" s="386">
        <f t="shared" si="0"/>
        <v>0</v>
      </c>
      <c r="M24" s="384">
        <v>0</v>
      </c>
      <c r="N24" s="384">
        <v>626680</v>
      </c>
      <c r="O24" s="387">
        <f t="shared" si="1"/>
        <v>0.67749189189189185</v>
      </c>
    </row>
    <row r="25" spans="1:15" s="143" customFormat="1" ht="15.75" hidden="1" customHeight="1" x14ac:dyDescent="0.25">
      <c r="A25" s="622"/>
      <c r="B25" s="383" t="s">
        <v>128</v>
      </c>
      <c r="C25" s="383" t="s">
        <v>129</v>
      </c>
      <c r="D25" s="383" t="s">
        <v>69</v>
      </c>
      <c r="E25" s="384">
        <v>1250000</v>
      </c>
      <c r="F25" s="384">
        <v>625000</v>
      </c>
      <c r="G25" s="384">
        <v>625000</v>
      </c>
      <c r="H25" s="384">
        <v>0</v>
      </c>
      <c r="I25" s="384">
        <v>0</v>
      </c>
      <c r="J25" s="384">
        <v>0</v>
      </c>
      <c r="K25" s="384">
        <v>0</v>
      </c>
      <c r="L25" s="386">
        <f t="shared" si="0"/>
        <v>0</v>
      </c>
      <c r="M25" s="384">
        <v>0</v>
      </c>
      <c r="N25" s="384">
        <v>625000</v>
      </c>
      <c r="O25" s="387">
        <f t="shared" si="1"/>
        <v>1</v>
      </c>
    </row>
    <row r="26" spans="1:15" s="143" customFormat="1" ht="15.75" hidden="1" customHeight="1" x14ac:dyDescent="0.25">
      <c r="A26" s="622"/>
      <c r="B26" s="383" t="s">
        <v>130</v>
      </c>
      <c r="C26" s="383" t="s">
        <v>131</v>
      </c>
      <c r="D26" s="383" t="s">
        <v>69</v>
      </c>
      <c r="E26" s="384">
        <v>50000</v>
      </c>
      <c r="F26" s="384">
        <v>0</v>
      </c>
      <c r="G26" s="384">
        <v>0</v>
      </c>
      <c r="H26" s="384">
        <v>0</v>
      </c>
      <c r="I26" s="384">
        <v>0</v>
      </c>
      <c r="J26" s="384">
        <v>0</v>
      </c>
      <c r="K26" s="384">
        <v>0</v>
      </c>
      <c r="L26" s="386" t="e">
        <f t="shared" si="0"/>
        <v>#DIV/0!</v>
      </c>
      <c r="M26" s="384">
        <v>0</v>
      </c>
      <c r="N26" s="384">
        <v>0</v>
      </c>
      <c r="O26" s="387" t="e">
        <f t="shared" si="1"/>
        <v>#DIV/0!</v>
      </c>
    </row>
    <row r="27" spans="1:15" s="143" customFormat="1" ht="15.75" hidden="1" customHeight="1" x14ac:dyDescent="0.25">
      <c r="A27" s="622"/>
      <c r="B27" s="383" t="s">
        <v>132</v>
      </c>
      <c r="C27" s="383" t="s">
        <v>133</v>
      </c>
      <c r="D27" s="383" t="s">
        <v>69</v>
      </c>
      <c r="E27" s="384">
        <v>600000</v>
      </c>
      <c r="F27" s="384">
        <v>300000</v>
      </c>
      <c r="G27" s="384">
        <v>300000</v>
      </c>
      <c r="H27" s="384">
        <v>0</v>
      </c>
      <c r="I27" s="384">
        <v>298320</v>
      </c>
      <c r="J27" s="384">
        <v>0</v>
      </c>
      <c r="K27" s="384">
        <v>0</v>
      </c>
      <c r="L27" s="386">
        <f t="shared" si="0"/>
        <v>0</v>
      </c>
      <c r="M27" s="384">
        <v>0</v>
      </c>
      <c r="N27" s="384">
        <v>1680</v>
      </c>
      <c r="O27" s="387">
        <f t="shared" si="1"/>
        <v>5.5999999999999999E-3</v>
      </c>
    </row>
    <row r="28" spans="1:15" s="143" customFormat="1" ht="15.75" hidden="1" customHeight="1" x14ac:dyDescent="0.25">
      <c r="A28" s="622"/>
      <c r="B28" s="383" t="s">
        <v>140</v>
      </c>
      <c r="C28" s="383" t="s">
        <v>141</v>
      </c>
      <c r="D28" s="383" t="s">
        <v>69</v>
      </c>
      <c r="E28" s="384">
        <v>25000000</v>
      </c>
      <c r="F28" s="384">
        <v>17540000</v>
      </c>
      <c r="G28" s="384">
        <v>17540000</v>
      </c>
      <c r="H28" s="384">
        <v>0</v>
      </c>
      <c r="I28" s="384">
        <v>9539490.3800000008</v>
      </c>
      <c r="J28" s="384">
        <v>0</v>
      </c>
      <c r="K28" s="384">
        <v>4954686.58</v>
      </c>
      <c r="L28" s="386">
        <f t="shared" si="0"/>
        <v>0.28247928050171039</v>
      </c>
      <c r="M28" s="384">
        <v>4954686.58</v>
      </c>
      <c r="N28" s="384">
        <v>3045823.04</v>
      </c>
      <c r="O28" s="387">
        <f t="shared" si="1"/>
        <v>0.17365011630558724</v>
      </c>
    </row>
    <row r="29" spans="1:15" s="143" customFormat="1" ht="15.75" hidden="1" customHeight="1" x14ac:dyDescent="0.25">
      <c r="A29" s="622"/>
      <c r="B29" s="383" t="s">
        <v>142</v>
      </c>
      <c r="C29" s="383" t="s">
        <v>143</v>
      </c>
      <c r="D29" s="383" t="s">
        <v>69</v>
      </c>
      <c r="E29" s="384">
        <v>100000</v>
      </c>
      <c r="F29" s="384">
        <v>100000</v>
      </c>
      <c r="G29" s="384">
        <v>100000</v>
      </c>
      <c r="H29" s="384">
        <v>0</v>
      </c>
      <c r="I29" s="384">
        <v>64340</v>
      </c>
      <c r="J29" s="384">
        <v>0</v>
      </c>
      <c r="K29" s="384">
        <v>35660</v>
      </c>
      <c r="L29" s="386">
        <f t="shared" si="0"/>
        <v>0.35659999999999997</v>
      </c>
      <c r="M29" s="384">
        <v>35660</v>
      </c>
      <c r="N29" s="384">
        <v>0</v>
      </c>
      <c r="O29" s="387">
        <f t="shared" si="1"/>
        <v>0</v>
      </c>
    </row>
    <row r="30" spans="1:15" s="143" customFormat="1" ht="15.75" hidden="1" customHeight="1" x14ac:dyDescent="0.25">
      <c r="A30" s="622"/>
      <c r="B30" s="383" t="s">
        <v>144</v>
      </c>
      <c r="C30" s="383" t="s">
        <v>145</v>
      </c>
      <c r="D30" s="383" t="s">
        <v>69</v>
      </c>
      <c r="E30" s="384">
        <v>8085000</v>
      </c>
      <c r="F30" s="384">
        <v>8085000</v>
      </c>
      <c r="G30" s="384">
        <v>8085000</v>
      </c>
      <c r="H30" s="384">
        <v>0</v>
      </c>
      <c r="I30" s="384">
        <v>6848500</v>
      </c>
      <c r="J30" s="384">
        <v>0</v>
      </c>
      <c r="K30" s="384">
        <v>782200</v>
      </c>
      <c r="L30" s="386">
        <f t="shared" si="0"/>
        <v>9.6747062461348177E-2</v>
      </c>
      <c r="M30" s="384">
        <v>782200</v>
      </c>
      <c r="N30" s="384">
        <v>454300</v>
      </c>
      <c r="O30" s="387">
        <f t="shared" si="1"/>
        <v>5.6190476190476193E-2</v>
      </c>
    </row>
    <row r="31" spans="1:15" s="143" customFormat="1" ht="15.75" hidden="1" customHeight="1" x14ac:dyDescent="0.25">
      <c r="A31" s="622"/>
      <c r="B31" s="383" t="s">
        <v>146</v>
      </c>
      <c r="C31" s="383" t="s">
        <v>147</v>
      </c>
      <c r="D31" s="383" t="s">
        <v>69</v>
      </c>
      <c r="E31" s="384">
        <v>8295000</v>
      </c>
      <c r="F31" s="384">
        <v>1585000</v>
      </c>
      <c r="G31" s="384">
        <v>1585000</v>
      </c>
      <c r="H31" s="384">
        <v>0</v>
      </c>
      <c r="I31" s="384">
        <v>37411.9</v>
      </c>
      <c r="J31" s="384">
        <v>0</v>
      </c>
      <c r="K31" s="384">
        <v>1547588.1</v>
      </c>
      <c r="L31" s="386">
        <f t="shared" si="0"/>
        <v>0.97639627760252368</v>
      </c>
      <c r="M31" s="384">
        <v>1547588.1</v>
      </c>
      <c r="N31" s="384">
        <v>0</v>
      </c>
      <c r="O31" s="387">
        <f t="shared" si="1"/>
        <v>0</v>
      </c>
    </row>
    <row r="32" spans="1:15" s="143" customFormat="1" ht="15.75" hidden="1" customHeight="1" x14ac:dyDescent="0.25">
      <c r="A32" s="622"/>
      <c r="B32" s="383" t="s">
        <v>148</v>
      </c>
      <c r="C32" s="383" t="s">
        <v>149</v>
      </c>
      <c r="D32" s="383" t="s">
        <v>69</v>
      </c>
      <c r="E32" s="384">
        <v>8520000</v>
      </c>
      <c r="F32" s="384">
        <v>7770000</v>
      </c>
      <c r="G32" s="384">
        <v>7770000</v>
      </c>
      <c r="H32" s="384">
        <v>0</v>
      </c>
      <c r="I32" s="384">
        <v>2589238.48</v>
      </c>
      <c r="J32" s="384">
        <v>0</v>
      </c>
      <c r="K32" s="384">
        <v>2589238.48</v>
      </c>
      <c r="L32" s="386">
        <f t="shared" si="0"/>
        <v>0.33323532561132563</v>
      </c>
      <c r="M32" s="384">
        <v>2589238.48</v>
      </c>
      <c r="N32" s="384">
        <v>2591523.04</v>
      </c>
      <c r="O32" s="387">
        <f t="shared" si="1"/>
        <v>0.3335293487773488</v>
      </c>
    </row>
    <row r="33" spans="1:15" s="143" customFormat="1" ht="15.75" hidden="1" customHeight="1" x14ac:dyDescent="0.25">
      <c r="A33" s="622"/>
      <c r="B33" s="383" t="s">
        <v>154</v>
      </c>
      <c r="C33" s="383" t="s">
        <v>155</v>
      </c>
      <c r="D33" s="383" t="s">
        <v>69</v>
      </c>
      <c r="E33" s="384">
        <v>400000</v>
      </c>
      <c r="F33" s="384">
        <v>0</v>
      </c>
      <c r="G33" s="384">
        <v>0</v>
      </c>
      <c r="H33" s="384">
        <v>0</v>
      </c>
      <c r="I33" s="384">
        <v>0</v>
      </c>
      <c r="J33" s="384">
        <v>0</v>
      </c>
      <c r="K33" s="384">
        <v>0</v>
      </c>
      <c r="L33" s="386" t="e">
        <f t="shared" si="0"/>
        <v>#DIV/0!</v>
      </c>
      <c r="M33" s="384">
        <v>0</v>
      </c>
      <c r="N33" s="384">
        <v>0</v>
      </c>
      <c r="O33" s="387" t="e">
        <f t="shared" si="1"/>
        <v>#DIV/0!</v>
      </c>
    </row>
    <row r="34" spans="1:15" s="143" customFormat="1" ht="15.75" hidden="1" customHeight="1" x14ac:dyDescent="0.25">
      <c r="A34" s="622"/>
      <c r="B34" s="383" t="s">
        <v>160</v>
      </c>
      <c r="C34" s="383" t="s">
        <v>161</v>
      </c>
      <c r="D34" s="383" t="s">
        <v>69</v>
      </c>
      <c r="E34" s="384">
        <v>400000</v>
      </c>
      <c r="F34" s="384">
        <v>0</v>
      </c>
      <c r="G34" s="384">
        <v>0</v>
      </c>
      <c r="H34" s="384">
        <v>0</v>
      </c>
      <c r="I34" s="384">
        <v>0</v>
      </c>
      <c r="J34" s="384">
        <v>0</v>
      </c>
      <c r="K34" s="384">
        <v>0</v>
      </c>
      <c r="L34" s="386" t="e">
        <f t="shared" si="0"/>
        <v>#DIV/0!</v>
      </c>
      <c r="M34" s="384">
        <v>0</v>
      </c>
      <c r="N34" s="384">
        <v>0</v>
      </c>
      <c r="O34" s="387" t="e">
        <f t="shared" si="1"/>
        <v>#DIV/0!</v>
      </c>
    </row>
    <row r="35" spans="1:15" s="143" customFormat="1" ht="15.75" hidden="1" customHeight="1" x14ac:dyDescent="0.25">
      <c r="A35" s="622"/>
      <c r="B35" s="383" t="s">
        <v>162</v>
      </c>
      <c r="C35" s="383" t="s">
        <v>163</v>
      </c>
      <c r="D35" s="383" t="s">
        <v>69</v>
      </c>
      <c r="E35" s="384">
        <v>322575</v>
      </c>
      <c r="F35" s="384">
        <v>322575</v>
      </c>
      <c r="G35" s="384">
        <v>322575</v>
      </c>
      <c r="H35" s="384">
        <v>0</v>
      </c>
      <c r="I35" s="384">
        <v>0</v>
      </c>
      <c r="J35" s="384">
        <v>0</v>
      </c>
      <c r="K35" s="384">
        <v>0</v>
      </c>
      <c r="L35" s="386">
        <f t="shared" si="0"/>
        <v>0</v>
      </c>
      <c r="M35" s="384">
        <v>0</v>
      </c>
      <c r="N35" s="384">
        <v>322575</v>
      </c>
      <c r="O35" s="387">
        <f t="shared" si="1"/>
        <v>1</v>
      </c>
    </row>
    <row r="36" spans="1:15" s="143" customFormat="1" ht="15.75" hidden="1" customHeight="1" x14ac:dyDescent="0.25">
      <c r="A36" s="622"/>
      <c r="B36" s="383" t="s">
        <v>170</v>
      </c>
      <c r="C36" s="383" t="s">
        <v>171</v>
      </c>
      <c r="D36" s="383" t="s">
        <v>69</v>
      </c>
      <c r="E36" s="384">
        <v>322575</v>
      </c>
      <c r="F36" s="384">
        <v>322575</v>
      </c>
      <c r="G36" s="384">
        <v>322575</v>
      </c>
      <c r="H36" s="384">
        <v>0</v>
      </c>
      <c r="I36" s="384">
        <v>0</v>
      </c>
      <c r="J36" s="384">
        <v>0</v>
      </c>
      <c r="K36" s="384">
        <v>0</v>
      </c>
      <c r="L36" s="386">
        <f t="shared" si="0"/>
        <v>0</v>
      </c>
      <c r="M36" s="384">
        <v>0</v>
      </c>
      <c r="N36" s="384">
        <v>322575</v>
      </c>
      <c r="O36" s="387">
        <f t="shared" si="1"/>
        <v>1</v>
      </c>
    </row>
    <row r="37" spans="1:15" s="143" customFormat="1" x14ac:dyDescent="0.25">
      <c r="A37" s="622"/>
      <c r="B37" s="383" t="s">
        <v>184</v>
      </c>
      <c r="C37" s="383" t="s">
        <v>185</v>
      </c>
      <c r="D37" s="383" t="s">
        <v>69</v>
      </c>
      <c r="E37" s="384">
        <v>4976400</v>
      </c>
      <c r="F37" s="384">
        <v>4376300</v>
      </c>
      <c r="G37" s="384">
        <v>4376300</v>
      </c>
      <c r="H37" s="384">
        <v>0</v>
      </c>
      <c r="I37" s="384">
        <v>0</v>
      </c>
      <c r="J37" s="384">
        <v>0</v>
      </c>
      <c r="K37" s="384">
        <v>562346.76</v>
      </c>
      <c r="L37" s="386">
        <f t="shared" si="0"/>
        <v>0.12849821995749836</v>
      </c>
      <c r="M37" s="384">
        <v>562346.76</v>
      </c>
      <c r="N37" s="384">
        <v>3813953.24</v>
      </c>
      <c r="O37" s="387">
        <f t="shared" si="1"/>
        <v>0.87150178004250167</v>
      </c>
    </row>
    <row r="38" spans="1:15" s="143" customFormat="1" ht="15.75" hidden="1" customHeight="1" x14ac:dyDescent="0.25">
      <c r="A38" s="622"/>
      <c r="B38" s="383" t="s">
        <v>186</v>
      </c>
      <c r="C38" s="383" t="s">
        <v>187</v>
      </c>
      <c r="D38" s="383" t="s">
        <v>69</v>
      </c>
      <c r="E38" s="384">
        <v>43000</v>
      </c>
      <c r="F38" s="384">
        <v>0</v>
      </c>
      <c r="G38" s="384">
        <v>0</v>
      </c>
      <c r="H38" s="384">
        <v>0</v>
      </c>
      <c r="I38" s="384">
        <v>0</v>
      </c>
      <c r="J38" s="384">
        <v>0</v>
      </c>
      <c r="K38" s="384">
        <v>0</v>
      </c>
      <c r="L38" s="386" t="e">
        <f t="shared" si="0"/>
        <v>#DIV/0!</v>
      </c>
      <c r="M38" s="384">
        <v>0</v>
      </c>
      <c r="N38" s="384">
        <v>0</v>
      </c>
      <c r="O38" s="387" t="e">
        <f t="shared" si="1"/>
        <v>#DIV/0!</v>
      </c>
    </row>
    <row r="39" spans="1:15" s="143" customFormat="1" ht="15.75" hidden="1" customHeight="1" x14ac:dyDescent="0.25">
      <c r="A39" s="622"/>
      <c r="B39" s="383" t="s">
        <v>192</v>
      </c>
      <c r="C39" s="383" t="s">
        <v>193</v>
      </c>
      <c r="D39" s="383" t="s">
        <v>69</v>
      </c>
      <c r="E39" s="384">
        <v>43000</v>
      </c>
      <c r="F39" s="384">
        <v>0</v>
      </c>
      <c r="G39" s="384">
        <v>0</v>
      </c>
      <c r="H39" s="384">
        <v>0</v>
      </c>
      <c r="I39" s="384">
        <v>0</v>
      </c>
      <c r="J39" s="384">
        <v>0</v>
      </c>
      <c r="K39" s="384">
        <v>0</v>
      </c>
      <c r="L39" s="386" t="e">
        <f t="shared" si="0"/>
        <v>#DIV/0!</v>
      </c>
      <c r="M39" s="384">
        <v>0</v>
      </c>
      <c r="N39" s="384">
        <v>0</v>
      </c>
      <c r="O39" s="387" t="e">
        <f t="shared" si="1"/>
        <v>#DIV/0!</v>
      </c>
    </row>
    <row r="40" spans="1:15" s="143" customFormat="1" ht="15.75" hidden="1" customHeight="1" x14ac:dyDescent="0.25">
      <c r="A40" s="622"/>
      <c r="B40" s="383" t="s">
        <v>206</v>
      </c>
      <c r="C40" s="383" t="s">
        <v>207</v>
      </c>
      <c r="D40" s="383" t="s">
        <v>69</v>
      </c>
      <c r="E40" s="384">
        <v>49000</v>
      </c>
      <c r="F40" s="384">
        <v>0</v>
      </c>
      <c r="G40" s="384">
        <v>0</v>
      </c>
      <c r="H40" s="384">
        <v>0</v>
      </c>
      <c r="I40" s="384">
        <v>0</v>
      </c>
      <c r="J40" s="384">
        <v>0</v>
      </c>
      <c r="K40" s="384">
        <v>0</v>
      </c>
      <c r="L40" s="386" t="e">
        <f t="shared" si="0"/>
        <v>#DIV/0!</v>
      </c>
      <c r="M40" s="384">
        <v>0</v>
      </c>
      <c r="N40" s="384">
        <v>0</v>
      </c>
      <c r="O40" s="387" t="e">
        <f t="shared" si="1"/>
        <v>#DIV/0!</v>
      </c>
    </row>
    <row r="41" spans="1:15" s="143" customFormat="1" ht="15.75" hidden="1" customHeight="1" x14ac:dyDescent="0.25">
      <c r="A41" s="622"/>
      <c r="B41" s="383" t="s">
        <v>208</v>
      </c>
      <c r="C41" s="383" t="s">
        <v>209</v>
      </c>
      <c r="D41" s="383" t="s">
        <v>69</v>
      </c>
      <c r="E41" s="384">
        <v>49000</v>
      </c>
      <c r="F41" s="384">
        <v>0</v>
      </c>
      <c r="G41" s="384">
        <v>0</v>
      </c>
      <c r="H41" s="384">
        <v>0</v>
      </c>
      <c r="I41" s="384">
        <v>0</v>
      </c>
      <c r="J41" s="384">
        <v>0</v>
      </c>
      <c r="K41" s="384">
        <v>0</v>
      </c>
      <c r="L41" s="386" t="e">
        <f t="shared" si="0"/>
        <v>#DIV/0!</v>
      </c>
      <c r="M41" s="384">
        <v>0</v>
      </c>
      <c r="N41" s="384">
        <v>0</v>
      </c>
      <c r="O41" s="387" t="e">
        <f t="shared" si="1"/>
        <v>#DIV/0!</v>
      </c>
    </row>
    <row r="42" spans="1:15" s="143" customFormat="1" ht="15.75" hidden="1" customHeight="1" x14ac:dyDescent="0.25">
      <c r="A42" s="622"/>
      <c r="B42" s="383" t="s">
        <v>212</v>
      </c>
      <c r="C42" s="383" t="s">
        <v>213</v>
      </c>
      <c r="D42" s="383" t="s">
        <v>69</v>
      </c>
      <c r="E42" s="384">
        <v>4884400</v>
      </c>
      <c r="F42" s="384">
        <v>4376300</v>
      </c>
      <c r="G42" s="384">
        <v>4376300</v>
      </c>
      <c r="H42" s="384">
        <v>0</v>
      </c>
      <c r="I42" s="384">
        <v>0</v>
      </c>
      <c r="J42" s="384">
        <v>0</v>
      </c>
      <c r="K42" s="384">
        <v>562346.76</v>
      </c>
      <c r="L42" s="386">
        <f t="shared" si="0"/>
        <v>0.12849821995749836</v>
      </c>
      <c r="M42" s="384">
        <v>562346.76</v>
      </c>
      <c r="N42" s="384">
        <v>3813953.24</v>
      </c>
      <c r="O42" s="387">
        <f t="shared" si="1"/>
        <v>0.87150178004250167</v>
      </c>
    </row>
    <row r="43" spans="1:15" s="143" customFormat="1" ht="15.75" hidden="1" customHeight="1" x14ac:dyDescent="0.25">
      <c r="A43" s="622"/>
      <c r="B43" s="383" t="s">
        <v>214</v>
      </c>
      <c r="C43" s="383" t="s">
        <v>215</v>
      </c>
      <c r="D43" s="383" t="s">
        <v>69</v>
      </c>
      <c r="E43" s="384">
        <v>2500000</v>
      </c>
      <c r="F43" s="384">
        <v>2250000</v>
      </c>
      <c r="G43" s="384">
        <v>2250000</v>
      </c>
      <c r="H43" s="384">
        <v>0</v>
      </c>
      <c r="I43" s="384">
        <v>0</v>
      </c>
      <c r="J43" s="384">
        <v>0</v>
      </c>
      <c r="K43" s="384">
        <v>0</v>
      </c>
      <c r="L43" s="386">
        <f t="shared" si="0"/>
        <v>0</v>
      </c>
      <c r="M43" s="384">
        <v>0</v>
      </c>
      <c r="N43" s="384">
        <v>2250000</v>
      </c>
      <c r="O43" s="387">
        <f t="shared" si="1"/>
        <v>1</v>
      </c>
    </row>
    <row r="44" spans="1:15" s="143" customFormat="1" ht="15.75" hidden="1" customHeight="1" x14ac:dyDescent="0.25">
      <c r="A44" s="622"/>
      <c r="B44" s="383" t="s">
        <v>218</v>
      </c>
      <c r="C44" s="383" t="s">
        <v>219</v>
      </c>
      <c r="D44" s="383" t="s">
        <v>69</v>
      </c>
      <c r="E44" s="384">
        <v>1800000</v>
      </c>
      <c r="F44" s="384">
        <v>1676300</v>
      </c>
      <c r="G44" s="384">
        <v>1676300</v>
      </c>
      <c r="H44" s="384">
        <v>0</v>
      </c>
      <c r="I44" s="384">
        <v>0</v>
      </c>
      <c r="J44" s="384">
        <v>0</v>
      </c>
      <c r="K44" s="384">
        <v>562346.76</v>
      </c>
      <c r="L44" s="386">
        <f t="shared" si="0"/>
        <v>0.33546904492036034</v>
      </c>
      <c r="M44" s="384">
        <v>562346.76</v>
      </c>
      <c r="N44" s="384">
        <v>1113953.24</v>
      </c>
      <c r="O44" s="387">
        <f t="shared" si="1"/>
        <v>0.66453095507963966</v>
      </c>
    </row>
    <row r="45" spans="1:15" s="143" customFormat="1" ht="15.75" hidden="1" customHeight="1" x14ac:dyDescent="0.25">
      <c r="A45" s="622"/>
      <c r="B45" s="383" t="s">
        <v>222</v>
      </c>
      <c r="C45" s="383" t="s">
        <v>223</v>
      </c>
      <c r="D45" s="383" t="s">
        <v>69</v>
      </c>
      <c r="E45" s="384">
        <v>500000</v>
      </c>
      <c r="F45" s="384">
        <v>450000</v>
      </c>
      <c r="G45" s="384">
        <v>450000</v>
      </c>
      <c r="H45" s="384">
        <v>0</v>
      </c>
      <c r="I45" s="384">
        <v>0</v>
      </c>
      <c r="J45" s="384">
        <v>0</v>
      </c>
      <c r="K45" s="384">
        <v>0</v>
      </c>
      <c r="L45" s="386">
        <f t="shared" si="0"/>
        <v>0</v>
      </c>
      <c r="M45" s="384">
        <v>0</v>
      </c>
      <c r="N45" s="384">
        <v>450000</v>
      </c>
      <c r="O45" s="387">
        <f t="shared" si="1"/>
        <v>1</v>
      </c>
    </row>
    <row r="46" spans="1:15" s="143" customFormat="1" ht="15.75" hidden="1" customHeight="1" x14ac:dyDescent="0.25">
      <c r="A46" s="622"/>
      <c r="B46" s="383" t="s">
        <v>226</v>
      </c>
      <c r="C46" s="383" t="s">
        <v>227</v>
      </c>
      <c r="D46" s="383" t="s">
        <v>69</v>
      </c>
      <c r="E46" s="384">
        <v>37400</v>
      </c>
      <c r="F46" s="384">
        <v>0</v>
      </c>
      <c r="G46" s="384">
        <v>0</v>
      </c>
      <c r="H46" s="384">
        <v>0</v>
      </c>
      <c r="I46" s="384">
        <v>0</v>
      </c>
      <c r="J46" s="384">
        <v>0</v>
      </c>
      <c r="K46" s="384">
        <v>0</v>
      </c>
      <c r="L46" s="386" t="e">
        <f t="shared" si="0"/>
        <v>#DIV/0!</v>
      </c>
      <c r="M46" s="384">
        <v>0</v>
      </c>
      <c r="N46" s="384">
        <v>0</v>
      </c>
      <c r="O46" s="387" t="e">
        <f t="shared" si="1"/>
        <v>#DIV/0!</v>
      </c>
    </row>
    <row r="47" spans="1:15" s="143" customFormat="1" ht="15.75" hidden="1" customHeight="1" x14ac:dyDescent="0.25">
      <c r="A47" s="622"/>
      <c r="B47" s="383" t="s">
        <v>228</v>
      </c>
      <c r="C47" s="383" t="s">
        <v>229</v>
      </c>
      <c r="D47" s="383" t="s">
        <v>69</v>
      </c>
      <c r="E47" s="384">
        <v>47000</v>
      </c>
      <c r="F47" s="384">
        <v>0</v>
      </c>
      <c r="G47" s="384">
        <v>0</v>
      </c>
      <c r="H47" s="384">
        <v>0</v>
      </c>
      <c r="I47" s="384">
        <v>0</v>
      </c>
      <c r="J47" s="384">
        <v>0</v>
      </c>
      <c r="K47" s="384">
        <v>0</v>
      </c>
      <c r="L47" s="386" t="e">
        <f t="shared" si="0"/>
        <v>#DIV/0!</v>
      </c>
      <c r="M47" s="384">
        <v>0</v>
      </c>
      <c r="N47" s="384">
        <v>0</v>
      </c>
      <c r="O47" s="387" t="e">
        <f t="shared" si="1"/>
        <v>#DIV/0!</v>
      </c>
    </row>
    <row r="48" spans="1:15" s="143" customFormat="1" x14ac:dyDescent="0.25">
      <c r="A48" s="622"/>
      <c r="B48" s="383" t="s">
        <v>230</v>
      </c>
      <c r="C48" s="383" t="s">
        <v>231</v>
      </c>
      <c r="D48" s="383" t="s">
        <v>85</v>
      </c>
      <c r="E48" s="384">
        <v>4220000</v>
      </c>
      <c r="F48" s="384">
        <v>3950000</v>
      </c>
      <c r="G48" s="384">
        <v>3950000</v>
      </c>
      <c r="H48" s="384">
        <v>0</v>
      </c>
      <c r="I48" s="384">
        <v>0</v>
      </c>
      <c r="J48" s="384">
        <v>0</v>
      </c>
      <c r="K48" s="384">
        <v>0</v>
      </c>
      <c r="L48" s="386">
        <f t="shared" si="0"/>
        <v>0</v>
      </c>
      <c r="M48" s="384">
        <v>0</v>
      </c>
      <c r="N48" s="384">
        <v>3950000</v>
      </c>
      <c r="O48" s="387">
        <f t="shared" si="1"/>
        <v>1</v>
      </c>
    </row>
    <row r="49" spans="1:15" s="143" customFormat="1" ht="15.75" hidden="1" customHeight="1" x14ac:dyDescent="0.25">
      <c r="A49" s="622"/>
      <c r="B49" s="383" t="s">
        <v>232</v>
      </c>
      <c r="C49" s="383" t="s">
        <v>233</v>
      </c>
      <c r="D49" s="383" t="s">
        <v>85</v>
      </c>
      <c r="E49" s="384">
        <v>3320000</v>
      </c>
      <c r="F49" s="384">
        <v>3050000</v>
      </c>
      <c r="G49" s="384">
        <v>3050000</v>
      </c>
      <c r="H49" s="384">
        <v>0</v>
      </c>
      <c r="I49" s="384">
        <v>0</v>
      </c>
      <c r="J49" s="384">
        <v>0</v>
      </c>
      <c r="K49" s="384">
        <v>0</v>
      </c>
      <c r="L49" s="386">
        <f t="shared" si="0"/>
        <v>0</v>
      </c>
      <c r="M49" s="384">
        <v>0</v>
      </c>
      <c r="N49" s="384">
        <v>3050000</v>
      </c>
      <c r="O49" s="387">
        <f t="shared" si="1"/>
        <v>1</v>
      </c>
    </row>
    <row r="50" spans="1:15" s="143" customFormat="1" ht="15.75" hidden="1" customHeight="1" x14ac:dyDescent="0.25">
      <c r="A50" s="622"/>
      <c r="B50" s="383" t="s">
        <v>236</v>
      </c>
      <c r="C50" s="383" t="s">
        <v>237</v>
      </c>
      <c r="D50" s="383" t="s">
        <v>85</v>
      </c>
      <c r="E50" s="384">
        <v>120000</v>
      </c>
      <c r="F50" s="384">
        <v>0</v>
      </c>
      <c r="G50" s="384">
        <v>0</v>
      </c>
      <c r="H50" s="384">
        <v>0</v>
      </c>
      <c r="I50" s="384">
        <v>0</v>
      </c>
      <c r="J50" s="384">
        <v>0</v>
      </c>
      <c r="K50" s="384">
        <v>0</v>
      </c>
      <c r="L50" s="386" t="e">
        <f t="shared" si="0"/>
        <v>#DIV/0!</v>
      </c>
      <c r="M50" s="384">
        <v>0</v>
      </c>
      <c r="N50" s="384">
        <v>0</v>
      </c>
      <c r="O50" s="387" t="e">
        <f t="shared" si="1"/>
        <v>#DIV/0!</v>
      </c>
    </row>
    <row r="51" spans="1:15" s="143" customFormat="1" ht="15.75" hidden="1" customHeight="1" x14ac:dyDescent="0.25">
      <c r="A51" s="622"/>
      <c r="B51" s="383" t="s">
        <v>238</v>
      </c>
      <c r="C51" s="383" t="s">
        <v>239</v>
      </c>
      <c r="D51" s="383" t="s">
        <v>85</v>
      </c>
      <c r="E51" s="384">
        <v>3200000</v>
      </c>
      <c r="F51" s="384">
        <v>3050000</v>
      </c>
      <c r="G51" s="384">
        <v>3050000</v>
      </c>
      <c r="H51" s="384">
        <v>0</v>
      </c>
      <c r="I51" s="384">
        <v>0</v>
      </c>
      <c r="J51" s="384">
        <v>0</v>
      </c>
      <c r="K51" s="384">
        <v>0</v>
      </c>
      <c r="L51" s="386">
        <f t="shared" si="0"/>
        <v>0</v>
      </c>
      <c r="M51" s="384">
        <v>0</v>
      </c>
      <c r="N51" s="384">
        <v>3050000</v>
      </c>
      <c r="O51" s="387">
        <f t="shared" si="1"/>
        <v>1</v>
      </c>
    </row>
    <row r="52" spans="1:15" s="143" customFormat="1" ht="15.75" hidden="1" customHeight="1" x14ac:dyDescent="0.25">
      <c r="A52" s="622"/>
      <c r="B52" s="383" t="s">
        <v>244</v>
      </c>
      <c r="C52" s="383" t="s">
        <v>245</v>
      </c>
      <c r="D52" s="383" t="s">
        <v>85</v>
      </c>
      <c r="E52" s="384">
        <v>900000</v>
      </c>
      <c r="F52" s="384">
        <v>900000</v>
      </c>
      <c r="G52" s="384">
        <v>900000</v>
      </c>
      <c r="H52" s="384">
        <v>0</v>
      </c>
      <c r="I52" s="384">
        <v>0</v>
      </c>
      <c r="J52" s="384">
        <v>0</v>
      </c>
      <c r="K52" s="384">
        <v>0</v>
      </c>
      <c r="L52" s="386">
        <f t="shared" si="0"/>
        <v>0</v>
      </c>
      <c r="M52" s="384">
        <v>0</v>
      </c>
      <c r="N52" s="384">
        <v>900000</v>
      </c>
      <c r="O52" s="387">
        <f t="shared" si="1"/>
        <v>1</v>
      </c>
    </row>
    <row r="53" spans="1:15" s="143" customFormat="1" ht="15.75" hidden="1" customHeight="1" x14ac:dyDescent="0.25">
      <c r="A53" s="622"/>
      <c r="B53" s="383" t="s">
        <v>246</v>
      </c>
      <c r="C53" s="383" t="s">
        <v>247</v>
      </c>
      <c r="D53" s="383" t="s">
        <v>85</v>
      </c>
      <c r="E53" s="384">
        <v>900000</v>
      </c>
      <c r="F53" s="384">
        <v>900000</v>
      </c>
      <c r="G53" s="384">
        <v>900000</v>
      </c>
      <c r="H53" s="384">
        <v>0</v>
      </c>
      <c r="I53" s="384">
        <v>0</v>
      </c>
      <c r="J53" s="384">
        <v>0</v>
      </c>
      <c r="K53" s="384">
        <v>0</v>
      </c>
      <c r="L53" s="386">
        <f t="shared" si="0"/>
        <v>0</v>
      </c>
      <c r="M53" s="384">
        <v>0</v>
      </c>
      <c r="N53" s="384">
        <v>900000</v>
      </c>
      <c r="O53" s="387">
        <f t="shared" si="1"/>
        <v>1</v>
      </c>
    </row>
    <row r="54" spans="1:15" s="143" customFormat="1" x14ac:dyDescent="0.25">
      <c r="A54" s="622"/>
      <c r="B54" s="383" t="s">
        <v>248</v>
      </c>
      <c r="C54" s="383" t="s">
        <v>249</v>
      </c>
      <c r="D54" s="383" t="s">
        <v>69</v>
      </c>
      <c r="E54" s="384">
        <v>314465910</v>
      </c>
      <c r="F54" s="384">
        <v>313640887</v>
      </c>
      <c r="G54" s="384">
        <v>180290887</v>
      </c>
      <c r="H54" s="384">
        <v>0</v>
      </c>
      <c r="I54" s="384">
        <v>53850267.390000001</v>
      </c>
      <c r="J54" s="384">
        <v>0</v>
      </c>
      <c r="K54" s="384">
        <v>106319300.61</v>
      </c>
      <c r="L54" s="386">
        <f t="shared" si="0"/>
        <v>0.33898418547069087</v>
      </c>
      <c r="M54" s="384">
        <v>106319300.61</v>
      </c>
      <c r="N54" s="384">
        <v>153471319</v>
      </c>
      <c r="O54" s="387">
        <f t="shared" si="1"/>
        <v>0.489321786033592</v>
      </c>
    </row>
    <row r="55" spans="1:15" s="143" customFormat="1" hidden="1" x14ac:dyDescent="0.25">
      <c r="A55" s="388" t="s">
        <v>696</v>
      </c>
      <c r="B55" s="44" t="s">
        <v>250</v>
      </c>
      <c r="C55" s="44" t="s">
        <v>251</v>
      </c>
      <c r="D55" s="44" t="s">
        <v>69</v>
      </c>
      <c r="E55" s="50">
        <v>281465910</v>
      </c>
      <c r="F55" s="50">
        <v>280640887</v>
      </c>
      <c r="G55" s="50">
        <v>166834507</v>
      </c>
      <c r="H55" s="50">
        <v>0</v>
      </c>
      <c r="I55" s="50">
        <v>53850267</v>
      </c>
      <c r="J55" s="50">
        <v>0</v>
      </c>
      <c r="K55" s="50">
        <v>98015309</v>
      </c>
      <c r="L55" s="386">
        <f t="shared" si="0"/>
        <v>0.34925527084725899</v>
      </c>
      <c r="M55" s="50">
        <v>98015309</v>
      </c>
      <c r="N55" s="50">
        <v>128775311</v>
      </c>
      <c r="O55" s="387">
        <f t="shared" si="1"/>
        <v>0.45886154500359744</v>
      </c>
    </row>
    <row r="56" spans="1:15" s="143" customFormat="1" hidden="1" x14ac:dyDescent="0.25">
      <c r="A56" s="388" t="s">
        <v>696</v>
      </c>
      <c r="B56" s="44" t="s">
        <v>619</v>
      </c>
      <c r="C56" s="44" t="s">
        <v>701</v>
      </c>
      <c r="D56" s="44" t="s">
        <v>69</v>
      </c>
      <c r="E56" s="50">
        <v>257500000</v>
      </c>
      <c r="F56" s="50">
        <v>257500000</v>
      </c>
      <c r="G56" s="50">
        <v>143693620</v>
      </c>
      <c r="H56" s="50">
        <v>0</v>
      </c>
      <c r="I56" s="50">
        <v>36785714</v>
      </c>
      <c r="J56" s="50">
        <v>0</v>
      </c>
      <c r="K56" s="50">
        <v>91964285</v>
      </c>
      <c r="L56" s="386">
        <f t="shared" si="0"/>
        <v>0.35714285436893206</v>
      </c>
      <c r="M56" s="50">
        <v>91964285</v>
      </c>
      <c r="N56" s="50">
        <v>128750001</v>
      </c>
      <c r="O56" s="387">
        <f t="shared" si="1"/>
        <v>0.50000000388349519</v>
      </c>
    </row>
    <row r="57" spans="1:15" s="143" customFormat="1" hidden="1" x14ac:dyDescent="0.25">
      <c r="A57" s="388" t="s">
        <v>696</v>
      </c>
      <c r="B57" s="44" t="s">
        <v>625</v>
      </c>
      <c r="C57" s="44" t="s">
        <v>702</v>
      </c>
      <c r="D57" s="44" t="s">
        <v>69</v>
      </c>
      <c r="E57" s="50">
        <v>20356634</v>
      </c>
      <c r="F57" s="50">
        <v>19655861</v>
      </c>
      <c r="G57" s="50">
        <v>19655861</v>
      </c>
      <c r="H57" s="50">
        <v>0</v>
      </c>
      <c r="I57" s="50">
        <v>14540435</v>
      </c>
      <c r="J57" s="50">
        <v>0</v>
      </c>
      <c r="K57" s="50">
        <v>5115424</v>
      </c>
      <c r="L57" s="386">
        <f t="shared" si="0"/>
        <v>0.26024929663472895</v>
      </c>
      <c r="M57" s="50">
        <v>5115424</v>
      </c>
      <c r="N57" s="50">
        <v>2</v>
      </c>
      <c r="O57" s="387">
        <f t="shared" si="1"/>
        <v>1.0175082129447293E-7</v>
      </c>
    </row>
    <row r="58" spans="1:15" s="143" customFormat="1" hidden="1" x14ac:dyDescent="0.25">
      <c r="A58" s="388" t="s">
        <v>696</v>
      </c>
      <c r="B58" s="44" t="s">
        <v>640</v>
      </c>
      <c r="C58" s="44" t="s">
        <v>703</v>
      </c>
      <c r="D58" s="44" t="s">
        <v>69</v>
      </c>
      <c r="E58" s="50">
        <v>3609276</v>
      </c>
      <c r="F58" s="50">
        <v>3485026</v>
      </c>
      <c r="G58" s="50">
        <v>3485026</v>
      </c>
      <c r="H58" s="50">
        <v>0</v>
      </c>
      <c r="I58" s="50">
        <v>2524118</v>
      </c>
      <c r="J58" s="50">
        <v>0</v>
      </c>
      <c r="K58" s="50">
        <v>935600</v>
      </c>
      <c r="L58" s="386">
        <f t="shared" si="0"/>
        <v>0.26846284647517693</v>
      </c>
      <c r="M58" s="50">
        <v>935600</v>
      </c>
      <c r="N58" s="50">
        <v>25308</v>
      </c>
      <c r="O58" s="387">
        <f t="shared" si="1"/>
        <v>7.2619257359916398E-3</v>
      </c>
    </row>
    <row r="59" spans="1:15" s="143" customFormat="1" hidden="1" x14ac:dyDescent="0.25">
      <c r="A59" s="388" t="s">
        <v>696</v>
      </c>
      <c r="B59" s="44" t="s">
        <v>260</v>
      </c>
      <c r="C59" s="44" t="s">
        <v>261</v>
      </c>
      <c r="D59" s="44" t="s">
        <v>69</v>
      </c>
      <c r="E59" s="50">
        <v>33000000</v>
      </c>
      <c r="F59" s="50">
        <v>33000000</v>
      </c>
      <c r="G59" s="50">
        <v>13456380</v>
      </c>
      <c r="H59" s="50">
        <v>0</v>
      </c>
      <c r="I59" s="50">
        <v>0.39</v>
      </c>
      <c r="J59" s="50">
        <v>0</v>
      </c>
      <c r="K59" s="50">
        <v>8303991.6100000003</v>
      </c>
      <c r="L59" s="386">
        <f t="shared" si="0"/>
        <v>0.25163610939393938</v>
      </c>
      <c r="M59" s="50">
        <v>8303991.6100000003</v>
      </c>
      <c r="N59" s="50">
        <v>24696008</v>
      </c>
      <c r="O59" s="387">
        <f t="shared" si="1"/>
        <v>0.7483638787878788</v>
      </c>
    </row>
    <row r="60" spans="1:15" s="143" customFormat="1" hidden="1" x14ac:dyDescent="0.25">
      <c r="A60" s="388" t="s">
        <v>696</v>
      </c>
      <c r="B60" s="44" t="s">
        <v>262</v>
      </c>
      <c r="C60" s="44" t="s">
        <v>263</v>
      </c>
      <c r="D60" s="44" t="s">
        <v>69</v>
      </c>
      <c r="E60" s="50">
        <v>23000000</v>
      </c>
      <c r="F60" s="50">
        <v>23000000</v>
      </c>
      <c r="G60" s="50">
        <v>3456380</v>
      </c>
      <c r="H60" s="50">
        <v>0</v>
      </c>
      <c r="I60" s="50">
        <v>0.39</v>
      </c>
      <c r="J60" s="50">
        <v>0</v>
      </c>
      <c r="K60" s="50">
        <v>3456379.61</v>
      </c>
      <c r="L60" s="386">
        <f t="shared" si="0"/>
        <v>0.15027737434782609</v>
      </c>
      <c r="M60" s="50">
        <v>3456379.61</v>
      </c>
      <c r="N60" s="50">
        <v>19543620</v>
      </c>
      <c r="O60" s="387">
        <f t="shared" si="1"/>
        <v>0.84972260869565219</v>
      </c>
    </row>
    <row r="61" spans="1:15" s="143" customFormat="1" hidden="1" x14ac:dyDescent="0.25">
      <c r="A61" s="388" t="s">
        <v>696</v>
      </c>
      <c r="B61" s="44" t="s">
        <v>264</v>
      </c>
      <c r="C61" s="44" t="s">
        <v>265</v>
      </c>
      <c r="D61" s="44" t="s">
        <v>69</v>
      </c>
      <c r="E61" s="50">
        <v>10000000</v>
      </c>
      <c r="F61" s="50">
        <v>10000000</v>
      </c>
      <c r="G61" s="50">
        <v>10000000</v>
      </c>
      <c r="H61" s="50">
        <v>0</v>
      </c>
      <c r="I61" s="50">
        <v>0</v>
      </c>
      <c r="J61" s="50">
        <v>0</v>
      </c>
      <c r="K61" s="50">
        <v>4847612</v>
      </c>
      <c r="L61" s="386">
        <f t="shared" si="0"/>
        <v>0.4847612</v>
      </c>
      <c r="M61" s="50">
        <v>4847612</v>
      </c>
      <c r="N61" s="50">
        <v>5152388</v>
      </c>
      <c r="O61" s="387">
        <f t="shared" si="1"/>
        <v>0.5152388</v>
      </c>
    </row>
    <row r="62" spans="1:15" s="143" customFormat="1" x14ac:dyDescent="0.25">
      <c r="A62" s="389"/>
      <c r="B62" s="390"/>
      <c r="C62" s="390" t="s">
        <v>23</v>
      </c>
      <c r="D62" s="390"/>
      <c r="E62" s="391"/>
      <c r="F62" s="391">
        <f t="shared" ref="F62:K62" si="2">F54+F48+F37+F20+F4</f>
        <v>2116485751</v>
      </c>
      <c r="G62" s="391">
        <f t="shared" si="2"/>
        <v>1983135750.5999999</v>
      </c>
      <c r="H62" s="391">
        <f t="shared" si="2"/>
        <v>0</v>
      </c>
      <c r="I62" s="391">
        <f t="shared" si="2"/>
        <v>292303995.22000003</v>
      </c>
      <c r="J62" s="391">
        <f t="shared" si="2"/>
        <v>0</v>
      </c>
      <c r="K62" s="391">
        <f t="shared" si="2"/>
        <v>582069938.31000006</v>
      </c>
      <c r="L62" s="392">
        <f t="shared" si="0"/>
        <v>0.27501717790208741</v>
      </c>
      <c r="M62" s="391"/>
      <c r="N62" s="391">
        <f>N4+N20+N37+N48+N54</f>
        <v>1242111817.47</v>
      </c>
      <c r="O62" s="393">
        <f t="shared" si="1"/>
        <v>0.58687464202540718</v>
      </c>
    </row>
    <row r="63" spans="1:15" s="143" customFormat="1" x14ac:dyDescent="0.25">
      <c r="A63" s="394"/>
      <c r="B63" s="357"/>
      <c r="C63" s="357"/>
      <c r="D63" s="357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382"/>
    </row>
    <row r="64" spans="1:15" s="143" customFormat="1" ht="15" customHeight="1" x14ac:dyDescent="0.25">
      <c r="A64" s="623" t="s">
        <v>704</v>
      </c>
      <c r="B64" s="395" t="s">
        <v>71</v>
      </c>
      <c r="C64" s="395" t="s">
        <v>72</v>
      </c>
      <c r="D64" s="395" t="s">
        <v>69</v>
      </c>
      <c r="E64" s="396">
        <v>2848782596</v>
      </c>
      <c r="F64" s="396">
        <v>2677848536</v>
      </c>
      <c r="G64" s="396">
        <v>2657811383</v>
      </c>
      <c r="H64" s="396">
        <v>0</v>
      </c>
      <c r="I64" s="396">
        <v>288527935</v>
      </c>
      <c r="J64" s="396">
        <v>0</v>
      </c>
      <c r="K64" s="396">
        <v>808936300.60000002</v>
      </c>
      <c r="L64" s="397">
        <f t="shared" ref="L64:L145" si="3">+K64/F64</f>
        <v>0.30208441206623943</v>
      </c>
      <c r="M64" s="396">
        <v>808936300.60000002</v>
      </c>
      <c r="N64" s="396">
        <v>1580384300.4000001</v>
      </c>
      <c r="O64" s="398">
        <f t="shared" ref="O64:O145" si="4">+N64/F64</f>
        <v>0.59016941367441111</v>
      </c>
    </row>
    <row r="65" spans="1:15" s="143" customFormat="1" ht="15.75" hidden="1" customHeight="1" x14ac:dyDescent="0.25">
      <c r="A65" s="623"/>
      <c r="B65" s="395" t="s">
        <v>73</v>
      </c>
      <c r="C65" s="395" t="s">
        <v>74</v>
      </c>
      <c r="D65" s="395" t="s">
        <v>69</v>
      </c>
      <c r="E65" s="396">
        <v>1118901696</v>
      </c>
      <c r="F65" s="396">
        <v>1090175970</v>
      </c>
      <c r="G65" s="396">
        <v>1090175970</v>
      </c>
      <c r="H65" s="396">
        <v>0</v>
      </c>
      <c r="I65" s="396">
        <v>0</v>
      </c>
      <c r="J65" s="396">
        <v>0</v>
      </c>
      <c r="K65" s="396">
        <v>345557541.01999998</v>
      </c>
      <c r="L65" s="397">
        <f t="shared" si="3"/>
        <v>0.31697409457667647</v>
      </c>
      <c r="M65" s="396">
        <v>345557541.01999998</v>
      </c>
      <c r="N65" s="396">
        <v>744618428.98000002</v>
      </c>
      <c r="O65" s="398">
        <f t="shared" si="4"/>
        <v>0.68302590542332353</v>
      </c>
    </row>
    <row r="66" spans="1:15" s="143" customFormat="1" ht="15.75" hidden="1" customHeight="1" x14ac:dyDescent="0.25">
      <c r="A66" s="623"/>
      <c r="B66" s="395" t="s">
        <v>75</v>
      </c>
      <c r="C66" s="395" t="s">
        <v>76</v>
      </c>
      <c r="D66" s="395" t="s">
        <v>69</v>
      </c>
      <c r="E66" s="396">
        <v>1118901696</v>
      </c>
      <c r="F66" s="396">
        <v>1090175970</v>
      </c>
      <c r="G66" s="396">
        <v>1090175970</v>
      </c>
      <c r="H66" s="396">
        <v>0</v>
      </c>
      <c r="I66" s="396">
        <v>0</v>
      </c>
      <c r="J66" s="396">
        <v>0</v>
      </c>
      <c r="K66" s="396">
        <v>345557541.01999998</v>
      </c>
      <c r="L66" s="397">
        <f t="shared" si="3"/>
        <v>0.31697409457667647</v>
      </c>
      <c r="M66" s="396">
        <v>345557541.01999998</v>
      </c>
      <c r="N66" s="396">
        <v>744618428.98000002</v>
      </c>
      <c r="O66" s="398">
        <f t="shared" si="4"/>
        <v>0.68302590542332353</v>
      </c>
    </row>
    <row r="67" spans="1:15" s="143" customFormat="1" ht="15.75" hidden="1" customHeight="1" x14ac:dyDescent="0.25">
      <c r="A67" s="623"/>
      <c r="B67" s="395" t="s">
        <v>77</v>
      </c>
      <c r="C67" s="395" t="s">
        <v>78</v>
      </c>
      <c r="D67" s="395" t="s">
        <v>69</v>
      </c>
      <c r="E67" s="396">
        <v>1295309720</v>
      </c>
      <c r="F67" s="396">
        <v>1164246440</v>
      </c>
      <c r="G67" s="396">
        <v>1144209287</v>
      </c>
      <c r="H67" s="396">
        <v>0</v>
      </c>
      <c r="I67" s="396">
        <v>0</v>
      </c>
      <c r="J67" s="396">
        <v>0</v>
      </c>
      <c r="K67" s="396">
        <v>328480568.57999998</v>
      </c>
      <c r="L67" s="397">
        <f t="shared" si="3"/>
        <v>0.28214006699475069</v>
      </c>
      <c r="M67" s="396">
        <v>328480568.57999998</v>
      </c>
      <c r="N67" s="396">
        <v>835765871.41999996</v>
      </c>
      <c r="O67" s="398">
        <f t="shared" si="4"/>
        <v>0.71785993300524931</v>
      </c>
    </row>
    <row r="68" spans="1:15" s="143" customFormat="1" ht="15.75" hidden="1" customHeight="1" x14ac:dyDescent="0.25">
      <c r="A68" s="623"/>
      <c r="B68" s="395" t="s">
        <v>79</v>
      </c>
      <c r="C68" s="395" t="s">
        <v>80</v>
      </c>
      <c r="D68" s="395" t="s">
        <v>69</v>
      </c>
      <c r="E68" s="396">
        <v>329734600</v>
      </c>
      <c r="F68" s="396">
        <v>329734600</v>
      </c>
      <c r="G68" s="396">
        <v>312608542</v>
      </c>
      <c r="H68" s="396">
        <v>0</v>
      </c>
      <c r="I68" s="396">
        <v>0</v>
      </c>
      <c r="J68" s="396">
        <v>0</v>
      </c>
      <c r="K68" s="396">
        <v>102525368.81</v>
      </c>
      <c r="L68" s="397">
        <f t="shared" si="3"/>
        <v>0.31093300129862017</v>
      </c>
      <c r="M68" s="396">
        <v>102525368.81</v>
      </c>
      <c r="N68" s="396">
        <v>227209231.19</v>
      </c>
      <c r="O68" s="398">
        <f t="shared" si="4"/>
        <v>0.68906699870137988</v>
      </c>
    </row>
    <row r="69" spans="1:15" s="143" customFormat="1" ht="15.75" hidden="1" customHeight="1" x14ac:dyDescent="0.25">
      <c r="A69" s="623"/>
      <c r="B69" s="395" t="s">
        <v>81</v>
      </c>
      <c r="C69" s="395" t="s">
        <v>82</v>
      </c>
      <c r="D69" s="395" t="s">
        <v>69</v>
      </c>
      <c r="E69" s="396">
        <v>442514922</v>
      </c>
      <c r="F69" s="396">
        <v>432303620</v>
      </c>
      <c r="G69" s="396">
        <v>432303620</v>
      </c>
      <c r="H69" s="396">
        <v>0</v>
      </c>
      <c r="I69" s="396">
        <v>0</v>
      </c>
      <c r="J69" s="396">
        <v>0</v>
      </c>
      <c r="K69" s="396">
        <v>133319612.8</v>
      </c>
      <c r="L69" s="397">
        <f t="shared" si="3"/>
        <v>0.30839346846089327</v>
      </c>
      <c r="M69" s="396">
        <v>133319612.8</v>
      </c>
      <c r="N69" s="396">
        <v>298984007.19999999</v>
      </c>
      <c r="O69" s="398">
        <f t="shared" si="4"/>
        <v>0.69160653153910667</v>
      </c>
    </row>
    <row r="70" spans="1:15" s="143" customFormat="1" ht="15.75" hidden="1" customHeight="1" x14ac:dyDescent="0.25">
      <c r="A70" s="623"/>
      <c r="B70" s="395" t="s">
        <v>83</v>
      </c>
      <c r="C70" s="395" t="s">
        <v>84</v>
      </c>
      <c r="D70" s="395" t="s">
        <v>85</v>
      </c>
      <c r="E70" s="396">
        <v>185639998</v>
      </c>
      <c r="F70" s="396">
        <v>180879060</v>
      </c>
      <c r="G70" s="396">
        <v>177967965</v>
      </c>
      <c r="H70" s="396">
        <v>0</v>
      </c>
      <c r="I70" s="396">
        <v>0</v>
      </c>
      <c r="J70" s="396">
        <v>0</v>
      </c>
      <c r="K70" s="396">
        <v>0</v>
      </c>
      <c r="L70" s="397">
        <f t="shared" si="3"/>
        <v>0</v>
      </c>
      <c r="M70" s="396">
        <v>0</v>
      </c>
      <c r="N70" s="396">
        <v>180879060</v>
      </c>
      <c r="O70" s="398">
        <f t="shared" si="4"/>
        <v>1</v>
      </c>
    </row>
    <row r="71" spans="1:15" s="143" customFormat="1" ht="15.75" hidden="1" customHeight="1" x14ac:dyDescent="0.25">
      <c r="A71" s="623"/>
      <c r="B71" s="395" t="s">
        <v>86</v>
      </c>
      <c r="C71" s="395" t="s">
        <v>87</v>
      </c>
      <c r="D71" s="395" t="s">
        <v>69</v>
      </c>
      <c r="E71" s="396">
        <v>170646400</v>
      </c>
      <c r="F71" s="396">
        <v>55646400</v>
      </c>
      <c r="G71" s="396">
        <v>55646400</v>
      </c>
      <c r="H71" s="396">
        <v>0</v>
      </c>
      <c r="I71" s="396">
        <v>0</v>
      </c>
      <c r="J71" s="396">
        <v>0</v>
      </c>
      <c r="K71" s="396">
        <v>40448779.990000002</v>
      </c>
      <c r="L71" s="397">
        <f t="shared" si="3"/>
        <v>0.72688943022369823</v>
      </c>
      <c r="M71" s="396">
        <v>40448779.990000002</v>
      </c>
      <c r="N71" s="396">
        <v>15197620.01</v>
      </c>
      <c r="O71" s="398">
        <f t="shared" si="4"/>
        <v>0.27311056977630177</v>
      </c>
    </row>
    <row r="72" spans="1:15" s="143" customFormat="1" ht="15.75" hidden="1" customHeight="1" x14ac:dyDescent="0.25">
      <c r="A72" s="623"/>
      <c r="B72" s="395" t="s">
        <v>88</v>
      </c>
      <c r="C72" s="395" t="s">
        <v>89</v>
      </c>
      <c r="D72" s="395" t="s">
        <v>69</v>
      </c>
      <c r="E72" s="396">
        <v>166773800</v>
      </c>
      <c r="F72" s="396">
        <v>165682760</v>
      </c>
      <c r="G72" s="396">
        <v>165682760</v>
      </c>
      <c r="H72" s="396">
        <v>0</v>
      </c>
      <c r="I72" s="396">
        <v>0</v>
      </c>
      <c r="J72" s="396">
        <v>0</v>
      </c>
      <c r="K72" s="396">
        <v>52186806.979999997</v>
      </c>
      <c r="L72" s="397">
        <f t="shared" si="3"/>
        <v>0.31498030923676062</v>
      </c>
      <c r="M72" s="396">
        <v>52186806.979999997</v>
      </c>
      <c r="N72" s="396">
        <v>113495953.02</v>
      </c>
      <c r="O72" s="398">
        <f t="shared" si="4"/>
        <v>0.68501969076323932</v>
      </c>
    </row>
    <row r="73" spans="1:15" s="143" customFormat="1" ht="15.75" hidden="1" customHeight="1" x14ac:dyDescent="0.25">
      <c r="A73" s="623"/>
      <c r="B73" s="395" t="s">
        <v>90</v>
      </c>
      <c r="C73" s="395" t="s">
        <v>91</v>
      </c>
      <c r="D73" s="395" t="s">
        <v>69</v>
      </c>
      <c r="E73" s="396">
        <v>217285640</v>
      </c>
      <c r="F73" s="396">
        <v>211713113</v>
      </c>
      <c r="G73" s="396">
        <v>211713113</v>
      </c>
      <c r="H73" s="396">
        <v>0</v>
      </c>
      <c r="I73" s="396">
        <v>144076234</v>
      </c>
      <c r="J73" s="396">
        <v>0</v>
      </c>
      <c r="K73" s="396">
        <v>67636879</v>
      </c>
      <c r="L73" s="397">
        <f t="shared" si="3"/>
        <v>0.31947420753290801</v>
      </c>
      <c r="M73" s="396">
        <v>67636879</v>
      </c>
      <c r="N73" s="396">
        <v>0</v>
      </c>
      <c r="O73" s="398">
        <f t="shared" si="4"/>
        <v>0</v>
      </c>
    </row>
    <row r="74" spans="1:15" s="143" customFormat="1" ht="15.75" hidden="1" customHeight="1" x14ac:dyDescent="0.25">
      <c r="A74" s="623"/>
      <c r="B74" s="395" t="s">
        <v>418</v>
      </c>
      <c r="C74" s="395" t="s">
        <v>697</v>
      </c>
      <c r="D74" s="395" t="s">
        <v>69</v>
      </c>
      <c r="E74" s="396">
        <v>206142800</v>
      </c>
      <c r="F74" s="396">
        <v>200856044</v>
      </c>
      <c r="G74" s="396">
        <v>200856044</v>
      </c>
      <c r="H74" s="396">
        <v>0</v>
      </c>
      <c r="I74" s="396">
        <v>136687718</v>
      </c>
      <c r="J74" s="396">
        <v>0</v>
      </c>
      <c r="K74" s="396">
        <v>64168326</v>
      </c>
      <c r="L74" s="397">
        <f t="shared" si="3"/>
        <v>0.31947421009646093</v>
      </c>
      <c r="M74" s="396">
        <v>64168326</v>
      </c>
      <c r="N74" s="396">
        <v>0</v>
      </c>
      <c r="O74" s="398">
        <f t="shared" si="4"/>
        <v>0</v>
      </c>
    </row>
    <row r="75" spans="1:15" s="143" customFormat="1" ht="15.75" hidden="1" customHeight="1" x14ac:dyDescent="0.25">
      <c r="A75" s="623"/>
      <c r="B75" s="395" t="s">
        <v>435</v>
      </c>
      <c r="C75" s="395" t="s">
        <v>95</v>
      </c>
      <c r="D75" s="395" t="s">
        <v>69</v>
      </c>
      <c r="E75" s="396">
        <v>11142840</v>
      </c>
      <c r="F75" s="396">
        <v>10857069</v>
      </c>
      <c r="G75" s="396">
        <v>10857069</v>
      </c>
      <c r="H75" s="396">
        <v>0</v>
      </c>
      <c r="I75" s="396">
        <v>7388516</v>
      </c>
      <c r="J75" s="396">
        <v>0</v>
      </c>
      <c r="K75" s="396">
        <v>3468553</v>
      </c>
      <c r="L75" s="397">
        <f t="shared" si="3"/>
        <v>0.31947416010711549</v>
      </c>
      <c r="M75" s="396">
        <v>3468553</v>
      </c>
      <c r="N75" s="396">
        <v>0</v>
      </c>
      <c r="O75" s="398">
        <f t="shared" si="4"/>
        <v>0</v>
      </c>
    </row>
    <row r="76" spans="1:15" s="143" customFormat="1" ht="15.75" hidden="1" customHeight="1" x14ac:dyDescent="0.25">
      <c r="A76" s="623"/>
      <c r="B76" s="395" t="s">
        <v>96</v>
      </c>
      <c r="C76" s="395" t="s">
        <v>97</v>
      </c>
      <c r="D76" s="395" t="s">
        <v>69</v>
      </c>
      <c r="E76" s="396">
        <v>217285540</v>
      </c>
      <c r="F76" s="396">
        <v>211713013</v>
      </c>
      <c r="G76" s="396">
        <v>211713013</v>
      </c>
      <c r="H76" s="396">
        <v>0</v>
      </c>
      <c r="I76" s="396">
        <v>144451701</v>
      </c>
      <c r="J76" s="396">
        <v>0</v>
      </c>
      <c r="K76" s="396">
        <v>67261312</v>
      </c>
      <c r="L76" s="397">
        <f t="shared" si="3"/>
        <v>0.31770041457017101</v>
      </c>
      <c r="M76" s="396">
        <v>67261312</v>
      </c>
      <c r="N76" s="396">
        <v>0</v>
      </c>
      <c r="O76" s="398">
        <f t="shared" si="4"/>
        <v>0</v>
      </c>
    </row>
    <row r="77" spans="1:15" s="143" customFormat="1" ht="15.75" hidden="1" customHeight="1" x14ac:dyDescent="0.25">
      <c r="A77" s="623"/>
      <c r="B77" s="395" t="s">
        <v>453</v>
      </c>
      <c r="C77" s="395" t="s">
        <v>698</v>
      </c>
      <c r="D77" s="395" t="s">
        <v>69</v>
      </c>
      <c r="E77" s="396">
        <v>116999976</v>
      </c>
      <c r="F77" s="396">
        <v>113999385</v>
      </c>
      <c r="G77" s="396">
        <v>113999385</v>
      </c>
      <c r="H77" s="396">
        <v>0</v>
      </c>
      <c r="I77" s="396">
        <v>77955101</v>
      </c>
      <c r="J77" s="396">
        <v>0</v>
      </c>
      <c r="K77" s="396">
        <v>36044284</v>
      </c>
      <c r="L77" s="397">
        <f t="shared" si="3"/>
        <v>0.31617963553048994</v>
      </c>
      <c r="M77" s="396">
        <v>36044284</v>
      </c>
      <c r="N77" s="396">
        <v>0</v>
      </c>
      <c r="O77" s="398">
        <f t="shared" si="4"/>
        <v>0</v>
      </c>
    </row>
    <row r="78" spans="1:15" s="143" customFormat="1" ht="15.75" hidden="1" customHeight="1" x14ac:dyDescent="0.25">
      <c r="A78" s="623"/>
      <c r="B78" s="395" t="s">
        <v>470</v>
      </c>
      <c r="C78" s="395" t="s">
        <v>699</v>
      </c>
      <c r="D78" s="395" t="s">
        <v>69</v>
      </c>
      <c r="E78" s="396">
        <v>33428521</v>
      </c>
      <c r="F78" s="396">
        <v>32571209</v>
      </c>
      <c r="G78" s="396">
        <v>32571209</v>
      </c>
      <c r="H78" s="396">
        <v>0</v>
      </c>
      <c r="I78" s="396">
        <v>22165530</v>
      </c>
      <c r="J78" s="396">
        <v>0</v>
      </c>
      <c r="K78" s="396">
        <v>10405679</v>
      </c>
      <c r="L78" s="397">
        <f t="shared" si="3"/>
        <v>0.3194747545293759</v>
      </c>
      <c r="M78" s="396">
        <v>10405679</v>
      </c>
      <c r="N78" s="396">
        <v>0</v>
      </c>
      <c r="O78" s="398">
        <f t="shared" si="4"/>
        <v>0</v>
      </c>
    </row>
    <row r="79" spans="1:15" s="143" customFormat="1" ht="15.75" hidden="1" customHeight="1" x14ac:dyDescent="0.25">
      <c r="A79" s="623"/>
      <c r="B79" s="395" t="s">
        <v>487</v>
      </c>
      <c r="C79" s="395" t="s">
        <v>700</v>
      </c>
      <c r="D79" s="395" t="s">
        <v>69</v>
      </c>
      <c r="E79" s="396">
        <v>66857043</v>
      </c>
      <c r="F79" s="396">
        <v>65142419</v>
      </c>
      <c r="G79" s="396">
        <v>65142419</v>
      </c>
      <c r="H79" s="396">
        <v>0</v>
      </c>
      <c r="I79" s="396">
        <v>44331070</v>
      </c>
      <c r="J79" s="396">
        <v>0</v>
      </c>
      <c r="K79" s="396">
        <v>20811349</v>
      </c>
      <c r="L79" s="397">
        <f t="shared" si="3"/>
        <v>0.31947461146630124</v>
      </c>
      <c r="M79" s="396">
        <v>20811349</v>
      </c>
      <c r="N79" s="396">
        <v>0</v>
      </c>
      <c r="O79" s="398">
        <f t="shared" si="4"/>
        <v>0</v>
      </c>
    </row>
    <row r="80" spans="1:15" s="143" customFormat="1" x14ac:dyDescent="0.25">
      <c r="A80" s="623"/>
      <c r="B80" s="395" t="s">
        <v>104</v>
      </c>
      <c r="C80" s="395" t="s">
        <v>105</v>
      </c>
      <c r="D80" s="395" t="s">
        <v>69</v>
      </c>
      <c r="E80" s="396">
        <v>261541565</v>
      </c>
      <c r="F80" s="396">
        <v>252541565</v>
      </c>
      <c r="G80" s="396">
        <v>248765465</v>
      </c>
      <c r="H80" s="396">
        <v>0</v>
      </c>
      <c r="I80" s="396">
        <v>104480459</v>
      </c>
      <c r="J80" s="396">
        <v>201764.83</v>
      </c>
      <c r="K80" s="396">
        <v>49081694.369999997</v>
      </c>
      <c r="L80" s="397">
        <f t="shared" si="3"/>
        <v>0.19435095513881051</v>
      </c>
      <c r="M80" s="396">
        <v>33569522.369999997</v>
      </c>
      <c r="N80" s="396">
        <v>98777646.799999997</v>
      </c>
      <c r="O80" s="398">
        <f t="shared" si="4"/>
        <v>0.39113421507465512</v>
      </c>
    </row>
    <row r="81" spans="1:15" s="143" customFormat="1" ht="15.75" hidden="1" customHeight="1" x14ac:dyDescent="0.25">
      <c r="A81" s="623"/>
      <c r="B81" s="395" t="s">
        <v>106</v>
      </c>
      <c r="C81" s="395" t="s">
        <v>107</v>
      </c>
      <c r="D81" s="395" t="s">
        <v>69</v>
      </c>
      <c r="E81" s="396">
        <v>90013380</v>
      </c>
      <c r="F81" s="396">
        <v>90013380</v>
      </c>
      <c r="G81" s="396">
        <v>90013380</v>
      </c>
      <c r="H81" s="396">
        <v>0</v>
      </c>
      <c r="I81" s="396">
        <v>360000</v>
      </c>
      <c r="J81" s="396">
        <v>0</v>
      </c>
      <c r="K81" s="396">
        <v>0</v>
      </c>
      <c r="L81" s="397">
        <f t="shared" si="3"/>
        <v>0</v>
      </c>
      <c r="M81" s="396">
        <v>0</v>
      </c>
      <c r="N81" s="396">
        <v>89653380</v>
      </c>
      <c r="O81" s="398">
        <f t="shared" si="4"/>
        <v>0.99600059457827272</v>
      </c>
    </row>
    <row r="82" spans="1:15" s="143" customFormat="1" ht="15.75" hidden="1" customHeight="1" x14ac:dyDescent="0.25">
      <c r="A82" s="623"/>
      <c r="B82" s="395" t="s">
        <v>108</v>
      </c>
      <c r="C82" s="395" t="s">
        <v>109</v>
      </c>
      <c r="D82" s="395" t="s">
        <v>69</v>
      </c>
      <c r="E82" s="396">
        <v>0</v>
      </c>
      <c r="F82" s="396">
        <v>90013379.840000004</v>
      </c>
      <c r="G82" s="396">
        <v>90013379.840000004</v>
      </c>
      <c r="H82" s="396">
        <v>0</v>
      </c>
      <c r="I82" s="396">
        <v>360000</v>
      </c>
      <c r="J82" s="396">
        <v>0</v>
      </c>
      <c r="K82" s="396">
        <v>0</v>
      </c>
      <c r="L82" s="397">
        <f t="shared" si="3"/>
        <v>0</v>
      </c>
      <c r="M82" s="396">
        <v>0</v>
      </c>
      <c r="N82" s="396">
        <v>89653379.840000004</v>
      </c>
      <c r="O82" s="398">
        <f t="shared" si="4"/>
        <v>0.99600059457116374</v>
      </c>
    </row>
    <row r="83" spans="1:15" s="143" customFormat="1" ht="15.75" hidden="1" customHeight="1" x14ac:dyDescent="0.25">
      <c r="A83" s="623"/>
      <c r="B83" s="395" t="s">
        <v>304</v>
      </c>
      <c r="C83" s="395" t="s">
        <v>305</v>
      </c>
      <c r="D83" s="395" t="s">
        <v>69</v>
      </c>
      <c r="E83" s="396">
        <v>90013380</v>
      </c>
      <c r="F83" s="396">
        <v>0.16</v>
      </c>
      <c r="G83" s="396">
        <v>0.16</v>
      </c>
      <c r="H83" s="396">
        <v>0</v>
      </c>
      <c r="I83" s="396">
        <v>0</v>
      </c>
      <c r="J83" s="396">
        <v>0</v>
      </c>
      <c r="K83" s="396">
        <v>0</v>
      </c>
      <c r="L83" s="397">
        <f t="shared" si="3"/>
        <v>0</v>
      </c>
      <c r="M83" s="396">
        <v>0</v>
      </c>
      <c r="N83" s="396">
        <v>0.16</v>
      </c>
      <c r="O83" s="398">
        <f t="shared" si="4"/>
        <v>1</v>
      </c>
    </row>
    <row r="84" spans="1:15" s="143" customFormat="1" ht="15.75" hidden="1" customHeight="1" x14ac:dyDescent="0.25">
      <c r="A84" s="623"/>
      <c r="B84" s="395" t="s">
        <v>112</v>
      </c>
      <c r="C84" s="395" t="s">
        <v>113</v>
      </c>
      <c r="D84" s="395" t="s">
        <v>69</v>
      </c>
      <c r="E84" s="396">
        <v>105953785</v>
      </c>
      <c r="F84" s="396">
        <v>102953785</v>
      </c>
      <c r="G84" s="396">
        <v>102953785</v>
      </c>
      <c r="H84" s="396">
        <v>0</v>
      </c>
      <c r="I84" s="396">
        <v>79048574.870000005</v>
      </c>
      <c r="J84" s="396">
        <v>0</v>
      </c>
      <c r="K84" s="396">
        <v>22330803.690000001</v>
      </c>
      <c r="L84" s="397">
        <f t="shared" si="3"/>
        <v>0.21690124059062035</v>
      </c>
      <c r="M84" s="396">
        <v>22330803.690000001</v>
      </c>
      <c r="N84" s="396">
        <v>1574406.44</v>
      </c>
      <c r="O84" s="398">
        <f t="shared" si="4"/>
        <v>1.5292360936511463E-2</v>
      </c>
    </row>
    <row r="85" spans="1:15" s="143" customFormat="1" ht="15.75" hidden="1" customHeight="1" x14ac:dyDescent="0.25">
      <c r="A85" s="623"/>
      <c r="B85" s="395" t="s">
        <v>114</v>
      </c>
      <c r="C85" s="395" t="s">
        <v>115</v>
      </c>
      <c r="D85" s="395" t="s">
        <v>69</v>
      </c>
      <c r="E85" s="396">
        <v>8169861</v>
      </c>
      <c r="F85" s="396">
        <v>6169861</v>
      </c>
      <c r="G85" s="396">
        <v>6169861</v>
      </c>
      <c r="H85" s="396">
        <v>0</v>
      </c>
      <c r="I85" s="396">
        <v>3634015</v>
      </c>
      <c r="J85" s="396">
        <v>0</v>
      </c>
      <c r="K85" s="396">
        <v>1381440</v>
      </c>
      <c r="L85" s="397">
        <f t="shared" si="3"/>
        <v>0.22390131641539412</v>
      </c>
      <c r="M85" s="396">
        <v>1381440</v>
      </c>
      <c r="N85" s="396">
        <v>1154406</v>
      </c>
      <c r="O85" s="398">
        <f t="shared" si="4"/>
        <v>0.18710405307348091</v>
      </c>
    </row>
    <row r="86" spans="1:15" s="143" customFormat="1" ht="15.75" hidden="1" customHeight="1" x14ac:dyDescent="0.25">
      <c r="A86" s="623"/>
      <c r="B86" s="395" t="s">
        <v>116</v>
      </c>
      <c r="C86" s="395" t="s">
        <v>117</v>
      </c>
      <c r="D86" s="395" t="s">
        <v>69</v>
      </c>
      <c r="E86" s="396">
        <v>49884000</v>
      </c>
      <c r="F86" s="396">
        <v>49884000</v>
      </c>
      <c r="G86" s="396">
        <v>49884000</v>
      </c>
      <c r="H86" s="396">
        <v>0</v>
      </c>
      <c r="I86" s="396">
        <v>34374791.549999997</v>
      </c>
      <c r="J86" s="396">
        <v>0</v>
      </c>
      <c r="K86" s="396">
        <v>15509208.449999999</v>
      </c>
      <c r="L86" s="397">
        <f t="shared" si="3"/>
        <v>0.31090546968968003</v>
      </c>
      <c r="M86" s="396">
        <v>15509208.449999999</v>
      </c>
      <c r="N86" s="396">
        <v>0</v>
      </c>
      <c r="O86" s="398">
        <f t="shared" si="4"/>
        <v>0</v>
      </c>
    </row>
    <row r="87" spans="1:15" s="143" customFormat="1" ht="15.75" hidden="1" customHeight="1" x14ac:dyDescent="0.25">
      <c r="A87" s="623"/>
      <c r="B87" s="395" t="s">
        <v>118</v>
      </c>
      <c r="C87" s="395" t="s">
        <v>119</v>
      </c>
      <c r="D87" s="395" t="s">
        <v>69</v>
      </c>
      <c r="E87" s="396">
        <v>19924</v>
      </c>
      <c r="F87" s="396">
        <v>19924</v>
      </c>
      <c r="G87" s="396">
        <v>19924</v>
      </c>
      <c r="H87" s="396">
        <v>0</v>
      </c>
      <c r="I87" s="396">
        <v>999</v>
      </c>
      <c r="J87" s="396">
        <v>0</v>
      </c>
      <c r="K87" s="396">
        <v>18925</v>
      </c>
      <c r="L87" s="397">
        <f t="shared" si="3"/>
        <v>0.9498594659706886</v>
      </c>
      <c r="M87" s="396">
        <v>18925</v>
      </c>
      <c r="N87" s="396">
        <v>0</v>
      </c>
      <c r="O87" s="398">
        <f t="shared" si="4"/>
        <v>0</v>
      </c>
    </row>
    <row r="88" spans="1:15" s="143" customFormat="1" ht="15.75" hidden="1" customHeight="1" x14ac:dyDescent="0.25">
      <c r="A88" s="623"/>
      <c r="B88" s="395" t="s">
        <v>120</v>
      </c>
      <c r="C88" s="395" t="s">
        <v>121</v>
      </c>
      <c r="D88" s="395" t="s">
        <v>69</v>
      </c>
      <c r="E88" s="396">
        <v>47460000</v>
      </c>
      <c r="F88" s="396">
        <v>46460000</v>
      </c>
      <c r="G88" s="396">
        <v>46460000</v>
      </c>
      <c r="H88" s="396">
        <v>0</v>
      </c>
      <c r="I88" s="396">
        <v>41038769.32</v>
      </c>
      <c r="J88" s="396">
        <v>0</v>
      </c>
      <c r="K88" s="396">
        <v>5421230.2400000002</v>
      </c>
      <c r="L88" s="397">
        <f t="shared" si="3"/>
        <v>0.11668597158846319</v>
      </c>
      <c r="M88" s="396">
        <v>5421230.2400000002</v>
      </c>
      <c r="N88" s="396">
        <v>0.44</v>
      </c>
      <c r="O88" s="398">
        <f t="shared" si="4"/>
        <v>9.4705122686181664E-9</v>
      </c>
    </row>
    <row r="89" spans="1:15" s="143" customFormat="1" ht="15.75" hidden="1" customHeight="1" x14ac:dyDescent="0.25">
      <c r="A89" s="623"/>
      <c r="B89" s="395" t="s">
        <v>122</v>
      </c>
      <c r="C89" s="395" t="s">
        <v>123</v>
      </c>
      <c r="D89" s="395" t="s">
        <v>69</v>
      </c>
      <c r="E89" s="396">
        <v>420000</v>
      </c>
      <c r="F89" s="396">
        <v>420000</v>
      </c>
      <c r="G89" s="396">
        <v>420000</v>
      </c>
      <c r="H89" s="396">
        <v>0</v>
      </c>
      <c r="I89" s="396">
        <v>0</v>
      </c>
      <c r="J89" s="396">
        <v>0</v>
      </c>
      <c r="K89" s="396">
        <v>0</v>
      </c>
      <c r="L89" s="397">
        <f t="shared" si="3"/>
        <v>0</v>
      </c>
      <c r="M89" s="396">
        <v>0</v>
      </c>
      <c r="N89" s="396">
        <v>420000</v>
      </c>
      <c r="O89" s="398">
        <f t="shared" si="4"/>
        <v>1</v>
      </c>
    </row>
    <row r="90" spans="1:15" s="143" customFormat="1" ht="15.75" hidden="1" customHeight="1" x14ac:dyDescent="0.25">
      <c r="A90" s="623"/>
      <c r="B90" s="395" t="s">
        <v>124</v>
      </c>
      <c r="C90" s="395" t="s">
        <v>125</v>
      </c>
      <c r="D90" s="395" t="s">
        <v>69</v>
      </c>
      <c r="E90" s="396">
        <v>8000000</v>
      </c>
      <c r="F90" s="396">
        <v>8000000</v>
      </c>
      <c r="G90" s="396">
        <v>7500000</v>
      </c>
      <c r="H90" s="396">
        <v>0</v>
      </c>
      <c r="I90" s="396">
        <v>2315998.14</v>
      </c>
      <c r="J90" s="396">
        <v>48217.2</v>
      </c>
      <c r="K90" s="396">
        <v>4595630</v>
      </c>
      <c r="L90" s="397">
        <f t="shared" si="3"/>
        <v>0.57445374999999999</v>
      </c>
      <c r="M90" s="396">
        <v>4595630</v>
      </c>
      <c r="N90" s="396">
        <v>1040154.66</v>
      </c>
      <c r="O90" s="398">
        <f t="shared" si="4"/>
        <v>0.1300193325</v>
      </c>
    </row>
    <row r="91" spans="1:15" s="143" customFormat="1" ht="15.75" hidden="1" customHeight="1" x14ac:dyDescent="0.25">
      <c r="A91" s="623"/>
      <c r="B91" s="395" t="s">
        <v>126</v>
      </c>
      <c r="C91" s="395" t="s">
        <v>127</v>
      </c>
      <c r="D91" s="395" t="s">
        <v>69</v>
      </c>
      <c r="E91" s="396">
        <v>7000000</v>
      </c>
      <c r="F91" s="396">
        <v>7000000</v>
      </c>
      <c r="G91" s="396">
        <v>7000000</v>
      </c>
      <c r="H91" s="396">
        <v>0</v>
      </c>
      <c r="I91" s="396">
        <v>2315998.14</v>
      </c>
      <c r="J91" s="396">
        <v>48217.2</v>
      </c>
      <c r="K91" s="396">
        <v>4595630</v>
      </c>
      <c r="L91" s="397">
        <f t="shared" si="3"/>
        <v>0.6565185714285714</v>
      </c>
      <c r="M91" s="396">
        <v>4595630</v>
      </c>
      <c r="N91" s="396">
        <v>40154.660000000003</v>
      </c>
      <c r="O91" s="398">
        <f t="shared" si="4"/>
        <v>5.7363800000000001E-3</v>
      </c>
    </row>
    <row r="92" spans="1:15" s="143" customFormat="1" ht="15.75" hidden="1" customHeight="1" x14ac:dyDescent="0.25">
      <c r="A92" s="623"/>
      <c r="B92" s="395" t="s">
        <v>132</v>
      </c>
      <c r="C92" s="395" t="s">
        <v>133</v>
      </c>
      <c r="D92" s="395" t="s">
        <v>69</v>
      </c>
      <c r="E92" s="396">
        <v>1000000</v>
      </c>
      <c r="F92" s="396">
        <v>1000000</v>
      </c>
      <c r="G92" s="396">
        <v>500000</v>
      </c>
      <c r="H92" s="396">
        <v>0</v>
      </c>
      <c r="I92" s="396">
        <v>0</v>
      </c>
      <c r="J92" s="396">
        <v>0</v>
      </c>
      <c r="K92" s="396">
        <v>0</v>
      </c>
      <c r="L92" s="397">
        <f t="shared" si="3"/>
        <v>0</v>
      </c>
      <c r="M92" s="396">
        <v>0</v>
      </c>
      <c r="N92" s="396">
        <v>1000000</v>
      </c>
      <c r="O92" s="398">
        <f t="shared" si="4"/>
        <v>1</v>
      </c>
    </row>
    <row r="93" spans="1:15" s="143" customFormat="1" ht="15.75" hidden="1" customHeight="1" x14ac:dyDescent="0.25">
      <c r="A93" s="623"/>
      <c r="B93" s="395" t="s">
        <v>134</v>
      </c>
      <c r="C93" s="395" t="s">
        <v>135</v>
      </c>
      <c r="D93" s="395" t="s">
        <v>69</v>
      </c>
      <c r="E93" s="396">
        <v>3480000</v>
      </c>
      <c r="F93" s="396">
        <v>1480000</v>
      </c>
      <c r="G93" s="396">
        <v>1480000</v>
      </c>
      <c r="H93" s="396">
        <v>0</v>
      </c>
      <c r="I93" s="396">
        <v>1161010.51</v>
      </c>
      <c r="J93" s="396">
        <v>0</v>
      </c>
      <c r="K93" s="396">
        <v>318670.17</v>
      </c>
      <c r="L93" s="397">
        <f t="shared" si="3"/>
        <v>0.21531768243243243</v>
      </c>
      <c r="M93" s="396">
        <v>318670.17</v>
      </c>
      <c r="N93" s="396">
        <v>319.32</v>
      </c>
      <c r="O93" s="398">
        <f t="shared" si="4"/>
        <v>2.1575675675675676E-4</v>
      </c>
    </row>
    <row r="94" spans="1:15" s="143" customFormat="1" ht="15.75" hidden="1" customHeight="1" x14ac:dyDescent="0.25">
      <c r="A94" s="623"/>
      <c r="B94" s="395" t="s">
        <v>136</v>
      </c>
      <c r="C94" s="395" t="s">
        <v>137</v>
      </c>
      <c r="D94" s="395" t="s">
        <v>69</v>
      </c>
      <c r="E94" s="396">
        <v>2000000</v>
      </c>
      <c r="F94" s="396">
        <v>0</v>
      </c>
      <c r="G94" s="396">
        <v>0</v>
      </c>
      <c r="H94" s="396">
        <v>0</v>
      </c>
      <c r="I94" s="396">
        <v>0</v>
      </c>
      <c r="J94" s="396">
        <v>0</v>
      </c>
      <c r="K94" s="396">
        <v>0</v>
      </c>
      <c r="L94" s="397" t="e">
        <f t="shared" si="3"/>
        <v>#DIV/0!</v>
      </c>
      <c r="M94" s="396">
        <v>0</v>
      </c>
      <c r="N94" s="396">
        <v>0</v>
      </c>
      <c r="O94" s="398" t="e">
        <f t="shared" si="4"/>
        <v>#DIV/0!</v>
      </c>
    </row>
    <row r="95" spans="1:15" s="143" customFormat="1" ht="15.75" hidden="1" customHeight="1" x14ac:dyDescent="0.25">
      <c r="A95" s="623"/>
      <c r="B95" s="395" t="s">
        <v>138</v>
      </c>
      <c r="C95" s="395" t="s">
        <v>139</v>
      </c>
      <c r="D95" s="395" t="s">
        <v>69</v>
      </c>
      <c r="E95" s="396">
        <v>1480000</v>
      </c>
      <c r="F95" s="396">
        <v>1480000</v>
      </c>
      <c r="G95" s="396">
        <v>1480000</v>
      </c>
      <c r="H95" s="396">
        <v>0</v>
      </c>
      <c r="I95" s="396">
        <v>1161010.51</v>
      </c>
      <c r="J95" s="396">
        <v>0</v>
      </c>
      <c r="K95" s="396">
        <v>318670.17</v>
      </c>
      <c r="L95" s="397">
        <f t="shared" si="3"/>
        <v>0.21531768243243243</v>
      </c>
      <c r="M95" s="396">
        <v>318670.17</v>
      </c>
      <c r="N95" s="396">
        <v>319.32</v>
      </c>
      <c r="O95" s="398">
        <f t="shared" si="4"/>
        <v>2.1575675675675676E-4</v>
      </c>
    </row>
    <row r="96" spans="1:15" s="143" customFormat="1" ht="15.75" hidden="1" customHeight="1" x14ac:dyDescent="0.25">
      <c r="A96" s="623"/>
      <c r="B96" s="395" t="s">
        <v>140</v>
      </c>
      <c r="C96" s="395" t="s">
        <v>141</v>
      </c>
      <c r="D96" s="395" t="s">
        <v>69</v>
      </c>
      <c r="E96" s="396">
        <v>1500000</v>
      </c>
      <c r="F96" s="396">
        <v>1500000</v>
      </c>
      <c r="G96" s="396">
        <v>1173900</v>
      </c>
      <c r="H96" s="396">
        <v>0</v>
      </c>
      <c r="I96" s="396">
        <v>932000</v>
      </c>
      <c r="J96" s="396">
        <v>0</v>
      </c>
      <c r="K96" s="396">
        <v>151300</v>
      </c>
      <c r="L96" s="397">
        <f t="shared" si="3"/>
        <v>0.10086666666666666</v>
      </c>
      <c r="M96" s="396">
        <v>151300</v>
      </c>
      <c r="N96" s="396">
        <v>416700</v>
      </c>
      <c r="O96" s="398">
        <f t="shared" si="4"/>
        <v>0.27779999999999999</v>
      </c>
    </row>
    <row r="97" spans="1:15" s="143" customFormat="1" ht="15.75" hidden="1" customHeight="1" x14ac:dyDescent="0.25">
      <c r="A97" s="623"/>
      <c r="B97" s="395" t="s">
        <v>144</v>
      </c>
      <c r="C97" s="395" t="s">
        <v>145</v>
      </c>
      <c r="D97" s="395" t="s">
        <v>69</v>
      </c>
      <c r="E97" s="396">
        <v>1500000</v>
      </c>
      <c r="F97" s="396">
        <v>1500000</v>
      </c>
      <c r="G97" s="396">
        <v>1173900</v>
      </c>
      <c r="H97" s="396">
        <v>0</v>
      </c>
      <c r="I97" s="396">
        <v>932000</v>
      </c>
      <c r="J97" s="396">
        <v>0</v>
      </c>
      <c r="K97" s="396">
        <v>151300</v>
      </c>
      <c r="L97" s="397">
        <f t="shared" si="3"/>
        <v>0.10086666666666666</v>
      </c>
      <c r="M97" s="396">
        <v>151300</v>
      </c>
      <c r="N97" s="396">
        <v>416700</v>
      </c>
      <c r="O97" s="398">
        <f t="shared" si="4"/>
        <v>0.27779999999999999</v>
      </c>
    </row>
    <row r="98" spans="1:15" s="143" customFormat="1" ht="15.75" hidden="1" customHeight="1" x14ac:dyDescent="0.25">
      <c r="A98" s="623"/>
      <c r="B98" s="395" t="s">
        <v>150</v>
      </c>
      <c r="C98" s="395" t="s">
        <v>151</v>
      </c>
      <c r="D98" s="395" t="s">
        <v>69</v>
      </c>
      <c r="E98" s="396">
        <v>29000000</v>
      </c>
      <c r="F98" s="396">
        <v>25500000</v>
      </c>
      <c r="G98" s="396">
        <v>24000000</v>
      </c>
      <c r="H98" s="396">
        <v>0</v>
      </c>
      <c r="I98" s="396">
        <v>6051230</v>
      </c>
      <c r="J98" s="396">
        <v>0</v>
      </c>
      <c r="K98" s="396">
        <v>17560942</v>
      </c>
      <c r="L98" s="397">
        <f t="shared" si="3"/>
        <v>0.6886643921568627</v>
      </c>
      <c r="M98" s="396">
        <v>2048770</v>
      </c>
      <c r="N98" s="396">
        <v>1887828</v>
      </c>
      <c r="O98" s="398">
        <f t="shared" si="4"/>
        <v>7.4032470588235297E-2</v>
      </c>
    </row>
    <row r="99" spans="1:15" s="143" customFormat="1" ht="15.75" hidden="1" customHeight="1" x14ac:dyDescent="0.25">
      <c r="A99" s="623"/>
      <c r="B99" s="395" t="s">
        <v>152</v>
      </c>
      <c r="C99" s="395" t="s">
        <v>153</v>
      </c>
      <c r="D99" s="395" t="s">
        <v>69</v>
      </c>
      <c r="E99" s="396">
        <v>29000000</v>
      </c>
      <c r="F99" s="396">
        <v>25500000</v>
      </c>
      <c r="G99" s="396">
        <v>24000000</v>
      </c>
      <c r="H99" s="396">
        <v>0</v>
      </c>
      <c r="I99" s="396">
        <v>6051230</v>
      </c>
      <c r="J99" s="396">
        <v>0</v>
      </c>
      <c r="K99" s="396">
        <v>17560942</v>
      </c>
      <c r="L99" s="397">
        <f t="shared" si="3"/>
        <v>0.6886643921568627</v>
      </c>
      <c r="M99" s="396">
        <v>2048770</v>
      </c>
      <c r="N99" s="396">
        <v>1887828</v>
      </c>
      <c r="O99" s="398">
        <f t="shared" si="4"/>
        <v>7.4032470588235297E-2</v>
      </c>
    </row>
    <row r="100" spans="1:15" s="143" customFormat="1" ht="15.75" hidden="1" customHeight="1" x14ac:dyDescent="0.25">
      <c r="A100" s="623"/>
      <c r="B100" s="395" t="s">
        <v>154</v>
      </c>
      <c r="C100" s="395" t="s">
        <v>155</v>
      </c>
      <c r="D100" s="395" t="s">
        <v>69</v>
      </c>
      <c r="E100" s="396">
        <v>200000</v>
      </c>
      <c r="F100" s="396">
        <v>200000</v>
      </c>
      <c r="G100" s="396">
        <v>200000</v>
      </c>
      <c r="H100" s="396">
        <v>0</v>
      </c>
      <c r="I100" s="396">
        <v>200000</v>
      </c>
      <c r="J100" s="396">
        <v>0</v>
      </c>
      <c r="K100" s="396">
        <v>0</v>
      </c>
      <c r="L100" s="397">
        <f t="shared" si="3"/>
        <v>0</v>
      </c>
      <c r="M100" s="396">
        <v>0</v>
      </c>
      <c r="N100" s="396">
        <v>0</v>
      </c>
      <c r="O100" s="398">
        <f t="shared" si="4"/>
        <v>0</v>
      </c>
    </row>
    <row r="101" spans="1:15" s="143" customFormat="1" ht="15.75" hidden="1" customHeight="1" x14ac:dyDescent="0.25">
      <c r="A101" s="623"/>
      <c r="B101" s="395" t="s">
        <v>160</v>
      </c>
      <c r="C101" s="395" t="s">
        <v>161</v>
      </c>
      <c r="D101" s="395" t="s">
        <v>69</v>
      </c>
      <c r="E101" s="396">
        <v>200000</v>
      </c>
      <c r="F101" s="396">
        <v>200000</v>
      </c>
      <c r="G101" s="396">
        <v>200000</v>
      </c>
      <c r="H101" s="396">
        <v>0</v>
      </c>
      <c r="I101" s="396">
        <v>200000</v>
      </c>
      <c r="J101" s="396">
        <v>0</v>
      </c>
      <c r="K101" s="396">
        <v>0</v>
      </c>
      <c r="L101" s="397">
        <f t="shared" si="3"/>
        <v>0</v>
      </c>
      <c r="M101" s="396">
        <v>0</v>
      </c>
      <c r="N101" s="396">
        <v>0</v>
      </c>
      <c r="O101" s="398">
        <f t="shared" si="4"/>
        <v>0</v>
      </c>
    </row>
    <row r="102" spans="1:15" s="143" customFormat="1" ht="15.75" hidden="1" customHeight="1" x14ac:dyDescent="0.25">
      <c r="A102" s="623"/>
      <c r="B102" s="395" t="s">
        <v>162</v>
      </c>
      <c r="C102" s="395" t="s">
        <v>163</v>
      </c>
      <c r="D102" s="395" t="s">
        <v>69</v>
      </c>
      <c r="E102" s="396">
        <v>21394400</v>
      </c>
      <c r="F102" s="396">
        <v>20894400</v>
      </c>
      <c r="G102" s="396">
        <v>19444400</v>
      </c>
      <c r="H102" s="396">
        <v>0</v>
      </c>
      <c r="I102" s="396">
        <v>12411645.48</v>
      </c>
      <c r="J102" s="396">
        <v>153547.63</v>
      </c>
      <c r="K102" s="396">
        <v>4124348.51</v>
      </c>
      <c r="L102" s="397">
        <f t="shared" si="3"/>
        <v>0.19739013850601117</v>
      </c>
      <c r="M102" s="396">
        <v>4124348.51</v>
      </c>
      <c r="N102" s="396">
        <v>4204858.38</v>
      </c>
      <c r="O102" s="398">
        <f t="shared" si="4"/>
        <v>0.20124331782678612</v>
      </c>
    </row>
    <row r="103" spans="1:15" s="143" customFormat="1" ht="15.75" hidden="1" customHeight="1" x14ac:dyDescent="0.25">
      <c r="A103" s="623"/>
      <c r="B103" s="395" t="s">
        <v>166</v>
      </c>
      <c r="C103" s="395" t="s">
        <v>167</v>
      </c>
      <c r="D103" s="395" t="s">
        <v>69</v>
      </c>
      <c r="E103" s="396">
        <v>13000000</v>
      </c>
      <c r="F103" s="396">
        <v>13000000</v>
      </c>
      <c r="G103" s="396">
        <v>13000000</v>
      </c>
      <c r="H103" s="396">
        <v>0</v>
      </c>
      <c r="I103" s="396">
        <v>9315582.8200000003</v>
      </c>
      <c r="J103" s="396">
        <v>0</v>
      </c>
      <c r="K103" s="396">
        <v>3672467.23</v>
      </c>
      <c r="L103" s="397">
        <f t="shared" si="3"/>
        <v>0.28249747923076923</v>
      </c>
      <c r="M103" s="396">
        <v>3672467.23</v>
      </c>
      <c r="N103" s="396">
        <v>11949.95</v>
      </c>
      <c r="O103" s="398">
        <f t="shared" si="4"/>
        <v>9.1922692307692315E-4</v>
      </c>
    </row>
    <row r="104" spans="1:15" s="143" customFormat="1" ht="15.75" hidden="1" customHeight="1" x14ac:dyDescent="0.25">
      <c r="A104" s="623"/>
      <c r="B104" s="395" t="s">
        <v>168</v>
      </c>
      <c r="C104" s="395" t="s">
        <v>169</v>
      </c>
      <c r="D104" s="395" t="s">
        <v>69</v>
      </c>
      <c r="E104" s="396">
        <v>6194400</v>
      </c>
      <c r="F104" s="396">
        <v>5694400</v>
      </c>
      <c r="G104" s="396">
        <v>4694400</v>
      </c>
      <c r="H104" s="396">
        <v>0</v>
      </c>
      <c r="I104" s="396">
        <v>1986540</v>
      </c>
      <c r="J104" s="396">
        <v>0</v>
      </c>
      <c r="K104" s="396">
        <v>0</v>
      </c>
      <c r="L104" s="397">
        <f t="shared" si="3"/>
        <v>0</v>
      </c>
      <c r="M104" s="396">
        <v>0</v>
      </c>
      <c r="N104" s="396">
        <v>3707860</v>
      </c>
      <c r="O104" s="398">
        <f t="shared" si="4"/>
        <v>0.65114147232368647</v>
      </c>
    </row>
    <row r="105" spans="1:15" s="143" customFormat="1" ht="15.75" hidden="1" customHeight="1" x14ac:dyDescent="0.25">
      <c r="A105" s="623"/>
      <c r="B105" s="395" t="s">
        <v>172</v>
      </c>
      <c r="C105" s="395" t="s">
        <v>173</v>
      </c>
      <c r="D105" s="395" t="s">
        <v>69</v>
      </c>
      <c r="E105" s="396">
        <v>2200000</v>
      </c>
      <c r="F105" s="396">
        <v>2200000</v>
      </c>
      <c r="G105" s="396">
        <v>1750000</v>
      </c>
      <c r="H105" s="396">
        <v>0</v>
      </c>
      <c r="I105" s="396">
        <v>1109522.6599999999</v>
      </c>
      <c r="J105" s="396">
        <v>153547.63</v>
      </c>
      <c r="K105" s="396">
        <v>451881.28</v>
      </c>
      <c r="L105" s="397">
        <f t="shared" si="3"/>
        <v>0.20540058181818183</v>
      </c>
      <c r="M105" s="396">
        <v>451881.28</v>
      </c>
      <c r="N105" s="396">
        <v>485048.43</v>
      </c>
      <c r="O105" s="398">
        <f t="shared" si="4"/>
        <v>0.22047655909090907</v>
      </c>
    </row>
    <row r="106" spans="1:15" s="143" customFormat="1" ht="15.75" hidden="1" customHeight="1" x14ac:dyDescent="0.25">
      <c r="A106" s="623"/>
      <c r="B106" s="395" t="s">
        <v>174</v>
      </c>
      <c r="C106" s="395" t="s">
        <v>175</v>
      </c>
      <c r="D106" s="395" t="s">
        <v>69</v>
      </c>
      <c r="E106" s="396">
        <v>1000000</v>
      </c>
      <c r="F106" s="396">
        <v>1000000</v>
      </c>
      <c r="G106" s="396">
        <v>1000000</v>
      </c>
      <c r="H106" s="396">
        <v>0</v>
      </c>
      <c r="I106" s="396">
        <v>1000000</v>
      </c>
      <c r="J106" s="396">
        <v>0</v>
      </c>
      <c r="K106" s="396">
        <v>0</v>
      </c>
      <c r="L106" s="397">
        <f t="shared" si="3"/>
        <v>0</v>
      </c>
      <c r="M106" s="396">
        <v>0</v>
      </c>
      <c r="N106" s="396">
        <v>0</v>
      </c>
      <c r="O106" s="398">
        <f t="shared" si="4"/>
        <v>0</v>
      </c>
    </row>
    <row r="107" spans="1:15" s="143" customFormat="1" ht="15.75" hidden="1" customHeight="1" x14ac:dyDescent="0.25">
      <c r="A107" s="623"/>
      <c r="B107" s="395" t="s">
        <v>176</v>
      </c>
      <c r="C107" s="395" t="s">
        <v>177</v>
      </c>
      <c r="D107" s="395" t="s">
        <v>69</v>
      </c>
      <c r="E107" s="396">
        <v>1000000</v>
      </c>
      <c r="F107" s="396">
        <v>1000000</v>
      </c>
      <c r="G107" s="396">
        <v>1000000</v>
      </c>
      <c r="H107" s="396">
        <v>0</v>
      </c>
      <c r="I107" s="396">
        <v>1000000</v>
      </c>
      <c r="J107" s="396">
        <v>0</v>
      </c>
      <c r="K107" s="396">
        <v>0</v>
      </c>
      <c r="L107" s="397">
        <f t="shared" si="3"/>
        <v>0</v>
      </c>
      <c r="M107" s="396">
        <v>0</v>
      </c>
      <c r="N107" s="396">
        <v>0</v>
      </c>
      <c r="O107" s="398">
        <f t="shared" si="4"/>
        <v>0</v>
      </c>
    </row>
    <row r="108" spans="1:15" s="143" customFormat="1" ht="15.75" hidden="1" customHeight="1" x14ac:dyDescent="0.25">
      <c r="A108" s="623"/>
      <c r="B108" s="395" t="s">
        <v>178</v>
      </c>
      <c r="C108" s="395" t="s">
        <v>179</v>
      </c>
      <c r="D108" s="395" t="s">
        <v>69</v>
      </c>
      <c r="E108" s="396">
        <v>1000000</v>
      </c>
      <c r="F108" s="396">
        <v>1000000</v>
      </c>
      <c r="G108" s="396">
        <v>1000000</v>
      </c>
      <c r="H108" s="396">
        <v>0</v>
      </c>
      <c r="I108" s="396">
        <v>1000000</v>
      </c>
      <c r="J108" s="396">
        <v>0</v>
      </c>
      <c r="K108" s="396">
        <v>0</v>
      </c>
      <c r="L108" s="397">
        <f t="shared" si="3"/>
        <v>0</v>
      </c>
      <c r="M108" s="396">
        <v>0</v>
      </c>
      <c r="N108" s="396">
        <v>0</v>
      </c>
      <c r="O108" s="398">
        <f t="shared" si="4"/>
        <v>0</v>
      </c>
    </row>
    <row r="109" spans="1:15" s="143" customFormat="1" ht="15.75" hidden="1" customHeight="1" x14ac:dyDescent="0.25">
      <c r="A109" s="623"/>
      <c r="B109" s="395" t="s">
        <v>182</v>
      </c>
      <c r="C109" s="395" t="s">
        <v>183</v>
      </c>
      <c r="D109" s="395" t="s">
        <v>69</v>
      </c>
      <c r="E109" s="396">
        <v>1000000</v>
      </c>
      <c r="F109" s="396">
        <v>1000000</v>
      </c>
      <c r="G109" s="396">
        <v>1000000</v>
      </c>
      <c r="H109" s="396">
        <v>0</v>
      </c>
      <c r="I109" s="396">
        <v>1000000</v>
      </c>
      <c r="J109" s="396">
        <v>0</v>
      </c>
      <c r="K109" s="396">
        <v>0</v>
      </c>
      <c r="L109" s="397">
        <f t="shared" si="3"/>
        <v>0</v>
      </c>
      <c r="M109" s="396">
        <v>0</v>
      </c>
      <c r="N109" s="396">
        <v>0</v>
      </c>
      <c r="O109" s="398">
        <f t="shared" si="4"/>
        <v>0</v>
      </c>
    </row>
    <row r="110" spans="1:15" s="143" customFormat="1" x14ac:dyDescent="0.25">
      <c r="A110" s="623"/>
      <c r="B110" s="395" t="s">
        <v>184</v>
      </c>
      <c r="C110" s="395" t="s">
        <v>185</v>
      </c>
      <c r="D110" s="395" t="s">
        <v>69</v>
      </c>
      <c r="E110" s="396">
        <v>40981500</v>
      </c>
      <c r="F110" s="396">
        <v>38920115</v>
      </c>
      <c r="G110" s="396">
        <v>38920115</v>
      </c>
      <c r="H110" s="396">
        <v>0</v>
      </c>
      <c r="I110" s="396">
        <v>7751891.5999999996</v>
      </c>
      <c r="J110" s="396">
        <v>0</v>
      </c>
      <c r="K110" s="396">
        <v>4969692.5199999996</v>
      </c>
      <c r="L110" s="397">
        <f t="shared" si="3"/>
        <v>0.12768956412384699</v>
      </c>
      <c r="M110" s="396">
        <v>4969692.5199999996</v>
      </c>
      <c r="N110" s="396">
        <v>26198530.879999999</v>
      </c>
      <c r="O110" s="398">
        <f t="shared" si="4"/>
        <v>0.67313600897633519</v>
      </c>
    </row>
    <row r="111" spans="1:15" s="143" customFormat="1" ht="15.75" hidden="1" customHeight="1" x14ac:dyDescent="0.25">
      <c r="A111" s="623"/>
      <c r="B111" s="395" t="s">
        <v>186</v>
      </c>
      <c r="C111" s="395" t="s">
        <v>187</v>
      </c>
      <c r="D111" s="395" t="s">
        <v>69</v>
      </c>
      <c r="E111" s="396">
        <v>14621000</v>
      </c>
      <c r="F111" s="396">
        <v>14100000</v>
      </c>
      <c r="G111" s="396">
        <v>14100000</v>
      </c>
      <c r="H111" s="396">
        <v>0</v>
      </c>
      <c r="I111" s="396">
        <v>6715310.5999999996</v>
      </c>
      <c r="J111" s="396">
        <v>0</v>
      </c>
      <c r="K111" s="396">
        <v>2884689.4</v>
      </c>
      <c r="L111" s="397">
        <f t="shared" si="3"/>
        <v>0.20458790070921984</v>
      </c>
      <c r="M111" s="396">
        <v>2884689.4</v>
      </c>
      <c r="N111" s="396">
        <v>4500000</v>
      </c>
      <c r="O111" s="398">
        <f t="shared" si="4"/>
        <v>0.31914893617021278</v>
      </c>
    </row>
    <row r="112" spans="1:15" s="143" customFormat="1" ht="15.75" hidden="1" customHeight="1" x14ac:dyDescent="0.25">
      <c r="A112" s="623"/>
      <c r="B112" s="395" t="s">
        <v>188</v>
      </c>
      <c r="C112" s="395" t="s">
        <v>189</v>
      </c>
      <c r="D112" s="395" t="s">
        <v>69</v>
      </c>
      <c r="E112" s="396">
        <v>9600000</v>
      </c>
      <c r="F112" s="396">
        <v>9600000</v>
      </c>
      <c r="G112" s="396">
        <v>9600000</v>
      </c>
      <c r="H112" s="396">
        <v>0</v>
      </c>
      <c r="I112" s="396">
        <v>6715310.5999999996</v>
      </c>
      <c r="J112" s="396">
        <v>0</v>
      </c>
      <c r="K112" s="396">
        <v>2884689.4</v>
      </c>
      <c r="L112" s="397">
        <f t="shared" si="3"/>
        <v>0.30048847916666666</v>
      </c>
      <c r="M112" s="396">
        <v>2884689.4</v>
      </c>
      <c r="N112" s="396">
        <v>0</v>
      </c>
      <c r="O112" s="398">
        <f t="shared" si="4"/>
        <v>0</v>
      </c>
    </row>
    <row r="113" spans="1:15" s="143" customFormat="1" ht="15.75" hidden="1" customHeight="1" x14ac:dyDescent="0.25">
      <c r="A113" s="623"/>
      <c r="B113" s="395" t="s">
        <v>190</v>
      </c>
      <c r="C113" s="395" t="s">
        <v>191</v>
      </c>
      <c r="D113" s="395" t="s">
        <v>69</v>
      </c>
      <c r="E113" s="396">
        <v>5000000</v>
      </c>
      <c r="F113" s="396">
        <v>4500000</v>
      </c>
      <c r="G113" s="396">
        <v>4500000</v>
      </c>
      <c r="H113" s="396">
        <v>0</v>
      </c>
      <c r="I113" s="396">
        <v>0</v>
      </c>
      <c r="J113" s="396">
        <v>0</v>
      </c>
      <c r="K113" s="396">
        <v>0</v>
      </c>
      <c r="L113" s="397">
        <f t="shared" si="3"/>
        <v>0</v>
      </c>
      <c r="M113" s="396">
        <v>0</v>
      </c>
      <c r="N113" s="396">
        <v>4500000</v>
      </c>
      <c r="O113" s="398">
        <f t="shared" si="4"/>
        <v>1</v>
      </c>
    </row>
    <row r="114" spans="1:15" s="143" customFormat="1" ht="15.75" hidden="1" customHeight="1" x14ac:dyDescent="0.25">
      <c r="A114" s="623"/>
      <c r="B114" s="395" t="s">
        <v>192</v>
      </c>
      <c r="C114" s="395" t="s">
        <v>193</v>
      </c>
      <c r="D114" s="395" t="s">
        <v>69</v>
      </c>
      <c r="E114" s="396">
        <v>21000</v>
      </c>
      <c r="F114" s="396">
        <v>0</v>
      </c>
      <c r="G114" s="396">
        <v>0</v>
      </c>
      <c r="H114" s="396">
        <v>0</v>
      </c>
      <c r="I114" s="396">
        <v>0</v>
      </c>
      <c r="J114" s="396">
        <v>0</v>
      </c>
      <c r="K114" s="396">
        <v>0</v>
      </c>
      <c r="L114" s="397" t="e">
        <f t="shared" si="3"/>
        <v>#DIV/0!</v>
      </c>
      <c r="M114" s="396">
        <v>0</v>
      </c>
      <c r="N114" s="396">
        <v>0</v>
      </c>
      <c r="O114" s="398" t="e">
        <f t="shared" si="4"/>
        <v>#DIV/0!</v>
      </c>
    </row>
    <row r="115" spans="1:15" s="143" customFormat="1" ht="15.75" hidden="1" customHeight="1" x14ac:dyDescent="0.25">
      <c r="A115" s="623"/>
      <c r="B115" s="395" t="s">
        <v>196</v>
      </c>
      <c r="C115" s="395" t="s">
        <v>197</v>
      </c>
      <c r="D115" s="395" t="s">
        <v>69</v>
      </c>
      <c r="E115" s="396">
        <v>3000000</v>
      </c>
      <c r="F115" s="396">
        <v>2755000</v>
      </c>
      <c r="G115" s="396">
        <v>2755000</v>
      </c>
      <c r="H115" s="396">
        <v>0</v>
      </c>
      <c r="I115" s="396">
        <v>754479</v>
      </c>
      <c r="J115" s="396">
        <v>0</v>
      </c>
      <c r="K115" s="396">
        <v>0</v>
      </c>
      <c r="L115" s="397">
        <f t="shared" si="3"/>
        <v>0</v>
      </c>
      <c r="M115" s="396">
        <v>0</v>
      </c>
      <c r="N115" s="396">
        <v>2000521</v>
      </c>
      <c r="O115" s="398">
        <f t="shared" si="4"/>
        <v>0.72614192377495468</v>
      </c>
    </row>
    <row r="116" spans="1:15" s="143" customFormat="1" ht="15.75" hidden="1" customHeight="1" x14ac:dyDescent="0.25">
      <c r="A116" s="623"/>
      <c r="B116" s="395" t="s">
        <v>198</v>
      </c>
      <c r="C116" s="395" t="s">
        <v>199</v>
      </c>
      <c r="D116" s="395" t="s">
        <v>69</v>
      </c>
      <c r="E116" s="396">
        <v>3000000</v>
      </c>
      <c r="F116" s="396">
        <v>2755000</v>
      </c>
      <c r="G116" s="396">
        <v>2755000</v>
      </c>
      <c r="H116" s="396">
        <v>0</v>
      </c>
      <c r="I116" s="396">
        <v>754479</v>
      </c>
      <c r="J116" s="396">
        <v>0</v>
      </c>
      <c r="K116" s="396">
        <v>0</v>
      </c>
      <c r="L116" s="397">
        <f t="shared" si="3"/>
        <v>0</v>
      </c>
      <c r="M116" s="396">
        <v>0</v>
      </c>
      <c r="N116" s="396">
        <v>2000521</v>
      </c>
      <c r="O116" s="398">
        <f t="shared" si="4"/>
        <v>0.72614192377495468</v>
      </c>
    </row>
    <row r="117" spans="1:15" s="143" customFormat="1" ht="15.75" hidden="1" customHeight="1" x14ac:dyDescent="0.25">
      <c r="A117" s="623"/>
      <c r="B117" s="395" t="s">
        <v>206</v>
      </c>
      <c r="C117" s="395" t="s">
        <v>207</v>
      </c>
      <c r="D117" s="395" t="s">
        <v>69</v>
      </c>
      <c r="E117" s="396">
        <v>355000</v>
      </c>
      <c r="F117" s="396">
        <v>12615</v>
      </c>
      <c r="G117" s="396">
        <v>12615</v>
      </c>
      <c r="H117" s="396">
        <v>0</v>
      </c>
      <c r="I117" s="396">
        <v>0</v>
      </c>
      <c r="J117" s="396">
        <v>0</v>
      </c>
      <c r="K117" s="396">
        <v>12615</v>
      </c>
      <c r="L117" s="397">
        <f t="shared" si="3"/>
        <v>1</v>
      </c>
      <c r="M117" s="396">
        <v>12615</v>
      </c>
      <c r="N117" s="396">
        <v>0</v>
      </c>
      <c r="O117" s="398">
        <f t="shared" si="4"/>
        <v>0</v>
      </c>
    </row>
    <row r="118" spans="1:15" s="143" customFormat="1" ht="15.75" hidden="1" customHeight="1" x14ac:dyDescent="0.25">
      <c r="A118" s="623"/>
      <c r="B118" s="395" t="s">
        <v>208</v>
      </c>
      <c r="C118" s="395" t="s">
        <v>209</v>
      </c>
      <c r="D118" s="395" t="s">
        <v>69</v>
      </c>
      <c r="E118" s="396">
        <v>130000</v>
      </c>
      <c r="F118" s="396">
        <v>12615</v>
      </c>
      <c r="G118" s="396">
        <v>12615</v>
      </c>
      <c r="H118" s="396">
        <v>0</v>
      </c>
      <c r="I118" s="396">
        <v>0</v>
      </c>
      <c r="J118" s="396">
        <v>0</v>
      </c>
      <c r="K118" s="396">
        <v>12615</v>
      </c>
      <c r="L118" s="397">
        <f t="shared" si="3"/>
        <v>1</v>
      </c>
      <c r="M118" s="396">
        <v>12615</v>
      </c>
      <c r="N118" s="396">
        <v>0</v>
      </c>
      <c r="O118" s="398">
        <f t="shared" si="4"/>
        <v>0</v>
      </c>
    </row>
    <row r="119" spans="1:15" s="143" customFormat="1" ht="15.75" hidden="1" customHeight="1" x14ac:dyDescent="0.25">
      <c r="A119" s="623"/>
      <c r="B119" s="395" t="s">
        <v>210</v>
      </c>
      <c r="C119" s="395" t="s">
        <v>211</v>
      </c>
      <c r="D119" s="395" t="s">
        <v>69</v>
      </c>
      <c r="E119" s="396">
        <v>225000</v>
      </c>
      <c r="F119" s="396">
        <v>0</v>
      </c>
      <c r="G119" s="396">
        <v>0</v>
      </c>
      <c r="H119" s="396">
        <v>0</v>
      </c>
      <c r="I119" s="396">
        <v>0</v>
      </c>
      <c r="J119" s="396">
        <v>0</v>
      </c>
      <c r="K119" s="396">
        <v>0</v>
      </c>
      <c r="L119" s="397" t="e">
        <f t="shared" si="3"/>
        <v>#DIV/0!</v>
      </c>
      <c r="M119" s="396">
        <v>0</v>
      </c>
      <c r="N119" s="396">
        <v>0</v>
      </c>
      <c r="O119" s="398" t="e">
        <f t="shared" si="4"/>
        <v>#DIV/0!</v>
      </c>
    </row>
    <row r="120" spans="1:15" s="143" customFormat="1" ht="15.75" hidden="1" customHeight="1" x14ac:dyDescent="0.25">
      <c r="A120" s="623"/>
      <c r="B120" s="395" t="s">
        <v>212</v>
      </c>
      <c r="C120" s="395" t="s">
        <v>213</v>
      </c>
      <c r="D120" s="395" t="s">
        <v>69</v>
      </c>
      <c r="E120" s="396">
        <v>23005500</v>
      </c>
      <c r="F120" s="396">
        <v>22052500</v>
      </c>
      <c r="G120" s="396">
        <v>22052500</v>
      </c>
      <c r="H120" s="396">
        <v>0</v>
      </c>
      <c r="I120" s="396">
        <v>282102</v>
      </c>
      <c r="J120" s="396">
        <v>0</v>
      </c>
      <c r="K120" s="396">
        <v>2072388.12</v>
      </c>
      <c r="L120" s="397">
        <f t="shared" si="3"/>
        <v>9.3975200997619329E-2</v>
      </c>
      <c r="M120" s="396">
        <v>2072388.12</v>
      </c>
      <c r="N120" s="396">
        <v>19698009.879999999</v>
      </c>
      <c r="O120" s="398">
        <f t="shared" si="4"/>
        <v>0.89323250787892527</v>
      </c>
    </row>
    <row r="121" spans="1:15" s="143" customFormat="1" ht="15.75" hidden="1" customHeight="1" x14ac:dyDescent="0.25">
      <c r="A121" s="623"/>
      <c r="B121" s="395" t="s">
        <v>214</v>
      </c>
      <c r="C121" s="395" t="s">
        <v>215</v>
      </c>
      <c r="D121" s="395" t="s">
        <v>69</v>
      </c>
      <c r="E121" s="396">
        <v>2600000</v>
      </c>
      <c r="F121" s="396">
        <v>2350000</v>
      </c>
      <c r="G121" s="396">
        <v>2350000</v>
      </c>
      <c r="H121" s="396">
        <v>0</v>
      </c>
      <c r="I121" s="396">
        <v>14916</v>
      </c>
      <c r="J121" s="396">
        <v>0</v>
      </c>
      <c r="K121" s="396">
        <v>0</v>
      </c>
      <c r="L121" s="397">
        <f t="shared" si="3"/>
        <v>0</v>
      </c>
      <c r="M121" s="396">
        <v>0</v>
      </c>
      <c r="N121" s="396">
        <v>2335084</v>
      </c>
      <c r="O121" s="398">
        <f t="shared" si="4"/>
        <v>0.99365276595744678</v>
      </c>
    </row>
    <row r="122" spans="1:15" s="143" customFormat="1" ht="15.75" hidden="1" customHeight="1" x14ac:dyDescent="0.25">
      <c r="A122" s="623"/>
      <c r="B122" s="395" t="s">
        <v>216</v>
      </c>
      <c r="C122" s="395" t="s">
        <v>217</v>
      </c>
      <c r="D122" s="395" t="s">
        <v>69</v>
      </c>
      <c r="E122" s="396">
        <v>562500</v>
      </c>
      <c r="F122" s="396">
        <v>502500</v>
      </c>
      <c r="G122" s="396">
        <v>502500</v>
      </c>
      <c r="H122" s="396">
        <v>0</v>
      </c>
      <c r="I122" s="396">
        <v>0</v>
      </c>
      <c r="J122" s="396">
        <v>0</v>
      </c>
      <c r="K122" s="396">
        <v>0</v>
      </c>
      <c r="L122" s="397">
        <f t="shared" si="3"/>
        <v>0</v>
      </c>
      <c r="M122" s="396">
        <v>0</v>
      </c>
      <c r="N122" s="396">
        <v>502500</v>
      </c>
      <c r="O122" s="398">
        <f t="shared" si="4"/>
        <v>1</v>
      </c>
    </row>
    <row r="123" spans="1:15" s="143" customFormat="1" ht="15.75" hidden="1" customHeight="1" x14ac:dyDescent="0.25">
      <c r="A123" s="623"/>
      <c r="B123" s="395" t="s">
        <v>218</v>
      </c>
      <c r="C123" s="395" t="s">
        <v>219</v>
      </c>
      <c r="D123" s="395" t="s">
        <v>69</v>
      </c>
      <c r="E123" s="396">
        <v>8000000</v>
      </c>
      <c r="F123" s="396">
        <v>7500000</v>
      </c>
      <c r="G123" s="396">
        <v>7500000</v>
      </c>
      <c r="H123" s="396">
        <v>0</v>
      </c>
      <c r="I123" s="396">
        <v>89550</v>
      </c>
      <c r="J123" s="396">
        <v>0</v>
      </c>
      <c r="K123" s="396">
        <v>2072388.12</v>
      </c>
      <c r="L123" s="397">
        <f t="shared" si="3"/>
        <v>0.27631841600000001</v>
      </c>
      <c r="M123" s="396">
        <v>2072388.12</v>
      </c>
      <c r="N123" s="396">
        <v>5338061.88</v>
      </c>
      <c r="O123" s="398">
        <f t="shared" si="4"/>
        <v>0.71174158399999998</v>
      </c>
    </row>
    <row r="124" spans="1:15" s="143" customFormat="1" ht="15.75" hidden="1" customHeight="1" x14ac:dyDescent="0.25">
      <c r="A124" s="623"/>
      <c r="B124" s="395" t="s">
        <v>222</v>
      </c>
      <c r="C124" s="395" t="s">
        <v>223</v>
      </c>
      <c r="D124" s="395" t="s">
        <v>69</v>
      </c>
      <c r="E124" s="396">
        <v>11000000</v>
      </c>
      <c r="F124" s="396">
        <v>11000000</v>
      </c>
      <c r="G124" s="396">
        <v>11000000</v>
      </c>
      <c r="H124" s="396">
        <v>0</v>
      </c>
      <c r="I124" s="396">
        <v>177636</v>
      </c>
      <c r="J124" s="396">
        <v>0</v>
      </c>
      <c r="K124" s="396">
        <v>0</v>
      </c>
      <c r="L124" s="397">
        <f t="shared" si="3"/>
        <v>0</v>
      </c>
      <c r="M124" s="396">
        <v>0</v>
      </c>
      <c r="N124" s="396">
        <v>10822364</v>
      </c>
      <c r="O124" s="398">
        <f t="shared" si="4"/>
        <v>0.98385127272727269</v>
      </c>
    </row>
    <row r="125" spans="1:15" s="143" customFormat="1" ht="15.75" hidden="1" customHeight="1" x14ac:dyDescent="0.25">
      <c r="A125" s="623"/>
      <c r="B125" s="395" t="s">
        <v>224</v>
      </c>
      <c r="C125" s="395" t="s">
        <v>225</v>
      </c>
      <c r="D125" s="395" t="s">
        <v>69</v>
      </c>
      <c r="E125" s="396">
        <v>800000</v>
      </c>
      <c r="F125" s="396">
        <v>700000</v>
      </c>
      <c r="G125" s="396">
        <v>700000</v>
      </c>
      <c r="H125" s="396">
        <v>0</v>
      </c>
      <c r="I125" s="396">
        <v>0</v>
      </c>
      <c r="J125" s="396">
        <v>0</v>
      </c>
      <c r="K125" s="396">
        <v>0</v>
      </c>
      <c r="L125" s="397">
        <f t="shared" si="3"/>
        <v>0</v>
      </c>
      <c r="M125" s="396">
        <v>0</v>
      </c>
      <c r="N125" s="396">
        <v>700000</v>
      </c>
      <c r="O125" s="398">
        <f t="shared" si="4"/>
        <v>1</v>
      </c>
    </row>
    <row r="126" spans="1:15" s="143" customFormat="1" ht="15.75" hidden="1" customHeight="1" x14ac:dyDescent="0.25">
      <c r="A126" s="623"/>
      <c r="B126" s="395" t="s">
        <v>226</v>
      </c>
      <c r="C126" s="395" t="s">
        <v>227</v>
      </c>
      <c r="D126" s="395" t="s">
        <v>69</v>
      </c>
      <c r="E126" s="396">
        <v>10000</v>
      </c>
      <c r="F126" s="396">
        <v>0</v>
      </c>
      <c r="G126" s="396">
        <v>0</v>
      </c>
      <c r="H126" s="396">
        <v>0</v>
      </c>
      <c r="I126" s="396">
        <v>0</v>
      </c>
      <c r="J126" s="396">
        <v>0</v>
      </c>
      <c r="K126" s="396">
        <v>0</v>
      </c>
      <c r="L126" s="397" t="e">
        <f t="shared" si="3"/>
        <v>#DIV/0!</v>
      </c>
      <c r="M126" s="396">
        <v>0</v>
      </c>
      <c r="N126" s="396">
        <v>0</v>
      </c>
      <c r="O126" s="398" t="e">
        <f t="shared" si="4"/>
        <v>#DIV/0!</v>
      </c>
    </row>
    <row r="127" spans="1:15" s="143" customFormat="1" ht="15.75" hidden="1" customHeight="1" x14ac:dyDescent="0.25">
      <c r="A127" s="623"/>
      <c r="B127" s="395" t="s">
        <v>228</v>
      </c>
      <c r="C127" s="395" t="s">
        <v>229</v>
      </c>
      <c r="D127" s="395" t="s">
        <v>69</v>
      </c>
      <c r="E127" s="396">
        <v>33000</v>
      </c>
      <c r="F127" s="396">
        <v>0</v>
      </c>
      <c r="G127" s="396">
        <v>0</v>
      </c>
      <c r="H127" s="396">
        <v>0</v>
      </c>
      <c r="I127" s="396">
        <v>0</v>
      </c>
      <c r="J127" s="396">
        <v>0</v>
      </c>
      <c r="K127" s="396">
        <v>0</v>
      </c>
      <c r="L127" s="397" t="e">
        <f t="shared" si="3"/>
        <v>#DIV/0!</v>
      </c>
      <c r="M127" s="396">
        <v>0</v>
      </c>
      <c r="N127" s="396">
        <v>0</v>
      </c>
      <c r="O127" s="398" t="e">
        <f t="shared" si="4"/>
        <v>#DIV/0!</v>
      </c>
    </row>
    <row r="128" spans="1:15" s="143" customFormat="1" x14ac:dyDescent="0.25">
      <c r="A128" s="623"/>
      <c r="B128" s="395" t="s">
        <v>230</v>
      </c>
      <c r="C128" s="395" t="s">
        <v>231</v>
      </c>
      <c r="D128" s="395" t="s">
        <v>85</v>
      </c>
      <c r="E128" s="396">
        <v>12109140</v>
      </c>
      <c r="F128" s="396">
        <v>10969140</v>
      </c>
      <c r="G128" s="396">
        <v>10969140</v>
      </c>
      <c r="H128" s="396">
        <v>0</v>
      </c>
      <c r="I128" s="396">
        <v>0</v>
      </c>
      <c r="J128" s="396">
        <v>0</v>
      </c>
      <c r="K128" s="396">
        <v>0</v>
      </c>
      <c r="L128" s="397">
        <f t="shared" si="3"/>
        <v>0</v>
      </c>
      <c r="M128" s="396">
        <v>0</v>
      </c>
      <c r="N128" s="396">
        <v>10969140</v>
      </c>
      <c r="O128" s="398">
        <f t="shared" si="4"/>
        <v>1</v>
      </c>
    </row>
    <row r="129" spans="1:15" s="143" customFormat="1" ht="15.75" hidden="1" customHeight="1" x14ac:dyDescent="0.25">
      <c r="A129" s="623"/>
      <c r="B129" s="395" t="s">
        <v>232</v>
      </c>
      <c r="C129" s="395" t="s">
        <v>233</v>
      </c>
      <c r="D129" s="395" t="s">
        <v>85</v>
      </c>
      <c r="E129" s="396">
        <v>12109140</v>
      </c>
      <c r="F129" s="396">
        <v>10969140</v>
      </c>
      <c r="G129" s="396">
        <v>10969140</v>
      </c>
      <c r="H129" s="396">
        <v>0</v>
      </c>
      <c r="I129" s="396">
        <v>0</v>
      </c>
      <c r="J129" s="396">
        <v>0</v>
      </c>
      <c r="K129" s="396">
        <v>0</v>
      </c>
      <c r="L129" s="397">
        <f t="shared" si="3"/>
        <v>0</v>
      </c>
      <c r="M129" s="396">
        <v>0</v>
      </c>
      <c r="N129" s="396">
        <v>10969140</v>
      </c>
      <c r="O129" s="398">
        <f t="shared" si="4"/>
        <v>1</v>
      </c>
    </row>
    <row r="130" spans="1:15" s="143" customFormat="1" ht="15.75" hidden="1" customHeight="1" x14ac:dyDescent="0.25">
      <c r="A130" s="623"/>
      <c r="B130" s="395" t="s">
        <v>234</v>
      </c>
      <c r="C130" s="395" t="s">
        <v>235</v>
      </c>
      <c r="D130" s="395" t="s">
        <v>85</v>
      </c>
      <c r="E130" s="396">
        <v>120000</v>
      </c>
      <c r="F130" s="396">
        <v>0</v>
      </c>
      <c r="G130" s="396">
        <v>0</v>
      </c>
      <c r="H130" s="396">
        <v>0</v>
      </c>
      <c r="I130" s="396">
        <v>0</v>
      </c>
      <c r="J130" s="396">
        <v>0</v>
      </c>
      <c r="K130" s="396">
        <v>0</v>
      </c>
      <c r="L130" s="397" t="e">
        <f t="shared" si="3"/>
        <v>#DIV/0!</v>
      </c>
      <c r="M130" s="396">
        <v>0</v>
      </c>
      <c r="N130" s="396">
        <v>0</v>
      </c>
      <c r="O130" s="398" t="e">
        <f t="shared" si="4"/>
        <v>#DIV/0!</v>
      </c>
    </row>
    <row r="131" spans="1:15" s="143" customFormat="1" ht="15.75" hidden="1" customHeight="1" x14ac:dyDescent="0.25">
      <c r="A131" s="623"/>
      <c r="B131" s="395" t="s">
        <v>236</v>
      </c>
      <c r="C131" s="395" t="s">
        <v>237</v>
      </c>
      <c r="D131" s="395" t="s">
        <v>85</v>
      </c>
      <c r="E131" s="396">
        <v>620000</v>
      </c>
      <c r="F131" s="396">
        <v>0</v>
      </c>
      <c r="G131" s="396">
        <v>0</v>
      </c>
      <c r="H131" s="396">
        <v>0</v>
      </c>
      <c r="I131" s="396">
        <v>0</v>
      </c>
      <c r="J131" s="396">
        <v>0</v>
      </c>
      <c r="K131" s="396">
        <v>0</v>
      </c>
      <c r="L131" s="397" t="e">
        <f t="shared" si="3"/>
        <v>#DIV/0!</v>
      </c>
      <c r="M131" s="396">
        <v>0</v>
      </c>
      <c r="N131" s="396">
        <v>0</v>
      </c>
      <c r="O131" s="398" t="e">
        <f t="shared" si="4"/>
        <v>#DIV/0!</v>
      </c>
    </row>
    <row r="132" spans="1:15" s="143" customFormat="1" ht="15.75" hidden="1" customHeight="1" x14ac:dyDescent="0.25">
      <c r="A132" s="623"/>
      <c r="B132" s="395" t="s">
        <v>238</v>
      </c>
      <c r="C132" s="395" t="s">
        <v>239</v>
      </c>
      <c r="D132" s="395" t="s">
        <v>85</v>
      </c>
      <c r="E132" s="396">
        <v>11369140</v>
      </c>
      <c r="F132" s="396">
        <v>10969140</v>
      </c>
      <c r="G132" s="396">
        <v>10969140</v>
      </c>
      <c r="H132" s="396">
        <v>0</v>
      </c>
      <c r="I132" s="396">
        <v>0</v>
      </c>
      <c r="J132" s="396">
        <v>0</v>
      </c>
      <c r="K132" s="396">
        <v>0</v>
      </c>
      <c r="L132" s="397">
        <f t="shared" si="3"/>
        <v>0</v>
      </c>
      <c r="M132" s="396">
        <v>0</v>
      </c>
      <c r="N132" s="396">
        <v>10969140</v>
      </c>
      <c r="O132" s="398">
        <f t="shared" si="4"/>
        <v>1</v>
      </c>
    </row>
    <row r="133" spans="1:15" s="143" customFormat="1" x14ac:dyDescent="0.25">
      <c r="A133" s="623"/>
      <c r="B133" s="395" t="s">
        <v>248</v>
      </c>
      <c r="C133" s="395" t="s">
        <v>249</v>
      </c>
      <c r="D133" s="395" t="s">
        <v>69</v>
      </c>
      <c r="E133" s="396">
        <v>509299073</v>
      </c>
      <c r="F133" s="396">
        <v>507740316</v>
      </c>
      <c r="G133" s="396">
        <v>255687867</v>
      </c>
      <c r="H133" s="396">
        <v>0</v>
      </c>
      <c r="I133" s="396">
        <v>58338436.899999999</v>
      </c>
      <c r="J133" s="396">
        <v>0</v>
      </c>
      <c r="K133" s="396">
        <v>152654743.09999999</v>
      </c>
      <c r="L133" s="397">
        <f t="shared" si="3"/>
        <v>0.30065515439589396</v>
      </c>
      <c r="M133" s="396">
        <v>152654743.09999999</v>
      </c>
      <c r="N133" s="396">
        <v>296747136</v>
      </c>
      <c r="O133" s="398">
        <f t="shared" si="4"/>
        <v>0.58444666820587865</v>
      </c>
    </row>
    <row r="134" spans="1:15" s="143" customFormat="1" hidden="1" x14ac:dyDescent="0.25">
      <c r="A134" s="399" t="s">
        <v>704</v>
      </c>
      <c r="B134" s="44" t="s">
        <v>250</v>
      </c>
      <c r="C134" s="44" t="s">
        <v>251</v>
      </c>
      <c r="D134" s="44" t="s">
        <v>69</v>
      </c>
      <c r="E134" s="50">
        <v>38994178</v>
      </c>
      <c r="F134" s="50">
        <v>38045421</v>
      </c>
      <c r="G134" s="50">
        <v>38045421</v>
      </c>
      <c r="H134" s="50">
        <v>0</v>
      </c>
      <c r="I134" s="50">
        <v>24472683</v>
      </c>
      <c r="J134" s="50">
        <v>0</v>
      </c>
      <c r="K134" s="50">
        <v>13140037</v>
      </c>
      <c r="L134" s="386">
        <f t="shared" si="3"/>
        <v>0.34537762113343418</v>
      </c>
      <c r="M134" s="50">
        <v>13140037</v>
      </c>
      <c r="N134" s="50">
        <v>432701</v>
      </c>
      <c r="O134" s="387">
        <f t="shared" si="4"/>
        <v>1.1373274066279882E-2</v>
      </c>
    </row>
    <row r="135" spans="1:15" s="143" customFormat="1" hidden="1" x14ac:dyDescent="0.25">
      <c r="A135" s="399" t="s">
        <v>704</v>
      </c>
      <c r="B135" s="44" t="s">
        <v>617</v>
      </c>
      <c r="C135" s="44" t="s">
        <v>253</v>
      </c>
      <c r="D135" s="44" t="s">
        <v>69</v>
      </c>
      <c r="E135" s="50">
        <v>2000000</v>
      </c>
      <c r="F135" s="50">
        <v>2000000</v>
      </c>
      <c r="G135" s="50">
        <v>2000000</v>
      </c>
      <c r="H135" s="50">
        <v>0</v>
      </c>
      <c r="I135" s="50">
        <v>0</v>
      </c>
      <c r="J135" s="50">
        <v>0</v>
      </c>
      <c r="K135" s="50">
        <v>2000000</v>
      </c>
      <c r="L135" s="386">
        <f t="shared" si="3"/>
        <v>1</v>
      </c>
      <c r="M135" s="50">
        <v>2000000</v>
      </c>
      <c r="N135" s="50">
        <v>0</v>
      </c>
      <c r="O135" s="387">
        <f t="shared" si="4"/>
        <v>0</v>
      </c>
    </row>
    <row r="136" spans="1:15" s="143" customFormat="1" hidden="1" x14ac:dyDescent="0.25">
      <c r="A136" s="399" t="s">
        <v>704</v>
      </c>
      <c r="B136" s="44" t="s">
        <v>627</v>
      </c>
      <c r="C136" s="44" t="s">
        <v>702</v>
      </c>
      <c r="D136" s="44" t="s">
        <v>69</v>
      </c>
      <c r="E136" s="50">
        <v>31422808</v>
      </c>
      <c r="F136" s="50">
        <v>30616936</v>
      </c>
      <c r="G136" s="50">
        <v>30616936</v>
      </c>
      <c r="H136" s="50">
        <v>0</v>
      </c>
      <c r="I136" s="50">
        <v>21211179</v>
      </c>
      <c r="J136" s="50">
        <v>0</v>
      </c>
      <c r="K136" s="50">
        <v>9405757</v>
      </c>
      <c r="L136" s="386">
        <f t="shared" si="3"/>
        <v>0.30720765134695388</v>
      </c>
      <c r="M136" s="50">
        <v>9405757</v>
      </c>
      <c r="N136" s="50">
        <v>0</v>
      </c>
      <c r="O136" s="387">
        <f t="shared" si="4"/>
        <v>0</v>
      </c>
    </row>
    <row r="137" spans="1:15" s="143" customFormat="1" hidden="1" x14ac:dyDescent="0.25">
      <c r="A137" s="399" t="s">
        <v>704</v>
      </c>
      <c r="B137" s="44" t="s">
        <v>642</v>
      </c>
      <c r="C137" s="44" t="s">
        <v>703</v>
      </c>
      <c r="D137" s="44" t="s">
        <v>69</v>
      </c>
      <c r="E137" s="50">
        <v>5571370</v>
      </c>
      <c r="F137" s="50">
        <v>5428485</v>
      </c>
      <c r="G137" s="50">
        <v>5428485</v>
      </c>
      <c r="H137" s="50">
        <v>0</v>
      </c>
      <c r="I137" s="50">
        <v>3261504</v>
      </c>
      <c r="J137" s="50">
        <v>0</v>
      </c>
      <c r="K137" s="50">
        <v>1734280</v>
      </c>
      <c r="L137" s="386">
        <f t="shared" si="3"/>
        <v>0.31947771800051028</v>
      </c>
      <c r="M137" s="50">
        <v>1734280</v>
      </c>
      <c r="N137" s="50">
        <v>432701</v>
      </c>
      <c r="O137" s="387">
        <f t="shared" si="4"/>
        <v>7.9709348004093225E-2</v>
      </c>
    </row>
    <row r="138" spans="1:15" s="143" customFormat="1" hidden="1" x14ac:dyDescent="0.25">
      <c r="A138" s="399" t="s">
        <v>704</v>
      </c>
      <c r="B138" s="44" t="s">
        <v>260</v>
      </c>
      <c r="C138" s="44" t="s">
        <v>261</v>
      </c>
      <c r="D138" s="44" t="s">
        <v>69</v>
      </c>
      <c r="E138" s="50">
        <v>47000000</v>
      </c>
      <c r="F138" s="50">
        <v>47000000</v>
      </c>
      <c r="G138" s="50">
        <v>25000000</v>
      </c>
      <c r="H138" s="50">
        <v>0</v>
      </c>
      <c r="I138" s="50">
        <v>0</v>
      </c>
      <c r="J138" s="50">
        <v>0</v>
      </c>
      <c r="K138" s="50">
        <v>701097</v>
      </c>
      <c r="L138" s="386">
        <f t="shared" si="3"/>
        <v>1.491695744680851E-2</v>
      </c>
      <c r="M138" s="50">
        <v>701097</v>
      </c>
      <c r="N138" s="50">
        <v>46298903</v>
      </c>
      <c r="O138" s="387">
        <f t="shared" si="4"/>
        <v>0.98508304255319146</v>
      </c>
    </row>
    <row r="139" spans="1:15" s="143" customFormat="1" hidden="1" x14ac:dyDescent="0.25">
      <c r="A139" s="399" t="s">
        <v>704</v>
      </c>
      <c r="B139" s="44" t="s">
        <v>262</v>
      </c>
      <c r="C139" s="44" t="s">
        <v>263</v>
      </c>
      <c r="D139" s="44" t="s">
        <v>69</v>
      </c>
      <c r="E139" s="50">
        <v>22000000</v>
      </c>
      <c r="F139" s="50">
        <v>22000000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386">
        <f t="shared" si="3"/>
        <v>0</v>
      </c>
      <c r="M139" s="50">
        <v>0</v>
      </c>
      <c r="N139" s="50">
        <v>22000000</v>
      </c>
      <c r="O139" s="387">
        <f t="shared" si="4"/>
        <v>1</v>
      </c>
    </row>
    <row r="140" spans="1:15" s="143" customFormat="1" hidden="1" x14ac:dyDescent="0.25">
      <c r="A140" s="399" t="s">
        <v>704</v>
      </c>
      <c r="B140" s="44" t="s">
        <v>264</v>
      </c>
      <c r="C140" s="44" t="s">
        <v>265</v>
      </c>
      <c r="D140" s="44" t="s">
        <v>69</v>
      </c>
      <c r="E140" s="50">
        <v>25000000</v>
      </c>
      <c r="F140" s="50">
        <v>25000000</v>
      </c>
      <c r="G140" s="50">
        <v>25000000</v>
      </c>
      <c r="H140" s="50">
        <v>0</v>
      </c>
      <c r="I140" s="50">
        <v>0</v>
      </c>
      <c r="J140" s="50">
        <v>0</v>
      </c>
      <c r="K140" s="50">
        <v>701097</v>
      </c>
      <c r="L140" s="386">
        <f t="shared" si="3"/>
        <v>2.804388E-2</v>
      </c>
      <c r="M140" s="50">
        <v>701097</v>
      </c>
      <c r="N140" s="50">
        <v>24298903</v>
      </c>
      <c r="O140" s="387">
        <f t="shared" si="4"/>
        <v>0.97195611999999998</v>
      </c>
    </row>
    <row r="141" spans="1:15" s="143" customFormat="1" hidden="1" x14ac:dyDescent="0.25">
      <c r="A141" s="399" t="s">
        <v>704</v>
      </c>
      <c r="B141" s="44" t="s">
        <v>266</v>
      </c>
      <c r="C141" s="44" t="s">
        <v>267</v>
      </c>
      <c r="D141" s="44" t="s">
        <v>69</v>
      </c>
      <c r="E141" s="50">
        <v>423304895</v>
      </c>
      <c r="F141" s="50">
        <v>422694895</v>
      </c>
      <c r="G141" s="50">
        <v>192642446</v>
      </c>
      <c r="H141" s="50">
        <v>0</v>
      </c>
      <c r="I141" s="50">
        <v>33865753.899999999</v>
      </c>
      <c r="J141" s="50">
        <v>0</v>
      </c>
      <c r="K141" s="50">
        <v>138813609.09999999</v>
      </c>
      <c r="L141" s="386">
        <f t="shared" si="3"/>
        <v>0.32840143266930155</v>
      </c>
      <c r="M141" s="50">
        <v>138813609.09999999</v>
      </c>
      <c r="N141" s="50">
        <v>250015532</v>
      </c>
      <c r="O141" s="387">
        <f t="shared" si="4"/>
        <v>0.59147989473589457</v>
      </c>
    </row>
    <row r="142" spans="1:15" s="143" customFormat="1" hidden="1" x14ac:dyDescent="0.25">
      <c r="A142" s="399" t="s">
        <v>704</v>
      </c>
      <c r="B142" s="44" t="s">
        <v>664</v>
      </c>
      <c r="C142" s="44" t="s">
        <v>269</v>
      </c>
      <c r="D142" s="44" t="s">
        <v>69</v>
      </c>
      <c r="E142" s="50">
        <v>406300000</v>
      </c>
      <c r="F142" s="50">
        <v>406300000</v>
      </c>
      <c r="G142" s="50">
        <v>189254751</v>
      </c>
      <c r="H142" s="50">
        <v>0</v>
      </c>
      <c r="I142" s="50">
        <v>33858334</v>
      </c>
      <c r="J142" s="50">
        <v>0</v>
      </c>
      <c r="K142" s="50">
        <v>135433334</v>
      </c>
      <c r="L142" s="386">
        <f t="shared" si="3"/>
        <v>0.33333333497415701</v>
      </c>
      <c r="M142" s="50">
        <v>135433334</v>
      </c>
      <c r="N142" s="50">
        <v>237008332</v>
      </c>
      <c r="O142" s="387">
        <f t="shared" si="4"/>
        <v>0.58333333005168597</v>
      </c>
    </row>
    <row r="143" spans="1:15" s="143" customFormat="1" hidden="1" x14ac:dyDescent="0.25">
      <c r="A143" s="399" t="s">
        <v>704</v>
      </c>
      <c r="B143" s="44" t="s">
        <v>666</v>
      </c>
      <c r="C143" s="44" t="s">
        <v>705</v>
      </c>
      <c r="D143" s="44" t="s">
        <v>69</v>
      </c>
      <c r="E143" s="50">
        <v>13007200</v>
      </c>
      <c r="F143" s="50">
        <v>13007200</v>
      </c>
      <c r="G143" s="50">
        <v>0</v>
      </c>
      <c r="H143" s="50">
        <v>0</v>
      </c>
      <c r="I143" s="50">
        <v>0</v>
      </c>
      <c r="J143" s="50">
        <v>0</v>
      </c>
      <c r="K143" s="50">
        <v>0</v>
      </c>
      <c r="L143" s="386">
        <f t="shared" si="3"/>
        <v>0</v>
      </c>
      <c r="M143" s="50">
        <v>0</v>
      </c>
      <c r="N143" s="50">
        <v>13007200</v>
      </c>
      <c r="O143" s="387">
        <f t="shared" si="4"/>
        <v>1</v>
      </c>
    </row>
    <row r="144" spans="1:15" s="143" customFormat="1" hidden="1" x14ac:dyDescent="0.25">
      <c r="A144" s="399" t="s">
        <v>704</v>
      </c>
      <c r="B144" s="44" t="s">
        <v>668</v>
      </c>
      <c r="C144" s="44" t="s">
        <v>273</v>
      </c>
      <c r="D144" s="44" t="s">
        <v>69</v>
      </c>
      <c r="E144" s="50">
        <v>3997695</v>
      </c>
      <c r="F144" s="50">
        <v>3387695</v>
      </c>
      <c r="G144" s="50">
        <v>3387695</v>
      </c>
      <c r="H144" s="50">
        <v>0</v>
      </c>
      <c r="I144" s="50">
        <v>7419.9</v>
      </c>
      <c r="J144" s="50">
        <v>0</v>
      </c>
      <c r="K144" s="50">
        <v>3380275.1</v>
      </c>
      <c r="L144" s="386">
        <f t="shared" si="3"/>
        <v>0.99780974969706548</v>
      </c>
      <c r="M144" s="50">
        <v>3380275.1</v>
      </c>
      <c r="N144" s="50">
        <v>0</v>
      </c>
      <c r="O144" s="387">
        <f t="shared" si="4"/>
        <v>0</v>
      </c>
    </row>
    <row r="145" spans="1:15" s="143" customFormat="1" x14ac:dyDescent="0.25">
      <c r="A145" s="389"/>
      <c r="B145" s="390"/>
      <c r="C145" s="390"/>
      <c r="D145" s="390"/>
      <c r="E145" s="391"/>
      <c r="F145" s="391">
        <f>F64+F80+F110+F128+F133</f>
        <v>3488019672</v>
      </c>
      <c r="G145" s="391"/>
      <c r="H145" s="391"/>
      <c r="I145" s="391"/>
      <c r="J145" s="391"/>
      <c r="K145" s="391">
        <f>K64+K80+K110+K128+K133</f>
        <v>1015642430.59</v>
      </c>
      <c r="L145" s="392">
        <f t="shared" si="3"/>
        <v>0.29118024727413294</v>
      </c>
      <c r="M145" s="391"/>
      <c r="N145" s="391">
        <f>N64+N80+N110+N128+N133</f>
        <v>2013076754.0800002</v>
      </c>
      <c r="O145" s="393">
        <f t="shared" si="4"/>
        <v>0.57714030979811515</v>
      </c>
    </row>
    <row r="146" spans="1:15" s="143" customFormat="1" x14ac:dyDescent="0.25">
      <c r="A146" s="388"/>
      <c r="B146" s="400"/>
      <c r="C146" s="400"/>
      <c r="D146" s="400"/>
      <c r="E146" s="262"/>
      <c r="F146" s="262"/>
      <c r="G146" s="262"/>
      <c r="H146" s="262"/>
      <c r="I146" s="262"/>
      <c r="J146" s="262"/>
      <c r="K146" s="262"/>
      <c r="L146" s="401"/>
      <c r="M146" s="262"/>
      <c r="N146" s="262"/>
      <c r="O146" s="402"/>
    </row>
    <row r="147" spans="1:15" s="143" customFormat="1" ht="15" customHeight="1" x14ac:dyDescent="0.25">
      <c r="A147" s="624" t="s">
        <v>782</v>
      </c>
      <c r="B147" s="187" t="s">
        <v>71</v>
      </c>
      <c r="C147" s="187" t="s">
        <v>72</v>
      </c>
      <c r="D147" s="403"/>
      <c r="E147" s="404"/>
      <c r="F147" s="404">
        <f t="shared" ref="F147:K147" si="5">F4+F64</f>
        <v>4398915200</v>
      </c>
      <c r="G147" s="404">
        <f t="shared" si="5"/>
        <v>4378878047</v>
      </c>
      <c r="H147" s="404">
        <f t="shared" si="5"/>
        <v>0</v>
      </c>
      <c r="I147" s="404">
        <f t="shared" si="5"/>
        <v>487549717</v>
      </c>
      <c r="J147" s="404">
        <f t="shared" si="5"/>
        <v>0</v>
      </c>
      <c r="K147" s="404">
        <f t="shared" si="5"/>
        <v>1279169904.96</v>
      </c>
      <c r="L147" s="405">
        <f t="shared" ref="L147:L152" si="6">+K147/F147</f>
        <v>0.29079212642244162</v>
      </c>
      <c r="M147" s="404"/>
      <c r="N147" s="404">
        <f>N4+N64</f>
        <v>2632195578.04</v>
      </c>
      <c r="O147" s="406">
        <f t="shared" ref="O147:O152" si="7">+N147/F147</f>
        <v>0.59837379407541202</v>
      </c>
    </row>
    <row r="148" spans="1:15" s="143" customFormat="1" x14ac:dyDescent="0.25">
      <c r="A148" s="624"/>
      <c r="B148" s="187" t="s">
        <v>104</v>
      </c>
      <c r="C148" s="187" t="s">
        <v>105</v>
      </c>
      <c r="D148" s="403"/>
      <c r="E148" s="404"/>
      <c r="F148" s="404">
        <f t="shared" ref="F148:K148" si="8">F20+F80</f>
        <v>325993465</v>
      </c>
      <c r="G148" s="404">
        <f t="shared" si="8"/>
        <v>322217364.60000002</v>
      </c>
      <c r="H148" s="404">
        <f t="shared" si="8"/>
        <v>0</v>
      </c>
      <c r="I148" s="404">
        <f t="shared" si="8"/>
        <v>143912404.82999998</v>
      </c>
      <c r="J148" s="404">
        <f t="shared" si="8"/>
        <v>201764.83</v>
      </c>
      <c r="K148" s="404">
        <f t="shared" si="8"/>
        <v>54036380.949999996</v>
      </c>
      <c r="L148" s="405">
        <f t="shared" si="6"/>
        <v>0.16575909259408006</v>
      </c>
      <c r="M148" s="404"/>
      <c r="N148" s="404">
        <f>N20+N80</f>
        <v>127842914.39</v>
      </c>
      <c r="O148" s="406">
        <f t="shared" si="7"/>
        <v>0.39216404043559583</v>
      </c>
    </row>
    <row r="149" spans="1:15" s="143" customFormat="1" x14ac:dyDescent="0.25">
      <c r="A149" s="624"/>
      <c r="B149" s="187" t="s">
        <v>184</v>
      </c>
      <c r="C149" s="187" t="s">
        <v>185</v>
      </c>
      <c r="D149" s="403"/>
      <c r="E149" s="404"/>
      <c r="F149" s="404">
        <f t="shared" ref="F149:K149" si="9">F37+F110</f>
        <v>43296415</v>
      </c>
      <c r="G149" s="404">
        <f t="shared" si="9"/>
        <v>43296415</v>
      </c>
      <c r="H149" s="404">
        <f t="shared" si="9"/>
        <v>0</v>
      </c>
      <c r="I149" s="404">
        <f t="shared" si="9"/>
        <v>7751891.5999999996</v>
      </c>
      <c r="J149" s="404">
        <f t="shared" si="9"/>
        <v>0</v>
      </c>
      <c r="K149" s="404">
        <f t="shared" si="9"/>
        <v>5532039.2799999993</v>
      </c>
      <c r="L149" s="405">
        <f t="shared" si="6"/>
        <v>0.12777130115738219</v>
      </c>
      <c r="M149" s="404"/>
      <c r="N149" s="404">
        <f>N37+N110</f>
        <v>30012484.119999997</v>
      </c>
      <c r="O149" s="406">
        <f t="shared" si="7"/>
        <v>0.6931863554984864</v>
      </c>
    </row>
    <row r="150" spans="1:15" s="143" customFormat="1" x14ac:dyDescent="0.25">
      <c r="A150" s="624"/>
      <c r="B150" s="187" t="s">
        <v>230</v>
      </c>
      <c r="C150" s="187" t="s">
        <v>231</v>
      </c>
      <c r="D150" s="403"/>
      <c r="E150" s="404"/>
      <c r="F150" s="404">
        <f t="shared" ref="F150:K150" si="10">F128+F48</f>
        <v>14919140</v>
      </c>
      <c r="G150" s="404">
        <f t="shared" si="10"/>
        <v>14919140</v>
      </c>
      <c r="H150" s="404">
        <f t="shared" si="10"/>
        <v>0</v>
      </c>
      <c r="I150" s="404">
        <f t="shared" si="10"/>
        <v>0</v>
      </c>
      <c r="J150" s="404">
        <f t="shared" si="10"/>
        <v>0</v>
      </c>
      <c r="K150" s="404">
        <f t="shared" si="10"/>
        <v>0</v>
      </c>
      <c r="L150" s="405">
        <f t="shared" si="6"/>
        <v>0</v>
      </c>
      <c r="M150" s="404"/>
      <c r="N150" s="404">
        <f>N48+N128</f>
        <v>14919140</v>
      </c>
      <c r="O150" s="406">
        <f t="shared" si="7"/>
        <v>1</v>
      </c>
    </row>
    <row r="151" spans="1:15" s="143" customFormat="1" x14ac:dyDescent="0.25">
      <c r="A151" s="624"/>
      <c r="B151" s="187" t="s">
        <v>248</v>
      </c>
      <c r="C151" s="187" t="s">
        <v>249</v>
      </c>
      <c r="D151" s="403"/>
      <c r="E151" s="404"/>
      <c r="F151" s="404">
        <f t="shared" ref="F151:K151" si="11">F54+F133</f>
        <v>821381203</v>
      </c>
      <c r="G151" s="404">
        <f t="shared" si="11"/>
        <v>435978754</v>
      </c>
      <c r="H151" s="404">
        <f t="shared" si="11"/>
        <v>0</v>
      </c>
      <c r="I151" s="404">
        <f t="shared" si="11"/>
        <v>112188704.28999999</v>
      </c>
      <c r="J151" s="404">
        <f t="shared" si="11"/>
        <v>0</v>
      </c>
      <c r="K151" s="404">
        <f t="shared" si="11"/>
        <v>258974043.70999998</v>
      </c>
      <c r="L151" s="405">
        <f t="shared" si="6"/>
        <v>0.31529093040372386</v>
      </c>
      <c r="M151" s="404"/>
      <c r="N151" s="404">
        <f>N54+N133</f>
        <v>450218455</v>
      </c>
      <c r="O151" s="406">
        <f t="shared" si="7"/>
        <v>0.54812364022408733</v>
      </c>
    </row>
    <row r="152" spans="1:15" s="143" customFormat="1" x14ac:dyDescent="0.25">
      <c r="A152" s="407"/>
      <c r="B152" s="408"/>
      <c r="C152" s="408"/>
      <c r="D152" s="408"/>
      <c r="E152" s="409"/>
      <c r="F152" s="409">
        <f t="shared" ref="F152:K152" si="12">SUM(F147:F151)</f>
        <v>5604505423</v>
      </c>
      <c r="G152" s="409">
        <f t="shared" si="12"/>
        <v>5195289720.6000004</v>
      </c>
      <c r="H152" s="409">
        <f t="shared" si="12"/>
        <v>0</v>
      </c>
      <c r="I152" s="409">
        <f t="shared" si="12"/>
        <v>751402717.71999991</v>
      </c>
      <c r="J152" s="409">
        <f t="shared" si="12"/>
        <v>201764.83</v>
      </c>
      <c r="K152" s="409">
        <f t="shared" si="12"/>
        <v>1597712368.9000001</v>
      </c>
      <c r="L152" s="410">
        <f t="shared" si="6"/>
        <v>0.28507642482479228</v>
      </c>
      <c r="M152" s="409"/>
      <c r="N152" s="409">
        <f>SUM(N147:N151)</f>
        <v>3255188571.5499997</v>
      </c>
      <c r="O152" s="411">
        <f t="shared" si="7"/>
        <v>0.58081638358154186</v>
      </c>
    </row>
    <row r="153" spans="1:15" s="143" customFormat="1" x14ac:dyDescent="0.25">
      <c r="A153" s="291"/>
      <c r="B153" s="291"/>
      <c r="C153" s="291"/>
      <c r="D153" s="291"/>
      <c r="E153" s="412"/>
      <c r="F153" s="412"/>
      <c r="G153" s="412"/>
      <c r="H153" s="412"/>
      <c r="I153" s="412"/>
      <c r="J153" s="412"/>
      <c r="K153" s="412"/>
      <c r="L153" s="306"/>
      <c r="M153" s="412"/>
      <c r="N153" s="412"/>
      <c r="O153" s="306"/>
    </row>
    <row r="154" spans="1:15" s="143" customFormat="1" ht="13.5" customHeight="1" x14ac:dyDescent="0.25">
      <c r="A154" s="291"/>
      <c r="B154" s="291"/>
      <c r="C154" s="291"/>
      <c r="D154" s="291"/>
      <c r="E154" s="412"/>
      <c r="F154" s="412"/>
      <c r="G154" s="412"/>
      <c r="H154" s="412"/>
      <c r="I154" s="412"/>
      <c r="J154" s="412"/>
      <c r="K154" s="412"/>
      <c r="L154" s="306"/>
      <c r="M154" s="412"/>
      <c r="N154" s="412"/>
      <c r="O154" s="306"/>
    </row>
    <row r="155" spans="1:15" s="143" customFormat="1" x14ac:dyDescent="0.25">
      <c r="E155" s="257"/>
      <c r="F155" s="257"/>
      <c r="G155" s="257"/>
      <c r="H155" s="257"/>
      <c r="I155" s="257"/>
      <c r="J155" s="257"/>
      <c r="K155" s="257"/>
      <c r="L155" s="257"/>
      <c r="M155" s="257"/>
      <c r="N155" s="257"/>
    </row>
    <row r="156" spans="1:15" s="143" customFormat="1" x14ac:dyDescent="0.25">
      <c r="E156" s="257"/>
      <c r="F156" s="257"/>
      <c r="G156" s="257"/>
      <c r="H156" s="257"/>
      <c r="I156" s="257"/>
      <c r="J156" s="257"/>
      <c r="K156" s="257"/>
      <c r="L156" s="257"/>
      <c r="M156" s="257"/>
      <c r="N156" s="257"/>
    </row>
    <row r="157" spans="1:15" s="143" customFormat="1" x14ac:dyDescent="0.25">
      <c r="E157" s="257"/>
      <c r="F157" s="257"/>
      <c r="G157" s="257"/>
      <c r="H157" s="257"/>
      <c r="I157" s="257"/>
      <c r="J157" s="257"/>
      <c r="K157" s="257"/>
      <c r="L157" s="257"/>
      <c r="M157" s="257"/>
      <c r="N157" s="257"/>
    </row>
    <row r="158" spans="1:15" s="143" customFormat="1" x14ac:dyDescent="0.25">
      <c r="A158" s="413" t="s">
        <v>707</v>
      </c>
      <c r="B158" s="414" t="s">
        <v>71</v>
      </c>
      <c r="C158" s="414" t="s">
        <v>72</v>
      </c>
      <c r="D158" s="414" t="s">
        <v>69</v>
      </c>
      <c r="E158" s="415">
        <v>48966684366</v>
      </c>
      <c r="F158" s="415">
        <v>48172940441</v>
      </c>
      <c r="G158" s="415">
        <v>44715038449</v>
      </c>
      <c r="H158" s="415">
        <v>0</v>
      </c>
      <c r="I158" s="415">
        <v>4396116422</v>
      </c>
      <c r="J158" s="415">
        <v>0</v>
      </c>
      <c r="K158" s="415">
        <v>16687637575.57</v>
      </c>
      <c r="L158" s="416">
        <f t="shared" ref="L158:L284" si="13">+K158/F158</f>
        <v>0.34641102292703618</v>
      </c>
      <c r="M158" s="415">
        <v>16687637575.57</v>
      </c>
      <c r="N158" s="415">
        <v>27089186443.43</v>
      </c>
      <c r="O158" s="417">
        <f t="shared" ref="O158:O284" si="14">+N158/F158</f>
        <v>0.56233201036601843</v>
      </c>
    </row>
    <row r="159" spans="1:15" s="143" customFormat="1" hidden="1" x14ac:dyDescent="0.25">
      <c r="A159" s="399" t="s">
        <v>707</v>
      </c>
      <c r="B159" s="44" t="s">
        <v>73</v>
      </c>
      <c r="C159" s="44" t="s">
        <v>74</v>
      </c>
      <c r="D159" s="44" t="s">
        <v>69</v>
      </c>
      <c r="E159" s="50">
        <v>17541843984</v>
      </c>
      <c r="F159" s="50">
        <v>17057005800</v>
      </c>
      <c r="G159" s="50">
        <v>14895960310</v>
      </c>
      <c r="H159" s="50">
        <v>0</v>
      </c>
      <c r="I159" s="50">
        <v>0</v>
      </c>
      <c r="J159" s="50">
        <v>0</v>
      </c>
      <c r="K159" s="50">
        <v>5416155116.8599997</v>
      </c>
      <c r="L159" s="152">
        <f t="shared" si="13"/>
        <v>0.31753258340687202</v>
      </c>
      <c r="M159" s="50">
        <v>5416155116.8599997</v>
      </c>
      <c r="N159" s="50">
        <v>11640850683.139999</v>
      </c>
      <c r="O159" s="418">
        <f t="shared" si="14"/>
        <v>0.68246741659312793</v>
      </c>
    </row>
    <row r="160" spans="1:15" s="143" customFormat="1" hidden="1" x14ac:dyDescent="0.25">
      <c r="A160" s="399" t="s">
        <v>707</v>
      </c>
      <c r="B160" s="44" t="s">
        <v>75</v>
      </c>
      <c r="C160" s="44" t="s">
        <v>76</v>
      </c>
      <c r="D160" s="44" t="s">
        <v>69</v>
      </c>
      <c r="E160" s="50">
        <v>17541843984</v>
      </c>
      <c r="F160" s="50">
        <v>17057005800</v>
      </c>
      <c r="G160" s="50">
        <v>14895960310</v>
      </c>
      <c r="H160" s="50">
        <v>0</v>
      </c>
      <c r="I160" s="50">
        <v>0</v>
      </c>
      <c r="J160" s="50">
        <v>0</v>
      </c>
      <c r="K160" s="50">
        <v>5416155116.8599997</v>
      </c>
      <c r="L160" s="152">
        <f t="shared" si="13"/>
        <v>0.31753258340687202</v>
      </c>
      <c r="M160" s="50">
        <v>5416155116.8599997</v>
      </c>
      <c r="N160" s="50">
        <v>11640850683.139999</v>
      </c>
      <c r="O160" s="418">
        <f t="shared" si="14"/>
        <v>0.68246741659312793</v>
      </c>
    </row>
    <row r="161" spans="1:15" s="143" customFormat="1" hidden="1" x14ac:dyDescent="0.25">
      <c r="A161" s="399" t="s">
        <v>707</v>
      </c>
      <c r="B161" s="44" t="s">
        <v>293</v>
      </c>
      <c r="C161" s="44" t="s">
        <v>294</v>
      </c>
      <c r="D161" s="44" t="s">
        <v>69</v>
      </c>
      <c r="E161" s="50">
        <v>3681614000</v>
      </c>
      <c r="F161" s="50">
        <v>3681614000</v>
      </c>
      <c r="G161" s="50">
        <v>3681614000</v>
      </c>
      <c r="H161" s="50">
        <v>0</v>
      </c>
      <c r="I161" s="50">
        <v>0</v>
      </c>
      <c r="J161" s="50">
        <v>0</v>
      </c>
      <c r="K161" s="50">
        <v>1218226328.48</v>
      </c>
      <c r="L161" s="152">
        <f t="shared" si="13"/>
        <v>0.3308946371020971</v>
      </c>
      <c r="M161" s="50">
        <v>1218226328.48</v>
      </c>
      <c r="N161" s="50">
        <v>2463387671.52</v>
      </c>
      <c r="O161" s="418">
        <f t="shared" si="14"/>
        <v>0.6691053628979029</v>
      </c>
    </row>
    <row r="162" spans="1:15" s="143" customFormat="1" hidden="1" x14ac:dyDescent="0.25">
      <c r="A162" s="399" t="s">
        <v>707</v>
      </c>
      <c r="B162" s="44" t="s">
        <v>295</v>
      </c>
      <c r="C162" s="44" t="s">
        <v>296</v>
      </c>
      <c r="D162" s="44" t="s">
        <v>69</v>
      </c>
      <c r="E162" s="50">
        <v>8000000</v>
      </c>
      <c r="F162" s="50">
        <v>8000000</v>
      </c>
      <c r="G162" s="50">
        <v>8000000</v>
      </c>
      <c r="H162" s="50">
        <v>0</v>
      </c>
      <c r="I162" s="50">
        <v>0</v>
      </c>
      <c r="J162" s="50">
        <v>0</v>
      </c>
      <c r="K162" s="50">
        <v>3419377.48</v>
      </c>
      <c r="L162" s="152">
        <f t="shared" si="13"/>
        <v>0.42742218500000001</v>
      </c>
      <c r="M162" s="50">
        <v>3419377.48</v>
      </c>
      <c r="N162" s="50">
        <v>4580622.5199999996</v>
      </c>
      <c r="O162" s="418">
        <f t="shared" si="14"/>
        <v>0.57257781499999993</v>
      </c>
    </row>
    <row r="163" spans="1:15" s="143" customFormat="1" hidden="1" x14ac:dyDescent="0.25">
      <c r="A163" s="399" t="s">
        <v>707</v>
      </c>
      <c r="B163" s="44" t="s">
        <v>337</v>
      </c>
      <c r="C163" s="44" t="s">
        <v>338</v>
      </c>
      <c r="D163" s="44" t="s">
        <v>69</v>
      </c>
      <c r="E163" s="50">
        <v>25000000</v>
      </c>
      <c r="F163" s="50">
        <v>25000000</v>
      </c>
      <c r="G163" s="50">
        <v>25000000</v>
      </c>
      <c r="H163" s="50">
        <v>0</v>
      </c>
      <c r="I163" s="50">
        <v>0</v>
      </c>
      <c r="J163" s="50">
        <v>0</v>
      </c>
      <c r="K163" s="50">
        <v>1063470</v>
      </c>
      <c r="L163" s="152">
        <f t="shared" si="13"/>
        <v>4.2538800000000002E-2</v>
      </c>
      <c r="M163" s="50">
        <v>1063470</v>
      </c>
      <c r="N163" s="50">
        <v>23936530</v>
      </c>
      <c r="O163" s="418">
        <f t="shared" si="14"/>
        <v>0.95746120000000001</v>
      </c>
    </row>
    <row r="164" spans="1:15" s="143" customFormat="1" hidden="1" x14ac:dyDescent="0.25">
      <c r="A164" s="399" t="s">
        <v>707</v>
      </c>
      <c r="B164" s="44" t="s">
        <v>339</v>
      </c>
      <c r="C164" s="44" t="s">
        <v>340</v>
      </c>
      <c r="D164" s="44" t="s">
        <v>69</v>
      </c>
      <c r="E164" s="50">
        <v>3648614000</v>
      </c>
      <c r="F164" s="50">
        <v>3648614000</v>
      </c>
      <c r="G164" s="50">
        <v>3648614000</v>
      </c>
      <c r="H164" s="50">
        <v>0</v>
      </c>
      <c r="I164" s="50">
        <v>0</v>
      </c>
      <c r="J164" s="50">
        <v>0</v>
      </c>
      <c r="K164" s="50">
        <v>1213743481</v>
      </c>
      <c r="L164" s="152">
        <f t="shared" si="13"/>
        <v>0.33265877974485653</v>
      </c>
      <c r="M164" s="50">
        <v>1213743481</v>
      </c>
      <c r="N164" s="50">
        <v>2434870519</v>
      </c>
      <c r="O164" s="418">
        <f t="shared" si="14"/>
        <v>0.66734122025514342</v>
      </c>
    </row>
    <row r="165" spans="1:15" s="143" customFormat="1" hidden="1" x14ac:dyDescent="0.25">
      <c r="A165" s="399" t="s">
        <v>707</v>
      </c>
      <c r="B165" s="44" t="s">
        <v>77</v>
      </c>
      <c r="C165" s="44" t="s">
        <v>78</v>
      </c>
      <c r="D165" s="44" t="s">
        <v>69</v>
      </c>
      <c r="E165" s="50">
        <v>20273537632</v>
      </c>
      <c r="F165" s="50">
        <v>20075354521</v>
      </c>
      <c r="G165" s="50">
        <v>18844168170</v>
      </c>
      <c r="H165" s="50">
        <v>0</v>
      </c>
      <c r="I165" s="50">
        <v>0</v>
      </c>
      <c r="J165" s="50">
        <v>0</v>
      </c>
      <c r="K165" s="50">
        <v>7156076583.2299995</v>
      </c>
      <c r="L165" s="152">
        <f t="shared" si="13"/>
        <v>0.35646078258515052</v>
      </c>
      <c r="M165" s="50">
        <v>7156076583.2299995</v>
      </c>
      <c r="N165" s="50">
        <v>12919277937.77</v>
      </c>
      <c r="O165" s="418">
        <f t="shared" si="14"/>
        <v>0.64353921741484943</v>
      </c>
    </row>
    <row r="166" spans="1:15" s="143" customFormat="1" hidden="1" x14ac:dyDescent="0.25">
      <c r="A166" s="399" t="s">
        <v>707</v>
      </c>
      <c r="B166" s="44" t="s">
        <v>79</v>
      </c>
      <c r="C166" s="44" t="s">
        <v>80</v>
      </c>
      <c r="D166" s="44" t="s">
        <v>69</v>
      </c>
      <c r="E166" s="50">
        <v>7240363600</v>
      </c>
      <c r="F166" s="50">
        <v>7240363600</v>
      </c>
      <c r="G166" s="50">
        <v>6903593599</v>
      </c>
      <c r="H166" s="50">
        <v>0</v>
      </c>
      <c r="I166" s="50">
        <v>0</v>
      </c>
      <c r="J166" s="50">
        <v>0</v>
      </c>
      <c r="K166" s="50">
        <v>2242132531.6900001</v>
      </c>
      <c r="L166" s="152">
        <f t="shared" si="13"/>
        <v>0.30967126177061055</v>
      </c>
      <c r="M166" s="50">
        <v>2242132531.6900001</v>
      </c>
      <c r="N166" s="50">
        <v>4998231068.3100004</v>
      </c>
      <c r="O166" s="418">
        <f t="shared" si="14"/>
        <v>0.69032873822938956</v>
      </c>
    </row>
    <row r="167" spans="1:15" s="143" customFormat="1" hidden="1" x14ac:dyDescent="0.25">
      <c r="A167" s="399" t="s">
        <v>707</v>
      </c>
      <c r="B167" s="44" t="s">
        <v>81</v>
      </c>
      <c r="C167" s="44" t="s">
        <v>82</v>
      </c>
      <c r="D167" s="44" t="s">
        <v>69</v>
      </c>
      <c r="E167" s="50">
        <v>646663149</v>
      </c>
      <c r="F167" s="50">
        <v>507159410</v>
      </c>
      <c r="G167" s="50">
        <v>507159410</v>
      </c>
      <c r="H167" s="50">
        <v>0</v>
      </c>
      <c r="I167" s="50">
        <v>0</v>
      </c>
      <c r="J167" s="50">
        <v>0</v>
      </c>
      <c r="K167" s="50">
        <v>153993179.00999999</v>
      </c>
      <c r="L167" s="152">
        <f t="shared" si="13"/>
        <v>0.30363861139833725</v>
      </c>
      <c r="M167" s="50">
        <v>153993179.00999999</v>
      </c>
      <c r="N167" s="50">
        <v>353166230.99000001</v>
      </c>
      <c r="O167" s="418">
        <f t="shared" si="14"/>
        <v>0.69636138860166275</v>
      </c>
    </row>
    <row r="168" spans="1:15" s="143" customFormat="1" hidden="1" x14ac:dyDescent="0.25">
      <c r="A168" s="399" t="s">
        <v>707</v>
      </c>
      <c r="B168" s="44" t="s">
        <v>83</v>
      </c>
      <c r="C168" s="44" t="s">
        <v>84</v>
      </c>
      <c r="D168" s="44" t="s">
        <v>85</v>
      </c>
      <c r="E168" s="50">
        <v>3190897883</v>
      </c>
      <c r="F168" s="50">
        <v>3138377184</v>
      </c>
      <c r="G168" s="50">
        <v>2243960834</v>
      </c>
      <c r="H168" s="50">
        <v>0</v>
      </c>
      <c r="I168" s="50">
        <v>0</v>
      </c>
      <c r="J168" s="50">
        <v>0</v>
      </c>
      <c r="K168" s="50">
        <v>152808.79999999999</v>
      </c>
      <c r="L168" s="152">
        <f t="shared" si="13"/>
        <v>4.8690387114412564E-5</v>
      </c>
      <c r="M168" s="50">
        <v>152808.79999999999</v>
      </c>
      <c r="N168" s="50">
        <v>3138224375.1999998</v>
      </c>
      <c r="O168" s="418">
        <f t="shared" si="14"/>
        <v>0.99995130961288547</v>
      </c>
    </row>
    <row r="169" spans="1:15" s="143" customFormat="1" hidden="1" x14ac:dyDescent="0.25">
      <c r="A169" s="399" t="s">
        <v>707</v>
      </c>
      <c r="B169" s="44" t="s">
        <v>86</v>
      </c>
      <c r="C169" s="44" t="s">
        <v>87</v>
      </c>
      <c r="D169" s="44" t="s">
        <v>69</v>
      </c>
      <c r="E169" s="50">
        <v>2924191700</v>
      </c>
      <c r="F169" s="50">
        <v>2924191700</v>
      </c>
      <c r="G169" s="50">
        <v>2924191700</v>
      </c>
      <c r="H169" s="50">
        <v>0</v>
      </c>
      <c r="I169" s="50">
        <v>0</v>
      </c>
      <c r="J169" s="50">
        <v>0</v>
      </c>
      <c r="K169" s="50">
        <v>2864019903.27</v>
      </c>
      <c r="L169" s="152">
        <f t="shared" si="13"/>
        <v>0.9794227592089807</v>
      </c>
      <c r="M169" s="50">
        <v>2864019903.27</v>
      </c>
      <c r="N169" s="50">
        <v>60171796.729999997</v>
      </c>
      <c r="O169" s="418">
        <f t="shared" si="14"/>
        <v>2.0577240791019275E-2</v>
      </c>
    </row>
    <row r="170" spans="1:15" s="143" customFormat="1" hidden="1" x14ac:dyDescent="0.25">
      <c r="A170" s="399" t="s">
        <v>707</v>
      </c>
      <c r="B170" s="44" t="s">
        <v>88</v>
      </c>
      <c r="C170" s="44" t="s">
        <v>89</v>
      </c>
      <c r="D170" s="44" t="s">
        <v>69</v>
      </c>
      <c r="E170" s="50">
        <v>6271421300</v>
      </c>
      <c r="F170" s="50">
        <v>6265262627</v>
      </c>
      <c r="G170" s="50">
        <v>6265262627</v>
      </c>
      <c r="H170" s="50">
        <v>0</v>
      </c>
      <c r="I170" s="50">
        <v>0</v>
      </c>
      <c r="J170" s="50">
        <v>0</v>
      </c>
      <c r="K170" s="50">
        <v>1895778160.46</v>
      </c>
      <c r="L170" s="152">
        <f t="shared" si="13"/>
        <v>0.30258558552520837</v>
      </c>
      <c r="M170" s="50">
        <v>1895778160.46</v>
      </c>
      <c r="N170" s="50">
        <v>4369484466.54</v>
      </c>
      <c r="O170" s="418">
        <f t="shared" si="14"/>
        <v>0.69741441447479169</v>
      </c>
    </row>
    <row r="171" spans="1:15" s="143" customFormat="1" hidden="1" x14ac:dyDescent="0.25">
      <c r="A171" s="399" t="s">
        <v>707</v>
      </c>
      <c r="B171" s="44" t="s">
        <v>90</v>
      </c>
      <c r="C171" s="44" t="s">
        <v>91</v>
      </c>
      <c r="D171" s="44" t="s">
        <v>69</v>
      </c>
      <c r="E171" s="50">
        <v>3734844376</v>
      </c>
      <c r="F171" s="50">
        <v>3679483060</v>
      </c>
      <c r="G171" s="50">
        <v>3646647985</v>
      </c>
      <c r="H171" s="50">
        <v>0</v>
      </c>
      <c r="I171" s="50">
        <v>2192289417</v>
      </c>
      <c r="J171" s="50">
        <v>0</v>
      </c>
      <c r="K171" s="50">
        <v>1454358568</v>
      </c>
      <c r="L171" s="152">
        <f t="shared" si="13"/>
        <v>0.39526165613057612</v>
      </c>
      <c r="M171" s="50">
        <v>1454358568</v>
      </c>
      <c r="N171" s="50">
        <v>32835075</v>
      </c>
      <c r="O171" s="418">
        <f t="shared" si="14"/>
        <v>8.9238282836393863E-3</v>
      </c>
    </row>
    <row r="172" spans="1:15" s="143" customFormat="1" hidden="1" x14ac:dyDescent="0.25">
      <c r="A172" s="399" t="s">
        <v>707</v>
      </c>
      <c r="B172" s="44" t="s">
        <v>420</v>
      </c>
      <c r="C172" s="44" t="s">
        <v>697</v>
      </c>
      <c r="D172" s="44" t="s">
        <v>69</v>
      </c>
      <c r="E172" s="50">
        <v>3543313962</v>
      </c>
      <c r="F172" s="50">
        <v>3490791688</v>
      </c>
      <c r="G172" s="50">
        <v>3459640463</v>
      </c>
      <c r="H172" s="50">
        <v>0</v>
      </c>
      <c r="I172" s="50">
        <v>2079857544</v>
      </c>
      <c r="J172" s="50">
        <v>0</v>
      </c>
      <c r="K172" s="50">
        <v>1379782919</v>
      </c>
      <c r="L172" s="152">
        <f t="shared" si="13"/>
        <v>0.3952636084654273</v>
      </c>
      <c r="M172" s="50">
        <v>1379782919</v>
      </c>
      <c r="N172" s="50">
        <v>31151225</v>
      </c>
      <c r="O172" s="418">
        <f t="shared" si="14"/>
        <v>8.9238281124267415E-3</v>
      </c>
    </row>
    <row r="173" spans="1:15" s="143" customFormat="1" hidden="1" x14ac:dyDescent="0.25">
      <c r="A173" s="399" t="s">
        <v>707</v>
      </c>
      <c r="B173" s="44" t="s">
        <v>437</v>
      </c>
      <c r="C173" s="44" t="s">
        <v>95</v>
      </c>
      <c r="D173" s="44" t="s">
        <v>69</v>
      </c>
      <c r="E173" s="50">
        <v>191530414</v>
      </c>
      <c r="F173" s="50">
        <v>188691372</v>
      </c>
      <c r="G173" s="50">
        <v>187007522</v>
      </c>
      <c r="H173" s="50">
        <v>0</v>
      </c>
      <c r="I173" s="50">
        <v>112431873</v>
      </c>
      <c r="J173" s="50">
        <v>0</v>
      </c>
      <c r="K173" s="50">
        <v>74575649</v>
      </c>
      <c r="L173" s="152">
        <f t="shared" si="13"/>
        <v>0.39522553792231685</v>
      </c>
      <c r="M173" s="50">
        <v>74575649</v>
      </c>
      <c r="N173" s="50">
        <v>1683850</v>
      </c>
      <c r="O173" s="418">
        <f t="shared" si="14"/>
        <v>8.9238314510745095E-3</v>
      </c>
    </row>
    <row r="174" spans="1:15" s="143" customFormat="1" hidden="1" x14ac:dyDescent="0.25">
      <c r="A174" s="399" t="s">
        <v>707</v>
      </c>
      <c r="B174" s="44" t="s">
        <v>96</v>
      </c>
      <c r="C174" s="44" t="s">
        <v>97</v>
      </c>
      <c r="D174" s="44" t="s">
        <v>69</v>
      </c>
      <c r="E174" s="50">
        <v>3734844374</v>
      </c>
      <c r="F174" s="50">
        <v>3679483060</v>
      </c>
      <c r="G174" s="50">
        <v>3646647984</v>
      </c>
      <c r="H174" s="50">
        <v>0</v>
      </c>
      <c r="I174" s="50">
        <v>2203827005</v>
      </c>
      <c r="J174" s="50">
        <v>0</v>
      </c>
      <c r="K174" s="50">
        <v>1442820979</v>
      </c>
      <c r="L174" s="152">
        <f t="shared" si="13"/>
        <v>0.39212600125410008</v>
      </c>
      <c r="M174" s="50">
        <v>1442820979</v>
      </c>
      <c r="N174" s="50">
        <v>32835076</v>
      </c>
      <c r="O174" s="418">
        <f t="shared" si="14"/>
        <v>8.9238285554166952E-3</v>
      </c>
    </row>
    <row r="175" spans="1:15" s="143" customFormat="1" hidden="1" x14ac:dyDescent="0.25">
      <c r="A175" s="399" t="s">
        <v>707</v>
      </c>
      <c r="B175" s="44" t="s">
        <v>455</v>
      </c>
      <c r="C175" s="44" t="s">
        <v>698</v>
      </c>
      <c r="D175" s="44" t="s">
        <v>69</v>
      </c>
      <c r="E175" s="50">
        <v>2011070048</v>
      </c>
      <c r="F175" s="50">
        <v>1981260109</v>
      </c>
      <c r="G175" s="50">
        <v>1963579684</v>
      </c>
      <c r="H175" s="50">
        <v>0</v>
      </c>
      <c r="I175" s="50">
        <v>1191939494</v>
      </c>
      <c r="J175" s="50">
        <v>0</v>
      </c>
      <c r="K175" s="50">
        <v>771640190</v>
      </c>
      <c r="L175" s="152">
        <f t="shared" si="13"/>
        <v>0.38946940207132591</v>
      </c>
      <c r="M175" s="50">
        <v>771640190</v>
      </c>
      <c r="N175" s="50">
        <v>17680425</v>
      </c>
      <c r="O175" s="418">
        <f t="shared" si="14"/>
        <v>8.9238282846787996E-3</v>
      </c>
    </row>
    <row r="176" spans="1:15" s="143" customFormat="1" hidden="1" x14ac:dyDescent="0.25">
      <c r="A176" s="399" t="s">
        <v>707</v>
      </c>
      <c r="B176" s="44" t="s">
        <v>472</v>
      </c>
      <c r="C176" s="44" t="s">
        <v>699</v>
      </c>
      <c r="D176" s="44" t="s">
        <v>69</v>
      </c>
      <c r="E176" s="50">
        <v>574591442</v>
      </c>
      <c r="F176" s="50">
        <v>566074317</v>
      </c>
      <c r="G176" s="50">
        <v>561022767</v>
      </c>
      <c r="H176" s="50">
        <v>0</v>
      </c>
      <c r="I176" s="50">
        <v>337295832</v>
      </c>
      <c r="J176" s="50">
        <v>0</v>
      </c>
      <c r="K176" s="50">
        <v>223726935</v>
      </c>
      <c r="L176" s="152">
        <f t="shared" si="13"/>
        <v>0.39522537638816779</v>
      </c>
      <c r="M176" s="50">
        <v>223726935</v>
      </c>
      <c r="N176" s="50">
        <v>5051550</v>
      </c>
      <c r="O176" s="418">
        <f t="shared" si="14"/>
        <v>8.9238282824267399E-3</v>
      </c>
    </row>
    <row r="177" spans="1:15" s="143" customFormat="1" hidden="1" x14ac:dyDescent="0.25">
      <c r="A177" s="399" t="s">
        <v>707</v>
      </c>
      <c r="B177" s="44" t="s">
        <v>489</v>
      </c>
      <c r="C177" s="44" t="s">
        <v>700</v>
      </c>
      <c r="D177" s="44" t="s">
        <v>69</v>
      </c>
      <c r="E177" s="50">
        <v>1149182884</v>
      </c>
      <c r="F177" s="50">
        <v>1132148634</v>
      </c>
      <c r="G177" s="50">
        <v>1122045533</v>
      </c>
      <c r="H177" s="50">
        <v>0</v>
      </c>
      <c r="I177" s="50">
        <v>674591679</v>
      </c>
      <c r="J177" s="50">
        <v>0</v>
      </c>
      <c r="K177" s="50">
        <v>447453854</v>
      </c>
      <c r="L177" s="152">
        <f t="shared" si="13"/>
        <v>0.39522536225574778</v>
      </c>
      <c r="M177" s="50">
        <v>447453854</v>
      </c>
      <c r="N177" s="50">
        <v>10103101</v>
      </c>
      <c r="O177" s="418">
        <f t="shared" si="14"/>
        <v>8.9238291657029907E-3</v>
      </c>
    </row>
    <row r="178" spans="1:15" s="143" customFormat="1" x14ac:dyDescent="0.25">
      <c r="A178" s="399" t="s">
        <v>707</v>
      </c>
      <c r="B178" s="44" t="s">
        <v>104</v>
      </c>
      <c r="C178" s="44" t="s">
        <v>105</v>
      </c>
      <c r="D178" s="44" t="s">
        <v>69</v>
      </c>
      <c r="E178" s="50">
        <v>6509291577</v>
      </c>
      <c r="F178" s="50">
        <v>6506291577</v>
      </c>
      <c r="G178" s="50">
        <v>4134020793</v>
      </c>
      <c r="H178" s="50">
        <v>29825051.100000001</v>
      </c>
      <c r="I178" s="50">
        <v>1162697715.55</v>
      </c>
      <c r="J178" s="50">
        <v>13328956.130000001</v>
      </c>
      <c r="K178" s="50">
        <v>633078686.80999994</v>
      </c>
      <c r="L178" s="152">
        <f t="shared" si="13"/>
        <v>9.7302538522552287E-2</v>
      </c>
      <c r="M178" s="50">
        <v>601973055.32000005</v>
      </c>
      <c r="N178" s="50">
        <v>4667361167.4099998</v>
      </c>
      <c r="O178" s="418">
        <f t="shared" si="14"/>
        <v>0.71736120525389724</v>
      </c>
    </row>
    <row r="179" spans="1:15" s="143" customFormat="1" hidden="1" x14ac:dyDescent="0.25">
      <c r="A179" s="399" t="s">
        <v>707</v>
      </c>
      <c r="B179" s="44" t="s">
        <v>106</v>
      </c>
      <c r="C179" s="44" t="s">
        <v>107</v>
      </c>
      <c r="D179" s="44" t="s">
        <v>69</v>
      </c>
      <c r="E179" s="50">
        <v>3002893777</v>
      </c>
      <c r="F179" s="50">
        <v>3002893777</v>
      </c>
      <c r="G179" s="50">
        <v>1654627409</v>
      </c>
      <c r="H179" s="50">
        <v>0</v>
      </c>
      <c r="I179" s="50">
        <v>513293605.08999997</v>
      </c>
      <c r="J179" s="50">
        <v>404862.4</v>
      </c>
      <c r="K179" s="50">
        <v>203202202.71000001</v>
      </c>
      <c r="L179" s="152">
        <f t="shared" si="13"/>
        <v>6.7668794769359566E-2</v>
      </c>
      <c r="M179" s="50">
        <v>201453239.31</v>
      </c>
      <c r="N179" s="50">
        <v>2285993106.8000002</v>
      </c>
      <c r="O179" s="418">
        <f t="shared" si="14"/>
        <v>0.7612633934337133</v>
      </c>
    </row>
    <row r="180" spans="1:15" s="143" customFormat="1" hidden="1" x14ac:dyDescent="0.25">
      <c r="A180" s="399" t="s">
        <v>707</v>
      </c>
      <c r="B180" s="44" t="s">
        <v>280</v>
      </c>
      <c r="C180" s="44" t="s">
        <v>281</v>
      </c>
      <c r="D180" s="44" t="s">
        <v>69</v>
      </c>
      <c r="E180" s="50">
        <v>540000000</v>
      </c>
      <c r="F180" s="50">
        <v>540000000</v>
      </c>
      <c r="G180" s="50">
        <v>427984396</v>
      </c>
      <c r="H180" s="50">
        <v>0</v>
      </c>
      <c r="I180" s="50">
        <v>2692211.9</v>
      </c>
      <c r="J180" s="50">
        <v>404862.4</v>
      </c>
      <c r="K180" s="50">
        <v>113768824.98</v>
      </c>
      <c r="L180" s="152">
        <f t="shared" si="13"/>
        <v>0.21068300922222222</v>
      </c>
      <c r="M180" s="50">
        <v>112991186.58</v>
      </c>
      <c r="N180" s="50">
        <v>423134100.72000003</v>
      </c>
      <c r="O180" s="418">
        <f t="shared" si="14"/>
        <v>0.78358166800000006</v>
      </c>
    </row>
    <row r="181" spans="1:15" s="143" customFormat="1" hidden="1" x14ac:dyDescent="0.25">
      <c r="A181" s="399" t="s">
        <v>707</v>
      </c>
      <c r="B181" s="44" t="s">
        <v>108</v>
      </c>
      <c r="C181" s="44" t="s">
        <v>109</v>
      </c>
      <c r="D181" s="44" t="s">
        <v>69</v>
      </c>
      <c r="E181" s="50">
        <v>974595134</v>
      </c>
      <c r="F181" s="50">
        <v>974595134</v>
      </c>
      <c r="G181" s="50">
        <v>487297566</v>
      </c>
      <c r="H181" s="50">
        <v>0</v>
      </c>
      <c r="I181" s="50">
        <v>145729081.13999999</v>
      </c>
      <c r="J181" s="50">
        <v>0</v>
      </c>
      <c r="K181" s="50">
        <v>44698245.189999998</v>
      </c>
      <c r="L181" s="152">
        <f t="shared" si="13"/>
        <v>4.5863398687972512E-2</v>
      </c>
      <c r="M181" s="50">
        <v>44698245.189999998</v>
      </c>
      <c r="N181" s="50">
        <v>784167807.66999996</v>
      </c>
      <c r="O181" s="418">
        <f t="shared" si="14"/>
        <v>0.80460878606233632</v>
      </c>
    </row>
    <row r="182" spans="1:15" s="143" customFormat="1" hidden="1" x14ac:dyDescent="0.25">
      <c r="A182" s="399" t="s">
        <v>707</v>
      </c>
      <c r="B182" s="44" t="s">
        <v>304</v>
      </c>
      <c r="C182" s="44" t="s">
        <v>305</v>
      </c>
      <c r="D182" s="44" t="s">
        <v>69</v>
      </c>
      <c r="E182" s="50">
        <v>114061860</v>
      </c>
      <c r="F182" s="50">
        <v>114061860</v>
      </c>
      <c r="G182" s="50">
        <v>52227055</v>
      </c>
      <c r="H182" s="50">
        <v>0</v>
      </c>
      <c r="I182" s="50">
        <v>8742059.2300000004</v>
      </c>
      <c r="J182" s="50">
        <v>0</v>
      </c>
      <c r="K182" s="50">
        <v>0</v>
      </c>
      <c r="L182" s="152">
        <f t="shared" si="13"/>
        <v>0</v>
      </c>
      <c r="M182" s="50">
        <v>0</v>
      </c>
      <c r="N182" s="50">
        <v>105319800.77</v>
      </c>
      <c r="O182" s="418">
        <f t="shared" si="14"/>
        <v>0.92335685890095076</v>
      </c>
    </row>
    <row r="183" spans="1:15" s="143" customFormat="1" hidden="1" x14ac:dyDescent="0.25">
      <c r="A183" s="399" t="s">
        <v>707</v>
      </c>
      <c r="B183" s="44" t="s">
        <v>110</v>
      </c>
      <c r="C183" s="44" t="s">
        <v>111</v>
      </c>
      <c r="D183" s="44" t="s">
        <v>69</v>
      </c>
      <c r="E183" s="50">
        <v>1374236783</v>
      </c>
      <c r="F183" s="50">
        <v>1374236783</v>
      </c>
      <c r="G183" s="50">
        <v>687118392</v>
      </c>
      <c r="H183" s="50">
        <v>0</v>
      </c>
      <c r="I183" s="50">
        <v>356130252.81999999</v>
      </c>
      <c r="J183" s="50">
        <v>0</v>
      </c>
      <c r="K183" s="50">
        <v>44735132.539999999</v>
      </c>
      <c r="L183" s="152">
        <f t="shared" si="13"/>
        <v>3.2552710779827819E-2</v>
      </c>
      <c r="M183" s="50">
        <v>43763807.539999999</v>
      </c>
      <c r="N183" s="50">
        <v>973371397.63999999</v>
      </c>
      <c r="O183" s="418">
        <f t="shared" si="14"/>
        <v>0.70829962469429841</v>
      </c>
    </row>
    <row r="184" spans="1:15" s="143" customFormat="1" hidden="1" x14ac:dyDescent="0.25">
      <c r="A184" s="399" t="s">
        <v>707</v>
      </c>
      <c r="B184" s="44" t="s">
        <v>112</v>
      </c>
      <c r="C184" s="44" t="s">
        <v>113</v>
      </c>
      <c r="D184" s="44" t="s">
        <v>69</v>
      </c>
      <c r="E184" s="50">
        <v>758051064</v>
      </c>
      <c r="F184" s="50">
        <v>758051064</v>
      </c>
      <c r="G184" s="50">
        <v>501707948</v>
      </c>
      <c r="H184" s="50">
        <v>0</v>
      </c>
      <c r="I184" s="50">
        <v>160716471.81999999</v>
      </c>
      <c r="J184" s="50">
        <v>0</v>
      </c>
      <c r="K184" s="50">
        <v>185579204.56999999</v>
      </c>
      <c r="L184" s="152">
        <f t="shared" si="13"/>
        <v>0.24481095454276677</v>
      </c>
      <c r="M184" s="50">
        <v>183235754.06999999</v>
      </c>
      <c r="N184" s="50">
        <v>411755387.61000001</v>
      </c>
      <c r="O184" s="418">
        <f t="shared" si="14"/>
        <v>0.5431763203883585</v>
      </c>
    </row>
    <row r="185" spans="1:15" s="143" customFormat="1" hidden="1" x14ac:dyDescent="0.25">
      <c r="A185" s="399" t="s">
        <v>707</v>
      </c>
      <c r="B185" s="44" t="s">
        <v>114</v>
      </c>
      <c r="C185" s="44" t="s">
        <v>115</v>
      </c>
      <c r="D185" s="44" t="s">
        <v>69</v>
      </c>
      <c r="E185" s="50">
        <v>18001000</v>
      </c>
      <c r="F185" s="50">
        <v>18001000</v>
      </c>
      <c r="G185" s="50">
        <v>9000500</v>
      </c>
      <c r="H185" s="50">
        <v>0</v>
      </c>
      <c r="I185" s="50">
        <v>7719981</v>
      </c>
      <c r="J185" s="50">
        <v>0</v>
      </c>
      <c r="K185" s="50">
        <v>1280519</v>
      </c>
      <c r="L185" s="152">
        <f t="shared" si="13"/>
        <v>7.1135992444864168E-2</v>
      </c>
      <c r="M185" s="50">
        <v>1280519</v>
      </c>
      <c r="N185" s="50">
        <v>9000500</v>
      </c>
      <c r="O185" s="418">
        <f t="shared" si="14"/>
        <v>0.5</v>
      </c>
    </row>
    <row r="186" spans="1:15" s="143" customFormat="1" hidden="1" x14ac:dyDescent="0.25">
      <c r="A186" s="399" t="s">
        <v>707</v>
      </c>
      <c r="B186" s="44" t="s">
        <v>116</v>
      </c>
      <c r="C186" s="44" t="s">
        <v>117</v>
      </c>
      <c r="D186" s="44" t="s">
        <v>69</v>
      </c>
      <c r="E186" s="50">
        <v>244470000</v>
      </c>
      <c r="F186" s="50">
        <v>244470000</v>
      </c>
      <c r="G186" s="50">
        <v>176096573</v>
      </c>
      <c r="H186" s="50">
        <v>0</v>
      </c>
      <c r="I186" s="50">
        <v>6157752</v>
      </c>
      <c r="J186" s="50">
        <v>0</v>
      </c>
      <c r="K186" s="50">
        <v>146404281.31999999</v>
      </c>
      <c r="L186" s="152">
        <f t="shared" si="13"/>
        <v>0.59886399689123404</v>
      </c>
      <c r="M186" s="50">
        <v>146404281.31999999</v>
      </c>
      <c r="N186" s="50">
        <v>91907966.680000007</v>
      </c>
      <c r="O186" s="418">
        <f t="shared" si="14"/>
        <v>0.37594783278111837</v>
      </c>
    </row>
    <row r="187" spans="1:15" s="143" customFormat="1" hidden="1" x14ac:dyDescent="0.25">
      <c r="A187" s="399" t="s">
        <v>707</v>
      </c>
      <c r="B187" s="44" t="s">
        <v>118</v>
      </c>
      <c r="C187" s="44" t="s">
        <v>119</v>
      </c>
      <c r="D187" s="44" t="s">
        <v>69</v>
      </c>
      <c r="E187" s="50">
        <v>6000000</v>
      </c>
      <c r="F187" s="50">
        <v>6000000</v>
      </c>
      <c r="G187" s="50">
        <v>3000000</v>
      </c>
      <c r="H187" s="50">
        <v>0</v>
      </c>
      <c r="I187" s="50">
        <v>924876.5</v>
      </c>
      <c r="J187" s="50">
        <v>0</v>
      </c>
      <c r="K187" s="50">
        <v>575123.5</v>
      </c>
      <c r="L187" s="152">
        <f t="shared" si="13"/>
        <v>9.5853916666666664E-2</v>
      </c>
      <c r="M187" s="50">
        <v>575123.5</v>
      </c>
      <c r="N187" s="50">
        <v>4500000</v>
      </c>
      <c r="O187" s="418">
        <f t="shared" si="14"/>
        <v>0.75</v>
      </c>
    </row>
    <row r="188" spans="1:15" s="143" customFormat="1" hidden="1" x14ac:dyDescent="0.25">
      <c r="A188" s="399" t="s">
        <v>707</v>
      </c>
      <c r="B188" s="44" t="s">
        <v>120</v>
      </c>
      <c r="C188" s="44" t="s">
        <v>121</v>
      </c>
      <c r="D188" s="44" t="s">
        <v>69</v>
      </c>
      <c r="E188" s="50">
        <v>411938379</v>
      </c>
      <c r="F188" s="50">
        <v>411938379</v>
      </c>
      <c r="G188" s="50">
        <v>235969190</v>
      </c>
      <c r="H188" s="50">
        <v>0</v>
      </c>
      <c r="I188" s="50">
        <v>138222115.91999999</v>
      </c>
      <c r="J188" s="50">
        <v>0</v>
      </c>
      <c r="K188" s="50">
        <v>27059688.469999999</v>
      </c>
      <c r="L188" s="152">
        <f t="shared" si="13"/>
        <v>6.5688680272250138E-2</v>
      </c>
      <c r="M188" s="50">
        <v>27059688.469999999</v>
      </c>
      <c r="N188" s="50">
        <v>246656574.61000001</v>
      </c>
      <c r="O188" s="418">
        <f t="shared" si="14"/>
        <v>0.59877056177375498</v>
      </c>
    </row>
    <row r="189" spans="1:15" s="143" customFormat="1" hidden="1" x14ac:dyDescent="0.25">
      <c r="A189" s="399" t="s">
        <v>707</v>
      </c>
      <c r="B189" s="44" t="s">
        <v>122</v>
      </c>
      <c r="C189" s="44" t="s">
        <v>123</v>
      </c>
      <c r="D189" s="44" t="s">
        <v>69</v>
      </c>
      <c r="E189" s="50">
        <v>77641685</v>
      </c>
      <c r="F189" s="50">
        <v>77641685</v>
      </c>
      <c r="G189" s="50">
        <v>77641685</v>
      </c>
      <c r="H189" s="50">
        <v>0</v>
      </c>
      <c r="I189" s="50">
        <v>7691746.4000000004</v>
      </c>
      <c r="J189" s="50">
        <v>0</v>
      </c>
      <c r="K189" s="50">
        <v>10259592.279999999</v>
      </c>
      <c r="L189" s="152">
        <f t="shared" si="13"/>
        <v>0.13214025790398545</v>
      </c>
      <c r="M189" s="50">
        <v>7916141.7800000003</v>
      </c>
      <c r="N189" s="50">
        <v>59690346.32</v>
      </c>
      <c r="O189" s="418">
        <f t="shared" si="14"/>
        <v>0.76879251551534467</v>
      </c>
    </row>
    <row r="190" spans="1:15" s="143" customFormat="1" hidden="1" x14ac:dyDescent="0.25">
      <c r="A190" s="399" t="s">
        <v>707</v>
      </c>
      <c r="B190" s="44" t="s">
        <v>124</v>
      </c>
      <c r="C190" s="44" t="s">
        <v>125</v>
      </c>
      <c r="D190" s="44" t="s">
        <v>69</v>
      </c>
      <c r="E190" s="50">
        <v>9633760</v>
      </c>
      <c r="F190" s="50">
        <v>9633760</v>
      </c>
      <c r="G190" s="50">
        <v>9633760</v>
      </c>
      <c r="H190" s="50">
        <v>0</v>
      </c>
      <c r="I190" s="50">
        <v>3000000</v>
      </c>
      <c r="J190" s="50">
        <v>0</v>
      </c>
      <c r="K190" s="50">
        <v>0</v>
      </c>
      <c r="L190" s="152">
        <f t="shared" si="13"/>
        <v>0</v>
      </c>
      <c r="M190" s="50">
        <v>0</v>
      </c>
      <c r="N190" s="50">
        <v>6633760</v>
      </c>
      <c r="O190" s="418">
        <f t="shared" si="14"/>
        <v>0.68859510720632444</v>
      </c>
    </row>
    <row r="191" spans="1:15" s="143" customFormat="1" hidden="1" x14ac:dyDescent="0.25">
      <c r="A191" s="399" t="s">
        <v>707</v>
      </c>
      <c r="B191" s="44" t="s">
        <v>126</v>
      </c>
      <c r="C191" s="44" t="s">
        <v>127</v>
      </c>
      <c r="D191" s="44" t="s">
        <v>69</v>
      </c>
      <c r="E191" s="50">
        <v>5513760</v>
      </c>
      <c r="F191" s="50">
        <v>5513760</v>
      </c>
      <c r="G191" s="50">
        <v>5513760</v>
      </c>
      <c r="H191" s="50">
        <v>0</v>
      </c>
      <c r="I191" s="50">
        <v>3000000</v>
      </c>
      <c r="J191" s="50">
        <v>0</v>
      </c>
      <c r="K191" s="50">
        <v>0</v>
      </c>
      <c r="L191" s="152">
        <f t="shared" si="13"/>
        <v>0</v>
      </c>
      <c r="M191" s="50">
        <v>0</v>
      </c>
      <c r="N191" s="50">
        <v>2513760</v>
      </c>
      <c r="O191" s="418">
        <f t="shared" si="14"/>
        <v>0.45590667711325844</v>
      </c>
    </row>
    <row r="192" spans="1:15" s="143" customFormat="1" hidden="1" x14ac:dyDescent="0.25">
      <c r="A192" s="399" t="s">
        <v>707</v>
      </c>
      <c r="B192" s="44" t="s">
        <v>128</v>
      </c>
      <c r="C192" s="44" t="s">
        <v>129</v>
      </c>
      <c r="D192" s="44" t="s">
        <v>69</v>
      </c>
      <c r="E192" s="50">
        <v>2620000</v>
      </c>
      <c r="F192" s="50">
        <v>2620000</v>
      </c>
      <c r="G192" s="50">
        <v>2620000</v>
      </c>
      <c r="H192" s="50">
        <v>0</v>
      </c>
      <c r="I192" s="50">
        <v>0</v>
      </c>
      <c r="J192" s="50">
        <v>0</v>
      </c>
      <c r="K192" s="50">
        <v>0</v>
      </c>
      <c r="L192" s="152">
        <f t="shared" si="13"/>
        <v>0</v>
      </c>
      <c r="M192" s="50">
        <v>0</v>
      </c>
      <c r="N192" s="50">
        <v>2620000</v>
      </c>
      <c r="O192" s="418">
        <f t="shared" si="14"/>
        <v>1</v>
      </c>
    </row>
    <row r="193" spans="1:15" s="143" customFormat="1" hidden="1" x14ac:dyDescent="0.25">
      <c r="A193" s="399" t="s">
        <v>707</v>
      </c>
      <c r="B193" s="44" t="s">
        <v>132</v>
      </c>
      <c r="C193" s="44" t="s">
        <v>133</v>
      </c>
      <c r="D193" s="44" t="s">
        <v>69</v>
      </c>
      <c r="E193" s="50">
        <v>1500000</v>
      </c>
      <c r="F193" s="50">
        <v>1500000</v>
      </c>
      <c r="G193" s="50">
        <v>1500000</v>
      </c>
      <c r="H193" s="50">
        <v>0</v>
      </c>
      <c r="I193" s="50">
        <v>0</v>
      </c>
      <c r="J193" s="50">
        <v>0</v>
      </c>
      <c r="K193" s="50">
        <v>0</v>
      </c>
      <c r="L193" s="152">
        <f t="shared" si="13"/>
        <v>0</v>
      </c>
      <c r="M193" s="50">
        <v>0</v>
      </c>
      <c r="N193" s="50">
        <v>1500000</v>
      </c>
      <c r="O193" s="418">
        <f t="shared" si="14"/>
        <v>1</v>
      </c>
    </row>
    <row r="194" spans="1:15" s="143" customFormat="1" hidden="1" x14ac:dyDescent="0.25">
      <c r="A194" s="399" t="s">
        <v>707</v>
      </c>
      <c r="B194" s="44" t="s">
        <v>134</v>
      </c>
      <c r="C194" s="44" t="s">
        <v>135</v>
      </c>
      <c r="D194" s="44" t="s">
        <v>69</v>
      </c>
      <c r="E194" s="50">
        <v>312558343</v>
      </c>
      <c r="F194" s="50">
        <v>309558343</v>
      </c>
      <c r="G194" s="50">
        <v>309558343</v>
      </c>
      <c r="H194" s="50">
        <v>29666951.100000001</v>
      </c>
      <c r="I194" s="50">
        <v>126898849.56</v>
      </c>
      <c r="J194" s="50">
        <v>0</v>
      </c>
      <c r="K194" s="50">
        <v>54347968.729999997</v>
      </c>
      <c r="L194" s="152">
        <f t="shared" si="13"/>
        <v>0.17556615726554653</v>
      </c>
      <c r="M194" s="50">
        <v>47469328.270000003</v>
      </c>
      <c r="N194" s="50">
        <v>98644573.609999999</v>
      </c>
      <c r="O194" s="418">
        <f t="shared" si="14"/>
        <v>0.318662300146761</v>
      </c>
    </row>
    <row r="195" spans="1:15" s="143" customFormat="1" hidden="1" x14ac:dyDescent="0.25">
      <c r="A195" s="399" t="s">
        <v>707</v>
      </c>
      <c r="B195" s="44" t="s">
        <v>346</v>
      </c>
      <c r="C195" s="44" t="s">
        <v>347</v>
      </c>
      <c r="D195" s="44" t="s">
        <v>69</v>
      </c>
      <c r="E195" s="50">
        <v>34001608</v>
      </c>
      <c r="F195" s="50">
        <v>31001608</v>
      </c>
      <c r="G195" s="50">
        <v>31001608</v>
      </c>
      <c r="H195" s="50">
        <v>0</v>
      </c>
      <c r="I195" s="50">
        <v>25194191.850000001</v>
      </c>
      <c r="J195" s="50">
        <v>0</v>
      </c>
      <c r="K195" s="50">
        <v>5765395.9900000002</v>
      </c>
      <c r="L195" s="152">
        <f t="shared" si="13"/>
        <v>0.18597086931748832</v>
      </c>
      <c r="M195" s="50">
        <v>5765395.9900000002</v>
      </c>
      <c r="N195" s="50">
        <v>42020.160000000003</v>
      </c>
      <c r="O195" s="418">
        <f t="shared" si="14"/>
        <v>1.3554187253770839E-3</v>
      </c>
    </row>
    <row r="196" spans="1:15" s="143" customFormat="1" hidden="1" x14ac:dyDescent="0.25">
      <c r="A196" s="399" t="s">
        <v>707</v>
      </c>
      <c r="B196" s="44" t="s">
        <v>308</v>
      </c>
      <c r="C196" s="44" t="s">
        <v>309</v>
      </c>
      <c r="D196" s="44" t="s">
        <v>69</v>
      </c>
      <c r="E196" s="50">
        <v>95000000</v>
      </c>
      <c r="F196" s="50">
        <v>95000000</v>
      </c>
      <c r="G196" s="50">
        <v>95000000</v>
      </c>
      <c r="H196" s="50">
        <v>2000000</v>
      </c>
      <c r="I196" s="50">
        <v>52138986.979999997</v>
      </c>
      <c r="J196" s="50">
        <v>0</v>
      </c>
      <c r="K196" s="50">
        <v>9415333.3300000001</v>
      </c>
      <c r="L196" s="152">
        <f t="shared" si="13"/>
        <v>9.9108771894736838E-2</v>
      </c>
      <c r="M196" s="50">
        <v>9415333.3300000001</v>
      </c>
      <c r="N196" s="50">
        <v>31445679.690000001</v>
      </c>
      <c r="O196" s="418">
        <f t="shared" si="14"/>
        <v>0.33100715463157898</v>
      </c>
    </row>
    <row r="197" spans="1:15" s="143" customFormat="1" hidden="1" x14ac:dyDescent="0.25">
      <c r="A197" s="399" t="s">
        <v>707</v>
      </c>
      <c r="B197" s="44" t="s">
        <v>136</v>
      </c>
      <c r="C197" s="44" t="s">
        <v>137</v>
      </c>
      <c r="D197" s="44" t="s">
        <v>69</v>
      </c>
      <c r="E197" s="50">
        <v>131200000</v>
      </c>
      <c r="F197" s="50">
        <v>131200000</v>
      </c>
      <c r="G197" s="50">
        <v>131200000</v>
      </c>
      <c r="H197" s="50">
        <v>27666951.100000001</v>
      </c>
      <c r="I197" s="50">
        <v>46846672.509999998</v>
      </c>
      <c r="J197" s="50">
        <v>0</v>
      </c>
      <c r="K197" s="50">
        <v>29450077.690000001</v>
      </c>
      <c r="L197" s="152">
        <f t="shared" si="13"/>
        <v>0.22446705556402441</v>
      </c>
      <c r="M197" s="50">
        <v>23747338.670000002</v>
      </c>
      <c r="N197" s="50">
        <v>27236298.699999999</v>
      </c>
      <c r="O197" s="418">
        <f t="shared" si="14"/>
        <v>0.20759374009146342</v>
      </c>
    </row>
    <row r="198" spans="1:15" s="143" customFormat="1" hidden="1" x14ac:dyDescent="0.25">
      <c r="A198" s="399" t="s">
        <v>707</v>
      </c>
      <c r="B198" s="44" t="s">
        <v>138</v>
      </c>
      <c r="C198" s="44" t="s">
        <v>139</v>
      </c>
      <c r="D198" s="44" t="s">
        <v>69</v>
      </c>
      <c r="E198" s="50">
        <v>52356735</v>
      </c>
      <c r="F198" s="50">
        <v>52356735</v>
      </c>
      <c r="G198" s="50">
        <v>52356735</v>
      </c>
      <c r="H198" s="50">
        <v>0</v>
      </c>
      <c r="I198" s="50">
        <v>2718998.22</v>
      </c>
      <c r="J198" s="50">
        <v>0</v>
      </c>
      <c r="K198" s="50">
        <v>9717161.7200000007</v>
      </c>
      <c r="L198" s="152">
        <f t="shared" si="13"/>
        <v>0.18559525761107909</v>
      </c>
      <c r="M198" s="50">
        <v>8541260.2799999993</v>
      </c>
      <c r="N198" s="50">
        <v>39920575.060000002</v>
      </c>
      <c r="O198" s="418">
        <f t="shared" si="14"/>
        <v>0.76247258466365408</v>
      </c>
    </row>
    <row r="199" spans="1:15" s="143" customFormat="1" hidden="1" x14ac:dyDescent="0.25">
      <c r="A199" s="399" t="s">
        <v>707</v>
      </c>
      <c r="B199" s="44" t="s">
        <v>140</v>
      </c>
      <c r="C199" s="44" t="s">
        <v>141</v>
      </c>
      <c r="D199" s="44" t="s">
        <v>69</v>
      </c>
      <c r="E199" s="50">
        <v>134000000</v>
      </c>
      <c r="F199" s="50">
        <v>134000000</v>
      </c>
      <c r="G199" s="50">
        <v>67000000</v>
      </c>
      <c r="H199" s="50">
        <v>0</v>
      </c>
      <c r="I199" s="50">
        <v>25591078</v>
      </c>
      <c r="J199" s="50">
        <v>0</v>
      </c>
      <c r="K199" s="50">
        <v>20920319</v>
      </c>
      <c r="L199" s="152">
        <f t="shared" si="13"/>
        <v>0.15612178358208956</v>
      </c>
      <c r="M199" s="50">
        <v>20891719</v>
      </c>
      <c r="N199" s="50">
        <v>87488603</v>
      </c>
      <c r="O199" s="418">
        <f t="shared" si="14"/>
        <v>0.65290002238805966</v>
      </c>
    </row>
    <row r="200" spans="1:15" s="143" customFormat="1" hidden="1" x14ac:dyDescent="0.25">
      <c r="A200" s="399" t="s">
        <v>707</v>
      </c>
      <c r="B200" s="44" t="s">
        <v>142</v>
      </c>
      <c r="C200" s="44" t="s">
        <v>143</v>
      </c>
      <c r="D200" s="44" t="s">
        <v>69</v>
      </c>
      <c r="E200" s="50">
        <v>4000000</v>
      </c>
      <c r="F200" s="50">
        <v>4000000</v>
      </c>
      <c r="G200" s="50">
        <v>2000000</v>
      </c>
      <c r="H200" s="50">
        <v>0</v>
      </c>
      <c r="I200" s="50">
        <v>1010060</v>
      </c>
      <c r="J200" s="50">
        <v>0</v>
      </c>
      <c r="K200" s="50">
        <v>559255</v>
      </c>
      <c r="L200" s="152">
        <f t="shared" si="13"/>
        <v>0.13981374999999999</v>
      </c>
      <c r="M200" s="50">
        <v>559255</v>
      </c>
      <c r="N200" s="50">
        <v>2430685</v>
      </c>
      <c r="O200" s="418">
        <f t="shared" si="14"/>
        <v>0.60767125</v>
      </c>
    </row>
    <row r="201" spans="1:15" s="143" customFormat="1" hidden="1" x14ac:dyDescent="0.25">
      <c r="A201" s="399" t="s">
        <v>707</v>
      </c>
      <c r="B201" s="44" t="s">
        <v>144</v>
      </c>
      <c r="C201" s="44" t="s">
        <v>145</v>
      </c>
      <c r="D201" s="44" t="s">
        <v>69</v>
      </c>
      <c r="E201" s="50">
        <v>130000000</v>
      </c>
      <c r="F201" s="50">
        <v>130000000</v>
      </c>
      <c r="G201" s="50">
        <v>65000000</v>
      </c>
      <c r="H201" s="50">
        <v>0</v>
      </c>
      <c r="I201" s="50">
        <v>24581018</v>
      </c>
      <c r="J201" s="50">
        <v>0</v>
      </c>
      <c r="K201" s="50">
        <v>20361064</v>
      </c>
      <c r="L201" s="152">
        <f t="shared" si="13"/>
        <v>0.15662356923076923</v>
      </c>
      <c r="M201" s="50">
        <v>20332464</v>
      </c>
      <c r="N201" s="50">
        <v>85057918</v>
      </c>
      <c r="O201" s="418">
        <f t="shared" si="14"/>
        <v>0.65429167692307688</v>
      </c>
    </row>
    <row r="202" spans="1:15" s="143" customFormat="1" hidden="1" x14ac:dyDescent="0.25">
      <c r="A202" s="399" t="s">
        <v>707</v>
      </c>
      <c r="B202" s="44" t="s">
        <v>150</v>
      </c>
      <c r="C202" s="44" t="s">
        <v>151</v>
      </c>
      <c r="D202" s="44" t="s">
        <v>69</v>
      </c>
      <c r="E202" s="50">
        <v>1300000000</v>
      </c>
      <c r="F202" s="50">
        <v>1300000000</v>
      </c>
      <c r="G202" s="50">
        <v>686242189</v>
      </c>
      <c r="H202" s="50">
        <v>0</v>
      </c>
      <c r="I202" s="50">
        <v>4322041.7</v>
      </c>
      <c r="J202" s="50">
        <v>0</v>
      </c>
      <c r="K202" s="50">
        <v>0</v>
      </c>
      <c r="L202" s="152">
        <f t="shared" si="13"/>
        <v>0</v>
      </c>
      <c r="M202" s="50">
        <v>0</v>
      </c>
      <c r="N202" s="50">
        <v>1295677958.3</v>
      </c>
      <c r="O202" s="418">
        <f t="shared" si="14"/>
        <v>0.99667535253846151</v>
      </c>
    </row>
    <row r="203" spans="1:15" s="143" customFormat="1" hidden="1" x14ac:dyDescent="0.25">
      <c r="A203" s="399" t="s">
        <v>707</v>
      </c>
      <c r="B203" s="44" t="s">
        <v>152</v>
      </c>
      <c r="C203" s="44" t="s">
        <v>153</v>
      </c>
      <c r="D203" s="44" t="s">
        <v>69</v>
      </c>
      <c r="E203" s="50">
        <v>1300000000</v>
      </c>
      <c r="F203" s="50">
        <v>1300000000</v>
      </c>
      <c r="G203" s="50">
        <v>686242189</v>
      </c>
      <c r="H203" s="50">
        <v>0</v>
      </c>
      <c r="I203" s="50">
        <v>4322041.7</v>
      </c>
      <c r="J203" s="50">
        <v>0</v>
      </c>
      <c r="K203" s="50">
        <v>0</v>
      </c>
      <c r="L203" s="152">
        <f t="shared" si="13"/>
        <v>0</v>
      </c>
      <c r="M203" s="50">
        <v>0</v>
      </c>
      <c r="N203" s="50">
        <v>1295677958.3</v>
      </c>
      <c r="O203" s="418">
        <f t="shared" si="14"/>
        <v>0.99667535253846151</v>
      </c>
    </row>
    <row r="204" spans="1:15" s="143" customFormat="1" hidden="1" x14ac:dyDescent="0.25">
      <c r="A204" s="399" t="s">
        <v>707</v>
      </c>
      <c r="B204" s="44" t="s">
        <v>154</v>
      </c>
      <c r="C204" s="44" t="s">
        <v>155</v>
      </c>
      <c r="D204" s="44" t="s">
        <v>69</v>
      </c>
      <c r="E204" s="50">
        <v>5000000</v>
      </c>
      <c r="F204" s="50">
        <v>5000000</v>
      </c>
      <c r="G204" s="50">
        <v>5000000</v>
      </c>
      <c r="H204" s="50">
        <v>158100</v>
      </c>
      <c r="I204" s="50">
        <v>1145000</v>
      </c>
      <c r="J204" s="50">
        <v>0</v>
      </c>
      <c r="K204" s="50">
        <v>0</v>
      </c>
      <c r="L204" s="152">
        <f t="shared" si="13"/>
        <v>0</v>
      </c>
      <c r="M204" s="50">
        <v>0</v>
      </c>
      <c r="N204" s="50">
        <v>3696900</v>
      </c>
      <c r="O204" s="418">
        <f t="shared" si="14"/>
        <v>0.73938000000000004</v>
      </c>
    </row>
    <row r="205" spans="1:15" s="143" customFormat="1" hidden="1" x14ac:dyDescent="0.25">
      <c r="A205" s="399" t="s">
        <v>707</v>
      </c>
      <c r="B205" s="44" t="s">
        <v>156</v>
      </c>
      <c r="C205" s="44" t="s">
        <v>157</v>
      </c>
      <c r="D205" s="44" t="s">
        <v>69</v>
      </c>
      <c r="E205" s="50">
        <v>5000000</v>
      </c>
      <c r="F205" s="50">
        <v>5000000</v>
      </c>
      <c r="G205" s="50">
        <v>5000000</v>
      </c>
      <c r="H205" s="50">
        <v>158100</v>
      </c>
      <c r="I205" s="50">
        <v>1145000</v>
      </c>
      <c r="J205" s="50">
        <v>0</v>
      </c>
      <c r="K205" s="50">
        <v>0</v>
      </c>
      <c r="L205" s="152">
        <f t="shared" si="13"/>
        <v>0</v>
      </c>
      <c r="M205" s="50">
        <v>0</v>
      </c>
      <c r="N205" s="50">
        <v>3696900</v>
      </c>
      <c r="O205" s="418">
        <f t="shared" si="14"/>
        <v>0.73938000000000004</v>
      </c>
    </row>
    <row r="206" spans="1:15" s="143" customFormat="1" hidden="1" x14ac:dyDescent="0.25">
      <c r="A206" s="399" t="s">
        <v>707</v>
      </c>
      <c r="B206" s="44" t="s">
        <v>162</v>
      </c>
      <c r="C206" s="44" t="s">
        <v>163</v>
      </c>
      <c r="D206" s="44" t="s">
        <v>69</v>
      </c>
      <c r="E206" s="50">
        <v>932264008</v>
      </c>
      <c r="F206" s="50">
        <v>930264008</v>
      </c>
      <c r="G206" s="50">
        <v>870602675</v>
      </c>
      <c r="H206" s="50">
        <v>0</v>
      </c>
      <c r="I206" s="50">
        <v>319705043.27999997</v>
      </c>
      <c r="J206" s="50">
        <v>12924093.73</v>
      </c>
      <c r="K206" s="50">
        <v>167972521.11000001</v>
      </c>
      <c r="L206" s="152">
        <f t="shared" si="13"/>
        <v>0.18056435556517844</v>
      </c>
      <c r="M206" s="50">
        <v>147866543.97999999</v>
      </c>
      <c r="N206" s="50">
        <v>429662349.88</v>
      </c>
      <c r="O206" s="418">
        <f t="shared" si="14"/>
        <v>0.4618714108952176</v>
      </c>
    </row>
    <row r="207" spans="1:15" s="143" customFormat="1" hidden="1" x14ac:dyDescent="0.25">
      <c r="A207" s="399" t="s">
        <v>707</v>
      </c>
      <c r="B207" s="44" t="s">
        <v>310</v>
      </c>
      <c r="C207" s="44" t="s">
        <v>311</v>
      </c>
      <c r="D207" s="44" t="s">
        <v>69</v>
      </c>
      <c r="E207" s="50">
        <v>120656000</v>
      </c>
      <c r="F207" s="50">
        <v>118656000</v>
      </c>
      <c r="G207" s="50">
        <v>58994667</v>
      </c>
      <c r="H207" s="50">
        <v>0</v>
      </c>
      <c r="I207" s="50">
        <v>25662775.879999999</v>
      </c>
      <c r="J207" s="50">
        <v>0</v>
      </c>
      <c r="K207" s="50">
        <v>473545.71</v>
      </c>
      <c r="L207" s="152">
        <f t="shared" si="13"/>
        <v>3.9909124696601945E-3</v>
      </c>
      <c r="M207" s="50">
        <v>473545.71</v>
      </c>
      <c r="N207" s="50">
        <v>92519678.409999996</v>
      </c>
      <c r="O207" s="418">
        <f t="shared" si="14"/>
        <v>0.77973029943702798</v>
      </c>
    </row>
    <row r="208" spans="1:15" s="143" customFormat="1" hidden="1" x14ac:dyDescent="0.25">
      <c r="A208" s="399" t="s">
        <v>707</v>
      </c>
      <c r="B208" s="44" t="s">
        <v>164</v>
      </c>
      <c r="C208" s="44" t="s">
        <v>165</v>
      </c>
      <c r="D208" s="44" t="s">
        <v>69</v>
      </c>
      <c r="E208" s="50">
        <v>504520000</v>
      </c>
      <c r="F208" s="50">
        <v>504520000</v>
      </c>
      <c r="G208" s="50">
        <v>504520000</v>
      </c>
      <c r="H208" s="50">
        <v>0</v>
      </c>
      <c r="I208" s="50">
        <v>202112458.30000001</v>
      </c>
      <c r="J208" s="50">
        <v>9334713.1999999993</v>
      </c>
      <c r="K208" s="50">
        <v>111312039.34999999</v>
      </c>
      <c r="L208" s="152">
        <f t="shared" si="13"/>
        <v>0.22062958723142789</v>
      </c>
      <c r="M208" s="50">
        <v>93212090.200000003</v>
      </c>
      <c r="N208" s="50">
        <v>181760789.15000001</v>
      </c>
      <c r="O208" s="418">
        <f t="shared" si="14"/>
        <v>0.36026478464679301</v>
      </c>
    </row>
    <row r="209" spans="1:15" s="143" customFormat="1" hidden="1" x14ac:dyDescent="0.25">
      <c r="A209" s="399" t="s">
        <v>707</v>
      </c>
      <c r="B209" s="44" t="s">
        <v>164</v>
      </c>
      <c r="C209" s="44" t="s">
        <v>165</v>
      </c>
      <c r="D209" s="44" t="s">
        <v>85</v>
      </c>
      <c r="E209" s="50">
        <v>0</v>
      </c>
      <c r="F209" s="50">
        <v>0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152" t="e">
        <f t="shared" si="13"/>
        <v>#DIV/0!</v>
      </c>
      <c r="M209" s="50">
        <v>0</v>
      </c>
      <c r="N209" s="50">
        <v>0</v>
      </c>
      <c r="O209" s="418" t="e">
        <f t="shared" si="14"/>
        <v>#DIV/0!</v>
      </c>
    </row>
    <row r="210" spans="1:15" s="143" customFormat="1" hidden="1" x14ac:dyDescent="0.25">
      <c r="A210" s="399" t="s">
        <v>707</v>
      </c>
      <c r="B210" s="44" t="s">
        <v>166</v>
      </c>
      <c r="C210" s="44" t="s">
        <v>167</v>
      </c>
      <c r="D210" s="44" t="s">
        <v>69</v>
      </c>
      <c r="E210" s="50">
        <v>95028648</v>
      </c>
      <c r="F210" s="50">
        <v>95028648</v>
      </c>
      <c r="G210" s="50">
        <v>95028648</v>
      </c>
      <c r="H210" s="50">
        <v>0</v>
      </c>
      <c r="I210" s="50">
        <v>47078453.25</v>
      </c>
      <c r="J210" s="50">
        <v>0</v>
      </c>
      <c r="K210" s="50">
        <v>40632360.899999999</v>
      </c>
      <c r="L210" s="152">
        <f t="shared" si="13"/>
        <v>0.42758012194385842</v>
      </c>
      <c r="M210" s="50">
        <v>40632360.899999999</v>
      </c>
      <c r="N210" s="50">
        <v>7317833.8499999996</v>
      </c>
      <c r="O210" s="418">
        <f t="shared" si="14"/>
        <v>7.7006608049395797E-2</v>
      </c>
    </row>
    <row r="211" spans="1:15" s="143" customFormat="1" hidden="1" x14ac:dyDescent="0.25">
      <c r="A211" s="399" t="s">
        <v>707</v>
      </c>
      <c r="B211" s="44" t="s">
        <v>312</v>
      </c>
      <c r="C211" s="44" t="s">
        <v>313</v>
      </c>
      <c r="D211" s="44" t="s">
        <v>69</v>
      </c>
      <c r="E211" s="50">
        <v>3000000</v>
      </c>
      <c r="F211" s="50">
        <v>3000000</v>
      </c>
      <c r="G211" s="50">
        <v>3000000</v>
      </c>
      <c r="H211" s="50">
        <v>0</v>
      </c>
      <c r="I211" s="50">
        <v>0</v>
      </c>
      <c r="J211" s="50">
        <v>0</v>
      </c>
      <c r="K211" s="50">
        <v>0</v>
      </c>
      <c r="L211" s="152">
        <f t="shared" si="13"/>
        <v>0</v>
      </c>
      <c r="M211" s="50">
        <v>0</v>
      </c>
      <c r="N211" s="50">
        <v>3000000</v>
      </c>
      <c r="O211" s="418">
        <f t="shared" si="14"/>
        <v>1</v>
      </c>
    </row>
    <row r="212" spans="1:15" s="143" customFormat="1" hidden="1" x14ac:dyDescent="0.25">
      <c r="A212" s="399" t="s">
        <v>707</v>
      </c>
      <c r="B212" s="44" t="s">
        <v>168</v>
      </c>
      <c r="C212" s="44" t="s">
        <v>169</v>
      </c>
      <c r="D212" s="44" t="s">
        <v>69</v>
      </c>
      <c r="E212" s="50">
        <v>16864852</v>
      </c>
      <c r="F212" s="50">
        <v>16864852</v>
      </c>
      <c r="G212" s="50">
        <v>16864852</v>
      </c>
      <c r="H212" s="50">
        <v>0</v>
      </c>
      <c r="I212" s="50">
        <v>3131465</v>
      </c>
      <c r="J212" s="50">
        <v>0</v>
      </c>
      <c r="K212" s="50">
        <v>866710</v>
      </c>
      <c r="L212" s="152">
        <f t="shared" si="13"/>
        <v>5.139149753582184E-2</v>
      </c>
      <c r="M212" s="50">
        <v>866710</v>
      </c>
      <c r="N212" s="50">
        <v>12866677</v>
      </c>
      <c r="O212" s="418">
        <f t="shared" si="14"/>
        <v>0.76292854511856967</v>
      </c>
    </row>
    <row r="213" spans="1:15" s="143" customFormat="1" hidden="1" x14ac:dyDescent="0.25">
      <c r="A213" s="399" t="s">
        <v>707</v>
      </c>
      <c r="B213" s="44" t="s">
        <v>170</v>
      </c>
      <c r="C213" s="44" t="s">
        <v>171</v>
      </c>
      <c r="D213" s="44" t="s">
        <v>69</v>
      </c>
      <c r="E213" s="50">
        <v>40562000</v>
      </c>
      <c r="F213" s="50">
        <v>40562000</v>
      </c>
      <c r="G213" s="50">
        <v>40562000</v>
      </c>
      <c r="H213" s="50">
        <v>0</v>
      </c>
      <c r="I213" s="50">
        <v>1215134.47</v>
      </c>
      <c r="J213" s="50">
        <v>0</v>
      </c>
      <c r="K213" s="50">
        <v>0</v>
      </c>
      <c r="L213" s="152">
        <f t="shared" si="13"/>
        <v>0</v>
      </c>
      <c r="M213" s="50">
        <v>0</v>
      </c>
      <c r="N213" s="50">
        <v>39346865.530000001</v>
      </c>
      <c r="O213" s="418">
        <f t="shared" si="14"/>
        <v>0.97004254055519945</v>
      </c>
    </row>
    <row r="214" spans="1:15" s="143" customFormat="1" hidden="1" x14ac:dyDescent="0.25">
      <c r="A214" s="399" t="s">
        <v>707</v>
      </c>
      <c r="B214" s="44" t="s">
        <v>172</v>
      </c>
      <c r="C214" s="44" t="s">
        <v>173</v>
      </c>
      <c r="D214" s="44" t="s">
        <v>69</v>
      </c>
      <c r="E214" s="50">
        <v>151632508</v>
      </c>
      <c r="F214" s="50">
        <v>151632508</v>
      </c>
      <c r="G214" s="50">
        <v>151632508</v>
      </c>
      <c r="H214" s="50">
        <v>0</v>
      </c>
      <c r="I214" s="50">
        <v>40504756.380000003</v>
      </c>
      <c r="J214" s="50">
        <v>3589380.53</v>
      </c>
      <c r="K214" s="50">
        <v>14687865.15</v>
      </c>
      <c r="L214" s="152">
        <f t="shared" si="13"/>
        <v>9.6864883023632373E-2</v>
      </c>
      <c r="M214" s="50">
        <v>12681837.17</v>
      </c>
      <c r="N214" s="50">
        <v>92850505.939999998</v>
      </c>
      <c r="O214" s="418">
        <f t="shared" si="14"/>
        <v>0.61233905027805779</v>
      </c>
    </row>
    <row r="215" spans="1:15" s="143" customFormat="1" hidden="1" x14ac:dyDescent="0.25">
      <c r="A215" s="399" t="s">
        <v>707</v>
      </c>
      <c r="B215" s="44" t="s">
        <v>174</v>
      </c>
      <c r="C215" s="44" t="s">
        <v>175</v>
      </c>
      <c r="D215" s="44" t="s">
        <v>69</v>
      </c>
      <c r="E215" s="50">
        <v>18000000</v>
      </c>
      <c r="F215" s="50">
        <v>18000000</v>
      </c>
      <c r="G215" s="50">
        <v>9000000</v>
      </c>
      <c r="H215" s="50">
        <v>0</v>
      </c>
      <c r="I215" s="50">
        <v>1413520</v>
      </c>
      <c r="J215" s="50">
        <v>0</v>
      </c>
      <c r="K215" s="50">
        <v>136480</v>
      </c>
      <c r="L215" s="152">
        <f t="shared" si="13"/>
        <v>7.582222222222222E-3</v>
      </c>
      <c r="M215" s="50">
        <v>136480</v>
      </c>
      <c r="N215" s="50">
        <v>16450000</v>
      </c>
      <c r="O215" s="418">
        <f t="shared" si="14"/>
        <v>0.91388888888888886</v>
      </c>
    </row>
    <row r="216" spans="1:15" s="143" customFormat="1" hidden="1" x14ac:dyDescent="0.25">
      <c r="A216" s="399" t="s">
        <v>707</v>
      </c>
      <c r="B216" s="44" t="s">
        <v>176</v>
      </c>
      <c r="C216" s="44" t="s">
        <v>177</v>
      </c>
      <c r="D216" s="44" t="s">
        <v>69</v>
      </c>
      <c r="E216" s="50">
        <v>18000000</v>
      </c>
      <c r="F216" s="50">
        <v>18000000</v>
      </c>
      <c r="G216" s="50">
        <v>9000000</v>
      </c>
      <c r="H216" s="50">
        <v>0</v>
      </c>
      <c r="I216" s="50">
        <v>1413520</v>
      </c>
      <c r="J216" s="50">
        <v>0</v>
      </c>
      <c r="K216" s="50">
        <v>136480</v>
      </c>
      <c r="L216" s="152">
        <f t="shared" si="13"/>
        <v>7.582222222222222E-3</v>
      </c>
      <c r="M216" s="50">
        <v>136480</v>
      </c>
      <c r="N216" s="50">
        <v>16450000</v>
      </c>
      <c r="O216" s="418">
        <f t="shared" si="14"/>
        <v>0.91388888888888886</v>
      </c>
    </row>
    <row r="217" spans="1:15" s="143" customFormat="1" hidden="1" x14ac:dyDescent="0.25">
      <c r="A217" s="399" t="s">
        <v>707</v>
      </c>
      <c r="B217" s="44" t="s">
        <v>178</v>
      </c>
      <c r="C217" s="44" t="s">
        <v>179</v>
      </c>
      <c r="D217" s="44" t="s">
        <v>69</v>
      </c>
      <c r="E217" s="50">
        <v>36890625</v>
      </c>
      <c r="F217" s="50">
        <v>38890625</v>
      </c>
      <c r="G217" s="50">
        <v>20648469</v>
      </c>
      <c r="H217" s="50">
        <v>0</v>
      </c>
      <c r="I217" s="50">
        <v>6612106.0999999996</v>
      </c>
      <c r="J217" s="50">
        <v>0</v>
      </c>
      <c r="K217" s="50">
        <v>919990.69</v>
      </c>
      <c r="L217" s="152">
        <f t="shared" si="13"/>
        <v>2.3655847392527119E-2</v>
      </c>
      <c r="M217" s="50">
        <v>919990.69</v>
      </c>
      <c r="N217" s="50">
        <v>31358528.210000001</v>
      </c>
      <c r="O217" s="418">
        <f t="shared" si="14"/>
        <v>0.80632615726797918</v>
      </c>
    </row>
    <row r="218" spans="1:15" s="143" customFormat="1" hidden="1" x14ac:dyDescent="0.25">
      <c r="A218" s="399" t="s">
        <v>707</v>
      </c>
      <c r="B218" s="44" t="s">
        <v>348</v>
      </c>
      <c r="C218" s="44" t="s">
        <v>349</v>
      </c>
      <c r="D218" s="44" t="s">
        <v>69</v>
      </c>
      <c r="E218" s="50">
        <v>3000000</v>
      </c>
      <c r="F218" s="50">
        <v>5000000</v>
      </c>
      <c r="G218" s="50">
        <v>3703157</v>
      </c>
      <c r="H218" s="50">
        <v>0</v>
      </c>
      <c r="I218" s="50">
        <v>2000000</v>
      </c>
      <c r="J218" s="50">
        <v>0</v>
      </c>
      <c r="K218" s="50">
        <v>919990.69</v>
      </c>
      <c r="L218" s="152">
        <f t="shared" si="13"/>
        <v>0.18399813799999998</v>
      </c>
      <c r="M218" s="50">
        <v>919990.69</v>
      </c>
      <c r="N218" s="50">
        <v>2080009.31</v>
      </c>
      <c r="O218" s="418">
        <f t="shared" si="14"/>
        <v>0.416001862</v>
      </c>
    </row>
    <row r="219" spans="1:15" s="143" customFormat="1" hidden="1" x14ac:dyDescent="0.25">
      <c r="A219" s="399" t="s">
        <v>707</v>
      </c>
      <c r="B219" s="44" t="s">
        <v>180</v>
      </c>
      <c r="C219" s="44" t="s">
        <v>181</v>
      </c>
      <c r="D219" s="44" t="s">
        <v>69</v>
      </c>
      <c r="E219" s="50">
        <v>19500000</v>
      </c>
      <c r="F219" s="50">
        <v>19500000</v>
      </c>
      <c r="G219" s="50">
        <v>9750000</v>
      </c>
      <c r="H219" s="50">
        <v>0</v>
      </c>
      <c r="I219" s="50">
        <v>1426615.85</v>
      </c>
      <c r="J219" s="50">
        <v>0</v>
      </c>
      <c r="K219" s="50">
        <v>0</v>
      </c>
      <c r="L219" s="152">
        <f t="shared" si="13"/>
        <v>0</v>
      </c>
      <c r="M219" s="50">
        <v>0</v>
      </c>
      <c r="N219" s="50">
        <v>18073384.149999999</v>
      </c>
      <c r="O219" s="418">
        <f t="shared" si="14"/>
        <v>0.92684021282051277</v>
      </c>
    </row>
    <row r="220" spans="1:15" s="143" customFormat="1" hidden="1" x14ac:dyDescent="0.25">
      <c r="A220" s="399" t="s">
        <v>707</v>
      </c>
      <c r="B220" s="44" t="s">
        <v>182</v>
      </c>
      <c r="C220" s="44" t="s">
        <v>183</v>
      </c>
      <c r="D220" s="44" t="s">
        <v>69</v>
      </c>
      <c r="E220" s="50">
        <v>14390625</v>
      </c>
      <c r="F220" s="50">
        <v>14390625</v>
      </c>
      <c r="G220" s="50">
        <v>7195312</v>
      </c>
      <c r="H220" s="50">
        <v>0</v>
      </c>
      <c r="I220" s="50">
        <v>3185490.25</v>
      </c>
      <c r="J220" s="50">
        <v>0</v>
      </c>
      <c r="K220" s="50">
        <v>0</v>
      </c>
      <c r="L220" s="152">
        <f t="shared" si="13"/>
        <v>0</v>
      </c>
      <c r="M220" s="50">
        <v>0</v>
      </c>
      <c r="N220" s="50">
        <v>11205134.75</v>
      </c>
      <c r="O220" s="418">
        <f t="shared" si="14"/>
        <v>0.77864128555917478</v>
      </c>
    </row>
    <row r="221" spans="1:15" s="143" customFormat="1" x14ac:dyDescent="0.25">
      <c r="A221" s="399" t="s">
        <v>707</v>
      </c>
      <c r="B221" s="44" t="s">
        <v>184</v>
      </c>
      <c r="C221" s="44" t="s">
        <v>185</v>
      </c>
      <c r="D221" s="44" t="s">
        <v>69</v>
      </c>
      <c r="E221" s="50">
        <v>5938711949</v>
      </c>
      <c r="F221" s="50">
        <v>5933217949</v>
      </c>
      <c r="G221" s="50">
        <v>5552373381</v>
      </c>
      <c r="H221" s="50">
        <v>63279844.659999996</v>
      </c>
      <c r="I221" s="50">
        <v>882697841.72000003</v>
      </c>
      <c r="J221" s="50">
        <v>89398469.590000004</v>
      </c>
      <c r="K221" s="50">
        <v>1256439492.51</v>
      </c>
      <c r="L221" s="152">
        <f t="shared" si="13"/>
        <v>0.21176358315334828</v>
      </c>
      <c r="M221" s="50">
        <v>1178561748.54</v>
      </c>
      <c r="N221" s="50">
        <v>3641402300.52</v>
      </c>
      <c r="O221" s="418">
        <f t="shared" si="14"/>
        <v>0.61373142396256175</v>
      </c>
    </row>
    <row r="222" spans="1:15" s="143" customFormat="1" hidden="1" x14ac:dyDescent="0.25">
      <c r="A222" s="399" t="s">
        <v>707</v>
      </c>
      <c r="B222" s="44" t="s">
        <v>186</v>
      </c>
      <c r="C222" s="44" t="s">
        <v>187</v>
      </c>
      <c r="D222" s="44" t="s">
        <v>69</v>
      </c>
      <c r="E222" s="50">
        <v>1018969461</v>
      </c>
      <c r="F222" s="50">
        <v>1016469461</v>
      </c>
      <c r="G222" s="50">
        <v>648580394</v>
      </c>
      <c r="H222" s="50">
        <v>2895540.94</v>
      </c>
      <c r="I222" s="50">
        <v>302583361.13</v>
      </c>
      <c r="J222" s="50">
        <v>0</v>
      </c>
      <c r="K222" s="50">
        <v>206241607.74000001</v>
      </c>
      <c r="L222" s="152">
        <f t="shared" si="13"/>
        <v>0.20289995484674969</v>
      </c>
      <c r="M222" s="50">
        <v>206042707.74000001</v>
      </c>
      <c r="N222" s="50">
        <v>504748951.19</v>
      </c>
      <c r="O222" s="418">
        <f t="shared" si="14"/>
        <v>0.49657069942212462</v>
      </c>
    </row>
    <row r="223" spans="1:15" s="143" customFormat="1" hidden="1" x14ac:dyDescent="0.25">
      <c r="A223" s="399" t="s">
        <v>707</v>
      </c>
      <c r="B223" s="44" t="s">
        <v>188</v>
      </c>
      <c r="C223" s="44" t="s">
        <v>189</v>
      </c>
      <c r="D223" s="44" t="s">
        <v>69</v>
      </c>
      <c r="E223" s="50">
        <v>735778133</v>
      </c>
      <c r="F223" s="50">
        <v>735778133</v>
      </c>
      <c r="G223" s="50">
        <v>367889066</v>
      </c>
      <c r="H223" s="50">
        <v>0</v>
      </c>
      <c r="I223" s="50">
        <v>102143948.5</v>
      </c>
      <c r="J223" s="50">
        <v>0</v>
      </c>
      <c r="K223" s="50">
        <v>170157447.74000001</v>
      </c>
      <c r="L223" s="152">
        <f t="shared" si="13"/>
        <v>0.23126189826573715</v>
      </c>
      <c r="M223" s="50">
        <v>169958547.74000001</v>
      </c>
      <c r="N223" s="50">
        <v>463476736.75999999</v>
      </c>
      <c r="O223" s="418">
        <f t="shared" si="14"/>
        <v>0.62991371443761024</v>
      </c>
    </row>
    <row r="224" spans="1:15" s="143" customFormat="1" hidden="1" x14ac:dyDescent="0.25">
      <c r="A224" s="399" t="s">
        <v>707</v>
      </c>
      <c r="B224" s="44" t="s">
        <v>190</v>
      </c>
      <c r="C224" s="44" t="s">
        <v>191</v>
      </c>
      <c r="D224" s="44" t="s">
        <v>69</v>
      </c>
      <c r="E224" s="50">
        <v>224830540</v>
      </c>
      <c r="F224" s="50">
        <v>222330540</v>
      </c>
      <c r="G224" s="50">
        <v>222330540</v>
      </c>
      <c r="H224" s="50">
        <v>0</v>
      </c>
      <c r="I224" s="50">
        <v>176194096</v>
      </c>
      <c r="J224" s="50">
        <v>0</v>
      </c>
      <c r="K224" s="50">
        <v>34858000</v>
      </c>
      <c r="L224" s="152">
        <f t="shared" si="13"/>
        <v>0.1567845784929052</v>
      </c>
      <c r="M224" s="50">
        <v>34858000</v>
      </c>
      <c r="N224" s="50">
        <v>11278444</v>
      </c>
      <c r="O224" s="418">
        <f t="shared" si="14"/>
        <v>5.0728271518613685E-2</v>
      </c>
    </row>
    <row r="225" spans="1:15" s="143" customFormat="1" hidden="1" x14ac:dyDescent="0.25">
      <c r="A225" s="399" t="s">
        <v>707</v>
      </c>
      <c r="B225" s="44" t="s">
        <v>350</v>
      </c>
      <c r="C225" s="44" t="s">
        <v>351</v>
      </c>
      <c r="D225" s="44" t="s">
        <v>69</v>
      </c>
      <c r="E225" s="50">
        <v>12909188</v>
      </c>
      <c r="F225" s="50">
        <v>12909188</v>
      </c>
      <c r="G225" s="50">
        <v>12909188</v>
      </c>
      <c r="H225" s="50">
        <v>0</v>
      </c>
      <c r="I225" s="50">
        <v>2137089.92</v>
      </c>
      <c r="J225" s="50">
        <v>0</v>
      </c>
      <c r="K225" s="50">
        <v>0</v>
      </c>
      <c r="L225" s="152">
        <f t="shared" si="13"/>
        <v>0</v>
      </c>
      <c r="M225" s="50">
        <v>0</v>
      </c>
      <c r="N225" s="50">
        <v>10772098.08</v>
      </c>
      <c r="O225" s="418">
        <f t="shared" si="14"/>
        <v>0.83445202595236823</v>
      </c>
    </row>
    <row r="226" spans="1:15" s="143" customFormat="1" hidden="1" x14ac:dyDescent="0.25">
      <c r="A226" s="399" t="s">
        <v>707</v>
      </c>
      <c r="B226" s="44" t="s">
        <v>192</v>
      </c>
      <c r="C226" s="44" t="s">
        <v>193</v>
      </c>
      <c r="D226" s="44" t="s">
        <v>69</v>
      </c>
      <c r="E226" s="50">
        <v>40465200</v>
      </c>
      <c r="F226" s="50">
        <v>40465200</v>
      </c>
      <c r="G226" s="50">
        <v>40465200</v>
      </c>
      <c r="H226" s="50">
        <v>2895540.94</v>
      </c>
      <c r="I226" s="50">
        <v>22108226.710000001</v>
      </c>
      <c r="J226" s="50">
        <v>0</v>
      </c>
      <c r="K226" s="50">
        <v>0</v>
      </c>
      <c r="L226" s="152">
        <f t="shared" si="13"/>
        <v>0</v>
      </c>
      <c r="M226" s="50">
        <v>0</v>
      </c>
      <c r="N226" s="50">
        <v>15461432.35</v>
      </c>
      <c r="O226" s="418">
        <f t="shared" si="14"/>
        <v>0.38209207788420668</v>
      </c>
    </row>
    <row r="227" spans="1:15" s="143" customFormat="1" hidden="1" x14ac:dyDescent="0.25">
      <c r="A227" s="399" t="s">
        <v>707</v>
      </c>
      <c r="B227" s="44" t="s">
        <v>194</v>
      </c>
      <c r="C227" s="44" t="s">
        <v>195</v>
      </c>
      <c r="D227" s="44" t="s">
        <v>69</v>
      </c>
      <c r="E227" s="50">
        <v>4986400</v>
      </c>
      <c r="F227" s="50">
        <v>4986400</v>
      </c>
      <c r="G227" s="50">
        <v>4986400</v>
      </c>
      <c r="H227" s="50">
        <v>0</v>
      </c>
      <c r="I227" s="50">
        <v>0</v>
      </c>
      <c r="J227" s="50">
        <v>0</v>
      </c>
      <c r="K227" s="50">
        <v>1226160</v>
      </c>
      <c r="L227" s="152">
        <f t="shared" si="13"/>
        <v>0.24590085031285094</v>
      </c>
      <c r="M227" s="50">
        <v>1226160</v>
      </c>
      <c r="N227" s="50">
        <v>3760240</v>
      </c>
      <c r="O227" s="418">
        <f t="shared" si="14"/>
        <v>0.75409914968714908</v>
      </c>
    </row>
    <row r="228" spans="1:15" s="143" customFormat="1" hidden="1" x14ac:dyDescent="0.25">
      <c r="A228" s="399" t="s">
        <v>707</v>
      </c>
      <c r="B228" s="44" t="s">
        <v>196</v>
      </c>
      <c r="C228" s="44" t="s">
        <v>197</v>
      </c>
      <c r="D228" s="44" t="s">
        <v>69</v>
      </c>
      <c r="E228" s="50">
        <v>1012911000</v>
      </c>
      <c r="F228" s="50">
        <v>1012911000</v>
      </c>
      <c r="G228" s="50">
        <v>999955500</v>
      </c>
      <c r="H228" s="50">
        <v>0</v>
      </c>
      <c r="I228" s="50">
        <v>21591829.789999999</v>
      </c>
      <c r="J228" s="50">
        <v>40204329.079999998</v>
      </c>
      <c r="K228" s="50">
        <v>650775797.58000004</v>
      </c>
      <c r="L228" s="152">
        <f t="shared" si="13"/>
        <v>0.64248072888931018</v>
      </c>
      <c r="M228" s="50">
        <v>645361434.77999997</v>
      </c>
      <c r="N228" s="50">
        <v>300339043.55000001</v>
      </c>
      <c r="O228" s="418">
        <f t="shared" si="14"/>
        <v>0.29651079270538083</v>
      </c>
    </row>
    <row r="229" spans="1:15" s="143" customFormat="1" hidden="1" x14ac:dyDescent="0.25">
      <c r="A229" s="399" t="s">
        <v>707</v>
      </c>
      <c r="B229" s="44" t="s">
        <v>198</v>
      </c>
      <c r="C229" s="44" t="s">
        <v>199</v>
      </c>
      <c r="D229" s="44" t="s">
        <v>69</v>
      </c>
      <c r="E229" s="50">
        <v>987000000</v>
      </c>
      <c r="F229" s="50">
        <v>987000000</v>
      </c>
      <c r="G229" s="50">
        <v>987000000</v>
      </c>
      <c r="H229" s="50">
        <v>0</v>
      </c>
      <c r="I229" s="50">
        <v>15915679.789999999</v>
      </c>
      <c r="J229" s="50">
        <v>40204329.079999998</v>
      </c>
      <c r="K229" s="50">
        <v>650775797.58000004</v>
      </c>
      <c r="L229" s="152">
        <f t="shared" si="13"/>
        <v>0.65934731264437696</v>
      </c>
      <c r="M229" s="50">
        <v>645361434.77999997</v>
      </c>
      <c r="N229" s="50">
        <v>280104193.55000001</v>
      </c>
      <c r="O229" s="418">
        <f t="shared" si="14"/>
        <v>0.2837935091691996</v>
      </c>
    </row>
    <row r="230" spans="1:15" s="143" customFormat="1" hidden="1" x14ac:dyDescent="0.25">
      <c r="A230" s="399" t="s">
        <v>707</v>
      </c>
      <c r="B230" s="44" t="s">
        <v>352</v>
      </c>
      <c r="C230" s="44" t="s">
        <v>353</v>
      </c>
      <c r="D230" s="44" t="s">
        <v>69</v>
      </c>
      <c r="E230" s="50">
        <v>25911000</v>
      </c>
      <c r="F230" s="50">
        <v>25911000</v>
      </c>
      <c r="G230" s="50">
        <v>12955500</v>
      </c>
      <c r="H230" s="50">
        <v>0</v>
      </c>
      <c r="I230" s="50">
        <v>5676150</v>
      </c>
      <c r="J230" s="50">
        <v>0</v>
      </c>
      <c r="K230" s="50">
        <v>0</v>
      </c>
      <c r="L230" s="152">
        <f t="shared" si="13"/>
        <v>0</v>
      </c>
      <c r="M230" s="50">
        <v>0</v>
      </c>
      <c r="N230" s="50">
        <v>20234850</v>
      </c>
      <c r="O230" s="418">
        <f t="shared" si="14"/>
        <v>0.78093666782447613</v>
      </c>
    </row>
    <row r="231" spans="1:15" s="143" customFormat="1" hidden="1" x14ac:dyDescent="0.25">
      <c r="A231" s="399" t="s">
        <v>707</v>
      </c>
      <c r="B231" s="44" t="s">
        <v>200</v>
      </c>
      <c r="C231" s="44" t="s">
        <v>201</v>
      </c>
      <c r="D231" s="44" t="s">
        <v>69</v>
      </c>
      <c r="E231" s="50">
        <v>492133633</v>
      </c>
      <c r="F231" s="50">
        <v>521010644</v>
      </c>
      <c r="G231" s="50">
        <v>521010643</v>
      </c>
      <c r="H231" s="50">
        <v>25034894.870000001</v>
      </c>
      <c r="I231" s="50">
        <v>162711853.61000001</v>
      </c>
      <c r="J231" s="50">
        <v>14501144</v>
      </c>
      <c r="K231" s="50">
        <v>77901289.140000001</v>
      </c>
      <c r="L231" s="152">
        <f t="shared" si="13"/>
        <v>0.14951957323159792</v>
      </c>
      <c r="M231" s="50">
        <v>72694249.140000001</v>
      </c>
      <c r="N231" s="50">
        <v>240861462.38</v>
      </c>
      <c r="O231" s="418">
        <f t="shared" si="14"/>
        <v>0.46229662513382358</v>
      </c>
    </row>
    <row r="232" spans="1:15" s="143" customFormat="1" hidden="1" x14ac:dyDescent="0.25">
      <c r="A232" s="399" t="s">
        <v>707</v>
      </c>
      <c r="B232" s="44" t="s">
        <v>314</v>
      </c>
      <c r="C232" s="44" t="s">
        <v>315</v>
      </c>
      <c r="D232" s="44" t="s">
        <v>69</v>
      </c>
      <c r="E232" s="50">
        <v>116502163</v>
      </c>
      <c r="F232" s="50">
        <v>138638873</v>
      </c>
      <c r="G232" s="50">
        <v>138638873</v>
      </c>
      <c r="H232" s="50">
        <v>15813336.470000001</v>
      </c>
      <c r="I232" s="50">
        <v>254836.15</v>
      </c>
      <c r="J232" s="50">
        <v>0</v>
      </c>
      <c r="K232" s="50">
        <v>3034362.5</v>
      </c>
      <c r="L232" s="152">
        <f t="shared" si="13"/>
        <v>2.1886808759618234E-2</v>
      </c>
      <c r="M232" s="50">
        <v>3034362.5</v>
      </c>
      <c r="N232" s="50">
        <v>119536337.88</v>
      </c>
      <c r="O232" s="418">
        <f t="shared" si="14"/>
        <v>0.86221371606216102</v>
      </c>
    </row>
    <row r="233" spans="1:15" s="143" customFormat="1" hidden="1" x14ac:dyDescent="0.25">
      <c r="A233" s="399" t="s">
        <v>707</v>
      </c>
      <c r="B233" s="44" t="s">
        <v>316</v>
      </c>
      <c r="C233" s="44" t="s">
        <v>317</v>
      </c>
      <c r="D233" s="44" t="s">
        <v>69</v>
      </c>
      <c r="E233" s="50">
        <v>100168000</v>
      </c>
      <c r="F233" s="50">
        <v>100168000</v>
      </c>
      <c r="G233" s="50">
        <v>100168000</v>
      </c>
      <c r="H233" s="50">
        <v>0</v>
      </c>
      <c r="I233" s="50">
        <v>38410579.399999999</v>
      </c>
      <c r="J233" s="50">
        <v>9720344</v>
      </c>
      <c r="K233" s="50">
        <v>25309570</v>
      </c>
      <c r="L233" s="152">
        <f t="shared" si="13"/>
        <v>0.25267121236322976</v>
      </c>
      <c r="M233" s="50">
        <v>20102530</v>
      </c>
      <c r="N233" s="50">
        <v>26727506.600000001</v>
      </c>
      <c r="O233" s="418">
        <f t="shared" si="14"/>
        <v>0.26682679698107181</v>
      </c>
    </row>
    <row r="234" spans="1:15" s="143" customFormat="1" hidden="1" x14ac:dyDescent="0.25">
      <c r="A234" s="399" t="s">
        <v>707</v>
      </c>
      <c r="B234" s="44" t="s">
        <v>318</v>
      </c>
      <c r="C234" s="44" t="s">
        <v>319</v>
      </c>
      <c r="D234" s="44" t="s">
        <v>69</v>
      </c>
      <c r="E234" s="50">
        <v>88546837</v>
      </c>
      <c r="F234" s="50">
        <v>106752598</v>
      </c>
      <c r="G234" s="50">
        <v>106752598</v>
      </c>
      <c r="H234" s="50">
        <v>0</v>
      </c>
      <c r="I234" s="50">
        <v>48177230</v>
      </c>
      <c r="J234" s="50">
        <v>4780800</v>
      </c>
      <c r="K234" s="50">
        <v>36440070</v>
      </c>
      <c r="L234" s="152">
        <f t="shared" si="13"/>
        <v>0.34135066202323244</v>
      </c>
      <c r="M234" s="50">
        <v>36440070</v>
      </c>
      <c r="N234" s="50">
        <v>17354498</v>
      </c>
      <c r="O234" s="418">
        <f t="shared" si="14"/>
        <v>0.16256745339349962</v>
      </c>
    </row>
    <row r="235" spans="1:15" s="143" customFormat="1" hidden="1" x14ac:dyDescent="0.25">
      <c r="A235" s="399" t="s">
        <v>707</v>
      </c>
      <c r="B235" s="44" t="s">
        <v>202</v>
      </c>
      <c r="C235" s="44" t="s">
        <v>203</v>
      </c>
      <c r="D235" s="44" t="s">
        <v>69</v>
      </c>
      <c r="E235" s="50">
        <v>110456300</v>
      </c>
      <c r="F235" s="50">
        <v>110456300</v>
      </c>
      <c r="G235" s="50">
        <v>110456299</v>
      </c>
      <c r="H235" s="50">
        <v>0</v>
      </c>
      <c r="I235" s="50">
        <v>53536772.75</v>
      </c>
      <c r="J235" s="50">
        <v>0</v>
      </c>
      <c r="K235" s="50">
        <v>1196024.3</v>
      </c>
      <c r="L235" s="152">
        <f t="shared" si="13"/>
        <v>1.0828031538264454E-2</v>
      </c>
      <c r="M235" s="50">
        <v>1196024.3</v>
      </c>
      <c r="N235" s="50">
        <v>55723502.950000003</v>
      </c>
      <c r="O235" s="418">
        <f t="shared" si="14"/>
        <v>0.50448460567663411</v>
      </c>
    </row>
    <row r="236" spans="1:15" s="143" customFormat="1" hidden="1" x14ac:dyDescent="0.25">
      <c r="A236" s="399" t="s">
        <v>707</v>
      </c>
      <c r="B236" s="44" t="s">
        <v>320</v>
      </c>
      <c r="C236" s="44" t="s">
        <v>321</v>
      </c>
      <c r="D236" s="44" t="s">
        <v>69</v>
      </c>
      <c r="E236" s="50">
        <v>2261183</v>
      </c>
      <c r="F236" s="50">
        <v>2261183</v>
      </c>
      <c r="G236" s="50">
        <v>2261183</v>
      </c>
      <c r="H236" s="50">
        <v>0</v>
      </c>
      <c r="I236" s="50">
        <v>0</v>
      </c>
      <c r="J236" s="50">
        <v>0</v>
      </c>
      <c r="K236" s="50">
        <v>0</v>
      </c>
      <c r="L236" s="152">
        <f t="shared" si="13"/>
        <v>0</v>
      </c>
      <c r="M236" s="50">
        <v>0</v>
      </c>
      <c r="N236" s="50">
        <v>2261183</v>
      </c>
      <c r="O236" s="418">
        <f t="shared" si="14"/>
        <v>1</v>
      </c>
    </row>
    <row r="237" spans="1:15" s="143" customFormat="1" hidden="1" x14ac:dyDescent="0.25">
      <c r="A237" s="399" t="s">
        <v>707</v>
      </c>
      <c r="B237" s="44" t="s">
        <v>204</v>
      </c>
      <c r="C237" s="44" t="s">
        <v>205</v>
      </c>
      <c r="D237" s="44" t="s">
        <v>69</v>
      </c>
      <c r="E237" s="50">
        <v>51120350</v>
      </c>
      <c r="F237" s="50">
        <v>39654890</v>
      </c>
      <c r="G237" s="50">
        <v>39654890</v>
      </c>
      <c r="H237" s="50">
        <v>754000</v>
      </c>
      <c r="I237" s="50">
        <v>21436390.510000002</v>
      </c>
      <c r="J237" s="50">
        <v>0</v>
      </c>
      <c r="K237" s="50">
        <v>2311164.38</v>
      </c>
      <c r="L237" s="152">
        <f t="shared" si="13"/>
        <v>5.8281951607985799E-2</v>
      </c>
      <c r="M237" s="50">
        <v>2311164.38</v>
      </c>
      <c r="N237" s="50">
        <v>15153335.109999999</v>
      </c>
      <c r="O237" s="418">
        <f t="shared" si="14"/>
        <v>0.38213030246711061</v>
      </c>
    </row>
    <row r="238" spans="1:15" s="143" customFormat="1" hidden="1" x14ac:dyDescent="0.25">
      <c r="A238" s="399" t="s">
        <v>707</v>
      </c>
      <c r="B238" s="44" t="s">
        <v>322</v>
      </c>
      <c r="C238" s="44" t="s">
        <v>323</v>
      </c>
      <c r="D238" s="44" t="s">
        <v>69</v>
      </c>
      <c r="E238" s="50">
        <v>23078800</v>
      </c>
      <c r="F238" s="50">
        <v>23078800</v>
      </c>
      <c r="G238" s="50">
        <v>23078800</v>
      </c>
      <c r="H238" s="50">
        <v>8467558.4000000004</v>
      </c>
      <c r="I238" s="50">
        <v>896044.8</v>
      </c>
      <c r="J238" s="50">
        <v>0</v>
      </c>
      <c r="K238" s="50">
        <v>9610097.9600000009</v>
      </c>
      <c r="L238" s="152">
        <f t="shared" si="13"/>
        <v>0.41640371076485783</v>
      </c>
      <c r="M238" s="50">
        <v>9610097.9600000009</v>
      </c>
      <c r="N238" s="50">
        <v>4105098.84</v>
      </c>
      <c r="O238" s="418">
        <f t="shared" si="14"/>
        <v>0.1778731493838501</v>
      </c>
    </row>
    <row r="239" spans="1:15" s="143" customFormat="1" hidden="1" x14ac:dyDescent="0.25">
      <c r="A239" s="399" t="s">
        <v>707</v>
      </c>
      <c r="B239" s="44" t="s">
        <v>206</v>
      </c>
      <c r="C239" s="44" t="s">
        <v>207</v>
      </c>
      <c r="D239" s="44" t="s">
        <v>69</v>
      </c>
      <c r="E239" s="50">
        <v>144803139</v>
      </c>
      <c r="F239" s="50">
        <v>156268599</v>
      </c>
      <c r="G239" s="50">
        <v>156268599</v>
      </c>
      <c r="H239" s="50">
        <v>0</v>
      </c>
      <c r="I239" s="50">
        <v>74133173.189999998</v>
      </c>
      <c r="J239" s="50">
        <v>0</v>
      </c>
      <c r="K239" s="50">
        <v>8536623.1899999995</v>
      </c>
      <c r="L239" s="152">
        <f t="shared" si="13"/>
        <v>5.4627885862085446E-2</v>
      </c>
      <c r="M239" s="50">
        <v>8536623.1899999995</v>
      </c>
      <c r="N239" s="50">
        <v>73598802.620000005</v>
      </c>
      <c r="O239" s="418">
        <f t="shared" si="14"/>
        <v>0.4709762747665</v>
      </c>
    </row>
    <row r="240" spans="1:15" s="143" customFormat="1" hidden="1" x14ac:dyDescent="0.25">
      <c r="A240" s="399" t="s">
        <v>707</v>
      </c>
      <c r="B240" s="44" t="s">
        <v>208</v>
      </c>
      <c r="C240" s="44" t="s">
        <v>209</v>
      </c>
      <c r="D240" s="44" t="s">
        <v>69</v>
      </c>
      <c r="E240" s="50">
        <v>17162500</v>
      </c>
      <c r="F240" s="50">
        <v>28627960</v>
      </c>
      <c r="G240" s="50">
        <v>28627960</v>
      </c>
      <c r="H240" s="50">
        <v>0</v>
      </c>
      <c r="I240" s="50">
        <v>15629090.029999999</v>
      </c>
      <c r="J240" s="50">
        <v>0</v>
      </c>
      <c r="K240" s="50">
        <v>223480</v>
      </c>
      <c r="L240" s="152">
        <f t="shared" si="13"/>
        <v>7.8063543472884547E-3</v>
      </c>
      <c r="M240" s="50">
        <v>223480</v>
      </c>
      <c r="N240" s="50">
        <v>12775389.970000001</v>
      </c>
      <c r="O240" s="418">
        <f t="shared" si="14"/>
        <v>0.44625568744681776</v>
      </c>
    </row>
    <row r="241" spans="1:15" s="143" customFormat="1" hidden="1" x14ac:dyDescent="0.25">
      <c r="A241" s="399" t="s">
        <v>707</v>
      </c>
      <c r="B241" s="44" t="s">
        <v>210</v>
      </c>
      <c r="C241" s="44" t="s">
        <v>211</v>
      </c>
      <c r="D241" s="44" t="s">
        <v>69</v>
      </c>
      <c r="E241" s="50">
        <v>127640639</v>
      </c>
      <c r="F241" s="50">
        <v>127640639</v>
      </c>
      <c r="G241" s="50">
        <v>127640639</v>
      </c>
      <c r="H241" s="50">
        <v>0</v>
      </c>
      <c r="I241" s="50">
        <v>58504083.159999996</v>
      </c>
      <c r="J241" s="50">
        <v>0</v>
      </c>
      <c r="K241" s="50">
        <v>8313143.1900000004</v>
      </c>
      <c r="L241" s="152">
        <f t="shared" si="13"/>
        <v>6.512928214030643E-2</v>
      </c>
      <c r="M241" s="50">
        <v>8313143.1900000004</v>
      </c>
      <c r="N241" s="50">
        <v>60823412.649999999</v>
      </c>
      <c r="O241" s="418">
        <f t="shared" si="14"/>
        <v>0.4765207470482814</v>
      </c>
    </row>
    <row r="242" spans="1:15" s="143" customFormat="1" hidden="1" x14ac:dyDescent="0.25">
      <c r="A242" s="399" t="s">
        <v>707</v>
      </c>
      <c r="B242" s="44" t="s">
        <v>212</v>
      </c>
      <c r="C242" s="44" t="s">
        <v>213</v>
      </c>
      <c r="D242" s="44" t="s">
        <v>69</v>
      </c>
      <c r="E242" s="50">
        <v>3269894716</v>
      </c>
      <c r="F242" s="50">
        <v>3226558245</v>
      </c>
      <c r="G242" s="50">
        <v>3226558245</v>
      </c>
      <c r="H242" s="50">
        <v>35349408.850000001</v>
      </c>
      <c r="I242" s="50">
        <v>321677624</v>
      </c>
      <c r="J242" s="50">
        <v>34692996.509999998</v>
      </c>
      <c r="K242" s="50">
        <v>312984174.86000001</v>
      </c>
      <c r="L242" s="152">
        <f t="shared" si="13"/>
        <v>9.7002487199793291E-2</v>
      </c>
      <c r="M242" s="50">
        <v>245926733.69</v>
      </c>
      <c r="N242" s="50">
        <v>2521854040.7800002</v>
      </c>
      <c r="O242" s="418">
        <f t="shared" si="14"/>
        <v>0.78159259783639834</v>
      </c>
    </row>
    <row r="243" spans="1:15" s="143" customFormat="1" hidden="1" x14ac:dyDescent="0.25">
      <c r="A243" s="399" t="s">
        <v>707</v>
      </c>
      <c r="B243" s="44" t="s">
        <v>214</v>
      </c>
      <c r="C243" s="44" t="s">
        <v>215</v>
      </c>
      <c r="D243" s="44" t="s">
        <v>69</v>
      </c>
      <c r="E243" s="50">
        <v>34070136</v>
      </c>
      <c r="F243" s="50">
        <v>34070136</v>
      </c>
      <c r="G243" s="50">
        <v>34070136</v>
      </c>
      <c r="H243" s="50">
        <v>2006919.3</v>
      </c>
      <c r="I243" s="50">
        <v>1004707.4</v>
      </c>
      <c r="J243" s="50">
        <v>0</v>
      </c>
      <c r="K243" s="50">
        <v>592475.1</v>
      </c>
      <c r="L243" s="152">
        <f t="shared" si="13"/>
        <v>1.7389866010514309E-2</v>
      </c>
      <c r="M243" s="50">
        <v>592475.1</v>
      </c>
      <c r="N243" s="50">
        <v>30466034.199999999</v>
      </c>
      <c r="O243" s="418">
        <f t="shared" si="14"/>
        <v>0.89421522121308816</v>
      </c>
    </row>
    <row r="244" spans="1:15" s="143" customFormat="1" hidden="1" x14ac:dyDescent="0.25">
      <c r="A244" s="399" t="s">
        <v>707</v>
      </c>
      <c r="B244" s="44" t="s">
        <v>216</v>
      </c>
      <c r="C244" s="44" t="s">
        <v>217</v>
      </c>
      <c r="D244" s="44" t="s">
        <v>69</v>
      </c>
      <c r="E244" s="50">
        <v>26479307</v>
      </c>
      <c r="F244" s="50">
        <v>26479307</v>
      </c>
      <c r="G244" s="50">
        <v>26479307</v>
      </c>
      <c r="H244" s="50">
        <v>1319840</v>
      </c>
      <c r="I244" s="50">
        <v>9069728.9700000007</v>
      </c>
      <c r="J244" s="50">
        <v>0</v>
      </c>
      <c r="K244" s="50">
        <v>2308012.0099999998</v>
      </c>
      <c r="L244" s="152">
        <f t="shared" si="13"/>
        <v>8.7162855508265372E-2</v>
      </c>
      <c r="M244" s="50">
        <v>2308012.0099999998</v>
      </c>
      <c r="N244" s="50">
        <v>13781726.02</v>
      </c>
      <c r="O244" s="418">
        <f t="shared" si="14"/>
        <v>0.52047155237106468</v>
      </c>
    </row>
    <row r="245" spans="1:15" s="143" customFormat="1" hidden="1" x14ac:dyDescent="0.25">
      <c r="A245" s="399" t="s">
        <v>707</v>
      </c>
      <c r="B245" s="44" t="s">
        <v>218</v>
      </c>
      <c r="C245" s="44" t="s">
        <v>219</v>
      </c>
      <c r="D245" s="44" t="s">
        <v>69</v>
      </c>
      <c r="E245" s="50">
        <v>140601000</v>
      </c>
      <c r="F245" s="50">
        <v>137607000</v>
      </c>
      <c r="G245" s="50">
        <v>137607000</v>
      </c>
      <c r="H245" s="50">
        <v>1951346.15</v>
      </c>
      <c r="I245" s="50">
        <v>37270781.32</v>
      </c>
      <c r="J245" s="50">
        <v>0</v>
      </c>
      <c r="K245" s="50">
        <v>35833884</v>
      </c>
      <c r="L245" s="152">
        <f t="shared" si="13"/>
        <v>0.26040742113409926</v>
      </c>
      <c r="M245" s="50">
        <v>29992860</v>
      </c>
      <c r="N245" s="50">
        <v>62550988.530000001</v>
      </c>
      <c r="O245" s="418">
        <f t="shared" si="14"/>
        <v>0.4545625479081733</v>
      </c>
    </row>
    <row r="246" spans="1:15" s="143" customFormat="1" hidden="1" x14ac:dyDescent="0.25">
      <c r="A246" s="399" t="s">
        <v>707</v>
      </c>
      <c r="B246" s="44" t="s">
        <v>220</v>
      </c>
      <c r="C246" s="44" t="s">
        <v>221</v>
      </c>
      <c r="D246" s="44" t="s">
        <v>69</v>
      </c>
      <c r="E246" s="50">
        <v>1260371675</v>
      </c>
      <c r="F246" s="50">
        <v>1249371675</v>
      </c>
      <c r="G246" s="50">
        <v>1249371675</v>
      </c>
      <c r="H246" s="50">
        <v>10656788</v>
      </c>
      <c r="I246" s="50">
        <v>25935897.32</v>
      </c>
      <c r="J246" s="50">
        <v>0</v>
      </c>
      <c r="K246" s="50">
        <v>17487443.82</v>
      </c>
      <c r="L246" s="152">
        <f t="shared" si="13"/>
        <v>1.3996990783387177E-2</v>
      </c>
      <c r="M246" s="50">
        <v>0</v>
      </c>
      <c r="N246" s="50">
        <v>1195291545.8599999</v>
      </c>
      <c r="O246" s="418">
        <f t="shared" si="14"/>
        <v>0.95671413861691712</v>
      </c>
    </row>
    <row r="247" spans="1:15" s="143" customFormat="1" hidden="1" x14ac:dyDescent="0.25">
      <c r="A247" s="399" t="s">
        <v>707</v>
      </c>
      <c r="B247" s="44" t="s">
        <v>222</v>
      </c>
      <c r="C247" s="44" t="s">
        <v>223</v>
      </c>
      <c r="D247" s="44" t="s">
        <v>69</v>
      </c>
      <c r="E247" s="50">
        <v>291010979</v>
      </c>
      <c r="F247" s="50">
        <v>261668508</v>
      </c>
      <c r="G247" s="50">
        <v>261668508</v>
      </c>
      <c r="H247" s="50">
        <v>6562000</v>
      </c>
      <c r="I247" s="50">
        <v>96654574.280000001</v>
      </c>
      <c r="J247" s="50">
        <v>9452628</v>
      </c>
      <c r="K247" s="50">
        <v>72017628.799999997</v>
      </c>
      <c r="L247" s="152">
        <f t="shared" si="13"/>
        <v>0.27522467013875435</v>
      </c>
      <c r="M247" s="50">
        <v>39637019.450000003</v>
      </c>
      <c r="N247" s="50">
        <v>76981676.920000002</v>
      </c>
      <c r="O247" s="418">
        <f t="shared" si="14"/>
        <v>0.29419542117769865</v>
      </c>
    </row>
    <row r="248" spans="1:15" s="143" customFormat="1" hidden="1" x14ac:dyDescent="0.25">
      <c r="A248" s="399" t="s">
        <v>707</v>
      </c>
      <c r="B248" s="44" t="s">
        <v>224</v>
      </c>
      <c r="C248" s="44" t="s">
        <v>225</v>
      </c>
      <c r="D248" s="44" t="s">
        <v>69</v>
      </c>
      <c r="E248" s="50">
        <v>1243089320</v>
      </c>
      <c r="F248" s="50">
        <v>1243089320</v>
      </c>
      <c r="G248" s="50">
        <v>1243089320</v>
      </c>
      <c r="H248" s="50">
        <v>12852515.4</v>
      </c>
      <c r="I248" s="50">
        <v>34367245.340000004</v>
      </c>
      <c r="J248" s="50">
        <v>357000</v>
      </c>
      <c r="K248" s="50">
        <v>121894230</v>
      </c>
      <c r="L248" s="152">
        <f t="shared" si="13"/>
        <v>9.8057499198850817E-2</v>
      </c>
      <c r="M248" s="50">
        <v>121894230</v>
      </c>
      <c r="N248" s="50">
        <v>1073618329.26</v>
      </c>
      <c r="O248" s="418">
        <f t="shared" si="14"/>
        <v>0.86366949823042483</v>
      </c>
    </row>
    <row r="249" spans="1:15" s="143" customFormat="1" hidden="1" x14ac:dyDescent="0.25">
      <c r="A249" s="399" t="s">
        <v>707</v>
      </c>
      <c r="B249" s="44" t="s">
        <v>226</v>
      </c>
      <c r="C249" s="44" t="s">
        <v>227</v>
      </c>
      <c r="D249" s="44" t="s">
        <v>69</v>
      </c>
      <c r="E249" s="50">
        <v>90632447</v>
      </c>
      <c r="F249" s="50">
        <v>90632447</v>
      </c>
      <c r="G249" s="50">
        <v>90632447</v>
      </c>
      <c r="H249" s="50">
        <v>0</v>
      </c>
      <c r="I249" s="50">
        <v>75569704.939999998</v>
      </c>
      <c r="J249" s="50">
        <v>0</v>
      </c>
      <c r="K249" s="50">
        <v>2072760</v>
      </c>
      <c r="L249" s="152">
        <f t="shared" si="13"/>
        <v>2.2869955171794049E-2</v>
      </c>
      <c r="M249" s="50">
        <v>2072760</v>
      </c>
      <c r="N249" s="50">
        <v>12989982.060000001</v>
      </c>
      <c r="O249" s="418">
        <f t="shared" si="14"/>
        <v>0.14332595543845353</v>
      </c>
    </row>
    <row r="250" spans="1:15" s="143" customFormat="1" hidden="1" x14ac:dyDescent="0.25">
      <c r="A250" s="399" t="s">
        <v>707</v>
      </c>
      <c r="B250" s="44" t="s">
        <v>228</v>
      </c>
      <c r="C250" s="44" t="s">
        <v>229</v>
      </c>
      <c r="D250" s="44" t="s">
        <v>69</v>
      </c>
      <c r="E250" s="50">
        <v>183639852</v>
      </c>
      <c r="F250" s="50">
        <v>183639852</v>
      </c>
      <c r="G250" s="50">
        <v>183639852</v>
      </c>
      <c r="H250" s="50">
        <v>0</v>
      </c>
      <c r="I250" s="50">
        <v>41804984.43</v>
      </c>
      <c r="J250" s="50">
        <v>24883368.510000002</v>
      </c>
      <c r="K250" s="50">
        <v>60777741.130000003</v>
      </c>
      <c r="L250" s="152">
        <f t="shared" si="13"/>
        <v>0.33096161028271798</v>
      </c>
      <c r="M250" s="50">
        <v>49429377.130000003</v>
      </c>
      <c r="N250" s="50">
        <v>56173757.93</v>
      </c>
      <c r="O250" s="418">
        <f t="shared" si="14"/>
        <v>0.30589089088353216</v>
      </c>
    </row>
    <row r="251" spans="1:15" s="143" customFormat="1" x14ac:dyDescent="0.25">
      <c r="A251" s="399" t="s">
        <v>707</v>
      </c>
      <c r="B251" s="44" t="s">
        <v>230</v>
      </c>
      <c r="C251" s="44" t="s">
        <v>231</v>
      </c>
      <c r="D251" s="44" t="s">
        <v>85</v>
      </c>
      <c r="E251" s="50">
        <v>2053989952</v>
      </c>
      <c r="F251" s="50">
        <v>2053289952</v>
      </c>
      <c r="G251" s="50">
        <v>1778697483</v>
      </c>
      <c r="H251" s="50">
        <v>258190844.84</v>
      </c>
      <c r="I251" s="50">
        <v>650143248.15999997</v>
      </c>
      <c r="J251" s="50">
        <v>0</v>
      </c>
      <c r="K251" s="50">
        <v>59905401.329999998</v>
      </c>
      <c r="L251" s="152">
        <f t="shared" si="13"/>
        <v>2.9175324834979758E-2</v>
      </c>
      <c r="M251" s="50">
        <v>49057401.329999998</v>
      </c>
      <c r="N251" s="50">
        <v>1085050457.6700001</v>
      </c>
      <c r="O251" s="418">
        <f t="shared" si="14"/>
        <v>0.52844482904769996</v>
      </c>
    </row>
    <row r="252" spans="1:15" s="143" customFormat="1" hidden="1" x14ac:dyDescent="0.25">
      <c r="A252" s="399" t="s">
        <v>707</v>
      </c>
      <c r="B252" s="44" t="s">
        <v>232</v>
      </c>
      <c r="C252" s="44" t="s">
        <v>233</v>
      </c>
      <c r="D252" s="44" t="s">
        <v>85</v>
      </c>
      <c r="E252" s="50">
        <v>1511257014</v>
      </c>
      <c r="F252" s="50">
        <v>1464052552</v>
      </c>
      <c r="G252" s="50">
        <v>1464052552</v>
      </c>
      <c r="H252" s="50">
        <v>258190844.84</v>
      </c>
      <c r="I252" s="50">
        <v>649713179.98000002</v>
      </c>
      <c r="J252" s="50">
        <v>0</v>
      </c>
      <c r="K252" s="50">
        <v>59307529.729999997</v>
      </c>
      <c r="L252" s="152">
        <f t="shared" si="13"/>
        <v>4.0509153615409292E-2</v>
      </c>
      <c r="M252" s="50">
        <v>48459529.729999997</v>
      </c>
      <c r="N252" s="50">
        <v>496840997.44999999</v>
      </c>
      <c r="O252" s="418">
        <f t="shared" si="14"/>
        <v>0.33936008428883224</v>
      </c>
    </row>
    <row r="253" spans="1:15" s="143" customFormat="1" hidden="1" x14ac:dyDescent="0.25">
      <c r="A253" s="399" t="s">
        <v>707</v>
      </c>
      <c r="B253" s="44" t="s">
        <v>234</v>
      </c>
      <c r="C253" s="44" t="s">
        <v>235</v>
      </c>
      <c r="D253" s="44" t="s">
        <v>85</v>
      </c>
      <c r="E253" s="50">
        <v>46000000</v>
      </c>
      <c r="F253" s="50">
        <v>46000000</v>
      </c>
      <c r="G253" s="50">
        <v>46000000</v>
      </c>
      <c r="H253" s="50">
        <v>45369556.840000004</v>
      </c>
      <c r="I253" s="50">
        <v>0</v>
      </c>
      <c r="J253" s="50">
        <v>0</v>
      </c>
      <c r="K253" s="50">
        <v>0</v>
      </c>
      <c r="L253" s="152">
        <f t="shared" si="13"/>
        <v>0</v>
      </c>
      <c r="M253" s="50">
        <v>0</v>
      </c>
      <c r="N253" s="50">
        <v>630443.16</v>
      </c>
      <c r="O253" s="418">
        <f t="shared" si="14"/>
        <v>1.3705286086956522E-2</v>
      </c>
    </row>
    <row r="254" spans="1:15" s="143" customFormat="1" hidden="1" x14ac:dyDescent="0.25">
      <c r="A254" s="399" t="s">
        <v>707</v>
      </c>
      <c r="B254" s="44" t="s">
        <v>324</v>
      </c>
      <c r="C254" s="44" t="s">
        <v>325</v>
      </c>
      <c r="D254" s="44" t="s">
        <v>85</v>
      </c>
      <c r="E254" s="50">
        <v>0</v>
      </c>
      <c r="F254" s="50">
        <v>815400</v>
      </c>
      <c r="G254" s="50">
        <v>815400</v>
      </c>
      <c r="H254" s="50">
        <v>0</v>
      </c>
      <c r="I254" s="50">
        <v>815400</v>
      </c>
      <c r="J254" s="50">
        <v>0</v>
      </c>
      <c r="K254" s="50">
        <v>0</v>
      </c>
      <c r="L254" s="152">
        <f t="shared" si="13"/>
        <v>0</v>
      </c>
      <c r="M254" s="50">
        <v>0</v>
      </c>
      <c r="N254" s="50">
        <v>0</v>
      </c>
      <c r="O254" s="418">
        <f t="shared" si="14"/>
        <v>0</v>
      </c>
    </row>
    <row r="255" spans="1:15" s="143" customFormat="1" hidden="1" x14ac:dyDescent="0.25">
      <c r="A255" s="399" t="s">
        <v>707</v>
      </c>
      <c r="B255" s="44" t="s">
        <v>236</v>
      </c>
      <c r="C255" s="44" t="s">
        <v>237</v>
      </c>
      <c r="D255" s="44" t="s">
        <v>85</v>
      </c>
      <c r="E255" s="50">
        <v>302703422</v>
      </c>
      <c r="F255" s="50">
        <v>287003422</v>
      </c>
      <c r="G255" s="50">
        <v>287003422</v>
      </c>
      <c r="H255" s="50">
        <v>0</v>
      </c>
      <c r="I255" s="50">
        <v>211188499.97999999</v>
      </c>
      <c r="J255" s="50">
        <v>0</v>
      </c>
      <c r="K255" s="50">
        <v>0</v>
      </c>
      <c r="L255" s="152">
        <f t="shared" si="13"/>
        <v>0</v>
      </c>
      <c r="M255" s="50">
        <v>0</v>
      </c>
      <c r="N255" s="50">
        <v>75814922.019999996</v>
      </c>
      <c r="O255" s="418">
        <f t="shared" si="14"/>
        <v>0.26416034168400959</v>
      </c>
    </row>
    <row r="256" spans="1:15" s="143" customFormat="1" hidden="1" x14ac:dyDescent="0.25">
      <c r="A256" s="399" t="s">
        <v>707</v>
      </c>
      <c r="B256" s="44" t="s">
        <v>238</v>
      </c>
      <c r="C256" s="44" t="s">
        <v>239</v>
      </c>
      <c r="D256" s="44" t="s">
        <v>85</v>
      </c>
      <c r="E256" s="50">
        <v>68995579</v>
      </c>
      <c r="F256" s="50">
        <v>122306079</v>
      </c>
      <c r="G256" s="50">
        <v>122306079</v>
      </c>
      <c r="H256" s="50">
        <v>1836250</v>
      </c>
      <c r="I256" s="50">
        <v>0</v>
      </c>
      <c r="J256" s="50">
        <v>0</v>
      </c>
      <c r="K256" s="50">
        <v>43357170</v>
      </c>
      <c r="L256" s="152">
        <f t="shared" si="13"/>
        <v>0.35449726092519079</v>
      </c>
      <c r="M256" s="50">
        <v>43357170</v>
      </c>
      <c r="N256" s="50">
        <v>77112659</v>
      </c>
      <c r="O256" s="418">
        <f t="shared" si="14"/>
        <v>0.63048917625754319</v>
      </c>
    </row>
    <row r="257" spans="1:15" s="143" customFormat="1" hidden="1" x14ac:dyDescent="0.25">
      <c r="A257" s="399" t="s">
        <v>707</v>
      </c>
      <c r="B257" s="44" t="s">
        <v>282</v>
      </c>
      <c r="C257" s="44" t="s">
        <v>283</v>
      </c>
      <c r="D257" s="44" t="s">
        <v>85</v>
      </c>
      <c r="E257" s="50">
        <v>100000000</v>
      </c>
      <c r="F257" s="50">
        <v>100000000</v>
      </c>
      <c r="G257" s="50">
        <v>100000000</v>
      </c>
      <c r="H257" s="50">
        <v>0</v>
      </c>
      <c r="I257" s="50">
        <v>0</v>
      </c>
      <c r="J257" s="50">
        <v>0</v>
      </c>
      <c r="K257" s="50">
        <v>0</v>
      </c>
      <c r="L257" s="152">
        <f t="shared" si="13"/>
        <v>0</v>
      </c>
      <c r="M257" s="50">
        <v>0</v>
      </c>
      <c r="N257" s="50">
        <v>100000000</v>
      </c>
      <c r="O257" s="418">
        <f t="shared" si="14"/>
        <v>1</v>
      </c>
    </row>
    <row r="258" spans="1:15" s="143" customFormat="1" hidden="1" x14ac:dyDescent="0.25">
      <c r="A258" s="399" t="s">
        <v>707</v>
      </c>
      <c r="B258" s="44" t="s">
        <v>326</v>
      </c>
      <c r="C258" s="44" t="s">
        <v>327</v>
      </c>
      <c r="D258" s="44" t="s">
        <v>85</v>
      </c>
      <c r="E258" s="50">
        <v>1200000</v>
      </c>
      <c r="F258" s="50">
        <v>1200000</v>
      </c>
      <c r="G258" s="50">
        <v>1200000</v>
      </c>
      <c r="H258" s="50">
        <v>0</v>
      </c>
      <c r="I258" s="50">
        <v>0</v>
      </c>
      <c r="J258" s="50">
        <v>0</v>
      </c>
      <c r="K258" s="50">
        <v>0</v>
      </c>
      <c r="L258" s="152">
        <f t="shared" si="13"/>
        <v>0</v>
      </c>
      <c r="M258" s="50">
        <v>0</v>
      </c>
      <c r="N258" s="50">
        <v>1200000</v>
      </c>
      <c r="O258" s="418">
        <f t="shared" si="14"/>
        <v>1</v>
      </c>
    </row>
    <row r="259" spans="1:15" s="143" customFormat="1" hidden="1" x14ac:dyDescent="0.25">
      <c r="A259" s="399" t="s">
        <v>707</v>
      </c>
      <c r="B259" s="44" t="s">
        <v>240</v>
      </c>
      <c r="C259" s="44" t="s">
        <v>241</v>
      </c>
      <c r="D259" s="44" t="s">
        <v>85</v>
      </c>
      <c r="E259" s="50">
        <v>2700000</v>
      </c>
      <c r="F259" s="50">
        <v>2700000</v>
      </c>
      <c r="G259" s="50">
        <v>2700000</v>
      </c>
      <c r="H259" s="50">
        <v>0</v>
      </c>
      <c r="I259" s="50">
        <v>0</v>
      </c>
      <c r="J259" s="50">
        <v>0</v>
      </c>
      <c r="K259" s="50">
        <v>0</v>
      </c>
      <c r="L259" s="152">
        <f t="shared" si="13"/>
        <v>0</v>
      </c>
      <c r="M259" s="50">
        <v>0</v>
      </c>
      <c r="N259" s="50">
        <v>2700000</v>
      </c>
      <c r="O259" s="418">
        <f t="shared" si="14"/>
        <v>1</v>
      </c>
    </row>
    <row r="260" spans="1:15" s="143" customFormat="1" hidden="1" x14ac:dyDescent="0.25">
      <c r="A260" s="399" t="s">
        <v>707</v>
      </c>
      <c r="B260" s="44" t="s">
        <v>242</v>
      </c>
      <c r="C260" s="44" t="s">
        <v>243</v>
      </c>
      <c r="D260" s="44" t="s">
        <v>85</v>
      </c>
      <c r="E260" s="50">
        <v>989658013</v>
      </c>
      <c r="F260" s="50">
        <v>904027651</v>
      </c>
      <c r="G260" s="50">
        <v>904027651</v>
      </c>
      <c r="H260" s="50">
        <v>210985038</v>
      </c>
      <c r="I260" s="50">
        <v>437709280</v>
      </c>
      <c r="J260" s="50">
        <v>0</v>
      </c>
      <c r="K260" s="50">
        <v>15950359.73</v>
      </c>
      <c r="L260" s="152">
        <f t="shared" si="13"/>
        <v>1.7643663567542805E-2</v>
      </c>
      <c r="M260" s="50">
        <v>5102359.7300000004</v>
      </c>
      <c r="N260" s="50">
        <v>239382973.27000001</v>
      </c>
      <c r="O260" s="418">
        <f t="shared" si="14"/>
        <v>0.26479607455060022</v>
      </c>
    </row>
    <row r="261" spans="1:15" s="143" customFormat="1" hidden="1" x14ac:dyDescent="0.25">
      <c r="A261" s="399" t="s">
        <v>707</v>
      </c>
      <c r="B261" s="44" t="s">
        <v>328</v>
      </c>
      <c r="C261" s="44" t="s">
        <v>329</v>
      </c>
      <c r="D261" s="44" t="s">
        <v>85</v>
      </c>
      <c r="E261" s="50">
        <v>94148000</v>
      </c>
      <c r="F261" s="50">
        <v>94148000</v>
      </c>
      <c r="G261" s="50">
        <v>44148000</v>
      </c>
      <c r="H261" s="50">
        <v>0</v>
      </c>
      <c r="I261" s="50">
        <v>430068.18</v>
      </c>
      <c r="J261" s="50">
        <v>0</v>
      </c>
      <c r="K261" s="50">
        <v>597871.6</v>
      </c>
      <c r="L261" s="152">
        <f t="shared" si="13"/>
        <v>6.3503377660704416E-3</v>
      </c>
      <c r="M261" s="50">
        <v>597871.6</v>
      </c>
      <c r="N261" s="50">
        <v>93120060.219999999</v>
      </c>
      <c r="O261" s="418">
        <f t="shared" si="14"/>
        <v>0.98908166100182693</v>
      </c>
    </row>
    <row r="262" spans="1:15" s="143" customFormat="1" hidden="1" x14ac:dyDescent="0.25">
      <c r="A262" s="399" t="s">
        <v>707</v>
      </c>
      <c r="B262" s="44" t="s">
        <v>330</v>
      </c>
      <c r="C262" s="44" t="s">
        <v>331</v>
      </c>
      <c r="D262" s="44" t="s">
        <v>85</v>
      </c>
      <c r="E262" s="50">
        <v>92800000</v>
      </c>
      <c r="F262" s="50">
        <v>92800000</v>
      </c>
      <c r="G262" s="50">
        <v>42800000</v>
      </c>
      <c r="H262" s="50">
        <v>0</v>
      </c>
      <c r="I262" s="50">
        <v>0</v>
      </c>
      <c r="J262" s="50">
        <v>0</v>
      </c>
      <c r="K262" s="50">
        <v>597871.6</v>
      </c>
      <c r="L262" s="152">
        <f t="shared" si="13"/>
        <v>6.4425818965517237E-3</v>
      </c>
      <c r="M262" s="50">
        <v>597871.6</v>
      </c>
      <c r="N262" s="50">
        <v>92202128.400000006</v>
      </c>
      <c r="O262" s="418">
        <f t="shared" si="14"/>
        <v>0.99355741810344833</v>
      </c>
    </row>
    <row r="263" spans="1:15" s="143" customFormat="1" hidden="1" x14ac:dyDescent="0.25">
      <c r="A263" s="399" t="s">
        <v>707</v>
      </c>
      <c r="B263" s="44" t="s">
        <v>358</v>
      </c>
      <c r="C263" s="44" t="s">
        <v>359</v>
      </c>
      <c r="D263" s="44" t="s">
        <v>85</v>
      </c>
      <c r="E263" s="50">
        <v>1348000</v>
      </c>
      <c r="F263" s="50">
        <v>1348000</v>
      </c>
      <c r="G263" s="50">
        <v>1348000</v>
      </c>
      <c r="H263" s="50">
        <v>0</v>
      </c>
      <c r="I263" s="50">
        <v>430068.18</v>
      </c>
      <c r="J263" s="50">
        <v>0</v>
      </c>
      <c r="K263" s="50">
        <v>0</v>
      </c>
      <c r="L263" s="152">
        <f t="shared" si="13"/>
        <v>0</v>
      </c>
      <c r="M263" s="50">
        <v>0</v>
      </c>
      <c r="N263" s="50">
        <v>917931.82</v>
      </c>
      <c r="O263" s="418">
        <f t="shared" si="14"/>
        <v>0.68095832344213647</v>
      </c>
    </row>
    <row r="264" spans="1:15" s="143" customFormat="1" hidden="1" x14ac:dyDescent="0.25">
      <c r="A264" s="399" t="s">
        <v>707</v>
      </c>
      <c r="B264" s="44" t="s">
        <v>244</v>
      </c>
      <c r="C264" s="44" t="s">
        <v>245</v>
      </c>
      <c r="D264" s="44" t="s">
        <v>85</v>
      </c>
      <c r="E264" s="50">
        <v>448584938</v>
      </c>
      <c r="F264" s="50">
        <v>495089400</v>
      </c>
      <c r="G264" s="50">
        <v>270496931</v>
      </c>
      <c r="H264" s="50">
        <v>0</v>
      </c>
      <c r="I264" s="50">
        <v>0</v>
      </c>
      <c r="J264" s="50">
        <v>0</v>
      </c>
      <c r="K264" s="50">
        <v>0</v>
      </c>
      <c r="L264" s="152">
        <f t="shared" si="13"/>
        <v>0</v>
      </c>
      <c r="M264" s="50">
        <v>0</v>
      </c>
      <c r="N264" s="50">
        <v>495089400</v>
      </c>
      <c r="O264" s="418">
        <f t="shared" si="14"/>
        <v>1</v>
      </c>
    </row>
    <row r="265" spans="1:15" s="143" customFormat="1" hidden="1" x14ac:dyDescent="0.25">
      <c r="A265" s="399" t="s">
        <v>707</v>
      </c>
      <c r="B265" s="44" t="s">
        <v>246</v>
      </c>
      <c r="C265" s="44" t="s">
        <v>247</v>
      </c>
      <c r="D265" s="44" t="s">
        <v>85</v>
      </c>
      <c r="E265" s="50">
        <v>448584938</v>
      </c>
      <c r="F265" s="50">
        <v>495089400</v>
      </c>
      <c r="G265" s="50">
        <v>270496931</v>
      </c>
      <c r="H265" s="50">
        <v>0</v>
      </c>
      <c r="I265" s="50">
        <v>0</v>
      </c>
      <c r="J265" s="50">
        <v>0</v>
      </c>
      <c r="K265" s="50">
        <v>0</v>
      </c>
      <c r="L265" s="152">
        <f t="shared" si="13"/>
        <v>0</v>
      </c>
      <c r="M265" s="50">
        <v>0</v>
      </c>
      <c r="N265" s="50">
        <v>495089400</v>
      </c>
      <c r="O265" s="418">
        <f t="shared" si="14"/>
        <v>1</v>
      </c>
    </row>
    <row r="266" spans="1:15" s="143" customFormat="1" x14ac:dyDescent="0.25">
      <c r="A266" s="399" t="s">
        <v>707</v>
      </c>
      <c r="B266" s="44" t="s">
        <v>248</v>
      </c>
      <c r="C266" s="44" t="s">
        <v>249</v>
      </c>
      <c r="D266" s="44" t="s">
        <v>69</v>
      </c>
      <c r="E266" s="50">
        <v>13160774264</v>
      </c>
      <c r="F266" s="50">
        <v>13151348647</v>
      </c>
      <c r="G266" s="50">
        <v>10976621010</v>
      </c>
      <c r="H266" s="50">
        <v>0</v>
      </c>
      <c r="I266" s="50">
        <v>6455775578.8699999</v>
      </c>
      <c r="J266" s="50">
        <v>0</v>
      </c>
      <c r="K266" s="50">
        <v>3873706754.6199999</v>
      </c>
      <c r="L266" s="152">
        <f t="shared" si="13"/>
        <v>0.29454825193944234</v>
      </c>
      <c r="M266" s="50">
        <v>3026599792.1300001</v>
      </c>
      <c r="N266" s="50">
        <v>2821866313.5100002</v>
      </c>
      <c r="O266" s="418">
        <f t="shared" si="14"/>
        <v>0.21456858830624234</v>
      </c>
    </row>
    <row r="267" spans="1:15" s="143" customFormat="1" hidden="1" x14ac:dyDescent="0.25">
      <c r="A267" s="399" t="s">
        <v>707</v>
      </c>
      <c r="B267" s="44" t="s">
        <v>250</v>
      </c>
      <c r="C267" s="44" t="s">
        <v>251</v>
      </c>
      <c r="D267" s="44" t="s">
        <v>69</v>
      </c>
      <c r="E267" s="50">
        <v>11073271142</v>
      </c>
      <c r="F267" s="50">
        <v>11063845525</v>
      </c>
      <c r="G267" s="50">
        <v>10036863047</v>
      </c>
      <c r="H267" s="50">
        <v>0</v>
      </c>
      <c r="I267" s="50">
        <v>6134142484.8100004</v>
      </c>
      <c r="J267" s="50">
        <v>0</v>
      </c>
      <c r="K267" s="50">
        <v>3628202556.1900001</v>
      </c>
      <c r="L267" s="152">
        <f t="shared" si="13"/>
        <v>0.3279332261094634</v>
      </c>
      <c r="M267" s="50">
        <v>2781095593.6999998</v>
      </c>
      <c r="N267" s="50">
        <v>1301500484</v>
      </c>
      <c r="O267" s="418">
        <f t="shared" si="14"/>
        <v>0.11763545333845395</v>
      </c>
    </row>
    <row r="268" spans="1:15" s="143" customFormat="1" hidden="1" x14ac:dyDescent="0.25">
      <c r="A268" s="399" t="s">
        <v>707</v>
      </c>
      <c r="B268" s="44" t="s">
        <v>621</v>
      </c>
      <c r="C268" s="44" t="s">
        <v>708</v>
      </c>
      <c r="D268" s="44" t="s">
        <v>69</v>
      </c>
      <c r="E268" s="50">
        <v>44000000</v>
      </c>
      <c r="F268" s="50">
        <v>44000000</v>
      </c>
      <c r="G268" s="50">
        <v>22000000</v>
      </c>
      <c r="H268" s="50">
        <v>0</v>
      </c>
      <c r="I268" s="50">
        <v>22000000</v>
      </c>
      <c r="J268" s="50">
        <v>0</v>
      </c>
      <c r="K268" s="50">
        <v>0</v>
      </c>
      <c r="L268" s="152">
        <f t="shared" si="13"/>
        <v>0</v>
      </c>
      <c r="M268" s="50">
        <v>0</v>
      </c>
      <c r="N268" s="50">
        <v>22000000</v>
      </c>
      <c r="O268" s="418">
        <f t="shared" si="14"/>
        <v>0.5</v>
      </c>
    </row>
    <row r="269" spans="1:15" s="143" customFormat="1" hidden="1" x14ac:dyDescent="0.25">
      <c r="A269" s="399" t="s">
        <v>707</v>
      </c>
      <c r="B269" s="44" t="s">
        <v>629</v>
      </c>
      <c r="C269" s="44" t="s">
        <v>702</v>
      </c>
      <c r="D269" s="44" t="s">
        <v>69</v>
      </c>
      <c r="E269" s="50">
        <v>540115935</v>
      </c>
      <c r="F269" s="50">
        <v>532109838</v>
      </c>
      <c r="G269" s="50">
        <v>527361381</v>
      </c>
      <c r="H269" s="50">
        <v>0</v>
      </c>
      <c r="I269" s="50">
        <v>328390417</v>
      </c>
      <c r="J269" s="50">
        <v>0</v>
      </c>
      <c r="K269" s="50">
        <v>198970964</v>
      </c>
      <c r="L269" s="152">
        <f t="shared" si="13"/>
        <v>0.37392836927777306</v>
      </c>
      <c r="M269" s="50">
        <v>198970964</v>
      </c>
      <c r="N269" s="50">
        <v>4748457</v>
      </c>
      <c r="O269" s="418">
        <f t="shared" si="14"/>
        <v>8.9238286175043428E-3</v>
      </c>
    </row>
    <row r="270" spans="1:15" s="143" customFormat="1" hidden="1" x14ac:dyDescent="0.25">
      <c r="A270" s="399" t="s">
        <v>707</v>
      </c>
      <c r="B270" s="44" t="s">
        <v>644</v>
      </c>
      <c r="C270" s="44" t="s">
        <v>703</v>
      </c>
      <c r="D270" s="44" t="s">
        <v>69</v>
      </c>
      <c r="E270" s="50">
        <v>95765207</v>
      </c>
      <c r="F270" s="50">
        <v>94345687</v>
      </c>
      <c r="G270" s="50">
        <v>93503762</v>
      </c>
      <c r="H270" s="50">
        <v>0</v>
      </c>
      <c r="I270" s="50">
        <v>56215918</v>
      </c>
      <c r="J270" s="50">
        <v>0</v>
      </c>
      <c r="K270" s="50">
        <v>37287844</v>
      </c>
      <c r="L270" s="152">
        <f t="shared" si="13"/>
        <v>0.39522574041990916</v>
      </c>
      <c r="M270" s="50">
        <v>37287844</v>
      </c>
      <c r="N270" s="50">
        <v>841925</v>
      </c>
      <c r="O270" s="418">
        <f t="shared" si="14"/>
        <v>8.9238313564879764E-3</v>
      </c>
    </row>
    <row r="271" spans="1:15" s="143" customFormat="1" hidden="1" x14ac:dyDescent="0.25">
      <c r="A271" s="399" t="s">
        <v>707</v>
      </c>
      <c r="B271" s="44" t="s">
        <v>655</v>
      </c>
      <c r="C271" s="44" t="s">
        <v>709</v>
      </c>
      <c r="D271" s="44" t="s">
        <v>69</v>
      </c>
      <c r="E271" s="50">
        <v>10393390000</v>
      </c>
      <c r="F271" s="50">
        <v>10393390000</v>
      </c>
      <c r="G271" s="50">
        <v>9393997904</v>
      </c>
      <c r="H271" s="50">
        <v>0</v>
      </c>
      <c r="I271" s="50">
        <v>5727536149.8100004</v>
      </c>
      <c r="J271" s="50">
        <v>0</v>
      </c>
      <c r="K271" s="50">
        <v>3391943748.1900001</v>
      </c>
      <c r="L271" s="152">
        <f t="shared" si="13"/>
        <v>0.32635586158029284</v>
      </c>
      <c r="M271" s="50">
        <v>2544836785.6999998</v>
      </c>
      <c r="N271" s="50">
        <v>1273910102</v>
      </c>
      <c r="O271" s="418">
        <f t="shared" si="14"/>
        <v>0.12256925815349948</v>
      </c>
    </row>
    <row r="272" spans="1:15" s="143" customFormat="1" hidden="1" x14ac:dyDescent="0.25">
      <c r="A272" s="399" t="s">
        <v>707</v>
      </c>
      <c r="B272" s="44" t="s">
        <v>366</v>
      </c>
      <c r="C272" s="44" t="s">
        <v>367</v>
      </c>
      <c r="D272" s="44" t="s">
        <v>69</v>
      </c>
      <c r="E272" s="50">
        <v>666000000</v>
      </c>
      <c r="F272" s="50">
        <v>666000000</v>
      </c>
      <c r="G272" s="50">
        <v>333000000</v>
      </c>
      <c r="H272" s="50">
        <v>0</v>
      </c>
      <c r="I272" s="50">
        <v>166500000</v>
      </c>
      <c r="J272" s="50">
        <v>0</v>
      </c>
      <c r="K272" s="50">
        <v>166500000</v>
      </c>
      <c r="L272" s="152">
        <f t="shared" si="13"/>
        <v>0.25</v>
      </c>
      <c r="M272" s="50">
        <v>166500000</v>
      </c>
      <c r="N272" s="50">
        <v>333000000</v>
      </c>
      <c r="O272" s="418">
        <f t="shared" si="14"/>
        <v>0.5</v>
      </c>
    </row>
    <row r="273" spans="1:15" s="143" customFormat="1" hidden="1" x14ac:dyDescent="0.25">
      <c r="A273" s="399" t="s">
        <v>707</v>
      </c>
      <c r="B273" s="44" t="s">
        <v>368</v>
      </c>
      <c r="C273" s="44" t="s">
        <v>369</v>
      </c>
      <c r="D273" s="44" t="s">
        <v>69</v>
      </c>
      <c r="E273" s="50">
        <v>666000000</v>
      </c>
      <c r="F273" s="50">
        <v>666000000</v>
      </c>
      <c r="G273" s="50">
        <v>333000000</v>
      </c>
      <c r="H273" s="50">
        <v>0</v>
      </c>
      <c r="I273" s="50">
        <v>166500000</v>
      </c>
      <c r="J273" s="50">
        <v>0</v>
      </c>
      <c r="K273" s="50">
        <v>166500000</v>
      </c>
      <c r="L273" s="152">
        <f t="shared" si="13"/>
        <v>0.25</v>
      </c>
      <c r="M273" s="50">
        <v>166500000</v>
      </c>
      <c r="N273" s="50">
        <v>333000000</v>
      </c>
      <c r="O273" s="418">
        <f t="shared" si="14"/>
        <v>0.5</v>
      </c>
    </row>
    <row r="274" spans="1:15" s="143" customFormat="1" hidden="1" x14ac:dyDescent="0.25">
      <c r="A274" s="399" t="s">
        <v>707</v>
      </c>
      <c r="B274" s="44" t="s">
        <v>260</v>
      </c>
      <c r="C274" s="44" t="s">
        <v>261</v>
      </c>
      <c r="D274" s="44" t="s">
        <v>69</v>
      </c>
      <c r="E274" s="50">
        <v>1271503122</v>
      </c>
      <c r="F274" s="50">
        <v>1271503122</v>
      </c>
      <c r="G274" s="50">
        <v>521500780</v>
      </c>
      <c r="H274" s="50">
        <v>0</v>
      </c>
      <c r="I274" s="50">
        <v>99324891.959999993</v>
      </c>
      <c r="J274" s="50">
        <v>0</v>
      </c>
      <c r="K274" s="50">
        <v>57055218.210000001</v>
      </c>
      <c r="L274" s="152">
        <f t="shared" si="13"/>
        <v>4.4872259629418355E-2</v>
      </c>
      <c r="M274" s="50">
        <v>57055218.210000001</v>
      </c>
      <c r="N274" s="50">
        <v>1115123011.8299999</v>
      </c>
      <c r="O274" s="418">
        <f t="shared" si="14"/>
        <v>0.87701161918971671</v>
      </c>
    </row>
    <row r="275" spans="1:15" s="143" customFormat="1" hidden="1" x14ac:dyDescent="0.25">
      <c r="A275" s="399" t="s">
        <v>707</v>
      </c>
      <c r="B275" s="44" t="s">
        <v>262</v>
      </c>
      <c r="C275" s="44" t="s">
        <v>263</v>
      </c>
      <c r="D275" s="44" t="s">
        <v>69</v>
      </c>
      <c r="E275" s="50">
        <v>1000003122</v>
      </c>
      <c r="F275" s="50">
        <v>1000003122</v>
      </c>
      <c r="G275" s="50">
        <v>250000780</v>
      </c>
      <c r="H275" s="50">
        <v>0</v>
      </c>
      <c r="I275" s="50">
        <v>99324891.959999993</v>
      </c>
      <c r="J275" s="50">
        <v>0</v>
      </c>
      <c r="K275" s="50">
        <v>18236299.710000001</v>
      </c>
      <c r="L275" s="152">
        <f t="shared" si="13"/>
        <v>1.8236242776450053E-2</v>
      </c>
      <c r="M275" s="50">
        <v>18236299.710000001</v>
      </c>
      <c r="N275" s="50">
        <v>882441930.33000004</v>
      </c>
      <c r="O275" s="418">
        <f t="shared" si="14"/>
        <v>0.88243917535489458</v>
      </c>
    </row>
    <row r="276" spans="1:15" s="143" customFormat="1" hidden="1" x14ac:dyDescent="0.25">
      <c r="A276" s="399" t="s">
        <v>707</v>
      </c>
      <c r="B276" s="44" t="s">
        <v>264</v>
      </c>
      <c r="C276" s="44" t="s">
        <v>265</v>
      </c>
      <c r="D276" s="44" t="s">
        <v>69</v>
      </c>
      <c r="E276" s="50">
        <v>271500000</v>
      </c>
      <c r="F276" s="50">
        <v>271500000</v>
      </c>
      <c r="G276" s="50">
        <v>271500000</v>
      </c>
      <c r="H276" s="50">
        <v>0</v>
      </c>
      <c r="I276" s="50">
        <v>0</v>
      </c>
      <c r="J276" s="50">
        <v>0</v>
      </c>
      <c r="K276" s="50">
        <v>38818918.5</v>
      </c>
      <c r="L276" s="152">
        <f t="shared" si="13"/>
        <v>0.14297944198895027</v>
      </c>
      <c r="M276" s="50">
        <v>38818918.5</v>
      </c>
      <c r="N276" s="50">
        <v>232681081.5</v>
      </c>
      <c r="O276" s="418">
        <f t="shared" si="14"/>
        <v>0.8570205580110497</v>
      </c>
    </row>
    <row r="277" spans="1:15" s="143" customFormat="1" hidden="1" x14ac:dyDescent="0.25">
      <c r="A277" s="399" t="s">
        <v>707</v>
      </c>
      <c r="B277" s="44" t="s">
        <v>286</v>
      </c>
      <c r="C277" s="44" t="s">
        <v>287</v>
      </c>
      <c r="D277" s="44" t="s">
        <v>69</v>
      </c>
      <c r="E277" s="50">
        <v>150000000</v>
      </c>
      <c r="F277" s="50">
        <v>150000000</v>
      </c>
      <c r="G277" s="50">
        <v>85257183</v>
      </c>
      <c r="H277" s="50">
        <v>0</v>
      </c>
      <c r="I277" s="50">
        <v>55808202.100000001</v>
      </c>
      <c r="J277" s="50">
        <v>0</v>
      </c>
      <c r="K277" s="50">
        <v>21948980.219999999</v>
      </c>
      <c r="L277" s="152">
        <f t="shared" si="13"/>
        <v>0.14632653479999999</v>
      </c>
      <c r="M277" s="50">
        <v>21948980.219999999</v>
      </c>
      <c r="N277" s="50">
        <v>72242817.680000007</v>
      </c>
      <c r="O277" s="418">
        <f t="shared" si="14"/>
        <v>0.4816187845333334</v>
      </c>
    </row>
    <row r="278" spans="1:15" s="143" customFormat="1" hidden="1" x14ac:dyDescent="0.25">
      <c r="A278" s="399" t="s">
        <v>707</v>
      </c>
      <c r="B278" s="44" t="s">
        <v>288</v>
      </c>
      <c r="C278" s="44" t="s">
        <v>289</v>
      </c>
      <c r="D278" s="44" t="s">
        <v>69</v>
      </c>
      <c r="E278" s="50">
        <v>100000000</v>
      </c>
      <c r="F278" s="50">
        <v>100000000</v>
      </c>
      <c r="G278" s="50">
        <v>50257183</v>
      </c>
      <c r="H278" s="50">
        <v>0</v>
      </c>
      <c r="I278" s="50">
        <v>48974836.640000001</v>
      </c>
      <c r="J278" s="50">
        <v>0</v>
      </c>
      <c r="K278" s="50">
        <v>1282345.68</v>
      </c>
      <c r="L278" s="152">
        <f t="shared" si="13"/>
        <v>1.2823456799999999E-2</v>
      </c>
      <c r="M278" s="50">
        <v>1282345.68</v>
      </c>
      <c r="N278" s="50">
        <v>49742817.68</v>
      </c>
      <c r="O278" s="418">
        <f t="shared" si="14"/>
        <v>0.49742817680000001</v>
      </c>
    </row>
    <row r="279" spans="1:15" s="143" customFormat="1" hidden="1" x14ac:dyDescent="0.25">
      <c r="A279" s="399" t="s">
        <v>707</v>
      </c>
      <c r="B279" s="44" t="s">
        <v>370</v>
      </c>
      <c r="C279" s="44" t="s">
        <v>371</v>
      </c>
      <c r="D279" s="44" t="s">
        <v>69</v>
      </c>
      <c r="E279" s="50">
        <v>50000000</v>
      </c>
      <c r="F279" s="50">
        <v>50000000</v>
      </c>
      <c r="G279" s="50">
        <v>35000000</v>
      </c>
      <c r="H279" s="50">
        <v>0</v>
      </c>
      <c r="I279" s="50">
        <v>6833365.46</v>
      </c>
      <c r="J279" s="50">
        <v>0</v>
      </c>
      <c r="K279" s="50">
        <v>20666634.539999999</v>
      </c>
      <c r="L279" s="152">
        <f t="shared" si="13"/>
        <v>0.41333269079999996</v>
      </c>
      <c r="M279" s="50">
        <v>20666634.539999999</v>
      </c>
      <c r="N279" s="50">
        <v>22500000</v>
      </c>
      <c r="O279" s="418">
        <f t="shared" si="14"/>
        <v>0.45</v>
      </c>
    </row>
    <row r="280" spans="1:15" s="143" customFormat="1" x14ac:dyDescent="0.25">
      <c r="A280" s="399" t="s">
        <v>707</v>
      </c>
      <c r="B280" s="44" t="s">
        <v>372</v>
      </c>
      <c r="C280" s="44" t="s">
        <v>373</v>
      </c>
      <c r="D280" s="44" t="s">
        <v>85</v>
      </c>
      <c r="E280" s="50">
        <v>581400000</v>
      </c>
      <c r="F280" s="50">
        <v>674866517.41999996</v>
      </c>
      <c r="G280" s="50">
        <v>443021191</v>
      </c>
      <c r="H280" s="50">
        <v>0</v>
      </c>
      <c r="I280" s="50">
        <v>536487703.69</v>
      </c>
      <c r="J280" s="50">
        <v>0</v>
      </c>
      <c r="K280" s="50">
        <v>0</v>
      </c>
      <c r="L280" s="152">
        <f t="shared" si="13"/>
        <v>0</v>
      </c>
      <c r="M280" s="50">
        <v>0</v>
      </c>
      <c r="N280" s="50">
        <v>138378813.72999999</v>
      </c>
      <c r="O280" s="418">
        <f t="shared" si="14"/>
        <v>0.20504619826009327</v>
      </c>
    </row>
    <row r="281" spans="1:15" s="143" customFormat="1" hidden="1" x14ac:dyDescent="0.25">
      <c r="A281" s="399" t="s">
        <v>707</v>
      </c>
      <c r="B281" s="44" t="s">
        <v>374</v>
      </c>
      <c r="C281" s="44" t="s">
        <v>375</v>
      </c>
      <c r="D281" s="44" t="s">
        <v>85</v>
      </c>
      <c r="E281" s="50">
        <v>581400000</v>
      </c>
      <c r="F281" s="50">
        <v>674866517.41999996</v>
      </c>
      <c r="G281" s="50">
        <v>443021191</v>
      </c>
      <c r="H281" s="50">
        <v>0</v>
      </c>
      <c r="I281" s="50">
        <v>536487703.69</v>
      </c>
      <c r="J281" s="50">
        <v>0</v>
      </c>
      <c r="K281" s="50">
        <v>0</v>
      </c>
      <c r="L281" s="152">
        <f t="shared" si="13"/>
        <v>0</v>
      </c>
      <c r="M281" s="50">
        <v>0</v>
      </c>
      <c r="N281" s="50">
        <v>138378813.72999999</v>
      </c>
      <c r="O281" s="418">
        <f t="shared" si="14"/>
        <v>0.20504619826009327</v>
      </c>
    </row>
    <row r="282" spans="1:15" s="143" customFormat="1" hidden="1" x14ac:dyDescent="0.25">
      <c r="A282" s="399" t="s">
        <v>707</v>
      </c>
      <c r="B282" s="44" t="s">
        <v>674</v>
      </c>
      <c r="C282" s="44" t="s">
        <v>710</v>
      </c>
      <c r="D282" s="44" t="s">
        <v>85</v>
      </c>
      <c r="E282" s="50">
        <v>581400000</v>
      </c>
      <c r="F282" s="50">
        <v>581400000</v>
      </c>
      <c r="G282" s="50">
        <v>443021191</v>
      </c>
      <c r="H282" s="50">
        <v>0</v>
      </c>
      <c r="I282" s="50">
        <v>443021191</v>
      </c>
      <c r="J282" s="50">
        <v>0</v>
      </c>
      <c r="K282" s="50">
        <v>0</v>
      </c>
      <c r="L282" s="152">
        <f t="shared" si="13"/>
        <v>0</v>
      </c>
      <c r="M282" s="50">
        <v>0</v>
      </c>
      <c r="N282" s="50">
        <v>138378809</v>
      </c>
      <c r="O282" s="418">
        <f t="shared" si="14"/>
        <v>0.23800964740282077</v>
      </c>
    </row>
    <row r="283" spans="1:15" s="143" customFormat="1" hidden="1" x14ac:dyDescent="0.25">
      <c r="A283" s="399" t="s">
        <v>707</v>
      </c>
      <c r="B283" s="44" t="s">
        <v>676</v>
      </c>
      <c r="C283" s="44" t="s">
        <v>776</v>
      </c>
      <c r="D283" s="44" t="s">
        <v>777</v>
      </c>
      <c r="E283" s="50">
        <v>0</v>
      </c>
      <c r="F283" s="50">
        <v>93466517.420000002</v>
      </c>
      <c r="G283" s="50">
        <v>0</v>
      </c>
      <c r="H283" s="50">
        <v>0</v>
      </c>
      <c r="I283" s="50">
        <v>93466512.689999998</v>
      </c>
      <c r="J283" s="50">
        <v>0</v>
      </c>
      <c r="K283" s="50">
        <v>0</v>
      </c>
      <c r="L283" s="152">
        <f t="shared" si="13"/>
        <v>0</v>
      </c>
      <c r="M283" s="50">
        <v>0</v>
      </c>
      <c r="N283" s="50">
        <v>4.7300000000000004</v>
      </c>
      <c r="O283" s="418">
        <f t="shared" si="14"/>
        <v>5.0606357555244412E-8</v>
      </c>
    </row>
    <row r="284" spans="1:15" s="143" customFormat="1" x14ac:dyDescent="0.25">
      <c r="A284" s="389"/>
      <c r="B284" s="390"/>
      <c r="C284" s="390"/>
      <c r="D284" s="390"/>
      <c r="E284" s="391"/>
      <c r="F284" s="391">
        <f>F158+F178+F221+F251+F266+F280</f>
        <v>76491955083.419998</v>
      </c>
      <c r="G284" s="391"/>
      <c r="H284" s="391"/>
      <c r="I284" s="391"/>
      <c r="J284" s="391"/>
      <c r="K284" s="391">
        <f>K158+K178+K221+K251+K266+K280</f>
        <v>22510767910.84</v>
      </c>
      <c r="L284" s="392">
        <f t="shared" si="13"/>
        <v>0.29428935221083552</v>
      </c>
      <c r="M284" s="391"/>
      <c r="N284" s="391">
        <f>N158+N178+N221+N251+N266+N280</f>
        <v>39443245496.270004</v>
      </c>
      <c r="O284" s="393">
        <f t="shared" si="14"/>
        <v>0.51565220751978813</v>
      </c>
    </row>
    <row r="285" spans="1:15" s="143" customFormat="1" x14ac:dyDescent="0.25">
      <c r="A285" s="381"/>
      <c r="B285" s="357"/>
      <c r="C285" s="357"/>
      <c r="D285" s="357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382"/>
    </row>
    <row r="286" spans="1:15" s="143" customFormat="1" x14ac:dyDescent="0.25">
      <c r="A286" s="399" t="s">
        <v>711</v>
      </c>
      <c r="B286" s="44" t="s">
        <v>71</v>
      </c>
      <c r="C286" s="44" t="s">
        <v>72</v>
      </c>
      <c r="D286" s="44" t="s">
        <v>69</v>
      </c>
      <c r="E286" s="50">
        <v>13888392480</v>
      </c>
      <c r="F286" s="50">
        <v>13554210603</v>
      </c>
      <c r="G286" s="50">
        <v>13450241509</v>
      </c>
      <c r="H286" s="50">
        <v>0</v>
      </c>
      <c r="I286" s="50">
        <v>1476309907</v>
      </c>
      <c r="J286" s="50">
        <v>0</v>
      </c>
      <c r="K286" s="50">
        <v>4358693364.9899998</v>
      </c>
      <c r="L286" s="152">
        <f t="shared" ref="L286:L359" si="15">+K286/F286</f>
        <v>0.32157485910874628</v>
      </c>
      <c r="M286" s="50">
        <v>4358693364.9899998</v>
      </c>
      <c r="N286" s="50">
        <v>7719207331.0100002</v>
      </c>
      <c r="O286" s="418">
        <f t="shared" ref="O286:O359" si="16">+N286/F286</f>
        <v>0.56950622630147718</v>
      </c>
    </row>
    <row r="287" spans="1:15" s="143" customFormat="1" hidden="1" x14ac:dyDescent="0.25">
      <c r="A287" s="399" t="s">
        <v>711</v>
      </c>
      <c r="B287" s="44" t="s">
        <v>73</v>
      </c>
      <c r="C287" s="44" t="s">
        <v>74</v>
      </c>
      <c r="D287" s="44" t="s">
        <v>69</v>
      </c>
      <c r="E287" s="50">
        <v>5229936552</v>
      </c>
      <c r="F287" s="50">
        <v>5032025148</v>
      </c>
      <c r="G287" s="50">
        <v>5032025148</v>
      </c>
      <c r="H287" s="50">
        <v>0</v>
      </c>
      <c r="I287" s="50">
        <v>0</v>
      </c>
      <c r="J287" s="50">
        <v>0</v>
      </c>
      <c r="K287" s="50">
        <v>1571751386.78</v>
      </c>
      <c r="L287" s="152">
        <f t="shared" si="15"/>
        <v>0.31234966848381102</v>
      </c>
      <c r="M287" s="50">
        <v>1571751386.78</v>
      </c>
      <c r="N287" s="50">
        <v>3460273761.2199998</v>
      </c>
      <c r="O287" s="418">
        <f t="shared" si="16"/>
        <v>0.68765033151618893</v>
      </c>
    </row>
    <row r="288" spans="1:15" s="143" customFormat="1" hidden="1" x14ac:dyDescent="0.25">
      <c r="A288" s="399" t="s">
        <v>711</v>
      </c>
      <c r="B288" s="44" t="s">
        <v>75</v>
      </c>
      <c r="C288" s="44" t="s">
        <v>76</v>
      </c>
      <c r="D288" s="44" t="s">
        <v>69</v>
      </c>
      <c r="E288" s="50">
        <v>5229936552</v>
      </c>
      <c r="F288" s="50">
        <v>5032025148</v>
      </c>
      <c r="G288" s="50">
        <v>5032025148</v>
      </c>
      <c r="H288" s="50">
        <v>0</v>
      </c>
      <c r="I288" s="50">
        <v>0</v>
      </c>
      <c r="J288" s="50">
        <v>0</v>
      </c>
      <c r="K288" s="50">
        <v>1571751386.78</v>
      </c>
      <c r="L288" s="152">
        <f t="shared" si="15"/>
        <v>0.31234966848381102</v>
      </c>
      <c r="M288" s="50">
        <v>1571751386.78</v>
      </c>
      <c r="N288" s="50">
        <v>3460273761.2199998</v>
      </c>
      <c r="O288" s="418">
        <f t="shared" si="16"/>
        <v>0.68765033151618893</v>
      </c>
    </row>
    <row r="289" spans="1:15" s="143" customFormat="1" hidden="1" x14ac:dyDescent="0.25">
      <c r="A289" s="399" t="s">
        <v>711</v>
      </c>
      <c r="B289" s="44" t="s">
        <v>293</v>
      </c>
      <c r="C289" s="44" t="s">
        <v>294</v>
      </c>
      <c r="D289" s="44" t="s">
        <v>69</v>
      </c>
      <c r="E289" s="50">
        <v>26335200</v>
      </c>
      <c r="F289" s="50">
        <v>26335200</v>
      </c>
      <c r="G289" s="50">
        <v>26335200</v>
      </c>
      <c r="H289" s="50">
        <v>0</v>
      </c>
      <c r="I289" s="50">
        <v>0</v>
      </c>
      <c r="J289" s="50">
        <v>0</v>
      </c>
      <c r="K289" s="50">
        <v>1604643</v>
      </c>
      <c r="L289" s="152">
        <f t="shared" si="15"/>
        <v>6.0931490932288342E-2</v>
      </c>
      <c r="M289" s="50">
        <v>1604643</v>
      </c>
      <c r="N289" s="50">
        <v>24730557</v>
      </c>
      <c r="O289" s="418">
        <f t="shared" si="16"/>
        <v>0.93906850906771167</v>
      </c>
    </row>
    <row r="290" spans="1:15" s="143" customFormat="1" hidden="1" x14ac:dyDescent="0.25">
      <c r="A290" s="399" t="s">
        <v>711</v>
      </c>
      <c r="B290" s="44" t="s">
        <v>339</v>
      </c>
      <c r="C290" s="44" t="s">
        <v>340</v>
      </c>
      <c r="D290" s="44" t="s">
        <v>69</v>
      </c>
      <c r="E290" s="50">
        <v>26335200</v>
      </c>
      <c r="F290" s="50">
        <v>26335200</v>
      </c>
      <c r="G290" s="50">
        <v>26335200</v>
      </c>
      <c r="H290" s="50">
        <v>0</v>
      </c>
      <c r="I290" s="50">
        <v>0</v>
      </c>
      <c r="J290" s="50">
        <v>0</v>
      </c>
      <c r="K290" s="50">
        <v>1604643</v>
      </c>
      <c r="L290" s="152">
        <f t="shared" si="15"/>
        <v>6.0931490932288342E-2</v>
      </c>
      <c r="M290" s="50">
        <v>1604643</v>
      </c>
      <c r="N290" s="50">
        <v>24730557</v>
      </c>
      <c r="O290" s="418">
        <f t="shared" si="16"/>
        <v>0.93906850906771167</v>
      </c>
    </row>
    <row r="291" spans="1:15" s="143" customFormat="1" hidden="1" x14ac:dyDescent="0.25">
      <c r="A291" s="399" t="s">
        <v>711</v>
      </c>
      <c r="B291" s="44" t="s">
        <v>77</v>
      </c>
      <c r="C291" s="44" t="s">
        <v>78</v>
      </c>
      <c r="D291" s="44" t="s">
        <v>69</v>
      </c>
      <c r="E291" s="50">
        <v>6513497315</v>
      </c>
      <c r="F291" s="50">
        <v>6428205068</v>
      </c>
      <c r="G291" s="50">
        <v>6340096078</v>
      </c>
      <c r="H291" s="50">
        <v>0</v>
      </c>
      <c r="I291" s="50">
        <v>0</v>
      </c>
      <c r="J291" s="50">
        <v>0</v>
      </c>
      <c r="K291" s="50">
        <v>2209862159.21</v>
      </c>
      <c r="L291" s="152">
        <f t="shared" si="15"/>
        <v>0.34377592746859148</v>
      </c>
      <c r="M291" s="50">
        <v>2209862159.21</v>
      </c>
      <c r="N291" s="50">
        <v>4218342908.79</v>
      </c>
      <c r="O291" s="418">
        <f t="shared" si="16"/>
        <v>0.65622407253140858</v>
      </c>
    </row>
    <row r="292" spans="1:15" s="143" customFormat="1" hidden="1" x14ac:dyDescent="0.25">
      <c r="A292" s="399" t="s">
        <v>711</v>
      </c>
      <c r="B292" s="44" t="s">
        <v>79</v>
      </c>
      <c r="C292" s="44" t="s">
        <v>80</v>
      </c>
      <c r="D292" s="44" t="s">
        <v>69</v>
      </c>
      <c r="E292" s="50">
        <v>1819317700</v>
      </c>
      <c r="F292" s="50">
        <v>1819317700</v>
      </c>
      <c r="G292" s="50">
        <v>1737983822</v>
      </c>
      <c r="H292" s="50">
        <v>0</v>
      </c>
      <c r="I292" s="50">
        <v>0</v>
      </c>
      <c r="J292" s="50">
        <v>0</v>
      </c>
      <c r="K292" s="50">
        <v>508408473.87</v>
      </c>
      <c r="L292" s="152">
        <f t="shared" si="15"/>
        <v>0.27945007838378089</v>
      </c>
      <c r="M292" s="50">
        <v>508408473.87</v>
      </c>
      <c r="N292" s="50">
        <v>1310909226.1300001</v>
      </c>
      <c r="O292" s="418">
        <f t="shared" si="16"/>
        <v>0.72054992161621911</v>
      </c>
    </row>
    <row r="293" spans="1:15" s="143" customFormat="1" hidden="1" x14ac:dyDescent="0.25">
      <c r="A293" s="399" t="s">
        <v>711</v>
      </c>
      <c r="B293" s="44" t="s">
        <v>81</v>
      </c>
      <c r="C293" s="44" t="s">
        <v>82</v>
      </c>
      <c r="D293" s="44" t="s">
        <v>69</v>
      </c>
      <c r="E293" s="50">
        <v>1750176673</v>
      </c>
      <c r="F293" s="50">
        <v>1705397775</v>
      </c>
      <c r="G293" s="50">
        <v>1705397775</v>
      </c>
      <c r="H293" s="50">
        <v>0</v>
      </c>
      <c r="I293" s="50">
        <v>0</v>
      </c>
      <c r="J293" s="50">
        <v>0</v>
      </c>
      <c r="K293" s="50">
        <v>523684304.31</v>
      </c>
      <c r="L293" s="152">
        <f t="shared" si="15"/>
        <v>0.30707457930745807</v>
      </c>
      <c r="M293" s="50">
        <v>523684304.31</v>
      </c>
      <c r="N293" s="50">
        <v>1181713470.6900001</v>
      </c>
      <c r="O293" s="418">
        <f t="shared" si="16"/>
        <v>0.69292542069254204</v>
      </c>
    </row>
    <row r="294" spans="1:15" s="143" customFormat="1" hidden="1" x14ac:dyDescent="0.25">
      <c r="A294" s="399" t="s">
        <v>711</v>
      </c>
      <c r="B294" s="44" t="s">
        <v>83</v>
      </c>
      <c r="C294" s="44" t="s">
        <v>84</v>
      </c>
      <c r="D294" s="44" t="s">
        <v>85</v>
      </c>
      <c r="E294" s="50">
        <v>905032542</v>
      </c>
      <c r="F294" s="50">
        <v>883255690</v>
      </c>
      <c r="G294" s="50">
        <v>876480578</v>
      </c>
      <c r="H294" s="50">
        <v>0</v>
      </c>
      <c r="I294" s="50">
        <v>0</v>
      </c>
      <c r="J294" s="50">
        <v>0</v>
      </c>
      <c r="K294" s="50">
        <v>221644.11</v>
      </c>
      <c r="L294" s="152">
        <f t="shared" si="15"/>
        <v>2.5093991752263718E-4</v>
      </c>
      <c r="M294" s="50">
        <v>221644.11</v>
      </c>
      <c r="N294" s="50">
        <v>883034045.88999999</v>
      </c>
      <c r="O294" s="418">
        <f t="shared" si="16"/>
        <v>0.99974906008247733</v>
      </c>
    </row>
    <row r="295" spans="1:15" s="143" customFormat="1" hidden="1" x14ac:dyDescent="0.25">
      <c r="A295" s="399" t="s">
        <v>711</v>
      </c>
      <c r="B295" s="44" t="s">
        <v>86</v>
      </c>
      <c r="C295" s="44" t="s">
        <v>87</v>
      </c>
      <c r="D295" s="44" t="s">
        <v>69</v>
      </c>
      <c r="E295" s="50">
        <v>831593600</v>
      </c>
      <c r="F295" s="50">
        <v>831593600</v>
      </c>
      <c r="G295" s="50">
        <v>831593600</v>
      </c>
      <c r="H295" s="50">
        <v>0</v>
      </c>
      <c r="I295" s="50">
        <v>0</v>
      </c>
      <c r="J295" s="50">
        <v>0</v>
      </c>
      <c r="K295" s="50">
        <v>804786810.5</v>
      </c>
      <c r="L295" s="152">
        <f t="shared" si="15"/>
        <v>0.96776455530682293</v>
      </c>
      <c r="M295" s="50">
        <v>804786810.5</v>
      </c>
      <c r="N295" s="50">
        <v>26806789.5</v>
      </c>
      <c r="O295" s="418">
        <f t="shared" si="16"/>
        <v>3.2235444693177052E-2</v>
      </c>
    </row>
    <row r="296" spans="1:15" s="143" customFormat="1" hidden="1" x14ac:dyDescent="0.25">
      <c r="A296" s="399" t="s">
        <v>711</v>
      </c>
      <c r="B296" s="44" t="s">
        <v>88</v>
      </c>
      <c r="C296" s="44" t="s">
        <v>89</v>
      </c>
      <c r="D296" s="44" t="s">
        <v>69</v>
      </c>
      <c r="E296" s="50">
        <v>1207376800</v>
      </c>
      <c r="F296" s="50">
        <v>1188640303</v>
      </c>
      <c r="G296" s="50">
        <v>1188640303</v>
      </c>
      <c r="H296" s="50">
        <v>0</v>
      </c>
      <c r="I296" s="50">
        <v>0</v>
      </c>
      <c r="J296" s="50">
        <v>0</v>
      </c>
      <c r="K296" s="50">
        <v>372760926.42000002</v>
      </c>
      <c r="L296" s="152">
        <f t="shared" si="15"/>
        <v>0.31360279933230567</v>
      </c>
      <c r="M296" s="50">
        <v>372760926.42000002</v>
      </c>
      <c r="N296" s="50">
        <v>815879376.58000004</v>
      </c>
      <c r="O296" s="418">
        <f t="shared" si="16"/>
        <v>0.68639720066769438</v>
      </c>
    </row>
    <row r="297" spans="1:15" s="143" customFormat="1" hidden="1" x14ac:dyDescent="0.25">
      <c r="A297" s="399" t="s">
        <v>711</v>
      </c>
      <c r="B297" s="44" t="s">
        <v>90</v>
      </c>
      <c r="C297" s="44" t="s">
        <v>91</v>
      </c>
      <c r="D297" s="44" t="s">
        <v>69</v>
      </c>
      <c r="E297" s="50">
        <v>1059311707</v>
      </c>
      <c r="F297" s="50">
        <v>1033822594</v>
      </c>
      <c r="G297" s="50">
        <v>1025892542</v>
      </c>
      <c r="H297" s="50">
        <v>0</v>
      </c>
      <c r="I297" s="50">
        <v>737529949</v>
      </c>
      <c r="J297" s="50">
        <v>0</v>
      </c>
      <c r="K297" s="50">
        <v>288362593</v>
      </c>
      <c r="L297" s="152">
        <f t="shared" si="15"/>
        <v>0.27892850734117347</v>
      </c>
      <c r="M297" s="50">
        <v>288362593</v>
      </c>
      <c r="N297" s="50">
        <v>7930052</v>
      </c>
      <c r="O297" s="418">
        <f t="shared" si="16"/>
        <v>7.6706120044422246E-3</v>
      </c>
    </row>
    <row r="298" spans="1:15" s="143" customFormat="1" hidden="1" x14ac:dyDescent="0.25">
      <c r="A298" s="399" t="s">
        <v>711</v>
      </c>
      <c r="B298" s="44" t="s">
        <v>421</v>
      </c>
      <c r="C298" s="44" t="s">
        <v>697</v>
      </c>
      <c r="D298" s="44" t="s">
        <v>69</v>
      </c>
      <c r="E298" s="50">
        <v>1004988079</v>
      </c>
      <c r="F298" s="50">
        <v>980806100</v>
      </c>
      <c r="G298" s="50">
        <v>973282717</v>
      </c>
      <c r="H298" s="50">
        <v>0</v>
      </c>
      <c r="I298" s="50">
        <v>699707949</v>
      </c>
      <c r="J298" s="50">
        <v>0</v>
      </c>
      <c r="K298" s="50">
        <v>273574768</v>
      </c>
      <c r="L298" s="152">
        <f t="shared" si="15"/>
        <v>0.27892849361356947</v>
      </c>
      <c r="M298" s="50">
        <v>273574768</v>
      </c>
      <c r="N298" s="50">
        <v>7523383</v>
      </c>
      <c r="O298" s="418">
        <f t="shared" si="16"/>
        <v>7.670611958877499E-3</v>
      </c>
    </row>
    <row r="299" spans="1:15" s="143" customFormat="1" hidden="1" x14ac:dyDescent="0.25">
      <c r="A299" s="399" t="s">
        <v>711</v>
      </c>
      <c r="B299" s="44" t="s">
        <v>438</v>
      </c>
      <c r="C299" s="44" t="s">
        <v>95</v>
      </c>
      <c r="D299" s="44" t="s">
        <v>69</v>
      </c>
      <c r="E299" s="50">
        <v>54323628</v>
      </c>
      <c r="F299" s="50">
        <v>53016494</v>
      </c>
      <c r="G299" s="50">
        <v>52609825</v>
      </c>
      <c r="H299" s="50">
        <v>0</v>
      </c>
      <c r="I299" s="50">
        <v>37822000</v>
      </c>
      <c r="J299" s="50">
        <v>0</v>
      </c>
      <c r="K299" s="50">
        <v>14787825</v>
      </c>
      <c r="L299" s="152">
        <f t="shared" si="15"/>
        <v>0.27892876130209593</v>
      </c>
      <c r="M299" s="50">
        <v>14787825</v>
      </c>
      <c r="N299" s="50">
        <v>406669</v>
      </c>
      <c r="O299" s="418">
        <f t="shared" si="16"/>
        <v>7.670612847390474E-3</v>
      </c>
    </row>
    <row r="300" spans="1:15" s="143" customFormat="1" hidden="1" x14ac:dyDescent="0.25">
      <c r="A300" s="399" t="s">
        <v>711</v>
      </c>
      <c r="B300" s="44" t="s">
        <v>96</v>
      </c>
      <c r="C300" s="44" t="s">
        <v>97</v>
      </c>
      <c r="D300" s="44" t="s">
        <v>69</v>
      </c>
      <c r="E300" s="50">
        <v>1059311706</v>
      </c>
      <c r="F300" s="50">
        <v>1033822593</v>
      </c>
      <c r="G300" s="50">
        <v>1025892541</v>
      </c>
      <c r="H300" s="50">
        <v>0</v>
      </c>
      <c r="I300" s="50">
        <v>738779958</v>
      </c>
      <c r="J300" s="50">
        <v>0</v>
      </c>
      <c r="K300" s="50">
        <v>287112583</v>
      </c>
      <c r="L300" s="152">
        <f t="shared" si="15"/>
        <v>0.27771939300227694</v>
      </c>
      <c r="M300" s="50">
        <v>287112583</v>
      </c>
      <c r="N300" s="50">
        <v>7930052</v>
      </c>
      <c r="O300" s="418">
        <f t="shared" si="16"/>
        <v>7.6706120118618841E-3</v>
      </c>
    </row>
    <row r="301" spans="1:15" s="143" customFormat="1" hidden="1" x14ac:dyDescent="0.25">
      <c r="A301" s="399" t="s">
        <v>711</v>
      </c>
      <c r="B301" s="44" t="s">
        <v>456</v>
      </c>
      <c r="C301" s="44" t="s">
        <v>698</v>
      </c>
      <c r="D301" s="44" t="s">
        <v>69</v>
      </c>
      <c r="E301" s="50">
        <v>570398650</v>
      </c>
      <c r="F301" s="50">
        <v>556673743</v>
      </c>
      <c r="G301" s="50">
        <v>552403715</v>
      </c>
      <c r="H301" s="50">
        <v>0</v>
      </c>
      <c r="I301" s="50">
        <v>398381560</v>
      </c>
      <c r="J301" s="50">
        <v>0</v>
      </c>
      <c r="K301" s="50">
        <v>154022155</v>
      </c>
      <c r="L301" s="152">
        <f t="shared" si="15"/>
        <v>0.27668298880049746</v>
      </c>
      <c r="M301" s="50">
        <v>154022155</v>
      </c>
      <c r="N301" s="50">
        <v>4270028</v>
      </c>
      <c r="O301" s="418">
        <f t="shared" si="16"/>
        <v>7.6706114734066055E-3</v>
      </c>
    </row>
    <row r="302" spans="1:15" s="143" customFormat="1" hidden="1" x14ac:dyDescent="0.25">
      <c r="A302" s="399" t="s">
        <v>711</v>
      </c>
      <c r="B302" s="44" t="s">
        <v>473</v>
      </c>
      <c r="C302" s="44" t="s">
        <v>699</v>
      </c>
      <c r="D302" s="44" t="s">
        <v>69</v>
      </c>
      <c r="E302" s="50">
        <v>162970985</v>
      </c>
      <c r="F302" s="50">
        <v>159049583</v>
      </c>
      <c r="G302" s="50">
        <v>157829575</v>
      </c>
      <c r="H302" s="50">
        <v>0</v>
      </c>
      <c r="I302" s="50">
        <v>113466099</v>
      </c>
      <c r="J302" s="50">
        <v>0</v>
      </c>
      <c r="K302" s="50">
        <v>44363476</v>
      </c>
      <c r="L302" s="152">
        <f t="shared" si="15"/>
        <v>0.27892859046351604</v>
      </c>
      <c r="M302" s="50">
        <v>44363476</v>
      </c>
      <c r="N302" s="50">
        <v>1220008</v>
      </c>
      <c r="O302" s="418">
        <f t="shared" si="16"/>
        <v>7.670614263729318E-3</v>
      </c>
    </row>
    <row r="303" spans="1:15" s="143" customFormat="1" hidden="1" x14ac:dyDescent="0.25">
      <c r="A303" s="399" t="s">
        <v>711</v>
      </c>
      <c r="B303" s="44" t="s">
        <v>490</v>
      </c>
      <c r="C303" s="44" t="s">
        <v>700</v>
      </c>
      <c r="D303" s="44" t="s">
        <v>69</v>
      </c>
      <c r="E303" s="50">
        <v>325942071</v>
      </c>
      <c r="F303" s="50">
        <v>318099267</v>
      </c>
      <c r="G303" s="50">
        <v>315659251</v>
      </c>
      <c r="H303" s="50">
        <v>0</v>
      </c>
      <c r="I303" s="50">
        <v>226932299</v>
      </c>
      <c r="J303" s="50">
        <v>0</v>
      </c>
      <c r="K303" s="50">
        <v>88726952</v>
      </c>
      <c r="L303" s="152">
        <f t="shared" si="15"/>
        <v>0.27892850190063467</v>
      </c>
      <c r="M303" s="50">
        <v>88726952</v>
      </c>
      <c r="N303" s="50">
        <v>2440016</v>
      </c>
      <c r="O303" s="418">
        <f t="shared" si="16"/>
        <v>7.6706118282253068E-3</v>
      </c>
    </row>
    <row r="304" spans="1:15" s="143" customFormat="1" x14ac:dyDescent="0.25">
      <c r="A304" s="399" t="s">
        <v>711</v>
      </c>
      <c r="B304" s="44" t="s">
        <v>104</v>
      </c>
      <c r="C304" s="44" t="s">
        <v>105</v>
      </c>
      <c r="D304" s="44" t="s">
        <v>69</v>
      </c>
      <c r="E304" s="50">
        <v>3955829992</v>
      </c>
      <c r="F304" s="50">
        <v>3955029992</v>
      </c>
      <c r="G304" s="50">
        <v>2033514996</v>
      </c>
      <c r="H304" s="50">
        <v>0</v>
      </c>
      <c r="I304" s="50">
        <v>1277225762.8699999</v>
      </c>
      <c r="J304" s="50">
        <v>0</v>
      </c>
      <c r="K304" s="50">
        <v>620426038.72000003</v>
      </c>
      <c r="L304" s="152">
        <f t="shared" si="15"/>
        <v>0.15687012234419487</v>
      </c>
      <c r="M304" s="50">
        <v>614838975.36000001</v>
      </c>
      <c r="N304" s="50">
        <v>2057378190.4100001</v>
      </c>
      <c r="O304" s="418">
        <f t="shared" si="16"/>
        <v>0.52019281638104964</v>
      </c>
    </row>
    <row r="305" spans="1:15" s="143" customFormat="1" hidden="1" x14ac:dyDescent="0.25">
      <c r="A305" s="399" t="s">
        <v>711</v>
      </c>
      <c r="B305" s="44" t="s">
        <v>112</v>
      </c>
      <c r="C305" s="44" t="s">
        <v>113</v>
      </c>
      <c r="D305" s="44" t="s">
        <v>69</v>
      </c>
      <c r="E305" s="50">
        <v>3954369992</v>
      </c>
      <c r="F305" s="50">
        <v>3954369992</v>
      </c>
      <c r="G305" s="50">
        <v>2032854996</v>
      </c>
      <c r="H305" s="50">
        <v>0</v>
      </c>
      <c r="I305" s="50">
        <v>1277225762.8699999</v>
      </c>
      <c r="J305" s="50">
        <v>0</v>
      </c>
      <c r="K305" s="50">
        <v>620426038.72000003</v>
      </c>
      <c r="L305" s="152">
        <f t="shared" si="15"/>
        <v>0.15689630458838461</v>
      </c>
      <c r="M305" s="50">
        <v>614838975.36000001</v>
      </c>
      <c r="N305" s="50">
        <v>2056718190.4100001</v>
      </c>
      <c r="O305" s="418">
        <f t="shared" si="16"/>
        <v>0.52011273466339825</v>
      </c>
    </row>
    <row r="306" spans="1:15" s="143" customFormat="1" hidden="1" x14ac:dyDescent="0.25">
      <c r="A306" s="399" t="s">
        <v>711</v>
      </c>
      <c r="B306" s="44" t="s">
        <v>114</v>
      </c>
      <c r="C306" s="44" t="s">
        <v>115</v>
      </c>
      <c r="D306" s="44" t="s">
        <v>69</v>
      </c>
      <c r="E306" s="50">
        <v>2664489000</v>
      </c>
      <c r="F306" s="50">
        <v>2664489000</v>
      </c>
      <c r="G306" s="50">
        <v>1331514500</v>
      </c>
      <c r="H306" s="50">
        <v>0</v>
      </c>
      <c r="I306" s="50">
        <v>868292001.13</v>
      </c>
      <c r="J306" s="50">
        <v>0</v>
      </c>
      <c r="K306" s="50">
        <v>463222498.87</v>
      </c>
      <c r="L306" s="152">
        <f t="shared" si="15"/>
        <v>0.17385040766540977</v>
      </c>
      <c r="M306" s="50">
        <v>463222498.87</v>
      </c>
      <c r="N306" s="50">
        <v>1332974500</v>
      </c>
      <c r="O306" s="418">
        <f t="shared" si="16"/>
        <v>0.50027397373380034</v>
      </c>
    </row>
    <row r="307" spans="1:15" s="143" customFormat="1" hidden="1" x14ac:dyDescent="0.25">
      <c r="A307" s="399" t="s">
        <v>711</v>
      </c>
      <c r="B307" s="44" t="s">
        <v>116</v>
      </c>
      <c r="C307" s="44" t="s">
        <v>117</v>
      </c>
      <c r="D307" s="44" t="s">
        <v>69</v>
      </c>
      <c r="E307" s="50">
        <v>1052390992</v>
      </c>
      <c r="F307" s="50">
        <v>1052390992</v>
      </c>
      <c r="G307" s="50">
        <v>526195496</v>
      </c>
      <c r="H307" s="50">
        <v>0</v>
      </c>
      <c r="I307" s="50">
        <v>407614279.36000001</v>
      </c>
      <c r="J307" s="50">
        <v>0</v>
      </c>
      <c r="K307" s="50">
        <v>118581216.64</v>
      </c>
      <c r="L307" s="152">
        <f t="shared" si="15"/>
        <v>0.11267790920049989</v>
      </c>
      <c r="M307" s="50">
        <v>118581216.64</v>
      </c>
      <c r="N307" s="50">
        <v>526195496</v>
      </c>
      <c r="O307" s="418">
        <f t="shared" si="16"/>
        <v>0.5</v>
      </c>
    </row>
    <row r="308" spans="1:15" s="143" customFormat="1" hidden="1" x14ac:dyDescent="0.25">
      <c r="A308" s="399" t="s">
        <v>711</v>
      </c>
      <c r="B308" s="44" t="s">
        <v>120</v>
      </c>
      <c r="C308" s="44" t="s">
        <v>121</v>
      </c>
      <c r="D308" s="44" t="s">
        <v>69</v>
      </c>
      <c r="E308" s="50">
        <v>124690000</v>
      </c>
      <c r="F308" s="50">
        <v>124690000</v>
      </c>
      <c r="G308" s="50">
        <v>62345000</v>
      </c>
      <c r="H308" s="50">
        <v>0</v>
      </c>
      <c r="I308" s="50">
        <v>0</v>
      </c>
      <c r="J308" s="50">
        <v>0</v>
      </c>
      <c r="K308" s="50">
        <v>0</v>
      </c>
      <c r="L308" s="152">
        <f t="shared" si="15"/>
        <v>0</v>
      </c>
      <c r="M308" s="50">
        <v>0</v>
      </c>
      <c r="N308" s="50">
        <v>124690000</v>
      </c>
      <c r="O308" s="418">
        <f t="shared" si="16"/>
        <v>1</v>
      </c>
    </row>
    <row r="309" spans="1:15" s="143" customFormat="1" hidden="1" x14ac:dyDescent="0.25">
      <c r="A309" s="399" t="s">
        <v>711</v>
      </c>
      <c r="B309" s="44" t="s">
        <v>122</v>
      </c>
      <c r="C309" s="44" t="s">
        <v>123</v>
      </c>
      <c r="D309" s="44" t="s">
        <v>69</v>
      </c>
      <c r="E309" s="50">
        <v>112800000</v>
      </c>
      <c r="F309" s="50">
        <v>112800000</v>
      </c>
      <c r="G309" s="50">
        <v>112800000</v>
      </c>
      <c r="H309" s="50">
        <v>0</v>
      </c>
      <c r="I309" s="50">
        <v>1319482.3799999999</v>
      </c>
      <c r="J309" s="50">
        <v>0</v>
      </c>
      <c r="K309" s="50">
        <v>38622323.210000001</v>
      </c>
      <c r="L309" s="152">
        <f t="shared" si="15"/>
        <v>0.34239648235815606</v>
      </c>
      <c r="M309" s="50">
        <v>33035259.850000001</v>
      </c>
      <c r="N309" s="50">
        <v>72858194.409999996</v>
      </c>
      <c r="O309" s="418">
        <f t="shared" si="16"/>
        <v>0.64590597881205669</v>
      </c>
    </row>
    <row r="310" spans="1:15" s="143" customFormat="1" hidden="1" x14ac:dyDescent="0.25">
      <c r="A310" s="399" t="s">
        <v>711</v>
      </c>
      <c r="B310" s="44" t="s">
        <v>134</v>
      </c>
      <c r="C310" s="44" t="s">
        <v>135</v>
      </c>
      <c r="D310" s="44" t="s">
        <v>69</v>
      </c>
      <c r="E310" s="50">
        <v>340000</v>
      </c>
      <c r="F310" s="50">
        <v>340000</v>
      </c>
      <c r="G310" s="50">
        <v>340000</v>
      </c>
      <c r="H310" s="50">
        <v>0</v>
      </c>
      <c r="I310" s="50">
        <v>0</v>
      </c>
      <c r="J310" s="50">
        <v>0</v>
      </c>
      <c r="K310" s="50">
        <v>0</v>
      </c>
      <c r="L310" s="152">
        <f t="shared" si="15"/>
        <v>0</v>
      </c>
      <c r="M310" s="50">
        <v>0</v>
      </c>
      <c r="N310" s="50">
        <v>340000</v>
      </c>
      <c r="O310" s="418">
        <f t="shared" si="16"/>
        <v>1</v>
      </c>
    </row>
    <row r="311" spans="1:15" s="143" customFormat="1" hidden="1" x14ac:dyDescent="0.25">
      <c r="A311" s="399" t="s">
        <v>711</v>
      </c>
      <c r="B311" s="44" t="s">
        <v>346</v>
      </c>
      <c r="C311" s="44" t="s">
        <v>347</v>
      </c>
      <c r="D311" s="44" t="s">
        <v>69</v>
      </c>
      <c r="E311" s="50">
        <v>180000</v>
      </c>
      <c r="F311" s="50">
        <v>180000</v>
      </c>
      <c r="G311" s="50">
        <v>180000</v>
      </c>
      <c r="H311" s="50">
        <v>0</v>
      </c>
      <c r="I311" s="50">
        <v>0</v>
      </c>
      <c r="J311" s="50">
        <v>0</v>
      </c>
      <c r="K311" s="50">
        <v>0</v>
      </c>
      <c r="L311" s="152">
        <f t="shared" si="15"/>
        <v>0</v>
      </c>
      <c r="M311" s="50">
        <v>0</v>
      </c>
      <c r="N311" s="50">
        <v>180000</v>
      </c>
      <c r="O311" s="418">
        <f t="shared" si="16"/>
        <v>1</v>
      </c>
    </row>
    <row r="312" spans="1:15" s="143" customFormat="1" hidden="1" x14ac:dyDescent="0.25">
      <c r="A312" s="399" t="s">
        <v>711</v>
      </c>
      <c r="B312" s="44" t="s">
        <v>138</v>
      </c>
      <c r="C312" s="44" t="s">
        <v>139</v>
      </c>
      <c r="D312" s="44" t="s">
        <v>69</v>
      </c>
      <c r="E312" s="50">
        <v>160000</v>
      </c>
      <c r="F312" s="50">
        <v>160000</v>
      </c>
      <c r="G312" s="50">
        <v>160000</v>
      </c>
      <c r="H312" s="50">
        <v>0</v>
      </c>
      <c r="I312" s="50">
        <v>0</v>
      </c>
      <c r="J312" s="50">
        <v>0</v>
      </c>
      <c r="K312" s="50">
        <v>0</v>
      </c>
      <c r="L312" s="152">
        <f t="shared" si="15"/>
        <v>0</v>
      </c>
      <c r="M312" s="50">
        <v>0</v>
      </c>
      <c r="N312" s="50">
        <v>160000</v>
      </c>
      <c r="O312" s="418">
        <f t="shared" si="16"/>
        <v>1</v>
      </c>
    </row>
    <row r="313" spans="1:15" s="143" customFormat="1" hidden="1" x14ac:dyDescent="0.25">
      <c r="A313" s="399" t="s">
        <v>711</v>
      </c>
      <c r="B313" s="44" t="s">
        <v>162</v>
      </c>
      <c r="C313" s="44" t="s">
        <v>163</v>
      </c>
      <c r="D313" s="44" t="s">
        <v>69</v>
      </c>
      <c r="E313" s="50">
        <v>1120000</v>
      </c>
      <c r="F313" s="50">
        <v>320000</v>
      </c>
      <c r="G313" s="50">
        <v>320000</v>
      </c>
      <c r="H313" s="50">
        <v>0</v>
      </c>
      <c r="I313" s="50">
        <v>0</v>
      </c>
      <c r="J313" s="50">
        <v>0</v>
      </c>
      <c r="K313" s="50">
        <v>0</v>
      </c>
      <c r="L313" s="152">
        <f t="shared" si="15"/>
        <v>0</v>
      </c>
      <c r="M313" s="50">
        <v>0</v>
      </c>
      <c r="N313" s="50">
        <v>320000</v>
      </c>
      <c r="O313" s="418">
        <f t="shared" si="16"/>
        <v>1</v>
      </c>
    </row>
    <row r="314" spans="1:15" s="143" customFormat="1" hidden="1" x14ac:dyDescent="0.25">
      <c r="A314" s="399" t="s">
        <v>711</v>
      </c>
      <c r="B314" s="44" t="s">
        <v>164</v>
      </c>
      <c r="C314" s="44" t="s">
        <v>165</v>
      </c>
      <c r="D314" s="44" t="s">
        <v>69</v>
      </c>
      <c r="E314" s="50">
        <v>800000</v>
      </c>
      <c r="F314" s="50">
        <v>0</v>
      </c>
      <c r="G314" s="50">
        <v>0</v>
      </c>
      <c r="H314" s="50">
        <v>0</v>
      </c>
      <c r="I314" s="50">
        <v>0</v>
      </c>
      <c r="J314" s="50">
        <v>0</v>
      </c>
      <c r="K314" s="50">
        <v>0</v>
      </c>
      <c r="L314" s="152" t="e">
        <f t="shared" si="15"/>
        <v>#DIV/0!</v>
      </c>
      <c r="M314" s="50">
        <v>0</v>
      </c>
      <c r="N314" s="50">
        <v>0</v>
      </c>
      <c r="O314" s="418" t="e">
        <f t="shared" si="16"/>
        <v>#DIV/0!</v>
      </c>
    </row>
    <row r="315" spans="1:15" s="143" customFormat="1" hidden="1" x14ac:dyDescent="0.25">
      <c r="A315" s="399" t="s">
        <v>711</v>
      </c>
      <c r="B315" s="44" t="s">
        <v>172</v>
      </c>
      <c r="C315" s="44" t="s">
        <v>173</v>
      </c>
      <c r="D315" s="44" t="s">
        <v>69</v>
      </c>
      <c r="E315" s="50">
        <v>320000</v>
      </c>
      <c r="F315" s="50">
        <v>320000</v>
      </c>
      <c r="G315" s="50">
        <v>320000</v>
      </c>
      <c r="H315" s="50">
        <v>0</v>
      </c>
      <c r="I315" s="50">
        <v>0</v>
      </c>
      <c r="J315" s="50">
        <v>0</v>
      </c>
      <c r="K315" s="50">
        <v>0</v>
      </c>
      <c r="L315" s="152">
        <f t="shared" si="15"/>
        <v>0</v>
      </c>
      <c r="M315" s="50">
        <v>0</v>
      </c>
      <c r="N315" s="50">
        <v>320000</v>
      </c>
      <c r="O315" s="418">
        <f t="shared" si="16"/>
        <v>1</v>
      </c>
    </row>
    <row r="316" spans="1:15" s="143" customFormat="1" x14ac:dyDescent="0.25">
      <c r="A316" s="399" t="s">
        <v>711</v>
      </c>
      <c r="B316" s="44" t="s">
        <v>184</v>
      </c>
      <c r="C316" s="44" t="s">
        <v>185</v>
      </c>
      <c r="D316" s="44" t="s">
        <v>69</v>
      </c>
      <c r="E316" s="50">
        <v>9762991308</v>
      </c>
      <c r="F316" s="50">
        <v>9732312358</v>
      </c>
      <c r="G316" s="50">
        <v>4809329549</v>
      </c>
      <c r="H316" s="50">
        <v>13755023</v>
      </c>
      <c r="I316" s="50">
        <v>596836648.95000005</v>
      </c>
      <c r="J316" s="50">
        <v>310041697.32999998</v>
      </c>
      <c r="K316" s="50">
        <v>1396445061.21</v>
      </c>
      <c r="L316" s="152">
        <f t="shared" si="15"/>
        <v>0.14348543386630172</v>
      </c>
      <c r="M316" s="50">
        <v>1396445061.21</v>
      </c>
      <c r="N316" s="50">
        <v>7415233927.5100002</v>
      </c>
      <c r="O316" s="418">
        <f t="shared" si="16"/>
        <v>0.76191902342865603</v>
      </c>
    </row>
    <row r="317" spans="1:15" s="143" customFormat="1" hidden="1" x14ac:dyDescent="0.25">
      <c r="A317" s="399" t="s">
        <v>711</v>
      </c>
      <c r="B317" s="44" t="s">
        <v>186</v>
      </c>
      <c r="C317" s="44" t="s">
        <v>187</v>
      </c>
      <c r="D317" s="44" t="s">
        <v>69</v>
      </c>
      <c r="E317" s="50">
        <v>20114885</v>
      </c>
      <c r="F317" s="50">
        <v>15114885</v>
      </c>
      <c r="G317" s="50">
        <v>12835685</v>
      </c>
      <c r="H317" s="50">
        <v>0</v>
      </c>
      <c r="I317" s="50">
        <v>1170358.99</v>
      </c>
      <c r="J317" s="50">
        <v>0</v>
      </c>
      <c r="K317" s="50">
        <v>0</v>
      </c>
      <c r="L317" s="152">
        <f t="shared" si="15"/>
        <v>0</v>
      </c>
      <c r="M317" s="50">
        <v>0</v>
      </c>
      <c r="N317" s="50">
        <v>13944526.01</v>
      </c>
      <c r="O317" s="418">
        <f t="shared" si="16"/>
        <v>0.92256911051589208</v>
      </c>
    </row>
    <row r="318" spans="1:15" s="143" customFormat="1" hidden="1" x14ac:dyDescent="0.25">
      <c r="A318" s="399" t="s">
        <v>711</v>
      </c>
      <c r="B318" s="44" t="s">
        <v>188</v>
      </c>
      <c r="C318" s="44" t="s">
        <v>189</v>
      </c>
      <c r="D318" s="44" t="s">
        <v>69</v>
      </c>
      <c r="E318" s="50">
        <v>4558400</v>
      </c>
      <c r="F318" s="50">
        <v>4558400</v>
      </c>
      <c r="G318" s="50">
        <v>2279200</v>
      </c>
      <c r="H318" s="50">
        <v>0</v>
      </c>
      <c r="I318" s="50">
        <v>0</v>
      </c>
      <c r="J318" s="50">
        <v>0</v>
      </c>
      <c r="K318" s="50">
        <v>0</v>
      </c>
      <c r="L318" s="152">
        <f t="shared" si="15"/>
        <v>0</v>
      </c>
      <c r="M318" s="50">
        <v>0</v>
      </c>
      <c r="N318" s="50">
        <v>4558400</v>
      </c>
      <c r="O318" s="418">
        <f t="shared" si="16"/>
        <v>1</v>
      </c>
    </row>
    <row r="319" spans="1:15" s="143" customFormat="1" hidden="1" x14ac:dyDescent="0.25">
      <c r="A319" s="399" t="s">
        <v>711</v>
      </c>
      <c r="B319" s="44" t="s">
        <v>190</v>
      </c>
      <c r="C319" s="44" t="s">
        <v>191</v>
      </c>
      <c r="D319" s="44" t="s">
        <v>69</v>
      </c>
      <c r="E319" s="50">
        <v>1998283</v>
      </c>
      <c r="F319" s="50">
        <v>3620553</v>
      </c>
      <c r="G319" s="50">
        <v>3620553</v>
      </c>
      <c r="H319" s="50">
        <v>0</v>
      </c>
      <c r="I319" s="50">
        <v>0</v>
      </c>
      <c r="J319" s="50">
        <v>0</v>
      </c>
      <c r="K319" s="50">
        <v>0</v>
      </c>
      <c r="L319" s="152">
        <f t="shared" si="15"/>
        <v>0</v>
      </c>
      <c r="M319" s="50">
        <v>0</v>
      </c>
      <c r="N319" s="50">
        <v>3620553</v>
      </c>
      <c r="O319" s="418">
        <f t="shared" si="16"/>
        <v>1</v>
      </c>
    </row>
    <row r="320" spans="1:15" s="143" customFormat="1" hidden="1" x14ac:dyDescent="0.25">
      <c r="A320" s="399" t="s">
        <v>711</v>
      </c>
      <c r="B320" s="44" t="s">
        <v>350</v>
      </c>
      <c r="C320" s="44" t="s">
        <v>351</v>
      </c>
      <c r="D320" s="44" t="s">
        <v>69</v>
      </c>
      <c r="E320" s="50">
        <v>1432676</v>
      </c>
      <c r="F320" s="50">
        <v>1432676</v>
      </c>
      <c r="G320" s="50">
        <v>1432676</v>
      </c>
      <c r="H320" s="50">
        <v>0</v>
      </c>
      <c r="I320" s="50">
        <v>1170358.99</v>
      </c>
      <c r="J320" s="50">
        <v>0</v>
      </c>
      <c r="K320" s="50">
        <v>0</v>
      </c>
      <c r="L320" s="152">
        <f t="shared" si="15"/>
        <v>0</v>
      </c>
      <c r="M320" s="50">
        <v>0</v>
      </c>
      <c r="N320" s="50">
        <v>262317.01</v>
      </c>
      <c r="O320" s="418">
        <f t="shared" si="16"/>
        <v>0.18309583604387875</v>
      </c>
    </row>
    <row r="321" spans="1:15" s="143" customFormat="1" hidden="1" x14ac:dyDescent="0.25">
      <c r="A321" s="399" t="s">
        <v>711</v>
      </c>
      <c r="B321" s="44" t="s">
        <v>194</v>
      </c>
      <c r="C321" s="44" t="s">
        <v>195</v>
      </c>
      <c r="D321" s="44" t="s">
        <v>69</v>
      </c>
      <c r="E321" s="50">
        <v>12125526</v>
      </c>
      <c r="F321" s="50">
        <v>5503256</v>
      </c>
      <c r="G321" s="50">
        <v>5503256</v>
      </c>
      <c r="H321" s="50">
        <v>0</v>
      </c>
      <c r="I321" s="50">
        <v>0</v>
      </c>
      <c r="J321" s="50">
        <v>0</v>
      </c>
      <c r="K321" s="50">
        <v>0</v>
      </c>
      <c r="L321" s="152">
        <f t="shared" si="15"/>
        <v>0</v>
      </c>
      <c r="M321" s="50">
        <v>0</v>
      </c>
      <c r="N321" s="50">
        <v>5503256</v>
      </c>
      <c r="O321" s="418">
        <f t="shared" si="16"/>
        <v>1</v>
      </c>
    </row>
    <row r="322" spans="1:15" s="143" customFormat="1" hidden="1" x14ac:dyDescent="0.25">
      <c r="A322" s="399" t="s">
        <v>711</v>
      </c>
      <c r="B322" s="44" t="s">
        <v>196</v>
      </c>
      <c r="C322" s="44" t="s">
        <v>197</v>
      </c>
      <c r="D322" s="44" t="s">
        <v>69</v>
      </c>
      <c r="E322" s="50">
        <v>9704809902</v>
      </c>
      <c r="F322" s="50">
        <v>9684809902</v>
      </c>
      <c r="G322" s="50">
        <v>4764106293</v>
      </c>
      <c r="H322" s="50">
        <v>2191575</v>
      </c>
      <c r="I322" s="50">
        <v>595566356.96000004</v>
      </c>
      <c r="J322" s="50">
        <v>310041697.32999998</v>
      </c>
      <c r="K322" s="50">
        <v>1396445061.21</v>
      </c>
      <c r="L322" s="152">
        <f t="shared" si="15"/>
        <v>0.14418920715435227</v>
      </c>
      <c r="M322" s="50">
        <v>1396445061.21</v>
      </c>
      <c r="N322" s="50">
        <v>7380565211.5</v>
      </c>
      <c r="O322" s="418">
        <f t="shared" si="16"/>
        <v>0.76207641514737912</v>
      </c>
    </row>
    <row r="323" spans="1:15" s="143" customFormat="1" hidden="1" x14ac:dyDescent="0.25">
      <c r="A323" s="399" t="s">
        <v>711</v>
      </c>
      <c r="B323" s="44" t="s">
        <v>579</v>
      </c>
      <c r="C323" s="44" t="s">
        <v>580</v>
      </c>
      <c r="D323" s="44" t="s">
        <v>69</v>
      </c>
      <c r="E323" s="50">
        <v>3494885</v>
      </c>
      <c r="F323" s="50">
        <v>3494885</v>
      </c>
      <c r="G323" s="50">
        <v>3494885</v>
      </c>
      <c r="H323" s="50">
        <v>2191575</v>
      </c>
      <c r="I323" s="50">
        <v>0</v>
      </c>
      <c r="J323" s="50">
        <v>0</v>
      </c>
      <c r="K323" s="50">
        <v>0</v>
      </c>
      <c r="L323" s="152">
        <f t="shared" si="15"/>
        <v>0</v>
      </c>
      <c r="M323" s="50">
        <v>0</v>
      </c>
      <c r="N323" s="50">
        <v>1303310</v>
      </c>
      <c r="O323" s="418">
        <f t="shared" si="16"/>
        <v>0.3729192806057996</v>
      </c>
    </row>
    <row r="324" spans="1:15" s="143" customFormat="1" hidden="1" x14ac:dyDescent="0.25">
      <c r="A324" s="399" t="s">
        <v>711</v>
      </c>
      <c r="B324" s="44" t="s">
        <v>198</v>
      </c>
      <c r="C324" s="44" t="s">
        <v>199</v>
      </c>
      <c r="D324" s="44" t="s">
        <v>69</v>
      </c>
      <c r="E324" s="50">
        <v>9654391017</v>
      </c>
      <c r="F324" s="50">
        <v>9654391017</v>
      </c>
      <c r="G324" s="50">
        <v>4742191842</v>
      </c>
      <c r="H324" s="50">
        <v>0</v>
      </c>
      <c r="I324" s="50">
        <v>577146791.65999997</v>
      </c>
      <c r="J324" s="50">
        <v>310041697.32999998</v>
      </c>
      <c r="K324" s="50">
        <v>1396445061.21</v>
      </c>
      <c r="L324" s="152">
        <f t="shared" si="15"/>
        <v>0.14464351596605735</v>
      </c>
      <c r="M324" s="50">
        <v>1396445061.21</v>
      </c>
      <c r="N324" s="50">
        <v>7370757466.8000002</v>
      </c>
      <c r="O324" s="418">
        <f t="shared" si="16"/>
        <v>0.76346166773452118</v>
      </c>
    </row>
    <row r="325" spans="1:15" s="143" customFormat="1" hidden="1" x14ac:dyDescent="0.25">
      <c r="A325" s="399" t="s">
        <v>711</v>
      </c>
      <c r="B325" s="44" t="s">
        <v>352</v>
      </c>
      <c r="C325" s="44" t="s">
        <v>353</v>
      </c>
      <c r="D325" s="44" t="s">
        <v>69</v>
      </c>
      <c r="E325" s="50">
        <v>46924000</v>
      </c>
      <c r="F325" s="50">
        <v>26924000</v>
      </c>
      <c r="G325" s="50">
        <v>18419566</v>
      </c>
      <c r="H325" s="50">
        <v>0</v>
      </c>
      <c r="I325" s="50">
        <v>18419565.300000001</v>
      </c>
      <c r="J325" s="50">
        <v>0</v>
      </c>
      <c r="K325" s="50">
        <v>0</v>
      </c>
      <c r="L325" s="152">
        <f t="shared" si="15"/>
        <v>0</v>
      </c>
      <c r="M325" s="50">
        <v>0</v>
      </c>
      <c r="N325" s="50">
        <v>8504434.6999999993</v>
      </c>
      <c r="O325" s="418">
        <f t="shared" si="16"/>
        <v>0.31586817337691275</v>
      </c>
    </row>
    <row r="326" spans="1:15" s="143" customFormat="1" hidden="1" x14ac:dyDescent="0.25">
      <c r="A326" s="399" t="s">
        <v>711</v>
      </c>
      <c r="B326" s="44" t="s">
        <v>200</v>
      </c>
      <c r="C326" s="44" t="s">
        <v>201</v>
      </c>
      <c r="D326" s="44" t="s">
        <v>69</v>
      </c>
      <c r="E326" s="50">
        <v>9701312</v>
      </c>
      <c r="F326" s="50">
        <v>9022362</v>
      </c>
      <c r="G326" s="50">
        <v>9022362</v>
      </c>
      <c r="H326" s="50">
        <v>7581698</v>
      </c>
      <c r="I326" s="50">
        <v>99933</v>
      </c>
      <c r="J326" s="50">
        <v>0</v>
      </c>
      <c r="K326" s="50">
        <v>0</v>
      </c>
      <c r="L326" s="152">
        <f t="shared" si="15"/>
        <v>0</v>
      </c>
      <c r="M326" s="50">
        <v>0</v>
      </c>
      <c r="N326" s="50">
        <v>1340731</v>
      </c>
      <c r="O326" s="418">
        <f t="shared" si="16"/>
        <v>0.14860088743945321</v>
      </c>
    </row>
    <row r="327" spans="1:15" s="143" customFormat="1" hidden="1" x14ac:dyDescent="0.25">
      <c r="A327" s="399" t="s">
        <v>711</v>
      </c>
      <c r="B327" s="44" t="s">
        <v>314</v>
      </c>
      <c r="C327" s="44" t="s">
        <v>315</v>
      </c>
      <c r="D327" s="44" t="s">
        <v>69</v>
      </c>
      <c r="E327" s="50">
        <v>3440012</v>
      </c>
      <c r="F327" s="50">
        <v>3440012</v>
      </c>
      <c r="G327" s="50">
        <v>3440012</v>
      </c>
      <c r="H327" s="50">
        <v>3309013</v>
      </c>
      <c r="I327" s="50">
        <v>0</v>
      </c>
      <c r="J327" s="50">
        <v>0</v>
      </c>
      <c r="K327" s="50">
        <v>0</v>
      </c>
      <c r="L327" s="152">
        <f t="shared" si="15"/>
        <v>0</v>
      </c>
      <c r="M327" s="50">
        <v>0</v>
      </c>
      <c r="N327" s="50">
        <v>130999</v>
      </c>
      <c r="O327" s="418">
        <f t="shared" si="16"/>
        <v>3.8080971810563455E-2</v>
      </c>
    </row>
    <row r="328" spans="1:15" s="143" customFormat="1" hidden="1" x14ac:dyDescent="0.25">
      <c r="A328" s="399" t="s">
        <v>711</v>
      </c>
      <c r="B328" s="44" t="s">
        <v>316</v>
      </c>
      <c r="C328" s="44" t="s">
        <v>317</v>
      </c>
      <c r="D328" s="44" t="s">
        <v>69</v>
      </c>
      <c r="E328" s="50">
        <v>678950</v>
      </c>
      <c r="F328" s="50">
        <v>0</v>
      </c>
      <c r="G328" s="50">
        <v>0</v>
      </c>
      <c r="H328" s="50">
        <v>0</v>
      </c>
      <c r="I328" s="50">
        <v>0</v>
      </c>
      <c r="J328" s="50">
        <v>0</v>
      </c>
      <c r="K328" s="50">
        <v>0</v>
      </c>
      <c r="L328" s="152" t="e">
        <f t="shared" si="15"/>
        <v>#DIV/0!</v>
      </c>
      <c r="M328" s="50">
        <v>0</v>
      </c>
      <c r="N328" s="50">
        <v>0</v>
      </c>
      <c r="O328" s="418" t="e">
        <f t="shared" si="16"/>
        <v>#DIV/0!</v>
      </c>
    </row>
    <row r="329" spans="1:15" s="143" customFormat="1" hidden="1" x14ac:dyDescent="0.25">
      <c r="A329" s="399" t="s">
        <v>711</v>
      </c>
      <c r="B329" s="44" t="s">
        <v>318</v>
      </c>
      <c r="C329" s="44" t="s">
        <v>319</v>
      </c>
      <c r="D329" s="44" t="s">
        <v>69</v>
      </c>
      <c r="E329" s="50">
        <v>648835</v>
      </c>
      <c r="F329" s="50">
        <v>648835</v>
      </c>
      <c r="G329" s="50">
        <v>648835</v>
      </c>
      <c r="H329" s="50">
        <v>0</v>
      </c>
      <c r="I329" s="50">
        <v>0</v>
      </c>
      <c r="J329" s="50">
        <v>0</v>
      </c>
      <c r="K329" s="50">
        <v>0</v>
      </c>
      <c r="L329" s="152">
        <f t="shared" si="15"/>
        <v>0</v>
      </c>
      <c r="M329" s="50">
        <v>0</v>
      </c>
      <c r="N329" s="50">
        <v>648835</v>
      </c>
      <c r="O329" s="418">
        <f t="shared" si="16"/>
        <v>1</v>
      </c>
    </row>
    <row r="330" spans="1:15" s="143" customFormat="1" hidden="1" x14ac:dyDescent="0.25">
      <c r="A330" s="399" t="s">
        <v>711</v>
      </c>
      <c r="B330" s="44" t="s">
        <v>202</v>
      </c>
      <c r="C330" s="44" t="s">
        <v>203</v>
      </c>
      <c r="D330" s="44" t="s">
        <v>69</v>
      </c>
      <c r="E330" s="50">
        <v>274510</v>
      </c>
      <c r="F330" s="50">
        <v>274510</v>
      </c>
      <c r="G330" s="50">
        <v>274510</v>
      </c>
      <c r="H330" s="50">
        <v>0</v>
      </c>
      <c r="I330" s="50">
        <v>99933</v>
      </c>
      <c r="J330" s="50">
        <v>0</v>
      </c>
      <c r="K330" s="50">
        <v>0</v>
      </c>
      <c r="L330" s="152">
        <f t="shared" si="15"/>
        <v>0</v>
      </c>
      <c r="M330" s="50">
        <v>0</v>
      </c>
      <c r="N330" s="50">
        <v>174577</v>
      </c>
      <c r="O330" s="418">
        <f t="shared" si="16"/>
        <v>0.63595861717241631</v>
      </c>
    </row>
    <row r="331" spans="1:15" s="143" customFormat="1" hidden="1" x14ac:dyDescent="0.25">
      <c r="A331" s="399" t="s">
        <v>711</v>
      </c>
      <c r="B331" s="44" t="s">
        <v>204</v>
      </c>
      <c r="C331" s="44" t="s">
        <v>205</v>
      </c>
      <c r="D331" s="44" t="s">
        <v>69</v>
      </c>
      <c r="E331" s="50">
        <v>4524220</v>
      </c>
      <c r="F331" s="50">
        <v>4524220</v>
      </c>
      <c r="G331" s="50">
        <v>4524220</v>
      </c>
      <c r="H331" s="50">
        <v>4272685</v>
      </c>
      <c r="I331" s="50">
        <v>0</v>
      </c>
      <c r="J331" s="50">
        <v>0</v>
      </c>
      <c r="K331" s="50">
        <v>0</v>
      </c>
      <c r="L331" s="152">
        <f t="shared" si="15"/>
        <v>0</v>
      </c>
      <c r="M331" s="50">
        <v>0</v>
      </c>
      <c r="N331" s="50">
        <v>251535</v>
      </c>
      <c r="O331" s="418">
        <f t="shared" si="16"/>
        <v>5.5597428949078515E-2</v>
      </c>
    </row>
    <row r="332" spans="1:15" s="143" customFormat="1" hidden="1" x14ac:dyDescent="0.25">
      <c r="A332" s="399" t="s">
        <v>711</v>
      </c>
      <c r="B332" s="44" t="s">
        <v>322</v>
      </c>
      <c r="C332" s="44" t="s">
        <v>323</v>
      </c>
      <c r="D332" s="44" t="s">
        <v>69</v>
      </c>
      <c r="E332" s="50">
        <v>134785</v>
      </c>
      <c r="F332" s="50">
        <v>134785</v>
      </c>
      <c r="G332" s="50">
        <v>134785</v>
      </c>
      <c r="H332" s="50">
        <v>0</v>
      </c>
      <c r="I332" s="50">
        <v>0</v>
      </c>
      <c r="J332" s="50">
        <v>0</v>
      </c>
      <c r="K332" s="50">
        <v>0</v>
      </c>
      <c r="L332" s="152">
        <f t="shared" si="15"/>
        <v>0</v>
      </c>
      <c r="M332" s="50">
        <v>0</v>
      </c>
      <c r="N332" s="50">
        <v>134785</v>
      </c>
      <c r="O332" s="418">
        <f t="shared" si="16"/>
        <v>1</v>
      </c>
    </row>
    <row r="333" spans="1:15" s="143" customFormat="1" hidden="1" x14ac:dyDescent="0.25">
      <c r="A333" s="399" t="s">
        <v>711</v>
      </c>
      <c r="B333" s="44" t="s">
        <v>206</v>
      </c>
      <c r="C333" s="44" t="s">
        <v>207</v>
      </c>
      <c r="D333" s="44" t="s">
        <v>69</v>
      </c>
      <c r="E333" s="50">
        <v>4818247</v>
      </c>
      <c r="F333" s="50">
        <v>1818247</v>
      </c>
      <c r="G333" s="50">
        <v>1818247</v>
      </c>
      <c r="H333" s="50">
        <v>0</v>
      </c>
      <c r="I333" s="50">
        <v>0</v>
      </c>
      <c r="J333" s="50">
        <v>0</v>
      </c>
      <c r="K333" s="50">
        <v>0</v>
      </c>
      <c r="L333" s="152">
        <f t="shared" si="15"/>
        <v>0</v>
      </c>
      <c r="M333" s="50">
        <v>0</v>
      </c>
      <c r="N333" s="50">
        <v>1818247</v>
      </c>
      <c r="O333" s="418">
        <f t="shared" si="16"/>
        <v>1</v>
      </c>
    </row>
    <row r="334" spans="1:15" s="143" customFormat="1" hidden="1" x14ac:dyDescent="0.25">
      <c r="A334" s="399" t="s">
        <v>711</v>
      </c>
      <c r="B334" s="44" t="s">
        <v>208</v>
      </c>
      <c r="C334" s="44" t="s">
        <v>209</v>
      </c>
      <c r="D334" s="44" t="s">
        <v>69</v>
      </c>
      <c r="E334" s="50">
        <v>4818247</v>
      </c>
      <c r="F334" s="50">
        <v>1818247</v>
      </c>
      <c r="G334" s="50">
        <v>1818247</v>
      </c>
      <c r="H334" s="50">
        <v>0</v>
      </c>
      <c r="I334" s="50">
        <v>0</v>
      </c>
      <c r="J334" s="50">
        <v>0</v>
      </c>
      <c r="K334" s="50">
        <v>0</v>
      </c>
      <c r="L334" s="152">
        <f t="shared" si="15"/>
        <v>0</v>
      </c>
      <c r="M334" s="50">
        <v>0</v>
      </c>
      <c r="N334" s="50">
        <v>1818247</v>
      </c>
      <c r="O334" s="418">
        <f t="shared" si="16"/>
        <v>1</v>
      </c>
    </row>
    <row r="335" spans="1:15" s="143" customFormat="1" hidden="1" x14ac:dyDescent="0.25">
      <c r="A335" s="399" t="s">
        <v>711</v>
      </c>
      <c r="B335" s="44" t="s">
        <v>354</v>
      </c>
      <c r="C335" s="44" t="s">
        <v>355</v>
      </c>
      <c r="D335" s="44" t="s">
        <v>69</v>
      </c>
      <c r="E335" s="50">
        <v>2859160</v>
      </c>
      <c r="F335" s="50">
        <v>859160</v>
      </c>
      <c r="G335" s="50">
        <v>859160</v>
      </c>
      <c r="H335" s="50">
        <v>0</v>
      </c>
      <c r="I335" s="50">
        <v>0</v>
      </c>
      <c r="J335" s="50">
        <v>0</v>
      </c>
      <c r="K335" s="50">
        <v>0</v>
      </c>
      <c r="L335" s="152">
        <f t="shared" si="15"/>
        <v>0</v>
      </c>
      <c r="M335" s="50">
        <v>0</v>
      </c>
      <c r="N335" s="50">
        <v>859160</v>
      </c>
      <c r="O335" s="418">
        <f t="shared" si="16"/>
        <v>1</v>
      </c>
    </row>
    <row r="336" spans="1:15" s="143" customFormat="1" hidden="1" x14ac:dyDescent="0.25">
      <c r="A336" s="399" t="s">
        <v>711</v>
      </c>
      <c r="B336" s="44" t="s">
        <v>356</v>
      </c>
      <c r="C336" s="44" t="s">
        <v>357</v>
      </c>
      <c r="D336" s="44" t="s">
        <v>69</v>
      </c>
      <c r="E336" s="50">
        <v>2859160</v>
      </c>
      <c r="F336" s="50">
        <v>859160</v>
      </c>
      <c r="G336" s="50">
        <v>859160</v>
      </c>
      <c r="H336" s="50">
        <v>0</v>
      </c>
      <c r="I336" s="50">
        <v>0</v>
      </c>
      <c r="J336" s="50">
        <v>0</v>
      </c>
      <c r="K336" s="50">
        <v>0</v>
      </c>
      <c r="L336" s="152">
        <f t="shared" si="15"/>
        <v>0</v>
      </c>
      <c r="M336" s="50">
        <v>0</v>
      </c>
      <c r="N336" s="50">
        <v>859160</v>
      </c>
      <c r="O336" s="418">
        <f t="shared" si="16"/>
        <v>1</v>
      </c>
    </row>
    <row r="337" spans="1:15" s="143" customFormat="1" hidden="1" x14ac:dyDescent="0.25">
      <c r="A337" s="399" t="s">
        <v>711</v>
      </c>
      <c r="B337" s="44" t="s">
        <v>212</v>
      </c>
      <c r="C337" s="44" t="s">
        <v>213</v>
      </c>
      <c r="D337" s="44" t="s">
        <v>69</v>
      </c>
      <c r="E337" s="50">
        <v>20687802</v>
      </c>
      <c r="F337" s="50">
        <v>20687802</v>
      </c>
      <c r="G337" s="50">
        <v>20687802</v>
      </c>
      <c r="H337" s="50">
        <v>3981750</v>
      </c>
      <c r="I337" s="50">
        <v>0</v>
      </c>
      <c r="J337" s="50">
        <v>0</v>
      </c>
      <c r="K337" s="50">
        <v>0</v>
      </c>
      <c r="L337" s="152">
        <f t="shared" si="15"/>
        <v>0</v>
      </c>
      <c r="M337" s="50">
        <v>0</v>
      </c>
      <c r="N337" s="50">
        <v>16706052</v>
      </c>
      <c r="O337" s="418">
        <f t="shared" si="16"/>
        <v>0.80753151059740425</v>
      </c>
    </row>
    <row r="338" spans="1:15" s="143" customFormat="1" hidden="1" x14ac:dyDescent="0.25">
      <c r="A338" s="399" t="s">
        <v>711</v>
      </c>
      <c r="B338" s="44" t="s">
        <v>216</v>
      </c>
      <c r="C338" s="44" t="s">
        <v>217</v>
      </c>
      <c r="D338" s="44" t="s">
        <v>69</v>
      </c>
      <c r="E338" s="50">
        <v>9443712</v>
      </c>
      <c r="F338" s="50">
        <v>9443712</v>
      </c>
      <c r="G338" s="50">
        <v>9443712</v>
      </c>
      <c r="H338" s="50">
        <v>0</v>
      </c>
      <c r="I338" s="50">
        <v>0</v>
      </c>
      <c r="J338" s="50">
        <v>0</v>
      </c>
      <c r="K338" s="50">
        <v>0</v>
      </c>
      <c r="L338" s="152">
        <f t="shared" si="15"/>
        <v>0</v>
      </c>
      <c r="M338" s="50">
        <v>0</v>
      </c>
      <c r="N338" s="50">
        <v>9443712</v>
      </c>
      <c r="O338" s="418">
        <f t="shared" si="16"/>
        <v>1</v>
      </c>
    </row>
    <row r="339" spans="1:15" s="143" customFormat="1" hidden="1" x14ac:dyDescent="0.25">
      <c r="A339" s="399" t="s">
        <v>711</v>
      </c>
      <c r="B339" s="44" t="s">
        <v>218</v>
      </c>
      <c r="C339" s="44" t="s">
        <v>219</v>
      </c>
      <c r="D339" s="44" t="s">
        <v>69</v>
      </c>
      <c r="E339" s="50">
        <v>4708500</v>
      </c>
      <c r="F339" s="50">
        <v>4708500</v>
      </c>
      <c r="G339" s="50">
        <v>4708500</v>
      </c>
      <c r="H339" s="50">
        <v>0</v>
      </c>
      <c r="I339" s="50">
        <v>0</v>
      </c>
      <c r="J339" s="50">
        <v>0</v>
      </c>
      <c r="K339" s="50">
        <v>0</v>
      </c>
      <c r="L339" s="152">
        <f t="shared" si="15"/>
        <v>0</v>
      </c>
      <c r="M339" s="50">
        <v>0</v>
      </c>
      <c r="N339" s="50">
        <v>4708500</v>
      </c>
      <c r="O339" s="418">
        <f t="shared" si="16"/>
        <v>1</v>
      </c>
    </row>
    <row r="340" spans="1:15" s="143" customFormat="1" hidden="1" x14ac:dyDescent="0.25">
      <c r="A340" s="399" t="s">
        <v>711</v>
      </c>
      <c r="B340" s="44" t="s">
        <v>220</v>
      </c>
      <c r="C340" s="44" t="s">
        <v>221</v>
      </c>
      <c r="D340" s="44" t="s">
        <v>69</v>
      </c>
      <c r="E340" s="50">
        <v>4306450</v>
      </c>
      <c r="F340" s="50">
        <v>4306450</v>
      </c>
      <c r="G340" s="50">
        <v>4306450</v>
      </c>
      <c r="H340" s="50">
        <v>3981750</v>
      </c>
      <c r="I340" s="50">
        <v>0</v>
      </c>
      <c r="J340" s="50">
        <v>0</v>
      </c>
      <c r="K340" s="50">
        <v>0</v>
      </c>
      <c r="L340" s="152">
        <f t="shared" si="15"/>
        <v>0</v>
      </c>
      <c r="M340" s="50">
        <v>0</v>
      </c>
      <c r="N340" s="50">
        <v>324700</v>
      </c>
      <c r="O340" s="418">
        <f t="shared" si="16"/>
        <v>7.5398530111809026E-2</v>
      </c>
    </row>
    <row r="341" spans="1:15" s="143" customFormat="1" hidden="1" x14ac:dyDescent="0.25">
      <c r="A341" s="399" t="s">
        <v>711</v>
      </c>
      <c r="B341" s="44" t="s">
        <v>222</v>
      </c>
      <c r="C341" s="44" t="s">
        <v>223</v>
      </c>
      <c r="D341" s="44" t="s">
        <v>69</v>
      </c>
      <c r="E341" s="50">
        <v>842640</v>
      </c>
      <c r="F341" s="50">
        <v>842640</v>
      </c>
      <c r="G341" s="50">
        <v>842640</v>
      </c>
      <c r="H341" s="50">
        <v>0</v>
      </c>
      <c r="I341" s="50">
        <v>0</v>
      </c>
      <c r="J341" s="50">
        <v>0</v>
      </c>
      <c r="K341" s="50">
        <v>0</v>
      </c>
      <c r="L341" s="152">
        <f t="shared" si="15"/>
        <v>0</v>
      </c>
      <c r="M341" s="50">
        <v>0</v>
      </c>
      <c r="N341" s="50">
        <v>842640</v>
      </c>
      <c r="O341" s="418">
        <f t="shared" si="16"/>
        <v>1</v>
      </c>
    </row>
    <row r="342" spans="1:15" s="143" customFormat="1" hidden="1" x14ac:dyDescent="0.25">
      <c r="A342" s="399" t="s">
        <v>711</v>
      </c>
      <c r="B342" s="44" t="s">
        <v>224</v>
      </c>
      <c r="C342" s="44" t="s">
        <v>225</v>
      </c>
      <c r="D342" s="44" t="s">
        <v>69</v>
      </c>
      <c r="E342" s="50">
        <v>887300</v>
      </c>
      <c r="F342" s="50">
        <v>887300</v>
      </c>
      <c r="G342" s="50">
        <v>887300</v>
      </c>
      <c r="H342" s="50">
        <v>0</v>
      </c>
      <c r="I342" s="50">
        <v>0</v>
      </c>
      <c r="J342" s="50">
        <v>0</v>
      </c>
      <c r="K342" s="50">
        <v>0</v>
      </c>
      <c r="L342" s="152">
        <f t="shared" si="15"/>
        <v>0</v>
      </c>
      <c r="M342" s="50">
        <v>0</v>
      </c>
      <c r="N342" s="50">
        <v>887300</v>
      </c>
      <c r="O342" s="418">
        <f t="shared" si="16"/>
        <v>1</v>
      </c>
    </row>
    <row r="343" spans="1:15" s="143" customFormat="1" hidden="1" x14ac:dyDescent="0.25">
      <c r="A343" s="399" t="s">
        <v>711</v>
      </c>
      <c r="B343" s="44" t="s">
        <v>228</v>
      </c>
      <c r="C343" s="44" t="s">
        <v>229</v>
      </c>
      <c r="D343" s="44" t="s">
        <v>69</v>
      </c>
      <c r="E343" s="50">
        <v>499200</v>
      </c>
      <c r="F343" s="50">
        <v>499200</v>
      </c>
      <c r="G343" s="50">
        <v>499200</v>
      </c>
      <c r="H343" s="50">
        <v>0</v>
      </c>
      <c r="I343" s="50">
        <v>0</v>
      </c>
      <c r="J343" s="50">
        <v>0</v>
      </c>
      <c r="K343" s="50">
        <v>0</v>
      </c>
      <c r="L343" s="152">
        <f t="shared" si="15"/>
        <v>0</v>
      </c>
      <c r="M343" s="50">
        <v>0</v>
      </c>
      <c r="N343" s="50">
        <v>499200</v>
      </c>
      <c r="O343" s="418">
        <f t="shared" si="16"/>
        <v>1</v>
      </c>
    </row>
    <row r="344" spans="1:15" s="143" customFormat="1" x14ac:dyDescent="0.25">
      <c r="A344" s="399" t="s">
        <v>711</v>
      </c>
      <c r="B344" s="44" t="s">
        <v>230</v>
      </c>
      <c r="C344" s="44" t="s">
        <v>231</v>
      </c>
      <c r="D344" s="44" t="s">
        <v>85</v>
      </c>
      <c r="E344" s="50">
        <v>53324000</v>
      </c>
      <c r="F344" s="50">
        <v>53324000</v>
      </c>
      <c r="G344" s="50">
        <v>53324000</v>
      </c>
      <c r="H344" s="50">
        <v>0</v>
      </c>
      <c r="I344" s="50">
        <v>7425000</v>
      </c>
      <c r="J344" s="50">
        <v>0</v>
      </c>
      <c r="K344" s="50">
        <v>0</v>
      </c>
      <c r="L344" s="152">
        <f t="shared" si="15"/>
        <v>0</v>
      </c>
      <c r="M344" s="50">
        <v>0</v>
      </c>
      <c r="N344" s="50">
        <v>45899000</v>
      </c>
      <c r="O344" s="418">
        <f t="shared" si="16"/>
        <v>0.86075688245442949</v>
      </c>
    </row>
    <row r="345" spans="1:15" s="143" customFormat="1" hidden="1" x14ac:dyDescent="0.25">
      <c r="A345" s="399" t="s">
        <v>711</v>
      </c>
      <c r="B345" s="44" t="s">
        <v>232</v>
      </c>
      <c r="C345" s="44" t="s">
        <v>233</v>
      </c>
      <c r="D345" s="44" t="s">
        <v>85</v>
      </c>
      <c r="E345" s="50">
        <v>45824000</v>
      </c>
      <c r="F345" s="50">
        <v>43124000</v>
      </c>
      <c r="G345" s="50">
        <v>43124000</v>
      </c>
      <c r="H345" s="50">
        <v>0</v>
      </c>
      <c r="I345" s="50">
        <v>0</v>
      </c>
      <c r="J345" s="50">
        <v>0</v>
      </c>
      <c r="K345" s="50">
        <v>0</v>
      </c>
      <c r="L345" s="152">
        <f t="shared" si="15"/>
        <v>0</v>
      </c>
      <c r="M345" s="50">
        <v>0</v>
      </c>
      <c r="N345" s="50">
        <v>43124000</v>
      </c>
      <c r="O345" s="418">
        <f t="shared" si="16"/>
        <v>1</v>
      </c>
    </row>
    <row r="346" spans="1:15" s="143" customFormat="1" hidden="1" x14ac:dyDescent="0.25">
      <c r="A346" s="399" t="s">
        <v>711</v>
      </c>
      <c r="B346" s="44" t="s">
        <v>234</v>
      </c>
      <c r="C346" s="44" t="s">
        <v>235</v>
      </c>
      <c r="D346" s="44" t="s">
        <v>85</v>
      </c>
      <c r="E346" s="50">
        <v>3490000</v>
      </c>
      <c r="F346" s="50">
        <v>790000</v>
      </c>
      <c r="G346" s="50">
        <v>790000</v>
      </c>
      <c r="H346" s="50">
        <v>0</v>
      </c>
      <c r="I346" s="50">
        <v>0</v>
      </c>
      <c r="J346" s="50">
        <v>0</v>
      </c>
      <c r="K346" s="50">
        <v>0</v>
      </c>
      <c r="L346" s="152">
        <f t="shared" si="15"/>
        <v>0</v>
      </c>
      <c r="M346" s="50">
        <v>0</v>
      </c>
      <c r="N346" s="50">
        <v>790000</v>
      </c>
      <c r="O346" s="418">
        <f t="shared" si="16"/>
        <v>1</v>
      </c>
    </row>
    <row r="347" spans="1:15" s="143" customFormat="1" hidden="1" x14ac:dyDescent="0.25">
      <c r="A347" s="399" t="s">
        <v>711</v>
      </c>
      <c r="B347" s="44" t="s">
        <v>238</v>
      </c>
      <c r="C347" s="44" t="s">
        <v>239</v>
      </c>
      <c r="D347" s="44" t="s">
        <v>85</v>
      </c>
      <c r="E347" s="50">
        <v>420000</v>
      </c>
      <c r="F347" s="50">
        <v>0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152" t="e">
        <f t="shared" si="15"/>
        <v>#DIV/0!</v>
      </c>
      <c r="M347" s="50">
        <v>0</v>
      </c>
      <c r="N347" s="50">
        <v>0</v>
      </c>
      <c r="O347" s="418" t="e">
        <f t="shared" si="16"/>
        <v>#DIV/0!</v>
      </c>
    </row>
    <row r="348" spans="1:15" s="143" customFormat="1" hidden="1" x14ac:dyDescent="0.25">
      <c r="A348" s="399" t="s">
        <v>711</v>
      </c>
      <c r="B348" s="44" t="s">
        <v>326</v>
      </c>
      <c r="C348" s="44" t="s">
        <v>327</v>
      </c>
      <c r="D348" s="44" t="s">
        <v>85</v>
      </c>
      <c r="E348" s="50">
        <v>41125000</v>
      </c>
      <c r="F348" s="50">
        <v>41545000</v>
      </c>
      <c r="G348" s="50">
        <v>41545000</v>
      </c>
      <c r="H348" s="50">
        <v>0</v>
      </c>
      <c r="I348" s="50">
        <v>0</v>
      </c>
      <c r="J348" s="50">
        <v>0</v>
      </c>
      <c r="K348" s="50">
        <v>0</v>
      </c>
      <c r="L348" s="152">
        <f t="shared" si="15"/>
        <v>0</v>
      </c>
      <c r="M348" s="50">
        <v>0</v>
      </c>
      <c r="N348" s="50">
        <v>41545000</v>
      </c>
      <c r="O348" s="418">
        <f t="shared" si="16"/>
        <v>1</v>
      </c>
    </row>
    <row r="349" spans="1:15" s="143" customFormat="1" hidden="1" x14ac:dyDescent="0.25">
      <c r="A349" s="399" t="s">
        <v>711</v>
      </c>
      <c r="B349" s="44" t="s">
        <v>242</v>
      </c>
      <c r="C349" s="44" t="s">
        <v>243</v>
      </c>
      <c r="D349" s="44" t="s">
        <v>85</v>
      </c>
      <c r="E349" s="50">
        <v>789000</v>
      </c>
      <c r="F349" s="50">
        <v>789000</v>
      </c>
      <c r="G349" s="50">
        <v>789000</v>
      </c>
      <c r="H349" s="50">
        <v>0</v>
      </c>
      <c r="I349" s="50">
        <v>0</v>
      </c>
      <c r="J349" s="50">
        <v>0</v>
      </c>
      <c r="K349" s="50">
        <v>0</v>
      </c>
      <c r="L349" s="152">
        <f t="shared" si="15"/>
        <v>0</v>
      </c>
      <c r="M349" s="50">
        <v>0</v>
      </c>
      <c r="N349" s="50">
        <v>789000</v>
      </c>
      <c r="O349" s="418">
        <f t="shared" si="16"/>
        <v>1</v>
      </c>
    </row>
    <row r="350" spans="1:15" s="143" customFormat="1" hidden="1" x14ac:dyDescent="0.25">
      <c r="A350" s="399" t="s">
        <v>711</v>
      </c>
      <c r="B350" s="44" t="s">
        <v>244</v>
      </c>
      <c r="C350" s="44" t="s">
        <v>245</v>
      </c>
      <c r="D350" s="44" t="s">
        <v>85</v>
      </c>
      <c r="E350" s="50">
        <v>7500000</v>
      </c>
      <c r="F350" s="50">
        <v>10200000</v>
      </c>
      <c r="G350" s="50">
        <v>10200000</v>
      </c>
      <c r="H350" s="50">
        <v>0</v>
      </c>
      <c r="I350" s="50">
        <v>7425000</v>
      </c>
      <c r="J350" s="50">
        <v>0</v>
      </c>
      <c r="K350" s="50">
        <v>0</v>
      </c>
      <c r="L350" s="152">
        <f t="shared" si="15"/>
        <v>0</v>
      </c>
      <c r="M350" s="50">
        <v>0</v>
      </c>
      <c r="N350" s="50">
        <v>2775000</v>
      </c>
      <c r="O350" s="418">
        <f t="shared" si="16"/>
        <v>0.27205882352941174</v>
      </c>
    </row>
    <row r="351" spans="1:15" s="143" customFormat="1" hidden="1" x14ac:dyDescent="0.25">
      <c r="A351" s="399" t="s">
        <v>711</v>
      </c>
      <c r="B351" s="44" t="s">
        <v>611</v>
      </c>
      <c r="C351" s="44" t="s">
        <v>612</v>
      </c>
      <c r="D351" s="44" t="s">
        <v>85</v>
      </c>
      <c r="E351" s="50">
        <v>7500000</v>
      </c>
      <c r="F351" s="50">
        <v>10200000</v>
      </c>
      <c r="G351" s="50">
        <v>10200000</v>
      </c>
      <c r="H351" s="50">
        <v>0</v>
      </c>
      <c r="I351" s="50">
        <v>7425000</v>
      </c>
      <c r="J351" s="50">
        <v>0</v>
      </c>
      <c r="K351" s="50">
        <v>0</v>
      </c>
      <c r="L351" s="152">
        <f t="shared" si="15"/>
        <v>0</v>
      </c>
      <c r="M351" s="50">
        <v>0</v>
      </c>
      <c r="N351" s="50">
        <v>2775000</v>
      </c>
      <c r="O351" s="418">
        <f t="shared" si="16"/>
        <v>0.27205882352941174</v>
      </c>
    </row>
    <row r="352" spans="1:15" s="143" customFormat="1" x14ac:dyDescent="0.25">
      <c r="A352" s="399" t="s">
        <v>711</v>
      </c>
      <c r="B352" s="44" t="s">
        <v>248</v>
      </c>
      <c r="C352" s="44" t="s">
        <v>249</v>
      </c>
      <c r="D352" s="44" t="s">
        <v>69</v>
      </c>
      <c r="E352" s="50">
        <v>236354526</v>
      </c>
      <c r="F352" s="50">
        <v>232014843</v>
      </c>
      <c r="G352" s="50">
        <v>230664701</v>
      </c>
      <c r="H352" s="50">
        <v>0</v>
      </c>
      <c r="I352" s="50">
        <v>126819133</v>
      </c>
      <c r="J352" s="50">
        <v>0</v>
      </c>
      <c r="K352" s="50">
        <v>66693028</v>
      </c>
      <c r="L352" s="152">
        <f t="shared" si="15"/>
        <v>0.28745155757125418</v>
      </c>
      <c r="M352" s="50">
        <v>66693028</v>
      </c>
      <c r="N352" s="50">
        <v>38502682</v>
      </c>
      <c r="O352" s="418">
        <f t="shared" si="16"/>
        <v>0.1659492190333702</v>
      </c>
    </row>
    <row r="353" spans="1:15" s="143" customFormat="1" hidden="1" x14ac:dyDescent="0.25">
      <c r="A353" s="399" t="s">
        <v>711</v>
      </c>
      <c r="B353" s="44" t="s">
        <v>250</v>
      </c>
      <c r="C353" s="44" t="s">
        <v>251</v>
      </c>
      <c r="D353" s="44" t="s">
        <v>69</v>
      </c>
      <c r="E353" s="50">
        <v>180354526</v>
      </c>
      <c r="F353" s="50">
        <v>176014843</v>
      </c>
      <c r="G353" s="50">
        <v>174664701</v>
      </c>
      <c r="H353" s="50">
        <v>0</v>
      </c>
      <c r="I353" s="50">
        <v>126819133</v>
      </c>
      <c r="J353" s="50">
        <v>0</v>
      </c>
      <c r="K353" s="50">
        <v>47845568</v>
      </c>
      <c r="L353" s="152">
        <f t="shared" si="15"/>
        <v>0.27182689359896767</v>
      </c>
      <c r="M353" s="50">
        <v>47845568</v>
      </c>
      <c r="N353" s="50">
        <v>1350142</v>
      </c>
      <c r="O353" s="418">
        <f t="shared" si="16"/>
        <v>7.6706144606225055E-3</v>
      </c>
    </row>
    <row r="354" spans="1:15" s="143" customFormat="1" hidden="1" x14ac:dyDescent="0.25">
      <c r="A354" s="399" t="s">
        <v>711</v>
      </c>
      <c r="B354" s="44" t="s">
        <v>630</v>
      </c>
      <c r="C354" s="44" t="s">
        <v>702</v>
      </c>
      <c r="D354" s="44" t="s">
        <v>69</v>
      </c>
      <c r="E354" s="50">
        <v>153192762</v>
      </c>
      <c r="F354" s="50">
        <v>149506644</v>
      </c>
      <c r="G354" s="50">
        <v>148359836</v>
      </c>
      <c r="H354" s="50">
        <v>0</v>
      </c>
      <c r="I354" s="50">
        <v>107908180</v>
      </c>
      <c r="J354" s="50">
        <v>0</v>
      </c>
      <c r="K354" s="50">
        <v>40451656</v>
      </c>
      <c r="L354" s="152">
        <f t="shared" si="15"/>
        <v>0.27056761437304416</v>
      </c>
      <c r="M354" s="50">
        <v>40451656</v>
      </c>
      <c r="N354" s="50">
        <v>1146808</v>
      </c>
      <c r="O354" s="418">
        <f t="shared" si="16"/>
        <v>7.6706156282927464E-3</v>
      </c>
    </row>
    <row r="355" spans="1:15" s="143" customFormat="1" hidden="1" x14ac:dyDescent="0.25">
      <c r="A355" s="399" t="s">
        <v>711</v>
      </c>
      <c r="B355" s="44" t="s">
        <v>645</v>
      </c>
      <c r="C355" s="44" t="s">
        <v>703</v>
      </c>
      <c r="D355" s="44" t="s">
        <v>69</v>
      </c>
      <c r="E355" s="50">
        <v>27161764</v>
      </c>
      <c r="F355" s="50">
        <v>26508199</v>
      </c>
      <c r="G355" s="50">
        <v>26304865</v>
      </c>
      <c r="H355" s="50">
        <v>0</v>
      </c>
      <c r="I355" s="50">
        <v>18910953</v>
      </c>
      <c r="J355" s="50">
        <v>0</v>
      </c>
      <c r="K355" s="50">
        <v>7393912</v>
      </c>
      <c r="L355" s="152">
        <f t="shared" si="15"/>
        <v>0.27892924751319392</v>
      </c>
      <c r="M355" s="50">
        <v>7393912</v>
      </c>
      <c r="N355" s="50">
        <v>203334</v>
      </c>
      <c r="O355" s="418">
        <f t="shared" si="16"/>
        <v>7.6706078749446543E-3</v>
      </c>
    </row>
    <row r="356" spans="1:15" s="143" customFormat="1" hidden="1" x14ac:dyDescent="0.25">
      <c r="A356" s="399" t="s">
        <v>711</v>
      </c>
      <c r="B356" s="44" t="s">
        <v>260</v>
      </c>
      <c r="C356" s="44" t="s">
        <v>261</v>
      </c>
      <c r="D356" s="44" t="s">
        <v>69</v>
      </c>
      <c r="E356" s="50">
        <v>56000000</v>
      </c>
      <c r="F356" s="50">
        <v>56000000</v>
      </c>
      <c r="G356" s="50">
        <v>56000000</v>
      </c>
      <c r="H356" s="50">
        <v>0</v>
      </c>
      <c r="I356" s="50">
        <v>0</v>
      </c>
      <c r="J356" s="50">
        <v>0</v>
      </c>
      <c r="K356" s="50">
        <v>18847460</v>
      </c>
      <c r="L356" s="152">
        <f t="shared" si="15"/>
        <v>0.33656178571428569</v>
      </c>
      <c r="M356" s="50">
        <v>18847460</v>
      </c>
      <c r="N356" s="50">
        <v>37152540</v>
      </c>
      <c r="O356" s="418">
        <f t="shared" si="16"/>
        <v>0.66343821428571426</v>
      </c>
    </row>
    <row r="357" spans="1:15" s="143" customFormat="1" hidden="1" x14ac:dyDescent="0.25">
      <c r="A357" s="399" t="s">
        <v>711</v>
      </c>
      <c r="B357" s="44" t="s">
        <v>264</v>
      </c>
      <c r="C357" s="44" t="s">
        <v>265</v>
      </c>
      <c r="D357" s="44" t="s">
        <v>69</v>
      </c>
      <c r="E357" s="50">
        <v>56000000</v>
      </c>
      <c r="F357" s="50">
        <v>56000000</v>
      </c>
      <c r="G357" s="50">
        <v>56000000</v>
      </c>
      <c r="H357" s="50">
        <v>0</v>
      </c>
      <c r="I357" s="50">
        <v>0</v>
      </c>
      <c r="J357" s="50">
        <v>0</v>
      </c>
      <c r="K357" s="50">
        <v>18847460</v>
      </c>
      <c r="L357" s="152">
        <f t="shared" si="15"/>
        <v>0.33656178571428569</v>
      </c>
      <c r="M357" s="50">
        <v>18847460</v>
      </c>
      <c r="N357" s="50">
        <v>37152540</v>
      </c>
      <c r="O357" s="418">
        <f t="shared" si="16"/>
        <v>0.66343821428571426</v>
      </c>
    </row>
    <row r="358" spans="1:15" s="143" customFormat="1" hidden="1" x14ac:dyDescent="0.25">
      <c r="A358" s="399" t="s">
        <v>712</v>
      </c>
      <c r="B358" s="44"/>
      <c r="C358" s="44"/>
      <c r="D358" s="44" t="s">
        <v>69</v>
      </c>
      <c r="E358" s="50">
        <v>2218633702</v>
      </c>
      <c r="F358" s="50">
        <v>2188449876</v>
      </c>
      <c r="G358" s="50">
        <v>1724062199</v>
      </c>
      <c r="H358" s="50">
        <v>5399748</v>
      </c>
      <c r="I358" s="50">
        <v>268646152.70999998</v>
      </c>
      <c r="J358" s="50">
        <v>5878607.9699999997</v>
      </c>
      <c r="K358" s="50">
        <v>520262304.07999998</v>
      </c>
      <c r="L358" s="152">
        <f t="shared" si="15"/>
        <v>0.23773096646422803</v>
      </c>
      <c r="M358" s="50">
        <v>493190020.92000002</v>
      </c>
      <c r="N358" s="50">
        <v>1388263063.24</v>
      </c>
      <c r="O358" s="418">
        <f t="shared" si="16"/>
        <v>0.63435908606572078</v>
      </c>
    </row>
    <row r="359" spans="1:15" s="143" customFormat="1" x14ac:dyDescent="0.25">
      <c r="A359" s="389"/>
      <c r="B359" s="390"/>
      <c r="C359" s="390"/>
      <c r="D359" s="390"/>
      <c r="E359" s="391"/>
      <c r="F359" s="391">
        <f>F286+F304+F316+F344+F352</f>
        <v>27526891796</v>
      </c>
      <c r="G359" s="391"/>
      <c r="H359" s="391"/>
      <c r="I359" s="391"/>
      <c r="J359" s="391"/>
      <c r="K359" s="391">
        <f>K286+K304+K316+K344+K352</f>
        <v>6442257492.9200001</v>
      </c>
      <c r="L359" s="392">
        <f t="shared" si="15"/>
        <v>0.23403504982193959</v>
      </c>
      <c r="M359" s="391"/>
      <c r="N359" s="391">
        <f>N286+N304+N316+N344+N352</f>
        <v>17276221130.93</v>
      </c>
      <c r="O359" s="393">
        <f t="shared" si="16"/>
        <v>0.62761249104922379</v>
      </c>
    </row>
    <row r="360" spans="1:15" s="143" customFormat="1" x14ac:dyDescent="0.25">
      <c r="A360" s="394"/>
      <c r="B360" s="308"/>
      <c r="C360" s="308"/>
      <c r="D360" s="308"/>
      <c r="E360" s="305"/>
      <c r="F360" s="305"/>
      <c r="G360" s="305"/>
      <c r="H360" s="305"/>
      <c r="I360" s="305"/>
      <c r="J360" s="305"/>
      <c r="K360" s="305"/>
      <c r="L360" s="306"/>
      <c r="M360" s="305"/>
      <c r="N360" s="305"/>
      <c r="O360" s="419"/>
    </row>
    <row r="361" spans="1:15" s="143" customFormat="1" x14ac:dyDescent="0.25">
      <c r="A361" s="399" t="s">
        <v>712</v>
      </c>
      <c r="B361" s="414" t="s">
        <v>71</v>
      </c>
      <c r="C361" s="414" t="s">
        <v>72</v>
      </c>
      <c r="D361" s="414"/>
      <c r="E361" s="415"/>
      <c r="F361" s="415">
        <v>1228348840</v>
      </c>
      <c r="G361" s="415"/>
      <c r="H361" s="415"/>
      <c r="I361" s="415"/>
      <c r="J361" s="415"/>
      <c r="K361" s="415">
        <f>+'SIGAF DIC 20'!K445</f>
        <v>0</v>
      </c>
      <c r="L361" s="415"/>
      <c r="M361" s="415"/>
      <c r="N361" s="415">
        <f>+'SIGAF DIC 20'!O445</f>
        <v>0</v>
      </c>
      <c r="O361" s="420"/>
    </row>
    <row r="362" spans="1:15" s="143" customFormat="1" hidden="1" x14ac:dyDescent="0.25">
      <c r="A362" s="399" t="s">
        <v>712</v>
      </c>
      <c r="B362" s="44" t="s">
        <v>73</v>
      </c>
      <c r="C362" s="44" t="s">
        <v>74</v>
      </c>
      <c r="D362" s="44" t="s">
        <v>69</v>
      </c>
      <c r="E362" s="50">
        <v>493376624</v>
      </c>
      <c r="F362" s="50">
        <v>477092402</v>
      </c>
      <c r="G362" s="50">
        <v>477092402</v>
      </c>
      <c r="H362" s="50">
        <v>0</v>
      </c>
      <c r="I362" s="50">
        <v>0</v>
      </c>
      <c r="J362" s="50">
        <v>0</v>
      </c>
      <c r="K362" s="50">
        <v>152176811.03</v>
      </c>
      <c r="L362" s="50"/>
      <c r="M362" s="50">
        <v>152176811.03</v>
      </c>
      <c r="N362" s="50">
        <v>324915590.97000003</v>
      </c>
      <c r="O362" s="421"/>
    </row>
    <row r="363" spans="1:15" s="143" customFormat="1" hidden="1" x14ac:dyDescent="0.25">
      <c r="A363" s="399" t="s">
        <v>712</v>
      </c>
      <c r="B363" s="44" t="s">
        <v>75</v>
      </c>
      <c r="C363" s="44" t="s">
        <v>76</v>
      </c>
      <c r="D363" s="44" t="s">
        <v>69</v>
      </c>
      <c r="E363" s="50">
        <v>493376624</v>
      </c>
      <c r="F363" s="50">
        <v>477092402</v>
      </c>
      <c r="G363" s="50">
        <v>477092402</v>
      </c>
      <c r="H363" s="50">
        <v>0</v>
      </c>
      <c r="I363" s="50">
        <v>0</v>
      </c>
      <c r="J363" s="50">
        <v>0</v>
      </c>
      <c r="K363" s="50">
        <v>152176811.03</v>
      </c>
      <c r="L363" s="50"/>
      <c r="M363" s="50">
        <v>152176811.03</v>
      </c>
      <c r="N363" s="50">
        <v>324915590.97000003</v>
      </c>
      <c r="O363" s="421"/>
    </row>
    <row r="364" spans="1:15" s="143" customFormat="1" hidden="1" x14ac:dyDescent="0.25">
      <c r="A364" s="399" t="s">
        <v>712</v>
      </c>
      <c r="B364" s="44" t="s">
        <v>77</v>
      </c>
      <c r="C364" s="44" t="s">
        <v>78</v>
      </c>
      <c r="D364" s="44" t="s">
        <v>69</v>
      </c>
      <c r="E364" s="50">
        <v>572843880</v>
      </c>
      <c r="F364" s="50">
        <v>563876622</v>
      </c>
      <c r="G364" s="50">
        <v>556483341</v>
      </c>
      <c r="H364" s="50">
        <v>0</v>
      </c>
      <c r="I364" s="50">
        <v>0</v>
      </c>
      <c r="J364" s="50">
        <v>0</v>
      </c>
      <c r="K364" s="50">
        <v>198422530.84999999</v>
      </c>
      <c r="L364" s="50"/>
      <c r="M364" s="50">
        <v>198422530.84999999</v>
      </c>
      <c r="N364" s="50">
        <v>365454091.14999998</v>
      </c>
      <c r="O364" s="421"/>
    </row>
    <row r="365" spans="1:15" s="143" customFormat="1" hidden="1" x14ac:dyDescent="0.25">
      <c r="A365" s="399" t="s">
        <v>712</v>
      </c>
      <c r="B365" s="44" t="s">
        <v>79</v>
      </c>
      <c r="C365" s="44" t="s">
        <v>80</v>
      </c>
      <c r="D365" s="44" t="s">
        <v>69</v>
      </c>
      <c r="E365" s="50">
        <v>166263500</v>
      </c>
      <c r="F365" s="50">
        <v>166263500</v>
      </c>
      <c r="G365" s="50">
        <v>159438723</v>
      </c>
      <c r="H365" s="50">
        <v>0</v>
      </c>
      <c r="I365" s="50">
        <v>0</v>
      </c>
      <c r="J365" s="50">
        <v>0</v>
      </c>
      <c r="K365" s="50">
        <v>48286497.140000001</v>
      </c>
      <c r="L365" s="50"/>
      <c r="M365" s="50">
        <v>48286497.140000001</v>
      </c>
      <c r="N365" s="50">
        <v>117977002.86</v>
      </c>
      <c r="O365" s="421"/>
    </row>
    <row r="366" spans="1:15" s="143" customFormat="1" hidden="1" x14ac:dyDescent="0.25">
      <c r="A366" s="399" t="s">
        <v>712</v>
      </c>
      <c r="B366" s="44" t="s">
        <v>81</v>
      </c>
      <c r="C366" s="44" t="s">
        <v>82</v>
      </c>
      <c r="D366" s="44" t="s">
        <v>69</v>
      </c>
      <c r="E366" s="50">
        <v>139725380</v>
      </c>
      <c r="F366" s="50">
        <v>133724590</v>
      </c>
      <c r="G366" s="50">
        <v>133724590</v>
      </c>
      <c r="H366" s="50">
        <v>0</v>
      </c>
      <c r="I366" s="50">
        <v>0</v>
      </c>
      <c r="J366" s="50">
        <v>0</v>
      </c>
      <c r="K366" s="50">
        <v>49286812.439999998</v>
      </c>
      <c r="L366" s="50"/>
      <c r="M366" s="50">
        <v>49286812.439999998</v>
      </c>
      <c r="N366" s="50">
        <v>84437777.560000002</v>
      </c>
      <c r="O366" s="421"/>
    </row>
    <row r="367" spans="1:15" s="143" customFormat="1" hidden="1" x14ac:dyDescent="0.25">
      <c r="A367" s="399" t="s">
        <v>712</v>
      </c>
      <c r="B367" s="44" t="s">
        <v>83</v>
      </c>
      <c r="C367" s="44" t="s">
        <v>84</v>
      </c>
      <c r="D367" s="44" t="s">
        <v>85</v>
      </c>
      <c r="E367" s="50">
        <v>81986600</v>
      </c>
      <c r="F367" s="50">
        <v>80044896</v>
      </c>
      <c r="G367" s="50">
        <v>79476392</v>
      </c>
      <c r="H367" s="50">
        <v>0</v>
      </c>
      <c r="I367" s="50">
        <v>0</v>
      </c>
      <c r="J367" s="50">
        <v>0</v>
      </c>
      <c r="K367" s="50">
        <v>0</v>
      </c>
      <c r="L367" s="50"/>
      <c r="M367" s="50">
        <v>0</v>
      </c>
      <c r="N367" s="50">
        <v>80044896</v>
      </c>
      <c r="O367" s="421"/>
    </row>
    <row r="368" spans="1:15" s="143" customFormat="1" hidden="1" x14ac:dyDescent="0.25">
      <c r="A368" s="399" t="s">
        <v>712</v>
      </c>
      <c r="B368" s="44" t="s">
        <v>86</v>
      </c>
      <c r="C368" s="44" t="s">
        <v>87</v>
      </c>
      <c r="D368" s="44" t="s">
        <v>69</v>
      </c>
      <c r="E368" s="50">
        <v>75278800</v>
      </c>
      <c r="F368" s="50">
        <v>75278800</v>
      </c>
      <c r="G368" s="50">
        <v>75278800</v>
      </c>
      <c r="H368" s="50">
        <v>0</v>
      </c>
      <c r="I368" s="50">
        <v>0</v>
      </c>
      <c r="J368" s="50">
        <v>0</v>
      </c>
      <c r="K368" s="50">
        <v>63363055.5</v>
      </c>
      <c r="L368" s="50"/>
      <c r="M368" s="50">
        <v>63363055.5</v>
      </c>
      <c r="N368" s="50">
        <v>11915744.5</v>
      </c>
      <c r="O368" s="421"/>
    </row>
    <row r="369" spans="1:15" s="143" customFormat="1" hidden="1" x14ac:dyDescent="0.25">
      <c r="A369" s="399" t="s">
        <v>712</v>
      </c>
      <c r="B369" s="44" t="s">
        <v>88</v>
      </c>
      <c r="C369" s="44" t="s">
        <v>89</v>
      </c>
      <c r="D369" s="44" t="s">
        <v>69</v>
      </c>
      <c r="E369" s="50">
        <v>109589600</v>
      </c>
      <c r="F369" s="50">
        <v>108564836</v>
      </c>
      <c r="G369" s="50">
        <v>108564836</v>
      </c>
      <c r="H369" s="50">
        <v>0</v>
      </c>
      <c r="I369" s="50">
        <v>0</v>
      </c>
      <c r="J369" s="50">
        <v>0</v>
      </c>
      <c r="K369" s="50">
        <v>37486165.770000003</v>
      </c>
      <c r="L369" s="50"/>
      <c r="M369" s="50">
        <v>37486165.770000003</v>
      </c>
      <c r="N369" s="50">
        <v>71078670.230000004</v>
      </c>
      <c r="O369" s="421"/>
    </row>
    <row r="370" spans="1:15" s="143" customFormat="1" hidden="1" x14ac:dyDescent="0.25">
      <c r="A370" s="399" t="s">
        <v>712</v>
      </c>
      <c r="B370" s="44" t="s">
        <v>90</v>
      </c>
      <c r="C370" s="44" t="s">
        <v>91</v>
      </c>
      <c r="D370" s="44" t="s">
        <v>69</v>
      </c>
      <c r="E370" s="50">
        <v>95962711</v>
      </c>
      <c r="F370" s="50">
        <v>93690008</v>
      </c>
      <c r="G370" s="50">
        <v>93024593</v>
      </c>
      <c r="H370" s="50">
        <v>0</v>
      </c>
      <c r="I370" s="50">
        <v>65090969</v>
      </c>
      <c r="J370" s="50">
        <v>0</v>
      </c>
      <c r="K370" s="50">
        <v>27933624</v>
      </c>
      <c r="L370" s="50"/>
      <c r="M370" s="50">
        <v>27933624</v>
      </c>
      <c r="N370" s="50">
        <v>665415</v>
      </c>
      <c r="O370" s="421"/>
    </row>
    <row r="371" spans="1:15" s="143" customFormat="1" hidden="1" x14ac:dyDescent="0.25">
      <c r="A371" s="399" t="s">
        <v>712</v>
      </c>
      <c r="B371" s="44" t="s">
        <v>422</v>
      </c>
      <c r="C371" s="44" t="s">
        <v>697</v>
      </c>
      <c r="D371" s="44" t="s">
        <v>69</v>
      </c>
      <c r="E371" s="50">
        <v>91041575</v>
      </c>
      <c r="F371" s="50">
        <v>88885421</v>
      </c>
      <c r="G371" s="50">
        <v>88254129</v>
      </c>
      <c r="H371" s="50">
        <v>0</v>
      </c>
      <c r="I371" s="50">
        <v>61752998</v>
      </c>
      <c r="J371" s="50">
        <v>0</v>
      </c>
      <c r="K371" s="50">
        <v>26501131</v>
      </c>
      <c r="L371" s="50"/>
      <c r="M371" s="50">
        <v>26501131</v>
      </c>
      <c r="N371" s="50">
        <v>631292</v>
      </c>
      <c r="O371" s="421"/>
    </row>
    <row r="372" spans="1:15" s="143" customFormat="1" hidden="1" x14ac:dyDescent="0.25">
      <c r="A372" s="399" t="s">
        <v>712</v>
      </c>
      <c r="B372" s="44" t="s">
        <v>439</v>
      </c>
      <c r="C372" s="44" t="s">
        <v>95</v>
      </c>
      <c r="D372" s="44" t="s">
        <v>69</v>
      </c>
      <c r="E372" s="50">
        <v>4921136</v>
      </c>
      <c r="F372" s="50">
        <v>4804587</v>
      </c>
      <c r="G372" s="50">
        <v>4770464</v>
      </c>
      <c r="H372" s="50">
        <v>0</v>
      </c>
      <c r="I372" s="50">
        <v>3337971</v>
      </c>
      <c r="J372" s="50">
        <v>0</v>
      </c>
      <c r="K372" s="50">
        <v>1432493</v>
      </c>
      <c r="L372" s="50"/>
      <c r="M372" s="50">
        <v>1432493</v>
      </c>
      <c r="N372" s="50">
        <v>34123</v>
      </c>
      <c r="O372" s="421"/>
    </row>
    <row r="373" spans="1:15" s="143" customFormat="1" hidden="1" x14ac:dyDescent="0.25">
      <c r="A373" s="399" t="s">
        <v>712</v>
      </c>
      <c r="B373" s="44" t="s">
        <v>96</v>
      </c>
      <c r="C373" s="44" t="s">
        <v>97</v>
      </c>
      <c r="D373" s="44" t="s">
        <v>69</v>
      </c>
      <c r="E373" s="50">
        <v>95962511</v>
      </c>
      <c r="F373" s="50">
        <v>93689808</v>
      </c>
      <c r="G373" s="50">
        <v>93024393</v>
      </c>
      <c r="H373" s="50">
        <v>0</v>
      </c>
      <c r="I373" s="50">
        <v>65217249</v>
      </c>
      <c r="J373" s="50">
        <v>0</v>
      </c>
      <c r="K373" s="50">
        <v>27807144</v>
      </c>
      <c r="L373" s="50"/>
      <c r="M373" s="50">
        <v>27807144</v>
      </c>
      <c r="N373" s="50">
        <v>665415</v>
      </c>
      <c r="O373" s="421"/>
    </row>
    <row r="374" spans="1:15" s="143" customFormat="1" hidden="1" x14ac:dyDescent="0.25">
      <c r="A374" s="399" t="s">
        <v>712</v>
      </c>
      <c r="B374" s="44" t="s">
        <v>457</v>
      </c>
      <c r="C374" s="44" t="s">
        <v>698</v>
      </c>
      <c r="D374" s="44" t="s">
        <v>69</v>
      </c>
      <c r="E374" s="50">
        <v>51672183</v>
      </c>
      <c r="F374" s="50">
        <v>50448420</v>
      </c>
      <c r="G374" s="50">
        <v>50090119</v>
      </c>
      <c r="H374" s="50">
        <v>0</v>
      </c>
      <c r="I374" s="50">
        <v>35175417</v>
      </c>
      <c r="J374" s="50">
        <v>0</v>
      </c>
      <c r="K374" s="50">
        <v>14914702</v>
      </c>
      <c r="L374" s="50"/>
      <c r="M374" s="50">
        <v>14914702</v>
      </c>
      <c r="N374" s="50">
        <v>358301</v>
      </c>
      <c r="O374" s="421"/>
    </row>
    <row r="375" spans="1:15" s="143" customFormat="1" hidden="1" x14ac:dyDescent="0.25">
      <c r="A375" s="399" t="s">
        <v>712</v>
      </c>
      <c r="B375" s="44" t="s">
        <v>474</v>
      </c>
      <c r="C375" s="44" t="s">
        <v>699</v>
      </c>
      <c r="D375" s="44" t="s">
        <v>69</v>
      </c>
      <c r="E375" s="50">
        <v>14763409</v>
      </c>
      <c r="F375" s="50">
        <v>14413762</v>
      </c>
      <c r="G375" s="50">
        <v>14311391</v>
      </c>
      <c r="H375" s="50">
        <v>0</v>
      </c>
      <c r="I375" s="50">
        <v>10013910</v>
      </c>
      <c r="J375" s="50">
        <v>0</v>
      </c>
      <c r="K375" s="50">
        <v>4297481</v>
      </c>
      <c r="L375" s="50"/>
      <c r="M375" s="50">
        <v>4297481</v>
      </c>
      <c r="N375" s="50">
        <v>102371</v>
      </c>
      <c r="O375" s="421"/>
    </row>
    <row r="376" spans="1:15" s="143" customFormat="1" hidden="1" x14ac:dyDescent="0.25">
      <c r="A376" s="399" t="s">
        <v>712</v>
      </c>
      <c r="B376" s="44" t="s">
        <v>491</v>
      </c>
      <c r="C376" s="44" t="s">
        <v>700</v>
      </c>
      <c r="D376" s="44" t="s">
        <v>69</v>
      </c>
      <c r="E376" s="50">
        <v>29526919</v>
      </c>
      <c r="F376" s="50">
        <v>28827626</v>
      </c>
      <c r="G376" s="50">
        <v>28622883</v>
      </c>
      <c r="H376" s="50">
        <v>0</v>
      </c>
      <c r="I376" s="50">
        <v>20027922</v>
      </c>
      <c r="J376" s="50">
        <v>0</v>
      </c>
      <c r="K376" s="50">
        <v>8594961</v>
      </c>
      <c r="L376" s="50"/>
      <c r="M376" s="50">
        <v>8594961</v>
      </c>
      <c r="N376" s="50">
        <v>204743</v>
      </c>
      <c r="O376" s="421"/>
    </row>
    <row r="377" spans="1:15" s="143" customFormat="1" x14ac:dyDescent="0.25">
      <c r="A377" s="399" t="s">
        <v>712</v>
      </c>
      <c r="B377" s="44" t="s">
        <v>104</v>
      </c>
      <c r="C377" s="44" t="s">
        <v>105</v>
      </c>
      <c r="D377" s="44" t="s">
        <v>69</v>
      </c>
      <c r="E377" s="50">
        <v>306630000</v>
      </c>
      <c r="F377" s="50">
        <v>306630000</v>
      </c>
      <c r="G377" s="50">
        <v>160411875</v>
      </c>
      <c r="H377" s="50">
        <v>0</v>
      </c>
      <c r="I377" s="50">
        <v>101939726.40000001</v>
      </c>
      <c r="J377" s="50">
        <v>0</v>
      </c>
      <c r="K377" s="50">
        <v>32427148.600000001</v>
      </c>
      <c r="L377" s="152">
        <f t="shared" ref="L377:L414" si="17">+K377/F377</f>
        <v>0.10575334637837133</v>
      </c>
      <c r="M377" s="50">
        <v>32427148.600000001</v>
      </c>
      <c r="N377" s="50">
        <v>172263125</v>
      </c>
      <c r="O377" s="418">
        <f t="shared" ref="O377:O414" si="18">+N377/F377</f>
        <v>0.56179475263346701</v>
      </c>
    </row>
    <row r="378" spans="1:15" s="143" customFormat="1" hidden="1" x14ac:dyDescent="0.25">
      <c r="A378" s="399" t="s">
        <v>712</v>
      </c>
      <c r="B378" s="44" t="s">
        <v>112</v>
      </c>
      <c r="C378" s="44" t="s">
        <v>113</v>
      </c>
      <c r="D378" s="44" t="s">
        <v>69</v>
      </c>
      <c r="E378" s="50">
        <v>291630000</v>
      </c>
      <c r="F378" s="50">
        <v>291630000</v>
      </c>
      <c r="G378" s="50">
        <v>145411875</v>
      </c>
      <c r="H378" s="50">
        <v>0</v>
      </c>
      <c r="I378" s="50">
        <v>101939726.40000001</v>
      </c>
      <c r="J378" s="50">
        <v>0</v>
      </c>
      <c r="K378" s="50">
        <v>32427148.600000001</v>
      </c>
      <c r="L378" s="152">
        <f t="shared" si="17"/>
        <v>0.11119277372012482</v>
      </c>
      <c r="M378" s="50">
        <v>32427148.600000001</v>
      </c>
      <c r="N378" s="50">
        <v>157263125</v>
      </c>
      <c r="O378" s="418">
        <f t="shared" si="18"/>
        <v>0.53925564928162395</v>
      </c>
    </row>
    <row r="379" spans="1:15" s="143" customFormat="1" hidden="1" x14ac:dyDescent="0.25">
      <c r="A379" s="399" t="s">
        <v>712</v>
      </c>
      <c r="B379" s="44" t="s">
        <v>114</v>
      </c>
      <c r="C379" s="44" t="s">
        <v>115</v>
      </c>
      <c r="D379" s="44" t="s">
        <v>69</v>
      </c>
      <c r="E379" s="50">
        <v>221840000</v>
      </c>
      <c r="F379" s="50">
        <v>221840000</v>
      </c>
      <c r="G379" s="50">
        <v>108266875</v>
      </c>
      <c r="H379" s="50">
        <v>0</v>
      </c>
      <c r="I379" s="50">
        <v>81027791</v>
      </c>
      <c r="J379" s="50">
        <v>0</v>
      </c>
      <c r="K379" s="50">
        <v>27239084</v>
      </c>
      <c r="L379" s="152">
        <f t="shared" si="17"/>
        <v>0.12278707176343311</v>
      </c>
      <c r="M379" s="50">
        <v>27239084</v>
      </c>
      <c r="N379" s="50">
        <v>113573125</v>
      </c>
      <c r="O379" s="418">
        <f t="shared" si="18"/>
        <v>0.51195963306887848</v>
      </c>
    </row>
    <row r="380" spans="1:15" s="143" customFormat="1" hidden="1" x14ac:dyDescent="0.25">
      <c r="A380" s="399" t="s">
        <v>712</v>
      </c>
      <c r="B380" s="44" t="s">
        <v>116</v>
      </c>
      <c r="C380" s="44" t="s">
        <v>117</v>
      </c>
      <c r="D380" s="44" t="s">
        <v>69</v>
      </c>
      <c r="E380" s="50">
        <v>52200000</v>
      </c>
      <c r="F380" s="50">
        <v>52200000</v>
      </c>
      <c r="G380" s="50">
        <v>26100000</v>
      </c>
      <c r="H380" s="50">
        <v>0</v>
      </c>
      <c r="I380" s="50">
        <v>20911935.399999999</v>
      </c>
      <c r="J380" s="50">
        <v>0</v>
      </c>
      <c r="K380" s="50">
        <v>5188064.5999999996</v>
      </c>
      <c r="L380" s="152">
        <f t="shared" si="17"/>
        <v>9.9388210727969342E-2</v>
      </c>
      <c r="M380" s="50">
        <v>5188064.5999999996</v>
      </c>
      <c r="N380" s="50">
        <v>26100000</v>
      </c>
      <c r="O380" s="418">
        <f t="shared" si="18"/>
        <v>0.5</v>
      </c>
    </row>
    <row r="381" spans="1:15" s="143" customFormat="1" hidden="1" x14ac:dyDescent="0.25">
      <c r="A381" s="399" t="s">
        <v>712</v>
      </c>
      <c r="B381" s="44" t="s">
        <v>120</v>
      </c>
      <c r="C381" s="44" t="s">
        <v>121</v>
      </c>
      <c r="D381" s="44" t="s">
        <v>69</v>
      </c>
      <c r="E381" s="50">
        <v>13090000</v>
      </c>
      <c r="F381" s="50">
        <v>13090000</v>
      </c>
      <c r="G381" s="50">
        <v>6545000</v>
      </c>
      <c r="H381" s="50">
        <v>0</v>
      </c>
      <c r="I381" s="50">
        <v>0</v>
      </c>
      <c r="J381" s="50">
        <v>0</v>
      </c>
      <c r="K381" s="50">
        <v>0</v>
      </c>
      <c r="L381" s="152">
        <f t="shared" si="17"/>
        <v>0</v>
      </c>
      <c r="M381" s="50">
        <v>0</v>
      </c>
      <c r="N381" s="50">
        <v>13090000</v>
      </c>
      <c r="O381" s="418">
        <f t="shared" si="18"/>
        <v>1</v>
      </c>
    </row>
    <row r="382" spans="1:15" s="143" customFormat="1" hidden="1" x14ac:dyDescent="0.25">
      <c r="A382" s="399" t="s">
        <v>712</v>
      </c>
      <c r="B382" s="44" t="s">
        <v>122</v>
      </c>
      <c r="C382" s="44" t="s">
        <v>123</v>
      </c>
      <c r="D382" s="44" t="s">
        <v>69</v>
      </c>
      <c r="E382" s="50">
        <v>4500000</v>
      </c>
      <c r="F382" s="50">
        <v>4500000</v>
      </c>
      <c r="G382" s="50">
        <v>4500000</v>
      </c>
      <c r="H382" s="50">
        <v>0</v>
      </c>
      <c r="I382" s="50">
        <v>0</v>
      </c>
      <c r="J382" s="50">
        <v>0</v>
      </c>
      <c r="K382" s="50">
        <v>0</v>
      </c>
      <c r="L382" s="152">
        <f t="shared" si="17"/>
        <v>0</v>
      </c>
      <c r="M382" s="50">
        <v>0</v>
      </c>
      <c r="N382" s="50">
        <v>4500000</v>
      </c>
      <c r="O382" s="418">
        <f t="shared" si="18"/>
        <v>1</v>
      </c>
    </row>
    <row r="383" spans="1:15" s="143" customFormat="1" hidden="1" x14ac:dyDescent="0.25">
      <c r="A383" s="399" t="s">
        <v>712</v>
      </c>
      <c r="B383" s="44" t="s">
        <v>162</v>
      </c>
      <c r="C383" s="44" t="s">
        <v>163</v>
      </c>
      <c r="D383" s="44" t="s">
        <v>69</v>
      </c>
      <c r="E383" s="50">
        <v>15000000</v>
      </c>
      <c r="F383" s="50">
        <v>15000000</v>
      </c>
      <c r="G383" s="50">
        <v>15000000</v>
      </c>
      <c r="H383" s="50">
        <v>0</v>
      </c>
      <c r="I383" s="50">
        <v>0</v>
      </c>
      <c r="J383" s="50">
        <v>0</v>
      </c>
      <c r="K383" s="50">
        <v>0</v>
      </c>
      <c r="L383" s="152">
        <f t="shared" si="17"/>
        <v>0</v>
      </c>
      <c r="M383" s="50">
        <v>0</v>
      </c>
      <c r="N383" s="50">
        <v>15000000</v>
      </c>
      <c r="O383" s="418">
        <f t="shared" si="18"/>
        <v>1</v>
      </c>
    </row>
    <row r="384" spans="1:15" s="143" customFormat="1" hidden="1" x14ac:dyDescent="0.25">
      <c r="A384" s="399" t="s">
        <v>712</v>
      </c>
      <c r="B384" s="44" t="s">
        <v>164</v>
      </c>
      <c r="C384" s="44" t="s">
        <v>165</v>
      </c>
      <c r="D384" s="44" t="s">
        <v>69</v>
      </c>
      <c r="E384" s="50">
        <v>15000000</v>
      </c>
      <c r="F384" s="50">
        <v>15000000</v>
      </c>
      <c r="G384" s="50">
        <v>15000000</v>
      </c>
      <c r="H384" s="50">
        <v>0</v>
      </c>
      <c r="I384" s="50">
        <v>0</v>
      </c>
      <c r="J384" s="50">
        <v>0</v>
      </c>
      <c r="K384" s="50">
        <v>0</v>
      </c>
      <c r="L384" s="152">
        <f t="shared" si="17"/>
        <v>0</v>
      </c>
      <c r="M384" s="50">
        <v>0</v>
      </c>
      <c r="N384" s="50">
        <v>15000000</v>
      </c>
      <c r="O384" s="418">
        <f t="shared" si="18"/>
        <v>1</v>
      </c>
    </row>
    <row r="385" spans="1:15" s="143" customFormat="1" x14ac:dyDescent="0.25">
      <c r="A385" s="399" t="s">
        <v>712</v>
      </c>
      <c r="B385" s="44" t="s">
        <v>184</v>
      </c>
      <c r="C385" s="44" t="s">
        <v>185</v>
      </c>
      <c r="D385" s="44" t="s">
        <v>69</v>
      </c>
      <c r="E385" s="50">
        <v>621407272</v>
      </c>
      <c r="F385" s="50">
        <v>621407272</v>
      </c>
      <c r="G385" s="50">
        <v>312075122</v>
      </c>
      <c r="H385" s="50">
        <v>5399748</v>
      </c>
      <c r="I385" s="50">
        <v>20629633.309999999</v>
      </c>
      <c r="J385" s="50">
        <v>5878607.9699999997</v>
      </c>
      <c r="K385" s="50">
        <v>76047756.599999994</v>
      </c>
      <c r="L385" s="152">
        <f t="shared" si="17"/>
        <v>0.12237989483972436</v>
      </c>
      <c r="M385" s="50">
        <v>48975473.439999998</v>
      </c>
      <c r="N385" s="50">
        <v>513451526.12</v>
      </c>
      <c r="O385" s="418">
        <f t="shared" si="18"/>
        <v>0.82627215556627731</v>
      </c>
    </row>
    <row r="386" spans="1:15" s="143" customFormat="1" hidden="1" x14ac:dyDescent="0.25">
      <c r="A386" s="399" t="s">
        <v>712</v>
      </c>
      <c r="B386" s="44" t="s">
        <v>186</v>
      </c>
      <c r="C386" s="44" t="s">
        <v>187</v>
      </c>
      <c r="D386" s="44" t="s">
        <v>69</v>
      </c>
      <c r="E386" s="50">
        <v>25251750</v>
      </c>
      <c r="F386" s="50">
        <v>25251750</v>
      </c>
      <c r="G386" s="50">
        <v>7743376</v>
      </c>
      <c r="H386" s="50">
        <v>0</v>
      </c>
      <c r="I386" s="50">
        <v>0</v>
      </c>
      <c r="J386" s="50">
        <v>0</v>
      </c>
      <c r="K386" s="50">
        <v>0</v>
      </c>
      <c r="L386" s="152">
        <f t="shared" si="17"/>
        <v>0</v>
      </c>
      <c r="M386" s="50">
        <v>0</v>
      </c>
      <c r="N386" s="50">
        <v>25251750</v>
      </c>
      <c r="O386" s="418">
        <f t="shared" si="18"/>
        <v>1</v>
      </c>
    </row>
    <row r="387" spans="1:15" s="143" customFormat="1" hidden="1" x14ac:dyDescent="0.25">
      <c r="A387" s="399" t="s">
        <v>712</v>
      </c>
      <c r="B387" s="44" t="s">
        <v>188</v>
      </c>
      <c r="C387" s="44" t="s">
        <v>189</v>
      </c>
      <c r="D387" s="44" t="s">
        <v>69</v>
      </c>
      <c r="E387" s="50">
        <v>24819750</v>
      </c>
      <c r="F387" s="50">
        <v>24819750</v>
      </c>
      <c r="G387" s="50">
        <v>7311376</v>
      </c>
      <c r="H387" s="50">
        <v>0</v>
      </c>
      <c r="I387" s="50">
        <v>0</v>
      </c>
      <c r="J387" s="50">
        <v>0</v>
      </c>
      <c r="K387" s="50">
        <v>0</v>
      </c>
      <c r="L387" s="152">
        <f t="shared" si="17"/>
        <v>0</v>
      </c>
      <c r="M387" s="50">
        <v>0</v>
      </c>
      <c r="N387" s="50">
        <v>24819750</v>
      </c>
      <c r="O387" s="418">
        <f t="shared" si="18"/>
        <v>1</v>
      </c>
    </row>
    <row r="388" spans="1:15" s="143" customFormat="1" hidden="1" x14ac:dyDescent="0.25">
      <c r="A388" s="399" t="s">
        <v>712</v>
      </c>
      <c r="B388" s="44" t="s">
        <v>190</v>
      </c>
      <c r="C388" s="44" t="s">
        <v>191</v>
      </c>
      <c r="D388" s="44" t="s">
        <v>69</v>
      </c>
      <c r="E388" s="50">
        <v>197000</v>
      </c>
      <c r="F388" s="50">
        <v>432000</v>
      </c>
      <c r="G388" s="50">
        <v>432000</v>
      </c>
      <c r="H388" s="50">
        <v>0</v>
      </c>
      <c r="I388" s="50">
        <v>0</v>
      </c>
      <c r="J388" s="50">
        <v>0</v>
      </c>
      <c r="K388" s="50">
        <v>0</v>
      </c>
      <c r="L388" s="152">
        <f t="shared" si="17"/>
        <v>0</v>
      </c>
      <c r="M388" s="50">
        <v>0</v>
      </c>
      <c r="N388" s="50">
        <v>432000</v>
      </c>
      <c r="O388" s="418">
        <f t="shared" si="18"/>
        <v>1</v>
      </c>
    </row>
    <row r="389" spans="1:15" s="143" customFormat="1" hidden="1" x14ac:dyDescent="0.25">
      <c r="A389" s="399" t="s">
        <v>712</v>
      </c>
      <c r="B389" s="44" t="s">
        <v>194</v>
      </c>
      <c r="C389" s="44" t="s">
        <v>195</v>
      </c>
      <c r="D389" s="44" t="s">
        <v>69</v>
      </c>
      <c r="E389" s="50">
        <v>235000</v>
      </c>
      <c r="F389" s="50">
        <v>0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152" t="e">
        <f t="shared" si="17"/>
        <v>#DIV/0!</v>
      </c>
      <c r="M389" s="50">
        <v>0</v>
      </c>
      <c r="N389" s="50">
        <v>0</v>
      </c>
      <c r="O389" s="418" t="e">
        <f t="shared" si="18"/>
        <v>#DIV/0!</v>
      </c>
    </row>
    <row r="390" spans="1:15" s="143" customFormat="1" hidden="1" x14ac:dyDescent="0.25">
      <c r="A390" s="399" t="s">
        <v>712</v>
      </c>
      <c r="B390" s="44" t="s">
        <v>196</v>
      </c>
      <c r="C390" s="44" t="s">
        <v>197</v>
      </c>
      <c r="D390" s="44" t="s">
        <v>69</v>
      </c>
      <c r="E390" s="50">
        <v>582942552</v>
      </c>
      <c r="F390" s="50">
        <v>582942552</v>
      </c>
      <c r="G390" s="50">
        <v>291118776</v>
      </c>
      <c r="H390" s="50">
        <v>0</v>
      </c>
      <c r="I390" s="50">
        <v>20629633.309999999</v>
      </c>
      <c r="J390" s="50">
        <v>5878607.9699999997</v>
      </c>
      <c r="K390" s="50">
        <v>76047756.599999994</v>
      </c>
      <c r="L390" s="152">
        <f t="shared" si="17"/>
        <v>0.13045497594761274</v>
      </c>
      <c r="M390" s="50">
        <v>48975473.439999998</v>
      </c>
      <c r="N390" s="50">
        <v>480386554.12</v>
      </c>
      <c r="O390" s="418">
        <f t="shared" si="18"/>
        <v>0.82407186175010949</v>
      </c>
    </row>
    <row r="391" spans="1:15" s="143" customFormat="1" hidden="1" x14ac:dyDescent="0.25">
      <c r="A391" s="399" t="s">
        <v>712</v>
      </c>
      <c r="B391" s="44" t="s">
        <v>198</v>
      </c>
      <c r="C391" s="44" t="s">
        <v>199</v>
      </c>
      <c r="D391" s="44" t="s">
        <v>69</v>
      </c>
      <c r="E391" s="50">
        <v>582942552</v>
      </c>
      <c r="F391" s="50">
        <v>582942552</v>
      </c>
      <c r="G391" s="50">
        <v>291118776</v>
      </c>
      <c r="H391" s="50">
        <v>0</v>
      </c>
      <c r="I391" s="50">
        <v>20629633.309999999</v>
      </c>
      <c r="J391" s="50">
        <v>5878607.9699999997</v>
      </c>
      <c r="K391" s="50">
        <v>76047756.599999994</v>
      </c>
      <c r="L391" s="152">
        <f t="shared" si="17"/>
        <v>0.13045497594761274</v>
      </c>
      <c r="M391" s="50">
        <v>48975473.439999998</v>
      </c>
      <c r="N391" s="50">
        <v>480386554.12</v>
      </c>
      <c r="O391" s="418">
        <f t="shared" si="18"/>
        <v>0.82407186175010949</v>
      </c>
    </row>
    <row r="392" spans="1:15" s="143" customFormat="1" hidden="1" x14ac:dyDescent="0.25">
      <c r="A392" s="399" t="s">
        <v>712</v>
      </c>
      <c r="B392" s="44" t="s">
        <v>206</v>
      </c>
      <c r="C392" s="44" t="s">
        <v>207</v>
      </c>
      <c r="D392" s="44" t="s">
        <v>69</v>
      </c>
      <c r="E392" s="50">
        <v>367200</v>
      </c>
      <c r="F392" s="50">
        <v>367200</v>
      </c>
      <c r="G392" s="50">
        <v>367200</v>
      </c>
      <c r="H392" s="50">
        <v>361148</v>
      </c>
      <c r="I392" s="50">
        <v>0</v>
      </c>
      <c r="J392" s="50">
        <v>0</v>
      </c>
      <c r="K392" s="50">
        <v>0</v>
      </c>
      <c r="L392" s="152">
        <f t="shared" si="17"/>
        <v>0</v>
      </c>
      <c r="M392" s="50">
        <v>0</v>
      </c>
      <c r="N392" s="50">
        <v>6052</v>
      </c>
      <c r="O392" s="418">
        <f t="shared" si="18"/>
        <v>1.6481481481481482E-2</v>
      </c>
    </row>
    <row r="393" spans="1:15" s="143" customFormat="1" hidden="1" x14ac:dyDescent="0.25">
      <c r="A393" s="399" t="s">
        <v>712</v>
      </c>
      <c r="B393" s="44" t="s">
        <v>208</v>
      </c>
      <c r="C393" s="44" t="s">
        <v>209</v>
      </c>
      <c r="D393" s="44" t="s">
        <v>69</v>
      </c>
      <c r="E393" s="50">
        <v>367200</v>
      </c>
      <c r="F393" s="50">
        <v>367200</v>
      </c>
      <c r="G393" s="50">
        <v>367200</v>
      </c>
      <c r="H393" s="50">
        <v>361148</v>
      </c>
      <c r="I393" s="50">
        <v>0</v>
      </c>
      <c r="J393" s="50">
        <v>0</v>
      </c>
      <c r="K393" s="50">
        <v>0</v>
      </c>
      <c r="L393" s="152">
        <f t="shared" si="17"/>
        <v>0</v>
      </c>
      <c r="M393" s="50">
        <v>0</v>
      </c>
      <c r="N393" s="50">
        <v>6052</v>
      </c>
      <c r="O393" s="418">
        <f t="shared" si="18"/>
        <v>1.6481481481481482E-2</v>
      </c>
    </row>
    <row r="394" spans="1:15" s="143" customFormat="1" hidden="1" x14ac:dyDescent="0.25">
      <c r="A394" s="399" t="s">
        <v>712</v>
      </c>
      <c r="B394" s="44" t="s">
        <v>354</v>
      </c>
      <c r="C394" s="44" t="s">
        <v>355</v>
      </c>
      <c r="D394" s="44" t="s">
        <v>69</v>
      </c>
      <c r="E394" s="50">
        <v>6280000</v>
      </c>
      <c r="F394" s="50">
        <v>6280000</v>
      </c>
      <c r="G394" s="50">
        <v>6280000</v>
      </c>
      <c r="H394" s="50">
        <v>0</v>
      </c>
      <c r="I394" s="50">
        <v>0</v>
      </c>
      <c r="J394" s="50">
        <v>0</v>
      </c>
      <c r="K394" s="50">
        <v>0</v>
      </c>
      <c r="L394" s="152">
        <f t="shared" si="17"/>
        <v>0</v>
      </c>
      <c r="M394" s="50">
        <v>0</v>
      </c>
      <c r="N394" s="50">
        <v>6280000</v>
      </c>
      <c r="O394" s="418">
        <f t="shared" si="18"/>
        <v>1</v>
      </c>
    </row>
    <row r="395" spans="1:15" s="143" customFormat="1" hidden="1" x14ac:dyDescent="0.25">
      <c r="A395" s="399" t="s">
        <v>712</v>
      </c>
      <c r="B395" s="44" t="s">
        <v>356</v>
      </c>
      <c r="C395" s="44" t="s">
        <v>357</v>
      </c>
      <c r="D395" s="44" t="s">
        <v>69</v>
      </c>
      <c r="E395" s="50">
        <v>6280000</v>
      </c>
      <c r="F395" s="50">
        <v>6280000</v>
      </c>
      <c r="G395" s="50">
        <v>6280000</v>
      </c>
      <c r="H395" s="50">
        <v>0</v>
      </c>
      <c r="I395" s="50">
        <v>0</v>
      </c>
      <c r="J395" s="50">
        <v>0</v>
      </c>
      <c r="K395" s="50">
        <v>0</v>
      </c>
      <c r="L395" s="152">
        <f t="shared" si="17"/>
        <v>0</v>
      </c>
      <c r="M395" s="50">
        <v>0</v>
      </c>
      <c r="N395" s="50">
        <v>6280000</v>
      </c>
      <c r="O395" s="418">
        <f t="shared" si="18"/>
        <v>1</v>
      </c>
    </row>
    <row r="396" spans="1:15" s="143" customFormat="1" hidden="1" x14ac:dyDescent="0.25">
      <c r="A396" s="399" t="s">
        <v>712</v>
      </c>
      <c r="B396" s="44" t="s">
        <v>212</v>
      </c>
      <c r="C396" s="44" t="s">
        <v>213</v>
      </c>
      <c r="D396" s="44" t="s">
        <v>69</v>
      </c>
      <c r="E396" s="50">
        <v>6565770</v>
      </c>
      <c r="F396" s="50">
        <v>6565770</v>
      </c>
      <c r="G396" s="50">
        <v>6565770</v>
      </c>
      <c r="H396" s="50">
        <v>5038600</v>
      </c>
      <c r="I396" s="50">
        <v>0</v>
      </c>
      <c r="J396" s="50">
        <v>0</v>
      </c>
      <c r="K396" s="50">
        <v>0</v>
      </c>
      <c r="L396" s="152">
        <f t="shared" si="17"/>
        <v>0</v>
      </c>
      <c r="M396" s="50">
        <v>0</v>
      </c>
      <c r="N396" s="50">
        <v>1527170</v>
      </c>
      <c r="O396" s="418">
        <f t="shared" si="18"/>
        <v>0.23259571992317732</v>
      </c>
    </row>
    <row r="397" spans="1:15" s="143" customFormat="1" hidden="1" x14ac:dyDescent="0.25">
      <c r="A397" s="399" t="s">
        <v>712</v>
      </c>
      <c r="B397" s="44" t="s">
        <v>216</v>
      </c>
      <c r="C397" s="44" t="s">
        <v>217</v>
      </c>
      <c r="D397" s="44" t="s">
        <v>69</v>
      </c>
      <c r="E397" s="50">
        <v>1076170</v>
      </c>
      <c r="F397" s="50">
        <v>1076170</v>
      </c>
      <c r="G397" s="50">
        <v>1076170</v>
      </c>
      <c r="H397" s="50">
        <v>0</v>
      </c>
      <c r="I397" s="50">
        <v>0</v>
      </c>
      <c r="J397" s="50">
        <v>0</v>
      </c>
      <c r="K397" s="50">
        <v>0</v>
      </c>
      <c r="L397" s="152">
        <f t="shared" si="17"/>
        <v>0</v>
      </c>
      <c r="M397" s="50">
        <v>0</v>
      </c>
      <c r="N397" s="50">
        <v>1076170</v>
      </c>
      <c r="O397" s="418">
        <f t="shared" si="18"/>
        <v>1</v>
      </c>
    </row>
    <row r="398" spans="1:15" s="143" customFormat="1" hidden="1" x14ac:dyDescent="0.25">
      <c r="A398" s="399" t="s">
        <v>712</v>
      </c>
      <c r="B398" s="44" t="s">
        <v>218</v>
      </c>
      <c r="C398" s="44" t="s">
        <v>219</v>
      </c>
      <c r="D398" s="44" t="s">
        <v>69</v>
      </c>
      <c r="E398" s="50">
        <v>333500</v>
      </c>
      <c r="F398" s="50">
        <v>333500</v>
      </c>
      <c r="G398" s="50">
        <v>333500</v>
      </c>
      <c r="H398" s="50">
        <v>0</v>
      </c>
      <c r="I398" s="50">
        <v>0</v>
      </c>
      <c r="J398" s="50">
        <v>0</v>
      </c>
      <c r="K398" s="50">
        <v>0</v>
      </c>
      <c r="L398" s="152">
        <f t="shared" si="17"/>
        <v>0</v>
      </c>
      <c r="M398" s="50">
        <v>0</v>
      </c>
      <c r="N398" s="50">
        <v>333500</v>
      </c>
      <c r="O398" s="418">
        <f t="shared" si="18"/>
        <v>1</v>
      </c>
    </row>
    <row r="399" spans="1:15" s="143" customFormat="1" hidden="1" x14ac:dyDescent="0.25">
      <c r="A399" s="399" t="s">
        <v>712</v>
      </c>
      <c r="B399" s="44" t="s">
        <v>220</v>
      </c>
      <c r="C399" s="44" t="s">
        <v>221</v>
      </c>
      <c r="D399" s="44" t="s">
        <v>69</v>
      </c>
      <c r="E399" s="50">
        <v>2531700</v>
      </c>
      <c r="F399" s="50">
        <v>2531700</v>
      </c>
      <c r="G399" s="50">
        <v>2531700</v>
      </c>
      <c r="H399" s="50">
        <v>2530600</v>
      </c>
      <c r="I399" s="50">
        <v>0</v>
      </c>
      <c r="J399" s="50">
        <v>0</v>
      </c>
      <c r="K399" s="50">
        <v>0</v>
      </c>
      <c r="L399" s="152">
        <f t="shared" si="17"/>
        <v>0</v>
      </c>
      <c r="M399" s="50">
        <v>0</v>
      </c>
      <c r="N399" s="50">
        <v>1100</v>
      </c>
      <c r="O399" s="418">
        <f t="shared" si="18"/>
        <v>4.3449065845084332E-4</v>
      </c>
    </row>
    <row r="400" spans="1:15" s="143" customFormat="1" hidden="1" x14ac:dyDescent="0.25">
      <c r="A400" s="399" t="s">
        <v>712</v>
      </c>
      <c r="B400" s="44" t="s">
        <v>224</v>
      </c>
      <c r="C400" s="44" t="s">
        <v>225</v>
      </c>
      <c r="D400" s="44" t="s">
        <v>69</v>
      </c>
      <c r="E400" s="50">
        <v>525000</v>
      </c>
      <c r="F400" s="50">
        <v>525000</v>
      </c>
      <c r="G400" s="50">
        <v>525000</v>
      </c>
      <c r="H400" s="50">
        <v>468000</v>
      </c>
      <c r="I400" s="50">
        <v>0</v>
      </c>
      <c r="J400" s="50">
        <v>0</v>
      </c>
      <c r="K400" s="50">
        <v>0</v>
      </c>
      <c r="L400" s="152">
        <f t="shared" si="17"/>
        <v>0</v>
      </c>
      <c r="M400" s="50">
        <v>0</v>
      </c>
      <c r="N400" s="50">
        <v>57000</v>
      </c>
      <c r="O400" s="418">
        <f t="shared" si="18"/>
        <v>0.10857142857142857</v>
      </c>
    </row>
    <row r="401" spans="1:15" s="143" customFormat="1" hidden="1" x14ac:dyDescent="0.25">
      <c r="A401" s="399" t="s">
        <v>712</v>
      </c>
      <c r="B401" s="44" t="s">
        <v>226</v>
      </c>
      <c r="C401" s="44" t="s">
        <v>227</v>
      </c>
      <c r="D401" s="44" t="s">
        <v>69</v>
      </c>
      <c r="E401" s="50">
        <v>2094900</v>
      </c>
      <c r="F401" s="50">
        <v>2094900</v>
      </c>
      <c r="G401" s="50">
        <v>2094900</v>
      </c>
      <c r="H401" s="50">
        <v>2040000</v>
      </c>
      <c r="I401" s="50">
        <v>0</v>
      </c>
      <c r="J401" s="50">
        <v>0</v>
      </c>
      <c r="K401" s="50">
        <v>0</v>
      </c>
      <c r="L401" s="152">
        <f t="shared" si="17"/>
        <v>0</v>
      </c>
      <c r="M401" s="50">
        <v>0</v>
      </c>
      <c r="N401" s="50">
        <v>54900</v>
      </c>
      <c r="O401" s="418">
        <f t="shared" si="18"/>
        <v>2.6206501503651725E-2</v>
      </c>
    </row>
    <row r="402" spans="1:15" s="143" customFormat="1" hidden="1" x14ac:dyDescent="0.25">
      <c r="A402" s="399" t="s">
        <v>712</v>
      </c>
      <c r="B402" s="44" t="s">
        <v>228</v>
      </c>
      <c r="C402" s="44" t="s">
        <v>229</v>
      </c>
      <c r="D402" s="44" t="s">
        <v>69</v>
      </c>
      <c r="E402" s="50">
        <v>4500</v>
      </c>
      <c r="F402" s="50">
        <v>4500</v>
      </c>
      <c r="G402" s="50">
        <v>4500</v>
      </c>
      <c r="H402" s="50">
        <v>0</v>
      </c>
      <c r="I402" s="50">
        <v>0</v>
      </c>
      <c r="J402" s="50">
        <v>0</v>
      </c>
      <c r="K402" s="50">
        <v>0</v>
      </c>
      <c r="L402" s="152">
        <f t="shared" si="17"/>
        <v>0</v>
      </c>
      <c r="M402" s="50">
        <v>0</v>
      </c>
      <c r="N402" s="50">
        <v>4500</v>
      </c>
      <c r="O402" s="418">
        <f t="shared" si="18"/>
        <v>1</v>
      </c>
    </row>
    <row r="403" spans="1:15" s="143" customFormat="1" x14ac:dyDescent="0.25">
      <c r="A403" s="399" t="s">
        <v>712</v>
      </c>
      <c r="B403" s="44" t="s">
        <v>230</v>
      </c>
      <c r="C403" s="44" t="s">
        <v>231</v>
      </c>
      <c r="D403" s="44" t="s">
        <v>85</v>
      </c>
      <c r="E403" s="50">
        <v>10612500</v>
      </c>
      <c r="F403" s="50">
        <v>10612500</v>
      </c>
      <c r="G403" s="50">
        <v>10612500</v>
      </c>
      <c r="H403" s="50">
        <v>0</v>
      </c>
      <c r="I403" s="50">
        <v>4560000</v>
      </c>
      <c r="J403" s="50">
        <v>0</v>
      </c>
      <c r="K403" s="50">
        <v>0</v>
      </c>
      <c r="L403" s="152">
        <f t="shared" si="17"/>
        <v>0</v>
      </c>
      <c r="M403" s="50">
        <v>0</v>
      </c>
      <c r="N403" s="50">
        <v>6052500</v>
      </c>
      <c r="O403" s="418">
        <f t="shared" si="18"/>
        <v>0.57031802120141339</v>
      </c>
    </row>
    <row r="404" spans="1:15" s="143" customFormat="1" hidden="1" x14ac:dyDescent="0.25">
      <c r="A404" s="399" t="s">
        <v>712</v>
      </c>
      <c r="B404" s="44" t="s">
        <v>232</v>
      </c>
      <c r="C404" s="44" t="s">
        <v>233</v>
      </c>
      <c r="D404" s="44" t="s">
        <v>85</v>
      </c>
      <c r="E404" s="50">
        <v>10612500</v>
      </c>
      <c r="F404" s="50">
        <v>10612500</v>
      </c>
      <c r="G404" s="50">
        <v>10612500</v>
      </c>
      <c r="H404" s="50">
        <v>0</v>
      </c>
      <c r="I404" s="50">
        <v>4560000</v>
      </c>
      <c r="J404" s="50">
        <v>0</v>
      </c>
      <c r="K404" s="50">
        <v>0</v>
      </c>
      <c r="L404" s="152">
        <f t="shared" si="17"/>
        <v>0</v>
      </c>
      <c r="M404" s="50">
        <v>0</v>
      </c>
      <c r="N404" s="50">
        <v>6052500</v>
      </c>
      <c r="O404" s="418">
        <f t="shared" si="18"/>
        <v>0.57031802120141339</v>
      </c>
    </row>
    <row r="405" spans="1:15" s="143" customFormat="1" hidden="1" x14ac:dyDescent="0.25">
      <c r="A405" s="399" t="s">
        <v>712</v>
      </c>
      <c r="B405" s="44" t="s">
        <v>234</v>
      </c>
      <c r="C405" s="44" t="s">
        <v>235</v>
      </c>
      <c r="D405" s="44" t="s">
        <v>85</v>
      </c>
      <c r="E405" s="50">
        <v>6650000</v>
      </c>
      <c r="F405" s="50">
        <v>6650000</v>
      </c>
      <c r="G405" s="50">
        <v>6650000</v>
      </c>
      <c r="H405" s="50">
        <v>0</v>
      </c>
      <c r="I405" s="50">
        <v>4560000</v>
      </c>
      <c r="J405" s="50">
        <v>0</v>
      </c>
      <c r="K405" s="50">
        <v>0</v>
      </c>
      <c r="L405" s="152">
        <f t="shared" si="17"/>
        <v>0</v>
      </c>
      <c r="M405" s="50">
        <v>0</v>
      </c>
      <c r="N405" s="50">
        <v>2090000</v>
      </c>
      <c r="O405" s="418">
        <f t="shared" si="18"/>
        <v>0.31428571428571428</v>
      </c>
    </row>
    <row r="406" spans="1:15" s="143" customFormat="1" hidden="1" x14ac:dyDescent="0.25">
      <c r="A406" s="399" t="s">
        <v>712</v>
      </c>
      <c r="B406" s="44" t="s">
        <v>326</v>
      </c>
      <c r="C406" s="44" t="s">
        <v>327</v>
      </c>
      <c r="D406" s="44" t="s">
        <v>85</v>
      </c>
      <c r="E406" s="50">
        <v>760000</v>
      </c>
      <c r="F406" s="50">
        <v>760000</v>
      </c>
      <c r="G406" s="50">
        <v>760000</v>
      </c>
      <c r="H406" s="50">
        <v>0</v>
      </c>
      <c r="I406" s="50">
        <v>0</v>
      </c>
      <c r="J406" s="50">
        <v>0</v>
      </c>
      <c r="K406" s="50">
        <v>0</v>
      </c>
      <c r="L406" s="152">
        <f t="shared" si="17"/>
        <v>0</v>
      </c>
      <c r="M406" s="50">
        <v>0</v>
      </c>
      <c r="N406" s="50">
        <v>760000</v>
      </c>
      <c r="O406" s="418">
        <f t="shared" si="18"/>
        <v>1</v>
      </c>
    </row>
    <row r="407" spans="1:15" s="143" customFormat="1" hidden="1" x14ac:dyDescent="0.25">
      <c r="A407" s="399" t="s">
        <v>712</v>
      </c>
      <c r="B407" s="44" t="s">
        <v>242</v>
      </c>
      <c r="C407" s="44" t="s">
        <v>243</v>
      </c>
      <c r="D407" s="44" t="s">
        <v>85</v>
      </c>
      <c r="E407" s="50">
        <v>3202500</v>
      </c>
      <c r="F407" s="50">
        <v>3202500</v>
      </c>
      <c r="G407" s="50">
        <v>3202500</v>
      </c>
      <c r="H407" s="50">
        <v>0</v>
      </c>
      <c r="I407" s="50">
        <v>0</v>
      </c>
      <c r="J407" s="50">
        <v>0</v>
      </c>
      <c r="K407" s="50">
        <v>0</v>
      </c>
      <c r="L407" s="152">
        <f t="shared" si="17"/>
        <v>0</v>
      </c>
      <c r="M407" s="50">
        <v>0</v>
      </c>
      <c r="N407" s="50">
        <v>3202500</v>
      </c>
      <c r="O407" s="418">
        <f t="shared" si="18"/>
        <v>1</v>
      </c>
    </row>
    <row r="408" spans="1:15" s="143" customFormat="1" x14ac:dyDescent="0.25">
      <c r="A408" s="399" t="s">
        <v>712</v>
      </c>
      <c r="B408" s="44" t="s">
        <v>248</v>
      </c>
      <c r="C408" s="44" t="s">
        <v>249</v>
      </c>
      <c r="D408" s="44" t="s">
        <v>69</v>
      </c>
      <c r="E408" s="50">
        <v>21838204</v>
      </c>
      <c r="F408" s="50">
        <v>21451264</v>
      </c>
      <c r="G408" s="50">
        <v>21337973</v>
      </c>
      <c r="H408" s="50">
        <v>0</v>
      </c>
      <c r="I408" s="50">
        <v>11208575</v>
      </c>
      <c r="J408" s="50">
        <v>0</v>
      </c>
      <c r="K408" s="50">
        <v>5447289</v>
      </c>
      <c r="L408" s="152">
        <f t="shared" si="17"/>
        <v>0.25393790314640668</v>
      </c>
      <c r="M408" s="50">
        <v>5447289</v>
      </c>
      <c r="N408" s="50">
        <v>4795400</v>
      </c>
      <c r="O408" s="418">
        <f t="shared" si="18"/>
        <v>0.22354859834833044</v>
      </c>
    </row>
    <row r="409" spans="1:15" s="143" customFormat="1" hidden="1" x14ac:dyDescent="0.25">
      <c r="A409" s="399" t="s">
        <v>712</v>
      </c>
      <c r="B409" s="44" t="s">
        <v>250</v>
      </c>
      <c r="C409" s="44" t="s">
        <v>251</v>
      </c>
      <c r="D409" s="44" t="s">
        <v>69</v>
      </c>
      <c r="E409" s="50">
        <v>16338204</v>
      </c>
      <c r="F409" s="50">
        <v>15951264</v>
      </c>
      <c r="G409" s="50">
        <v>15837973</v>
      </c>
      <c r="H409" s="50">
        <v>0</v>
      </c>
      <c r="I409" s="50">
        <v>11208575</v>
      </c>
      <c r="J409" s="50">
        <v>0</v>
      </c>
      <c r="K409" s="50">
        <v>4629398</v>
      </c>
      <c r="L409" s="152">
        <f t="shared" si="17"/>
        <v>0.29022138935196606</v>
      </c>
      <c r="M409" s="50">
        <v>4629398</v>
      </c>
      <c r="N409" s="50">
        <v>113291</v>
      </c>
      <c r="O409" s="418">
        <f t="shared" si="18"/>
        <v>7.1023211702846874E-3</v>
      </c>
    </row>
    <row r="410" spans="1:15" s="143" customFormat="1" hidden="1" x14ac:dyDescent="0.25">
      <c r="A410" s="399" t="s">
        <v>712</v>
      </c>
      <c r="B410" s="44" t="s">
        <v>631</v>
      </c>
      <c r="C410" s="44" t="s">
        <v>702</v>
      </c>
      <c r="D410" s="44" t="s">
        <v>69</v>
      </c>
      <c r="E410" s="50">
        <v>13877686</v>
      </c>
      <c r="F410" s="50">
        <v>13549019</v>
      </c>
      <c r="G410" s="50">
        <v>13452790</v>
      </c>
      <c r="H410" s="50">
        <v>0</v>
      </c>
      <c r="I410" s="50">
        <v>9539639</v>
      </c>
      <c r="J410" s="50">
        <v>0</v>
      </c>
      <c r="K410" s="50">
        <v>3913151</v>
      </c>
      <c r="L410" s="152">
        <f t="shared" si="17"/>
        <v>0.28881434146634527</v>
      </c>
      <c r="M410" s="50">
        <v>3913151</v>
      </c>
      <c r="N410" s="50">
        <v>96229</v>
      </c>
      <c r="O410" s="418">
        <f t="shared" si="18"/>
        <v>7.1022854126929777E-3</v>
      </c>
    </row>
    <row r="411" spans="1:15" s="143" customFormat="1" hidden="1" x14ac:dyDescent="0.25">
      <c r="A411" s="399" t="s">
        <v>712</v>
      </c>
      <c r="B411" s="44" t="s">
        <v>646</v>
      </c>
      <c r="C411" s="44" t="s">
        <v>703</v>
      </c>
      <c r="D411" s="44" t="s">
        <v>69</v>
      </c>
      <c r="E411" s="50">
        <v>2460518</v>
      </c>
      <c r="F411" s="50">
        <v>2402245</v>
      </c>
      <c r="G411" s="50">
        <v>2385183</v>
      </c>
      <c r="H411" s="50">
        <v>0</v>
      </c>
      <c r="I411" s="50">
        <v>1668936</v>
      </c>
      <c r="J411" s="50">
        <v>0</v>
      </c>
      <c r="K411" s="50">
        <v>716247</v>
      </c>
      <c r="L411" s="152">
        <f t="shared" si="17"/>
        <v>0.29815734864678667</v>
      </c>
      <c r="M411" s="50">
        <v>716247</v>
      </c>
      <c r="N411" s="50">
        <v>17062</v>
      </c>
      <c r="O411" s="418">
        <f t="shared" si="18"/>
        <v>7.1025228484188751E-3</v>
      </c>
    </row>
    <row r="412" spans="1:15" s="143" customFormat="1" hidden="1" x14ac:dyDescent="0.25">
      <c r="A412" s="399" t="s">
        <v>712</v>
      </c>
      <c r="B412" s="44" t="s">
        <v>260</v>
      </c>
      <c r="C412" s="44" t="s">
        <v>261</v>
      </c>
      <c r="D412" s="44" t="s">
        <v>69</v>
      </c>
      <c r="E412" s="50">
        <v>5500000</v>
      </c>
      <c r="F412" s="50">
        <v>5500000</v>
      </c>
      <c r="G412" s="50">
        <v>5500000</v>
      </c>
      <c r="H412" s="50">
        <v>0</v>
      </c>
      <c r="I412" s="50">
        <v>0</v>
      </c>
      <c r="J412" s="50">
        <v>0</v>
      </c>
      <c r="K412" s="50">
        <v>817891</v>
      </c>
      <c r="L412" s="152">
        <f t="shared" si="17"/>
        <v>0.14870745454545456</v>
      </c>
      <c r="M412" s="50">
        <v>817891</v>
      </c>
      <c r="N412" s="50">
        <v>4682109</v>
      </c>
      <c r="O412" s="418">
        <f t="shared" si="18"/>
        <v>0.85129254545454547</v>
      </c>
    </row>
    <row r="413" spans="1:15" s="143" customFormat="1" hidden="1" x14ac:dyDescent="0.25">
      <c r="A413" s="399" t="s">
        <v>712</v>
      </c>
      <c r="B413" s="44" t="s">
        <v>264</v>
      </c>
      <c r="C413" s="44" t="s">
        <v>265</v>
      </c>
      <c r="D413" s="44" t="s">
        <v>69</v>
      </c>
      <c r="E413" s="50">
        <v>5500000</v>
      </c>
      <c r="F413" s="50">
        <v>5500000</v>
      </c>
      <c r="G413" s="50">
        <v>5500000</v>
      </c>
      <c r="H413" s="50">
        <v>0</v>
      </c>
      <c r="I413" s="50">
        <v>0</v>
      </c>
      <c r="J413" s="50">
        <v>0</v>
      </c>
      <c r="K413" s="50">
        <v>817891</v>
      </c>
      <c r="L413" s="152">
        <f t="shared" si="17"/>
        <v>0.14870745454545456</v>
      </c>
      <c r="M413" s="50">
        <v>817891</v>
      </c>
      <c r="N413" s="50">
        <v>4682109</v>
      </c>
      <c r="O413" s="418">
        <f t="shared" si="18"/>
        <v>0.85129254545454547</v>
      </c>
    </row>
    <row r="414" spans="1:15" s="143" customFormat="1" x14ac:dyDescent="0.25">
      <c r="A414" s="422"/>
      <c r="B414" s="423"/>
      <c r="C414" s="423"/>
      <c r="D414" s="423"/>
      <c r="E414" s="424"/>
      <c r="F414" s="424">
        <f>+F377+F385+F403+F408+F361</f>
        <v>2188449876</v>
      </c>
      <c r="G414" s="424"/>
      <c r="H414" s="424"/>
      <c r="I414" s="424"/>
      <c r="J414" s="424"/>
      <c r="K414" s="424">
        <f>+K377+K385+K403+K408+K361</f>
        <v>113922194.19999999</v>
      </c>
      <c r="L414" s="425">
        <f t="shared" si="17"/>
        <v>5.2056113073160458E-2</v>
      </c>
      <c r="M414" s="424"/>
      <c r="N414" s="424">
        <f>+N377+N385+N403+N408+N361</f>
        <v>696562551.12</v>
      </c>
      <c r="O414" s="426">
        <f t="shared" si="18"/>
        <v>0.31829038387352127</v>
      </c>
    </row>
    <row r="415" spans="1:15" s="143" customFormat="1" x14ac:dyDescent="0.25">
      <c r="A415" s="381"/>
      <c r="B415" s="357"/>
      <c r="C415" s="357"/>
      <c r="D415" s="357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382"/>
    </row>
    <row r="416" spans="1:15" s="143" customFormat="1" x14ac:dyDescent="0.25">
      <c r="A416" s="399" t="s">
        <v>713</v>
      </c>
      <c r="B416" s="44" t="s">
        <v>71</v>
      </c>
      <c r="C416" s="44" t="s">
        <v>72</v>
      </c>
      <c r="D416" s="44" t="s">
        <v>69</v>
      </c>
      <c r="E416" s="50">
        <v>1171265212</v>
      </c>
      <c r="F416" s="50">
        <v>1160887237</v>
      </c>
      <c r="G416" s="50">
        <v>1152605746</v>
      </c>
      <c r="H416" s="50">
        <v>0</v>
      </c>
      <c r="I416" s="50">
        <v>126256278</v>
      </c>
      <c r="J416" s="50">
        <v>0</v>
      </c>
      <c r="K416" s="50">
        <v>367126704.24000001</v>
      </c>
      <c r="L416" s="152">
        <f t="shared" ref="L416:L460" si="19">+K416/F416</f>
        <v>0.3162466538858158</v>
      </c>
      <c r="M416" s="50">
        <v>367126704.24000001</v>
      </c>
      <c r="N416" s="50">
        <v>667504254.75999999</v>
      </c>
      <c r="O416" s="418">
        <f t="shared" ref="O416:O460" si="20">+N416/F416</f>
        <v>0.57499491206827691</v>
      </c>
    </row>
    <row r="417" spans="1:15" s="143" customFormat="1" hidden="1" x14ac:dyDescent="0.25">
      <c r="A417" s="399" t="s">
        <v>713</v>
      </c>
      <c r="B417" s="44" t="s">
        <v>73</v>
      </c>
      <c r="C417" s="44" t="s">
        <v>74</v>
      </c>
      <c r="D417" s="44" t="s">
        <v>69</v>
      </c>
      <c r="E417" s="50">
        <v>419650432</v>
      </c>
      <c r="F417" s="50">
        <v>414102244</v>
      </c>
      <c r="G417" s="50">
        <v>414102244</v>
      </c>
      <c r="H417" s="50">
        <v>0</v>
      </c>
      <c r="I417" s="50">
        <v>0</v>
      </c>
      <c r="J417" s="50">
        <v>0</v>
      </c>
      <c r="K417" s="50">
        <v>132140212.34999999</v>
      </c>
      <c r="L417" s="152">
        <f t="shared" si="19"/>
        <v>0.31910044986377806</v>
      </c>
      <c r="M417" s="50">
        <v>132140212.34999999</v>
      </c>
      <c r="N417" s="50">
        <v>281962031.64999998</v>
      </c>
      <c r="O417" s="418">
        <f t="shared" si="20"/>
        <v>0.68089955013622183</v>
      </c>
    </row>
    <row r="418" spans="1:15" s="143" customFormat="1" hidden="1" x14ac:dyDescent="0.25">
      <c r="A418" s="399" t="s">
        <v>713</v>
      </c>
      <c r="B418" s="44" t="s">
        <v>75</v>
      </c>
      <c r="C418" s="44" t="s">
        <v>76</v>
      </c>
      <c r="D418" s="44" t="s">
        <v>69</v>
      </c>
      <c r="E418" s="50">
        <v>419650432</v>
      </c>
      <c r="F418" s="50">
        <v>414102244</v>
      </c>
      <c r="G418" s="50">
        <v>414102244</v>
      </c>
      <c r="H418" s="50">
        <v>0</v>
      </c>
      <c r="I418" s="50">
        <v>0</v>
      </c>
      <c r="J418" s="50">
        <v>0</v>
      </c>
      <c r="K418" s="50">
        <v>132140212.34999999</v>
      </c>
      <c r="L418" s="152">
        <f t="shared" si="19"/>
        <v>0.31910044986377806</v>
      </c>
      <c r="M418" s="50">
        <v>132140212.34999999</v>
      </c>
      <c r="N418" s="50">
        <v>281962031.64999998</v>
      </c>
      <c r="O418" s="418">
        <f t="shared" si="20"/>
        <v>0.68089955013622183</v>
      </c>
    </row>
    <row r="419" spans="1:15" s="143" customFormat="1" hidden="1" x14ac:dyDescent="0.25">
      <c r="A419" s="399" t="s">
        <v>713</v>
      </c>
      <c r="B419" s="44" t="s">
        <v>293</v>
      </c>
      <c r="C419" s="44" t="s">
        <v>294</v>
      </c>
      <c r="D419" s="44" t="s">
        <v>69</v>
      </c>
      <c r="E419" s="50">
        <v>5204100</v>
      </c>
      <c r="F419" s="50">
        <v>5204100</v>
      </c>
      <c r="G419" s="50">
        <v>5204100</v>
      </c>
      <c r="H419" s="50">
        <v>0</v>
      </c>
      <c r="I419" s="50">
        <v>0</v>
      </c>
      <c r="J419" s="50">
        <v>0</v>
      </c>
      <c r="K419" s="50">
        <v>0</v>
      </c>
      <c r="L419" s="152">
        <f t="shared" si="19"/>
        <v>0</v>
      </c>
      <c r="M419" s="50">
        <v>0</v>
      </c>
      <c r="N419" s="50">
        <v>5204100</v>
      </c>
      <c r="O419" s="418">
        <f t="shared" si="20"/>
        <v>1</v>
      </c>
    </row>
    <row r="420" spans="1:15" s="143" customFormat="1" hidden="1" x14ac:dyDescent="0.25">
      <c r="A420" s="399" t="s">
        <v>713</v>
      </c>
      <c r="B420" s="44" t="s">
        <v>339</v>
      </c>
      <c r="C420" s="44" t="s">
        <v>340</v>
      </c>
      <c r="D420" s="44" t="s">
        <v>69</v>
      </c>
      <c r="E420" s="50">
        <v>5204100</v>
      </c>
      <c r="F420" s="50">
        <v>5204100</v>
      </c>
      <c r="G420" s="50">
        <v>5204100</v>
      </c>
      <c r="H420" s="50">
        <v>0</v>
      </c>
      <c r="I420" s="50">
        <v>0</v>
      </c>
      <c r="J420" s="50">
        <v>0</v>
      </c>
      <c r="K420" s="50">
        <v>0</v>
      </c>
      <c r="L420" s="152">
        <f t="shared" si="19"/>
        <v>0</v>
      </c>
      <c r="M420" s="50">
        <v>0</v>
      </c>
      <c r="N420" s="50">
        <v>5204100</v>
      </c>
      <c r="O420" s="418">
        <f t="shared" si="20"/>
        <v>1</v>
      </c>
    </row>
    <row r="421" spans="1:15" s="143" customFormat="1" hidden="1" x14ac:dyDescent="0.25">
      <c r="A421" s="399" t="s">
        <v>713</v>
      </c>
      <c r="B421" s="44" t="s">
        <v>77</v>
      </c>
      <c r="C421" s="44" t="s">
        <v>78</v>
      </c>
      <c r="D421" s="44" t="s">
        <v>69</v>
      </c>
      <c r="E421" s="50">
        <v>567738543</v>
      </c>
      <c r="F421" s="50">
        <v>564491876</v>
      </c>
      <c r="G421" s="50">
        <v>557473696</v>
      </c>
      <c r="H421" s="50">
        <v>0</v>
      </c>
      <c r="I421" s="50">
        <v>0</v>
      </c>
      <c r="J421" s="50">
        <v>0</v>
      </c>
      <c r="K421" s="50">
        <v>185417063.88999999</v>
      </c>
      <c r="L421" s="152">
        <f t="shared" si="19"/>
        <v>0.32846719638175975</v>
      </c>
      <c r="M421" s="50">
        <v>185417063.88999999</v>
      </c>
      <c r="N421" s="50">
        <v>379074812.11000001</v>
      </c>
      <c r="O421" s="418">
        <f t="shared" si="20"/>
        <v>0.67153280361824019</v>
      </c>
    </row>
    <row r="422" spans="1:15" s="143" customFormat="1" hidden="1" x14ac:dyDescent="0.25">
      <c r="A422" s="399" t="s">
        <v>713</v>
      </c>
      <c r="B422" s="44" t="s">
        <v>79</v>
      </c>
      <c r="C422" s="44" t="s">
        <v>80</v>
      </c>
      <c r="D422" s="44" t="s">
        <v>69</v>
      </c>
      <c r="E422" s="50">
        <v>176537100</v>
      </c>
      <c r="F422" s="50">
        <v>176537100</v>
      </c>
      <c r="G422" s="50">
        <v>170058581</v>
      </c>
      <c r="H422" s="50">
        <v>0</v>
      </c>
      <c r="I422" s="50">
        <v>0</v>
      </c>
      <c r="J422" s="50">
        <v>0</v>
      </c>
      <c r="K422" s="50">
        <v>49989018.280000001</v>
      </c>
      <c r="L422" s="152">
        <f t="shared" si="19"/>
        <v>0.28316437893224711</v>
      </c>
      <c r="M422" s="50">
        <v>49989018.280000001</v>
      </c>
      <c r="N422" s="50">
        <v>126548081.72</v>
      </c>
      <c r="O422" s="418">
        <f t="shared" si="20"/>
        <v>0.71683562106775289</v>
      </c>
    </row>
    <row r="423" spans="1:15" s="143" customFormat="1" hidden="1" x14ac:dyDescent="0.25">
      <c r="A423" s="399" t="s">
        <v>713</v>
      </c>
      <c r="B423" s="44" t="s">
        <v>81</v>
      </c>
      <c r="C423" s="44" t="s">
        <v>82</v>
      </c>
      <c r="D423" s="44" t="s">
        <v>69</v>
      </c>
      <c r="E423" s="50">
        <v>145353690</v>
      </c>
      <c r="F423" s="50">
        <v>142783300</v>
      </c>
      <c r="G423" s="50">
        <v>142783300</v>
      </c>
      <c r="H423" s="50">
        <v>0</v>
      </c>
      <c r="I423" s="50">
        <v>0</v>
      </c>
      <c r="J423" s="50">
        <v>0</v>
      </c>
      <c r="K423" s="50">
        <v>41815155.829999998</v>
      </c>
      <c r="L423" s="152">
        <f t="shared" si="19"/>
        <v>0.29285746883564112</v>
      </c>
      <c r="M423" s="50">
        <v>41815155.829999998</v>
      </c>
      <c r="N423" s="50">
        <v>100968144.17</v>
      </c>
      <c r="O423" s="418">
        <f t="shared" si="20"/>
        <v>0.70714253116435888</v>
      </c>
    </row>
    <row r="424" spans="1:15" s="143" customFormat="1" hidden="1" x14ac:dyDescent="0.25">
      <c r="A424" s="399" t="s">
        <v>713</v>
      </c>
      <c r="B424" s="44" t="s">
        <v>83</v>
      </c>
      <c r="C424" s="44" t="s">
        <v>84</v>
      </c>
      <c r="D424" s="44" t="s">
        <v>85</v>
      </c>
      <c r="E424" s="50">
        <v>76324653</v>
      </c>
      <c r="F424" s="50">
        <v>75648376</v>
      </c>
      <c r="G424" s="50">
        <v>75108715</v>
      </c>
      <c r="H424" s="50">
        <v>0</v>
      </c>
      <c r="I424" s="50">
        <v>0</v>
      </c>
      <c r="J424" s="50">
        <v>0</v>
      </c>
      <c r="K424" s="50">
        <v>0</v>
      </c>
      <c r="L424" s="152">
        <f t="shared" si="19"/>
        <v>0</v>
      </c>
      <c r="M424" s="50">
        <v>0</v>
      </c>
      <c r="N424" s="50">
        <v>75648376</v>
      </c>
      <c r="O424" s="418">
        <f t="shared" si="20"/>
        <v>1</v>
      </c>
    </row>
    <row r="425" spans="1:15" s="143" customFormat="1" hidden="1" x14ac:dyDescent="0.25">
      <c r="A425" s="399" t="s">
        <v>713</v>
      </c>
      <c r="B425" s="44" t="s">
        <v>86</v>
      </c>
      <c r="C425" s="44" t="s">
        <v>87</v>
      </c>
      <c r="D425" s="44" t="s">
        <v>69</v>
      </c>
      <c r="E425" s="50">
        <v>70126000</v>
      </c>
      <c r="F425" s="50">
        <v>70126000</v>
      </c>
      <c r="G425" s="50">
        <v>70126000</v>
      </c>
      <c r="H425" s="50">
        <v>0</v>
      </c>
      <c r="I425" s="50">
        <v>0</v>
      </c>
      <c r="J425" s="50">
        <v>0</v>
      </c>
      <c r="K425" s="50">
        <v>62351269.950000003</v>
      </c>
      <c r="L425" s="152">
        <f t="shared" si="19"/>
        <v>0.88913199027464851</v>
      </c>
      <c r="M425" s="50">
        <v>62351269.950000003</v>
      </c>
      <c r="N425" s="50">
        <v>7774730.0499999998</v>
      </c>
      <c r="O425" s="418">
        <f t="shared" si="20"/>
        <v>0.1108680097253515</v>
      </c>
    </row>
    <row r="426" spans="1:15" s="143" customFormat="1" hidden="1" x14ac:dyDescent="0.25">
      <c r="A426" s="399" t="s">
        <v>713</v>
      </c>
      <c r="B426" s="44" t="s">
        <v>88</v>
      </c>
      <c r="C426" s="44" t="s">
        <v>89</v>
      </c>
      <c r="D426" s="44" t="s">
        <v>69</v>
      </c>
      <c r="E426" s="50">
        <v>99397100</v>
      </c>
      <c r="F426" s="50">
        <v>99397100</v>
      </c>
      <c r="G426" s="50">
        <v>99397100</v>
      </c>
      <c r="H426" s="50">
        <v>0</v>
      </c>
      <c r="I426" s="50">
        <v>0</v>
      </c>
      <c r="J426" s="50">
        <v>0</v>
      </c>
      <c r="K426" s="50">
        <v>31261619.829999998</v>
      </c>
      <c r="L426" s="152">
        <f t="shared" si="19"/>
        <v>0.31451239352053528</v>
      </c>
      <c r="M426" s="50">
        <v>31261619.829999998</v>
      </c>
      <c r="N426" s="50">
        <v>68135480.170000002</v>
      </c>
      <c r="O426" s="418">
        <f t="shared" si="20"/>
        <v>0.68548760647946472</v>
      </c>
    </row>
    <row r="427" spans="1:15" s="143" customFormat="1" hidden="1" x14ac:dyDescent="0.25">
      <c r="A427" s="399" t="s">
        <v>713</v>
      </c>
      <c r="B427" s="44" t="s">
        <v>90</v>
      </c>
      <c r="C427" s="44" t="s">
        <v>91</v>
      </c>
      <c r="D427" s="44" t="s">
        <v>69</v>
      </c>
      <c r="E427" s="50">
        <v>89336069</v>
      </c>
      <c r="F427" s="50">
        <v>88544509</v>
      </c>
      <c r="G427" s="50">
        <v>87912853</v>
      </c>
      <c r="H427" s="50">
        <v>0</v>
      </c>
      <c r="I427" s="50">
        <v>63074297</v>
      </c>
      <c r="J427" s="50">
        <v>0</v>
      </c>
      <c r="K427" s="50">
        <v>24838556</v>
      </c>
      <c r="L427" s="152">
        <f t="shared" si="19"/>
        <v>0.28052056847477691</v>
      </c>
      <c r="M427" s="50">
        <v>24838556</v>
      </c>
      <c r="N427" s="50">
        <v>631656</v>
      </c>
      <c r="O427" s="418">
        <f t="shared" si="20"/>
        <v>7.1337681707625712E-3</v>
      </c>
    </row>
    <row r="428" spans="1:15" s="143" customFormat="1" hidden="1" x14ac:dyDescent="0.25">
      <c r="A428" s="399" t="s">
        <v>713</v>
      </c>
      <c r="B428" s="44" t="s">
        <v>423</v>
      </c>
      <c r="C428" s="44" t="s">
        <v>697</v>
      </c>
      <c r="D428" s="44" t="s">
        <v>69</v>
      </c>
      <c r="E428" s="50">
        <v>84754804</v>
      </c>
      <c r="F428" s="50">
        <v>84003836</v>
      </c>
      <c r="G428" s="50">
        <v>83404573</v>
      </c>
      <c r="H428" s="50">
        <v>0</v>
      </c>
      <c r="I428" s="50">
        <v>59839789</v>
      </c>
      <c r="J428" s="50">
        <v>0</v>
      </c>
      <c r="K428" s="50">
        <v>23564784</v>
      </c>
      <c r="L428" s="152">
        <f t="shared" si="19"/>
        <v>0.28052033242862862</v>
      </c>
      <c r="M428" s="50">
        <v>23564784</v>
      </c>
      <c r="N428" s="50">
        <v>599263</v>
      </c>
      <c r="O428" s="418">
        <f t="shared" si="20"/>
        <v>7.1337575584048329E-3</v>
      </c>
    </row>
    <row r="429" spans="1:15" s="143" customFormat="1" hidden="1" x14ac:dyDescent="0.25">
      <c r="A429" s="399" t="s">
        <v>713</v>
      </c>
      <c r="B429" s="44" t="s">
        <v>440</v>
      </c>
      <c r="C429" s="44" t="s">
        <v>95</v>
      </c>
      <c r="D429" s="44" t="s">
        <v>69</v>
      </c>
      <c r="E429" s="50">
        <v>4581265</v>
      </c>
      <c r="F429" s="50">
        <v>4540673</v>
      </c>
      <c r="G429" s="50">
        <v>4508280</v>
      </c>
      <c r="H429" s="50">
        <v>0</v>
      </c>
      <c r="I429" s="50">
        <v>3234508</v>
      </c>
      <c r="J429" s="50">
        <v>0</v>
      </c>
      <c r="K429" s="50">
        <v>1273772</v>
      </c>
      <c r="L429" s="152">
        <f t="shared" si="19"/>
        <v>0.28052493540054524</v>
      </c>
      <c r="M429" s="50">
        <v>1273772</v>
      </c>
      <c r="N429" s="50">
        <v>32393</v>
      </c>
      <c r="O429" s="418">
        <f t="shared" si="20"/>
        <v>7.1339645026188853E-3</v>
      </c>
    </row>
    <row r="430" spans="1:15" s="143" customFormat="1" hidden="1" x14ac:dyDescent="0.25">
      <c r="A430" s="399" t="s">
        <v>713</v>
      </c>
      <c r="B430" s="44" t="s">
        <v>96</v>
      </c>
      <c r="C430" s="44" t="s">
        <v>97</v>
      </c>
      <c r="D430" s="44" t="s">
        <v>69</v>
      </c>
      <c r="E430" s="50">
        <v>89336068</v>
      </c>
      <c r="F430" s="50">
        <v>88544508</v>
      </c>
      <c r="G430" s="50">
        <v>87912853</v>
      </c>
      <c r="H430" s="50">
        <v>0</v>
      </c>
      <c r="I430" s="50">
        <v>63181981</v>
      </c>
      <c r="J430" s="50">
        <v>0</v>
      </c>
      <c r="K430" s="50">
        <v>24730872</v>
      </c>
      <c r="L430" s="152">
        <f t="shared" si="19"/>
        <v>0.27930441490510061</v>
      </c>
      <c r="M430" s="50">
        <v>24730872</v>
      </c>
      <c r="N430" s="50">
        <v>631655</v>
      </c>
      <c r="O430" s="418">
        <f t="shared" si="20"/>
        <v>7.1337569575743763E-3</v>
      </c>
    </row>
    <row r="431" spans="1:15" s="143" customFormat="1" hidden="1" x14ac:dyDescent="0.25">
      <c r="A431" s="399" t="s">
        <v>713</v>
      </c>
      <c r="B431" s="44" t="s">
        <v>458</v>
      </c>
      <c r="C431" s="44" t="s">
        <v>698</v>
      </c>
      <c r="D431" s="44" t="s">
        <v>69</v>
      </c>
      <c r="E431" s="50">
        <v>48104083</v>
      </c>
      <c r="F431" s="50">
        <v>47677858</v>
      </c>
      <c r="G431" s="50">
        <v>47337736</v>
      </c>
      <c r="H431" s="50">
        <v>0</v>
      </c>
      <c r="I431" s="50">
        <v>34070813</v>
      </c>
      <c r="J431" s="50">
        <v>0</v>
      </c>
      <c r="K431" s="50">
        <v>13266923</v>
      </c>
      <c r="L431" s="152">
        <f t="shared" si="19"/>
        <v>0.27826172476120886</v>
      </c>
      <c r="M431" s="50">
        <v>13266923</v>
      </c>
      <c r="N431" s="50">
        <v>340122</v>
      </c>
      <c r="O431" s="418">
        <f t="shared" si="20"/>
        <v>7.1337516882574717E-3</v>
      </c>
    </row>
    <row r="432" spans="1:15" s="143" customFormat="1" hidden="1" x14ac:dyDescent="0.25">
      <c r="A432" s="399" t="s">
        <v>713</v>
      </c>
      <c r="B432" s="44" t="s">
        <v>475</v>
      </c>
      <c r="C432" s="44" t="s">
        <v>699</v>
      </c>
      <c r="D432" s="44" t="s">
        <v>69</v>
      </c>
      <c r="E432" s="50">
        <v>13743995</v>
      </c>
      <c r="F432" s="50">
        <v>13622217</v>
      </c>
      <c r="G432" s="50">
        <v>13525039</v>
      </c>
      <c r="H432" s="50">
        <v>0</v>
      </c>
      <c r="I432" s="50">
        <v>9703723</v>
      </c>
      <c r="J432" s="50">
        <v>0</v>
      </c>
      <c r="K432" s="50">
        <v>3821316</v>
      </c>
      <c r="L432" s="152">
        <f t="shared" si="19"/>
        <v>0.28052085794845288</v>
      </c>
      <c r="M432" s="50">
        <v>3821316</v>
      </c>
      <c r="N432" s="50">
        <v>97178</v>
      </c>
      <c r="O432" s="418">
        <f t="shared" si="20"/>
        <v>7.1337874003915809E-3</v>
      </c>
    </row>
    <row r="433" spans="1:15" s="143" customFormat="1" hidden="1" x14ac:dyDescent="0.25">
      <c r="A433" s="399" t="s">
        <v>713</v>
      </c>
      <c r="B433" s="44" t="s">
        <v>492</v>
      </c>
      <c r="C433" s="44" t="s">
        <v>700</v>
      </c>
      <c r="D433" s="44" t="s">
        <v>69</v>
      </c>
      <c r="E433" s="50">
        <v>27487990</v>
      </c>
      <c r="F433" s="50">
        <v>27244433</v>
      </c>
      <c r="G433" s="50">
        <v>27050078</v>
      </c>
      <c r="H433" s="50">
        <v>0</v>
      </c>
      <c r="I433" s="50">
        <v>19407445</v>
      </c>
      <c r="J433" s="50">
        <v>0</v>
      </c>
      <c r="K433" s="50">
        <v>7642633</v>
      </c>
      <c r="L433" s="152">
        <f t="shared" si="19"/>
        <v>0.28052090494964604</v>
      </c>
      <c r="M433" s="50">
        <v>7642633</v>
      </c>
      <c r="N433" s="50">
        <v>194355</v>
      </c>
      <c r="O433" s="418">
        <f t="shared" si="20"/>
        <v>7.1337509574891872E-3</v>
      </c>
    </row>
    <row r="434" spans="1:15" s="143" customFormat="1" x14ac:dyDescent="0.25">
      <c r="A434" s="399" t="s">
        <v>713</v>
      </c>
      <c r="B434" s="44" t="s">
        <v>104</v>
      </c>
      <c r="C434" s="44" t="s">
        <v>105</v>
      </c>
      <c r="D434" s="44" t="s">
        <v>69</v>
      </c>
      <c r="E434" s="50">
        <v>92630000</v>
      </c>
      <c r="F434" s="50">
        <v>92630000</v>
      </c>
      <c r="G434" s="50">
        <v>46815000</v>
      </c>
      <c r="H434" s="50">
        <v>0</v>
      </c>
      <c r="I434" s="50">
        <v>25248683.699999999</v>
      </c>
      <c r="J434" s="50">
        <v>0</v>
      </c>
      <c r="K434" s="50">
        <v>19898406.300000001</v>
      </c>
      <c r="L434" s="152">
        <f t="shared" si="19"/>
        <v>0.2148160023750405</v>
      </c>
      <c r="M434" s="50">
        <v>19898406.300000001</v>
      </c>
      <c r="N434" s="50">
        <v>47482910</v>
      </c>
      <c r="O434" s="418">
        <f t="shared" si="20"/>
        <v>0.51260833423296992</v>
      </c>
    </row>
    <row r="435" spans="1:15" s="143" customFormat="1" hidden="1" x14ac:dyDescent="0.25">
      <c r="A435" s="399" t="s">
        <v>713</v>
      </c>
      <c r="B435" s="44" t="s">
        <v>112</v>
      </c>
      <c r="C435" s="44" t="s">
        <v>113</v>
      </c>
      <c r="D435" s="44" t="s">
        <v>69</v>
      </c>
      <c r="E435" s="50">
        <v>92630000</v>
      </c>
      <c r="F435" s="50">
        <v>92630000</v>
      </c>
      <c r="G435" s="50">
        <v>46815000</v>
      </c>
      <c r="H435" s="50">
        <v>0</v>
      </c>
      <c r="I435" s="50">
        <v>25248683.699999999</v>
      </c>
      <c r="J435" s="50">
        <v>0</v>
      </c>
      <c r="K435" s="50">
        <v>19898406.300000001</v>
      </c>
      <c r="L435" s="152">
        <f t="shared" si="19"/>
        <v>0.2148160023750405</v>
      </c>
      <c r="M435" s="50">
        <v>19898406.300000001</v>
      </c>
      <c r="N435" s="50">
        <v>47482910</v>
      </c>
      <c r="O435" s="418">
        <f t="shared" si="20"/>
        <v>0.51260833423296992</v>
      </c>
    </row>
    <row r="436" spans="1:15" s="143" customFormat="1" hidden="1" x14ac:dyDescent="0.25">
      <c r="A436" s="399" t="s">
        <v>713</v>
      </c>
      <c r="B436" s="44" t="s">
        <v>114</v>
      </c>
      <c r="C436" s="44" t="s">
        <v>115</v>
      </c>
      <c r="D436" s="44" t="s">
        <v>69</v>
      </c>
      <c r="E436" s="50">
        <v>54520000</v>
      </c>
      <c r="F436" s="50">
        <v>54520000</v>
      </c>
      <c r="G436" s="50">
        <v>27260000</v>
      </c>
      <c r="H436" s="50">
        <v>0</v>
      </c>
      <c r="I436" s="50">
        <v>10135069</v>
      </c>
      <c r="J436" s="50">
        <v>0</v>
      </c>
      <c r="K436" s="50">
        <v>17124931</v>
      </c>
      <c r="L436" s="152">
        <f t="shared" si="19"/>
        <v>0.31410365003668378</v>
      </c>
      <c r="M436" s="50">
        <v>17124931</v>
      </c>
      <c r="N436" s="50">
        <v>27260000</v>
      </c>
      <c r="O436" s="418">
        <f t="shared" si="20"/>
        <v>0.5</v>
      </c>
    </row>
    <row r="437" spans="1:15" s="143" customFormat="1" hidden="1" x14ac:dyDescent="0.25">
      <c r="A437" s="399" t="s">
        <v>713</v>
      </c>
      <c r="B437" s="44" t="s">
        <v>116</v>
      </c>
      <c r="C437" s="44" t="s">
        <v>117</v>
      </c>
      <c r="D437" s="44" t="s">
        <v>69</v>
      </c>
      <c r="E437" s="50">
        <v>34800000</v>
      </c>
      <c r="F437" s="50">
        <v>34800000</v>
      </c>
      <c r="G437" s="50">
        <v>17400000</v>
      </c>
      <c r="H437" s="50">
        <v>0</v>
      </c>
      <c r="I437" s="50">
        <v>14626524.699999999</v>
      </c>
      <c r="J437" s="50">
        <v>0</v>
      </c>
      <c r="K437" s="50">
        <v>2773475.3</v>
      </c>
      <c r="L437" s="152">
        <f t="shared" si="19"/>
        <v>7.9697566091954011E-2</v>
      </c>
      <c r="M437" s="50">
        <v>2773475.3</v>
      </c>
      <c r="N437" s="50">
        <v>17400000</v>
      </c>
      <c r="O437" s="418">
        <f t="shared" si="20"/>
        <v>0.5</v>
      </c>
    </row>
    <row r="438" spans="1:15" s="143" customFormat="1" hidden="1" x14ac:dyDescent="0.25">
      <c r="A438" s="399" t="s">
        <v>713</v>
      </c>
      <c r="B438" s="44" t="s">
        <v>120</v>
      </c>
      <c r="C438" s="44" t="s">
        <v>121</v>
      </c>
      <c r="D438" s="44" t="s">
        <v>69</v>
      </c>
      <c r="E438" s="50">
        <v>2310000</v>
      </c>
      <c r="F438" s="50">
        <v>2310000</v>
      </c>
      <c r="G438" s="50">
        <v>1155000</v>
      </c>
      <c r="H438" s="50">
        <v>0</v>
      </c>
      <c r="I438" s="50">
        <v>0</v>
      </c>
      <c r="J438" s="50">
        <v>0</v>
      </c>
      <c r="K438" s="50">
        <v>0</v>
      </c>
      <c r="L438" s="152">
        <f t="shared" si="19"/>
        <v>0</v>
      </c>
      <c r="M438" s="50">
        <v>0</v>
      </c>
      <c r="N438" s="50">
        <v>2310000</v>
      </c>
      <c r="O438" s="418">
        <f t="shared" si="20"/>
        <v>1</v>
      </c>
    </row>
    <row r="439" spans="1:15" s="143" customFormat="1" hidden="1" x14ac:dyDescent="0.25">
      <c r="A439" s="399" t="s">
        <v>713</v>
      </c>
      <c r="B439" s="44" t="s">
        <v>122</v>
      </c>
      <c r="C439" s="44" t="s">
        <v>123</v>
      </c>
      <c r="D439" s="44" t="s">
        <v>69</v>
      </c>
      <c r="E439" s="50">
        <v>1000000</v>
      </c>
      <c r="F439" s="50">
        <v>1000000</v>
      </c>
      <c r="G439" s="50">
        <v>1000000</v>
      </c>
      <c r="H439" s="50">
        <v>0</v>
      </c>
      <c r="I439" s="50">
        <v>487090</v>
      </c>
      <c r="J439" s="50">
        <v>0</v>
      </c>
      <c r="K439" s="50">
        <v>0</v>
      </c>
      <c r="L439" s="152">
        <f t="shared" si="19"/>
        <v>0</v>
      </c>
      <c r="M439" s="50">
        <v>0</v>
      </c>
      <c r="N439" s="50">
        <v>512910</v>
      </c>
      <c r="O439" s="418">
        <f t="shared" si="20"/>
        <v>0.51290999999999998</v>
      </c>
    </row>
    <row r="440" spans="1:15" s="143" customFormat="1" x14ac:dyDescent="0.25">
      <c r="A440" s="399" t="s">
        <v>713</v>
      </c>
      <c r="B440" s="44" t="s">
        <v>184</v>
      </c>
      <c r="C440" s="44" t="s">
        <v>185</v>
      </c>
      <c r="D440" s="44" t="s">
        <v>69</v>
      </c>
      <c r="E440" s="50">
        <v>150099855</v>
      </c>
      <c r="F440" s="50">
        <v>150099855</v>
      </c>
      <c r="G440" s="50">
        <v>73130188</v>
      </c>
      <c r="H440" s="50">
        <v>0</v>
      </c>
      <c r="I440" s="50">
        <v>4617170.05</v>
      </c>
      <c r="J440" s="50">
        <v>11553366.869999999</v>
      </c>
      <c r="K440" s="50">
        <v>27077298.800000001</v>
      </c>
      <c r="L440" s="152">
        <f t="shared" si="19"/>
        <v>0.18039523622457865</v>
      </c>
      <c r="M440" s="50">
        <v>27077298.800000001</v>
      </c>
      <c r="N440" s="50">
        <v>106852019.28</v>
      </c>
      <c r="O440" s="418">
        <f t="shared" si="20"/>
        <v>0.71187290140953163</v>
      </c>
    </row>
    <row r="441" spans="1:15" s="143" customFormat="1" hidden="1" x14ac:dyDescent="0.25">
      <c r="A441" s="399" t="s">
        <v>713</v>
      </c>
      <c r="B441" s="44" t="s">
        <v>186</v>
      </c>
      <c r="C441" s="44" t="s">
        <v>187</v>
      </c>
      <c r="D441" s="44" t="s">
        <v>69</v>
      </c>
      <c r="E441" s="50">
        <v>568000</v>
      </c>
      <c r="F441" s="50">
        <v>568000</v>
      </c>
      <c r="G441" s="50">
        <v>568000</v>
      </c>
      <c r="H441" s="50">
        <v>0</v>
      </c>
      <c r="I441" s="50">
        <v>0</v>
      </c>
      <c r="J441" s="50">
        <v>0</v>
      </c>
      <c r="K441" s="50">
        <v>0</v>
      </c>
      <c r="L441" s="152">
        <f t="shared" si="19"/>
        <v>0</v>
      </c>
      <c r="M441" s="50">
        <v>0</v>
      </c>
      <c r="N441" s="50">
        <v>568000</v>
      </c>
      <c r="O441" s="418">
        <f t="shared" si="20"/>
        <v>1</v>
      </c>
    </row>
    <row r="442" spans="1:15" s="143" customFormat="1" hidden="1" x14ac:dyDescent="0.25">
      <c r="A442" s="399" t="s">
        <v>713</v>
      </c>
      <c r="B442" s="44" t="s">
        <v>188</v>
      </c>
      <c r="C442" s="44" t="s">
        <v>189</v>
      </c>
      <c r="D442" s="44" t="s">
        <v>69</v>
      </c>
      <c r="E442" s="50">
        <v>5500</v>
      </c>
      <c r="F442" s="50">
        <v>5500</v>
      </c>
      <c r="G442" s="50">
        <v>5500</v>
      </c>
      <c r="H442" s="50">
        <v>0</v>
      </c>
      <c r="I442" s="50">
        <v>0</v>
      </c>
      <c r="J442" s="50">
        <v>0</v>
      </c>
      <c r="K442" s="50">
        <v>0</v>
      </c>
      <c r="L442" s="152">
        <f t="shared" si="19"/>
        <v>0</v>
      </c>
      <c r="M442" s="50">
        <v>0</v>
      </c>
      <c r="N442" s="50">
        <v>5500</v>
      </c>
      <c r="O442" s="418">
        <f t="shared" si="20"/>
        <v>1</v>
      </c>
    </row>
    <row r="443" spans="1:15" s="143" customFormat="1" hidden="1" x14ac:dyDescent="0.25">
      <c r="A443" s="399" t="s">
        <v>713</v>
      </c>
      <c r="B443" s="44" t="s">
        <v>190</v>
      </c>
      <c r="C443" s="44" t="s">
        <v>191</v>
      </c>
      <c r="D443" s="44" t="s">
        <v>69</v>
      </c>
      <c r="E443" s="50">
        <v>147500</v>
      </c>
      <c r="F443" s="50">
        <v>562500</v>
      </c>
      <c r="G443" s="50">
        <v>562500</v>
      </c>
      <c r="H443" s="50">
        <v>0</v>
      </c>
      <c r="I443" s="50">
        <v>0</v>
      </c>
      <c r="J443" s="50">
        <v>0</v>
      </c>
      <c r="K443" s="50">
        <v>0</v>
      </c>
      <c r="L443" s="152">
        <f t="shared" si="19"/>
        <v>0</v>
      </c>
      <c r="M443" s="50">
        <v>0</v>
      </c>
      <c r="N443" s="50">
        <v>562500</v>
      </c>
      <c r="O443" s="418">
        <f t="shared" si="20"/>
        <v>1</v>
      </c>
    </row>
    <row r="444" spans="1:15" s="143" customFormat="1" hidden="1" x14ac:dyDescent="0.25">
      <c r="A444" s="399" t="s">
        <v>713</v>
      </c>
      <c r="B444" s="44" t="s">
        <v>194</v>
      </c>
      <c r="C444" s="44" t="s">
        <v>195</v>
      </c>
      <c r="D444" s="44" t="s">
        <v>69</v>
      </c>
      <c r="E444" s="50">
        <v>415000</v>
      </c>
      <c r="F444" s="50">
        <v>0</v>
      </c>
      <c r="G444" s="50">
        <v>0</v>
      </c>
      <c r="H444" s="50">
        <v>0</v>
      </c>
      <c r="I444" s="50">
        <v>0</v>
      </c>
      <c r="J444" s="50">
        <v>0</v>
      </c>
      <c r="K444" s="50">
        <v>0</v>
      </c>
      <c r="L444" s="152" t="e">
        <f t="shared" si="19"/>
        <v>#DIV/0!</v>
      </c>
      <c r="M444" s="50">
        <v>0</v>
      </c>
      <c r="N444" s="50">
        <v>0</v>
      </c>
      <c r="O444" s="418" t="e">
        <f t="shared" si="20"/>
        <v>#DIV/0!</v>
      </c>
    </row>
    <row r="445" spans="1:15" s="143" customFormat="1" hidden="1" x14ac:dyDescent="0.25">
      <c r="A445" s="399" t="s">
        <v>713</v>
      </c>
      <c r="B445" s="44" t="s">
        <v>196</v>
      </c>
      <c r="C445" s="44" t="s">
        <v>197</v>
      </c>
      <c r="D445" s="44" t="s">
        <v>69</v>
      </c>
      <c r="E445" s="50">
        <v>148180115</v>
      </c>
      <c r="F445" s="50">
        <v>148180115</v>
      </c>
      <c r="G445" s="50">
        <v>71210448</v>
      </c>
      <c r="H445" s="50">
        <v>0</v>
      </c>
      <c r="I445" s="50">
        <v>4617170.05</v>
      </c>
      <c r="J445" s="50">
        <v>11553366.869999999</v>
      </c>
      <c r="K445" s="50">
        <v>27077298.800000001</v>
      </c>
      <c r="L445" s="152">
        <f t="shared" si="19"/>
        <v>0.18273233760143864</v>
      </c>
      <c r="M445" s="50">
        <v>27077298.800000001</v>
      </c>
      <c r="N445" s="50">
        <v>104932279.28</v>
      </c>
      <c r="O445" s="418">
        <f t="shared" si="20"/>
        <v>0.70814008532791328</v>
      </c>
    </row>
    <row r="446" spans="1:15" s="143" customFormat="1" hidden="1" x14ac:dyDescent="0.25">
      <c r="A446" s="399" t="s">
        <v>713</v>
      </c>
      <c r="B446" s="44" t="s">
        <v>198</v>
      </c>
      <c r="C446" s="44" t="s">
        <v>199</v>
      </c>
      <c r="D446" s="44" t="s">
        <v>69</v>
      </c>
      <c r="E446" s="50">
        <v>148180115</v>
      </c>
      <c r="F446" s="50">
        <v>148180115</v>
      </c>
      <c r="G446" s="50">
        <v>71210448</v>
      </c>
      <c r="H446" s="50">
        <v>0</v>
      </c>
      <c r="I446" s="50">
        <v>4617170.05</v>
      </c>
      <c r="J446" s="50">
        <v>11553366.869999999</v>
      </c>
      <c r="K446" s="50">
        <v>27077298.800000001</v>
      </c>
      <c r="L446" s="152">
        <f t="shared" si="19"/>
        <v>0.18273233760143864</v>
      </c>
      <c r="M446" s="50">
        <v>27077298.800000001</v>
      </c>
      <c r="N446" s="50">
        <v>104932279.28</v>
      </c>
      <c r="O446" s="418">
        <f t="shared" si="20"/>
        <v>0.70814008532791328</v>
      </c>
    </row>
    <row r="447" spans="1:15" s="143" customFormat="1" hidden="1" x14ac:dyDescent="0.25">
      <c r="A447" s="399" t="s">
        <v>713</v>
      </c>
      <c r="B447" s="44" t="s">
        <v>212</v>
      </c>
      <c r="C447" s="44" t="s">
        <v>213</v>
      </c>
      <c r="D447" s="44" t="s">
        <v>69</v>
      </c>
      <c r="E447" s="50">
        <v>1351740</v>
      </c>
      <c r="F447" s="50">
        <v>1351740</v>
      </c>
      <c r="G447" s="50">
        <v>1351740</v>
      </c>
      <c r="H447" s="50">
        <v>0</v>
      </c>
      <c r="I447" s="50">
        <v>0</v>
      </c>
      <c r="J447" s="50">
        <v>0</v>
      </c>
      <c r="K447" s="50">
        <v>0</v>
      </c>
      <c r="L447" s="152">
        <f t="shared" si="19"/>
        <v>0</v>
      </c>
      <c r="M447" s="50">
        <v>0</v>
      </c>
      <c r="N447" s="50">
        <v>1351740</v>
      </c>
      <c r="O447" s="418">
        <f t="shared" si="20"/>
        <v>1</v>
      </c>
    </row>
    <row r="448" spans="1:15" s="143" customFormat="1" hidden="1" x14ac:dyDescent="0.25">
      <c r="A448" s="399" t="s">
        <v>713</v>
      </c>
      <c r="B448" s="44" t="s">
        <v>216</v>
      </c>
      <c r="C448" s="44" t="s">
        <v>217</v>
      </c>
      <c r="D448" s="44" t="s">
        <v>69</v>
      </c>
      <c r="E448" s="50">
        <v>708740</v>
      </c>
      <c r="F448" s="50">
        <v>708740</v>
      </c>
      <c r="G448" s="50">
        <v>708740</v>
      </c>
      <c r="H448" s="50">
        <v>0</v>
      </c>
      <c r="I448" s="50">
        <v>0</v>
      </c>
      <c r="J448" s="50">
        <v>0</v>
      </c>
      <c r="K448" s="50">
        <v>0</v>
      </c>
      <c r="L448" s="152">
        <f t="shared" si="19"/>
        <v>0</v>
      </c>
      <c r="M448" s="50">
        <v>0</v>
      </c>
      <c r="N448" s="50">
        <v>708740</v>
      </c>
      <c r="O448" s="418">
        <f t="shared" si="20"/>
        <v>1</v>
      </c>
    </row>
    <row r="449" spans="1:15" s="143" customFormat="1" hidden="1" x14ac:dyDescent="0.25">
      <c r="A449" s="399" t="s">
        <v>713</v>
      </c>
      <c r="B449" s="44" t="s">
        <v>218</v>
      </c>
      <c r="C449" s="44" t="s">
        <v>219</v>
      </c>
      <c r="D449" s="44" t="s">
        <v>69</v>
      </c>
      <c r="E449" s="50">
        <v>616000</v>
      </c>
      <c r="F449" s="50">
        <v>616000</v>
      </c>
      <c r="G449" s="50">
        <v>616000</v>
      </c>
      <c r="H449" s="50">
        <v>0</v>
      </c>
      <c r="I449" s="50">
        <v>0</v>
      </c>
      <c r="J449" s="50">
        <v>0</v>
      </c>
      <c r="K449" s="50">
        <v>0</v>
      </c>
      <c r="L449" s="152">
        <f t="shared" si="19"/>
        <v>0</v>
      </c>
      <c r="M449" s="50">
        <v>0</v>
      </c>
      <c r="N449" s="50">
        <v>616000</v>
      </c>
      <c r="O449" s="418">
        <f t="shared" si="20"/>
        <v>1</v>
      </c>
    </row>
    <row r="450" spans="1:15" s="143" customFormat="1" hidden="1" x14ac:dyDescent="0.25">
      <c r="A450" s="399" t="s">
        <v>713</v>
      </c>
      <c r="B450" s="44" t="s">
        <v>224</v>
      </c>
      <c r="C450" s="44" t="s">
        <v>225</v>
      </c>
      <c r="D450" s="44" t="s">
        <v>69</v>
      </c>
      <c r="E450" s="50">
        <v>27000</v>
      </c>
      <c r="F450" s="50">
        <v>27000</v>
      </c>
      <c r="G450" s="50">
        <v>27000</v>
      </c>
      <c r="H450" s="50">
        <v>0</v>
      </c>
      <c r="I450" s="50">
        <v>0</v>
      </c>
      <c r="J450" s="50">
        <v>0</v>
      </c>
      <c r="K450" s="50">
        <v>0</v>
      </c>
      <c r="L450" s="152">
        <f t="shared" si="19"/>
        <v>0</v>
      </c>
      <c r="M450" s="50">
        <v>0</v>
      </c>
      <c r="N450" s="50">
        <v>27000</v>
      </c>
      <c r="O450" s="418">
        <f t="shared" si="20"/>
        <v>1</v>
      </c>
    </row>
    <row r="451" spans="1:15" s="143" customFormat="1" x14ac:dyDescent="0.25">
      <c r="A451" s="399" t="s">
        <v>713</v>
      </c>
      <c r="B451" s="44" t="s">
        <v>230</v>
      </c>
      <c r="C451" s="44" t="s">
        <v>231</v>
      </c>
      <c r="D451" s="44" t="s">
        <v>85</v>
      </c>
      <c r="E451" s="50">
        <v>535000</v>
      </c>
      <c r="F451" s="50">
        <v>535000</v>
      </c>
      <c r="G451" s="50">
        <v>535000</v>
      </c>
      <c r="H451" s="50">
        <v>0</v>
      </c>
      <c r="I451" s="50">
        <v>0</v>
      </c>
      <c r="J451" s="50">
        <v>0</v>
      </c>
      <c r="K451" s="50">
        <v>0</v>
      </c>
      <c r="L451" s="152">
        <f t="shared" si="19"/>
        <v>0</v>
      </c>
      <c r="M451" s="50">
        <v>0</v>
      </c>
      <c r="N451" s="50">
        <v>535000</v>
      </c>
      <c r="O451" s="418">
        <f t="shared" si="20"/>
        <v>1</v>
      </c>
    </row>
    <row r="452" spans="1:15" s="143" customFormat="1" hidden="1" x14ac:dyDescent="0.25">
      <c r="A452" s="399" t="s">
        <v>713</v>
      </c>
      <c r="B452" s="44" t="s">
        <v>232</v>
      </c>
      <c r="C452" s="44" t="s">
        <v>233</v>
      </c>
      <c r="D452" s="44" t="s">
        <v>85</v>
      </c>
      <c r="E452" s="50">
        <v>535000</v>
      </c>
      <c r="F452" s="50">
        <v>535000</v>
      </c>
      <c r="G452" s="50">
        <v>535000</v>
      </c>
      <c r="H452" s="50">
        <v>0</v>
      </c>
      <c r="I452" s="50">
        <v>0</v>
      </c>
      <c r="J452" s="50">
        <v>0</v>
      </c>
      <c r="K452" s="50">
        <v>0</v>
      </c>
      <c r="L452" s="152">
        <f t="shared" si="19"/>
        <v>0</v>
      </c>
      <c r="M452" s="50">
        <v>0</v>
      </c>
      <c r="N452" s="50">
        <v>535000</v>
      </c>
      <c r="O452" s="418">
        <f t="shared" si="20"/>
        <v>1</v>
      </c>
    </row>
    <row r="453" spans="1:15" s="143" customFormat="1" hidden="1" x14ac:dyDescent="0.25">
      <c r="A453" s="399" t="s">
        <v>713</v>
      </c>
      <c r="B453" s="44" t="s">
        <v>326</v>
      </c>
      <c r="C453" s="44" t="s">
        <v>327</v>
      </c>
      <c r="D453" s="44" t="s">
        <v>85</v>
      </c>
      <c r="E453" s="50">
        <v>535000</v>
      </c>
      <c r="F453" s="50">
        <v>535000</v>
      </c>
      <c r="G453" s="50">
        <v>535000</v>
      </c>
      <c r="H453" s="50">
        <v>0</v>
      </c>
      <c r="I453" s="50">
        <v>0</v>
      </c>
      <c r="J453" s="50">
        <v>0</v>
      </c>
      <c r="K453" s="50">
        <v>0</v>
      </c>
      <c r="L453" s="152">
        <f t="shared" si="19"/>
        <v>0</v>
      </c>
      <c r="M453" s="50">
        <v>0</v>
      </c>
      <c r="N453" s="50">
        <v>535000</v>
      </c>
      <c r="O453" s="418">
        <f t="shared" si="20"/>
        <v>1</v>
      </c>
    </row>
    <row r="454" spans="1:15" s="143" customFormat="1" x14ac:dyDescent="0.25">
      <c r="A454" s="399" t="s">
        <v>713</v>
      </c>
      <c r="B454" s="44" t="s">
        <v>248</v>
      </c>
      <c r="C454" s="44" t="s">
        <v>249</v>
      </c>
      <c r="D454" s="44" t="s">
        <v>69</v>
      </c>
      <c r="E454" s="50">
        <v>19709963</v>
      </c>
      <c r="F454" s="50">
        <v>19575196</v>
      </c>
      <c r="G454" s="50">
        <v>19467652</v>
      </c>
      <c r="H454" s="50">
        <v>0</v>
      </c>
      <c r="I454" s="50">
        <v>10846412</v>
      </c>
      <c r="J454" s="50">
        <v>0</v>
      </c>
      <c r="K454" s="50">
        <v>5766072</v>
      </c>
      <c r="L454" s="152">
        <f t="shared" si="19"/>
        <v>0.29456011577099916</v>
      </c>
      <c r="M454" s="50">
        <v>5766072</v>
      </c>
      <c r="N454" s="50">
        <v>2962712</v>
      </c>
      <c r="O454" s="418">
        <f t="shared" si="20"/>
        <v>0.1513503108730048</v>
      </c>
    </row>
    <row r="455" spans="1:15" s="143" customFormat="1" hidden="1" x14ac:dyDescent="0.25">
      <c r="A455" s="399" t="s">
        <v>713</v>
      </c>
      <c r="B455" s="44" t="s">
        <v>250</v>
      </c>
      <c r="C455" s="44" t="s">
        <v>251</v>
      </c>
      <c r="D455" s="44" t="s">
        <v>69</v>
      </c>
      <c r="E455" s="50">
        <v>15209963</v>
      </c>
      <c r="F455" s="50">
        <v>15075196</v>
      </c>
      <c r="G455" s="50">
        <v>14967652</v>
      </c>
      <c r="H455" s="50">
        <v>0</v>
      </c>
      <c r="I455" s="50">
        <v>10846412</v>
      </c>
      <c r="J455" s="50">
        <v>0</v>
      </c>
      <c r="K455" s="50">
        <v>4121240</v>
      </c>
      <c r="L455" s="152">
        <f t="shared" si="19"/>
        <v>0.27337886684856372</v>
      </c>
      <c r="M455" s="50">
        <v>4121240</v>
      </c>
      <c r="N455" s="50">
        <v>107544</v>
      </c>
      <c r="O455" s="418">
        <f t="shared" si="20"/>
        <v>7.1338375965393748E-3</v>
      </c>
    </row>
    <row r="456" spans="1:15" s="143" customFormat="1" hidden="1" x14ac:dyDescent="0.25">
      <c r="A456" s="399" t="s">
        <v>713</v>
      </c>
      <c r="B456" s="44" t="s">
        <v>632</v>
      </c>
      <c r="C456" s="44" t="s">
        <v>702</v>
      </c>
      <c r="D456" s="44" t="s">
        <v>69</v>
      </c>
      <c r="E456" s="50">
        <v>12919331</v>
      </c>
      <c r="F456" s="50">
        <v>12804860</v>
      </c>
      <c r="G456" s="50">
        <v>12713512</v>
      </c>
      <c r="H456" s="50">
        <v>0</v>
      </c>
      <c r="I456" s="50">
        <v>9229158</v>
      </c>
      <c r="J456" s="50">
        <v>0</v>
      </c>
      <c r="K456" s="50">
        <v>3484354</v>
      </c>
      <c r="L456" s="152">
        <f t="shared" si="19"/>
        <v>0.27211183878621087</v>
      </c>
      <c r="M456" s="50">
        <v>3484354</v>
      </c>
      <c r="N456" s="50">
        <v>91348</v>
      </c>
      <c r="O456" s="418">
        <f t="shared" si="20"/>
        <v>7.1338538648606856E-3</v>
      </c>
    </row>
    <row r="457" spans="1:15" s="143" customFormat="1" hidden="1" x14ac:dyDescent="0.25">
      <c r="A457" s="399" t="s">
        <v>713</v>
      </c>
      <c r="B457" s="44" t="s">
        <v>647</v>
      </c>
      <c r="C457" s="44" t="s">
        <v>703</v>
      </c>
      <c r="D457" s="44" t="s">
        <v>69</v>
      </c>
      <c r="E457" s="50">
        <v>2290632</v>
      </c>
      <c r="F457" s="50">
        <v>2270336</v>
      </c>
      <c r="G457" s="50">
        <v>2254140</v>
      </c>
      <c r="H457" s="50">
        <v>0</v>
      </c>
      <c r="I457" s="50">
        <v>1617254</v>
      </c>
      <c r="J457" s="50">
        <v>0</v>
      </c>
      <c r="K457" s="50">
        <v>636886</v>
      </c>
      <c r="L457" s="152">
        <f t="shared" si="19"/>
        <v>0.28052499718103402</v>
      </c>
      <c r="M457" s="50">
        <v>636886</v>
      </c>
      <c r="N457" s="50">
        <v>16196</v>
      </c>
      <c r="O457" s="418">
        <f t="shared" si="20"/>
        <v>7.1337458420251453E-3</v>
      </c>
    </row>
    <row r="458" spans="1:15" s="143" customFormat="1" hidden="1" x14ac:dyDescent="0.25">
      <c r="A458" s="399" t="s">
        <v>713</v>
      </c>
      <c r="B458" s="44" t="s">
        <v>260</v>
      </c>
      <c r="C458" s="44" t="s">
        <v>261</v>
      </c>
      <c r="D458" s="44" t="s">
        <v>69</v>
      </c>
      <c r="E458" s="50">
        <v>4500000</v>
      </c>
      <c r="F458" s="50">
        <v>4500000</v>
      </c>
      <c r="G458" s="50">
        <v>4500000</v>
      </c>
      <c r="H458" s="50">
        <v>0</v>
      </c>
      <c r="I458" s="50">
        <v>0</v>
      </c>
      <c r="J458" s="50">
        <v>0</v>
      </c>
      <c r="K458" s="50">
        <v>1644832</v>
      </c>
      <c r="L458" s="152">
        <f t="shared" si="19"/>
        <v>0.36551822222222224</v>
      </c>
      <c r="M458" s="50">
        <v>1644832</v>
      </c>
      <c r="N458" s="50">
        <v>2855168</v>
      </c>
      <c r="O458" s="418">
        <f t="shared" si="20"/>
        <v>0.63448177777777781</v>
      </c>
    </row>
    <row r="459" spans="1:15" s="143" customFormat="1" hidden="1" x14ac:dyDescent="0.25">
      <c r="A459" s="399" t="s">
        <v>713</v>
      </c>
      <c r="B459" s="44" t="s">
        <v>264</v>
      </c>
      <c r="C459" s="44" t="s">
        <v>265</v>
      </c>
      <c r="D459" s="44" t="s">
        <v>69</v>
      </c>
      <c r="E459" s="50">
        <v>4500000</v>
      </c>
      <c r="F459" s="50">
        <v>4500000</v>
      </c>
      <c r="G459" s="50">
        <v>4500000</v>
      </c>
      <c r="H459" s="50">
        <v>0</v>
      </c>
      <c r="I459" s="50">
        <v>0</v>
      </c>
      <c r="J459" s="50">
        <v>0</v>
      </c>
      <c r="K459" s="50">
        <v>1644832</v>
      </c>
      <c r="L459" s="152">
        <f t="shared" si="19"/>
        <v>0.36551822222222224</v>
      </c>
      <c r="M459" s="50">
        <v>1644832</v>
      </c>
      <c r="N459" s="50">
        <v>2855168</v>
      </c>
      <c r="O459" s="418">
        <f t="shared" si="20"/>
        <v>0.63448177777777781</v>
      </c>
    </row>
    <row r="460" spans="1:15" s="143" customFormat="1" x14ac:dyDescent="0.25">
      <c r="A460" s="389"/>
      <c r="B460" s="390"/>
      <c r="C460" s="390"/>
      <c r="D460" s="390"/>
      <c r="E460" s="391"/>
      <c r="F460" s="391">
        <f>+F416+F434+F440+F451+F454</f>
        <v>1423727288</v>
      </c>
      <c r="G460" s="391"/>
      <c r="H460" s="391"/>
      <c r="I460" s="391"/>
      <c r="J460" s="391"/>
      <c r="K460" s="391">
        <f>+K416+K434+K440+K451+K454</f>
        <v>419868481.34000003</v>
      </c>
      <c r="L460" s="392">
        <f t="shared" si="19"/>
        <v>0.29490793979921248</v>
      </c>
      <c r="M460" s="391"/>
      <c r="N460" s="391">
        <f>+N416+N434+N440+N451+N454</f>
        <v>825336896.03999996</v>
      </c>
      <c r="O460" s="393">
        <f t="shared" si="20"/>
        <v>0.57970153623971277</v>
      </c>
    </row>
    <row r="461" spans="1:15" s="143" customFormat="1" x14ac:dyDescent="0.25">
      <c r="A461" s="381"/>
      <c r="B461" s="357"/>
      <c r="C461" s="357"/>
      <c r="D461" s="357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382"/>
    </row>
    <row r="462" spans="1:15" s="143" customFormat="1" x14ac:dyDescent="0.25">
      <c r="A462" s="399" t="s">
        <v>714</v>
      </c>
      <c r="B462" s="44" t="s">
        <v>71</v>
      </c>
      <c r="C462" s="44" t="s">
        <v>72</v>
      </c>
      <c r="D462" s="44" t="s">
        <v>69</v>
      </c>
      <c r="E462" s="50">
        <v>1911246104</v>
      </c>
      <c r="F462" s="50">
        <v>1874431575</v>
      </c>
      <c r="G462" s="50">
        <v>1860273235</v>
      </c>
      <c r="H462" s="50">
        <v>0</v>
      </c>
      <c r="I462" s="50">
        <v>199202701</v>
      </c>
      <c r="J462" s="50">
        <v>0</v>
      </c>
      <c r="K462" s="50">
        <v>615946761.75</v>
      </c>
      <c r="L462" s="152">
        <f t="shared" ref="L462:L530" si="21">+K462/F462</f>
        <v>0.32860455935821503</v>
      </c>
      <c r="M462" s="50">
        <v>615946761.75</v>
      </c>
      <c r="N462" s="50">
        <v>1059282112.25</v>
      </c>
      <c r="O462" s="418">
        <f t="shared" ref="O462:O530" si="22">+N462/F462</f>
        <v>0.56512178218615428</v>
      </c>
    </row>
    <row r="463" spans="1:15" s="143" customFormat="1" hidden="1" x14ac:dyDescent="0.25">
      <c r="A463" s="399" t="s">
        <v>714</v>
      </c>
      <c r="B463" s="44" t="s">
        <v>73</v>
      </c>
      <c r="C463" s="44" t="s">
        <v>74</v>
      </c>
      <c r="D463" s="44" t="s">
        <v>69</v>
      </c>
      <c r="E463" s="50">
        <v>693088616</v>
      </c>
      <c r="F463" s="50">
        <v>672914792</v>
      </c>
      <c r="G463" s="50">
        <v>672914792</v>
      </c>
      <c r="H463" s="50">
        <v>0</v>
      </c>
      <c r="I463" s="50">
        <v>0</v>
      </c>
      <c r="J463" s="50">
        <v>0</v>
      </c>
      <c r="K463" s="50">
        <v>217173917.52000001</v>
      </c>
      <c r="L463" s="152">
        <f t="shared" si="21"/>
        <v>0.32273613257115025</v>
      </c>
      <c r="M463" s="50">
        <v>217173917.52000001</v>
      </c>
      <c r="N463" s="50">
        <v>455740874.48000002</v>
      </c>
      <c r="O463" s="418">
        <f t="shared" si="22"/>
        <v>0.67726386742884981</v>
      </c>
    </row>
    <row r="464" spans="1:15" s="143" customFormat="1" hidden="1" x14ac:dyDescent="0.25">
      <c r="A464" s="399" t="s">
        <v>714</v>
      </c>
      <c r="B464" s="44" t="s">
        <v>75</v>
      </c>
      <c r="C464" s="44" t="s">
        <v>76</v>
      </c>
      <c r="D464" s="44" t="s">
        <v>69</v>
      </c>
      <c r="E464" s="50">
        <v>693088616</v>
      </c>
      <c r="F464" s="50">
        <v>672914792</v>
      </c>
      <c r="G464" s="50">
        <v>672914792</v>
      </c>
      <c r="H464" s="50">
        <v>0</v>
      </c>
      <c r="I464" s="50">
        <v>0</v>
      </c>
      <c r="J464" s="50">
        <v>0</v>
      </c>
      <c r="K464" s="50">
        <v>217173917.52000001</v>
      </c>
      <c r="L464" s="152">
        <f t="shared" si="21"/>
        <v>0.32273613257115025</v>
      </c>
      <c r="M464" s="50">
        <v>217173917.52000001</v>
      </c>
      <c r="N464" s="50">
        <v>455740874.48000002</v>
      </c>
      <c r="O464" s="418">
        <f t="shared" si="22"/>
        <v>0.67726386742884981</v>
      </c>
    </row>
    <row r="465" spans="1:15" s="143" customFormat="1" hidden="1" x14ac:dyDescent="0.25">
      <c r="A465" s="399" t="s">
        <v>714</v>
      </c>
      <c r="B465" s="44" t="s">
        <v>293</v>
      </c>
      <c r="C465" s="44" t="s">
        <v>294</v>
      </c>
      <c r="D465" s="44" t="s">
        <v>69</v>
      </c>
      <c r="E465" s="50">
        <v>2572600</v>
      </c>
      <c r="F465" s="50">
        <v>2572600</v>
      </c>
      <c r="G465" s="50">
        <v>2572600</v>
      </c>
      <c r="H465" s="50">
        <v>0</v>
      </c>
      <c r="I465" s="50">
        <v>0</v>
      </c>
      <c r="J465" s="50">
        <v>0</v>
      </c>
      <c r="K465" s="50">
        <v>646830</v>
      </c>
      <c r="L465" s="152">
        <f t="shared" si="21"/>
        <v>0.25143045945735831</v>
      </c>
      <c r="M465" s="50">
        <v>646830</v>
      </c>
      <c r="N465" s="50">
        <v>1925770</v>
      </c>
      <c r="O465" s="418">
        <f t="shared" si="22"/>
        <v>0.74856954054264169</v>
      </c>
    </row>
    <row r="466" spans="1:15" s="143" customFormat="1" hidden="1" x14ac:dyDescent="0.25">
      <c r="A466" s="399" t="s">
        <v>714</v>
      </c>
      <c r="B466" s="44" t="s">
        <v>339</v>
      </c>
      <c r="C466" s="44" t="s">
        <v>340</v>
      </c>
      <c r="D466" s="44" t="s">
        <v>69</v>
      </c>
      <c r="E466" s="50">
        <v>2572600</v>
      </c>
      <c r="F466" s="50">
        <v>2572600</v>
      </c>
      <c r="G466" s="50">
        <v>2572600</v>
      </c>
      <c r="H466" s="50">
        <v>0</v>
      </c>
      <c r="I466" s="50">
        <v>0</v>
      </c>
      <c r="J466" s="50">
        <v>0</v>
      </c>
      <c r="K466" s="50">
        <v>646830</v>
      </c>
      <c r="L466" s="152">
        <f t="shared" si="21"/>
        <v>0.25143045945735831</v>
      </c>
      <c r="M466" s="50">
        <v>646830</v>
      </c>
      <c r="N466" s="50">
        <v>1925770</v>
      </c>
      <c r="O466" s="418">
        <f t="shared" si="22"/>
        <v>0.74856954054264169</v>
      </c>
    </row>
    <row r="467" spans="1:15" s="143" customFormat="1" hidden="1" x14ac:dyDescent="0.25">
      <c r="A467" s="399" t="s">
        <v>714</v>
      </c>
      <c r="B467" s="44" t="s">
        <v>77</v>
      </c>
      <c r="C467" s="44" t="s">
        <v>78</v>
      </c>
      <c r="D467" s="44" t="s">
        <v>69</v>
      </c>
      <c r="E467" s="50">
        <v>924031359</v>
      </c>
      <c r="F467" s="50">
        <v>913006573</v>
      </c>
      <c r="G467" s="50">
        <v>901008037</v>
      </c>
      <c r="H467" s="50">
        <v>0</v>
      </c>
      <c r="I467" s="50">
        <v>0</v>
      </c>
      <c r="J467" s="50">
        <v>0</v>
      </c>
      <c r="K467" s="50">
        <v>313550909.23000002</v>
      </c>
      <c r="L467" s="152">
        <f t="shared" si="21"/>
        <v>0.34342678191211667</v>
      </c>
      <c r="M467" s="50">
        <v>313550909.23000002</v>
      </c>
      <c r="N467" s="50">
        <v>599455663.76999998</v>
      </c>
      <c r="O467" s="418">
        <f t="shared" si="22"/>
        <v>0.65657321808788338</v>
      </c>
    </row>
    <row r="468" spans="1:15" s="143" customFormat="1" hidden="1" x14ac:dyDescent="0.25">
      <c r="A468" s="399" t="s">
        <v>714</v>
      </c>
      <c r="B468" s="44" t="s">
        <v>79</v>
      </c>
      <c r="C468" s="44" t="s">
        <v>80</v>
      </c>
      <c r="D468" s="44" t="s">
        <v>69</v>
      </c>
      <c r="E468" s="50">
        <v>322806400</v>
      </c>
      <c r="F468" s="50">
        <v>322806400</v>
      </c>
      <c r="G468" s="50">
        <v>311730487</v>
      </c>
      <c r="H468" s="50">
        <v>0</v>
      </c>
      <c r="I468" s="50">
        <v>0</v>
      </c>
      <c r="J468" s="50">
        <v>0</v>
      </c>
      <c r="K468" s="50">
        <v>93687608.590000004</v>
      </c>
      <c r="L468" s="152">
        <f t="shared" si="21"/>
        <v>0.29022847313436168</v>
      </c>
      <c r="M468" s="50">
        <v>93687608.590000004</v>
      </c>
      <c r="N468" s="50">
        <v>229118791.41</v>
      </c>
      <c r="O468" s="418">
        <f t="shared" si="22"/>
        <v>0.70977152686563838</v>
      </c>
    </row>
    <row r="469" spans="1:15" s="143" customFormat="1" hidden="1" x14ac:dyDescent="0.25">
      <c r="A469" s="399" t="s">
        <v>714</v>
      </c>
      <c r="B469" s="44" t="s">
        <v>81</v>
      </c>
      <c r="C469" s="44" t="s">
        <v>82</v>
      </c>
      <c r="D469" s="44" t="s">
        <v>69</v>
      </c>
      <c r="E469" s="50">
        <v>234712205</v>
      </c>
      <c r="F469" s="50">
        <v>227111190</v>
      </c>
      <c r="G469" s="50">
        <v>227111190</v>
      </c>
      <c r="H469" s="50">
        <v>0</v>
      </c>
      <c r="I469" s="50">
        <v>0</v>
      </c>
      <c r="J469" s="50">
        <v>0</v>
      </c>
      <c r="K469" s="50">
        <v>77853344.159999996</v>
      </c>
      <c r="L469" s="152">
        <f t="shared" si="21"/>
        <v>0.34279836303970757</v>
      </c>
      <c r="M469" s="50">
        <v>77853344.159999996</v>
      </c>
      <c r="N469" s="50">
        <v>149257845.84</v>
      </c>
      <c r="O469" s="418">
        <f t="shared" si="22"/>
        <v>0.65720163696029243</v>
      </c>
    </row>
    <row r="470" spans="1:15" s="143" customFormat="1" hidden="1" x14ac:dyDescent="0.25">
      <c r="A470" s="399" t="s">
        <v>714</v>
      </c>
      <c r="B470" s="44" t="s">
        <v>83</v>
      </c>
      <c r="C470" s="44" t="s">
        <v>84</v>
      </c>
      <c r="D470" s="44" t="s">
        <v>85</v>
      </c>
      <c r="E470" s="50">
        <v>124545654</v>
      </c>
      <c r="F470" s="50">
        <v>122146647</v>
      </c>
      <c r="G470" s="50">
        <v>121224024</v>
      </c>
      <c r="H470" s="50">
        <v>0</v>
      </c>
      <c r="I470" s="50">
        <v>0</v>
      </c>
      <c r="J470" s="50">
        <v>0</v>
      </c>
      <c r="K470" s="50">
        <v>0</v>
      </c>
      <c r="L470" s="152">
        <f t="shared" si="21"/>
        <v>0</v>
      </c>
      <c r="M470" s="50">
        <v>0</v>
      </c>
      <c r="N470" s="50">
        <v>122146647</v>
      </c>
      <c r="O470" s="418">
        <f t="shared" si="22"/>
        <v>1</v>
      </c>
    </row>
    <row r="471" spans="1:15" s="143" customFormat="1" hidden="1" x14ac:dyDescent="0.25">
      <c r="A471" s="399" t="s">
        <v>714</v>
      </c>
      <c r="B471" s="44" t="s">
        <v>86</v>
      </c>
      <c r="C471" s="44" t="s">
        <v>87</v>
      </c>
      <c r="D471" s="44" t="s">
        <v>69</v>
      </c>
      <c r="E471" s="50">
        <v>114340800</v>
      </c>
      <c r="F471" s="50">
        <v>114340800</v>
      </c>
      <c r="G471" s="50">
        <v>114340800</v>
      </c>
      <c r="H471" s="50">
        <v>0</v>
      </c>
      <c r="I471" s="50">
        <v>0</v>
      </c>
      <c r="J471" s="50">
        <v>0</v>
      </c>
      <c r="K471" s="50">
        <v>100891549.97</v>
      </c>
      <c r="L471" s="152">
        <f t="shared" si="21"/>
        <v>0.88237575712256688</v>
      </c>
      <c r="M471" s="50">
        <v>100891549.97</v>
      </c>
      <c r="N471" s="50">
        <v>13449250.029999999</v>
      </c>
      <c r="O471" s="418">
        <f t="shared" si="22"/>
        <v>0.11762424287743307</v>
      </c>
    </row>
    <row r="472" spans="1:15" s="143" customFormat="1" hidden="1" x14ac:dyDescent="0.25">
      <c r="A472" s="399" t="s">
        <v>714</v>
      </c>
      <c r="B472" s="44" t="s">
        <v>88</v>
      </c>
      <c r="C472" s="44" t="s">
        <v>89</v>
      </c>
      <c r="D472" s="44" t="s">
        <v>69</v>
      </c>
      <c r="E472" s="50">
        <v>127626300</v>
      </c>
      <c r="F472" s="50">
        <v>126601536</v>
      </c>
      <c r="G472" s="50">
        <v>126601536</v>
      </c>
      <c r="H472" s="50">
        <v>0</v>
      </c>
      <c r="I472" s="50">
        <v>0</v>
      </c>
      <c r="J472" s="50">
        <v>0</v>
      </c>
      <c r="K472" s="50">
        <v>41118406.509999998</v>
      </c>
      <c r="L472" s="152">
        <f t="shared" si="21"/>
        <v>0.32478600030571508</v>
      </c>
      <c r="M472" s="50">
        <v>41118406.509999998</v>
      </c>
      <c r="N472" s="50">
        <v>85483129.489999995</v>
      </c>
      <c r="O472" s="418">
        <f t="shared" si="22"/>
        <v>0.67521399969428486</v>
      </c>
    </row>
    <row r="473" spans="1:15" s="143" customFormat="1" hidden="1" x14ac:dyDescent="0.25">
      <c r="A473" s="399" t="s">
        <v>714</v>
      </c>
      <c r="B473" s="44" t="s">
        <v>90</v>
      </c>
      <c r="C473" s="44" t="s">
        <v>91</v>
      </c>
      <c r="D473" s="44" t="s">
        <v>69</v>
      </c>
      <c r="E473" s="50">
        <v>145776815</v>
      </c>
      <c r="F473" s="50">
        <v>142968855</v>
      </c>
      <c r="G473" s="50">
        <v>141888953</v>
      </c>
      <c r="H473" s="50">
        <v>0</v>
      </c>
      <c r="I473" s="50">
        <v>99507849</v>
      </c>
      <c r="J473" s="50">
        <v>0</v>
      </c>
      <c r="K473" s="50">
        <v>42381104</v>
      </c>
      <c r="L473" s="152">
        <f t="shared" si="21"/>
        <v>0.29643591955744486</v>
      </c>
      <c r="M473" s="50">
        <v>42381104</v>
      </c>
      <c r="N473" s="50">
        <v>1079902</v>
      </c>
      <c r="O473" s="418">
        <f t="shared" si="22"/>
        <v>7.5534073487543846E-3</v>
      </c>
    </row>
    <row r="474" spans="1:15" s="143" customFormat="1" hidden="1" x14ac:dyDescent="0.25">
      <c r="A474" s="399" t="s">
        <v>714</v>
      </c>
      <c r="B474" s="44" t="s">
        <v>424</v>
      </c>
      <c r="C474" s="44" t="s">
        <v>697</v>
      </c>
      <c r="D474" s="44" t="s">
        <v>69</v>
      </c>
      <c r="E474" s="50">
        <v>138301084</v>
      </c>
      <c r="F474" s="50">
        <v>135637121</v>
      </c>
      <c r="G474" s="50">
        <v>134612599</v>
      </c>
      <c r="H474" s="50">
        <v>0</v>
      </c>
      <c r="I474" s="50">
        <v>94404886</v>
      </c>
      <c r="J474" s="50">
        <v>0</v>
      </c>
      <c r="K474" s="50">
        <v>40207713</v>
      </c>
      <c r="L474" s="152">
        <f t="shared" si="21"/>
        <v>0.29643590709950263</v>
      </c>
      <c r="M474" s="50">
        <v>40207713</v>
      </c>
      <c r="N474" s="50">
        <v>1024522</v>
      </c>
      <c r="O474" s="418">
        <f t="shared" si="22"/>
        <v>7.5534042041485085E-3</v>
      </c>
    </row>
    <row r="475" spans="1:15" s="143" customFormat="1" hidden="1" x14ac:dyDescent="0.25">
      <c r="A475" s="399" t="s">
        <v>714</v>
      </c>
      <c r="B475" s="44" t="s">
        <v>441</v>
      </c>
      <c r="C475" s="44" t="s">
        <v>95</v>
      </c>
      <c r="D475" s="44" t="s">
        <v>69</v>
      </c>
      <c r="E475" s="50">
        <v>7475731</v>
      </c>
      <c r="F475" s="50">
        <v>7331734</v>
      </c>
      <c r="G475" s="50">
        <v>7276354</v>
      </c>
      <c r="H475" s="50">
        <v>0</v>
      </c>
      <c r="I475" s="50">
        <v>5102963</v>
      </c>
      <c r="J475" s="50">
        <v>0</v>
      </c>
      <c r="K475" s="50">
        <v>2173391</v>
      </c>
      <c r="L475" s="152">
        <f t="shared" si="21"/>
        <v>0.29643615002944734</v>
      </c>
      <c r="M475" s="50">
        <v>2173391</v>
      </c>
      <c r="N475" s="50">
        <v>55380</v>
      </c>
      <c r="O475" s="418">
        <f t="shared" si="22"/>
        <v>7.5534655239810934E-3</v>
      </c>
    </row>
    <row r="476" spans="1:15" s="143" customFormat="1" hidden="1" x14ac:dyDescent="0.25">
      <c r="A476" s="399" t="s">
        <v>714</v>
      </c>
      <c r="B476" s="44" t="s">
        <v>96</v>
      </c>
      <c r="C476" s="44" t="s">
        <v>97</v>
      </c>
      <c r="D476" s="44" t="s">
        <v>69</v>
      </c>
      <c r="E476" s="50">
        <v>145776714</v>
      </c>
      <c r="F476" s="50">
        <v>142968755</v>
      </c>
      <c r="G476" s="50">
        <v>141888853</v>
      </c>
      <c r="H476" s="50">
        <v>0</v>
      </c>
      <c r="I476" s="50">
        <v>99694852</v>
      </c>
      <c r="J476" s="50">
        <v>0</v>
      </c>
      <c r="K476" s="50">
        <v>42194001</v>
      </c>
      <c r="L476" s="152">
        <f t="shared" si="21"/>
        <v>0.29512742836712819</v>
      </c>
      <c r="M476" s="50">
        <v>42194001</v>
      </c>
      <c r="N476" s="50">
        <v>1079902</v>
      </c>
      <c r="O476" s="418">
        <f t="shared" si="22"/>
        <v>7.5534126320117986E-3</v>
      </c>
    </row>
    <row r="477" spans="1:15" s="143" customFormat="1" hidden="1" x14ac:dyDescent="0.25">
      <c r="A477" s="399" t="s">
        <v>714</v>
      </c>
      <c r="B477" s="44" t="s">
        <v>459</v>
      </c>
      <c r="C477" s="44" t="s">
        <v>698</v>
      </c>
      <c r="D477" s="44" t="s">
        <v>69</v>
      </c>
      <c r="E477" s="50">
        <v>78495131</v>
      </c>
      <c r="F477" s="50">
        <v>76983152</v>
      </c>
      <c r="G477" s="50">
        <v>76401667</v>
      </c>
      <c r="H477" s="50">
        <v>0</v>
      </c>
      <c r="I477" s="50">
        <v>53768175</v>
      </c>
      <c r="J477" s="50">
        <v>0</v>
      </c>
      <c r="K477" s="50">
        <v>22633492</v>
      </c>
      <c r="L477" s="152">
        <f t="shared" si="21"/>
        <v>0.29400578453841431</v>
      </c>
      <c r="M477" s="50">
        <v>22633492</v>
      </c>
      <c r="N477" s="50">
        <v>581485</v>
      </c>
      <c r="O477" s="418">
        <f t="shared" si="22"/>
        <v>7.5534059712182222E-3</v>
      </c>
    </row>
    <row r="478" spans="1:15" s="143" customFormat="1" hidden="1" x14ac:dyDescent="0.25">
      <c r="A478" s="399" t="s">
        <v>714</v>
      </c>
      <c r="B478" s="44" t="s">
        <v>476</v>
      </c>
      <c r="C478" s="44" t="s">
        <v>699</v>
      </c>
      <c r="D478" s="44" t="s">
        <v>69</v>
      </c>
      <c r="E478" s="50">
        <v>22427194</v>
      </c>
      <c r="F478" s="50">
        <v>21995201</v>
      </c>
      <c r="G478" s="50">
        <v>21829062</v>
      </c>
      <c r="H478" s="50">
        <v>0</v>
      </c>
      <c r="I478" s="50">
        <v>15308892</v>
      </c>
      <c r="J478" s="50">
        <v>0</v>
      </c>
      <c r="K478" s="50">
        <v>6520170</v>
      </c>
      <c r="L478" s="152">
        <f t="shared" si="21"/>
        <v>0.29643602711336897</v>
      </c>
      <c r="M478" s="50">
        <v>6520170</v>
      </c>
      <c r="N478" s="50">
        <v>166139</v>
      </c>
      <c r="O478" s="418">
        <f t="shared" si="22"/>
        <v>7.5534204029324399E-3</v>
      </c>
    </row>
    <row r="479" spans="1:15" s="143" customFormat="1" hidden="1" x14ac:dyDescent="0.25">
      <c r="A479" s="399" t="s">
        <v>714</v>
      </c>
      <c r="B479" s="44" t="s">
        <v>493</v>
      </c>
      <c r="C479" s="44" t="s">
        <v>700</v>
      </c>
      <c r="D479" s="44" t="s">
        <v>69</v>
      </c>
      <c r="E479" s="50">
        <v>44854389</v>
      </c>
      <c r="F479" s="50">
        <v>43990402</v>
      </c>
      <c r="G479" s="50">
        <v>43658124</v>
      </c>
      <c r="H479" s="50">
        <v>0</v>
      </c>
      <c r="I479" s="50">
        <v>30617785</v>
      </c>
      <c r="J479" s="50">
        <v>0</v>
      </c>
      <c r="K479" s="50">
        <v>13040339</v>
      </c>
      <c r="L479" s="152">
        <f t="shared" si="21"/>
        <v>0.29643600438113749</v>
      </c>
      <c r="M479" s="50">
        <v>13040339</v>
      </c>
      <c r="N479" s="50">
        <v>332278</v>
      </c>
      <c r="O479" s="418">
        <f t="shared" si="22"/>
        <v>7.5534204029324399E-3</v>
      </c>
    </row>
    <row r="480" spans="1:15" s="143" customFormat="1" x14ac:dyDescent="0.25">
      <c r="A480" s="399" t="s">
        <v>714</v>
      </c>
      <c r="B480" s="44" t="s">
        <v>104</v>
      </c>
      <c r="C480" s="44" t="s">
        <v>105</v>
      </c>
      <c r="D480" s="44" t="s">
        <v>69</v>
      </c>
      <c r="E480" s="50">
        <v>93714000</v>
      </c>
      <c r="F480" s="50">
        <v>93714000</v>
      </c>
      <c r="G480" s="50">
        <v>43859500</v>
      </c>
      <c r="H480" s="50">
        <v>0</v>
      </c>
      <c r="I480" s="50">
        <v>24588988.27</v>
      </c>
      <c r="J480" s="50">
        <v>0</v>
      </c>
      <c r="K480" s="50">
        <v>11877824.34</v>
      </c>
      <c r="L480" s="152">
        <f t="shared" si="21"/>
        <v>0.12674546321787566</v>
      </c>
      <c r="M480" s="50">
        <v>11816278.26</v>
      </c>
      <c r="N480" s="50">
        <v>57247187.390000001</v>
      </c>
      <c r="O480" s="418">
        <f t="shared" si="22"/>
        <v>0.61087124004951232</v>
      </c>
    </row>
    <row r="481" spans="1:15" s="143" customFormat="1" hidden="1" x14ac:dyDescent="0.25">
      <c r="A481" s="399" t="s">
        <v>714</v>
      </c>
      <c r="B481" s="44" t="s">
        <v>112</v>
      </c>
      <c r="C481" s="44" t="s">
        <v>113</v>
      </c>
      <c r="D481" s="44" t="s">
        <v>69</v>
      </c>
      <c r="E481" s="50">
        <v>92804000</v>
      </c>
      <c r="F481" s="50">
        <v>92804000</v>
      </c>
      <c r="G481" s="50">
        <v>42949500</v>
      </c>
      <c r="H481" s="50">
        <v>0</v>
      </c>
      <c r="I481" s="50">
        <v>24588988.27</v>
      </c>
      <c r="J481" s="50">
        <v>0</v>
      </c>
      <c r="K481" s="50">
        <v>11877824.34</v>
      </c>
      <c r="L481" s="152">
        <f t="shared" si="21"/>
        <v>0.12798828003103313</v>
      </c>
      <c r="M481" s="50">
        <v>11816278.26</v>
      </c>
      <c r="N481" s="50">
        <v>56337187.390000001</v>
      </c>
      <c r="O481" s="418">
        <f t="shared" si="22"/>
        <v>0.60705559447868629</v>
      </c>
    </row>
    <row r="482" spans="1:15" s="143" customFormat="1" hidden="1" x14ac:dyDescent="0.25">
      <c r="A482" s="399" t="s">
        <v>714</v>
      </c>
      <c r="B482" s="44" t="s">
        <v>114</v>
      </c>
      <c r="C482" s="44" t="s">
        <v>115</v>
      </c>
      <c r="D482" s="44" t="s">
        <v>69</v>
      </c>
      <c r="E482" s="50">
        <v>36754000</v>
      </c>
      <c r="F482" s="50">
        <v>36754000</v>
      </c>
      <c r="G482" s="50">
        <v>17627000</v>
      </c>
      <c r="H482" s="50">
        <v>0</v>
      </c>
      <c r="I482" s="50">
        <v>10960243.25</v>
      </c>
      <c r="J482" s="50">
        <v>0</v>
      </c>
      <c r="K482" s="50">
        <v>6666756.75</v>
      </c>
      <c r="L482" s="152">
        <f t="shared" si="21"/>
        <v>0.18138860396147358</v>
      </c>
      <c r="M482" s="50">
        <v>6666756.75</v>
      </c>
      <c r="N482" s="50">
        <v>19127000</v>
      </c>
      <c r="O482" s="418">
        <f t="shared" si="22"/>
        <v>0.52040594221037162</v>
      </c>
    </row>
    <row r="483" spans="1:15" s="143" customFormat="1" hidden="1" x14ac:dyDescent="0.25">
      <c r="A483" s="399" t="s">
        <v>714</v>
      </c>
      <c r="B483" s="44" t="s">
        <v>116</v>
      </c>
      <c r="C483" s="44" t="s">
        <v>117</v>
      </c>
      <c r="D483" s="44" t="s">
        <v>69</v>
      </c>
      <c r="E483" s="50">
        <v>43500000</v>
      </c>
      <c r="F483" s="50">
        <v>43500000</v>
      </c>
      <c r="G483" s="50">
        <v>18557500</v>
      </c>
      <c r="H483" s="50">
        <v>0</v>
      </c>
      <c r="I483" s="50">
        <v>13628745.02</v>
      </c>
      <c r="J483" s="50">
        <v>0</v>
      </c>
      <c r="K483" s="50">
        <v>4928754.9800000004</v>
      </c>
      <c r="L483" s="152">
        <f t="shared" si="21"/>
        <v>0.11330471218390806</v>
      </c>
      <c r="M483" s="50">
        <v>4928754.9800000004</v>
      </c>
      <c r="N483" s="50">
        <v>24942500</v>
      </c>
      <c r="O483" s="418">
        <f t="shared" si="22"/>
        <v>0.5733908045977012</v>
      </c>
    </row>
    <row r="484" spans="1:15" s="143" customFormat="1" hidden="1" x14ac:dyDescent="0.25">
      <c r="A484" s="399" t="s">
        <v>714</v>
      </c>
      <c r="B484" s="44" t="s">
        <v>120</v>
      </c>
      <c r="C484" s="44" t="s">
        <v>121</v>
      </c>
      <c r="D484" s="44" t="s">
        <v>69</v>
      </c>
      <c r="E484" s="50">
        <v>11550000</v>
      </c>
      <c r="F484" s="50">
        <v>11550000</v>
      </c>
      <c r="G484" s="50">
        <v>5775000</v>
      </c>
      <c r="H484" s="50">
        <v>0</v>
      </c>
      <c r="I484" s="50">
        <v>0</v>
      </c>
      <c r="J484" s="50">
        <v>0</v>
      </c>
      <c r="K484" s="50">
        <v>0</v>
      </c>
      <c r="L484" s="152">
        <f t="shared" si="21"/>
        <v>0</v>
      </c>
      <c r="M484" s="50">
        <v>0</v>
      </c>
      <c r="N484" s="50">
        <v>11550000</v>
      </c>
      <c r="O484" s="418">
        <f t="shared" si="22"/>
        <v>1</v>
      </c>
    </row>
    <row r="485" spans="1:15" s="143" customFormat="1" hidden="1" x14ac:dyDescent="0.25">
      <c r="A485" s="399" t="s">
        <v>714</v>
      </c>
      <c r="B485" s="44" t="s">
        <v>122</v>
      </c>
      <c r="C485" s="44" t="s">
        <v>123</v>
      </c>
      <c r="D485" s="44" t="s">
        <v>69</v>
      </c>
      <c r="E485" s="50">
        <v>1000000</v>
      </c>
      <c r="F485" s="50">
        <v>1000000</v>
      </c>
      <c r="G485" s="50">
        <v>990000</v>
      </c>
      <c r="H485" s="50">
        <v>0</v>
      </c>
      <c r="I485" s="50">
        <v>0</v>
      </c>
      <c r="J485" s="50">
        <v>0</v>
      </c>
      <c r="K485" s="50">
        <v>282312.61</v>
      </c>
      <c r="L485" s="152">
        <f t="shared" si="21"/>
        <v>0.28231260999999996</v>
      </c>
      <c r="M485" s="50">
        <v>220766.53</v>
      </c>
      <c r="N485" s="50">
        <v>717687.39</v>
      </c>
      <c r="O485" s="418">
        <f t="shared" si="22"/>
        <v>0.71768739000000004</v>
      </c>
    </row>
    <row r="486" spans="1:15" s="143" customFormat="1" hidden="1" x14ac:dyDescent="0.25">
      <c r="A486" s="399" t="s">
        <v>714</v>
      </c>
      <c r="B486" s="44" t="s">
        <v>134</v>
      </c>
      <c r="C486" s="44" t="s">
        <v>135</v>
      </c>
      <c r="D486" s="44" t="s">
        <v>69</v>
      </c>
      <c r="E486" s="50">
        <v>410000</v>
      </c>
      <c r="F486" s="50">
        <v>410000</v>
      </c>
      <c r="G486" s="50">
        <v>410000</v>
      </c>
      <c r="H486" s="50">
        <v>0</v>
      </c>
      <c r="I486" s="50">
        <v>0</v>
      </c>
      <c r="J486" s="50">
        <v>0</v>
      </c>
      <c r="K486" s="50">
        <v>0</v>
      </c>
      <c r="L486" s="152">
        <f t="shared" si="21"/>
        <v>0</v>
      </c>
      <c r="M486" s="50">
        <v>0</v>
      </c>
      <c r="N486" s="50">
        <v>410000</v>
      </c>
      <c r="O486" s="418">
        <f t="shared" si="22"/>
        <v>1</v>
      </c>
    </row>
    <row r="487" spans="1:15" s="143" customFormat="1" hidden="1" x14ac:dyDescent="0.25">
      <c r="A487" s="399" t="s">
        <v>714</v>
      </c>
      <c r="B487" s="44" t="s">
        <v>346</v>
      </c>
      <c r="C487" s="44" t="s">
        <v>347</v>
      </c>
      <c r="D487" s="44" t="s">
        <v>69</v>
      </c>
      <c r="E487" s="50">
        <v>20000</v>
      </c>
      <c r="F487" s="50">
        <v>20000</v>
      </c>
      <c r="G487" s="50">
        <v>20000</v>
      </c>
      <c r="H487" s="50">
        <v>0</v>
      </c>
      <c r="I487" s="50">
        <v>0</v>
      </c>
      <c r="J487" s="50">
        <v>0</v>
      </c>
      <c r="K487" s="50">
        <v>0</v>
      </c>
      <c r="L487" s="152">
        <f t="shared" si="21"/>
        <v>0</v>
      </c>
      <c r="M487" s="50">
        <v>0</v>
      </c>
      <c r="N487" s="50">
        <v>20000</v>
      </c>
      <c r="O487" s="418">
        <f t="shared" si="22"/>
        <v>1</v>
      </c>
    </row>
    <row r="488" spans="1:15" s="143" customFormat="1" hidden="1" x14ac:dyDescent="0.25">
      <c r="A488" s="399" t="s">
        <v>714</v>
      </c>
      <c r="B488" s="44" t="s">
        <v>136</v>
      </c>
      <c r="C488" s="44" t="s">
        <v>137</v>
      </c>
      <c r="D488" s="44" t="s">
        <v>69</v>
      </c>
      <c r="E488" s="50">
        <v>350000</v>
      </c>
      <c r="F488" s="50">
        <v>350000</v>
      </c>
      <c r="G488" s="50">
        <v>350000</v>
      </c>
      <c r="H488" s="50">
        <v>0</v>
      </c>
      <c r="I488" s="50">
        <v>0</v>
      </c>
      <c r="J488" s="50">
        <v>0</v>
      </c>
      <c r="K488" s="50">
        <v>0</v>
      </c>
      <c r="L488" s="152">
        <f t="shared" si="21"/>
        <v>0</v>
      </c>
      <c r="M488" s="50">
        <v>0</v>
      </c>
      <c r="N488" s="50">
        <v>350000</v>
      </c>
      <c r="O488" s="418">
        <f t="shared" si="22"/>
        <v>1</v>
      </c>
    </row>
    <row r="489" spans="1:15" s="143" customFormat="1" hidden="1" x14ac:dyDescent="0.25">
      <c r="A489" s="399" t="s">
        <v>714</v>
      </c>
      <c r="B489" s="44" t="s">
        <v>138</v>
      </c>
      <c r="C489" s="44" t="s">
        <v>139</v>
      </c>
      <c r="D489" s="44" t="s">
        <v>69</v>
      </c>
      <c r="E489" s="50">
        <v>40000</v>
      </c>
      <c r="F489" s="50">
        <v>40000</v>
      </c>
      <c r="G489" s="50">
        <v>40000</v>
      </c>
      <c r="H489" s="50">
        <v>0</v>
      </c>
      <c r="I489" s="50">
        <v>0</v>
      </c>
      <c r="J489" s="50">
        <v>0</v>
      </c>
      <c r="K489" s="50">
        <v>0</v>
      </c>
      <c r="L489" s="152">
        <f t="shared" si="21"/>
        <v>0</v>
      </c>
      <c r="M489" s="50">
        <v>0</v>
      </c>
      <c r="N489" s="50">
        <v>40000</v>
      </c>
      <c r="O489" s="418">
        <f t="shared" si="22"/>
        <v>1</v>
      </c>
    </row>
    <row r="490" spans="1:15" s="143" customFormat="1" hidden="1" x14ac:dyDescent="0.25">
      <c r="A490" s="399" t="s">
        <v>714</v>
      </c>
      <c r="B490" s="44" t="s">
        <v>162</v>
      </c>
      <c r="C490" s="44" t="s">
        <v>163</v>
      </c>
      <c r="D490" s="44" t="s">
        <v>69</v>
      </c>
      <c r="E490" s="50">
        <v>500000</v>
      </c>
      <c r="F490" s="50">
        <v>500000</v>
      </c>
      <c r="G490" s="50">
        <v>500000</v>
      </c>
      <c r="H490" s="50">
        <v>0</v>
      </c>
      <c r="I490" s="50">
        <v>0</v>
      </c>
      <c r="J490" s="50">
        <v>0</v>
      </c>
      <c r="K490" s="50">
        <v>0</v>
      </c>
      <c r="L490" s="152">
        <f t="shared" si="21"/>
        <v>0</v>
      </c>
      <c r="M490" s="50">
        <v>0</v>
      </c>
      <c r="N490" s="50">
        <v>500000</v>
      </c>
      <c r="O490" s="418">
        <f t="shared" si="22"/>
        <v>1</v>
      </c>
    </row>
    <row r="491" spans="1:15" s="143" customFormat="1" hidden="1" x14ac:dyDescent="0.25">
      <c r="A491" s="399" t="s">
        <v>714</v>
      </c>
      <c r="B491" s="44" t="s">
        <v>164</v>
      </c>
      <c r="C491" s="44" t="s">
        <v>165</v>
      </c>
      <c r="D491" s="44" t="s">
        <v>69</v>
      </c>
      <c r="E491" s="50">
        <v>100000</v>
      </c>
      <c r="F491" s="50">
        <v>100000</v>
      </c>
      <c r="G491" s="50">
        <v>100000</v>
      </c>
      <c r="H491" s="50">
        <v>0</v>
      </c>
      <c r="I491" s="50">
        <v>0</v>
      </c>
      <c r="J491" s="50">
        <v>0</v>
      </c>
      <c r="K491" s="50">
        <v>0</v>
      </c>
      <c r="L491" s="152">
        <f t="shared" si="21"/>
        <v>0</v>
      </c>
      <c r="M491" s="50">
        <v>0</v>
      </c>
      <c r="N491" s="50">
        <v>100000</v>
      </c>
      <c r="O491" s="418">
        <f t="shared" si="22"/>
        <v>1</v>
      </c>
    </row>
    <row r="492" spans="1:15" s="143" customFormat="1" hidden="1" x14ac:dyDescent="0.25">
      <c r="A492" s="399" t="s">
        <v>714</v>
      </c>
      <c r="B492" s="44" t="s">
        <v>172</v>
      </c>
      <c r="C492" s="44" t="s">
        <v>173</v>
      </c>
      <c r="D492" s="44" t="s">
        <v>69</v>
      </c>
      <c r="E492" s="50">
        <v>400000</v>
      </c>
      <c r="F492" s="50">
        <v>400000</v>
      </c>
      <c r="G492" s="50">
        <v>400000</v>
      </c>
      <c r="H492" s="50">
        <v>0</v>
      </c>
      <c r="I492" s="50">
        <v>0</v>
      </c>
      <c r="J492" s="50">
        <v>0</v>
      </c>
      <c r="K492" s="50">
        <v>0</v>
      </c>
      <c r="L492" s="152">
        <f t="shared" si="21"/>
        <v>0</v>
      </c>
      <c r="M492" s="50">
        <v>0</v>
      </c>
      <c r="N492" s="50">
        <v>400000</v>
      </c>
      <c r="O492" s="418">
        <f t="shared" si="22"/>
        <v>1</v>
      </c>
    </row>
    <row r="493" spans="1:15" s="143" customFormat="1" x14ac:dyDescent="0.25">
      <c r="A493" s="399" t="s">
        <v>714</v>
      </c>
      <c r="B493" s="44" t="s">
        <v>184</v>
      </c>
      <c r="C493" s="44" t="s">
        <v>185</v>
      </c>
      <c r="D493" s="44" t="s">
        <v>69</v>
      </c>
      <c r="E493" s="50">
        <v>301595100</v>
      </c>
      <c r="F493" s="50">
        <v>290095100</v>
      </c>
      <c r="G493" s="50">
        <v>133889485</v>
      </c>
      <c r="H493" s="50">
        <v>3243685</v>
      </c>
      <c r="I493" s="50">
        <v>10582340.710000001</v>
      </c>
      <c r="J493" s="50">
        <v>3880220.21</v>
      </c>
      <c r="K493" s="50">
        <v>37668614.640000001</v>
      </c>
      <c r="L493" s="152">
        <f t="shared" si="21"/>
        <v>0.12984919304048914</v>
      </c>
      <c r="M493" s="50">
        <v>32014956.640000001</v>
      </c>
      <c r="N493" s="50">
        <v>234720239.44</v>
      </c>
      <c r="O493" s="418">
        <f t="shared" si="22"/>
        <v>0.80911480214591702</v>
      </c>
    </row>
    <row r="494" spans="1:15" s="143" customFormat="1" hidden="1" x14ac:dyDescent="0.25">
      <c r="A494" s="399" t="s">
        <v>714</v>
      </c>
      <c r="B494" s="44" t="s">
        <v>186</v>
      </c>
      <c r="C494" s="44" t="s">
        <v>187</v>
      </c>
      <c r="D494" s="44" t="s">
        <v>69</v>
      </c>
      <c r="E494" s="50">
        <v>6620568</v>
      </c>
      <c r="F494" s="50">
        <v>4620568</v>
      </c>
      <c r="G494" s="50">
        <v>3382426</v>
      </c>
      <c r="H494" s="50">
        <v>0</v>
      </c>
      <c r="I494" s="50">
        <v>0</v>
      </c>
      <c r="J494" s="50">
        <v>0</v>
      </c>
      <c r="K494" s="50">
        <v>0</v>
      </c>
      <c r="L494" s="152">
        <f t="shared" si="21"/>
        <v>0</v>
      </c>
      <c r="M494" s="50">
        <v>0</v>
      </c>
      <c r="N494" s="50">
        <v>4620568</v>
      </c>
      <c r="O494" s="418">
        <f t="shared" si="22"/>
        <v>1</v>
      </c>
    </row>
    <row r="495" spans="1:15" s="143" customFormat="1" hidden="1" x14ac:dyDescent="0.25">
      <c r="A495" s="399" t="s">
        <v>714</v>
      </c>
      <c r="B495" s="44" t="s">
        <v>188</v>
      </c>
      <c r="C495" s="44" t="s">
        <v>189</v>
      </c>
      <c r="D495" s="44" t="s">
        <v>69</v>
      </c>
      <c r="E495" s="50">
        <v>2413000</v>
      </c>
      <c r="F495" s="50">
        <v>2413000</v>
      </c>
      <c r="G495" s="50">
        <v>1174858</v>
      </c>
      <c r="H495" s="50">
        <v>0</v>
      </c>
      <c r="I495" s="50">
        <v>0</v>
      </c>
      <c r="J495" s="50">
        <v>0</v>
      </c>
      <c r="K495" s="50">
        <v>0</v>
      </c>
      <c r="L495" s="152">
        <f t="shared" si="21"/>
        <v>0</v>
      </c>
      <c r="M495" s="50">
        <v>0</v>
      </c>
      <c r="N495" s="50">
        <v>2413000</v>
      </c>
      <c r="O495" s="418">
        <f t="shared" si="22"/>
        <v>1</v>
      </c>
    </row>
    <row r="496" spans="1:15" s="143" customFormat="1" hidden="1" x14ac:dyDescent="0.25">
      <c r="A496" s="399" t="s">
        <v>714</v>
      </c>
      <c r="B496" s="44" t="s">
        <v>350</v>
      </c>
      <c r="C496" s="44" t="s">
        <v>351</v>
      </c>
      <c r="D496" s="44" t="s">
        <v>69</v>
      </c>
      <c r="E496" s="50">
        <v>63287</v>
      </c>
      <c r="F496" s="50">
        <v>63287</v>
      </c>
      <c r="G496" s="50">
        <v>63287</v>
      </c>
      <c r="H496" s="50">
        <v>0</v>
      </c>
      <c r="I496" s="50">
        <v>0</v>
      </c>
      <c r="J496" s="50">
        <v>0</v>
      </c>
      <c r="K496" s="50">
        <v>0</v>
      </c>
      <c r="L496" s="152">
        <f t="shared" si="21"/>
        <v>0</v>
      </c>
      <c r="M496" s="50">
        <v>0</v>
      </c>
      <c r="N496" s="50">
        <v>63287</v>
      </c>
      <c r="O496" s="418">
        <f t="shared" si="22"/>
        <v>1</v>
      </c>
    </row>
    <row r="497" spans="1:15" s="143" customFormat="1" hidden="1" x14ac:dyDescent="0.25">
      <c r="A497" s="399" t="s">
        <v>714</v>
      </c>
      <c r="B497" s="44" t="s">
        <v>194</v>
      </c>
      <c r="C497" s="44" t="s">
        <v>195</v>
      </c>
      <c r="D497" s="44" t="s">
        <v>69</v>
      </c>
      <c r="E497" s="50">
        <v>4144281</v>
      </c>
      <c r="F497" s="50">
        <v>2144281</v>
      </c>
      <c r="G497" s="50">
        <v>2144281</v>
      </c>
      <c r="H497" s="50">
        <v>0</v>
      </c>
      <c r="I497" s="50">
        <v>0</v>
      </c>
      <c r="J497" s="50">
        <v>0</v>
      </c>
      <c r="K497" s="50">
        <v>0</v>
      </c>
      <c r="L497" s="152">
        <f t="shared" si="21"/>
        <v>0</v>
      </c>
      <c r="M497" s="50">
        <v>0</v>
      </c>
      <c r="N497" s="50">
        <v>2144281</v>
      </c>
      <c r="O497" s="418">
        <f t="shared" si="22"/>
        <v>1</v>
      </c>
    </row>
    <row r="498" spans="1:15" s="143" customFormat="1" hidden="1" x14ac:dyDescent="0.25">
      <c r="A498" s="399" t="s">
        <v>714</v>
      </c>
      <c r="B498" s="44" t="s">
        <v>196</v>
      </c>
      <c r="C498" s="44" t="s">
        <v>197</v>
      </c>
      <c r="D498" s="44" t="s">
        <v>69</v>
      </c>
      <c r="E498" s="50">
        <v>280709986</v>
      </c>
      <c r="F498" s="50">
        <v>280709986</v>
      </c>
      <c r="G498" s="50">
        <v>125742513</v>
      </c>
      <c r="H498" s="50">
        <v>899840</v>
      </c>
      <c r="I498" s="50">
        <v>10582340.710000001</v>
      </c>
      <c r="J498" s="50">
        <v>3880220.21</v>
      </c>
      <c r="K498" s="50">
        <v>37668614.640000001</v>
      </c>
      <c r="L498" s="152">
        <f t="shared" si="21"/>
        <v>0.13419050450168168</v>
      </c>
      <c r="M498" s="50">
        <v>32014956.640000001</v>
      </c>
      <c r="N498" s="50">
        <v>227678970.44</v>
      </c>
      <c r="O498" s="418">
        <f t="shared" si="22"/>
        <v>0.81108254709542105</v>
      </c>
    </row>
    <row r="499" spans="1:15" s="143" customFormat="1" hidden="1" x14ac:dyDescent="0.25">
      <c r="A499" s="399" t="s">
        <v>714</v>
      </c>
      <c r="B499" s="44" t="s">
        <v>579</v>
      </c>
      <c r="C499" s="44" t="s">
        <v>580</v>
      </c>
      <c r="D499" s="44" t="s">
        <v>69</v>
      </c>
      <c r="E499" s="50">
        <v>1988520</v>
      </c>
      <c r="F499" s="50">
        <v>1988520</v>
      </c>
      <c r="G499" s="50">
        <v>1988520</v>
      </c>
      <c r="H499" s="50">
        <v>899840</v>
      </c>
      <c r="I499" s="50">
        <v>0</v>
      </c>
      <c r="J499" s="50">
        <v>0</v>
      </c>
      <c r="K499" s="50">
        <v>0</v>
      </c>
      <c r="L499" s="152">
        <f t="shared" si="21"/>
        <v>0</v>
      </c>
      <c r="M499" s="50">
        <v>0</v>
      </c>
      <c r="N499" s="50">
        <v>1088680</v>
      </c>
      <c r="O499" s="418">
        <f t="shared" si="22"/>
        <v>0.54748254983605893</v>
      </c>
    </row>
    <row r="500" spans="1:15" s="143" customFormat="1" hidden="1" x14ac:dyDescent="0.25">
      <c r="A500" s="399" t="s">
        <v>714</v>
      </c>
      <c r="B500" s="44" t="s">
        <v>198</v>
      </c>
      <c r="C500" s="44" t="s">
        <v>199</v>
      </c>
      <c r="D500" s="44" t="s">
        <v>69</v>
      </c>
      <c r="E500" s="50">
        <v>278273098</v>
      </c>
      <c r="F500" s="50">
        <v>278273098</v>
      </c>
      <c r="G500" s="50">
        <v>123305625</v>
      </c>
      <c r="H500" s="50">
        <v>0</v>
      </c>
      <c r="I500" s="50">
        <v>10582340.710000001</v>
      </c>
      <c r="J500" s="50">
        <v>3880220.21</v>
      </c>
      <c r="K500" s="50">
        <v>37668614.640000001</v>
      </c>
      <c r="L500" s="152">
        <f t="shared" si="21"/>
        <v>0.13536563509276056</v>
      </c>
      <c r="M500" s="50">
        <v>32014956.640000001</v>
      </c>
      <c r="N500" s="50">
        <v>226141922.44</v>
      </c>
      <c r="O500" s="418">
        <f t="shared" si="22"/>
        <v>0.81266182058317404</v>
      </c>
    </row>
    <row r="501" spans="1:15" s="143" customFormat="1" hidden="1" x14ac:dyDescent="0.25">
      <c r="A501" s="399" t="s">
        <v>714</v>
      </c>
      <c r="B501" s="44" t="s">
        <v>352</v>
      </c>
      <c r="C501" s="44" t="s">
        <v>353</v>
      </c>
      <c r="D501" s="44" t="s">
        <v>69</v>
      </c>
      <c r="E501" s="50">
        <v>448368</v>
      </c>
      <c r="F501" s="50">
        <v>448368</v>
      </c>
      <c r="G501" s="50">
        <v>448368</v>
      </c>
      <c r="H501" s="50">
        <v>0</v>
      </c>
      <c r="I501" s="50">
        <v>0</v>
      </c>
      <c r="J501" s="50">
        <v>0</v>
      </c>
      <c r="K501" s="50">
        <v>0</v>
      </c>
      <c r="L501" s="152">
        <f t="shared" si="21"/>
        <v>0</v>
      </c>
      <c r="M501" s="50">
        <v>0</v>
      </c>
      <c r="N501" s="50">
        <v>448368</v>
      </c>
      <c r="O501" s="418">
        <f t="shared" si="22"/>
        <v>1</v>
      </c>
    </row>
    <row r="502" spans="1:15" s="143" customFormat="1" hidden="1" x14ac:dyDescent="0.25">
      <c r="A502" s="399" t="s">
        <v>714</v>
      </c>
      <c r="B502" s="44" t="s">
        <v>200</v>
      </c>
      <c r="C502" s="44" t="s">
        <v>201</v>
      </c>
      <c r="D502" s="44" t="s">
        <v>69</v>
      </c>
      <c r="E502" s="50">
        <v>8117062</v>
      </c>
      <c r="F502" s="50">
        <v>1817062</v>
      </c>
      <c r="G502" s="50">
        <v>1817062</v>
      </c>
      <c r="H502" s="50">
        <v>1417655</v>
      </c>
      <c r="I502" s="50">
        <v>0</v>
      </c>
      <c r="J502" s="50">
        <v>0</v>
      </c>
      <c r="K502" s="50">
        <v>0</v>
      </c>
      <c r="L502" s="152">
        <f t="shared" si="21"/>
        <v>0</v>
      </c>
      <c r="M502" s="50">
        <v>0</v>
      </c>
      <c r="N502" s="50">
        <v>399407</v>
      </c>
      <c r="O502" s="418">
        <f t="shared" si="22"/>
        <v>0.21980923050506807</v>
      </c>
    </row>
    <row r="503" spans="1:15" s="143" customFormat="1" hidden="1" x14ac:dyDescent="0.25">
      <c r="A503" s="399" t="s">
        <v>714</v>
      </c>
      <c r="B503" s="44" t="s">
        <v>314</v>
      </c>
      <c r="C503" s="44" t="s">
        <v>315</v>
      </c>
      <c r="D503" s="44" t="s">
        <v>69</v>
      </c>
      <c r="E503" s="50">
        <v>2959825</v>
      </c>
      <c r="F503" s="50">
        <v>159825</v>
      </c>
      <c r="G503" s="50">
        <v>159825</v>
      </c>
      <c r="H503" s="50">
        <v>0</v>
      </c>
      <c r="I503" s="50">
        <v>0</v>
      </c>
      <c r="J503" s="50">
        <v>0</v>
      </c>
      <c r="K503" s="50">
        <v>0</v>
      </c>
      <c r="L503" s="152">
        <f t="shared" si="21"/>
        <v>0</v>
      </c>
      <c r="M503" s="50">
        <v>0</v>
      </c>
      <c r="N503" s="50">
        <v>159825</v>
      </c>
      <c r="O503" s="418">
        <f t="shared" si="22"/>
        <v>1</v>
      </c>
    </row>
    <row r="504" spans="1:15" s="143" customFormat="1" hidden="1" x14ac:dyDescent="0.25">
      <c r="A504" s="399" t="s">
        <v>714</v>
      </c>
      <c r="B504" s="44" t="s">
        <v>202</v>
      </c>
      <c r="C504" s="44" t="s">
        <v>203</v>
      </c>
      <c r="D504" s="44" t="s">
        <v>69</v>
      </c>
      <c r="E504" s="50">
        <v>1322500</v>
      </c>
      <c r="F504" s="50">
        <v>22500</v>
      </c>
      <c r="G504" s="50">
        <v>22500</v>
      </c>
      <c r="H504" s="50">
        <v>0</v>
      </c>
      <c r="I504" s="50">
        <v>0</v>
      </c>
      <c r="J504" s="50">
        <v>0</v>
      </c>
      <c r="K504" s="50">
        <v>0</v>
      </c>
      <c r="L504" s="152">
        <f t="shared" si="21"/>
        <v>0</v>
      </c>
      <c r="M504" s="50">
        <v>0</v>
      </c>
      <c r="N504" s="50">
        <v>22500</v>
      </c>
      <c r="O504" s="418">
        <f t="shared" si="22"/>
        <v>1</v>
      </c>
    </row>
    <row r="505" spans="1:15" s="143" customFormat="1" hidden="1" x14ac:dyDescent="0.25">
      <c r="A505" s="399" t="s">
        <v>714</v>
      </c>
      <c r="B505" s="44" t="s">
        <v>320</v>
      </c>
      <c r="C505" s="44" t="s">
        <v>321</v>
      </c>
      <c r="D505" s="44" t="s">
        <v>69</v>
      </c>
      <c r="E505" s="50">
        <v>220000</v>
      </c>
      <c r="F505" s="50">
        <v>20000</v>
      </c>
      <c r="G505" s="50">
        <v>20000</v>
      </c>
      <c r="H505" s="50">
        <v>0</v>
      </c>
      <c r="I505" s="50">
        <v>0</v>
      </c>
      <c r="J505" s="50">
        <v>0</v>
      </c>
      <c r="K505" s="50">
        <v>0</v>
      </c>
      <c r="L505" s="152">
        <f t="shared" si="21"/>
        <v>0</v>
      </c>
      <c r="M505" s="50">
        <v>0</v>
      </c>
      <c r="N505" s="50">
        <v>20000</v>
      </c>
      <c r="O505" s="418">
        <f t="shared" si="22"/>
        <v>1</v>
      </c>
    </row>
    <row r="506" spans="1:15" s="143" customFormat="1" hidden="1" x14ac:dyDescent="0.25">
      <c r="A506" s="399" t="s">
        <v>714</v>
      </c>
      <c r="B506" s="44" t="s">
        <v>204</v>
      </c>
      <c r="C506" s="44" t="s">
        <v>205</v>
      </c>
      <c r="D506" s="44" t="s">
        <v>69</v>
      </c>
      <c r="E506" s="50">
        <v>1532505</v>
      </c>
      <c r="F506" s="50">
        <v>1532505</v>
      </c>
      <c r="G506" s="50">
        <v>1532505</v>
      </c>
      <c r="H506" s="50">
        <v>1417655</v>
      </c>
      <c r="I506" s="50">
        <v>0</v>
      </c>
      <c r="J506" s="50">
        <v>0</v>
      </c>
      <c r="K506" s="50">
        <v>0</v>
      </c>
      <c r="L506" s="152">
        <f t="shared" si="21"/>
        <v>0</v>
      </c>
      <c r="M506" s="50">
        <v>0</v>
      </c>
      <c r="N506" s="50">
        <v>114850</v>
      </c>
      <c r="O506" s="418">
        <f t="shared" si="22"/>
        <v>7.4942659240916018E-2</v>
      </c>
    </row>
    <row r="507" spans="1:15" s="143" customFormat="1" hidden="1" x14ac:dyDescent="0.25">
      <c r="A507" s="399" t="s">
        <v>714</v>
      </c>
      <c r="B507" s="44" t="s">
        <v>322</v>
      </c>
      <c r="C507" s="44" t="s">
        <v>323</v>
      </c>
      <c r="D507" s="44" t="s">
        <v>69</v>
      </c>
      <c r="E507" s="50">
        <v>2082232</v>
      </c>
      <c r="F507" s="50">
        <v>82232</v>
      </c>
      <c r="G507" s="50">
        <v>82232</v>
      </c>
      <c r="H507" s="50">
        <v>0</v>
      </c>
      <c r="I507" s="50">
        <v>0</v>
      </c>
      <c r="J507" s="50">
        <v>0</v>
      </c>
      <c r="K507" s="50">
        <v>0</v>
      </c>
      <c r="L507" s="152">
        <f t="shared" si="21"/>
        <v>0</v>
      </c>
      <c r="M507" s="50">
        <v>0</v>
      </c>
      <c r="N507" s="50">
        <v>82232</v>
      </c>
      <c r="O507" s="418">
        <f t="shared" si="22"/>
        <v>1</v>
      </c>
    </row>
    <row r="508" spans="1:15" s="143" customFormat="1" hidden="1" x14ac:dyDescent="0.25">
      <c r="A508" s="399" t="s">
        <v>714</v>
      </c>
      <c r="B508" s="44" t="s">
        <v>206</v>
      </c>
      <c r="C508" s="44" t="s">
        <v>207</v>
      </c>
      <c r="D508" s="44" t="s">
        <v>69</v>
      </c>
      <c r="E508" s="50">
        <v>1362914</v>
      </c>
      <c r="F508" s="50">
        <v>662914</v>
      </c>
      <c r="G508" s="50">
        <v>662914</v>
      </c>
      <c r="H508" s="50">
        <v>0</v>
      </c>
      <c r="I508" s="50">
        <v>0</v>
      </c>
      <c r="J508" s="50">
        <v>0</v>
      </c>
      <c r="K508" s="50">
        <v>0</v>
      </c>
      <c r="L508" s="152">
        <f t="shared" si="21"/>
        <v>0</v>
      </c>
      <c r="M508" s="50">
        <v>0</v>
      </c>
      <c r="N508" s="50">
        <v>662914</v>
      </c>
      <c r="O508" s="418">
        <f t="shared" si="22"/>
        <v>1</v>
      </c>
    </row>
    <row r="509" spans="1:15" s="143" customFormat="1" hidden="1" x14ac:dyDescent="0.25">
      <c r="A509" s="399" t="s">
        <v>714</v>
      </c>
      <c r="B509" s="44" t="s">
        <v>208</v>
      </c>
      <c r="C509" s="44" t="s">
        <v>209</v>
      </c>
      <c r="D509" s="44" t="s">
        <v>69</v>
      </c>
      <c r="E509" s="50">
        <v>571414</v>
      </c>
      <c r="F509" s="50">
        <v>571414</v>
      </c>
      <c r="G509" s="50">
        <v>571414</v>
      </c>
      <c r="H509" s="50">
        <v>0</v>
      </c>
      <c r="I509" s="50">
        <v>0</v>
      </c>
      <c r="J509" s="50">
        <v>0</v>
      </c>
      <c r="K509" s="50">
        <v>0</v>
      </c>
      <c r="L509" s="152">
        <f t="shared" si="21"/>
        <v>0</v>
      </c>
      <c r="M509" s="50">
        <v>0</v>
      </c>
      <c r="N509" s="50">
        <v>571414</v>
      </c>
      <c r="O509" s="418">
        <f t="shared" si="22"/>
        <v>1</v>
      </c>
    </row>
    <row r="510" spans="1:15" s="143" customFormat="1" hidden="1" x14ac:dyDescent="0.25">
      <c r="A510" s="399" t="s">
        <v>714</v>
      </c>
      <c r="B510" s="44" t="s">
        <v>210</v>
      </c>
      <c r="C510" s="44" t="s">
        <v>211</v>
      </c>
      <c r="D510" s="44" t="s">
        <v>69</v>
      </c>
      <c r="E510" s="50">
        <v>791500</v>
      </c>
      <c r="F510" s="50">
        <v>91500</v>
      </c>
      <c r="G510" s="50">
        <v>91500</v>
      </c>
      <c r="H510" s="50">
        <v>0</v>
      </c>
      <c r="I510" s="50">
        <v>0</v>
      </c>
      <c r="J510" s="50">
        <v>0</v>
      </c>
      <c r="K510" s="50">
        <v>0</v>
      </c>
      <c r="L510" s="152">
        <f t="shared" si="21"/>
        <v>0</v>
      </c>
      <c r="M510" s="50">
        <v>0</v>
      </c>
      <c r="N510" s="50">
        <v>91500</v>
      </c>
      <c r="O510" s="418">
        <f t="shared" si="22"/>
        <v>1</v>
      </c>
    </row>
    <row r="511" spans="1:15" s="143" customFormat="1" hidden="1" x14ac:dyDescent="0.25">
      <c r="A511" s="399" t="s">
        <v>714</v>
      </c>
      <c r="B511" s="44" t="s">
        <v>354</v>
      </c>
      <c r="C511" s="44" t="s">
        <v>355</v>
      </c>
      <c r="D511" s="44" t="s">
        <v>69</v>
      </c>
      <c r="E511" s="50">
        <v>585840</v>
      </c>
      <c r="F511" s="50">
        <v>585840</v>
      </c>
      <c r="G511" s="50">
        <v>585840</v>
      </c>
      <c r="H511" s="50">
        <v>0</v>
      </c>
      <c r="I511" s="50">
        <v>0</v>
      </c>
      <c r="J511" s="50">
        <v>0</v>
      </c>
      <c r="K511" s="50">
        <v>0</v>
      </c>
      <c r="L511" s="152">
        <f t="shared" si="21"/>
        <v>0</v>
      </c>
      <c r="M511" s="50">
        <v>0</v>
      </c>
      <c r="N511" s="50">
        <v>585840</v>
      </c>
      <c r="O511" s="418">
        <f t="shared" si="22"/>
        <v>1</v>
      </c>
    </row>
    <row r="512" spans="1:15" s="143" customFormat="1" hidden="1" x14ac:dyDescent="0.25">
      <c r="A512" s="399" t="s">
        <v>714</v>
      </c>
      <c r="B512" s="44" t="s">
        <v>356</v>
      </c>
      <c r="C512" s="44" t="s">
        <v>357</v>
      </c>
      <c r="D512" s="44" t="s">
        <v>69</v>
      </c>
      <c r="E512" s="50">
        <v>585840</v>
      </c>
      <c r="F512" s="50">
        <v>585840</v>
      </c>
      <c r="G512" s="50">
        <v>585840</v>
      </c>
      <c r="H512" s="50">
        <v>0</v>
      </c>
      <c r="I512" s="50">
        <v>0</v>
      </c>
      <c r="J512" s="50">
        <v>0</v>
      </c>
      <c r="K512" s="50">
        <v>0</v>
      </c>
      <c r="L512" s="152">
        <f t="shared" si="21"/>
        <v>0</v>
      </c>
      <c r="M512" s="50">
        <v>0</v>
      </c>
      <c r="N512" s="50">
        <v>585840</v>
      </c>
      <c r="O512" s="418">
        <f t="shared" si="22"/>
        <v>1</v>
      </c>
    </row>
    <row r="513" spans="1:15" s="143" customFormat="1" hidden="1" x14ac:dyDescent="0.25">
      <c r="A513" s="399" t="s">
        <v>714</v>
      </c>
      <c r="B513" s="44" t="s">
        <v>212</v>
      </c>
      <c r="C513" s="44" t="s">
        <v>213</v>
      </c>
      <c r="D513" s="44" t="s">
        <v>69</v>
      </c>
      <c r="E513" s="50">
        <v>4198730</v>
      </c>
      <c r="F513" s="50">
        <v>1698730</v>
      </c>
      <c r="G513" s="50">
        <v>1698730</v>
      </c>
      <c r="H513" s="50">
        <v>926190</v>
      </c>
      <c r="I513" s="50">
        <v>0</v>
      </c>
      <c r="J513" s="50">
        <v>0</v>
      </c>
      <c r="K513" s="50">
        <v>0</v>
      </c>
      <c r="L513" s="152">
        <f t="shared" si="21"/>
        <v>0</v>
      </c>
      <c r="M513" s="50">
        <v>0</v>
      </c>
      <c r="N513" s="50">
        <v>772540</v>
      </c>
      <c r="O513" s="418">
        <f t="shared" si="22"/>
        <v>0.45477503782237316</v>
      </c>
    </row>
    <row r="514" spans="1:15" s="143" customFormat="1" hidden="1" x14ac:dyDescent="0.25">
      <c r="A514" s="399" t="s">
        <v>714</v>
      </c>
      <c r="B514" s="44" t="s">
        <v>220</v>
      </c>
      <c r="C514" s="44" t="s">
        <v>221</v>
      </c>
      <c r="D514" s="44" t="s">
        <v>69</v>
      </c>
      <c r="E514" s="50">
        <v>1076090</v>
      </c>
      <c r="F514" s="50">
        <v>1076090</v>
      </c>
      <c r="G514" s="50">
        <v>1076090</v>
      </c>
      <c r="H514" s="50">
        <v>926190</v>
      </c>
      <c r="I514" s="50">
        <v>0</v>
      </c>
      <c r="J514" s="50">
        <v>0</v>
      </c>
      <c r="K514" s="50">
        <v>0</v>
      </c>
      <c r="L514" s="152">
        <f t="shared" si="21"/>
        <v>0</v>
      </c>
      <c r="M514" s="50">
        <v>0</v>
      </c>
      <c r="N514" s="50">
        <v>149900</v>
      </c>
      <c r="O514" s="418">
        <f t="shared" si="22"/>
        <v>0.13930061611946956</v>
      </c>
    </row>
    <row r="515" spans="1:15" s="143" customFormat="1" hidden="1" x14ac:dyDescent="0.25">
      <c r="A515" s="399" t="s">
        <v>714</v>
      </c>
      <c r="B515" s="44" t="s">
        <v>222</v>
      </c>
      <c r="C515" s="44" t="s">
        <v>223</v>
      </c>
      <c r="D515" s="44" t="s">
        <v>69</v>
      </c>
      <c r="E515" s="50">
        <v>35760</v>
      </c>
      <c r="F515" s="50">
        <v>35760</v>
      </c>
      <c r="G515" s="50">
        <v>35760</v>
      </c>
      <c r="H515" s="50">
        <v>0</v>
      </c>
      <c r="I515" s="50">
        <v>0</v>
      </c>
      <c r="J515" s="50">
        <v>0</v>
      </c>
      <c r="K515" s="50">
        <v>0</v>
      </c>
      <c r="L515" s="152">
        <f t="shared" si="21"/>
        <v>0</v>
      </c>
      <c r="M515" s="50">
        <v>0</v>
      </c>
      <c r="N515" s="50">
        <v>35760</v>
      </c>
      <c r="O515" s="418">
        <f t="shared" si="22"/>
        <v>1</v>
      </c>
    </row>
    <row r="516" spans="1:15" s="143" customFormat="1" hidden="1" x14ac:dyDescent="0.25">
      <c r="A516" s="399" t="s">
        <v>714</v>
      </c>
      <c r="B516" s="44" t="s">
        <v>224</v>
      </c>
      <c r="C516" s="44" t="s">
        <v>225</v>
      </c>
      <c r="D516" s="44" t="s">
        <v>69</v>
      </c>
      <c r="E516" s="50">
        <v>2587400</v>
      </c>
      <c r="F516" s="50">
        <v>87400</v>
      </c>
      <c r="G516" s="50">
        <v>87400</v>
      </c>
      <c r="H516" s="50">
        <v>0</v>
      </c>
      <c r="I516" s="50">
        <v>0</v>
      </c>
      <c r="J516" s="50">
        <v>0</v>
      </c>
      <c r="K516" s="50">
        <v>0</v>
      </c>
      <c r="L516" s="152">
        <f t="shared" si="21"/>
        <v>0</v>
      </c>
      <c r="M516" s="50">
        <v>0</v>
      </c>
      <c r="N516" s="50">
        <v>87400</v>
      </c>
      <c r="O516" s="418">
        <f t="shared" si="22"/>
        <v>1</v>
      </c>
    </row>
    <row r="517" spans="1:15" s="143" customFormat="1" hidden="1" x14ac:dyDescent="0.25">
      <c r="A517" s="399" t="s">
        <v>714</v>
      </c>
      <c r="B517" s="44" t="s">
        <v>228</v>
      </c>
      <c r="C517" s="44" t="s">
        <v>229</v>
      </c>
      <c r="D517" s="44" t="s">
        <v>69</v>
      </c>
      <c r="E517" s="50">
        <v>499480</v>
      </c>
      <c r="F517" s="50">
        <v>499480</v>
      </c>
      <c r="G517" s="50">
        <v>499480</v>
      </c>
      <c r="H517" s="50">
        <v>0</v>
      </c>
      <c r="I517" s="50">
        <v>0</v>
      </c>
      <c r="J517" s="50">
        <v>0</v>
      </c>
      <c r="K517" s="50">
        <v>0</v>
      </c>
      <c r="L517" s="152">
        <f t="shared" si="21"/>
        <v>0</v>
      </c>
      <c r="M517" s="50">
        <v>0</v>
      </c>
      <c r="N517" s="50">
        <v>499480</v>
      </c>
      <c r="O517" s="418">
        <f t="shared" si="22"/>
        <v>1</v>
      </c>
    </row>
    <row r="518" spans="1:15" s="143" customFormat="1" x14ac:dyDescent="0.25">
      <c r="A518" s="399" t="s">
        <v>714</v>
      </c>
      <c r="B518" s="44" t="s">
        <v>230</v>
      </c>
      <c r="C518" s="44" t="s">
        <v>231</v>
      </c>
      <c r="D518" s="44" t="s">
        <v>85</v>
      </c>
      <c r="E518" s="50">
        <v>5038000</v>
      </c>
      <c r="F518" s="50">
        <v>738000</v>
      </c>
      <c r="G518" s="50">
        <v>738000</v>
      </c>
      <c r="H518" s="50">
        <v>0</v>
      </c>
      <c r="I518" s="50">
        <v>75000</v>
      </c>
      <c r="J518" s="50">
        <v>0</v>
      </c>
      <c r="K518" s="50">
        <v>0</v>
      </c>
      <c r="L518" s="152">
        <f t="shared" si="21"/>
        <v>0</v>
      </c>
      <c r="M518" s="50">
        <v>0</v>
      </c>
      <c r="N518" s="50">
        <v>663000</v>
      </c>
      <c r="O518" s="418">
        <f t="shared" si="22"/>
        <v>0.89837398373983735</v>
      </c>
    </row>
    <row r="519" spans="1:15" s="143" customFormat="1" hidden="1" x14ac:dyDescent="0.25">
      <c r="A519" s="399" t="s">
        <v>714</v>
      </c>
      <c r="B519" s="44" t="s">
        <v>232</v>
      </c>
      <c r="C519" s="44" t="s">
        <v>233</v>
      </c>
      <c r="D519" s="44" t="s">
        <v>85</v>
      </c>
      <c r="E519" s="50">
        <v>4954000</v>
      </c>
      <c r="F519" s="50">
        <v>654000</v>
      </c>
      <c r="G519" s="50">
        <v>654000</v>
      </c>
      <c r="H519" s="50">
        <v>0</v>
      </c>
      <c r="I519" s="50">
        <v>0</v>
      </c>
      <c r="J519" s="50">
        <v>0</v>
      </c>
      <c r="K519" s="50">
        <v>0</v>
      </c>
      <c r="L519" s="152">
        <f t="shared" si="21"/>
        <v>0</v>
      </c>
      <c r="M519" s="50">
        <v>0</v>
      </c>
      <c r="N519" s="50">
        <v>654000</v>
      </c>
      <c r="O519" s="418">
        <f t="shared" si="22"/>
        <v>1</v>
      </c>
    </row>
    <row r="520" spans="1:15" s="143" customFormat="1" hidden="1" x14ac:dyDescent="0.25">
      <c r="A520" s="399" t="s">
        <v>714</v>
      </c>
      <c r="B520" s="44" t="s">
        <v>234</v>
      </c>
      <c r="C520" s="44" t="s">
        <v>235</v>
      </c>
      <c r="D520" s="44" t="s">
        <v>85</v>
      </c>
      <c r="E520" s="50">
        <v>3565000</v>
      </c>
      <c r="F520" s="50">
        <v>565000</v>
      </c>
      <c r="G520" s="50">
        <v>565000</v>
      </c>
      <c r="H520" s="50">
        <v>0</v>
      </c>
      <c r="I520" s="50">
        <v>0</v>
      </c>
      <c r="J520" s="50">
        <v>0</v>
      </c>
      <c r="K520" s="50">
        <v>0</v>
      </c>
      <c r="L520" s="152">
        <f t="shared" si="21"/>
        <v>0</v>
      </c>
      <c r="M520" s="50">
        <v>0</v>
      </c>
      <c r="N520" s="50">
        <v>565000</v>
      </c>
      <c r="O520" s="418">
        <f t="shared" si="22"/>
        <v>1</v>
      </c>
    </row>
    <row r="521" spans="1:15" s="143" customFormat="1" hidden="1" x14ac:dyDescent="0.25">
      <c r="A521" s="399" t="s">
        <v>714</v>
      </c>
      <c r="B521" s="44" t="s">
        <v>242</v>
      </c>
      <c r="C521" s="44" t="s">
        <v>243</v>
      </c>
      <c r="D521" s="44" t="s">
        <v>85</v>
      </c>
      <c r="E521" s="50">
        <v>1389000</v>
      </c>
      <c r="F521" s="50">
        <v>89000</v>
      </c>
      <c r="G521" s="50">
        <v>89000</v>
      </c>
      <c r="H521" s="50">
        <v>0</v>
      </c>
      <c r="I521" s="50">
        <v>0</v>
      </c>
      <c r="J521" s="50">
        <v>0</v>
      </c>
      <c r="K521" s="50">
        <v>0</v>
      </c>
      <c r="L521" s="152">
        <f t="shared" si="21"/>
        <v>0</v>
      </c>
      <c r="M521" s="50">
        <v>0</v>
      </c>
      <c r="N521" s="50">
        <v>89000</v>
      </c>
      <c r="O521" s="418">
        <f t="shared" si="22"/>
        <v>1</v>
      </c>
    </row>
    <row r="522" spans="1:15" s="143" customFormat="1" hidden="1" x14ac:dyDescent="0.25">
      <c r="A522" s="399" t="s">
        <v>714</v>
      </c>
      <c r="B522" s="44" t="s">
        <v>244</v>
      </c>
      <c r="C522" s="44" t="s">
        <v>245</v>
      </c>
      <c r="D522" s="44" t="s">
        <v>85</v>
      </c>
      <c r="E522" s="50">
        <v>84000</v>
      </c>
      <c r="F522" s="50">
        <v>84000</v>
      </c>
      <c r="G522" s="50">
        <v>84000</v>
      </c>
      <c r="H522" s="50">
        <v>0</v>
      </c>
      <c r="I522" s="50">
        <v>75000</v>
      </c>
      <c r="J522" s="50">
        <v>0</v>
      </c>
      <c r="K522" s="50">
        <v>0</v>
      </c>
      <c r="L522" s="152">
        <f t="shared" si="21"/>
        <v>0</v>
      </c>
      <c r="M522" s="50">
        <v>0</v>
      </c>
      <c r="N522" s="50">
        <v>9000</v>
      </c>
      <c r="O522" s="418">
        <f t="shared" si="22"/>
        <v>0.10714285714285714</v>
      </c>
    </row>
    <row r="523" spans="1:15" s="143" customFormat="1" hidden="1" x14ac:dyDescent="0.25">
      <c r="A523" s="399" t="s">
        <v>714</v>
      </c>
      <c r="B523" s="44" t="s">
        <v>611</v>
      </c>
      <c r="C523" s="44" t="s">
        <v>612</v>
      </c>
      <c r="D523" s="44" t="s">
        <v>85</v>
      </c>
      <c r="E523" s="50">
        <v>84000</v>
      </c>
      <c r="F523" s="50">
        <v>84000</v>
      </c>
      <c r="G523" s="50">
        <v>84000</v>
      </c>
      <c r="H523" s="50">
        <v>0</v>
      </c>
      <c r="I523" s="50">
        <v>75000</v>
      </c>
      <c r="J523" s="50">
        <v>0</v>
      </c>
      <c r="K523" s="50">
        <v>0</v>
      </c>
      <c r="L523" s="152">
        <f t="shared" si="21"/>
        <v>0</v>
      </c>
      <c r="M523" s="50">
        <v>0</v>
      </c>
      <c r="N523" s="50">
        <v>9000</v>
      </c>
      <c r="O523" s="418">
        <f t="shared" si="22"/>
        <v>0.10714285714285714</v>
      </c>
    </row>
    <row r="524" spans="1:15" s="143" customFormat="1" x14ac:dyDescent="0.25">
      <c r="A524" s="399" t="s">
        <v>714</v>
      </c>
      <c r="B524" s="44" t="s">
        <v>248</v>
      </c>
      <c r="C524" s="44" t="s">
        <v>249</v>
      </c>
      <c r="D524" s="44" t="s">
        <v>69</v>
      </c>
      <c r="E524" s="50">
        <v>32319360</v>
      </c>
      <c r="F524" s="50">
        <v>31841288</v>
      </c>
      <c r="G524" s="50">
        <v>31657427</v>
      </c>
      <c r="H524" s="50">
        <v>0</v>
      </c>
      <c r="I524" s="50">
        <v>17128874</v>
      </c>
      <c r="J524" s="50">
        <v>0</v>
      </c>
      <c r="K524" s="50">
        <v>7925347</v>
      </c>
      <c r="L524" s="152">
        <f t="shared" si="21"/>
        <v>0.24890158337815982</v>
      </c>
      <c r="M524" s="50">
        <v>7925347</v>
      </c>
      <c r="N524" s="50">
        <v>6787067</v>
      </c>
      <c r="O524" s="418">
        <f t="shared" si="22"/>
        <v>0.21315302948800313</v>
      </c>
    </row>
    <row r="525" spans="1:15" s="143" customFormat="1" hidden="1" x14ac:dyDescent="0.25">
      <c r="A525" s="399" t="s">
        <v>714</v>
      </c>
      <c r="B525" s="44" t="s">
        <v>250</v>
      </c>
      <c r="C525" s="44" t="s">
        <v>251</v>
      </c>
      <c r="D525" s="44" t="s">
        <v>69</v>
      </c>
      <c r="E525" s="50">
        <v>24819360</v>
      </c>
      <c r="F525" s="50">
        <v>24341288</v>
      </c>
      <c r="G525" s="50">
        <v>24157427</v>
      </c>
      <c r="H525" s="50">
        <v>0</v>
      </c>
      <c r="I525" s="50">
        <v>17128874</v>
      </c>
      <c r="J525" s="50">
        <v>0</v>
      </c>
      <c r="K525" s="50">
        <v>7028553</v>
      </c>
      <c r="L525" s="152">
        <f t="shared" si="21"/>
        <v>0.28875025019218375</v>
      </c>
      <c r="M525" s="50">
        <v>7028553</v>
      </c>
      <c r="N525" s="50">
        <v>183861</v>
      </c>
      <c r="O525" s="418">
        <f t="shared" si="22"/>
        <v>7.5534622489984915E-3</v>
      </c>
    </row>
    <row r="526" spans="1:15" s="143" customFormat="1" hidden="1" x14ac:dyDescent="0.25">
      <c r="A526" s="399" t="s">
        <v>714</v>
      </c>
      <c r="B526" s="44" t="s">
        <v>633</v>
      </c>
      <c r="C526" s="44" t="s">
        <v>702</v>
      </c>
      <c r="D526" s="44" t="s">
        <v>69</v>
      </c>
      <c r="E526" s="50">
        <v>21081545</v>
      </c>
      <c r="F526" s="50">
        <v>20675471</v>
      </c>
      <c r="G526" s="50">
        <v>20519300</v>
      </c>
      <c r="H526" s="50">
        <v>0</v>
      </c>
      <c r="I526" s="50">
        <v>14577441</v>
      </c>
      <c r="J526" s="50">
        <v>0</v>
      </c>
      <c r="K526" s="50">
        <v>5941859</v>
      </c>
      <c r="L526" s="152">
        <f t="shared" si="21"/>
        <v>0.28738687500758747</v>
      </c>
      <c r="M526" s="50">
        <v>5941859</v>
      </c>
      <c r="N526" s="50">
        <v>156171</v>
      </c>
      <c r="O526" s="418">
        <f t="shared" si="22"/>
        <v>7.553443401603765E-3</v>
      </c>
    </row>
    <row r="527" spans="1:15" s="143" customFormat="1" hidden="1" x14ac:dyDescent="0.25">
      <c r="A527" s="399" t="s">
        <v>714</v>
      </c>
      <c r="B527" s="44" t="s">
        <v>648</v>
      </c>
      <c r="C527" s="44" t="s">
        <v>703</v>
      </c>
      <c r="D527" s="44" t="s">
        <v>69</v>
      </c>
      <c r="E527" s="50">
        <v>3737815</v>
      </c>
      <c r="F527" s="50">
        <v>3665817</v>
      </c>
      <c r="G527" s="50">
        <v>3638127</v>
      </c>
      <c r="H527" s="50">
        <v>0</v>
      </c>
      <c r="I527" s="50">
        <v>2551433</v>
      </c>
      <c r="J527" s="50">
        <v>0</v>
      </c>
      <c r="K527" s="50">
        <v>1086694</v>
      </c>
      <c r="L527" s="152">
        <f t="shared" si="21"/>
        <v>0.29643978409178634</v>
      </c>
      <c r="M527" s="50">
        <v>1086694</v>
      </c>
      <c r="N527" s="50">
        <v>27690</v>
      </c>
      <c r="O527" s="418">
        <f t="shared" si="22"/>
        <v>7.5535685496575522E-3</v>
      </c>
    </row>
    <row r="528" spans="1:15" s="143" customFormat="1" hidden="1" x14ac:dyDescent="0.25">
      <c r="A528" s="399" t="s">
        <v>714</v>
      </c>
      <c r="B528" s="44" t="s">
        <v>260</v>
      </c>
      <c r="C528" s="44" t="s">
        <v>261</v>
      </c>
      <c r="D528" s="44" t="s">
        <v>69</v>
      </c>
      <c r="E528" s="50">
        <v>7500000</v>
      </c>
      <c r="F528" s="50">
        <v>7500000</v>
      </c>
      <c r="G528" s="50">
        <v>7500000</v>
      </c>
      <c r="H528" s="50">
        <v>0</v>
      </c>
      <c r="I528" s="50">
        <v>0</v>
      </c>
      <c r="J528" s="50">
        <v>0</v>
      </c>
      <c r="K528" s="50">
        <v>896794</v>
      </c>
      <c r="L528" s="152">
        <f t="shared" si="21"/>
        <v>0.11957253333333333</v>
      </c>
      <c r="M528" s="50">
        <v>896794</v>
      </c>
      <c r="N528" s="50">
        <v>6603206</v>
      </c>
      <c r="O528" s="418">
        <f t="shared" si="22"/>
        <v>0.88042746666666671</v>
      </c>
    </row>
    <row r="529" spans="1:15" s="143" customFormat="1" hidden="1" x14ac:dyDescent="0.25">
      <c r="A529" s="399" t="s">
        <v>714</v>
      </c>
      <c r="B529" s="44" t="s">
        <v>264</v>
      </c>
      <c r="C529" s="44" t="s">
        <v>265</v>
      </c>
      <c r="D529" s="44" t="s">
        <v>69</v>
      </c>
      <c r="E529" s="50">
        <v>7500000</v>
      </c>
      <c r="F529" s="50">
        <v>7500000</v>
      </c>
      <c r="G529" s="50">
        <v>7500000</v>
      </c>
      <c r="H529" s="50">
        <v>0</v>
      </c>
      <c r="I529" s="50">
        <v>0</v>
      </c>
      <c r="J529" s="50">
        <v>0</v>
      </c>
      <c r="K529" s="50">
        <v>896794</v>
      </c>
      <c r="L529" s="152">
        <f t="shared" si="21"/>
        <v>0.11957253333333333</v>
      </c>
      <c r="M529" s="50">
        <v>896794</v>
      </c>
      <c r="N529" s="50">
        <v>6603206</v>
      </c>
      <c r="O529" s="418">
        <f t="shared" si="22"/>
        <v>0.88042746666666671</v>
      </c>
    </row>
    <row r="530" spans="1:15" s="143" customFormat="1" x14ac:dyDescent="0.25">
      <c r="A530" s="389"/>
      <c r="B530" s="390"/>
      <c r="C530" s="390"/>
      <c r="D530" s="390"/>
      <c r="E530" s="391"/>
      <c r="F530" s="391">
        <f>+F462+F480+F493+F518+F524</f>
        <v>2290819963</v>
      </c>
      <c r="G530" s="391"/>
      <c r="H530" s="391"/>
      <c r="I530" s="391"/>
      <c r="J530" s="391"/>
      <c r="K530" s="391">
        <f>+K462+K480+K493+K518+K524</f>
        <v>673418547.73000002</v>
      </c>
      <c r="L530" s="392">
        <f t="shared" si="21"/>
        <v>0.29396397735599794</v>
      </c>
      <c r="M530" s="391"/>
      <c r="N530" s="391">
        <f>+N462+N480+N493+N518+N524</f>
        <v>1358699606.0800002</v>
      </c>
      <c r="O530" s="393">
        <f t="shared" si="22"/>
        <v>0.59310623620578262</v>
      </c>
    </row>
    <row r="531" spans="1:15" s="143" customFormat="1" x14ac:dyDescent="0.25">
      <c r="A531" s="381"/>
      <c r="B531" s="357"/>
      <c r="C531" s="357"/>
      <c r="D531" s="357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382"/>
    </row>
    <row r="532" spans="1:15" s="143" customFormat="1" x14ac:dyDescent="0.25">
      <c r="A532" s="399" t="s">
        <v>715</v>
      </c>
      <c r="B532" s="44" t="s">
        <v>71</v>
      </c>
      <c r="C532" s="44" t="s">
        <v>72</v>
      </c>
      <c r="D532" s="44" t="s">
        <v>69</v>
      </c>
      <c r="E532" s="50">
        <v>1139557000</v>
      </c>
      <c r="F532" s="50">
        <v>1115820185</v>
      </c>
      <c r="G532" s="50">
        <v>1107863284</v>
      </c>
      <c r="H532" s="50">
        <v>0</v>
      </c>
      <c r="I532" s="50">
        <v>121763746</v>
      </c>
      <c r="J532" s="50">
        <v>0</v>
      </c>
      <c r="K532" s="50">
        <v>348483284.13</v>
      </c>
      <c r="L532" s="152">
        <f t="shared" ref="L532:L560" si="23">+K532/F532</f>
        <v>0.3123113283077954</v>
      </c>
      <c r="M532" s="50">
        <v>348483284.13</v>
      </c>
      <c r="N532" s="50">
        <v>645573154.87</v>
      </c>
      <c r="O532" s="418">
        <f t="shared" ref="O532:O560" si="24">+N532/F532</f>
        <v>0.57856378971133238</v>
      </c>
    </row>
    <row r="533" spans="1:15" s="143" customFormat="1" hidden="1" x14ac:dyDescent="0.25">
      <c r="A533" s="399" t="s">
        <v>715</v>
      </c>
      <c r="B533" s="44" t="s">
        <v>73</v>
      </c>
      <c r="C533" s="44" t="s">
        <v>74</v>
      </c>
      <c r="D533" s="44" t="s">
        <v>69</v>
      </c>
      <c r="E533" s="50">
        <v>400867000</v>
      </c>
      <c r="F533" s="50">
        <v>388692700</v>
      </c>
      <c r="G533" s="50">
        <v>388692700</v>
      </c>
      <c r="H533" s="50">
        <v>0</v>
      </c>
      <c r="I533" s="50">
        <v>0</v>
      </c>
      <c r="J533" s="50">
        <v>0</v>
      </c>
      <c r="K533" s="50">
        <v>121311637.86</v>
      </c>
      <c r="L533" s="152">
        <f t="shared" si="23"/>
        <v>0.312101662470121</v>
      </c>
      <c r="M533" s="50">
        <v>121311637.86</v>
      </c>
      <c r="N533" s="50">
        <v>267381062.13999999</v>
      </c>
      <c r="O533" s="418">
        <f t="shared" si="24"/>
        <v>0.68789833752987894</v>
      </c>
    </row>
    <row r="534" spans="1:15" s="143" customFormat="1" hidden="1" x14ac:dyDescent="0.25">
      <c r="A534" s="399" t="s">
        <v>715</v>
      </c>
      <c r="B534" s="44" t="s">
        <v>75</v>
      </c>
      <c r="C534" s="44" t="s">
        <v>76</v>
      </c>
      <c r="D534" s="44" t="s">
        <v>69</v>
      </c>
      <c r="E534" s="50">
        <v>400867000</v>
      </c>
      <c r="F534" s="50">
        <v>388692700</v>
      </c>
      <c r="G534" s="50">
        <v>388692700</v>
      </c>
      <c r="H534" s="50">
        <v>0</v>
      </c>
      <c r="I534" s="50">
        <v>0</v>
      </c>
      <c r="J534" s="50">
        <v>0</v>
      </c>
      <c r="K534" s="50">
        <v>121311637.86</v>
      </c>
      <c r="L534" s="152">
        <f t="shared" si="23"/>
        <v>0.312101662470121</v>
      </c>
      <c r="M534" s="50">
        <v>121311637.86</v>
      </c>
      <c r="N534" s="50">
        <v>267381062.13999999</v>
      </c>
      <c r="O534" s="418">
        <f t="shared" si="24"/>
        <v>0.68789833752987894</v>
      </c>
    </row>
    <row r="535" spans="1:15" s="143" customFormat="1" hidden="1" x14ac:dyDescent="0.25">
      <c r="A535" s="399" t="s">
        <v>715</v>
      </c>
      <c r="B535" s="44" t="s">
        <v>77</v>
      </c>
      <c r="C535" s="44" t="s">
        <v>78</v>
      </c>
      <c r="D535" s="44" t="s">
        <v>69</v>
      </c>
      <c r="E535" s="50">
        <v>564855020</v>
      </c>
      <c r="F535" s="50">
        <v>556913468</v>
      </c>
      <c r="G535" s="50">
        <v>550170363</v>
      </c>
      <c r="H535" s="50">
        <v>0</v>
      </c>
      <c r="I535" s="50">
        <v>0</v>
      </c>
      <c r="J535" s="50">
        <v>0</v>
      </c>
      <c r="K535" s="50">
        <v>179935171.27000001</v>
      </c>
      <c r="L535" s="152">
        <f t="shared" si="23"/>
        <v>0.32309358923602116</v>
      </c>
      <c r="M535" s="50">
        <v>179935171.27000001</v>
      </c>
      <c r="N535" s="50">
        <v>376978296.73000002</v>
      </c>
      <c r="O535" s="418">
        <f t="shared" si="24"/>
        <v>0.67690641076397895</v>
      </c>
    </row>
    <row r="536" spans="1:15" s="143" customFormat="1" hidden="1" x14ac:dyDescent="0.25">
      <c r="A536" s="399" t="s">
        <v>715</v>
      </c>
      <c r="B536" s="44" t="s">
        <v>79</v>
      </c>
      <c r="C536" s="44" t="s">
        <v>80</v>
      </c>
      <c r="D536" s="44" t="s">
        <v>69</v>
      </c>
      <c r="E536" s="50">
        <v>153608900</v>
      </c>
      <c r="F536" s="50">
        <v>153608900</v>
      </c>
      <c r="G536" s="50">
        <v>147384303</v>
      </c>
      <c r="H536" s="50">
        <v>0</v>
      </c>
      <c r="I536" s="50">
        <v>0</v>
      </c>
      <c r="J536" s="50">
        <v>0</v>
      </c>
      <c r="K536" s="50">
        <v>39721520.310000002</v>
      </c>
      <c r="L536" s="152">
        <f t="shared" si="23"/>
        <v>0.2585886645239957</v>
      </c>
      <c r="M536" s="50">
        <v>39721520.310000002</v>
      </c>
      <c r="N536" s="50">
        <v>113887379.69</v>
      </c>
      <c r="O536" s="418">
        <f t="shared" si="24"/>
        <v>0.74141133547600435</v>
      </c>
    </row>
    <row r="537" spans="1:15" s="143" customFormat="1" hidden="1" x14ac:dyDescent="0.25">
      <c r="A537" s="399" t="s">
        <v>715</v>
      </c>
      <c r="B537" s="44" t="s">
        <v>81</v>
      </c>
      <c r="C537" s="44" t="s">
        <v>82</v>
      </c>
      <c r="D537" s="44" t="s">
        <v>69</v>
      </c>
      <c r="E537" s="50">
        <v>194052109</v>
      </c>
      <c r="F537" s="50">
        <v>188799681</v>
      </c>
      <c r="G537" s="50">
        <v>188799681</v>
      </c>
      <c r="H537" s="50">
        <v>0</v>
      </c>
      <c r="I537" s="50">
        <v>0</v>
      </c>
      <c r="J537" s="50">
        <v>0</v>
      </c>
      <c r="K537" s="50">
        <v>57757530.969999999</v>
      </c>
      <c r="L537" s="152">
        <f t="shared" si="23"/>
        <v>0.30591964278795575</v>
      </c>
      <c r="M537" s="50">
        <v>57757530.969999999</v>
      </c>
      <c r="N537" s="50">
        <v>131042150.03</v>
      </c>
      <c r="O537" s="418">
        <f t="shared" si="24"/>
        <v>0.6940803572120442</v>
      </c>
    </row>
    <row r="538" spans="1:15" s="143" customFormat="1" hidden="1" x14ac:dyDescent="0.25">
      <c r="A538" s="399" t="s">
        <v>715</v>
      </c>
      <c r="B538" s="44" t="s">
        <v>83</v>
      </c>
      <c r="C538" s="44" t="s">
        <v>84</v>
      </c>
      <c r="D538" s="44" t="s">
        <v>85</v>
      </c>
      <c r="E538" s="50">
        <v>74258811</v>
      </c>
      <c r="F538" s="50">
        <v>72712009</v>
      </c>
      <c r="G538" s="50">
        <v>72193501</v>
      </c>
      <c r="H538" s="50">
        <v>0</v>
      </c>
      <c r="I538" s="50">
        <v>0</v>
      </c>
      <c r="J538" s="50">
        <v>0</v>
      </c>
      <c r="K538" s="50">
        <v>0</v>
      </c>
      <c r="L538" s="152">
        <f t="shared" si="23"/>
        <v>0</v>
      </c>
      <c r="M538" s="50">
        <v>0</v>
      </c>
      <c r="N538" s="50">
        <v>72712009</v>
      </c>
      <c r="O538" s="418">
        <f t="shared" si="24"/>
        <v>1</v>
      </c>
    </row>
    <row r="539" spans="1:15" s="143" customFormat="1" hidden="1" x14ac:dyDescent="0.25">
      <c r="A539" s="399" t="s">
        <v>715</v>
      </c>
      <c r="B539" s="44" t="s">
        <v>86</v>
      </c>
      <c r="C539" s="44" t="s">
        <v>87</v>
      </c>
      <c r="D539" s="44" t="s">
        <v>69</v>
      </c>
      <c r="E539" s="50">
        <v>68267000</v>
      </c>
      <c r="F539" s="50">
        <v>68267000</v>
      </c>
      <c r="G539" s="50">
        <v>68267000</v>
      </c>
      <c r="H539" s="50">
        <v>0</v>
      </c>
      <c r="I539" s="50">
        <v>0</v>
      </c>
      <c r="J539" s="50">
        <v>0</v>
      </c>
      <c r="K539" s="50">
        <v>61310698.509999998</v>
      </c>
      <c r="L539" s="152">
        <f t="shared" si="23"/>
        <v>0.89810154994360381</v>
      </c>
      <c r="M539" s="50">
        <v>61310698.509999998</v>
      </c>
      <c r="N539" s="50">
        <v>6956301.4900000002</v>
      </c>
      <c r="O539" s="418">
        <f t="shared" si="24"/>
        <v>0.10189845005639621</v>
      </c>
    </row>
    <row r="540" spans="1:15" s="143" customFormat="1" hidden="1" x14ac:dyDescent="0.25">
      <c r="A540" s="399" t="s">
        <v>715</v>
      </c>
      <c r="B540" s="44" t="s">
        <v>88</v>
      </c>
      <c r="C540" s="44" t="s">
        <v>89</v>
      </c>
      <c r="D540" s="44" t="s">
        <v>69</v>
      </c>
      <c r="E540" s="50">
        <v>74668200</v>
      </c>
      <c r="F540" s="50">
        <v>73525878</v>
      </c>
      <c r="G540" s="50">
        <v>73525878</v>
      </c>
      <c r="H540" s="50">
        <v>0</v>
      </c>
      <c r="I540" s="50">
        <v>0</v>
      </c>
      <c r="J540" s="50">
        <v>0</v>
      </c>
      <c r="K540" s="50">
        <v>21145421.48</v>
      </c>
      <c r="L540" s="152">
        <f t="shared" si="23"/>
        <v>0.28759155354799026</v>
      </c>
      <c r="M540" s="50">
        <v>21145421.48</v>
      </c>
      <c r="N540" s="50">
        <v>52380456.520000003</v>
      </c>
      <c r="O540" s="418">
        <f t="shared" si="24"/>
        <v>0.71240844645200974</v>
      </c>
    </row>
    <row r="541" spans="1:15" s="143" customFormat="1" hidden="1" x14ac:dyDescent="0.25">
      <c r="A541" s="399" t="s">
        <v>715</v>
      </c>
      <c r="B541" s="44" t="s">
        <v>90</v>
      </c>
      <c r="C541" s="44" t="s">
        <v>91</v>
      </c>
      <c r="D541" s="44" t="s">
        <v>69</v>
      </c>
      <c r="E541" s="50">
        <v>86917540</v>
      </c>
      <c r="F541" s="50">
        <v>85107058</v>
      </c>
      <c r="G541" s="50">
        <v>84500160</v>
      </c>
      <c r="H541" s="50">
        <v>0</v>
      </c>
      <c r="I541" s="50">
        <v>60826571</v>
      </c>
      <c r="J541" s="50">
        <v>0</v>
      </c>
      <c r="K541" s="50">
        <v>23673589</v>
      </c>
      <c r="L541" s="152">
        <f t="shared" si="23"/>
        <v>0.27816246450441279</v>
      </c>
      <c r="M541" s="50">
        <v>23673589</v>
      </c>
      <c r="N541" s="50">
        <v>606898</v>
      </c>
      <c r="O541" s="418">
        <f t="shared" si="24"/>
        <v>7.1309949405136295E-3</v>
      </c>
    </row>
    <row r="542" spans="1:15" s="143" customFormat="1" hidden="1" x14ac:dyDescent="0.25">
      <c r="A542" s="399" t="s">
        <v>715</v>
      </c>
      <c r="B542" s="44" t="s">
        <v>425</v>
      </c>
      <c r="C542" s="44" t="s">
        <v>697</v>
      </c>
      <c r="D542" s="44" t="s">
        <v>69</v>
      </c>
      <c r="E542" s="50">
        <v>82460320</v>
      </c>
      <c r="F542" s="50">
        <v>80742683</v>
      </c>
      <c r="G542" s="50">
        <v>80166908</v>
      </c>
      <c r="H542" s="50">
        <v>0</v>
      </c>
      <c r="I542" s="50">
        <v>57707350</v>
      </c>
      <c r="J542" s="50">
        <v>0</v>
      </c>
      <c r="K542" s="50">
        <v>22459558</v>
      </c>
      <c r="L542" s="152">
        <f t="shared" si="23"/>
        <v>0.27816214628389302</v>
      </c>
      <c r="M542" s="50">
        <v>22459558</v>
      </c>
      <c r="N542" s="50">
        <v>575775</v>
      </c>
      <c r="O542" s="418">
        <f t="shared" si="24"/>
        <v>7.1309867173970426E-3</v>
      </c>
    </row>
    <row r="543" spans="1:15" s="143" customFormat="1" hidden="1" x14ac:dyDescent="0.25">
      <c r="A543" s="399" t="s">
        <v>715</v>
      </c>
      <c r="B543" s="44" t="s">
        <v>442</v>
      </c>
      <c r="C543" s="44" t="s">
        <v>95</v>
      </c>
      <c r="D543" s="44" t="s">
        <v>69</v>
      </c>
      <c r="E543" s="50">
        <v>4457220</v>
      </c>
      <c r="F543" s="50">
        <v>4364375</v>
      </c>
      <c r="G543" s="50">
        <v>4333252</v>
      </c>
      <c r="H543" s="50">
        <v>0</v>
      </c>
      <c r="I543" s="50">
        <v>3119221</v>
      </c>
      <c r="J543" s="50">
        <v>0</v>
      </c>
      <c r="K543" s="50">
        <v>1214031</v>
      </c>
      <c r="L543" s="152">
        <f t="shared" si="23"/>
        <v>0.27816835171129889</v>
      </c>
      <c r="M543" s="50">
        <v>1214031</v>
      </c>
      <c r="N543" s="50">
        <v>31123</v>
      </c>
      <c r="O543" s="418">
        <f t="shared" si="24"/>
        <v>7.1311470714592578E-3</v>
      </c>
    </row>
    <row r="544" spans="1:15" s="143" customFormat="1" hidden="1" x14ac:dyDescent="0.25">
      <c r="A544" s="399" t="s">
        <v>715</v>
      </c>
      <c r="B544" s="44" t="s">
        <v>96</v>
      </c>
      <c r="C544" s="44" t="s">
        <v>97</v>
      </c>
      <c r="D544" s="44" t="s">
        <v>69</v>
      </c>
      <c r="E544" s="50">
        <v>86917440</v>
      </c>
      <c r="F544" s="50">
        <v>85106959</v>
      </c>
      <c r="G544" s="50">
        <v>84500061</v>
      </c>
      <c r="H544" s="50">
        <v>0</v>
      </c>
      <c r="I544" s="50">
        <v>60937175</v>
      </c>
      <c r="J544" s="50">
        <v>0</v>
      </c>
      <c r="K544" s="50">
        <v>23562886</v>
      </c>
      <c r="L544" s="152">
        <f t="shared" si="23"/>
        <v>0.2768620366285206</v>
      </c>
      <c r="M544" s="50">
        <v>23562886</v>
      </c>
      <c r="N544" s="50">
        <v>606898</v>
      </c>
      <c r="O544" s="418">
        <f t="shared" si="24"/>
        <v>7.1310032355873503E-3</v>
      </c>
    </row>
    <row r="545" spans="1:15" s="143" customFormat="1" hidden="1" x14ac:dyDescent="0.25">
      <c r="A545" s="399" t="s">
        <v>715</v>
      </c>
      <c r="B545" s="44" t="s">
        <v>460</v>
      </c>
      <c r="C545" s="44" t="s">
        <v>698</v>
      </c>
      <c r="D545" s="44" t="s">
        <v>69</v>
      </c>
      <c r="E545" s="50">
        <v>46801760</v>
      </c>
      <c r="F545" s="50">
        <v>45826885</v>
      </c>
      <c r="G545" s="50">
        <v>45500094</v>
      </c>
      <c r="H545" s="50">
        <v>0</v>
      </c>
      <c r="I545" s="50">
        <v>32863480</v>
      </c>
      <c r="J545" s="50">
        <v>0</v>
      </c>
      <c r="K545" s="50">
        <v>12636614</v>
      </c>
      <c r="L545" s="152">
        <f t="shared" si="23"/>
        <v>0.27574673687727191</v>
      </c>
      <c r="M545" s="50">
        <v>12636614</v>
      </c>
      <c r="N545" s="50">
        <v>326791</v>
      </c>
      <c r="O545" s="418">
        <f t="shared" si="24"/>
        <v>7.1309887198311647E-3</v>
      </c>
    </row>
    <row r="546" spans="1:15" s="143" customFormat="1" hidden="1" x14ac:dyDescent="0.25">
      <c r="A546" s="399" t="s">
        <v>715</v>
      </c>
      <c r="B546" s="44" t="s">
        <v>477</v>
      </c>
      <c r="C546" s="44" t="s">
        <v>699</v>
      </c>
      <c r="D546" s="44" t="s">
        <v>69</v>
      </c>
      <c r="E546" s="50">
        <v>13371860</v>
      </c>
      <c r="F546" s="50">
        <v>13093325</v>
      </c>
      <c r="G546" s="50">
        <v>12999956</v>
      </c>
      <c r="H546" s="50">
        <v>0</v>
      </c>
      <c r="I546" s="50">
        <v>9357865</v>
      </c>
      <c r="J546" s="50">
        <v>0</v>
      </c>
      <c r="K546" s="50">
        <v>3642091</v>
      </c>
      <c r="L546" s="152">
        <f t="shared" si="23"/>
        <v>0.27816394995159749</v>
      </c>
      <c r="M546" s="50">
        <v>3642091</v>
      </c>
      <c r="N546" s="50">
        <v>93369</v>
      </c>
      <c r="O546" s="418">
        <f t="shared" si="24"/>
        <v>7.1310381434815072E-3</v>
      </c>
    </row>
    <row r="547" spans="1:15" s="143" customFormat="1" hidden="1" x14ac:dyDescent="0.25">
      <c r="A547" s="399" t="s">
        <v>715</v>
      </c>
      <c r="B547" s="44" t="s">
        <v>494</v>
      </c>
      <c r="C547" s="44" t="s">
        <v>700</v>
      </c>
      <c r="D547" s="44" t="s">
        <v>69</v>
      </c>
      <c r="E547" s="50">
        <v>26743820</v>
      </c>
      <c r="F547" s="50">
        <v>26186749</v>
      </c>
      <c r="G547" s="50">
        <v>26000011</v>
      </c>
      <c r="H547" s="50">
        <v>0</v>
      </c>
      <c r="I547" s="50">
        <v>18715830</v>
      </c>
      <c r="J547" s="50">
        <v>0</v>
      </c>
      <c r="K547" s="50">
        <v>7284181</v>
      </c>
      <c r="L547" s="152">
        <f t="shared" si="23"/>
        <v>0.2781628601549585</v>
      </c>
      <c r="M547" s="50">
        <v>7284181</v>
      </c>
      <c r="N547" s="50">
        <v>186738</v>
      </c>
      <c r="O547" s="418">
        <f t="shared" si="24"/>
        <v>7.1310111843207414E-3</v>
      </c>
    </row>
    <row r="548" spans="1:15" s="143" customFormat="1" x14ac:dyDescent="0.25">
      <c r="A548" s="399" t="s">
        <v>715</v>
      </c>
      <c r="B548" s="44" t="s">
        <v>104</v>
      </c>
      <c r="C548" s="44" t="s">
        <v>105</v>
      </c>
      <c r="D548" s="44" t="s">
        <v>69</v>
      </c>
      <c r="E548" s="50">
        <v>30265400</v>
      </c>
      <c r="F548" s="50">
        <v>30265400</v>
      </c>
      <c r="G548" s="50">
        <v>10955310</v>
      </c>
      <c r="H548" s="50">
        <v>0</v>
      </c>
      <c r="I548" s="50">
        <v>6655844.2199999997</v>
      </c>
      <c r="J548" s="50">
        <v>0</v>
      </c>
      <c r="K548" s="50">
        <v>1555075.78</v>
      </c>
      <c r="L548" s="152">
        <f t="shared" si="23"/>
        <v>5.1381306045847737E-2</v>
      </c>
      <c r="M548" s="50">
        <v>1555075.78</v>
      </c>
      <c r="N548" s="50">
        <v>22054480</v>
      </c>
      <c r="O548" s="418">
        <f t="shared" si="24"/>
        <v>0.72870274306633975</v>
      </c>
    </row>
    <row r="549" spans="1:15" s="143" customFormat="1" hidden="1" x14ac:dyDescent="0.25">
      <c r="A549" s="399" t="s">
        <v>715</v>
      </c>
      <c r="B549" s="44" t="s">
        <v>112</v>
      </c>
      <c r="C549" s="44" t="s">
        <v>113</v>
      </c>
      <c r="D549" s="44" t="s">
        <v>69</v>
      </c>
      <c r="E549" s="50">
        <v>30265400</v>
      </c>
      <c r="F549" s="50">
        <v>30265400</v>
      </c>
      <c r="G549" s="50">
        <v>10955310</v>
      </c>
      <c r="H549" s="50">
        <v>0</v>
      </c>
      <c r="I549" s="50">
        <v>6655844.2199999997</v>
      </c>
      <c r="J549" s="50">
        <v>0</v>
      </c>
      <c r="K549" s="50">
        <v>1555075.78</v>
      </c>
      <c r="L549" s="152">
        <f t="shared" si="23"/>
        <v>5.1381306045847737E-2</v>
      </c>
      <c r="M549" s="50">
        <v>1555075.78</v>
      </c>
      <c r="N549" s="50">
        <v>22054480</v>
      </c>
      <c r="O549" s="418">
        <f t="shared" si="24"/>
        <v>0.72870274306633975</v>
      </c>
    </row>
    <row r="550" spans="1:15" s="143" customFormat="1" hidden="1" x14ac:dyDescent="0.25">
      <c r="A550" s="399" t="s">
        <v>715</v>
      </c>
      <c r="B550" s="44" t="s">
        <v>114</v>
      </c>
      <c r="C550" s="44" t="s">
        <v>115</v>
      </c>
      <c r="D550" s="44" t="s">
        <v>69</v>
      </c>
      <c r="E550" s="50">
        <v>3196000</v>
      </c>
      <c r="F550" s="50">
        <v>3196000</v>
      </c>
      <c r="G550" s="50">
        <v>1598000</v>
      </c>
      <c r="H550" s="50">
        <v>0</v>
      </c>
      <c r="I550" s="50">
        <v>1297484</v>
      </c>
      <c r="J550" s="50">
        <v>0</v>
      </c>
      <c r="K550" s="50">
        <v>300516</v>
      </c>
      <c r="L550" s="152">
        <f t="shared" si="23"/>
        <v>9.4028785982478102E-2</v>
      </c>
      <c r="M550" s="50">
        <v>300516</v>
      </c>
      <c r="N550" s="50">
        <v>1598000</v>
      </c>
      <c r="O550" s="418">
        <f t="shared" si="24"/>
        <v>0.5</v>
      </c>
    </row>
    <row r="551" spans="1:15" s="143" customFormat="1" hidden="1" x14ac:dyDescent="0.25">
      <c r="A551" s="399" t="s">
        <v>715</v>
      </c>
      <c r="B551" s="44" t="s">
        <v>116</v>
      </c>
      <c r="C551" s="44" t="s">
        <v>117</v>
      </c>
      <c r="D551" s="44" t="s">
        <v>69</v>
      </c>
      <c r="E551" s="50">
        <v>21749400</v>
      </c>
      <c r="F551" s="50">
        <v>21749400</v>
      </c>
      <c r="G551" s="50">
        <v>6347310</v>
      </c>
      <c r="H551" s="50">
        <v>0</v>
      </c>
      <c r="I551" s="50">
        <v>5053822.4400000004</v>
      </c>
      <c r="J551" s="50">
        <v>0</v>
      </c>
      <c r="K551" s="50">
        <v>1168487.56</v>
      </c>
      <c r="L551" s="152">
        <f t="shared" si="23"/>
        <v>5.3725048047302458E-2</v>
      </c>
      <c r="M551" s="50">
        <v>1168487.56</v>
      </c>
      <c r="N551" s="50">
        <v>15527090</v>
      </c>
      <c r="O551" s="418">
        <f t="shared" si="24"/>
        <v>0.71390888944062825</v>
      </c>
    </row>
    <row r="552" spans="1:15" s="143" customFormat="1" hidden="1" x14ac:dyDescent="0.25">
      <c r="A552" s="399" t="s">
        <v>715</v>
      </c>
      <c r="B552" s="44" t="s">
        <v>120</v>
      </c>
      <c r="C552" s="44" t="s">
        <v>121</v>
      </c>
      <c r="D552" s="44" t="s">
        <v>69</v>
      </c>
      <c r="E552" s="50">
        <v>4620000</v>
      </c>
      <c r="F552" s="50">
        <v>4620000</v>
      </c>
      <c r="G552" s="50">
        <v>2310000</v>
      </c>
      <c r="H552" s="50">
        <v>0</v>
      </c>
      <c r="I552" s="50">
        <v>0</v>
      </c>
      <c r="J552" s="50">
        <v>0</v>
      </c>
      <c r="K552" s="50">
        <v>0</v>
      </c>
      <c r="L552" s="152">
        <f t="shared" si="23"/>
        <v>0</v>
      </c>
      <c r="M552" s="50">
        <v>0</v>
      </c>
      <c r="N552" s="50">
        <v>4620000</v>
      </c>
      <c r="O552" s="418">
        <f t="shared" si="24"/>
        <v>1</v>
      </c>
    </row>
    <row r="553" spans="1:15" s="143" customFormat="1" hidden="1" x14ac:dyDescent="0.25">
      <c r="A553" s="399" t="s">
        <v>715</v>
      </c>
      <c r="B553" s="44" t="s">
        <v>122</v>
      </c>
      <c r="C553" s="44" t="s">
        <v>123</v>
      </c>
      <c r="D553" s="44" t="s">
        <v>69</v>
      </c>
      <c r="E553" s="50">
        <v>700000</v>
      </c>
      <c r="F553" s="50">
        <v>700000</v>
      </c>
      <c r="G553" s="50">
        <v>700000</v>
      </c>
      <c r="H553" s="50">
        <v>0</v>
      </c>
      <c r="I553" s="50">
        <v>304537.78000000003</v>
      </c>
      <c r="J553" s="50">
        <v>0</v>
      </c>
      <c r="K553" s="50">
        <v>86072.22</v>
      </c>
      <c r="L553" s="152">
        <f t="shared" si="23"/>
        <v>0.12296031428571429</v>
      </c>
      <c r="M553" s="50">
        <v>86072.22</v>
      </c>
      <c r="N553" s="50">
        <v>309390</v>
      </c>
      <c r="O553" s="418">
        <f t="shared" si="24"/>
        <v>0.44198571428571426</v>
      </c>
    </row>
    <row r="554" spans="1:15" s="143" customFormat="1" x14ac:dyDescent="0.25">
      <c r="A554" s="399" t="s">
        <v>715</v>
      </c>
      <c r="B554" s="44" t="s">
        <v>248</v>
      </c>
      <c r="C554" s="44" t="s">
        <v>249</v>
      </c>
      <c r="D554" s="44" t="s">
        <v>69</v>
      </c>
      <c r="E554" s="50">
        <v>18298122</v>
      </c>
      <c r="F554" s="50">
        <v>17989877</v>
      </c>
      <c r="G554" s="50">
        <v>17886548</v>
      </c>
      <c r="H554" s="50">
        <v>0</v>
      </c>
      <c r="I554" s="50">
        <v>10466671</v>
      </c>
      <c r="J554" s="50">
        <v>0</v>
      </c>
      <c r="K554" s="50">
        <v>5323127</v>
      </c>
      <c r="L554" s="152">
        <f t="shared" si="23"/>
        <v>0.29589568622398027</v>
      </c>
      <c r="M554" s="50">
        <v>5323127</v>
      </c>
      <c r="N554" s="50">
        <v>2200079</v>
      </c>
      <c r="O554" s="418">
        <f t="shared" si="24"/>
        <v>0.12229538867886645</v>
      </c>
    </row>
    <row r="555" spans="1:15" s="143" customFormat="1" hidden="1" x14ac:dyDescent="0.25">
      <c r="A555" s="399" t="s">
        <v>715</v>
      </c>
      <c r="B555" s="44" t="s">
        <v>250</v>
      </c>
      <c r="C555" s="44" t="s">
        <v>251</v>
      </c>
      <c r="D555" s="44" t="s">
        <v>69</v>
      </c>
      <c r="E555" s="50">
        <v>14798122</v>
      </c>
      <c r="F555" s="50">
        <v>14489877</v>
      </c>
      <c r="G555" s="50">
        <v>14386548</v>
      </c>
      <c r="H555" s="50">
        <v>0</v>
      </c>
      <c r="I555" s="50">
        <v>10466671</v>
      </c>
      <c r="J555" s="50">
        <v>0</v>
      </c>
      <c r="K555" s="50">
        <v>3919877</v>
      </c>
      <c r="L555" s="152">
        <f t="shared" si="23"/>
        <v>0.27052520873710661</v>
      </c>
      <c r="M555" s="50">
        <v>3919877</v>
      </c>
      <c r="N555" s="50">
        <v>103329</v>
      </c>
      <c r="O555" s="418">
        <f t="shared" si="24"/>
        <v>7.1311164339076171E-3</v>
      </c>
    </row>
    <row r="556" spans="1:15" s="143" customFormat="1" hidden="1" x14ac:dyDescent="0.25">
      <c r="A556" s="399" t="s">
        <v>715</v>
      </c>
      <c r="B556" s="44" t="s">
        <v>634</v>
      </c>
      <c r="C556" s="44" t="s">
        <v>702</v>
      </c>
      <c r="D556" s="44" t="s">
        <v>69</v>
      </c>
      <c r="E556" s="50">
        <v>12569562</v>
      </c>
      <c r="F556" s="50">
        <v>12307739</v>
      </c>
      <c r="G556" s="50">
        <v>12219972</v>
      </c>
      <c r="H556" s="50">
        <v>0</v>
      </c>
      <c r="I556" s="50">
        <v>8907109</v>
      </c>
      <c r="J556" s="50">
        <v>0</v>
      </c>
      <c r="K556" s="50">
        <v>3312863</v>
      </c>
      <c r="L556" s="152">
        <f t="shared" si="23"/>
        <v>0.26916909758973601</v>
      </c>
      <c r="M556" s="50">
        <v>3312863</v>
      </c>
      <c r="N556" s="50">
        <v>87767</v>
      </c>
      <c r="O556" s="418">
        <f t="shared" si="24"/>
        <v>7.1310416966105638E-3</v>
      </c>
    </row>
    <row r="557" spans="1:15" s="143" customFormat="1" hidden="1" x14ac:dyDescent="0.25">
      <c r="A557" s="399" t="s">
        <v>715</v>
      </c>
      <c r="B557" s="44" t="s">
        <v>649</v>
      </c>
      <c r="C557" s="44" t="s">
        <v>703</v>
      </c>
      <c r="D557" s="44" t="s">
        <v>69</v>
      </c>
      <c r="E557" s="50">
        <v>2228560</v>
      </c>
      <c r="F557" s="50">
        <v>2182138</v>
      </c>
      <c r="G557" s="50">
        <v>2166576</v>
      </c>
      <c r="H557" s="50">
        <v>0</v>
      </c>
      <c r="I557" s="50">
        <v>1559562</v>
      </c>
      <c r="J557" s="50">
        <v>0</v>
      </c>
      <c r="K557" s="50">
        <v>607014</v>
      </c>
      <c r="L557" s="152">
        <f t="shared" si="23"/>
        <v>0.27817397433159591</v>
      </c>
      <c r="M557" s="50">
        <v>607014</v>
      </c>
      <c r="N557" s="50">
        <v>15562</v>
      </c>
      <c r="O557" s="418">
        <f t="shared" si="24"/>
        <v>7.131537968726084E-3</v>
      </c>
    </row>
    <row r="558" spans="1:15" s="143" customFormat="1" hidden="1" x14ac:dyDescent="0.25">
      <c r="A558" s="399" t="s">
        <v>715</v>
      </c>
      <c r="B558" s="44" t="s">
        <v>260</v>
      </c>
      <c r="C558" s="44" t="s">
        <v>261</v>
      </c>
      <c r="D558" s="44" t="s">
        <v>69</v>
      </c>
      <c r="E558" s="50">
        <v>3500000</v>
      </c>
      <c r="F558" s="50">
        <v>3500000</v>
      </c>
      <c r="G558" s="50">
        <v>3500000</v>
      </c>
      <c r="H558" s="50">
        <v>0</v>
      </c>
      <c r="I558" s="50">
        <v>0</v>
      </c>
      <c r="J558" s="50">
        <v>0</v>
      </c>
      <c r="K558" s="50">
        <v>1403250</v>
      </c>
      <c r="L558" s="152">
        <f t="shared" si="23"/>
        <v>0.40092857142857141</v>
      </c>
      <c r="M558" s="50">
        <v>1403250</v>
      </c>
      <c r="N558" s="50">
        <v>2096750</v>
      </c>
      <c r="O558" s="418">
        <f t="shared" si="24"/>
        <v>0.59907142857142859</v>
      </c>
    </row>
    <row r="559" spans="1:15" s="143" customFormat="1" hidden="1" x14ac:dyDescent="0.25">
      <c r="A559" s="399" t="s">
        <v>715</v>
      </c>
      <c r="B559" s="44" t="s">
        <v>264</v>
      </c>
      <c r="C559" s="44" t="s">
        <v>265</v>
      </c>
      <c r="D559" s="44" t="s">
        <v>69</v>
      </c>
      <c r="E559" s="50">
        <v>3500000</v>
      </c>
      <c r="F559" s="50">
        <v>3500000</v>
      </c>
      <c r="G559" s="50">
        <v>3500000</v>
      </c>
      <c r="H559" s="50">
        <v>0</v>
      </c>
      <c r="I559" s="50">
        <v>0</v>
      </c>
      <c r="J559" s="50">
        <v>0</v>
      </c>
      <c r="K559" s="50">
        <v>1403250</v>
      </c>
      <c r="L559" s="152">
        <f t="shared" si="23"/>
        <v>0.40092857142857141</v>
      </c>
      <c r="M559" s="50">
        <v>1403250</v>
      </c>
      <c r="N559" s="50">
        <v>2096750</v>
      </c>
      <c r="O559" s="418">
        <f t="shared" si="24"/>
        <v>0.59907142857142859</v>
      </c>
    </row>
    <row r="560" spans="1:15" s="143" customFormat="1" x14ac:dyDescent="0.25">
      <c r="A560" s="389"/>
      <c r="B560" s="390"/>
      <c r="C560" s="390"/>
      <c r="D560" s="390"/>
      <c r="E560" s="391"/>
      <c r="F560" s="391">
        <f>+F532+F548+F554</f>
        <v>1164075462</v>
      </c>
      <c r="G560" s="391"/>
      <c r="H560" s="391"/>
      <c r="I560" s="391"/>
      <c r="J560" s="391"/>
      <c r="K560" s="391">
        <f>+K532+K548+K554</f>
        <v>355361486.90999997</v>
      </c>
      <c r="L560" s="392">
        <f t="shared" si="23"/>
        <v>0.30527358277912053</v>
      </c>
      <c r="M560" s="391"/>
      <c r="N560" s="391">
        <f>+N532+N548+N554</f>
        <v>669827713.87</v>
      </c>
      <c r="O560" s="393">
        <f t="shared" si="24"/>
        <v>0.57541605826753528</v>
      </c>
    </row>
    <row r="561" spans="1:15" s="143" customFormat="1" x14ac:dyDescent="0.25">
      <c r="A561" s="399"/>
      <c r="B561" s="44"/>
      <c r="C561" s="44"/>
      <c r="D561" s="44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421"/>
    </row>
    <row r="562" spans="1:15" s="143" customFormat="1" x14ac:dyDescent="0.25">
      <c r="A562" s="399" t="s">
        <v>716</v>
      </c>
      <c r="B562" s="44" t="s">
        <v>71</v>
      </c>
      <c r="C562" s="44" t="s">
        <v>72</v>
      </c>
      <c r="D562" s="44" t="s">
        <v>69</v>
      </c>
      <c r="E562" s="50">
        <v>273249937</v>
      </c>
      <c r="F562" s="50">
        <v>271537368</v>
      </c>
      <c r="G562" s="50">
        <v>269822981</v>
      </c>
      <c r="H562" s="50">
        <v>0</v>
      </c>
      <c r="I562" s="50">
        <v>28982440</v>
      </c>
      <c r="J562" s="50">
        <v>0</v>
      </c>
      <c r="K562" s="50">
        <v>84041525.359999999</v>
      </c>
      <c r="L562" s="152">
        <f t="shared" ref="L562:L589" si="25">+K562/F562</f>
        <v>0.30950261460882983</v>
      </c>
      <c r="M562" s="50">
        <v>84041525.359999999</v>
      </c>
      <c r="N562" s="50">
        <v>158513402.63999999</v>
      </c>
      <c r="O562" s="418">
        <f t="shared" ref="O562:O589" si="26">+N562/F562</f>
        <v>0.58376275724967619</v>
      </c>
    </row>
    <row r="563" spans="1:15" s="143" customFormat="1" hidden="1" x14ac:dyDescent="0.25">
      <c r="A563" s="399" t="s">
        <v>716</v>
      </c>
      <c r="B563" s="44" t="s">
        <v>73</v>
      </c>
      <c r="C563" s="44" t="s">
        <v>74</v>
      </c>
      <c r="D563" s="44" t="s">
        <v>69</v>
      </c>
      <c r="E563" s="50">
        <v>97637632</v>
      </c>
      <c r="F563" s="50">
        <v>96661384</v>
      </c>
      <c r="G563" s="50">
        <v>96661384</v>
      </c>
      <c r="H563" s="50">
        <v>0</v>
      </c>
      <c r="I563" s="50">
        <v>0</v>
      </c>
      <c r="J563" s="50">
        <v>0</v>
      </c>
      <c r="K563" s="50">
        <v>31095918.690000001</v>
      </c>
      <c r="L563" s="152">
        <f t="shared" si="25"/>
        <v>0.32169949780565943</v>
      </c>
      <c r="M563" s="50">
        <v>31095918.690000001</v>
      </c>
      <c r="N563" s="50">
        <v>65565465.310000002</v>
      </c>
      <c r="O563" s="418">
        <f t="shared" si="26"/>
        <v>0.67830050219434068</v>
      </c>
    </row>
    <row r="564" spans="1:15" s="143" customFormat="1" hidden="1" x14ac:dyDescent="0.25">
      <c r="A564" s="399" t="s">
        <v>716</v>
      </c>
      <c r="B564" s="44" t="s">
        <v>75</v>
      </c>
      <c r="C564" s="44" t="s">
        <v>76</v>
      </c>
      <c r="D564" s="44" t="s">
        <v>69</v>
      </c>
      <c r="E564" s="50">
        <v>97637632</v>
      </c>
      <c r="F564" s="50">
        <v>96661384</v>
      </c>
      <c r="G564" s="50">
        <v>96661384</v>
      </c>
      <c r="H564" s="50">
        <v>0</v>
      </c>
      <c r="I564" s="50">
        <v>0</v>
      </c>
      <c r="J564" s="50">
        <v>0</v>
      </c>
      <c r="K564" s="50">
        <v>31095918.690000001</v>
      </c>
      <c r="L564" s="152">
        <f t="shared" si="25"/>
        <v>0.32169949780565943</v>
      </c>
      <c r="M564" s="50">
        <v>31095918.690000001</v>
      </c>
      <c r="N564" s="50">
        <v>65565465.310000002</v>
      </c>
      <c r="O564" s="418">
        <f t="shared" si="26"/>
        <v>0.67830050219434068</v>
      </c>
    </row>
    <row r="565" spans="1:15" s="143" customFormat="1" hidden="1" x14ac:dyDescent="0.25">
      <c r="A565" s="399" t="s">
        <v>716</v>
      </c>
      <c r="B565" s="44" t="s">
        <v>77</v>
      </c>
      <c r="C565" s="44" t="s">
        <v>78</v>
      </c>
      <c r="D565" s="44" t="s">
        <v>69</v>
      </c>
      <c r="E565" s="50">
        <v>133929275</v>
      </c>
      <c r="F565" s="50">
        <v>133454197</v>
      </c>
      <c r="G565" s="50">
        <v>132001335</v>
      </c>
      <c r="H565" s="50">
        <v>0</v>
      </c>
      <c r="I565" s="50">
        <v>0</v>
      </c>
      <c r="J565" s="50">
        <v>0</v>
      </c>
      <c r="K565" s="50">
        <v>40767784.670000002</v>
      </c>
      <c r="L565" s="152">
        <f t="shared" si="25"/>
        <v>0.30548147294311023</v>
      </c>
      <c r="M565" s="50">
        <v>40767784.670000002</v>
      </c>
      <c r="N565" s="50">
        <v>92686412.329999998</v>
      </c>
      <c r="O565" s="418">
        <f t="shared" si="26"/>
        <v>0.69451852705688977</v>
      </c>
    </row>
    <row r="566" spans="1:15" s="143" customFormat="1" hidden="1" x14ac:dyDescent="0.25">
      <c r="A566" s="399" t="s">
        <v>716</v>
      </c>
      <c r="B566" s="44" t="s">
        <v>79</v>
      </c>
      <c r="C566" s="44" t="s">
        <v>80</v>
      </c>
      <c r="D566" s="44" t="s">
        <v>69</v>
      </c>
      <c r="E566" s="50">
        <v>34862400</v>
      </c>
      <c r="F566" s="50">
        <v>34862400</v>
      </c>
      <c r="G566" s="50">
        <v>33521255</v>
      </c>
      <c r="H566" s="50">
        <v>0</v>
      </c>
      <c r="I566" s="50">
        <v>0</v>
      </c>
      <c r="J566" s="50">
        <v>0</v>
      </c>
      <c r="K566" s="50">
        <v>10892602.26</v>
      </c>
      <c r="L566" s="152">
        <f t="shared" si="25"/>
        <v>0.31244556484923586</v>
      </c>
      <c r="M566" s="50">
        <v>10892602.26</v>
      </c>
      <c r="N566" s="50">
        <v>23969797.739999998</v>
      </c>
      <c r="O566" s="418">
        <f t="shared" si="26"/>
        <v>0.68755443515076409</v>
      </c>
    </row>
    <row r="567" spans="1:15" s="143" customFormat="1" hidden="1" x14ac:dyDescent="0.25">
      <c r="A567" s="399" t="s">
        <v>716</v>
      </c>
      <c r="B567" s="44" t="s">
        <v>81</v>
      </c>
      <c r="C567" s="44" t="s">
        <v>82</v>
      </c>
      <c r="D567" s="44" t="s">
        <v>69</v>
      </c>
      <c r="E567" s="50">
        <v>32733979</v>
      </c>
      <c r="F567" s="50">
        <v>32370500</v>
      </c>
      <c r="G567" s="50">
        <v>32370500</v>
      </c>
      <c r="H567" s="50">
        <v>0</v>
      </c>
      <c r="I567" s="50">
        <v>0</v>
      </c>
      <c r="J567" s="50">
        <v>0</v>
      </c>
      <c r="K567" s="50">
        <v>9965784.3699999992</v>
      </c>
      <c r="L567" s="152">
        <f t="shared" si="25"/>
        <v>0.30786624766376791</v>
      </c>
      <c r="M567" s="50">
        <v>9965784.3699999992</v>
      </c>
      <c r="N567" s="50">
        <v>22404715.629999999</v>
      </c>
      <c r="O567" s="418">
        <f t="shared" si="26"/>
        <v>0.69213375233623198</v>
      </c>
    </row>
    <row r="568" spans="1:15" s="143" customFormat="1" hidden="1" x14ac:dyDescent="0.25">
      <c r="A568" s="399" t="s">
        <v>716</v>
      </c>
      <c r="B568" s="44" t="s">
        <v>83</v>
      </c>
      <c r="C568" s="44" t="s">
        <v>84</v>
      </c>
      <c r="D568" s="44" t="s">
        <v>85</v>
      </c>
      <c r="E568" s="50">
        <v>17806196</v>
      </c>
      <c r="F568" s="50">
        <v>17694597</v>
      </c>
      <c r="G568" s="50">
        <v>17582880</v>
      </c>
      <c r="H568" s="50">
        <v>0</v>
      </c>
      <c r="I568" s="50">
        <v>0</v>
      </c>
      <c r="J568" s="50">
        <v>0</v>
      </c>
      <c r="K568" s="50">
        <v>0</v>
      </c>
      <c r="L568" s="152">
        <f t="shared" si="25"/>
        <v>0</v>
      </c>
      <c r="M568" s="50">
        <v>0</v>
      </c>
      <c r="N568" s="50">
        <v>17694597</v>
      </c>
      <c r="O568" s="418">
        <f t="shared" si="26"/>
        <v>1</v>
      </c>
    </row>
    <row r="569" spans="1:15" s="143" customFormat="1" hidden="1" x14ac:dyDescent="0.25">
      <c r="A569" s="399" t="s">
        <v>716</v>
      </c>
      <c r="B569" s="44" t="s">
        <v>86</v>
      </c>
      <c r="C569" s="44" t="s">
        <v>87</v>
      </c>
      <c r="D569" s="44" t="s">
        <v>69</v>
      </c>
      <c r="E569" s="50">
        <v>16387600</v>
      </c>
      <c r="F569" s="50">
        <v>16387600</v>
      </c>
      <c r="G569" s="50">
        <v>16387600</v>
      </c>
      <c r="H569" s="50">
        <v>0</v>
      </c>
      <c r="I569" s="50">
        <v>0</v>
      </c>
      <c r="J569" s="50">
        <v>0</v>
      </c>
      <c r="K569" s="50">
        <v>9494365.5</v>
      </c>
      <c r="L569" s="152">
        <f t="shared" si="25"/>
        <v>0.57936278039493272</v>
      </c>
      <c r="M569" s="50">
        <v>9494365.5</v>
      </c>
      <c r="N569" s="50">
        <v>6893234.5</v>
      </c>
      <c r="O569" s="418">
        <f t="shared" si="26"/>
        <v>0.42063721960506723</v>
      </c>
    </row>
    <row r="570" spans="1:15" s="143" customFormat="1" hidden="1" x14ac:dyDescent="0.25">
      <c r="A570" s="399" t="s">
        <v>716</v>
      </c>
      <c r="B570" s="44" t="s">
        <v>88</v>
      </c>
      <c r="C570" s="44" t="s">
        <v>89</v>
      </c>
      <c r="D570" s="44" t="s">
        <v>69</v>
      </c>
      <c r="E570" s="50">
        <v>32139100</v>
      </c>
      <c r="F570" s="50">
        <v>32139100</v>
      </c>
      <c r="G570" s="50">
        <v>32139100</v>
      </c>
      <c r="H570" s="50">
        <v>0</v>
      </c>
      <c r="I570" s="50">
        <v>0</v>
      </c>
      <c r="J570" s="50">
        <v>0</v>
      </c>
      <c r="K570" s="50">
        <v>10415032.539999999</v>
      </c>
      <c r="L570" s="152">
        <f t="shared" si="25"/>
        <v>0.3240611137212927</v>
      </c>
      <c r="M570" s="50">
        <v>10415032.539999999</v>
      </c>
      <c r="N570" s="50">
        <v>21724067.460000001</v>
      </c>
      <c r="O570" s="418">
        <f t="shared" si="26"/>
        <v>0.67593888627870724</v>
      </c>
    </row>
    <row r="571" spans="1:15" s="143" customFormat="1" hidden="1" x14ac:dyDescent="0.25">
      <c r="A571" s="399" t="s">
        <v>716</v>
      </c>
      <c r="B571" s="44" t="s">
        <v>90</v>
      </c>
      <c r="C571" s="44" t="s">
        <v>91</v>
      </c>
      <c r="D571" s="44" t="s">
        <v>69</v>
      </c>
      <c r="E571" s="50">
        <v>20841515</v>
      </c>
      <c r="F571" s="50">
        <v>20710893</v>
      </c>
      <c r="G571" s="50">
        <v>20580131</v>
      </c>
      <c r="H571" s="50">
        <v>0</v>
      </c>
      <c r="I571" s="50">
        <v>14477808</v>
      </c>
      <c r="J571" s="50">
        <v>0</v>
      </c>
      <c r="K571" s="50">
        <v>6102323</v>
      </c>
      <c r="L571" s="152">
        <f t="shared" si="25"/>
        <v>0.29464316193415707</v>
      </c>
      <c r="M571" s="50">
        <v>6102323</v>
      </c>
      <c r="N571" s="50">
        <v>130762</v>
      </c>
      <c r="O571" s="418">
        <f t="shared" si="26"/>
        <v>6.3136823699489926E-3</v>
      </c>
    </row>
    <row r="572" spans="1:15" s="143" customFormat="1" hidden="1" x14ac:dyDescent="0.25">
      <c r="A572" s="399" t="s">
        <v>716</v>
      </c>
      <c r="B572" s="44" t="s">
        <v>426</v>
      </c>
      <c r="C572" s="44" t="s">
        <v>697</v>
      </c>
      <c r="D572" s="44" t="s">
        <v>69</v>
      </c>
      <c r="E572" s="50">
        <v>19772804</v>
      </c>
      <c r="F572" s="50">
        <v>19648880</v>
      </c>
      <c r="G572" s="50">
        <v>19524824</v>
      </c>
      <c r="H572" s="50">
        <v>0</v>
      </c>
      <c r="I572" s="50">
        <v>13735440</v>
      </c>
      <c r="J572" s="50">
        <v>0</v>
      </c>
      <c r="K572" s="50">
        <v>5789384</v>
      </c>
      <c r="L572" s="152">
        <f t="shared" si="25"/>
        <v>0.2946419337896104</v>
      </c>
      <c r="M572" s="50">
        <v>5789384</v>
      </c>
      <c r="N572" s="50">
        <v>124056</v>
      </c>
      <c r="O572" s="418">
        <f t="shared" si="26"/>
        <v>6.3136423042941892E-3</v>
      </c>
    </row>
    <row r="573" spans="1:15" s="143" customFormat="1" hidden="1" x14ac:dyDescent="0.25">
      <c r="A573" s="399" t="s">
        <v>716</v>
      </c>
      <c r="B573" s="44" t="s">
        <v>443</v>
      </c>
      <c r="C573" s="44" t="s">
        <v>95</v>
      </c>
      <c r="D573" s="44" t="s">
        <v>69</v>
      </c>
      <c r="E573" s="50">
        <v>1068711</v>
      </c>
      <c r="F573" s="50">
        <v>1062013</v>
      </c>
      <c r="G573" s="50">
        <v>1055307</v>
      </c>
      <c r="H573" s="50">
        <v>0</v>
      </c>
      <c r="I573" s="50">
        <v>742368</v>
      </c>
      <c r="J573" s="50">
        <v>0</v>
      </c>
      <c r="K573" s="50">
        <v>312939</v>
      </c>
      <c r="L573" s="152">
        <f t="shared" si="25"/>
        <v>0.29466588450423864</v>
      </c>
      <c r="M573" s="50">
        <v>312939</v>
      </c>
      <c r="N573" s="50">
        <v>6706</v>
      </c>
      <c r="O573" s="418">
        <f t="shared" si="26"/>
        <v>6.3144236464148743E-3</v>
      </c>
    </row>
    <row r="574" spans="1:15" s="143" customFormat="1" hidden="1" x14ac:dyDescent="0.25">
      <c r="A574" s="399" t="s">
        <v>716</v>
      </c>
      <c r="B574" s="44" t="s">
        <v>96</v>
      </c>
      <c r="C574" s="44" t="s">
        <v>97</v>
      </c>
      <c r="D574" s="44" t="s">
        <v>69</v>
      </c>
      <c r="E574" s="50">
        <v>20841515</v>
      </c>
      <c r="F574" s="50">
        <v>20710894</v>
      </c>
      <c r="G574" s="50">
        <v>20580131</v>
      </c>
      <c r="H574" s="50">
        <v>0</v>
      </c>
      <c r="I574" s="50">
        <v>14504632</v>
      </c>
      <c r="J574" s="50">
        <v>0</v>
      </c>
      <c r="K574" s="50">
        <v>6075499</v>
      </c>
      <c r="L574" s="152">
        <f t="shared" si="25"/>
        <v>0.29334798391609751</v>
      </c>
      <c r="M574" s="50">
        <v>6075499</v>
      </c>
      <c r="N574" s="50">
        <v>130763</v>
      </c>
      <c r="O574" s="418">
        <f t="shared" si="26"/>
        <v>6.3137303488685712E-3</v>
      </c>
    </row>
    <row r="575" spans="1:15" s="143" customFormat="1" hidden="1" x14ac:dyDescent="0.25">
      <c r="A575" s="399" t="s">
        <v>716</v>
      </c>
      <c r="B575" s="44" t="s">
        <v>461</v>
      </c>
      <c r="C575" s="44" t="s">
        <v>698</v>
      </c>
      <c r="D575" s="44" t="s">
        <v>69</v>
      </c>
      <c r="E575" s="50">
        <v>11222416</v>
      </c>
      <c r="F575" s="50">
        <v>11152081</v>
      </c>
      <c r="G575" s="50">
        <v>11081671</v>
      </c>
      <c r="H575" s="50">
        <v>0</v>
      </c>
      <c r="I575" s="50">
        <v>7822630</v>
      </c>
      <c r="J575" s="50">
        <v>0</v>
      </c>
      <c r="K575" s="50">
        <v>3259041</v>
      </c>
      <c r="L575" s="152">
        <f t="shared" si="25"/>
        <v>0.2922361306378603</v>
      </c>
      <c r="M575" s="50">
        <v>3259041</v>
      </c>
      <c r="N575" s="50">
        <v>70410</v>
      </c>
      <c r="O575" s="418">
        <f t="shared" si="26"/>
        <v>6.3136198526535089E-3</v>
      </c>
    </row>
    <row r="576" spans="1:15" s="143" customFormat="1" hidden="1" x14ac:dyDescent="0.25">
      <c r="A576" s="399" t="s">
        <v>716</v>
      </c>
      <c r="B576" s="44" t="s">
        <v>478</v>
      </c>
      <c r="C576" s="44" t="s">
        <v>699</v>
      </c>
      <c r="D576" s="44" t="s">
        <v>69</v>
      </c>
      <c r="E576" s="50">
        <v>3206333</v>
      </c>
      <c r="F576" s="50">
        <v>3186238</v>
      </c>
      <c r="G576" s="50">
        <v>3166120</v>
      </c>
      <c r="H576" s="50">
        <v>0</v>
      </c>
      <c r="I576" s="50">
        <v>2227301</v>
      </c>
      <c r="J576" s="50">
        <v>0</v>
      </c>
      <c r="K576" s="50">
        <v>938819</v>
      </c>
      <c r="L576" s="152">
        <f t="shared" si="25"/>
        <v>0.29464810852171119</v>
      </c>
      <c r="M576" s="50">
        <v>938819</v>
      </c>
      <c r="N576" s="50">
        <v>20118</v>
      </c>
      <c r="O576" s="418">
        <f t="shared" si="26"/>
        <v>6.3140292721384902E-3</v>
      </c>
    </row>
    <row r="577" spans="1:15" s="143" customFormat="1" hidden="1" x14ac:dyDescent="0.25">
      <c r="A577" s="399" t="s">
        <v>716</v>
      </c>
      <c r="B577" s="44" t="s">
        <v>495</v>
      </c>
      <c r="C577" s="44" t="s">
        <v>700</v>
      </c>
      <c r="D577" s="44" t="s">
        <v>69</v>
      </c>
      <c r="E577" s="50">
        <v>6412766</v>
      </c>
      <c r="F577" s="50">
        <v>6372575</v>
      </c>
      <c r="G577" s="50">
        <v>6332340</v>
      </c>
      <c r="H577" s="50">
        <v>0</v>
      </c>
      <c r="I577" s="50">
        <v>4454701</v>
      </c>
      <c r="J577" s="50">
        <v>0</v>
      </c>
      <c r="K577" s="50">
        <v>1877639</v>
      </c>
      <c r="L577" s="152">
        <f t="shared" si="25"/>
        <v>0.29464368799111817</v>
      </c>
      <c r="M577" s="50">
        <v>1877639</v>
      </c>
      <c r="N577" s="50">
        <v>40235</v>
      </c>
      <c r="O577" s="418">
        <f t="shared" si="26"/>
        <v>6.3137742592280204E-3</v>
      </c>
    </row>
    <row r="578" spans="1:15" s="143" customFormat="1" x14ac:dyDescent="0.25">
      <c r="A578" s="399" t="s">
        <v>716</v>
      </c>
      <c r="B578" s="44" t="s">
        <v>104</v>
      </c>
      <c r="C578" s="44" t="s">
        <v>105</v>
      </c>
      <c r="D578" s="44" t="s">
        <v>69</v>
      </c>
      <c r="E578" s="50">
        <v>6929448400</v>
      </c>
      <c r="F578" s="50">
        <v>6929448400</v>
      </c>
      <c r="G578" s="50">
        <v>3464724200</v>
      </c>
      <c r="H578" s="50">
        <v>0</v>
      </c>
      <c r="I578" s="50">
        <v>0</v>
      </c>
      <c r="J578" s="50">
        <v>0</v>
      </c>
      <c r="K578" s="50">
        <v>1386761290.8599999</v>
      </c>
      <c r="L578" s="152">
        <f t="shared" si="25"/>
        <v>0.20012578358473668</v>
      </c>
      <c r="M578" s="50">
        <v>1386761290.8599999</v>
      </c>
      <c r="N578" s="50">
        <v>5542687109.1400003</v>
      </c>
      <c r="O578" s="418">
        <f t="shared" si="26"/>
        <v>0.79987421641526335</v>
      </c>
    </row>
    <row r="579" spans="1:15" s="143" customFormat="1" hidden="1" x14ac:dyDescent="0.25">
      <c r="A579" s="399" t="s">
        <v>716</v>
      </c>
      <c r="B579" s="44" t="s">
        <v>106</v>
      </c>
      <c r="C579" s="44" t="s">
        <v>107</v>
      </c>
      <c r="D579" s="44" t="s">
        <v>69</v>
      </c>
      <c r="E579" s="50">
        <v>6927908871</v>
      </c>
      <c r="F579" s="50">
        <v>6927908871</v>
      </c>
      <c r="G579" s="50">
        <v>3463954436</v>
      </c>
      <c r="H579" s="50">
        <v>0</v>
      </c>
      <c r="I579" s="50">
        <v>0</v>
      </c>
      <c r="J579" s="50">
        <v>0</v>
      </c>
      <c r="K579" s="50">
        <v>1386761290.8599999</v>
      </c>
      <c r="L579" s="152">
        <f t="shared" si="25"/>
        <v>0.20017025579896661</v>
      </c>
      <c r="M579" s="50">
        <v>1386761290.8599999</v>
      </c>
      <c r="N579" s="50">
        <v>5541147580.1400003</v>
      </c>
      <c r="O579" s="418">
        <f t="shared" si="26"/>
        <v>0.79982974420103348</v>
      </c>
    </row>
    <row r="580" spans="1:15" s="143" customFormat="1" hidden="1" x14ac:dyDescent="0.25">
      <c r="A580" s="399" t="s">
        <v>716</v>
      </c>
      <c r="B580" s="44" t="s">
        <v>110</v>
      </c>
      <c r="C580" s="44" t="s">
        <v>111</v>
      </c>
      <c r="D580" s="44" t="s">
        <v>69</v>
      </c>
      <c r="E580" s="50">
        <v>6927908871</v>
      </c>
      <c r="F580" s="50">
        <v>6927908871</v>
      </c>
      <c r="G580" s="50">
        <v>3463954436</v>
      </c>
      <c r="H580" s="50">
        <v>0</v>
      </c>
      <c r="I580" s="50">
        <v>0</v>
      </c>
      <c r="J580" s="50">
        <v>0</v>
      </c>
      <c r="K580" s="50">
        <v>1386761290.8599999</v>
      </c>
      <c r="L580" s="152">
        <f t="shared" si="25"/>
        <v>0.20017025579896661</v>
      </c>
      <c r="M580" s="50">
        <v>1386761290.8599999</v>
      </c>
      <c r="N580" s="50">
        <v>5541147580.1400003</v>
      </c>
      <c r="O580" s="418">
        <f t="shared" si="26"/>
        <v>0.79982974420103348</v>
      </c>
    </row>
    <row r="581" spans="1:15" s="143" customFormat="1" hidden="1" x14ac:dyDescent="0.25">
      <c r="A581" s="399" t="s">
        <v>716</v>
      </c>
      <c r="B581" s="44" t="s">
        <v>112</v>
      </c>
      <c r="C581" s="44" t="s">
        <v>113</v>
      </c>
      <c r="D581" s="44" t="s">
        <v>69</v>
      </c>
      <c r="E581" s="50">
        <v>1539529</v>
      </c>
      <c r="F581" s="50">
        <v>1539529</v>
      </c>
      <c r="G581" s="50">
        <v>769764</v>
      </c>
      <c r="H581" s="50">
        <v>0</v>
      </c>
      <c r="I581" s="50">
        <v>0</v>
      </c>
      <c r="J581" s="50">
        <v>0</v>
      </c>
      <c r="K581" s="50">
        <v>0</v>
      </c>
      <c r="L581" s="152">
        <f t="shared" si="25"/>
        <v>0</v>
      </c>
      <c r="M581" s="50">
        <v>0</v>
      </c>
      <c r="N581" s="50">
        <v>1539529</v>
      </c>
      <c r="O581" s="418">
        <f t="shared" si="26"/>
        <v>1</v>
      </c>
    </row>
    <row r="582" spans="1:15" s="143" customFormat="1" hidden="1" x14ac:dyDescent="0.25">
      <c r="A582" s="399" t="s">
        <v>716</v>
      </c>
      <c r="B582" s="44" t="s">
        <v>120</v>
      </c>
      <c r="C582" s="44" t="s">
        <v>121</v>
      </c>
      <c r="D582" s="44" t="s">
        <v>69</v>
      </c>
      <c r="E582" s="50">
        <v>1539529</v>
      </c>
      <c r="F582" s="50">
        <v>1539529</v>
      </c>
      <c r="G582" s="50">
        <v>769764</v>
      </c>
      <c r="H582" s="50">
        <v>0</v>
      </c>
      <c r="I582" s="50">
        <v>0</v>
      </c>
      <c r="J582" s="50">
        <v>0</v>
      </c>
      <c r="K582" s="50">
        <v>0</v>
      </c>
      <c r="L582" s="152">
        <f t="shared" si="25"/>
        <v>0</v>
      </c>
      <c r="M582" s="50">
        <v>0</v>
      </c>
      <c r="N582" s="50">
        <v>1539529</v>
      </c>
      <c r="O582" s="418">
        <f t="shared" si="26"/>
        <v>1</v>
      </c>
    </row>
    <row r="583" spans="1:15" s="143" customFormat="1" x14ac:dyDescent="0.25">
      <c r="A583" s="399" t="s">
        <v>716</v>
      </c>
      <c r="B583" s="44" t="s">
        <v>248</v>
      </c>
      <c r="C583" s="44" t="s">
        <v>249</v>
      </c>
      <c r="D583" s="44" t="s">
        <v>69</v>
      </c>
      <c r="E583" s="50">
        <v>5048260</v>
      </c>
      <c r="F583" s="50">
        <v>5026021</v>
      </c>
      <c r="G583" s="50">
        <v>5003758</v>
      </c>
      <c r="H583" s="50">
        <v>0</v>
      </c>
      <c r="I583" s="50">
        <v>2491625</v>
      </c>
      <c r="J583" s="50">
        <v>0</v>
      </c>
      <c r="K583" s="50">
        <v>1012133</v>
      </c>
      <c r="L583" s="152">
        <f t="shared" si="25"/>
        <v>0.20137858556500263</v>
      </c>
      <c r="M583" s="50">
        <v>1012133</v>
      </c>
      <c r="N583" s="50">
        <v>1522263</v>
      </c>
      <c r="O583" s="418">
        <f t="shared" si="26"/>
        <v>0.30287637079112883</v>
      </c>
    </row>
    <row r="584" spans="1:15" s="143" customFormat="1" hidden="1" x14ac:dyDescent="0.25">
      <c r="A584" s="399" t="s">
        <v>716</v>
      </c>
      <c r="B584" s="44" t="s">
        <v>250</v>
      </c>
      <c r="C584" s="44" t="s">
        <v>251</v>
      </c>
      <c r="D584" s="44" t="s">
        <v>69</v>
      </c>
      <c r="E584" s="50">
        <v>3548260</v>
      </c>
      <c r="F584" s="50">
        <v>3526021</v>
      </c>
      <c r="G584" s="50">
        <v>3503758</v>
      </c>
      <c r="H584" s="50">
        <v>0</v>
      </c>
      <c r="I584" s="50">
        <v>2491625</v>
      </c>
      <c r="J584" s="50">
        <v>0</v>
      </c>
      <c r="K584" s="50">
        <v>1012133</v>
      </c>
      <c r="L584" s="152">
        <f t="shared" si="25"/>
        <v>0.28704678729933825</v>
      </c>
      <c r="M584" s="50">
        <v>1012133</v>
      </c>
      <c r="N584" s="50">
        <v>22263</v>
      </c>
      <c r="O584" s="418">
        <f t="shared" si="26"/>
        <v>6.313915884221903E-3</v>
      </c>
    </row>
    <row r="585" spans="1:15" s="143" customFormat="1" hidden="1" x14ac:dyDescent="0.25">
      <c r="A585" s="399" t="s">
        <v>716</v>
      </c>
      <c r="B585" s="44" t="s">
        <v>635</v>
      </c>
      <c r="C585" s="44" t="s">
        <v>702</v>
      </c>
      <c r="D585" s="44" t="s">
        <v>69</v>
      </c>
      <c r="E585" s="50">
        <v>3013955</v>
      </c>
      <c r="F585" s="50">
        <v>2995065</v>
      </c>
      <c r="G585" s="50">
        <v>2976155</v>
      </c>
      <c r="H585" s="50">
        <v>0</v>
      </c>
      <c r="I585" s="50">
        <v>2120491</v>
      </c>
      <c r="J585" s="50">
        <v>0</v>
      </c>
      <c r="K585" s="50">
        <v>855664</v>
      </c>
      <c r="L585" s="152">
        <f t="shared" si="25"/>
        <v>0.2856912955144546</v>
      </c>
      <c r="M585" s="50">
        <v>855664</v>
      </c>
      <c r="N585" s="50">
        <v>18910</v>
      </c>
      <c r="O585" s="418">
        <f t="shared" si="26"/>
        <v>6.3137194017492109E-3</v>
      </c>
    </row>
    <row r="586" spans="1:15" s="143" customFormat="1" hidden="1" x14ac:dyDescent="0.25">
      <c r="A586" s="399" t="s">
        <v>716</v>
      </c>
      <c r="B586" s="44" t="s">
        <v>650</v>
      </c>
      <c r="C586" s="44" t="s">
        <v>703</v>
      </c>
      <c r="D586" s="44" t="s">
        <v>69</v>
      </c>
      <c r="E586" s="50">
        <v>534305</v>
      </c>
      <c r="F586" s="50">
        <v>530956</v>
      </c>
      <c r="G586" s="50">
        <v>527603</v>
      </c>
      <c r="H586" s="50">
        <v>0</v>
      </c>
      <c r="I586" s="50">
        <v>371134</v>
      </c>
      <c r="J586" s="50">
        <v>0</v>
      </c>
      <c r="K586" s="50">
        <v>156469</v>
      </c>
      <c r="L586" s="152">
        <f t="shared" si="25"/>
        <v>0.29469296890891145</v>
      </c>
      <c r="M586" s="50">
        <v>156469</v>
      </c>
      <c r="N586" s="50">
        <v>3353</v>
      </c>
      <c r="O586" s="418">
        <f t="shared" si="26"/>
        <v>6.3150242204627121E-3</v>
      </c>
    </row>
    <row r="587" spans="1:15" s="143" customFormat="1" hidden="1" x14ac:dyDescent="0.25">
      <c r="A587" s="399" t="s">
        <v>716</v>
      </c>
      <c r="B587" s="44" t="s">
        <v>260</v>
      </c>
      <c r="C587" s="44" t="s">
        <v>261</v>
      </c>
      <c r="D587" s="44" t="s">
        <v>69</v>
      </c>
      <c r="E587" s="50">
        <v>1500000</v>
      </c>
      <c r="F587" s="50">
        <v>1500000</v>
      </c>
      <c r="G587" s="50">
        <v>1500000</v>
      </c>
      <c r="H587" s="50">
        <v>0</v>
      </c>
      <c r="I587" s="50">
        <v>0</v>
      </c>
      <c r="J587" s="50">
        <v>0</v>
      </c>
      <c r="K587" s="50">
        <v>0</v>
      </c>
      <c r="L587" s="152">
        <f t="shared" si="25"/>
        <v>0</v>
      </c>
      <c r="M587" s="50">
        <v>0</v>
      </c>
      <c r="N587" s="50">
        <v>1500000</v>
      </c>
      <c r="O587" s="418">
        <f t="shared" si="26"/>
        <v>1</v>
      </c>
    </row>
    <row r="588" spans="1:15" s="143" customFormat="1" hidden="1" x14ac:dyDescent="0.25">
      <c r="A588" s="399" t="s">
        <v>716</v>
      </c>
      <c r="B588" s="44" t="s">
        <v>264</v>
      </c>
      <c r="C588" s="44" t="s">
        <v>265</v>
      </c>
      <c r="D588" s="44" t="s">
        <v>69</v>
      </c>
      <c r="E588" s="50">
        <v>1500000</v>
      </c>
      <c r="F588" s="50">
        <v>1500000</v>
      </c>
      <c r="G588" s="50">
        <v>1500000</v>
      </c>
      <c r="H588" s="50">
        <v>0</v>
      </c>
      <c r="I588" s="50">
        <v>0</v>
      </c>
      <c r="J588" s="50">
        <v>0</v>
      </c>
      <c r="K588" s="50">
        <v>0</v>
      </c>
      <c r="L588" s="152">
        <f t="shared" si="25"/>
        <v>0</v>
      </c>
      <c r="M588" s="50">
        <v>0</v>
      </c>
      <c r="N588" s="50">
        <v>1500000</v>
      </c>
      <c r="O588" s="418">
        <f t="shared" si="26"/>
        <v>1</v>
      </c>
    </row>
    <row r="589" spans="1:15" s="143" customFormat="1" x14ac:dyDescent="0.25">
      <c r="A589" s="389"/>
      <c r="B589" s="390"/>
      <c r="C589" s="390"/>
      <c r="D589" s="390"/>
      <c r="E589" s="391"/>
      <c r="F589" s="391">
        <f>+F562+F578+F583</f>
        <v>7206011789</v>
      </c>
      <c r="G589" s="391"/>
      <c r="H589" s="391"/>
      <c r="I589" s="391"/>
      <c r="J589" s="391"/>
      <c r="K589" s="391">
        <f>+K562+K578+K583</f>
        <v>1471814949.2199998</v>
      </c>
      <c r="L589" s="392">
        <f t="shared" si="25"/>
        <v>0.20424820168442273</v>
      </c>
      <c r="M589" s="391"/>
      <c r="N589" s="391">
        <f>+N562+N578+N583</f>
        <v>5702722774.7800007</v>
      </c>
      <c r="O589" s="393">
        <f t="shared" si="26"/>
        <v>0.79138404734297341</v>
      </c>
    </row>
    <row r="590" spans="1:15" s="143" customFormat="1" x14ac:dyDescent="0.25">
      <c r="A590" s="427"/>
      <c r="B590" s="428"/>
      <c r="C590" s="428"/>
      <c r="D590" s="428"/>
      <c r="E590" s="429"/>
      <c r="F590" s="429"/>
      <c r="G590" s="429"/>
      <c r="H590" s="429"/>
      <c r="I590" s="429"/>
      <c r="J590" s="429"/>
      <c r="K590" s="429"/>
      <c r="L590" s="429"/>
      <c r="M590" s="429"/>
      <c r="N590" s="429"/>
      <c r="O590" s="430"/>
    </row>
    <row r="591" spans="1:15" s="143" customFormat="1" ht="15" customHeight="1" x14ac:dyDescent="0.25">
      <c r="A591" s="624" t="s">
        <v>783</v>
      </c>
      <c r="B591" s="187" t="s">
        <v>71</v>
      </c>
      <c r="C591" s="187" t="s">
        <v>72</v>
      </c>
      <c r="D591" s="187"/>
      <c r="E591" s="188"/>
      <c r="F591" s="188">
        <f>+F158+F286+F416+F462+F532+F562+F361</f>
        <v>67378176249</v>
      </c>
      <c r="G591" s="188"/>
      <c r="H591" s="188"/>
      <c r="I591" s="188"/>
      <c r="J591" s="188"/>
      <c r="K591" s="188">
        <f>+K158+K286+K416+K462+K532+K562</f>
        <v>22461929216.040001</v>
      </c>
      <c r="L591" s="190">
        <f t="shared" ref="L591:L597" si="27">+K591/F591</f>
        <v>0.33337098844929586</v>
      </c>
      <c r="M591" s="188"/>
      <c r="N591" s="188">
        <f>N158+N286+N416+N462+N532+N562</f>
        <v>37339266698.960007</v>
      </c>
      <c r="O591" s="431">
        <f t="shared" ref="O591:O597" si="28">+N591/F591</f>
        <v>0.55417449354774095</v>
      </c>
    </row>
    <row r="592" spans="1:15" s="143" customFormat="1" x14ac:dyDescent="0.25">
      <c r="A592" s="624"/>
      <c r="B592" s="187" t="s">
        <v>104</v>
      </c>
      <c r="C592" s="187" t="s">
        <v>105</v>
      </c>
      <c r="D592" s="187"/>
      <c r="E592" s="188"/>
      <c r="F592" s="188">
        <f>+F178+F304+F377+F434+F480+F548+F578</f>
        <v>17914009369</v>
      </c>
      <c r="G592" s="188"/>
      <c r="H592" s="188"/>
      <c r="I592" s="188"/>
      <c r="J592" s="188"/>
      <c r="K592" s="188">
        <f>+K178+K304+K377+K434+K480+K548+K578</f>
        <v>2706024471.4099998</v>
      </c>
      <c r="L592" s="190">
        <f t="shared" si="27"/>
        <v>0.1510563277974358</v>
      </c>
      <c r="M592" s="188"/>
      <c r="N592" s="188">
        <f>N178+N304+N377+N434+N480+N548+N578</f>
        <v>12566474169.35</v>
      </c>
      <c r="O592" s="431">
        <f t="shared" si="28"/>
        <v>0.70148864559020208</v>
      </c>
    </row>
    <row r="593" spans="1:15" s="143" customFormat="1" x14ac:dyDescent="0.25">
      <c r="A593" s="624"/>
      <c r="B593" s="187" t="s">
        <v>184</v>
      </c>
      <c r="C593" s="187" t="s">
        <v>185</v>
      </c>
      <c r="D593" s="187"/>
      <c r="E593" s="188"/>
      <c r="F593" s="188">
        <f>+F221+F316+F385+F440+F493</f>
        <v>16727132534</v>
      </c>
      <c r="G593" s="188"/>
      <c r="H593" s="188"/>
      <c r="I593" s="188"/>
      <c r="J593" s="188"/>
      <c r="K593" s="188">
        <f>+K221+K316+K385+K440+K493</f>
        <v>2793678223.7600002</v>
      </c>
      <c r="L593" s="190">
        <f t="shared" si="27"/>
        <v>0.16701477184338068</v>
      </c>
      <c r="M593" s="188"/>
      <c r="N593" s="188">
        <f>+N221+N316+N385+N440+N493</f>
        <v>11911660012.870003</v>
      </c>
      <c r="O593" s="431">
        <f t="shared" si="28"/>
        <v>0.71211607779504682</v>
      </c>
    </row>
    <row r="594" spans="1:15" s="143" customFormat="1" x14ac:dyDescent="0.25">
      <c r="A594" s="624"/>
      <c r="B594" s="187" t="s">
        <v>230</v>
      </c>
      <c r="C594" s="187" t="s">
        <v>231</v>
      </c>
      <c r="D594" s="187"/>
      <c r="E594" s="188"/>
      <c r="F594" s="188">
        <f>+F251+F344+F403+F451+F518</f>
        <v>2118499452</v>
      </c>
      <c r="G594" s="188"/>
      <c r="H594" s="188"/>
      <c r="I594" s="188"/>
      <c r="J594" s="188"/>
      <c r="K594" s="188">
        <f>+K251+K344+K403+K451+K518</f>
        <v>59905401.329999998</v>
      </c>
      <c r="L594" s="190">
        <f t="shared" si="27"/>
        <v>2.8277279596860615E-2</v>
      </c>
      <c r="M594" s="188"/>
      <c r="N594" s="188">
        <f>+N251+N344+N403+N451+N518</f>
        <v>1138199957.6700001</v>
      </c>
      <c r="O594" s="431">
        <f t="shared" si="28"/>
        <v>0.53726705314720091</v>
      </c>
    </row>
    <row r="595" spans="1:15" s="143" customFormat="1" x14ac:dyDescent="0.25">
      <c r="A595" s="624"/>
      <c r="B595" s="187" t="s">
        <v>248</v>
      </c>
      <c r="C595" s="187" t="s">
        <v>249</v>
      </c>
      <c r="D595" s="187"/>
      <c r="E595" s="188"/>
      <c r="F595" s="188">
        <f>+F266+F352+F408+F454+F524+F554+F583</f>
        <v>13479247136</v>
      </c>
      <c r="G595" s="188"/>
      <c r="H595" s="188"/>
      <c r="I595" s="188"/>
      <c r="J595" s="188"/>
      <c r="K595" s="188">
        <f>+K266+K352+K408+K454+K524+K554+K583</f>
        <v>3965873750.6199999</v>
      </c>
      <c r="L595" s="190">
        <f t="shared" si="27"/>
        <v>0.29422071652860005</v>
      </c>
      <c r="M595" s="188"/>
      <c r="N595" s="188">
        <f>+N266+N352+N408+N454+N524+N554+N583</f>
        <v>2878636516.5100002</v>
      </c>
      <c r="O595" s="431">
        <f t="shared" si="28"/>
        <v>0.21356063046146082</v>
      </c>
    </row>
    <row r="596" spans="1:15" s="143" customFormat="1" x14ac:dyDescent="0.25">
      <c r="A596" s="624"/>
      <c r="B596" s="187" t="s">
        <v>372</v>
      </c>
      <c r="C596" s="187" t="s">
        <v>373</v>
      </c>
      <c r="D596" s="187"/>
      <c r="E596" s="188"/>
      <c r="F596" s="188">
        <f>+F280</f>
        <v>674866517.41999996</v>
      </c>
      <c r="G596" s="188"/>
      <c r="H596" s="188"/>
      <c r="I596" s="188"/>
      <c r="J596" s="188"/>
      <c r="K596" s="188">
        <f>+K280</f>
        <v>0</v>
      </c>
      <c r="L596" s="190">
        <f t="shared" si="27"/>
        <v>0</v>
      </c>
      <c r="M596" s="188"/>
      <c r="N596" s="188">
        <f>+N280</f>
        <v>138378813.72999999</v>
      </c>
      <c r="O596" s="431">
        <f t="shared" si="28"/>
        <v>0.20504619826009327</v>
      </c>
    </row>
    <row r="597" spans="1:15" s="143" customFormat="1" x14ac:dyDescent="0.25">
      <c r="A597" s="407"/>
      <c r="B597" s="408"/>
      <c r="C597" s="408"/>
      <c r="D597" s="408"/>
      <c r="E597" s="409"/>
      <c r="F597" s="409">
        <f>SUM(F591:F596)</f>
        <v>118291931257.42</v>
      </c>
      <c r="G597" s="409"/>
      <c r="H597" s="409"/>
      <c r="I597" s="409"/>
      <c r="J597" s="409"/>
      <c r="K597" s="409">
        <f>SUM(K591:K596)</f>
        <v>31987411063.16</v>
      </c>
      <c r="L597" s="432">
        <f t="shared" si="27"/>
        <v>0.27041076025338417</v>
      </c>
      <c r="M597" s="409"/>
      <c r="N597" s="409">
        <f>SUM(N591:N596)</f>
        <v>65972616169.090012</v>
      </c>
      <c r="O597" s="433">
        <f t="shared" si="28"/>
        <v>0.55771019601940774</v>
      </c>
    </row>
    <row r="598" spans="1:15" s="143" customFormat="1" x14ac:dyDescent="0.25">
      <c r="E598" s="257"/>
      <c r="F598" s="257"/>
      <c r="G598" s="257"/>
      <c r="H598" s="257"/>
      <c r="I598" s="257"/>
      <c r="J598" s="257"/>
      <c r="K598" s="257"/>
      <c r="L598" s="257"/>
      <c r="M598" s="257"/>
      <c r="N598" s="257"/>
    </row>
    <row r="599" spans="1:15" s="143" customFormat="1" x14ac:dyDescent="0.25">
      <c r="E599" s="257"/>
      <c r="F599" s="257"/>
      <c r="G599" s="257"/>
      <c r="H599" s="257"/>
      <c r="I599" s="257"/>
      <c r="J599" s="257"/>
      <c r="K599" s="257"/>
      <c r="L599" s="257"/>
      <c r="M599" s="257"/>
      <c r="N599" s="257"/>
    </row>
    <row r="600" spans="1:15" s="143" customFormat="1" ht="15" customHeight="1" x14ac:dyDescent="0.25">
      <c r="A600" s="625" t="s">
        <v>717</v>
      </c>
      <c r="B600" s="414" t="s">
        <v>71</v>
      </c>
      <c r="C600" s="414" t="s">
        <v>72</v>
      </c>
      <c r="D600" s="414" t="s">
        <v>69</v>
      </c>
      <c r="E600" s="415">
        <v>1125132721</v>
      </c>
      <c r="F600" s="415">
        <v>1096513206</v>
      </c>
      <c r="G600" s="415">
        <v>1089706735</v>
      </c>
      <c r="H600" s="415">
        <v>0</v>
      </c>
      <c r="I600" s="415">
        <v>109722543</v>
      </c>
      <c r="J600" s="415">
        <v>0</v>
      </c>
      <c r="K600" s="415">
        <v>348812644.56999999</v>
      </c>
      <c r="L600" s="416">
        <f t="shared" ref="L600:L679" si="29">+K600/F600</f>
        <v>0.31811075567657138</v>
      </c>
      <c r="M600" s="415">
        <v>348812644.56999999</v>
      </c>
      <c r="N600" s="415">
        <v>637978018.42999995</v>
      </c>
      <c r="O600" s="417">
        <f t="shared" ref="O600:O679" si="30">+N600/F600</f>
        <v>0.58182429079654874</v>
      </c>
    </row>
    <row r="601" spans="1:15" s="143" customFormat="1" ht="15" hidden="1" customHeight="1" x14ac:dyDescent="0.25">
      <c r="A601" s="625"/>
      <c r="B601" s="44" t="s">
        <v>73</v>
      </c>
      <c r="C601" s="44" t="s">
        <v>74</v>
      </c>
      <c r="D601" s="44" t="s">
        <v>69</v>
      </c>
      <c r="E601" s="50">
        <v>456307400</v>
      </c>
      <c r="F601" s="50">
        <v>441766100</v>
      </c>
      <c r="G601" s="50">
        <v>441766100</v>
      </c>
      <c r="H601" s="50">
        <v>0</v>
      </c>
      <c r="I601" s="50">
        <v>0</v>
      </c>
      <c r="J601" s="50">
        <v>0</v>
      </c>
      <c r="K601" s="50">
        <v>137562814.22</v>
      </c>
      <c r="L601" s="152">
        <f t="shared" si="29"/>
        <v>0.31139287106910196</v>
      </c>
      <c r="M601" s="50">
        <v>137562814.22</v>
      </c>
      <c r="N601" s="50">
        <v>304203285.77999997</v>
      </c>
      <c r="O601" s="418">
        <f t="shared" si="30"/>
        <v>0.68860712893089804</v>
      </c>
    </row>
    <row r="602" spans="1:15" s="143" customFormat="1" ht="15" hidden="1" customHeight="1" x14ac:dyDescent="0.25">
      <c r="A602" s="625"/>
      <c r="B602" s="44" t="s">
        <v>75</v>
      </c>
      <c r="C602" s="44" t="s">
        <v>76</v>
      </c>
      <c r="D602" s="44" t="s">
        <v>69</v>
      </c>
      <c r="E602" s="50">
        <v>456307400</v>
      </c>
      <c r="F602" s="50">
        <v>441766100</v>
      </c>
      <c r="G602" s="50">
        <v>441766100</v>
      </c>
      <c r="H602" s="50">
        <v>0</v>
      </c>
      <c r="I602" s="50">
        <v>0</v>
      </c>
      <c r="J602" s="50">
        <v>0</v>
      </c>
      <c r="K602" s="50">
        <v>137562814.22</v>
      </c>
      <c r="L602" s="152">
        <f t="shared" si="29"/>
        <v>0.31139287106910196</v>
      </c>
      <c r="M602" s="50">
        <v>137562814.22</v>
      </c>
      <c r="N602" s="50">
        <v>304203285.77999997</v>
      </c>
      <c r="O602" s="418">
        <f t="shared" si="30"/>
        <v>0.68860712893089804</v>
      </c>
    </row>
    <row r="603" spans="1:15" s="143" customFormat="1" ht="15" hidden="1" customHeight="1" x14ac:dyDescent="0.25">
      <c r="A603" s="625"/>
      <c r="B603" s="44" t="s">
        <v>77</v>
      </c>
      <c r="C603" s="44" t="s">
        <v>78</v>
      </c>
      <c r="D603" s="44" t="s">
        <v>69</v>
      </c>
      <c r="E603" s="50">
        <v>497190642</v>
      </c>
      <c r="F603" s="50">
        <v>488516531</v>
      </c>
      <c r="G603" s="50">
        <v>481710060</v>
      </c>
      <c r="H603" s="50">
        <v>0</v>
      </c>
      <c r="I603" s="50">
        <v>0</v>
      </c>
      <c r="J603" s="50">
        <v>0</v>
      </c>
      <c r="K603" s="50">
        <v>154741798.34999999</v>
      </c>
      <c r="L603" s="152">
        <f t="shared" si="29"/>
        <v>0.31675857116491313</v>
      </c>
      <c r="M603" s="50">
        <v>154741798.34999999</v>
      </c>
      <c r="N603" s="50">
        <v>333774732.64999998</v>
      </c>
      <c r="O603" s="418">
        <f t="shared" si="30"/>
        <v>0.68324142883508676</v>
      </c>
    </row>
    <row r="604" spans="1:15" s="143" customFormat="1" ht="15" hidden="1" customHeight="1" x14ac:dyDescent="0.25">
      <c r="A604" s="625"/>
      <c r="B604" s="44" t="s">
        <v>79</v>
      </c>
      <c r="C604" s="44" t="s">
        <v>80</v>
      </c>
      <c r="D604" s="44" t="s">
        <v>69</v>
      </c>
      <c r="E604" s="50">
        <v>91313600</v>
      </c>
      <c r="F604" s="50">
        <v>91313600</v>
      </c>
      <c r="G604" s="50">
        <v>84507129</v>
      </c>
      <c r="H604" s="50">
        <v>0</v>
      </c>
      <c r="I604" s="50">
        <v>0</v>
      </c>
      <c r="J604" s="50">
        <v>0</v>
      </c>
      <c r="K604" s="50">
        <v>27965436.609999999</v>
      </c>
      <c r="L604" s="152">
        <f t="shared" si="29"/>
        <v>0.30625708120148587</v>
      </c>
      <c r="M604" s="50">
        <v>27965436.609999999</v>
      </c>
      <c r="N604" s="50">
        <v>63348163.390000001</v>
      </c>
      <c r="O604" s="418">
        <f t="shared" si="30"/>
        <v>0.69374291879851413</v>
      </c>
    </row>
    <row r="605" spans="1:15" s="143" customFormat="1" ht="15" hidden="1" customHeight="1" x14ac:dyDescent="0.25">
      <c r="A605" s="625"/>
      <c r="B605" s="44" t="s">
        <v>81</v>
      </c>
      <c r="C605" s="44" t="s">
        <v>82</v>
      </c>
      <c r="D605" s="44" t="s">
        <v>69</v>
      </c>
      <c r="E605" s="50">
        <v>214869984</v>
      </c>
      <c r="F605" s="50">
        <v>209049915</v>
      </c>
      <c r="G605" s="50">
        <v>209049915</v>
      </c>
      <c r="H605" s="50">
        <v>0</v>
      </c>
      <c r="I605" s="50">
        <v>0</v>
      </c>
      <c r="J605" s="50">
        <v>0</v>
      </c>
      <c r="K605" s="50">
        <v>63254755.18</v>
      </c>
      <c r="L605" s="152">
        <f t="shared" si="29"/>
        <v>0.30258206601040716</v>
      </c>
      <c r="M605" s="50">
        <v>63254755.18</v>
      </c>
      <c r="N605" s="50">
        <v>145795159.81999999</v>
      </c>
      <c r="O605" s="418">
        <f t="shared" si="30"/>
        <v>0.69741793398959284</v>
      </c>
    </row>
    <row r="606" spans="1:15" s="143" customFormat="1" ht="15" hidden="1" customHeight="1" x14ac:dyDescent="0.25">
      <c r="A606" s="625"/>
      <c r="B606" s="44" t="s">
        <v>83</v>
      </c>
      <c r="C606" s="44" t="s">
        <v>84</v>
      </c>
      <c r="D606" s="44" t="s">
        <v>85</v>
      </c>
      <c r="E606" s="50">
        <v>73318858</v>
      </c>
      <c r="F606" s="50">
        <v>71010336</v>
      </c>
      <c r="G606" s="50">
        <v>71010336</v>
      </c>
      <c r="H606" s="50">
        <v>0</v>
      </c>
      <c r="I606" s="50">
        <v>0</v>
      </c>
      <c r="J606" s="50">
        <v>0</v>
      </c>
      <c r="K606" s="50">
        <v>33397.65</v>
      </c>
      <c r="L606" s="152">
        <f t="shared" si="29"/>
        <v>4.7032096848548922E-4</v>
      </c>
      <c r="M606" s="50">
        <v>33397.65</v>
      </c>
      <c r="N606" s="50">
        <v>70976938.349999994</v>
      </c>
      <c r="O606" s="418">
        <f t="shared" si="30"/>
        <v>0.99952967903151446</v>
      </c>
    </row>
    <row r="607" spans="1:15" s="143" customFormat="1" ht="15" hidden="1" customHeight="1" x14ac:dyDescent="0.25">
      <c r="A607" s="625"/>
      <c r="B607" s="44" t="s">
        <v>86</v>
      </c>
      <c r="C607" s="44" t="s">
        <v>87</v>
      </c>
      <c r="D607" s="44" t="s">
        <v>69</v>
      </c>
      <c r="E607" s="50">
        <v>67452900</v>
      </c>
      <c r="F607" s="50">
        <v>67452900</v>
      </c>
      <c r="G607" s="50">
        <v>67452900</v>
      </c>
      <c r="H607" s="50">
        <v>0</v>
      </c>
      <c r="I607" s="50">
        <v>0</v>
      </c>
      <c r="J607" s="50">
        <v>0</v>
      </c>
      <c r="K607" s="50">
        <v>49770797.770000003</v>
      </c>
      <c r="L607" s="152">
        <f t="shared" si="29"/>
        <v>0.73786001446935567</v>
      </c>
      <c r="M607" s="50">
        <v>49770797.770000003</v>
      </c>
      <c r="N607" s="50">
        <v>17682102.23</v>
      </c>
      <c r="O607" s="418">
        <f t="shared" si="30"/>
        <v>0.26213998553064433</v>
      </c>
    </row>
    <row r="608" spans="1:15" s="143" customFormat="1" ht="15" hidden="1" customHeight="1" x14ac:dyDescent="0.25">
      <c r="A608" s="625"/>
      <c r="B608" s="44" t="s">
        <v>88</v>
      </c>
      <c r="C608" s="44" t="s">
        <v>89</v>
      </c>
      <c r="D608" s="44" t="s">
        <v>69</v>
      </c>
      <c r="E608" s="50">
        <v>50235300</v>
      </c>
      <c r="F608" s="50">
        <v>49689780</v>
      </c>
      <c r="G608" s="50">
        <v>49689780</v>
      </c>
      <c r="H608" s="50">
        <v>0</v>
      </c>
      <c r="I608" s="50">
        <v>0</v>
      </c>
      <c r="J608" s="50">
        <v>0</v>
      </c>
      <c r="K608" s="50">
        <v>13717411.140000001</v>
      </c>
      <c r="L608" s="152">
        <f t="shared" si="29"/>
        <v>0.27606101576621994</v>
      </c>
      <c r="M608" s="50">
        <v>13717411.140000001</v>
      </c>
      <c r="N608" s="50">
        <v>35972368.859999999</v>
      </c>
      <c r="O608" s="418">
        <f t="shared" si="30"/>
        <v>0.72393898423378</v>
      </c>
    </row>
    <row r="609" spans="1:15" s="143" customFormat="1" ht="15" hidden="1" customHeight="1" x14ac:dyDescent="0.25">
      <c r="A609" s="625"/>
      <c r="B609" s="44" t="s">
        <v>90</v>
      </c>
      <c r="C609" s="44" t="s">
        <v>91</v>
      </c>
      <c r="D609" s="44" t="s">
        <v>69</v>
      </c>
      <c r="E609" s="50">
        <v>85817390</v>
      </c>
      <c r="F609" s="50">
        <v>83115337</v>
      </c>
      <c r="G609" s="50">
        <v>83115337</v>
      </c>
      <c r="H609" s="50">
        <v>0</v>
      </c>
      <c r="I609" s="50">
        <v>54768872</v>
      </c>
      <c r="J609" s="50">
        <v>0</v>
      </c>
      <c r="K609" s="50">
        <v>28346465</v>
      </c>
      <c r="L609" s="152">
        <f t="shared" si="29"/>
        <v>0.34104975114280051</v>
      </c>
      <c r="M609" s="50">
        <v>28346465</v>
      </c>
      <c r="N609" s="50">
        <v>0</v>
      </c>
      <c r="O609" s="418">
        <f t="shared" si="30"/>
        <v>0</v>
      </c>
    </row>
    <row r="610" spans="1:15" s="143" customFormat="1" ht="15" hidden="1" customHeight="1" x14ac:dyDescent="0.25">
      <c r="A610" s="625"/>
      <c r="B610" s="44" t="s">
        <v>427</v>
      </c>
      <c r="C610" s="44" t="s">
        <v>697</v>
      </c>
      <c r="D610" s="44" t="s">
        <v>69</v>
      </c>
      <c r="E610" s="50">
        <v>81416555</v>
      </c>
      <c r="F610" s="50">
        <v>78853069</v>
      </c>
      <c r="G610" s="50">
        <v>78853069</v>
      </c>
      <c r="H610" s="50">
        <v>0</v>
      </c>
      <c r="I610" s="50">
        <v>51960283</v>
      </c>
      <c r="J610" s="50">
        <v>0</v>
      </c>
      <c r="K610" s="50">
        <v>26892786</v>
      </c>
      <c r="L610" s="152">
        <f t="shared" si="29"/>
        <v>0.34104932555003026</v>
      </c>
      <c r="M610" s="50">
        <v>26892786</v>
      </c>
      <c r="N610" s="50">
        <v>0</v>
      </c>
      <c r="O610" s="418">
        <f t="shared" si="30"/>
        <v>0</v>
      </c>
    </row>
    <row r="611" spans="1:15" s="143" customFormat="1" ht="15" hidden="1" customHeight="1" x14ac:dyDescent="0.25">
      <c r="A611" s="625"/>
      <c r="B611" s="44" t="s">
        <v>444</v>
      </c>
      <c r="C611" s="44" t="s">
        <v>95</v>
      </c>
      <c r="D611" s="44" t="s">
        <v>69</v>
      </c>
      <c r="E611" s="50">
        <v>4400835</v>
      </c>
      <c r="F611" s="50">
        <v>4262268</v>
      </c>
      <c r="G611" s="50">
        <v>4262268</v>
      </c>
      <c r="H611" s="50">
        <v>0</v>
      </c>
      <c r="I611" s="50">
        <v>2808589</v>
      </c>
      <c r="J611" s="50">
        <v>0</v>
      </c>
      <c r="K611" s="50">
        <v>1453679</v>
      </c>
      <c r="L611" s="152">
        <f t="shared" si="29"/>
        <v>0.34105762471998474</v>
      </c>
      <c r="M611" s="50">
        <v>1453679</v>
      </c>
      <c r="N611" s="50">
        <v>0</v>
      </c>
      <c r="O611" s="418">
        <f t="shared" si="30"/>
        <v>0</v>
      </c>
    </row>
    <row r="612" spans="1:15" s="143" customFormat="1" ht="15" hidden="1" customHeight="1" x14ac:dyDescent="0.25">
      <c r="A612" s="625"/>
      <c r="B612" s="44" t="s">
        <v>96</v>
      </c>
      <c r="C612" s="44" t="s">
        <v>97</v>
      </c>
      <c r="D612" s="44" t="s">
        <v>69</v>
      </c>
      <c r="E612" s="50">
        <v>85817289</v>
      </c>
      <c r="F612" s="50">
        <v>83115238</v>
      </c>
      <c r="G612" s="50">
        <v>83115238</v>
      </c>
      <c r="H612" s="50">
        <v>0</v>
      </c>
      <c r="I612" s="50">
        <v>54953671</v>
      </c>
      <c r="J612" s="50">
        <v>0</v>
      </c>
      <c r="K612" s="50">
        <v>28161567</v>
      </c>
      <c r="L612" s="152">
        <f t="shared" si="29"/>
        <v>0.33882555927951502</v>
      </c>
      <c r="M612" s="50">
        <v>28161567</v>
      </c>
      <c r="N612" s="50">
        <v>0</v>
      </c>
      <c r="O612" s="418">
        <f t="shared" si="30"/>
        <v>0</v>
      </c>
    </row>
    <row r="613" spans="1:15" s="143" customFormat="1" ht="15" hidden="1" customHeight="1" x14ac:dyDescent="0.25">
      <c r="A613" s="625"/>
      <c r="B613" s="44" t="s">
        <v>462</v>
      </c>
      <c r="C613" s="44" t="s">
        <v>698</v>
      </c>
      <c r="D613" s="44" t="s">
        <v>69</v>
      </c>
      <c r="E613" s="50">
        <v>46209371</v>
      </c>
      <c r="F613" s="50">
        <v>44754420</v>
      </c>
      <c r="G613" s="50">
        <v>44754420</v>
      </c>
      <c r="H613" s="50">
        <v>0</v>
      </c>
      <c r="I613" s="50">
        <v>29675823</v>
      </c>
      <c r="J613" s="50">
        <v>0</v>
      </c>
      <c r="K613" s="50">
        <v>15078597</v>
      </c>
      <c r="L613" s="152">
        <f t="shared" si="29"/>
        <v>0.33691861049701904</v>
      </c>
      <c r="M613" s="50">
        <v>15078597</v>
      </c>
      <c r="N613" s="50">
        <v>0</v>
      </c>
      <c r="O613" s="418">
        <f t="shared" si="30"/>
        <v>0</v>
      </c>
    </row>
    <row r="614" spans="1:15" s="143" customFormat="1" ht="15" hidden="1" customHeight="1" x14ac:dyDescent="0.25">
      <c r="A614" s="625"/>
      <c r="B614" s="44" t="s">
        <v>479</v>
      </c>
      <c r="C614" s="44" t="s">
        <v>699</v>
      </c>
      <c r="D614" s="44" t="s">
        <v>69</v>
      </c>
      <c r="E614" s="50">
        <v>13202606</v>
      </c>
      <c r="F614" s="50">
        <v>12786906</v>
      </c>
      <c r="G614" s="50">
        <v>12786906</v>
      </c>
      <c r="H614" s="50">
        <v>0</v>
      </c>
      <c r="I614" s="50">
        <v>8425922</v>
      </c>
      <c r="J614" s="50">
        <v>0</v>
      </c>
      <c r="K614" s="50">
        <v>4360984</v>
      </c>
      <c r="L614" s="152">
        <f t="shared" si="29"/>
        <v>0.34105075926889583</v>
      </c>
      <c r="M614" s="50">
        <v>4360984</v>
      </c>
      <c r="N614" s="50">
        <v>0</v>
      </c>
      <c r="O614" s="418">
        <f t="shared" si="30"/>
        <v>0</v>
      </c>
    </row>
    <row r="615" spans="1:15" s="143" customFormat="1" ht="15" hidden="1" customHeight="1" x14ac:dyDescent="0.25">
      <c r="A615" s="625"/>
      <c r="B615" s="44" t="s">
        <v>496</v>
      </c>
      <c r="C615" s="44" t="s">
        <v>700</v>
      </c>
      <c r="D615" s="44" t="s">
        <v>69</v>
      </c>
      <c r="E615" s="50">
        <v>26405312</v>
      </c>
      <c r="F615" s="50">
        <v>25573912</v>
      </c>
      <c r="G615" s="50">
        <v>25573912</v>
      </c>
      <c r="H615" s="50">
        <v>0</v>
      </c>
      <c r="I615" s="50">
        <v>16851926</v>
      </c>
      <c r="J615" s="50">
        <v>0</v>
      </c>
      <c r="K615" s="50">
        <v>8721986</v>
      </c>
      <c r="L615" s="152">
        <f t="shared" si="29"/>
        <v>0.34105012952261665</v>
      </c>
      <c r="M615" s="50">
        <v>8721986</v>
      </c>
      <c r="N615" s="50">
        <v>0</v>
      </c>
      <c r="O615" s="418">
        <f t="shared" si="30"/>
        <v>0</v>
      </c>
    </row>
    <row r="616" spans="1:15" s="143" customFormat="1" x14ac:dyDescent="0.25">
      <c r="A616" s="625"/>
      <c r="B616" s="44" t="s">
        <v>104</v>
      </c>
      <c r="C616" s="44" t="s">
        <v>105</v>
      </c>
      <c r="D616" s="44" t="s">
        <v>69</v>
      </c>
      <c r="E616" s="50">
        <v>143937951</v>
      </c>
      <c r="F616" s="50">
        <v>120283951</v>
      </c>
      <c r="G616" s="50">
        <v>50910556</v>
      </c>
      <c r="H616" s="50">
        <v>3378845.4</v>
      </c>
      <c r="I616" s="50">
        <v>26835679.699999999</v>
      </c>
      <c r="J616" s="50">
        <v>43640.11</v>
      </c>
      <c r="K616" s="50">
        <v>7113100.7699999996</v>
      </c>
      <c r="L616" s="152">
        <f t="shared" si="29"/>
        <v>5.9135908912735992E-2</v>
      </c>
      <c r="M616" s="50">
        <v>7078070.7699999996</v>
      </c>
      <c r="N616" s="50">
        <v>82912685.019999996</v>
      </c>
      <c r="O616" s="418">
        <f t="shared" si="30"/>
        <v>0.68930796112608572</v>
      </c>
    </row>
    <row r="617" spans="1:15" s="143" customFormat="1" ht="15" hidden="1" customHeight="1" x14ac:dyDescent="0.25">
      <c r="A617" s="625"/>
      <c r="B617" s="44" t="s">
        <v>106</v>
      </c>
      <c r="C617" s="44" t="s">
        <v>107</v>
      </c>
      <c r="D617" s="44" t="s">
        <v>69</v>
      </c>
      <c r="E617" s="50">
        <v>60469231</v>
      </c>
      <c r="F617" s="50">
        <v>50315823</v>
      </c>
      <c r="G617" s="50">
        <v>21412467</v>
      </c>
      <c r="H617" s="50">
        <v>2075165.4</v>
      </c>
      <c r="I617" s="50">
        <v>11030843.390000001</v>
      </c>
      <c r="J617" s="50">
        <v>43640.11</v>
      </c>
      <c r="K617" s="50">
        <v>2820116.36</v>
      </c>
      <c r="L617" s="152">
        <f t="shared" si="29"/>
        <v>5.6048300352753842E-2</v>
      </c>
      <c r="M617" s="50">
        <v>2820116.36</v>
      </c>
      <c r="N617" s="50">
        <v>34346057.740000002</v>
      </c>
      <c r="O617" s="418">
        <f t="shared" si="30"/>
        <v>0.6826094793282026</v>
      </c>
    </row>
    <row r="618" spans="1:15" s="143" customFormat="1" ht="15" hidden="1" customHeight="1" x14ac:dyDescent="0.25">
      <c r="A618" s="625"/>
      <c r="B618" s="44" t="s">
        <v>108</v>
      </c>
      <c r="C618" s="44" t="s">
        <v>109</v>
      </c>
      <c r="D618" s="44" t="s">
        <v>69</v>
      </c>
      <c r="E618" s="50">
        <v>60469231</v>
      </c>
      <c r="F618" s="50">
        <v>50315823</v>
      </c>
      <c r="G618" s="50">
        <v>21412467</v>
      </c>
      <c r="H618" s="50">
        <v>2075165.4</v>
      </c>
      <c r="I618" s="50">
        <v>11030843.390000001</v>
      </c>
      <c r="J618" s="50">
        <v>43640.11</v>
      </c>
      <c r="K618" s="50">
        <v>2820116.36</v>
      </c>
      <c r="L618" s="152">
        <f t="shared" si="29"/>
        <v>5.6048300352753842E-2</v>
      </c>
      <c r="M618" s="50">
        <v>2820116.36</v>
      </c>
      <c r="N618" s="50">
        <v>34346057.740000002</v>
      </c>
      <c r="O618" s="418">
        <f t="shared" si="30"/>
        <v>0.6826094793282026</v>
      </c>
    </row>
    <row r="619" spans="1:15" s="143" customFormat="1" ht="15" hidden="1" customHeight="1" x14ac:dyDescent="0.25">
      <c r="A619" s="625"/>
      <c r="B619" s="44" t="s">
        <v>112</v>
      </c>
      <c r="C619" s="44" t="s">
        <v>113</v>
      </c>
      <c r="D619" s="44" t="s">
        <v>69</v>
      </c>
      <c r="E619" s="50">
        <v>12862800</v>
      </c>
      <c r="F619" s="50">
        <v>13016208</v>
      </c>
      <c r="G619" s="50">
        <v>7171108</v>
      </c>
      <c r="H619" s="50">
        <v>0</v>
      </c>
      <c r="I619" s="50">
        <v>3358938.31</v>
      </c>
      <c r="J619" s="50">
        <v>0</v>
      </c>
      <c r="K619" s="50">
        <v>1649027.41</v>
      </c>
      <c r="L619" s="152">
        <f t="shared" si="29"/>
        <v>0.12669030872893242</v>
      </c>
      <c r="M619" s="50">
        <v>1649027.41</v>
      </c>
      <c r="N619" s="50">
        <v>8008242.2800000003</v>
      </c>
      <c r="O619" s="418">
        <f t="shared" si="30"/>
        <v>0.61525156020862604</v>
      </c>
    </row>
    <row r="620" spans="1:15" s="143" customFormat="1" ht="15" hidden="1" customHeight="1" x14ac:dyDescent="0.25">
      <c r="A620" s="625"/>
      <c r="B620" s="44" t="s">
        <v>114</v>
      </c>
      <c r="C620" s="44" t="s">
        <v>115</v>
      </c>
      <c r="D620" s="44" t="s">
        <v>69</v>
      </c>
      <c r="E620" s="50">
        <v>0</v>
      </c>
      <c r="F620" s="50">
        <v>153408</v>
      </c>
      <c r="G620" s="50">
        <v>153408</v>
      </c>
      <c r="H620" s="50">
        <v>0</v>
      </c>
      <c r="I620" s="50">
        <v>64262</v>
      </c>
      <c r="J620" s="50">
        <v>0</v>
      </c>
      <c r="K620" s="50">
        <v>89146</v>
      </c>
      <c r="L620" s="152">
        <f t="shared" si="29"/>
        <v>0.58110398414685027</v>
      </c>
      <c r="M620" s="50">
        <v>89146</v>
      </c>
      <c r="N620" s="50">
        <v>0</v>
      </c>
      <c r="O620" s="418">
        <f t="shared" si="30"/>
        <v>0</v>
      </c>
    </row>
    <row r="621" spans="1:15" s="143" customFormat="1" ht="15" hidden="1" customHeight="1" x14ac:dyDescent="0.25">
      <c r="A621" s="625"/>
      <c r="B621" s="44" t="s">
        <v>116</v>
      </c>
      <c r="C621" s="44" t="s">
        <v>117</v>
      </c>
      <c r="D621" s="44" t="s">
        <v>69</v>
      </c>
      <c r="E621" s="50">
        <v>500000</v>
      </c>
      <c r="F621" s="50">
        <v>500000</v>
      </c>
      <c r="G621" s="50">
        <v>427000</v>
      </c>
      <c r="H621" s="50">
        <v>0</v>
      </c>
      <c r="I621" s="50">
        <v>68799.25</v>
      </c>
      <c r="J621" s="50">
        <v>0</v>
      </c>
      <c r="K621" s="50">
        <v>357932.75</v>
      </c>
      <c r="L621" s="152">
        <f t="shared" si="29"/>
        <v>0.71586550000000004</v>
      </c>
      <c r="M621" s="50">
        <v>357932.75</v>
      </c>
      <c r="N621" s="50">
        <v>73268</v>
      </c>
      <c r="O621" s="418">
        <f t="shared" si="30"/>
        <v>0.146536</v>
      </c>
    </row>
    <row r="622" spans="1:15" s="143" customFormat="1" ht="15" hidden="1" customHeight="1" x14ac:dyDescent="0.25">
      <c r="A622" s="625"/>
      <c r="B622" s="44" t="s">
        <v>120</v>
      </c>
      <c r="C622" s="44" t="s">
        <v>121</v>
      </c>
      <c r="D622" s="44" t="s">
        <v>69</v>
      </c>
      <c r="E622" s="50">
        <v>12362800</v>
      </c>
      <c r="F622" s="50">
        <v>12362800</v>
      </c>
      <c r="G622" s="50">
        <v>6590700</v>
      </c>
      <c r="H622" s="50">
        <v>0</v>
      </c>
      <c r="I622" s="50">
        <v>3225877.06</v>
      </c>
      <c r="J622" s="50">
        <v>0</v>
      </c>
      <c r="K622" s="50">
        <v>1201948.6599999999</v>
      </c>
      <c r="L622" s="152">
        <f t="shared" si="29"/>
        <v>9.7223012586145532E-2</v>
      </c>
      <c r="M622" s="50">
        <v>1201948.6599999999</v>
      </c>
      <c r="N622" s="50">
        <v>7934974.2800000003</v>
      </c>
      <c r="O622" s="418">
        <f t="shared" si="30"/>
        <v>0.64184280907237845</v>
      </c>
    </row>
    <row r="623" spans="1:15" s="143" customFormat="1" ht="15" hidden="1" customHeight="1" x14ac:dyDescent="0.25">
      <c r="A623" s="625"/>
      <c r="B623" s="44" t="s">
        <v>124</v>
      </c>
      <c r="C623" s="44" t="s">
        <v>125</v>
      </c>
      <c r="D623" s="44" t="s">
        <v>69</v>
      </c>
      <c r="E623" s="50">
        <v>4286000</v>
      </c>
      <c r="F623" s="50">
        <v>2002000</v>
      </c>
      <c r="G623" s="50">
        <v>1507500</v>
      </c>
      <c r="H623" s="50">
        <v>1303680</v>
      </c>
      <c r="I623" s="50">
        <v>178600</v>
      </c>
      <c r="J623" s="50">
        <v>0</v>
      </c>
      <c r="K623" s="50">
        <v>0</v>
      </c>
      <c r="L623" s="152">
        <f t="shared" si="29"/>
        <v>0</v>
      </c>
      <c r="M623" s="50">
        <v>0</v>
      </c>
      <c r="N623" s="50">
        <v>519720</v>
      </c>
      <c r="O623" s="418">
        <f t="shared" si="30"/>
        <v>0.2596003996003996</v>
      </c>
    </row>
    <row r="624" spans="1:15" s="143" customFormat="1" ht="15" hidden="1" customHeight="1" x14ac:dyDescent="0.25">
      <c r="A624" s="625"/>
      <c r="B624" s="44" t="s">
        <v>126</v>
      </c>
      <c r="C624" s="44" t="s">
        <v>127</v>
      </c>
      <c r="D624" s="44" t="s">
        <v>69</v>
      </c>
      <c r="E624" s="50">
        <v>450000</v>
      </c>
      <c r="F624" s="50">
        <v>350000</v>
      </c>
      <c r="G624" s="50">
        <v>182500</v>
      </c>
      <c r="H624" s="50">
        <v>0</v>
      </c>
      <c r="I624" s="50">
        <v>178600</v>
      </c>
      <c r="J624" s="50">
        <v>0</v>
      </c>
      <c r="K624" s="50">
        <v>0</v>
      </c>
      <c r="L624" s="152">
        <f t="shared" si="29"/>
        <v>0</v>
      </c>
      <c r="M624" s="50">
        <v>0</v>
      </c>
      <c r="N624" s="50">
        <v>171400</v>
      </c>
      <c r="O624" s="418">
        <f t="shared" si="30"/>
        <v>0.48971428571428571</v>
      </c>
    </row>
    <row r="625" spans="1:15" s="143" customFormat="1" ht="15" hidden="1" customHeight="1" x14ac:dyDescent="0.25">
      <c r="A625" s="625"/>
      <c r="B625" s="44" t="s">
        <v>532</v>
      </c>
      <c r="C625" s="44" t="s">
        <v>718</v>
      </c>
      <c r="D625" s="44" t="s">
        <v>69</v>
      </c>
      <c r="E625" s="50">
        <v>1336000</v>
      </c>
      <c r="F625" s="50">
        <v>652000</v>
      </c>
      <c r="G625" s="50">
        <v>400000</v>
      </c>
      <c r="H625" s="50">
        <v>379680</v>
      </c>
      <c r="I625" s="50">
        <v>0</v>
      </c>
      <c r="J625" s="50">
        <v>0</v>
      </c>
      <c r="K625" s="50">
        <v>0</v>
      </c>
      <c r="L625" s="152">
        <f t="shared" si="29"/>
        <v>0</v>
      </c>
      <c r="M625" s="50">
        <v>0</v>
      </c>
      <c r="N625" s="50">
        <v>272320</v>
      </c>
      <c r="O625" s="418">
        <f t="shared" si="30"/>
        <v>0.4176687116564417</v>
      </c>
    </row>
    <row r="626" spans="1:15" s="143" customFormat="1" ht="15" hidden="1" customHeight="1" x14ac:dyDescent="0.25">
      <c r="A626" s="625"/>
      <c r="B626" s="44" t="s">
        <v>128</v>
      </c>
      <c r="C626" s="44" t="s">
        <v>129</v>
      </c>
      <c r="D626" s="44" t="s">
        <v>69</v>
      </c>
      <c r="E626" s="50">
        <v>2500000</v>
      </c>
      <c r="F626" s="50">
        <v>1000000</v>
      </c>
      <c r="G626" s="50">
        <v>925000</v>
      </c>
      <c r="H626" s="50">
        <v>924000</v>
      </c>
      <c r="I626" s="50">
        <v>0</v>
      </c>
      <c r="J626" s="50">
        <v>0</v>
      </c>
      <c r="K626" s="50">
        <v>0</v>
      </c>
      <c r="L626" s="152">
        <f t="shared" si="29"/>
        <v>0</v>
      </c>
      <c r="M626" s="50">
        <v>0</v>
      </c>
      <c r="N626" s="50">
        <v>76000</v>
      </c>
      <c r="O626" s="418">
        <f t="shared" si="30"/>
        <v>7.5999999999999998E-2</v>
      </c>
    </row>
    <row r="627" spans="1:15" s="143" customFormat="1" ht="15" hidden="1" customHeight="1" x14ac:dyDescent="0.25">
      <c r="A627" s="625"/>
      <c r="B627" s="44" t="s">
        <v>134</v>
      </c>
      <c r="C627" s="44" t="s">
        <v>135</v>
      </c>
      <c r="D627" s="44" t="s">
        <v>69</v>
      </c>
      <c r="E627" s="50">
        <v>3625200</v>
      </c>
      <c r="F627" s="50">
        <v>625200</v>
      </c>
      <c r="G627" s="50">
        <v>66300</v>
      </c>
      <c r="H627" s="50">
        <v>0</v>
      </c>
      <c r="I627" s="50">
        <v>0</v>
      </c>
      <c r="J627" s="50">
        <v>0</v>
      </c>
      <c r="K627" s="50">
        <v>0</v>
      </c>
      <c r="L627" s="152">
        <f t="shared" si="29"/>
        <v>0</v>
      </c>
      <c r="M627" s="50">
        <v>0</v>
      </c>
      <c r="N627" s="50">
        <v>625200</v>
      </c>
      <c r="O627" s="418">
        <f t="shared" si="30"/>
        <v>1</v>
      </c>
    </row>
    <row r="628" spans="1:15" s="143" customFormat="1" ht="15" hidden="1" customHeight="1" x14ac:dyDescent="0.25">
      <c r="A628" s="625"/>
      <c r="B628" s="44" t="s">
        <v>138</v>
      </c>
      <c r="C628" s="44" t="s">
        <v>139</v>
      </c>
      <c r="D628" s="44" t="s">
        <v>69</v>
      </c>
      <c r="E628" s="50">
        <v>3625200</v>
      </c>
      <c r="F628" s="50">
        <v>625200</v>
      </c>
      <c r="G628" s="50">
        <v>66300</v>
      </c>
      <c r="H628" s="50">
        <v>0</v>
      </c>
      <c r="I628" s="50">
        <v>0</v>
      </c>
      <c r="J628" s="50">
        <v>0</v>
      </c>
      <c r="K628" s="50">
        <v>0</v>
      </c>
      <c r="L628" s="152">
        <f t="shared" si="29"/>
        <v>0</v>
      </c>
      <c r="M628" s="50">
        <v>0</v>
      </c>
      <c r="N628" s="50">
        <v>625200</v>
      </c>
      <c r="O628" s="418">
        <f t="shared" si="30"/>
        <v>1</v>
      </c>
    </row>
    <row r="629" spans="1:15" s="143" customFormat="1" ht="15" hidden="1" customHeight="1" x14ac:dyDescent="0.25">
      <c r="A629" s="625"/>
      <c r="B629" s="44" t="s">
        <v>140</v>
      </c>
      <c r="C629" s="44" t="s">
        <v>141</v>
      </c>
      <c r="D629" s="44" t="s">
        <v>69</v>
      </c>
      <c r="E629" s="50">
        <v>18004720</v>
      </c>
      <c r="F629" s="50">
        <v>13554720</v>
      </c>
      <c r="G629" s="50">
        <v>4451180</v>
      </c>
      <c r="H629" s="50">
        <v>0</v>
      </c>
      <c r="I629" s="50">
        <v>2457470</v>
      </c>
      <c r="J629" s="50">
        <v>0</v>
      </c>
      <c r="K629" s="50">
        <v>1765750</v>
      </c>
      <c r="L629" s="152">
        <f t="shared" si="29"/>
        <v>0.13026827555272261</v>
      </c>
      <c r="M629" s="50">
        <v>1765750</v>
      </c>
      <c r="N629" s="50">
        <v>9331500</v>
      </c>
      <c r="O629" s="418">
        <f t="shared" si="30"/>
        <v>0.68843177874570627</v>
      </c>
    </row>
    <row r="630" spans="1:15" s="143" customFormat="1" ht="15" hidden="1" customHeight="1" x14ac:dyDescent="0.25">
      <c r="A630" s="625"/>
      <c r="B630" s="44" t="s">
        <v>142</v>
      </c>
      <c r="C630" s="44" t="s">
        <v>143</v>
      </c>
      <c r="D630" s="44" t="s">
        <v>69</v>
      </c>
      <c r="E630" s="50">
        <v>1560220</v>
      </c>
      <c r="F630" s="50">
        <v>1110220</v>
      </c>
      <c r="G630" s="50">
        <v>340055</v>
      </c>
      <c r="H630" s="50">
        <v>0</v>
      </c>
      <c r="I630" s="50">
        <v>155670</v>
      </c>
      <c r="J630" s="50">
        <v>0</v>
      </c>
      <c r="K630" s="50">
        <v>155850</v>
      </c>
      <c r="L630" s="152">
        <f t="shared" si="29"/>
        <v>0.14037758282142279</v>
      </c>
      <c r="M630" s="50">
        <v>155850</v>
      </c>
      <c r="N630" s="50">
        <v>798700</v>
      </c>
      <c r="O630" s="418">
        <f t="shared" si="30"/>
        <v>0.71940696438543716</v>
      </c>
    </row>
    <row r="631" spans="1:15" s="143" customFormat="1" ht="15" hidden="1" customHeight="1" x14ac:dyDescent="0.25">
      <c r="A631" s="625"/>
      <c r="B631" s="44" t="s">
        <v>144</v>
      </c>
      <c r="C631" s="44" t="s">
        <v>145</v>
      </c>
      <c r="D631" s="44" t="s">
        <v>69</v>
      </c>
      <c r="E631" s="50">
        <v>16444500</v>
      </c>
      <c r="F631" s="50">
        <v>12444500</v>
      </c>
      <c r="G631" s="50">
        <v>4111125</v>
      </c>
      <c r="H631" s="50">
        <v>0</v>
      </c>
      <c r="I631" s="50">
        <v>2301800</v>
      </c>
      <c r="J631" s="50">
        <v>0</v>
      </c>
      <c r="K631" s="50">
        <v>1609900</v>
      </c>
      <c r="L631" s="152">
        <f t="shared" si="29"/>
        <v>0.12936638675720197</v>
      </c>
      <c r="M631" s="50">
        <v>1609900</v>
      </c>
      <c r="N631" s="50">
        <v>8532800</v>
      </c>
      <c r="O631" s="418">
        <f t="shared" si="30"/>
        <v>0.68566836755193061</v>
      </c>
    </row>
    <row r="632" spans="1:15" s="143" customFormat="1" ht="15" hidden="1" customHeight="1" x14ac:dyDescent="0.25">
      <c r="A632" s="625"/>
      <c r="B632" s="44" t="s">
        <v>150</v>
      </c>
      <c r="C632" s="44" t="s">
        <v>151</v>
      </c>
      <c r="D632" s="44" t="s">
        <v>69</v>
      </c>
      <c r="E632" s="50">
        <v>6000000</v>
      </c>
      <c r="F632" s="50">
        <v>5900000</v>
      </c>
      <c r="G632" s="50">
        <v>3400000</v>
      </c>
      <c r="H632" s="50">
        <v>0</v>
      </c>
      <c r="I632" s="50">
        <v>2218178</v>
      </c>
      <c r="J632" s="50">
        <v>0</v>
      </c>
      <c r="K632" s="50">
        <v>481822</v>
      </c>
      <c r="L632" s="152">
        <f t="shared" si="29"/>
        <v>8.1664745762711863E-2</v>
      </c>
      <c r="M632" s="50">
        <v>481822</v>
      </c>
      <c r="N632" s="50">
        <v>3200000</v>
      </c>
      <c r="O632" s="418">
        <f t="shared" si="30"/>
        <v>0.5423728813559322</v>
      </c>
    </row>
    <row r="633" spans="1:15" s="143" customFormat="1" ht="15" hidden="1" customHeight="1" x14ac:dyDescent="0.25">
      <c r="A633" s="625"/>
      <c r="B633" s="44" t="s">
        <v>152</v>
      </c>
      <c r="C633" s="44" t="s">
        <v>153</v>
      </c>
      <c r="D633" s="44" t="s">
        <v>69</v>
      </c>
      <c r="E633" s="50">
        <v>6000000</v>
      </c>
      <c r="F633" s="50">
        <v>5900000</v>
      </c>
      <c r="G633" s="50">
        <v>3400000</v>
      </c>
      <c r="H633" s="50">
        <v>0</v>
      </c>
      <c r="I633" s="50">
        <v>2218178</v>
      </c>
      <c r="J633" s="50">
        <v>0</v>
      </c>
      <c r="K633" s="50">
        <v>481822</v>
      </c>
      <c r="L633" s="152">
        <f t="shared" si="29"/>
        <v>8.1664745762711863E-2</v>
      </c>
      <c r="M633" s="50">
        <v>481822</v>
      </c>
      <c r="N633" s="50">
        <v>3200000</v>
      </c>
      <c r="O633" s="418">
        <f t="shared" si="30"/>
        <v>0.5423728813559322</v>
      </c>
    </row>
    <row r="634" spans="1:15" s="143" customFormat="1" ht="15" hidden="1" customHeight="1" x14ac:dyDescent="0.25">
      <c r="A634" s="625"/>
      <c r="B634" s="44" t="s">
        <v>154</v>
      </c>
      <c r="C634" s="44" t="s">
        <v>155</v>
      </c>
      <c r="D634" s="44" t="s">
        <v>69</v>
      </c>
      <c r="E634" s="50">
        <v>27190000</v>
      </c>
      <c r="F634" s="50">
        <v>25490000</v>
      </c>
      <c r="G634" s="50">
        <v>7097500</v>
      </c>
      <c r="H634" s="50">
        <v>0</v>
      </c>
      <c r="I634" s="50">
        <v>6379700</v>
      </c>
      <c r="J634" s="50">
        <v>0</v>
      </c>
      <c r="K634" s="50">
        <v>350300</v>
      </c>
      <c r="L634" s="152">
        <f t="shared" si="29"/>
        <v>1.3742644174185956E-2</v>
      </c>
      <c r="M634" s="50">
        <v>315270</v>
      </c>
      <c r="N634" s="50">
        <v>18760000</v>
      </c>
      <c r="O634" s="418">
        <f t="shared" si="30"/>
        <v>0.73597489211455469</v>
      </c>
    </row>
    <row r="635" spans="1:15" s="143" customFormat="1" ht="15" hidden="1" customHeight="1" x14ac:dyDescent="0.25">
      <c r="A635" s="625"/>
      <c r="B635" s="44" t="s">
        <v>156</v>
      </c>
      <c r="C635" s="44" t="s">
        <v>157</v>
      </c>
      <c r="D635" s="44" t="s">
        <v>69</v>
      </c>
      <c r="E635" s="50">
        <v>27190000</v>
      </c>
      <c r="F635" s="50">
        <v>25490000</v>
      </c>
      <c r="G635" s="50">
        <v>7097500</v>
      </c>
      <c r="H635" s="50">
        <v>0</v>
      </c>
      <c r="I635" s="50">
        <v>6379700</v>
      </c>
      <c r="J635" s="50">
        <v>0</v>
      </c>
      <c r="K635" s="50">
        <v>350300</v>
      </c>
      <c r="L635" s="152">
        <f t="shared" si="29"/>
        <v>1.3742644174185956E-2</v>
      </c>
      <c r="M635" s="50">
        <v>315270</v>
      </c>
      <c r="N635" s="50">
        <v>18760000</v>
      </c>
      <c r="O635" s="418">
        <f t="shared" si="30"/>
        <v>0.73597489211455469</v>
      </c>
    </row>
    <row r="636" spans="1:15" s="143" customFormat="1" ht="15" hidden="1" customHeight="1" x14ac:dyDescent="0.25">
      <c r="A636" s="625"/>
      <c r="B636" s="44" t="s">
        <v>162</v>
      </c>
      <c r="C636" s="44" t="s">
        <v>163</v>
      </c>
      <c r="D636" s="44" t="s">
        <v>69</v>
      </c>
      <c r="E636" s="50">
        <v>9500000</v>
      </c>
      <c r="F636" s="50">
        <v>8000000</v>
      </c>
      <c r="G636" s="50">
        <v>5724501</v>
      </c>
      <c r="H636" s="50">
        <v>0</v>
      </c>
      <c r="I636" s="50">
        <v>1211950</v>
      </c>
      <c r="J636" s="50">
        <v>0</v>
      </c>
      <c r="K636" s="50">
        <v>0</v>
      </c>
      <c r="L636" s="152">
        <f t="shared" si="29"/>
        <v>0</v>
      </c>
      <c r="M636" s="50">
        <v>0</v>
      </c>
      <c r="N636" s="50">
        <v>6788050</v>
      </c>
      <c r="O636" s="418">
        <f t="shared" si="30"/>
        <v>0.84850625000000002</v>
      </c>
    </row>
    <row r="637" spans="1:15" s="143" customFormat="1" ht="15" hidden="1" customHeight="1" x14ac:dyDescent="0.25">
      <c r="A637" s="625"/>
      <c r="B637" s="44" t="s">
        <v>166</v>
      </c>
      <c r="C637" s="44" t="s">
        <v>167</v>
      </c>
      <c r="D637" s="44" t="s">
        <v>69</v>
      </c>
      <c r="E637" s="50">
        <v>4500000</v>
      </c>
      <c r="F637" s="50">
        <v>3000000</v>
      </c>
      <c r="G637" s="50">
        <v>2329501</v>
      </c>
      <c r="H637" s="50">
        <v>0</v>
      </c>
      <c r="I637" s="50">
        <v>0</v>
      </c>
      <c r="J637" s="50">
        <v>0</v>
      </c>
      <c r="K637" s="50">
        <v>0</v>
      </c>
      <c r="L637" s="152">
        <f t="shared" si="29"/>
        <v>0</v>
      </c>
      <c r="M637" s="50">
        <v>0</v>
      </c>
      <c r="N637" s="50">
        <v>3000000</v>
      </c>
      <c r="O637" s="418">
        <f t="shared" si="30"/>
        <v>1</v>
      </c>
    </row>
    <row r="638" spans="1:15" s="143" customFormat="1" ht="15" hidden="1" customHeight="1" x14ac:dyDescent="0.25">
      <c r="A638" s="625"/>
      <c r="B638" s="44" t="s">
        <v>170</v>
      </c>
      <c r="C638" s="44" t="s">
        <v>171</v>
      </c>
      <c r="D638" s="44" t="s">
        <v>69</v>
      </c>
      <c r="E638" s="50">
        <v>5000000</v>
      </c>
      <c r="F638" s="50">
        <v>5000000</v>
      </c>
      <c r="G638" s="50">
        <v>3395000</v>
      </c>
      <c r="H638" s="50">
        <v>0</v>
      </c>
      <c r="I638" s="50">
        <v>1211950</v>
      </c>
      <c r="J638" s="50">
        <v>0</v>
      </c>
      <c r="K638" s="50">
        <v>0</v>
      </c>
      <c r="L638" s="152">
        <f t="shared" si="29"/>
        <v>0</v>
      </c>
      <c r="M638" s="50">
        <v>0</v>
      </c>
      <c r="N638" s="50">
        <v>3788050</v>
      </c>
      <c r="O638" s="418">
        <f t="shared" si="30"/>
        <v>0.75761000000000001</v>
      </c>
    </row>
    <row r="639" spans="1:15" s="143" customFormat="1" ht="15" hidden="1" customHeight="1" x14ac:dyDescent="0.25">
      <c r="A639" s="625"/>
      <c r="B639" s="44" t="s">
        <v>174</v>
      </c>
      <c r="C639" s="44" t="s">
        <v>175</v>
      </c>
      <c r="D639" s="44" t="s">
        <v>69</v>
      </c>
      <c r="E639" s="50">
        <v>500000</v>
      </c>
      <c r="F639" s="50">
        <v>380000</v>
      </c>
      <c r="G639" s="50">
        <v>55000</v>
      </c>
      <c r="H639" s="50">
        <v>0</v>
      </c>
      <c r="I639" s="50">
        <v>0</v>
      </c>
      <c r="J639" s="50">
        <v>0</v>
      </c>
      <c r="K639" s="50">
        <v>46085</v>
      </c>
      <c r="L639" s="152">
        <f t="shared" si="29"/>
        <v>0.12127631578947369</v>
      </c>
      <c r="M639" s="50">
        <v>46085</v>
      </c>
      <c r="N639" s="50">
        <v>333915</v>
      </c>
      <c r="O639" s="418">
        <f t="shared" si="30"/>
        <v>0.87872368421052627</v>
      </c>
    </row>
    <row r="640" spans="1:15" s="143" customFormat="1" ht="15" hidden="1" customHeight="1" x14ac:dyDescent="0.25">
      <c r="A640" s="625"/>
      <c r="B640" s="44" t="s">
        <v>176</v>
      </c>
      <c r="C640" s="44" t="s">
        <v>177</v>
      </c>
      <c r="D640" s="44" t="s">
        <v>69</v>
      </c>
      <c r="E640" s="50">
        <v>500000</v>
      </c>
      <c r="F640" s="50">
        <v>380000</v>
      </c>
      <c r="G640" s="50">
        <v>55000</v>
      </c>
      <c r="H640" s="50">
        <v>0</v>
      </c>
      <c r="I640" s="50">
        <v>0</v>
      </c>
      <c r="J640" s="50">
        <v>0</v>
      </c>
      <c r="K640" s="50">
        <v>46085</v>
      </c>
      <c r="L640" s="152">
        <f t="shared" si="29"/>
        <v>0.12127631578947369</v>
      </c>
      <c r="M640" s="50">
        <v>46085</v>
      </c>
      <c r="N640" s="50">
        <v>333915</v>
      </c>
      <c r="O640" s="418">
        <f t="shared" si="30"/>
        <v>0.87872368421052627</v>
      </c>
    </row>
    <row r="641" spans="1:15" s="143" customFormat="1" ht="15" hidden="1" customHeight="1" x14ac:dyDescent="0.25">
      <c r="A641" s="625"/>
      <c r="B641" s="44" t="s">
        <v>178</v>
      </c>
      <c r="C641" s="44" t="s">
        <v>179</v>
      </c>
      <c r="D641" s="44" t="s">
        <v>69</v>
      </c>
      <c r="E641" s="50">
        <v>1500000</v>
      </c>
      <c r="F641" s="50">
        <v>1000000</v>
      </c>
      <c r="G641" s="50">
        <v>25000</v>
      </c>
      <c r="H641" s="50">
        <v>0</v>
      </c>
      <c r="I641" s="50">
        <v>0</v>
      </c>
      <c r="J641" s="50">
        <v>0</v>
      </c>
      <c r="K641" s="50">
        <v>0</v>
      </c>
      <c r="L641" s="152">
        <f t="shared" si="29"/>
        <v>0</v>
      </c>
      <c r="M641" s="50">
        <v>0</v>
      </c>
      <c r="N641" s="50">
        <v>1000000</v>
      </c>
      <c r="O641" s="418">
        <f t="shared" si="30"/>
        <v>1</v>
      </c>
    </row>
    <row r="642" spans="1:15" s="143" customFormat="1" ht="15" hidden="1" customHeight="1" x14ac:dyDescent="0.25">
      <c r="A642" s="625"/>
      <c r="B642" s="44" t="s">
        <v>182</v>
      </c>
      <c r="C642" s="44" t="s">
        <v>183</v>
      </c>
      <c r="D642" s="44" t="s">
        <v>69</v>
      </c>
      <c r="E642" s="50">
        <v>1500000</v>
      </c>
      <c r="F642" s="50">
        <v>1000000</v>
      </c>
      <c r="G642" s="50">
        <v>25000</v>
      </c>
      <c r="H642" s="50">
        <v>0</v>
      </c>
      <c r="I642" s="50">
        <v>0</v>
      </c>
      <c r="J642" s="50">
        <v>0</v>
      </c>
      <c r="K642" s="50">
        <v>0</v>
      </c>
      <c r="L642" s="152">
        <f t="shared" si="29"/>
        <v>0</v>
      </c>
      <c r="M642" s="50">
        <v>0</v>
      </c>
      <c r="N642" s="50">
        <v>1000000</v>
      </c>
      <c r="O642" s="418">
        <f t="shared" si="30"/>
        <v>1</v>
      </c>
    </row>
    <row r="643" spans="1:15" s="143" customFormat="1" x14ac:dyDescent="0.25">
      <c r="A643" s="625"/>
      <c r="B643" s="44" t="s">
        <v>184</v>
      </c>
      <c r="C643" s="44" t="s">
        <v>185</v>
      </c>
      <c r="D643" s="44" t="s">
        <v>69</v>
      </c>
      <c r="E643" s="50">
        <v>52884335</v>
      </c>
      <c r="F643" s="50">
        <v>36944335</v>
      </c>
      <c r="G643" s="50">
        <v>12906661.08</v>
      </c>
      <c r="H643" s="50">
        <v>0</v>
      </c>
      <c r="I643" s="50">
        <v>6033824.0199999996</v>
      </c>
      <c r="J643" s="50">
        <v>0</v>
      </c>
      <c r="K643" s="50">
        <v>5545971.4000000004</v>
      </c>
      <c r="L643" s="152">
        <f t="shared" si="29"/>
        <v>0.15011696380514092</v>
      </c>
      <c r="M643" s="50">
        <v>5545971.4000000004</v>
      </c>
      <c r="N643" s="50">
        <v>25364539.579999998</v>
      </c>
      <c r="O643" s="418">
        <f t="shared" si="30"/>
        <v>0.68656099994762387</v>
      </c>
    </row>
    <row r="644" spans="1:15" s="143" customFormat="1" ht="15" hidden="1" customHeight="1" x14ac:dyDescent="0.25">
      <c r="A644" s="625"/>
      <c r="B644" s="44" t="s">
        <v>186</v>
      </c>
      <c r="C644" s="44" t="s">
        <v>187</v>
      </c>
      <c r="D644" s="44" t="s">
        <v>69</v>
      </c>
      <c r="E644" s="50">
        <v>21308004</v>
      </c>
      <c r="F644" s="50">
        <v>15308004</v>
      </c>
      <c r="G644" s="50">
        <v>5637970</v>
      </c>
      <c r="H644" s="50">
        <v>0</v>
      </c>
      <c r="I644" s="50">
        <v>2325341.1</v>
      </c>
      <c r="J644" s="50">
        <v>0</v>
      </c>
      <c r="K644" s="50">
        <v>3310997.3</v>
      </c>
      <c r="L644" s="152">
        <f t="shared" si="29"/>
        <v>0.21629190193574549</v>
      </c>
      <c r="M644" s="50">
        <v>3310997.3</v>
      </c>
      <c r="N644" s="50">
        <v>9671665.5999999996</v>
      </c>
      <c r="O644" s="418">
        <f t="shared" si="30"/>
        <v>0.63180448607146955</v>
      </c>
    </row>
    <row r="645" spans="1:15" s="143" customFormat="1" ht="15" hidden="1" customHeight="1" x14ac:dyDescent="0.25">
      <c r="A645" s="625"/>
      <c r="B645" s="44" t="s">
        <v>188</v>
      </c>
      <c r="C645" s="44" t="s">
        <v>189</v>
      </c>
      <c r="D645" s="44" t="s">
        <v>69</v>
      </c>
      <c r="E645" s="50">
        <v>9500000</v>
      </c>
      <c r="F645" s="50">
        <v>8500000</v>
      </c>
      <c r="G645" s="50">
        <v>1701631</v>
      </c>
      <c r="H645" s="50">
        <v>0</v>
      </c>
      <c r="I645" s="50">
        <v>683095.98</v>
      </c>
      <c r="J645" s="50">
        <v>0</v>
      </c>
      <c r="K645" s="50">
        <v>1016904.02</v>
      </c>
      <c r="L645" s="152">
        <f t="shared" si="29"/>
        <v>0.11963576705882353</v>
      </c>
      <c r="M645" s="50">
        <v>1016904.02</v>
      </c>
      <c r="N645" s="50">
        <v>6800000</v>
      </c>
      <c r="O645" s="418">
        <f t="shared" si="30"/>
        <v>0.8</v>
      </c>
    </row>
    <row r="646" spans="1:15" s="143" customFormat="1" ht="15" hidden="1" customHeight="1" x14ac:dyDescent="0.25">
      <c r="A646" s="625"/>
      <c r="B646" s="44" t="s">
        <v>192</v>
      </c>
      <c r="C646" s="44" t="s">
        <v>193</v>
      </c>
      <c r="D646" s="44" t="s">
        <v>69</v>
      </c>
      <c r="E646" s="50">
        <v>11808004</v>
      </c>
      <c r="F646" s="50">
        <v>6808004</v>
      </c>
      <c r="G646" s="50">
        <v>3936339</v>
      </c>
      <c r="H646" s="50">
        <v>0</v>
      </c>
      <c r="I646" s="50">
        <v>1642245.1200000001</v>
      </c>
      <c r="J646" s="50">
        <v>0</v>
      </c>
      <c r="K646" s="50">
        <v>2294093.2799999998</v>
      </c>
      <c r="L646" s="152">
        <f t="shared" si="29"/>
        <v>0.33697002528200626</v>
      </c>
      <c r="M646" s="50">
        <v>2294093.2799999998</v>
      </c>
      <c r="N646" s="50">
        <v>2871665.6</v>
      </c>
      <c r="O646" s="418">
        <f t="shared" si="30"/>
        <v>0.42180727273368229</v>
      </c>
    </row>
    <row r="647" spans="1:15" s="143" customFormat="1" ht="15" hidden="1" customHeight="1" x14ac:dyDescent="0.25">
      <c r="A647" s="625"/>
      <c r="B647" s="44" t="s">
        <v>196</v>
      </c>
      <c r="C647" s="44" t="s">
        <v>197</v>
      </c>
      <c r="D647" s="44" t="s">
        <v>69</v>
      </c>
      <c r="E647" s="50">
        <v>7008325</v>
      </c>
      <c r="F647" s="50">
        <v>6008325</v>
      </c>
      <c r="G647" s="50">
        <v>2502082</v>
      </c>
      <c r="H647" s="50">
        <v>0</v>
      </c>
      <c r="I647" s="50">
        <v>2320401.7000000002</v>
      </c>
      <c r="J647" s="50">
        <v>0</v>
      </c>
      <c r="K647" s="50">
        <v>0</v>
      </c>
      <c r="L647" s="152">
        <f t="shared" si="29"/>
        <v>0</v>
      </c>
      <c r="M647" s="50">
        <v>0</v>
      </c>
      <c r="N647" s="50">
        <v>3687923.3</v>
      </c>
      <c r="O647" s="418">
        <f t="shared" si="30"/>
        <v>0.6138022327354129</v>
      </c>
    </row>
    <row r="648" spans="1:15" s="143" customFormat="1" ht="15" hidden="1" customHeight="1" x14ac:dyDescent="0.25">
      <c r="A648" s="625"/>
      <c r="B648" s="44" t="s">
        <v>198</v>
      </c>
      <c r="C648" s="44" t="s">
        <v>199</v>
      </c>
      <c r="D648" s="44" t="s">
        <v>69</v>
      </c>
      <c r="E648" s="50">
        <v>7008325</v>
      </c>
      <c r="F648" s="50">
        <v>6008325</v>
      </c>
      <c r="G648" s="50">
        <v>2502082</v>
      </c>
      <c r="H648" s="50">
        <v>0</v>
      </c>
      <c r="I648" s="50">
        <v>2320401.7000000002</v>
      </c>
      <c r="J648" s="50">
        <v>0</v>
      </c>
      <c r="K648" s="50">
        <v>0</v>
      </c>
      <c r="L648" s="152">
        <f t="shared" si="29"/>
        <v>0</v>
      </c>
      <c r="M648" s="50">
        <v>0</v>
      </c>
      <c r="N648" s="50">
        <v>3687923.3</v>
      </c>
      <c r="O648" s="418">
        <f t="shared" si="30"/>
        <v>0.6138022327354129</v>
      </c>
    </row>
    <row r="649" spans="1:15" s="143" customFormat="1" ht="15" hidden="1" customHeight="1" x14ac:dyDescent="0.25">
      <c r="A649" s="625"/>
      <c r="B649" s="44" t="s">
        <v>200</v>
      </c>
      <c r="C649" s="44" t="s">
        <v>201</v>
      </c>
      <c r="D649" s="44" t="s">
        <v>69</v>
      </c>
      <c r="E649" s="50">
        <v>900000</v>
      </c>
      <c r="F649" s="50">
        <v>160000</v>
      </c>
      <c r="G649" s="50">
        <v>159000.01</v>
      </c>
      <c r="H649" s="50">
        <v>0</v>
      </c>
      <c r="I649" s="50">
        <v>132953.99</v>
      </c>
      <c r="J649" s="50">
        <v>0</v>
      </c>
      <c r="K649" s="50">
        <v>0</v>
      </c>
      <c r="L649" s="152">
        <f t="shared" si="29"/>
        <v>0</v>
      </c>
      <c r="M649" s="50">
        <v>0</v>
      </c>
      <c r="N649" s="50">
        <v>27046.01</v>
      </c>
      <c r="O649" s="418">
        <f t="shared" si="30"/>
        <v>0.16903756249999999</v>
      </c>
    </row>
    <row r="650" spans="1:15" s="143" customFormat="1" ht="15" hidden="1" customHeight="1" x14ac:dyDescent="0.25">
      <c r="A650" s="625"/>
      <c r="B650" s="44" t="s">
        <v>316</v>
      </c>
      <c r="C650" s="44" t="s">
        <v>317</v>
      </c>
      <c r="D650" s="44" t="s">
        <v>69</v>
      </c>
      <c r="E650" s="50">
        <v>420000</v>
      </c>
      <c r="F650" s="50">
        <v>20000</v>
      </c>
      <c r="G650" s="50">
        <v>19046.009999999998</v>
      </c>
      <c r="H650" s="50">
        <v>0</v>
      </c>
      <c r="I650" s="50">
        <v>0</v>
      </c>
      <c r="J650" s="50">
        <v>0</v>
      </c>
      <c r="K650" s="50">
        <v>0</v>
      </c>
      <c r="L650" s="152">
        <f t="shared" si="29"/>
        <v>0</v>
      </c>
      <c r="M650" s="50">
        <v>0</v>
      </c>
      <c r="N650" s="50">
        <v>20000</v>
      </c>
      <c r="O650" s="418">
        <f t="shared" si="30"/>
        <v>1</v>
      </c>
    </row>
    <row r="651" spans="1:15" s="143" customFormat="1" ht="15" hidden="1" customHeight="1" x14ac:dyDescent="0.25">
      <c r="A651" s="625"/>
      <c r="B651" s="44" t="s">
        <v>202</v>
      </c>
      <c r="C651" s="44" t="s">
        <v>203</v>
      </c>
      <c r="D651" s="44" t="s">
        <v>69</v>
      </c>
      <c r="E651" s="50">
        <v>480000</v>
      </c>
      <c r="F651" s="50">
        <v>140000</v>
      </c>
      <c r="G651" s="50">
        <v>139954</v>
      </c>
      <c r="H651" s="50">
        <v>0</v>
      </c>
      <c r="I651" s="50">
        <v>132953.99</v>
      </c>
      <c r="J651" s="50">
        <v>0</v>
      </c>
      <c r="K651" s="50">
        <v>0</v>
      </c>
      <c r="L651" s="152">
        <f t="shared" si="29"/>
        <v>0</v>
      </c>
      <c r="M651" s="50">
        <v>0</v>
      </c>
      <c r="N651" s="50">
        <v>7046.01</v>
      </c>
      <c r="O651" s="418">
        <f t="shared" si="30"/>
        <v>5.0328642857142857E-2</v>
      </c>
    </row>
    <row r="652" spans="1:15" s="143" customFormat="1" ht="15" hidden="1" customHeight="1" x14ac:dyDescent="0.25">
      <c r="A652" s="625"/>
      <c r="B652" s="44" t="s">
        <v>206</v>
      </c>
      <c r="C652" s="44" t="s">
        <v>207</v>
      </c>
      <c r="D652" s="44" t="s">
        <v>69</v>
      </c>
      <c r="E652" s="50">
        <v>3052196</v>
      </c>
      <c r="F652" s="50">
        <v>1752196</v>
      </c>
      <c r="G652" s="50">
        <v>3052</v>
      </c>
      <c r="H652" s="50">
        <v>0</v>
      </c>
      <c r="I652" s="50">
        <v>0</v>
      </c>
      <c r="J652" s="50">
        <v>0</v>
      </c>
      <c r="K652" s="50">
        <v>0</v>
      </c>
      <c r="L652" s="152">
        <f t="shared" si="29"/>
        <v>0</v>
      </c>
      <c r="M652" s="50">
        <v>0</v>
      </c>
      <c r="N652" s="50">
        <v>1752196</v>
      </c>
      <c r="O652" s="418">
        <f t="shared" si="30"/>
        <v>1</v>
      </c>
    </row>
    <row r="653" spans="1:15" s="143" customFormat="1" ht="15" hidden="1" customHeight="1" x14ac:dyDescent="0.25">
      <c r="A653" s="625"/>
      <c r="B653" s="44" t="s">
        <v>208</v>
      </c>
      <c r="C653" s="44" t="s">
        <v>209</v>
      </c>
      <c r="D653" s="44" t="s">
        <v>69</v>
      </c>
      <c r="E653" s="50">
        <v>885321</v>
      </c>
      <c r="F653" s="50">
        <v>85321</v>
      </c>
      <c r="G653" s="50">
        <v>1331</v>
      </c>
      <c r="H653" s="50">
        <v>0</v>
      </c>
      <c r="I653" s="50">
        <v>0</v>
      </c>
      <c r="J653" s="50">
        <v>0</v>
      </c>
      <c r="K653" s="50">
        <v>0</v>
      </c>
      <c r="L653" s="152">
        <f t="shared" si="29"/>
        <v>0</v>
      </c>
      <c r="M653" s="50">
        <v>0</v>
      </c>
      <c r="N653" s="50">
        <v>85321</v>
      </c>
      <c r="O653" s="418">
        <f t="shared" si="30"/>
        <v>1</v>
      </c>
    </row>
    <row r="654" spans="1:15" s="143" customFormat="1" ht="15" hidden="1" customHeight="1" x14ac:dyDescent="0.25">
      <c r="A654" s="625"/>
      <c r="B654" s="44" t="s">
        <v>210</v>
      </c>
      <c r="C654" s="44" t="s">
        <v>211</v>
      </c>
      <c r="D654" s="44" t="s">
        <v>69</v>
      </c>
      <c r="E654" s="50">
        <v>2166875</v>
      </c>
      <c r="F654" s="50">
        <v>1666875</v>
      </c>
      <c r="G654" s="50">
        <v>1721</v>
      </c>
      <c r="H654" s="50">
        <v>0</v>
      </c>
      <c r="I654" s="50">
        <v>0</v>
      </c>
      <c r="J654" s="50">
        <v>0</v>
      </c>
      <c r="K654" s="50">
        <v>0</v>
      </c>
      <c r="L654" s="152">
        <f t="shared" si="29"/>
        <v>0</v>
      </c>
      <c r="M654" s="50">
        <v>0</v>
      </c>
      <c r="N654" s="50">
        <v>1666875</v>
      </c>
      <c r="O654" s="418">
        <f t="shared" si="30"/>
        <v>1</v>
      </c>
    </row>
    <row r="655" spans="1:15" s="143" customFormat="1" ht="15" hidden="1" customHeight="1" x14ac:dyDescent="0.25">
      <c r="A655" s="625"/>
      <c r="B655" s="44" t="s">
        <v>212</v>
      </c>
      <c r="C655" s="44" t="s">
        <v>213</v>
      </c>
      <c r="D655" s="44" t="s">
        <v>69</v>
      </c>
      <c r="E655" s="50">
        <v>20615810</v>
      </c>
      <c r="F655" s="50">
        <v>13715810</v>
      </c>
      <c r="G655" s="50">
        <v>4604557.07</v>
      </c>
      <c r="H655" s="50">
        <v>0</v>
      </c>
      <c r="I655" s="50">
        <v>1255127.23</v>
      </c>
      <c r="J655" s="50">
        <v>0</v>
      </c>
      <c r="K655" s="50">
        <v>2234974.1</v>
      </c>
      <c r="L655" s="152">
        <f t="shared" si="29"/>
        <v>0.16294875038368131</v>
      </c>
      <c r="M655" s="50">
        <v>2234974.1</v>
      </c>
      <c r="N655" s="50">
        <v>10225708.67</v>
      </c>
      <c r="O655" s="418">
        <f t="shared" si="30"/>
        <v>0.74554172666433849</v>
      </c>
    </row>
    <row r="656" spans="1:15" s="143" customFormat="1" ht="15" hidden="1" customHeight="1" x14ac:dyDescent="0.25">
      <c r="A656" s="625"/>
      <c r="B656" s="44" t="s">
        <v>214</v>
      </c>
      <c r="C656" s="44" t="s">
        <v>215</v>
      </c>
      <c r="D656" s="44" t="s">
        <v>69</v>
      </c>
      <c r="E656" s="50">
        <v>8014742</v>
      </c>
      <c r="F656" s="50">
        <v>5514742</v>
      </c>
      <c r="G656" s="50">
        <v>993687</v>
      </c>
      <c r="H656" s="50">
        <v>0</v>
      </c>
      <c r="I656" s="50">
        <v>94789</v>
      </c>
      <c r="J656" s="50">
        <v>0</v>
      </c>
      <c r="K656" s="50">
        <v>493107</v>
      </c>
      <c r="L656" s="152">
        <f t="shared" si="29"/>
        <v>8.9416150383825749E-2</v>
      </c>
      <c r="M656" s="50">
        <v>493107</v>
      </c>
      <c r="N656" s="50">
        <v>4926846</v>
      </c>
      <c r="O656" s="418">
        <f t="shared" si="30"/>
        <v>0.89339555685469962</v>
      </c>
    </row>
    <row r="657" spans="1:15" s="143" customFormat="1" ht="15" hidden="1" customHeight="1" x14ac:dyDescent="0.25">
      <c r="A657" s="625"/>
      <c r="B657" s="44" t="s">
        <v>218</v>
      </c>
      <c r="C657" s="44" t="s">
        <v>219</v>
      </c>
      <c r="D657" s="44" t="s">
        <v>69</v>
      </c>
      <c r="E657" s="50">
        <v>5268045</v>
      </c>
      <c r="F657" s="50">
        <v>3768045</v>
      </c>
      <c r="G657" s="50">
        <v>887866.47</v>
      </c>
      <c r="H657" s="50">
        <v>0</v>
      </c>
      <c r="I657" s="50">
        <v>163143.35</v>
      </c>
      <c r="J657" s="50">
        <v>0</v>
      </c>
      <c r="K657" s="50">
        <v>259408.45</v>
      </c>
      <c r="L657" s="152">
        <f t="shared" si="29"/>
        <v>6.884430785725755E-2</v>
      </c>
      <c r="M657" s="50">
        <v>259408.45</v>
      </c>
      <c r="N657" s="50">
        <v>3345493.2</v>
      </c>
      <c r="O657" s="418">
        <f t="shared" si="30"/>
        <v>0.88785914180961223</v>
      </c>
    </row>
    <row r="658" spans="1:15" s="143" customFormat="1" ht="15" hidden="1" customHeight="1" x14ac:dyDescent="0.25">
      <c r="A658" s="625"/>
      <c r="B658" s="44" t="s">
        <v>220</v>
      </c>
      <c r="C658" s="44" t="s">
        <v>221</v>
      </c>
      <c r="D658" s="44" t="s">
        <v>69</v>
      </c>
      <c r="E658" s="50">
        <v>3038980</v>
      </c>
      <c r="F658" s="50">
        <v>788980</v>
      </c>
      <c r="G658" s="50">
        <v>407.6</v>
      </c>
      <c r="H658" s="50">
        <v>0</v>
      </c>
      <c r="I658" s="50">
        <v>0</v>
      </c>
      <c r="J658" s="50">
        <v>0</v>
      </c>
      <c r="K658" s="50">
        <v>0</v>
      </c>
      <c r="L658" s="152">
        <f t="shared" si="29"/>
        <v>0</v>
      </c>
      <c r="M658" s="50">
        <v>0</v>
      </c>
      <c r="N658" s="50">
        <v>788980</v>
      </c>
      <c r="O658" s="418">
        <f t="shared" si="30"/>
        <v>1</v>
      </c>
    </row>
    <row r="659" spans="1:15" s="143" customFormat="1" ht="15" hidden="1" customHeight="1" x14ac:dyDescent="0.25">
      <c r="A659" s="625"/>
      <c r="B659" s="44" t="s">
        <v>222</v>
      </c>
      <c r="C659" s="44" t="s">
        <v>223</v>
      </c>
      <c r="D659" s="44" t="s">
        <v>69</v>
      </c>
      <c r="E659" s="50">
        <v>2590023</v>
      </c>
      <c r="F659" s="50">
        <v>2590023</v>
      </c>
      <c r="G659" s="50">
        <v>2590023</v>
      </c>
      <c r="H659" s="50">
        <v>0</v>
      </c>
      <c r="I659" s="50">
        <v>997194.88</v>
      </c>
      <c r="J659" s="50">
        <v>0</v>
      </c>
      <c r="K659" s="50">
        <v>1482458.65</v>
      </c>
      <c r="L659" s="152">
        <f t="shared" si="29"/>
        <v>0.57237277429582667</v>
      </c>
      <c r="M659" s="50">
        <v>1482458.65</v>
      </c>
      <c r="N659" s="50">
        <v>110369.47</v>
      </c>
      <c r="O659" s="418">
        <f t="shared" si="30"/>
        <v>4.2613316561281506E-2</v>
      </c>
    </row>
    <row r="660" spans="1:15" s="143" customFormat="1" ht="15" hidden="1" customHeight="1" x14ac:dyDescent="0.25">
      <c r="A660" s="625"/>
      <c r="B660" s="44" t="s">
        <v>226</v>
      </c>
      <c r="C660" s="44" t="s">
        <v>227</v>
      </c>
      <c r="D660" s="44" t="s">
        <v>69</v>
      </c>
      <c r="E660" s="50">
        <v>774300</v>
      </c>
      <c r="F660" s="50">
        <v>424300</v>
      </c>
      <c r="G660" s="50">
        <v>128143</v>
      </c>
      <c r="H660" s="50">
        <v>0</v>
      </c>
      <c r="I660" s="50">
        <v>0</v>
      </c>
      <c r="J660" s="50">
        <v>0</v>
      </c>
      <c r="K660" s="50">
        <v>0</v>
      </c>
      <c r="L660" s="152">
        <f t="shared" si="29"/>
        <v>0</v>
      </c>
      <c r="M660" s="50">
        <v>0</v>
      </c>
      <c r="N660" s="50">
        <v>424300</v>
      </c>
      <c r="O660" s="418">
        <f t="shared" si="30"/>
        <v>1</v>
      </c>
    </row>
    <row r="661" spans="1:15" s="143" customFormat="1" ht="15" hidden="1" customHeight="1" x14ac:dyDescent="0.25">
      <c r="A661" s="625"/>
      <c r="B661" s="44" t="s">
        <v>228</v>
      </c>
      <c r="C661" s="44" t="s">
        <v>229</v>
      </c>
      <c r="D661" s="44" t="s">
        <v>69</v>
      </c>
      <c r="E661" s="50">
        <v>929720</v>
      </c>
      <c r="F661" s="50">
        <v>629720</v>
      </c>
      <c r="G661" s="50">
        <v>4430</v>
      </c>
      <c r="H661" s="50">
        <v>0</v>
      </c>
      <c r="I661" s="50">
        <v>0</v>
      </c>
      <c r="J661" s="50">
        <v>0</v>
      </c>
      <c r="K661" s="50">
        <v>0</v>
      </c>
      <c r="L661" s="152">
        <f t="shared" si="29"/>
        <v>0</v>
      </c>
      <c r="M661" s="50">
        <v>0</v>
      </c>
      <c r="N661" s="50">
        <v>629720</v>
      </c>
      <c r="O661" s="418">
        <f t="shared" si="30"/>
        <v>1</v>
      </c>
    </row>
    <row r="662" spans="1:15" s="143" customFormat="1" x14ac:dyDescent="0.25">
      <c r="A662" s="625"/>
      <c r="B662" s="44" t="s">
        <v>230</v>
      </c>
      <c r="C662" s="44" t="s">
        <v>231</v>
      </c>
      <c r="D662" s="44" t="s">
        <v>85</v>
      </c>
      <c r="E662" s="50">
        <v>45174214</v>
      </c>
      <c r="F662" s="50">
        <v>24660214</v>
      </c>
      <c r="G662" s="50">
        <v>2073108</v>
      </c>
      <c r="H662" s="50">
        <v>0</v>
      </c>
      <c r="I662" s="50">
        <v>62400</v>
      </c>
      <c r="J662" s="50">
        <v>0</v>
      </c>
      <c r="K662" s="50">
        <v>1010183.4</v>
      </c>
      <c r="L662" s="152">
        <f t="shared" si="29"/>
        <v>4.0964097067446373E-2</v>
      </c>
      <c r="M662" s="50">
        <v>1010183.4</v>
      </c>
      <c r="N662" s="50">
        <v>23587630.600000001</v>
      </c>
      <c r="O662" s="418">
        <f t="shared" si="30"/>
        <v>0.95650551126604177</v>
      </c>
    </row>
    <row r="663" spans="1:15" s="143" customFormat="1" ht="15" hidden="1" customHeight="1" x14ac:dyDescent="0.25">
      <c r="A663" s="625"/>
      <c r="B663" s="44" t="s">
        <v>232</v>
      </c>
      <c r="C663" s="44" t="s">
        <v>233</v>
      </c>
      <c r="D663" s="44" t="s">
        <v>85</v>
      </c>
      <c r="E663" s="50">
        <v>45174214</v>
      </c>
      <c r="F663" s="50">
        <v>24660214</v>
      </c>
      <c r="G663" s="50">
        <v>2073108</v>
      </c>
      <c r="H663" s="50">
        <v>0</v>
      </c>
      <c r="I663" s="50">
        <v>62400</v>
      </c>
      <c r="J663" s="50">
        <v>0</v>
      </c>
      <c r="K663" s="50">
        <v>1010183.4</v>
      </c>
      <c r="L663" s="152">
        <f t="shared" si="29"/>
        <v>4.0964097067446373E-2</v>
      </c>
      <c r="M663" s="50">
        <v>1010183.4</v>
      </c>
      <c r="N663" s="50">
        <v>23587630.600000001</v>
      </c>
      <c r="O663" s="418">
        <f t="shared" si="30"/>
        <v>0.95650551126604177</v>
      </c>
    </row>
    <row r="664" spans="1:15" s="143" customFormat="1" ht="15" hidden="1" customHeight="1" x14ac:dyDescent="0.25">
      <c r="A664" s="625"/>
      <c r="B664" s="44" t="s">
        <v>324</v>
      </c>
      <c r="C664" s="44" t="s">
        <v>325</v>
      </c>
      <c r="D664" s="44" t="s">
        <v>85</v>
      </c>
      <c r="E664" s="50">
        <v>400000</v>
      </c>
      <c r="F664" s="50">
        <v>200000</v>
      </c>
      <c r="G664" s="50">
        <v>200000</v>
      </c>
      <c r="H664" s="50">
        <v>0</v>
      </c>
      <c r="I664" s="50">
        <v>0</v>
      </c>
      <c r="J664" s="50">
        <v>0</v>
      </c>
      <c r="K664" s="50">
        <v>0</v>
      </c>
      <c r="L664" s="152">
        <f t="shared" si="29"/>
        <v>0</v>
      </c>
      <c r="M664" s="50">
        <v>0</v>
      </c>
      <c r="N664" s="50">
        <v>200000</v>
      </c>
      <c r="O664" s="418">
        <f t="shared" si="30"/>
        <v>1</v>
      </c>
    </row>
    <row r="665" spans="1:15" s="143" customFormat="1" ht="15" hidden="1" customHeight="1" x14ac:dyDescent="0.25">
      <c r="A665" s="625"/>
      <c r="B665" s="44" t="s">
        <v>236</v>
      </c>
      <c r="C665" s="44" t="s">
        <v>237</v>
      </c>
      <c r="D665" s="44" t="s">
        <v>85</v>
      </c>
      <c r="E665" s="50">
        <v>10235014</v>
      </c>
      <c r="F665" s="50">
        <v>3235014</v>
      </c>
      <c r="G665" s="50">
        <v>1058755</v>
      </c>
      <c r="H665" s="50">
        <v>0</v>
      </c>
      <c r="I665" s="50">
        <v>0</v>
      </c>
      <c r="J665" s="50">
        <v>0</v>
      </c>
      <c r="K665" s="50">
        <v>1010183.4</v>
      </c>
      <c r="L665" s="152">
        <f t="shared" si="29"/>
        <v>0.312265541972925</v>
      </c>
      <c r="M665" s="50">
        <v>1010183.4</v>
      </c>
      <c r="N665" s="50">
        <v>2224830.6</v>
      </c>
      <c r="O665" s="418">
        <f t="shared" si="30"/>
        <v>0.687734458027075</v>
      </c>
    </row>
    <row r="666" spans="1:15" s="143" customFormat="1" ht="15" hidden="1" customHeight="1" x14ac:dyDescent="0.25">
      <c r="A666" s="625"/>
      <c r="B666" s="44" t="s">
        <v>238</v>
      </c>
      <c r="C666" s="44" t="s">
        <v>239</v>
      </c>
      <c r="D666" s="44" t="s">
        <v>85</v>
      </c>
      <c r="E666" s="50">
        <v>3243620</v>
      </c>
      <c r="F666" s="50">
        <v>243620</v>
      </c>
      <c r="G666" s="50">
        <v>243620</v>
      </c>
      <c r="H666" s="50">
        <v>0</v>
      </c>
      <c r="I666" s="50">
        <v>0</v>
      </c>
      <c r="J666" s="50">
        <v>0</v>
      </c>
      <c r="K666" s="50">
        <v>0</v>
      </c>
      <c r="L666" s="152">
        <f t="shared" si="29"/>
        <v>0</v>
      </c>
      <c r="M666" s="50">
        <v>0</v>
      </c>
      <c r="N666" s="50">
        <v>243620</v>
      </c>
      <c r="O666" s="418">
        <f t="shared" si="30"/>
        <v>1</v>
      </c>
    </row>
    <row r="667" spans="1:15" s="143" customFormat="1" ht="15" hidden="1" customHeight="1" x14ac:dyDescent="0.25">
      <c r="A667" s="625"/>
      <c r="B667" s="44" t="s">
        <v>282</v>
      </c>
      <c r="C667" s="44" t="s">
        <v>283</v>
      </c>
      <c r="D667" s="44" t="s">
        <v>85</v>
      </c>
      <c r="E667" s="50">
        <v>414480</v>
      </c>
      <c r="F667" s="50">
        <v>480</v>
      </c>
      <c r="G667" s="50">
        <v>480</v>
      </c>
      <c r="H667" s="50">
        <v>0</v>
      </c>
      <c r="I667" s="50">
        <v>0</v>
      </c>
      <c r="J667" s="50">
        <v>0</v>
      </c>
      <c r="K667" s="50">
        <v>0</v>
      </c>
      <c r="L667" s="152">
        <f t="shared" si="29"/>
        <v>0</v>
      </c>
      <c r="M667" s="50">
        <v>0</v>
      </c>
      <c r="N667" s="50">
        <v>480</v>
      </c>
      <c r="O667" s="418">
        <f t="shared" si="30"/>
        <v>1</v>
      </c>
    </row>
    <row r="668" spans="1:15" s="143" customFormat="1" ht="15" hidden="1" customHeight="1" x14ac:dyDescent="0.25">
      <c r="A668" s="625"/>
      <c r="B668" s="390" t="s">
        <v>240</v>
      </c>
      <c r="C668" s="390" t="s">
        <v>241</v>
      </c>
      <c r="D668" s="390" t="s">
        <v>85</v>
      </c>
      <c r="E668" s="391">
        <v>27531100</v>
      </c>
      <c r="F668" s="391">
        <v>20531100</v>
      </c>
      <c r="G668" s="391">
        <v>467753</v>
      </c>
      <c r="H668" s="391">
        <v>0</v>
      </c>
      <c r="I668" s="391">
        <v>0</v>
      </c>
      <c r="J668" s="391">
        <v>0</v>
      </c>
      <c r="K668" s="391">
        <v>0</v>
      </c>
      <c r="L668" s="152">
        <f t="shared" si="29"/>
        <v>0</v>
      </c>
      <c r="M668" s="391">
        <v>0</v>
      </c>
      <c r="N668" s="391">
        <v>20531100</v>
      </c>
      <c r="O668" s="418">
        <f t="shared" si="30"/>
        <v>1</v>
      </c>
    </row>
    <row r="669" spans="1:15" s="143" customFormat="1" ht="15" hidden="1" customHeight="1" x14ac:dyDescent="0.25">
      <c r="A669" s="625"/>
      <c r="B669" s="44" t="s">
        <v>242</v>
      </c>
      <c r="C669" s="44" t="s">
        <v>243</v>
      </c>
      <c r="D669" s="44" t="s">
        <v>85</v>
      </c>
      <c r="E669" s="50">
        <v>3350000</v>
      </c>
      <c r="F669" s="50">
        <v>450000</v>
      </c>
      <c r="G669" s="50">
        <v>102500</v>
      </c>
      <c r="H669" s="50">
        <v>0</v>
      </c>
      <c r="I669" s="50">
        <v>62400</v>
      </c>
      <c r="J669" s="50">
        <v>0</v>
      </c>
      <c r="K669" s="50">
        <v>0</v>
      </c>
      <c r="L669" s="152">
        <f t="shared" si="29"/>
        <v>0</v>
      </c>
      <c r="M669" s="50">
        <v>0</v>
      </c>
      <c r="N669" s="50">
        <v>387600</v>
      </c>
      <c r="O669" s="418">
        <f t="shared" si="30"/>
        <v>0.86133333333333328</v>
      </c>
    </row>
    <row r="670" spans="1:15" s="143" customFormat="1" x14ac:dyDescent="0.25">
      <c r="A670" s="625"/>
      <c r="B670" s="44" t="s">
        <v>248</v>
      </c>
      <c r="C670" s="44" t="s">
        <v>249</v>
      </c>
      <c r="D670" s="44" t="s">
        <v>69</v>
      </c>
      <c r="E670" s="50">
        <v>50610852</v>
      </c>
      <c r="F670" s="50">
        <v>43150811</v>
      </c>
      <c r="G670" s="50">
        <v>22150811</v>
      </c>
      <c r="H670" s="50">
        <v>0</v>
      </c>
      <c r="I670" s="50">
        <v>9509599</v>
      </c>
      <c r="J670" s="50">
        <v>0</v>
      </c>
      <c r="K670" s="50">
        <v>6381708</v>
      </c>
      <c r="L670" s="152">
        <f t="shared" si="29"/>
        <v>0.14789311839353378</v>
      </c>
      <c r="M670" s="50">
        <v>6381708</v>
      </c>
      <c r="N670" s="50">
        <v>27259504</v>
      </c>
      <c r="O670" s="418">
        <f t="shared" si="30"/>
        <v>0.63172634229284819</v>
      </c>
    </row>
    <row r="671" spans="1:15" s="143" customFormat="1" hidden="1" x14ac:dyDescent="0.25">
      <c r="A671" s="381" t="s">
        <v>717</v>
      </c>
      <c r="B671" s="357" t="s">
        <v>250</v>
      </c>
      <c r="C671" s="357" t="s">
        <v>251</v>
      </c>
      <c r="D671" s="357" t="s">
        <v>69</v>
      </c>
      <c r="E671" s="154">
        <v>14610852</v>
      </c>
      <c r="F671" s="154">
        <v>14150811</v>
      </c>
      <c r="G671" s="154">
        <v>14150811</v>
      </c>
      <c r="H671" s="154">
        <v>0</v>
      </c>
      <c r="I671" s="154">
        <v>9509599</v>
      </c>
      <c r="J671" s="154">
        <v>0</v>
      </c>
      <c r="K671" s="154">
        <v>4641212</v>
      </c>
      <c r="L671" s="152">
        <f t="shared" si="29"/>
        <v>0.32798204993339253</v>
      </c>
      <c r="M671" s="154">
        <v>4641212</v>
      </c>
      <c r="N671" s="154">
        <v>0</v>
      </c>
      <c r="O671" s="418">
        <f t="shared" si="30"/>
        <v>0</v>
      </c>
    </row>
    <row r="672" spans="1:15" s="143" customFormat="1" hidden="1" x14ac:dyDescent="0.25">
      <c r="A672" s="381" t="s">
        <v>717</v>
      </c>
      <c r="B672" s="357" t="s">
        <v>636</v>
      </c>
      <c r="C672" s="357" t="s">
        <v>702</v>
      </c>
      <c r="D672" s="357" t="s">
        <v>69</v>
      </c>
      <c r="E672" s="154">
        <v>12410435</v>
      </c>
      <c r="F672" s="154">
        <v>12019677</v>
      </c>
      <c r="G672" s="154">
        <v>12019677</v>
      </c>
      <c r="H672" s="154">
        <v>0</v>
      </c>
      <c r="I672" s="154">
        <v>8105299</v>
      </c>
      <c r="J672" s="154">
        <v>0</v>
      </c>
      <c r="K672" s="154">
        <v>3914378</v>
      </c>
      <c r="L672" s="152">
        <f t="shared" si="29"/>
        <v>0.32566415886217243</v>
      </c>
      <c r="M672" s="154">
        <v>3914378</v>
      </c>
      <c r="N672" s="154">
        <v>0</v>
      </c>
      <c r="O672" s="418">
        <f t="shared" si="30"/>
        <v>0</v>
      </c>
    </row>
    <row r="673" spans="1:15" s="143" customFormat="1" hidden="1" x14ac:dyDescent="0.25">
      <c r="A673" s="381" t="s">
        <v>717</v>
      </c>
      <c r="B673" s="357" t="s">
        <v>651</v>
      </c>
      <c r="C673" s="357" t="s">
        <v>703</v>
      </c>
      <c r="D673" s="357" t="s">
        <v>69</v>
      </c>
      <c r="E673" s="154">
        <v>2200417</v>
      </c>
      <c r="F673" s="154">
        <v>2131134</v>
      </c>
      <c r="G673" s="154">
        <v>2131134</v>
      </c>
      <c r="H673" s="154">
        <v>0</v>
      </c>
      <c r="I673" s="154">
        <v>1404300</v>
      </c>
      <c r="J673" s="154">
        <v>0</v>
      </c>
      <c r="K673" s="154">
        <v>726834</v>
      </c>
      <c r="L673" s="152">
        <f t="shared" si="29"/>
        <v>0.34105504393435609</v>
      </c>
      <c r="M673" s="154">
        <v>726834</v>
      </c>
      <c r="N673" s="154">
        <v>0</v>
      </c>
      <c r="O673" s="418">
        <f t="shared" si="30"/>
        <v>0</v>
      </c>
    </row>
    <row r="674" spans="1:15" s="143" customFormat="1" hidden="1" x14ac:dyDescent="0.25">
      <c r="A674" s="381" t="s">
        <v>717</v>
      </c>
      <c r="B674" s="357" t="s">
        <v>260</v>
      </c>
      <c r="C674" s="357" t="s">
        <v>261</v>
      </c>
      <c r="D674" s="357" t="s">
        <v>69</v>
      </c>
      <c r="E674" s="154">
        <v>26000000</v>
      </c>
      <c r="F674" s="154">
        <v>21500000</v>
      </c>
      <c r="G674" s="154">
        <v>8000000</v>
      </c>
      <c r="H674" s="154">
        <v>0</v>
      </c>
      <c r="I674" s="154">
        <v>0</v>
      </c>
      <c r="J674" s="154">
        <v>0</v>
      </c>
      <c r="K674" s="154">
        <v>1740496</v>
      </c>
      <c r="L674" s="152">
        <f t="shared" si="29"/>
        <v>8.09533023255814E-2</v>
      </c>
      <c r="M674" s="154">
        <v>1740496</v>
      </c>
      <c r="N674" s="154">
        <v>19759504</v>
      </c>
      <c r="O674" s="418">
        <f t="shared" si="30"/>
        <v>0.9190466976744186</v>
      </c>
    </row>
    <row r="675" spans="1:15" s="143" customFormat="1" hidden="1" x14ac:dyDescent="0.25">
      <c r="A675" s="381" t="s">
        <v>717</v>
      </c>
      <c r="B675" s="357" t="s">
        <v>262</v>
      </c>
      <c r="C675" s="357" t="s">
        <v>263</v>
      </c>
      <c r="D675" s="357" t="s">
        <v>69</v>
      </c>
      <c r="E675" s="154">
        <v>18000000</v>
      </c>
      <c r="F675" s="154">
        <v>13500000</v>
      </c>
      <c r="G675" s="154">
        <v>0</v>
      </c>
      <c r="H675" s="154">
        <v>0</v>
      </c>
      <c r="I675" s="154">
        <v>0</v>
      </c>
      <c r="J675" s="154">
        <v>0</v>
      </c>
      <c r="K675" s="154">
        <v>0</v>
      </c>
      <c r="L675" s="152">
        <f t="shared" si="29"/>
        <v>0</v>
      </c>
      <c r="M675" s="154">
        <v>0</v>
      </c>
      <c r="N675" s="154">
        <v>13500000</v>
      </c>
      <c r="O675" s="418">
        <f t="shared" si="30"/>
        <v>1</v>
      </c>
    </row>
    <row r="676" spans="1:15" s="143" customFormat="1" hidden="1" x14ac:dyDescent="0.25">
      <c r="A676" s="381" t="s">
        <v>717</v>
      </c>
      <c r="B676" s="357" t="s">
        <v>264</v>
      </c>
      <c r="C676" s="357" t="s">
        <v>265</v>
      </c>
      <c r="D676" s="357" t="s">
        <v>69</v>
      </c>
      <c r="E676" s="154">
        <v>8000000</v>
      </c>
      <c r="F676" s="154">
        <v>8000000</v>
      </c>
      <c r="G676" s="154">
        <v>8000000</v>
      </c>
      <c r="H676" s="154">
        <v>0</v>
      </c>
      <c r="I676" s="154">
        <v>0</v>
      </c>
      <c r="J676" s="154">
        <v>0</v>
      </c>
      <c r="K676" s="154">
        <v>1740496</v>
      </c>
      <c r="L676" s="152">
        <f t="shared" si="29"/>
        <v>0.21756200000000001</v>
      </c>
      <c r="M676" s="154">
        <v>1740496</v>
      </c>
      <c r="N676" s="154">
        <v>6259504</v>
      </c>
      <c r="O676" s="418">
        <f t="shared" si="30"/>
        <v>0.78243799999999997</v>
      </c>
    </row>
    <row r="677" spans="1:15" s="143" customFormat="1" hidden="1" x14ac:dyDescent="0.25">
      <c r="A677" s="381" t="s">
        <v>717</v>
      </c>
      <c r="B677" s="357" t="s">
        <v>286</v>
      </c>
      <c r="C677" s="357" t="s">
        <v>287</v>
      </c>
      <c r="D677" s="357" t="s">
        <v>69</v>
      </c>
      <c r="E677" s="154">
        <v>10000000</v>
      </c>
      <c r="F677" s="154">
        <v>7500000</v>
      </c>
      <c r="G677" s="154">
        <v>0</v>
      </c>
      <c r="H677" s="154">
        <v>0</v>
      </c>
      <c r="I677" s="154">
        <v>0</v>
      </c>
      <c r="J677" s="154">
        <v>0</v>
      </c>
      <c r="K677" s="154">
        <v>0</v>
      </c>
      <c r="L677" s="152">
        <f t="shared" si="29"/>
        <v>0</v>
      </c>
      <c r="M677" s="154">
        <v>0</v>
      </c>
      <c r="N677" s="154">
        <v>7500000</v>
      </c>
      <c r="O677" s="418">
        <f t="shared" si="30"/>
        <v>1</v>
      </c>
    </row>
    <row r="678" spans="1:15" s="143" customFormat="1" hidden="1" x14ac:dyDescent="0.25">
      <c r="A678" s="381" t="s">
        <v>717</v>
      </c>
      <c r="B678" s="357" t="s">
        <v>288</v>
      </c>
      <c r="C678" s="357" t="s">
        <v>289</v>
      </c>
      <c r="D678" s="357" t="s">
        <v>69</v>
      </c>
      <c r="E678" s="154">
        <v>10000000</v>
      </c>
      <c r="F678" s="154">
        <v>7500000</v>
      </c>
      <c r="G678" s="154">
        <v>0</v>
      </c>
      <c r="H678" s="154">
        <v>0</v>
      </c>
      <c r="I678" s="154">
        <v>0</v>
      </c>
      <c r="J678" s="154">
        <v>0</v>
      </c>
      <c r="K678" s="154">
        <v>0</v>
      </c>
      <c r="L678" s="152">
        <f t="shared" si="29"/>
        <v>0</v>
      </c>
      <c r="M678" s="154">
        <v>0</v>
      </c>
      <c r="N678" s="154">
        <v>7500000</v>
      </c>
      <c r="O678" s="418">
        <f t="shared" si="30"/>
        <v>1</v>
      </c>
    </row>
    <row r="679" spans="1:15" s="143" customFormat="1" x14ac:dyDescent="0.25">
      <c r="A679" s="422"/>
      <c r="B679" s="423"/>
      <c r="C679" s="423"/>
      <c r="D679" s="423"/>
      <c r="E679" s="424"/>
      <c r="F679" s="424">
        <f>+F600+F616+F643+F662+F670</f>
        <v>1321552517</v>
      </c>
      <c r="G679" s="424"/>
      <c r="H679" s="424"/>
      <c r="I679" s="424"/>
      <c r="J679" s="424"/>
      <c r="K679" s="424">
        <f>+K600+K616+K643+K662+K670</f>
        <v>368863608.13999993</v>
      </c>
      <c r="L679" s="425">
        <f t="shared" si="29"/>
        <v>0.27911384783810295</v>
      </c>
      <c r="M679" s="424"/>
      <c r="N679" s="424">
        <f>+N600+N616+N643+N662+N670</f>
        <v>797102377.63</v>
      </c>
      <c r="O679" s="426">
        <f t="shared" si="30"/>
        <v>0.60315603608358148</v>
      </c>
    </row>
    <row r="680" spans="1:15" s="143" customFormat="1" x14ac:dyDescent="0.25">
      <c r="A680" s="308"/>
      <c r="B680" s="308"/>
      <c r="C680" s="308"/>
      <c r="D680" s="308"/>
      <c r="E680" s="305"/>
      <c r="F680" s="305"/>
      <c r="G680" s="305"/>
      <c r="H680" s="305"/>
      <c r="I680" s="305"/>
      <c r="J680" s="305"/>
      <c r="K680" s="305"/>
      <c r="L680" s="306"/>
      <c r="M680" s="305"/>
      <c r="N680" s="305"/>
      <c r="O680" s="306"/>
    </row>
    <row r="681" spans="1:15" s="143" customFormat="1" x14ac:dyDescent="0.25">
      <c r="A681" s="308"/>
      <c r="B681" s="308"/>
      <c r="C681" s="308"/>
      <c r="D681" s="308"/>
      <c r="E681" s="305"/>
      <c r="F681" s="305"/>
      <c r="G681" s="305"/>
      <c r="H681" s="305"/>
      <c r="I681" s="305"/>
      <c r="J681" s="305"/>
      <c r="K681" s="305"/>
      <c r="L681" s="306"/>
      <c r="M681" s="305"/>
      <c r="N681" s="305"/>
      <c r="O681" s="306"/>
    </row>
    <row r="682" spans="1:15" s="143" customFormat="1" x14ac:dyDescent="0.25">
      <c r="A682" s="625">
        <v>21478800</v>
      </c>
      <c r="B682" s="414" t="s">
        <v>71</v>
      </c>
      <c r="C682" s="414" t="s">
        <v>72</v>
      </c>
      <c r="D682" s="434"/>
      <c r="E682" s="435"/>
      <c r="F682" s="436">
        <v>1297911768</v>
      </c>
      <c r="G682" s="436">
        <v>1202043753</v>
      </c>
      <c r="H682" s="436">
        <v>0</v>
      </c>
      <c r="I682" s="436">
        <v>134709904.94999999</v>
      </c>
      <c r="J682" s="436">
        <v>0</v>
      </c>
      <c r="K682" s="436">
        <v>403165764.31999999</v>
      </c>
      <c r="L682" s="437">
        <f t="shared" ref="L682:L687" si="31">+K682/F682</f>
        <v>0.31062648036642193</v>
      </c>
      <c r="M682" s="436">
        <v>403165764.31999999</v>
      </c>
      <c r="N682" s="436">
        <v>760036098.73000002</v>
      </c>
      <c r="O682" s="438">
        <f t="shared" ref="O682:O687" si="32">+N682/F682</f>
        <v>0.58558379503806146</v>
      </c>
    </row>
    <row r="683" spans="1:15" s="143" customFormat="1" x14ac:dyDescent="0.25">
      <c r="A683" s="625"/>
      <c r="B683" s="44" t="s">
        <v>104</v>
      </c>
      <c r="C683" s="44" t="s">
        <v>105</v>
      </c>
      <c r="D683" s="308"/>
      <c r="E683" s="305"/>
      <c r="F683" s="166">
        <v>1188545520</v>
      </c>
      <c r="G683" s="166">
        <v>622821378</v>
      </c>
      <c r="H683" s="166">
        <v>0</v>
      </c>
      <c r="I683" s="166">
        <v>217750726.15000001</v>
      </c>
      <c r="J683" s="166">
        <v>57398929.600000001</v>
      </c>
      <c r="K683" s="166">
        <v>183340838.08000001</v>
      </c>
      <c r="L683" s="168">
        <f t="shared" si="31"/>
        <v>0.15425647145596916</v>
      </c>
      <c r="M683" s="166">
        <v>179291413.75</v>
      </c>
      <c r="N683" s="166">
        <v>730055026.16999996</v>
      </c>
      <c r="O683" s="439">
        <f t="shared" si="32"/>
        <v>0.61424237766678047</v>
      </c>
    </row>
    <row r="684" spans="1:15" s="143" customFormat="1" x14ac:dyDescent="0.25">
      <c r="A684" s="625"/>
      <c r="B684" s="44" t="s">
        <v>184</v>
      </c>
      <c r="C684" s="44" t="s">
        <v>185</v>
      </c>
      <c r="D684" s="308"/>
      <c r="E684" s="305"/>
      <c r="F684" s="166">
        <v>50848380</v>
      </c>
      <c r="G684" s="166">
        <v>21622740</v>
      </c>
      <c r="H684" s="166">
        <v>328581.40000000002</v>
      </c>
      <c r="I684" s="166">
        <v>3398337.16</v>
      </c>
      <c r="J684" s="166">
        <v>846000</v>
      </c>
      <c r="K684" s="166">
        <v>5286699.47</v>
      </c>
      <c r="L684" s="168">
        <f t="shared" si="31"/>
        <v>0.10396987022988735</v>
      </c>
      <c r="M684" s="166">
        <v>5212119.47</v>
      </c>
      <c r="N684" s="166">
        <v>40988761.969999999</v>
      </c>
      <c r="O684" s="439">
        <f t="shared" si="32"/>
        <v>0.80609769613112547</v>
      </c>
    </row>
    <row r="685" spans="1:15" s="143" customFormat="1" x14ac:dyDescent="0.25">
      <c r="A685" s="625"/>
      <c r="B685" s="44" t="s">
        <v>230</v>
      </c>
      <c r="C685" s="44" t="s">
        <v>231</v>
      </c>
      <c r="D685" s="308"/>
      <c r="E685" s="305"/>
      <c r="F685" s="166">
        <v>639452300</v>
      </c>
      <c r="G685" s="166">
        <v>265726150</v>
      </c>
      <c r="H685" s="166">
        <v>59882936.200000003</v>
      </c>
      <c r="I685" s="166">
        <v>6198631.8600000003</v>
      </c>
      <c r="J685" s="166">
        <v>0</v>
      </c>
      <c r="K685" s="166">
        <v>0</v>
      </c>
      <c r="L685" s="168">
        <f t="shared" si="31"/>
        <v>0</v>
      </c>
      <c r="M685" s="166">
        <v>0</v>
      </c>
      <c r="N685" s="166">
        <v>573370731.94000006</v>
      </c>
      <c r="O685" s="439">
        <f t="shared" si="32"/>
        <v>0.89665911271255117</v>
      </c>
    </row>
    <row r="686" spans="1:15" s="143" customFormat="1" x14ac:dyDescent="0.25">
      <c r="A686" s="625"/>
      <c r="B686" s="44" t="s">
        <v>248</v>
      </c>
      <c r="C686" s="44" t="s">
        <v>249</v>
      </c>
      <c r="D686" s="308"/>
      <c r="E686" s="305"/>
      <c r="F686" s="166">
        <v>218520108</v>
      </c>
      <c r="G686" s="166">
        <v>107920108</v>
      </c>
      <c r="H686" s="166">
        <v>0</v>
      </c>
      <c r="I686" s="166">
        <v>11573817.57</v>
      </c>
      <c r="J686" s="166">
        <v>0</v>
      </c>
      <c r="K686" s="166">
        <v>6575623.4299999997</v>
      </c>
      <c r="L686" s="168">
        <f t="shared" si="31"/>
        <v>3.0091617152230219E-2</v>
      </c>
      <c r="M686" s="166">
        <v>6575623.4299999997</v>
      </c>
      <c r="N686" s="166">
        <v>200370667</v>
      </c>
      <c r="O686" s="439">
        <f t="shared" si="32"/>
        <v>0.91694384024375464</v>
      </c>
    </row>
    <row r="687" spans="1:15" s="143" customFormat="1" x14ac:dyDescent="0.25">
      <c r="A687" s="422"/>
      <c r="B687" s="423"/>
      <c r="C687" s="423"/>
      <c r="D687" s="423"/>
      <c r="E687" s="424"/>
      <c r="F687" s="424">
        <f>F588+F607+F647+F670+F678</f>
        <v>125612036</v>
      </c>
      <c r="G687" s="424"/>
      <c r="H687" s="424"/>
      <c r="I687" s="424"/>
      <c r="J687" s="424"/>
      <c r="K687" s="424">
        <f>K588+K607+K647+K670+K678</f>
        <v>56152505.770000003</v>
      </c>
      <c r="L687" s="425">
        <f t="shared" si="31"/>
        <v>0.4470312524032331</v>
      </c>
      <c r="M687" s="424"/>
      <c r="N687" s="424">
        <f>N588+N607+N647+N670+N678</f>
        <v>57629529.530000001</v>
      </c>
      <c r="O687" s="426">
        <f t="shared" si="32"/>
        <v>0.4587898689103328</v>
      </c>
    </row>
    <row r="688" spans="1:15" s="143" customFormat="1" ht="15.75" customHeight="1" x14ac:dyDescent="0.25">
      <c r="A688" s="308"/>
      <c r="B688" s="308"/>
      <c r="C688" s="308"/>
      <c r="D688" s="308"/>
      <c r="E688" s="305"/>
      <c r="F688" s="305"/>
      <c r="G688" s="305"/>
      <c r="H688" s="305"/>
      <c r="I688" s="305"/>
      <c r="J688" s="305"/>
      <c r="K688" s="305"/>
      <c r="L688" s="306"/>
      <c r="M688" s="305"/>
      <c r="N688" s="305"/>
      <c r="O688" s="306"/>
    </row>
    <row r="689" spans="1:15" s="143" customFormat="1" x14ac:dyDescent="0.25">
      <c r="A689" s="413" t="s">
        <v>719</v>
      </c>
      <c r="B689" s="414" t="s">
        <v>71</v>
      </c>
      <c r="C689" s="414" t="s">
        <v>72</v>
      </c>
      <c r="D689" s="414" t="s">
        <v>69</v>
      </c>
      <c r="E689" s="415">
        <v>7726375169</v>
      </c>
      <c r="F689" s="436">
        <v>7514142101</v>
      </c>
      <c r="G689" s="436">
        <v>7487123722</v>
      </c>
      <c r="H689" s="436">
        <v>0</v>
      </c>
      <c r="I689" s="436">
        <v>739407403.11000001</v>
      </c>
      <c r="J689" s="436">
        <v>0</v>
      </c>
      <c r="K689" s="436">
        <v>2511434543.04</v>
      </c>
      <c r="L689" s="437">
        <f t="shared" ref="L689:L712" si="33">+K689/F689</f>
        <v>0.33422771479205488</v>
      </c>
      <c r="M689" s="436">
        <v>2511434543.04</v>
      </c>
      <c r="N689" s="436">
        <v>4263300154.8499999</v>
      </c>
      <c r="O689" s="438">
        <f t="shared" ref="O689:O712" si="34">+N689/F689</f>
        <v>0.56737017979505999</v>
      </c>
    </row>
    <row r="690" spans="1:15" s="143" customFormat="1" hidden="1" x14ac:dyDescent="0.25">
      <c r="A690" s="399" t="s">
        <v>719</v>
      </c>
      <c r="B690" s="44" t="s">
        <v>73</v>
      </c>
      <c r="C690" s="44" t="s">
        <v>74</v>
      </c>
      <c r="D690" s="44" t="s">
        <v>69</v>
      </c>
      <c r="E690" s="50">
        <v>2598911346</v>
      </c>
      <c r="F690" s="166">
        <v>2517033928</v>
      </c>
      <c r="G690" s="166">
        <v>2517033928</v>
      </c>
      <c r="H690" s="166">
        <v>0</v>
      </c>
      <c r="I690" s="166">
        <v>0</v>
      </c>
      <c r="J690" s="166">
        <v>0</v>
      </c>
      <c r="K690" s="166">
        <v>803805091.63999999</v>
      </c>
      <c r="L690" s="168">
        <f t="shared" si="33"/>
        <v>0.31934614893280056</v>
      </c>
      <c r="M690" s="166">
        <v>803805091.63999999</v>
      </c>
      <c r="N690" s="166">
        <v>1713228836.3599999</v>
      </c>
      <c r="O690" s="439">
        <f t="shared" si="34"/>
        <v>0.68065385106719944</v>
      </c>
    </row>
    <row r="691" spans="1:15" s="143" customFormat="1" hidden="1" x14ac:dyDescent="0.25">
      <c r="A691" s="399" t="s">
        <v>719</v>
      </c>
      <c r="B691" s="44" t="s">
        <v>75</v>
      </c>
      <c r="C691" s="44" t="s">
        <v>76</v>
      </c>
      <c r="D691" s="44" t="s">
        <v>69</v>
      </c>
      <c r="E691" s="50">
        <v>2598911346</v>
      </c>
      <c r="F691" s="166">
        <v>2513033928</v>
      </c>
      <c r="G691" s="166">
        <v>2513033928</v>
      </c>
      <c r="H691" s="166">
        <v>0</v>
      </c>
      <c r="I691" s="166">
        <v>0</v>
      </c>
      <c r="J691" s="166">
        <v>0</v>
      </c>
      <c r="K691" s="166">
        <v>803805091.63999999</v>
      </c>
      <c r="L691" s="168">
        <f t="shared" si="33"/>
        <v>0.31985445269324669</v>
      </c>
      <c r="M691" s="166">
        <v>803805091.63999999</v>
      </c>
      <c r="N691" s="166">
        <v>1709228836.3599999</v>
      </c>
      <c r="O691" s="439">
        <f t="shared" si="34"/>
        <v>0.68014554730675325</v>
      </c>
    </row>
    <row r="692" spans="1:15" s="143" customFormat="1" hidden="1" x14ac:dyDescent="0.25">
      <c r="A692" s="399" t="s">
        <v>719</v>
      </c>
      <c r="B692" s="44" t="s">
        <v>291</v>
      </c>
      <c r="C692" s="44" t="s">
        <v>292</v>
      </c>
      <c r="D692" s="44" t="s">
        <v>69</v>
      </c>
      <c r="E692" s="50">
        <v>0</v>
      </c>
      <c r="F692" s="166">
        <v>4000000</v>
      </c>
      <c r="G692" s="166">
        <v>4000000</v>
      </c>
      <c r="H692" s="166">
        <v>0</v>
      </c>
      <c r="I692" s="166">
        <v>0</v>
      </c>
      <c r="J692" s="166">
        <v>0</v>
      </c>
      <c r="K692" s="166">
        <v>0</v>
      </c>
      <c r="L692" s="168">
        <f t="shared" si="33"/>
        <v>0</v>
      </c>
      <c r="M692" s="166">
        <v>0</v>
      </c>
      <c r="N692" s="166">
        <v>4000000</v>
      </c>
      <c r="O692" s="439">
        <f t="shared" si="34"/>
        <v>1</v>
      </c>
    </row>
    <row r="693" spans="1:15" s="143" customFormat="1" hidden="1" x14ac:dyDescent="0.25">
      <c r="A693" s="399" t="s">
        <v>719</v>
      </c>
      <c r="B693" s="44" t="s">
        <v>77</v>
      </c>
      <c r="C693" s="44" t="s">
        <v>78</v>
      </c>
      <c r="D693" s="44" t="s">
        <v>69</v>
      </c>
      <c r="E693" s="50">
        <v>3948833757</v>
      </c>
      <c r="F693" s="166">
        <v>3851161380</v>
      </c>
      <c r="G693" s="166">
        <v>3824143001</v>
      </c>
      <c r="H693" s="166">
        <v>0</v>
      </c>
      <c r="I693" s="166">
        <v>0</v>
      </c>
      <c r="J693" s="166">
        <v>0</v>
      </c>
      <c r="K693" s="166">
        <v>1301090061.51</v>
      </c>
      <c r="L693" s="168">
        <f t="shared" si="33"/>
        <v>0.3378435575997597</v>
      </c>
      <c r="M693" s="166">
        <v>1301090061.51</v>
      </c>
      <c r="N693" s="166">
        <v>2550071318.4899998</v>
      </c>
      <c r="O693" s="439">
        <f t="shared" si="34"/>
        <v>0.6621564424002403</v>
      </c>
    </row>
    <row r="694" spans="1:15" s="143" customFormat="1" hidden="1" x14ac:dyDescent="0.25">
      <c r="A694" s="399" t="s">
        <v>719</v>
      </c>
      <c r="B694" s="44" t="s">
        <v>79</v>
      </c>
      <c r="C694" s="44" t="s">
        <v>80</v>
      </c>
      <c r="D694" s="44" t="s">
        <v>69</v>
      </c>
      <c r="E694" s="50">
        <v>655368000</v>
      </c>
      <c r="F694" s="166">
        <v>655368000</v>
      </c>
      <c r="G694" s="166">
        <v>628349621</v>
      </c>
      <c r="H694" s="166">
        <v>0</v>
      </c>
      <c r="I694" s="166">
        <v>0</v>
      </c>
      <c r="J694" s="166">
        <v>0</v>
      </c>
      <c r="K694" s="166">
        <v>191869967.75</v>
      </c>
      <c r="L694" s="168">
        <f t="shared" si="33"/>
        <v>0.29276676271957131</v>
      </c>
      <c r="M694" s="166">
        <v>191869967.75</v>
      </c>
      <c r="N694" s="166">
        <v>463498032.25</v>
      </c>
      <c r="O694" s="439">
        <f t="shared" si="34"/>
        <v>0.70723323728042875</v>
      </c>
    </row>
    <row r="695" spans="1:15" s="143" customFormat="1" hidden="1" x14ac:dyDescent="0.25">
      <c r="A695" s="399" t="s">
        <v>719</v>
      </c>
      <c r="B695" s="44" t="s">
        <v>81</v>
      </c>
      <c r="C695" s="44" t="s">
        <v>82</v>
      </c>
      <c r="D695" s="44" t="s">
        <v>69</v>
      </c>
      <c r="E695" s="50">
        <v>1818533000</v>
      </c>
      <c r="F695" s="166">
        <v>1771965067</v>
      </c>
      <c r="G695" s="166">
        <v>1771965067</v>
      </c>
      <c r="H695" s="166">
        <v>0</v>
      </c>
      <c r="I695" s="166">
        <v>0</v>
      </c>
      <c r="J695" s="166">
        <v>0</v>
      </c>
      <c r="K695" s="166">
        <v>548777823.65999997</v>
      </c>
      <c r="L695" s="168">
        <f t="shared" si="33"/>
        <v>0.30970013680297909</v>
      </c>
      <c r="M695" s="166">
        <v>548777823.65999997</v>
      </c>
      <c r="N695" s="166">
        <v>1223187243.3399999</v>
      </c>
      <c r="O695" s="439">
        <f t="shared" si="34"/>
        <v>0.69029986319702086</v>
      </c>
    </row>
    <row r="696" spans="1:15" s="143" customFormat="1" hidden="1" x14ac:dyDescent="0.25">
      <c r="A696" s="399" t="s">
        <v>719</v>
      </c>
      <c r="B696" s="44" t="s">
        <v>83</v>
      </c>
      <c r="C696" s="44" t="s">
        <v>84</v>
      </c>
      <c r="D696" s="44" t="s">
        <v>85</v>
      </c>
      <c r="E696" s="50">
        <v>503486357</v>
      </c>
      <c r="F696" s="166">
        <v>489524732</v>
      </c>
      <c r="G696" s="166">
        <v>489524732</v>
      </c>
      <c r="H696" s="166">
        <v>0</v>
      </c>
      <c r="I696" s="166">
        <v>0</v>
      </c>
      <c r="J696" s="166">
        <v>0</v>
      </c>
      <c r="K696" s="166">
        <v>0</v>
      </c>
      <c r="L696" s="168">
        <f t="shared" si="33"/>
        <v>0</v>
      </c>
      <c r="M696" s="166">
        <v>0</v>
      </c>
      <c r="N696" s="166">
        <v>489524732</v>
      </c>
      <c r="O696" s="439">
        <f t="shared" si="34"/>
        <v>1</v>
      </c>
    </row>
    <row r="697" spans="1:15" s="143" customFormat="1" hidden="1" x14ac:dyDescent="0.25">
      <c r="A697" s="399" t="s">
        <v>719</v>
      </c>
      <c r="B697" s="44" t="s">
        <v>86</v>
      </c>
      <c r="C697" s="44" t="s">
        <v>87</v>
      </c>
      <c r="D697" s="44" t="s">
        <v>69</v>
      </c>
      <c r="E697" s="50">
        <v>463338500</v>
      </c>
      <c r="F697" s="166">
        <v>434338500</v>
      </c>
      <c r="G697" s="166">
        <v>434338500</v>
      </c>
      <c r="H697" s="166">
        <v>0</v>
      </c>
      <c r="I697" s="166">
        <v>0</v>
      </c>
      <c r="J697" s="166">
        <v>0</v>
      </c>
      <c r="K697" s="166">
        <v>407415356.12</v>
      </c>
      <c r="L697" s="168">
        <f t="shared" si="33"/>
        <v>0.93801345291748262</v>
      </c>
      <c r="M697" s="166">
        <v>407415356.12</v>
      </c>
      <c r="N697" s="166">
        <v>26923143.879999999</v>
      </c>
      <c r="O697" s="439">
        <f t="shared" si="34"/>
        <v>6.1986547082517433E-2</v>
      </c>
    </row>
    <row r="698" spans="1:15" s="143" customFormat="1" hidden="1" x14ac:dyDescent="0.25">
      <c r="A698" s="399" t="s">
        <v>719</v>
      </c>
      <c r="B698" s="44" t="s">
        <v>88</v>
      </c>
      <c r="C698" s="44" t="s">
        <v>89</v>
      </c>
      <c r="D698" s="44" t="s">
        <v>69</v>
      </c>
      <c r="E698" s="50">
        <v>508107900</v>
      </c>
      <c r="F698" s="166">
        <v>499965081</v>
      </c>
      <c r="G698" s="166">
        <v>499965081</v>
      </c>
      <c r="H698" s="166">
        <v>0</v>
      </c>
      <c r="I698" s="166">
        <v>0</v>
      </c>
      <c r="J698" s="166">
        <v>0</v>
      </c>
      <c r="K698" s="166">
        <v>153026913.97999999</v>
      </c>
      <c r="L698" s="168">
        <f t="shared" si="33"/>
        <v>0.30607520364007179</v>
      </c>
      <c r="M698" s="166">
        <v>153026913.97999999</v>
      </c>
      <c r="N698" s="166">
        <v>346938167.01999998</v>
      </c>
      <c r="O698" s="439">
        <f t="shared" si="34"/>
        <v>0.6939247963599281</v>
      </c>
    </row>
    <row r="699" spans="1:15" s="143" customFormat="1" hidden="1" x14ac:dyDescent="0.25">
      <c r="A699" s="399" t="s">
        <v>719</v>
      </c>
      <c r="B699" s="44" t="s">
        <v>90</v>
      </c>
      <c r="C699" s="44" t="s">
        <v>91</v>
      </c>
      <c r="D699" s="44" t="s">
        <v>69</v>
      </c>
      <c r="E699" s="50">
        <v>589315133</v>
      </c>
      <c r="F699" s="166">
        <v>572973497</v>
      </c>
      <c r="G699" s="166">
        <v>572973497</v>
      </c>
      <c r="H699" s="166">
        <v>0</v>
      </c>
      <c r="I699" s="166">
        <v>367699903.45999998</v>
      </c>
      <c r="J699" s="166">
        <v>0</v>
      </c>
      <c r="K699" s="166">
        <v>205273593.53999999</v>
      </c>
      <c r="L699" s="168">
        <f t="shared" si="33"/>
        <v>0.35826018937137677</v>
      </c>
      <c r="M699" s="166">
        <v>205273593.53999999</v>
      </c>
      <c r="N699" s="166">
        <v>0</v>
      </c>
      <c r="O699" s="439">
        <f t="shared" si="34"/>
        <v>0</v>
      </c>
    </row>
    <row r="700" spans="1:15" s="143" customFormat="1" hidden="1" x14ac:dyDescent="0.25">
      <c r="A700" s="399" t="s">
        <v>719</v>
      </c>
      <c r="B700" s="44" t="s">
        <v>428</v>
      </c>
      <c r="C700" s="44" t="s">
        <v>697</v>
      </c>
      <c r="D700" s="44" t="s">
        <v>69</v>
      </c>
      <c r="E700" s="50">
        <v>559093873</v>
      </c>
      <c r="F700" s="166">
        <v>543590268</v>
      </c>
      <c r="G700" s="166">
        <v>543590268</v>
      </c>
      <c r="H700" s="166">
        <v>0</v>
      </c>
      <c r="I700" s="166">
        <v>348842973.89999998</v>
      </c>
      <c r="J700" s="166">
        <v>0</v>
      </c>
      <c r="K700" s="166">
        <v>194747294.09999999</v>
      </c>
      <c r="L700" s="168">
        <f t="shared" si="33"/>
        <v>0.35826118597840678</v>
      </c>
      <c r="M700" s="166">
        <v>194747294.09999999</v>
      </c>
      <c r="N700" s="166">
        <v>0</v>
      </c>
      <c r="O700" s="439">
        <f t="shared" si="34"/>
        <v>0</v>
      </c>
    </row>
    <row r="701" spans="1:15" s="143" customFormat="1" hidden="1" x14ac:dyDescent="0.25">
      <c r="A701" s="399" t="s">
        <v>719</v>
      </c>
      <c r="B701" s="44" t="s">
        <v>445</v>
      </c>
      <c r="C701" s="44" t="s">
        <v>95</v>
      </c>
      <c r="D701" s="44" t="s">
        <v>69</v>
      </c>
      <c r="E701" s="50">
        <v>30221260</v>
      </c>
      <c r="F701" s="166">
        <v>29383229</v>
      </c>
      <c r="G701" s="166">
        <v>29383229</v>
      </c>
      <c r="H701" s="166">
        <v>0</v>
      </c>
      <c r="I701" s="166">
        <v>18856929.559999999</v>
      </c>
      <c r="J701" s="166">
        <v>0</v>
      </c>
      <c r="K701" s="166">
        <v>10526299.439999999</v>
      </c>
      <c r="L701" s="168">
        <f t="shared" si="33"/>
        <v>0.35824175212329451</v>
      </c>
      <c r="M701" s="166">
        <v>10526299.439999999</v>
      </c>
      <c r="N701" s="166">
        <v>0</v>
      </c>
      <c r="O701" s="439">
        <f t="shared" si="34"/>
        <v>0</v>
      </c>
    </row>
    <row r="702" spans="1:15" s="143" customFormat="1" hidden="1" x14ac:dyDescent="0.25">
      <c r="A702" s="399" t="s">
        <v>719</v>
      </c>
      <c r="B702" s="44" t="s">
        <v>96</v>
      </c>
      <c r="C702" s="44" t="s">
        <v>97</v>
      </c>
      <c r="D702" s="44" t="s">
        <v>69</v>
      </c>
      <c r="E702" s="50">
        <v>589314933</v>
      </c>
      <c r="F702" s="166">
        <v>572973296</v>
      </c>
      <c r="G702" s="166">
        <v>572973296</v>
      </c>
      <c r="H702" s="166">
        <v>0</v>
      </c>
      <c r="I702" s="166">
        <v>371707499.64999998</v>
      </c>
      <c r="J702" s="166">
        <v>0</v>
      </c>
      <c r="K702" s="166">
        <v>201265796.34999999</v>
      </c>
      <c r="L702" s="168">
        <f t="shared" si="33"/>
        <v>0.35126557861433039</v>
      </c>
      <c r="M702" s="166">
        <v>201265796.34999999</v>
      </c>
      <c r="N702" s="166">
        <v>0</v>
      </c>
      <c r="O702" s="439">
        <f t="shared" si="34"/>
        <v>0</v>
      </c>
    </row>
    <row r="703" spans="1:15" s="143" customFormat="1" hidden="1" x14ac:dyDescent="0.25">
      <c r="A703" s="399" t="s">
        <v>719</v>
      </c>
      <c r="B703" s="44" t="s">
        <v>463</v>
      </c>
      <c r="C703" s="44" t="s">
        <v>698</v>
      </c>
      <c r="D703" s="44" t="s">
        <v>69</v>
      </c>
      <c r="E703" s="50">
        <v>317323487</v>
      </c>
      <c r="F703" s="166">
        <v>308524144</v>
      </c>
      <c r="G703" s="166">
        <v>308524144</v>
      </c>
      <c r="H703" s="166">
        <v>0</v>
      </c>
      <c r="I703" s="166">
        <v>201995247.91</v>
      </c>
      <c r="J703" s="166">
        <v>0</v>
      </c>
      <c r="K703" s="166">
        <v>106528896.09</v>
      </c>
      <c r="L703" s="168">
        <f t="shared" si="33"/>
        <v>0.34528544414339257</v>
      </c>
      <c r="M703" s="166">
        <v>106528896.09</v>
      </c>
      <c r="N703" s="166">
        <v>0</v>
      </c>
      <c r="O703" s="439">
        <f t="shared" si="34"/>
        <v>0</v>
      </c>
    </row>
    <row r="704" spans="1:15" s="143" customFormat="1" hidden="1" x14ac:dyDescent="0.25">
      <c r="A704" s="399" t="s">
        <v>719</v>
      </c>
      <c r="B704" s="44" t="s">
        <v>480</v>
      </c>
      <c r="C704" s="44" t="s">
        <v>699</v>
      </c>
      <c r="D704" s="44" t="s">
        <v>69</v>
      </c>
      <c r="E704" s="50">
        <v>90663782</v>
      </c>
      <c r="F704" s="166">
        <v>88149684</v>
      </c>
      <c r="G704" s="166">
        <v>88149684</v>
      </c>
      <c r="H704" s="166">
        <v>0</v>
      </c>
      <c r="I704" s="166">
        <v>56570689.670000002</v>
      </c>
      <c r="J704" s="166">
        <v>0</v>
      </c>
      <c r="K704" s="166">
        <v>31578994.329999998</v>
      </c>
      <c r="L704" s="168">
        <f t="shared" si="33"/>
        <v>0.35824285348544188</v>
      </c>
      <c r="M704" s="166">
        <v>31578994.329999998</v>
      </c>
      <c r="N704" s="166">
        <v>0</v>
      </c>
      <c r="O704" s="439">
        <f t="shared" si="34"/>
        <v>0</v>
      </c>
    </row>
    <row r="705" spans="1:15" s="143" customFormat="1" hidden="1" x14ac:dyDescent="0.25">
      <c r="A705" s="399" t="s">
        <v>719</v>
      </c>
      <c r="B705" s="44" t="s">
        <v>497</v>
      </c>
      <c r="C705" s="44" t="s">
        <v>700</v>
      </c>
      <c r="D705" s="44" t="s">
        <v>69</v>
      </c>
      <c r="E705" s="50">
        <v>181327664</v>
      </c>
      <c r="F705" s="166">
        <v>176299468</v>
      </c>
      <c r="G705" s="166">
        <v>176299468</v>
      </c>
      <c r="H705" s="166">
        <v>0</v>
      </c>
      <c r="I705" s="166">
        <v>113141562.06999999</v>
      </c>
      <c r="J705" s="166">
        <v>0</v>
      </c>
      <c r="K705" s="166">
        <v>63157905.93</v>
      </c>
      <c r="L705" s="168">
        <f t="shared" si="33"/>
        <v>0.35824218102575328</v>
      </c>
      <c r="M705" s="166">
        <v>63157905.93</v>
      </c>
      <c r="N705" s="166">
        <v>0</v>
      </c>
      <c r="O705" s="439">
        <f t="shared" si="34"/>
        <v>0</v>
      </c>
    </row>
    <row r="706" spans="1:15" s="143" customFormat="1" x14ac:dyDescent="0.25">
      <c r="A706" s="399" t="s">
        <v>719</v>
      </c>
      <c r="B706" s="44" t="s">
        <v>248</v>
      </c>
      <c r="C706" s="44" t="s">
        <v>249</v>
      </c>
      <c r="D706" s="44" t="s">
        <v>69</v>
      </c>
      <c r="E706" s="50">
        <v>100334593</v>
      </c>
      <c r="F706" s="166">
        <v>122552325</v>
      </c>
      <c r="G706" s="166">
        <v>122552325</v>
      </c>
      <c r="H706" s="166">
        <v>0</v>
      </c>
      <c r="I706" s="166">
        <v>64014347.299999997</v>
      </c>
      <c r="J706" s="166">
        <v>0</v>
      </c>
      <c r="K706" s="166">
        <v>37439228.700000003</v>
      </c>
      <c r="L706" s="168">
        <f t="shared" si="33"/>
        <v>0.30549586635749265</v>
      </c>
      <c r="M706" s="166">
        <v>37439228.700000003</v>
      </c>
      <c r="N706" s="166">
        <v>21098749</v>
      </c>
      <c r="O706" s="439">
        <f t="shared" si="34"/>
        <v>0.17216114830950779</v>
      </c>
    </row>
    <row r="707" spans="1:15" s="143" customFormat="1" hidden="1" x14ac:dyDescent="0.25">
      <c r="A707" s="399" t="s">
        <v>719</v>
      </c>
      <c r="B707" s="44" t="s">
        <v>250</v>
      </c>
      <c r="C707" s="44" t="s">
        <v>251</v>
      </c>
      <c r="D707" s="44" t="s">
        <v>69</v>
      </c>
      <c r="E707" s="50">
        <v>100334593</v>
      </c>
      <c r="F707" s="50">
        <v>97552325</v>
      </c>
      <c r="G707" s="50">
        <v>97552325</v>
      </c>
      <c r="H707" s="50">
        <v>0</v>
      </c>
      <c r="I707" s="50">
        <v>64014347.299999997</v>
      </c>
      <c r="J707" s="50">
        <v>0</v>
      </c>
      <c r="K707" s="50">
        <v>33537977.699999999</v>
      </c>
      <c r="L707" s="152">
        <f t="shared" si="33"/>
        <v>0.3437947552762069</v>
      </c>
      <c r="M707" s="50">
        <v>33537977.699999999</v>
      </c>
      <c r="N707" s="50">
        <v>0</v>
      </c>
      <c r="O707" s="418">
        <f t="shared" si="34"/>
        <v>0</v>
      </c>
    </row>
    <row r="708" spans="1:15" s="143" customFormat="1" hidden="1" x14ac:dyDescent="0.25">
      <c r="A708" s="399" t="s">
        <v>719</v>
      </c>
      <c r="B708" s="44" t="s">
        <v>637</v>
      </c>
      <c r="C708" s="44" t="s">
        <v>702</v>
      </c>
      <c r="D708" s="44" t="s">
        <v>69</v>
      </c>
      <c r="E708" s="50">
        <v>85224013</v>
      </c>
      <c r="F708" s="50">
        <v>82860761</v>
      </c>
      <c r="G708" s="50">
        <v>82860761</v>
      </c>
      <c r="H708" s="50">
        <v>0</v>
      </c>
      <c r="I708" s="50">
        <v>54585983.340000004</v>
      </c>
      <c r="J708" s="50">
        <v>0</v>
      </c>
      <c r="K708" s="50">
        <v>28274777.66</v>
      </c>
      <c r="L708" s="152">
        <f t="shared" si="33"/>
        <v>0.34123241590793502</v>
      </c>
      <c r="M708" s="50">
        <v>28274777.66</v>
      </c>
      <c r="N708" s="50">
        <v>0</v>
      </c>
      <c r="O708" s="418">
        <f t="shared" si="34"/>
        <v>0</v>
      </c>
    </row>
    <row r="709" spans="1:15" s="143" customFormat="1" hidden="1" x14ac:dyDescent="0.25">
      <c r="A709" s="399" t="s">
        <v>719</v>
      </c>
      <c r="B709" s="44" t="s">
        <v>652</v>
      </c>
      <c r="C709" s="44" t="s">
        <v>703</v>
      </c>
      <c r="D709" s="44" t="s">
        <v>69</v>
      </c>
      <c r="E709" s="50">
        <v>15110580</v>
      </c>
      <c r="F709" s="50">
        <v>14691564</v>
      </c>
      <c r="G709" s="50">
        <v>14691564</v>
      </c>
      <c r="H709" s="50">
        <v>0</v>
      </c>
      <c r="I709" s="50">
        <v>9428363.9600000009</v>
      </c>
      <c r="J709" s="50">
        <v>0</v>
      </c>
      <c r="K709" s="50">
        <v>5263200.04</v>
      </c>
      <c r="L709" s="152">
        <f t="shared" si="33"/>
        <v>0.35824640861925933</v>
      </c>
      <c r="M709" s="50">
        <v>5263200.04</v>
      </c>
      <c r="N709" s="50">
        <v>0</v>
      </c>
      <c r="O709" s="418">
        <f t="shared" si="34"/>
        <v>0</v>
      </c>
    </row>
    <row r="710" spans="1:15" s="143" customFormat="1" hidden="1" x14ac:dyDescent="0.25">
      <c r="A710" s="399" t="s">
        <v>719</v>
      </c>
      <c r="B710" s="44" t="s">
        <v>260</v>
      </c>
      <c r="C710" s="44" t="s">
        <v>261</v>
      </c>
      <c r="D710" s="44" t="s">
        <v>69</v>
      </c>
      <c r="E710" s="50">
        <v>0</v>
      </c>
      <c r="F710" s="50">
        <v>25000000</v>
      </c>
      <c r="G710" s="50">
        <v>25000000</v>
      </c>
      <c r="H710" s="50">
        <v>0</v>
      </c>
      <c r="I710" s="50">
        <v>0</v>
      </c>
      <c r="J710" s="50">
        <v>0</v>
      </c>
      <c r="K710" s="50">
        <v>3901251</v>
      </c>
      <c r="L710" s="152">
        <f t="shared" si="33"/>
        <v>0.15605004</v>
      </c>
      <c r="M710" s="50">
        <v>3901251</v>
      </c>
      <c r="N710" s="50">
        <v>21098749</v>
      </c>
      <c r="O710" s="418">
        <f t="shared" si="34"/>
        <v>0.84394996</v>
      </c>
    </row>
    <row r="711" spans="1:15" s="143" customFormat="1" hidden="1" x14ac:dyDescent="0.25">
      <c r="A711" s="399" t="s">
        <v>719</v>
      </c>
      <c r="B711" s="44" t="s">
        <v>264</v>
      </c>
      <c r="C711" s="44" t="s">
        <v>265</v>
      </c>
      <c r="D711" s="44" t="s">
        <v>69</v>
      </c>
      <c r="E711" s="50">
        <v>0</v>
      </c>
      <c r="F711" s="50">
        <v>25000000</v>
      </c>
      <c r="G711" s="50">
        <v>25000000</v>
      </c>
      <c r="H711" s="50">
        <v>0</v>
      </c>
      <c r="I711" s="50">
        <v>0</v>
      </c>
      <c r="J711" s="50">
        <v>0</v>
      </c>
      <c r="K711" s="50">
        <v>3901251</v>
      </c>
      <c r="L711" s="152">
        <f t="shared" si="33"/>
        <v>0.15605004</v>
      </c>
      <c r="M711" s="50">
        <v>3901251</v>
      </c>
      <c r="N711" s="50">
        <v>21098749</v>
      </c>
      <c r="O711" s="418">
        <f t="shared" si="34"/>
        <v>0.84394996</v>
      </c>
    </row>
    <row r="712" spans="1:15" s="143" customFormat="1" x14ac:dyDescent="0.25">
      <c r="A712" s="422"/>
      <c r="B712" s="423"/>
      <c r="C712" s="423"/>
      <c r="D712" s="423"/>
      <c r="E712" s="424"/>
      <c r="F712" s="424">
        <f>+F689+F706</f>
        <v>7636694426</v>
      </c>
      <c r="G712" s="424"/>
      <c r="H712" s="424"/>
      <c r="I712" s="424"/>
      <c r="J712" s="424"/>
      <c r="K712" s="424">
        <f>+K689+K706</f>
        <v>2548873771.7399998</v>
      </c>
      <c r="L712" s="425">
        <f t="shared" si="33"/>
        <v>0.33376663115680882</v>
      </c>
      <c r="M712" s="424"/>
      <c r="N712" s="424">
        <f>+N689+N706</f>
        <v>4284398903.8499999</v>
      </c>
      <c r="O712" s="426">
        <f t="shared" si="34"/>
        <v>0.56102793497449288</v>
      </c>
    </row>
    <row r="713" spans="1:15" s="143" customFormat="1" x14ac:dyDescent="0.25">
      <c r="E713" s="257"/>
      <c r="F713" s="257"/>
      <c r="G713" s="257"/>
      <c r="H713" s="257"/>
      <c r="I713" s="257"/>
      <c r="J713" s="257"/>
      <c r="K713" s="257"/>
      <c r="L713" s="257"/>
      <c r="M713" s="257"/>
      <c r="N713" s="257"/>
    </row>
    <row r="714" spans="1:15" s="143" customFormat="1" x14ac:dyDescent="0.25">
      <c r="A714" s="413" t="s">
        <v>720</v>
      </c>
      <c r="B714" s="414" t="s">
        <v>71</v>
      </c>
      <c r="C714" s="414" t="s">
        <v>72</v>
      </c>
      <c r="D714" s="414" t="s">
        <v>69</v>
      </c>
      <c r="E714" s="415">
        <v>899027714</v>
      </c>
      <c r="F714" s="436">
        <v>880542675</v>
      </c>
      <c r="G714" s="436">
        <v>877048918</v>
      </c>
      <c r="H714" s="436">
        <v>0</v>
      </c>
      <c r="I714" s="436">
        <v>82849131.959999993</v>
      </c>
      <c r="J714" s="436">
        <v>0</v>
      </c>
      <c r="K714" s="436">
        <v>308506060.73000002</v>
      </c>
      <c r="L714" s="437">
        <f t="shared" ref="L714:L741" si="35">+K714/F714</f>
        <v>0.35035901097013838</v>
      </c>
      <c r="M714" s="436">
        <v>308506060.73000002</v>
      </c>
      <c r="N714" s="436">
        <v>489187482.31</v>
      </c>
      <c r="O714" s="438">
        <f t="shared" ref="O714:O741" si="36">+N714/F714</f>
        <v>0.5555522704336846</v>
      </c>
    </row>
    <row r="715" spans="1:15" s="143" customFormat="1" hidden="1" x14ac:dyDescent="0.25">
      <c r="A715" s="399" t="s">
        <v>720</v>
      </c>
      <c r="B715" s="44" t="s">
        <v>73</v>
      </c>
      <c r="C715" s="44" t="s">
        <v>74</v>
      </c>
      <c r="D715" s="44" t="s">
        <v>69</v>
      </c>
      <c r="E715" s="50">
        <v>305726500</v>
      </c>
      <c r="F715" s="166">
        <v>300395500</v>
      </c>
      <c r="G715" s="166">
        <v>300395500</v>
      </c>
      <c r="H715" s="166">
        <v>0</v>
      </c>
      <c r="I715" s="166">
        <v>0</v>
      </c>
      <c r="J715" s="166">
        <v>0</v>
      </c>
      <c r="K715" s="166">
        <v>98776115.319999993</v>
      </c>
      <c r="L715" s="168">
        <f t="shared" si="35"/>
        <v>0.32882022307258263</v>
      </c>
      <c r="M715" s="166">
        <v>98776115.319999993</v>
      </c>
      <c r="N715" s="166">
        <v>201619384.68000001</v>
      </c>
      <c r="O715" s="439">
        <f t="shared" si="36"/>
        <v>0.67117977692741737</v>
      </c>
    </row>
    <row r="716" spans="1:15" s="143" customFormat="1" hidden="1" x14ac:dyDescent="0.25">
      <c r="A716" s="399" t="s">
        <v>720</v>
      </c>
      <c r="B716" s="44" t="s">
        <v>75</v>
      </c>
      <c r="C716" s="44" t="s">
        <v>76</v>
      </c>
      <c r="D716" s="44" t="s">
        <v>69</v>
      </c>
      <c r="E716" s="50">
        <v>305726500</v>
      </c>
      <c r="F716" s="166">
        <v>298895500</v>
      </c>
      <c r="G716" s="166">
        <v>298895500</v>
      </c>
      <c r="H716" s="166">
        <v>0</v>
      </c>
      <c r="I716" s="166">
        <v>0</v>
      </c>
      <c r="J716" s="166">
        <v>0</v>
      </c>
      <c r="K716" s="166">
        <v>98776115.319999993</v>
      </c>
      <c r="L716" s="168">
        <f t="shared" si="35"/>
        <v>0.33047039958781577</v>
      </c>
      <c r="M716" s="166">
        <v>98776115.319999993</v>
      </c>
      <c r="N716" s="166">
        <v>200119384.68000001</v>
      </c>
      <c r="O716" s="439">
        <f t="shared" si="36"/>
        <v>0.66952960041218423</v>
      </c>
    </row>
    <row r="717" spans="1:15" s="143" customFormat="1" hidden="1" x14ac:dyDescent="0.25">
      <c r="A717" s="399" t="s">
        <v>720</v>
      </c>
      <c r="B717" s="44" t="s">
        <v>291</v>
      </c>
      <c r="C717" s="44" t="s">
        <v>292</v>
      </c>
      <c r="D717" s="44" t="s">
        <v>69</v>
      </c>
      <c r="E717" s="50">
        <v>0</v>
      </c>
      <c r="F717" s="166">
        <v>1500000</v>
      </c>
      <c r="G717" s="166">
        <v>1500000</v>
      </c>
      <c r="H717" s="166">
        <v>0</v>
      </c>
      <c r="I717" s="166">
        <v>0</v>
      </c>
      <c r="J717" s="166">
        <v>0</v>
      </c>
      <c r="K717" s="166">
        <v>0</v>
      </c>
      <c r="L717" s="168">
        <f t="shared" si="35"/>
        <v>0</v>
      </c>
      <c r="M717" s="166">
        <v>0</v>
      </c>
      <c r="N717" s="166">
        <v>1500000</v>
      </c>
      <c r="O717" s="439">
        <f t="shared" si="36"/>
        <v>1</v>
      </c>
    </row>
    <row r="718" spans="1:15" s="143" customFormat="1" hidden="1" x14ac:dyDescent="0.25">
      <c r="A718" s="399" t="s">
        <v>720</v>
      </c>
      <c r="B718" s="44" t="s">
        <v>77</v>
      </c>
      <c r="C718" s="44" t="s">
        <v>78</v>
      </c>
      <c r="D718" s="44" t="s">
        <v>69</v>
      </c>
      <c r="E718" s="50">
        <v>456157950</v>
      </c>
      <c r="F718" s="166">
        <v>445746506</v>
      </c>
      <c r="G718" s="166">
        <v>442252749</v>
      </c>
      <c r="H718" s="166">
        <v>0</v>
      </c>
      <c r="I718" s="166">
        <v>0</v>
      </c>
      <c r="J718" s="166">
        <v>0</v>
      </c>
      <c r="K718" s="166">
        <v>158178408.37</v>
      </c>
      <c r="L718" s="168">
        <f t="shared" si="35"/>
        <v>0.35486180203507867</v>
      </c>
      <c r="M718" s="166">
        <v>158178408.37</v>
      </c>
      <c r="N718" s="166">
        <v>287568097.63</v>
      </c>
      <c r="O718" s="439">
        <f t="shared" si="36"/>
        <v>0.64513819796492133</v>
      </c>
    </row>
    <row r="719" spans="1:15" s="143" customFormat="1" hidden="1" x14ac:dyDescent="0.25">
      <c r="A719" s="399" t="s">
        <v>720</v>
      </c>
      <c r="B719" s="44" t="s">
        <v>79</v>
      </c>
      <c r="C719" s="44" t="s">
        <v>80</v>
      </c>
      <c r="D719" s="44" t="s">
        <v>69</v>
      </c>
      <c r="E719" s="50">
        <v>79360300</v>
      </c>
      <c r="F719" s="166">
        <v>79360300</v>
      </c>
      <c r="G719" s="166">
        <v>75866543</v>
      </c>
      <c r="H719" s="166">
        <v>0</v>
      </c>
      <c r="I719" s="166">
        <v>0</v>
      </c>
      <c r="J719" s="166">
        <v>0</v>
      </c>
      <c r="K719" s="166">
        <v>24276550.420000002</v>
      </c>
      <c r="L719" s="168">
        <f t="shared" si="35"/>
        <v>0.30590295676805662</v>
      </c>
      <c r="M719" s="166">
        <v>24276550.420000002</v>
      </c>
      <c r="N719" s="166">
        <v>55083749.579999998</v>
      </c>
      <c r="O719" s="439">
        <f t="shared" si="36"/>
        <v>0.69409704323194343</v>
      </c>
    </row>
    <row r="720" spans="1:15" s="143" customFormat="1" hidden="1" x14ac:dyDescent="0.25">
      <c r="A720" s="399" t="s">
        <v>720</v>
      </c>
      <c r="B720" s="44" t="s">
        <v>81</v>
      </c>
      <c r="C720" s="44" t="s">
        <v>82</v>
      </c>
      <c r="D720" s="44" t="s">
        <v>69</v>
      </c>
      <c r="E720" s="50">
        <v>203715000</v>
      </c>
      <c r="F720" s="166">
        <v>200338818</v>
      </c>
      <c r="G720" s="166">
        <v>200338818</v>
      </c>
      <c r="H720" s="166">
        <v>0</v>
      </c>
      <c r="I720" s="166">
        <v>0</v>
      </c>
      <c r="J720" s="166">
        <v>0</v>
      </c>
      <c r="K720" s="166">
        <v>67031930.359999999</v>
      </c>
      <c r="L720" s="168">
        <f t="shared" si="35"/>
        <v>0.33459282144711466</v>
      </c>
      <c r="M720" s="166">
        <v>67031930.359999999</v>
      </c>
      <c r="N720" s="166">
        <v>133306887.64</v>
      </c>
      <c r="O720" s="439">
        <f t="shared" si="36"/>
        <v>0.66540717855288534</v>
      </c>
    </row>
    <row r="721" spans="1:15" s="143" customFormat="1" hidden="1" x14ac:dyDescent="0.25">
      <c r="A721" s="399" t="s">
        <v>720</v>
      </c>
      <c r="B721" s="44" t="s">
        <v>83</v>
      </c>
      <c r="C721" s="44" t="s">
        <v>84</v>
      </c>
      <c r="D721" s="44" t="s">
        <v>85</v>
      </c>
      <c r="E721" s="50">
        <v>58584550</v>
      </c>
      <c r="F721" s="166">
        <v>57412968</v>
      </c>
      <c r="G721" s="166">
        <v>57412968</v>
      </c>
      <c r="H721" s="166">
        <v>0</v>
      </c>
      <c r="I721" s="166">
        <v>0</v>
      </c>
      <c r="J721" s="166">
        <v>0</v>
      </c>
      <c r="K721" s="166">
        <v>0</v>
      </c>
      <c r="L721" s="168">
        <f t="shared" si="35"/>
        <v>0</v>
      </c>
      <c r="M721" s="166">
        <v>0</v>
      </c>
      <c r="N721" s="166">
        <v>57412968</v>
      </c>
      <c r="O721" s="439">
        <f t="shared" si="36"/>
        <v>1</v>
      </c>
    </row>
    <row r="722" spans="1:15" s="143" customFormat="1" hidden="1" x14ac:dyDescent="0.25">
      <c r="A722" s="399" t="s">
        <v>720</v>
      </c>
      <c r="B722" s="44" t="s">
        <v>86</v>
      </c>
      <c r="C722" s="44" t="s">
        <v>87</v>
      </c>
      <c r="D722" s="44" t="s">
        <v>69</v>
      </c>
      <c r="E722" s="50">
        <v>53908100</v>
      </c>
      <c r="F722" s="166">
        <v>48408100</v>
      </c>
      <c r="G722" s="166">
        <v>48408100</v>
      </c>
      <c r="H722" s="166">
        <v>0</v>
      </c>
      <c r="I722" s="166">
        <v>0</v>
      </c>
      <c r="J722" s="166">
        <v>0</v>
      </c>
      <c r="K722" s="166">
        <v>47507997.909999996</v>
      </c>
      <c r="L722" s="168">
        <f t="shared" si="35"/>
        <v>0.98140596119244494</v>
      </c>
      <c r="M722" s="166">
        <v>47507997.909999996</v>
      </c>
      <c r="N722" s="166">
        <v>900102.09</v>
      </c>
      <c r="O722" s="439">
        <f t="shared" si="36"/>
        <v>1.8594038807554933E-2</v>
      </c>
    </row>
    <row r="723" spans="1:15" s="143" customFormat="1" hidden="1" x14ac:dyDescent="0.25">
      <c r="A723" s="399" t="s">
        <v>720</v>
      </c>
      <c r="B723" s="44" t="s">
        <v>88</v>
      </c>
      <c r="C723" s="44" t="s">
        <v>89</v>
      </c>
      <c r="D723" s="44" t="s">
        <v>69</v>
      </c>
      <c r="E723" s="50">
        <v>60590000</v>
      </c>
      <c r="F723" s="166">
        <v>60226320</v>
      </c>
      <c r="G723" s="166">
        <v>60226320</v>
      </c>
      <c r="H723" s="166">
        <v>0</v>
      </c>
      <c r="I723" s="166">
        <v>0</v>
      </c>
      <c r="J723" s="166">
        <v>0</v>
      </c>
      <c r="K723" s="166">
        <v>19361929.68</v>
      </c>
      <c r="L723" s="168">
        <f t="shared" si="35"/>
        <v>0.32148618212103941</v>
      </c>
      <c r="M723" s="166">
        <v>19361929.68</v>
      </c>
      <c r="N723" s="166">
        <v>40864390.32</v>
      </c>
      <c r="O723" s="439">
        <f t="shared" si="36"/>
        <v>0.67851381787896059</v>
      </c>
    </row>
    <row r="724" spans="1:15" s="143" customFormat="1" hidden="1" x14ac:dyDescent="0.25">
      <c r="A724" s="399" t="s">
        <v>720</v>
      </c>
      <c r="B724" s="44" t="s">
        <v>90</v>
      </c>
      <c r="C724" s="44" t="s">
        <v>91</v>
      </c>
      <c r="D724" s="44" t="s">
        <v>69</v>
      </c>
      <c r="E724" s="50">
        <v>68571682</v>
      </c>
      <c r="F724" s="166">
        <v>67200384</v>
      </c>
      <c r="G724" s="166">
        <v>67200384</v>
      </c>
      <c r="H724" s="166">
        <v>0</v>
      </c>
      <c r="I724" s="166">
        <v>41170014.530000001</v>
      </c>
      <c r="J724" s="166">
        <v>0</v>
      </c>
      <c r="K724" s="166">
        <v>26030369.469999999</v>
      </c>
      <c r="L724" s="168">
        <f t="shared" si="35"/>
        <v>0.3873544750875233</v>
      </c>
      <c r="M724" s="166">
        <v>26030369.469999999</v>
      </c>
      <c r="N724" s="166">
        <v>0</v>
      </c>
      <c r="O724" s="439">
        <f t="shared" si="36"/>
        <v>0</v>
      </c>
    </row>
    <row r="725" spans="1:15" s="143" customFormat="1" hidden="1" x14ac:dyDescent="0.25">
      <c r="A725" s="399" t="s">
        <v>720</v>
      </c>
      <c r="B725" s="44" t="s">
        <v>429</v>
      </c>
      <c r="C725" s="44" t="s">
        <v>697</v>
      </c>
      <c r="D725" s="44" t="s">
        <v>69</v>
      </c>
      <c r="E725" s="50">
        <v>65055209</v>
      </c>
      <c r="F725" s="166">
        <v>63754233</v>
      </c>
      <c r="G725" s="166">
        <v>63754233</v>
      </c>
      <c r="H725" s="166">
        <v>0</v>
      </c>
      <c r="I725" s="166">
        <v>39059633.060000002</v>
      </c>
      <c r="J725" s="166">
        <v>0</v>
      </c>
      <c r="K725" s="166">
        <v>24694599.940000001</v>
      </c>
      <c r="L725" s="168">
        <f t="shared" si="35"/>
        <v>0.38734055415583152</v>
      </c>
      <c r="M725" s="166">
        <v>24694599.940000001</v>
      </c>
      <c r="N725" s="166">
        <v>0</v>
      </c>
      <c r="O725" s="439">
        <f t="shared" si="36"/>
        <v>0</v>
      </c>
    </row>
    <row r="726" spans="1:15" s="143" customFormat="1" hidden="1" x14ac:dyDescent="0.25">
      <c r="A726" s="399" t="s">
        <v>720</v>
      </c>
      <c r="B726" s="44" t="s">
        <v>446</v>
      </c>
      <c r="C726" s="44" t="s">
        <v>95</v>
      </c>
      <c r="D726" s="44" t="s">
        <v>69</v>
      </c>
      <c r="E726" s="50">
        <v>3516473</v>
      </c>
      <c r="F726" s="166">
        <v>3446151</v>
      </c>
      <c r="G726" s="166">
        <v>3446151</v>
      </c>
      <c r="H726" s="166">
        <v>0</v>
      </c>
      <c r="I726" s="166">
        <v>2110381.4700000002</v>
      </c>
      <c r="J726" s="166">
        <v>0</v>
      </c>
      <c r="K726" s="166">
        <v>1335769.53</v>
      </c>
      <c r="L726" s="168">
        <f t="shared" si="35"/>
        <v>0.38761201409920809</v>
      </c>
      <c r="M726" s="166">
        <v>1335769.53</v>
      </c>
      <c r="N726" s="166">
        <v>0</v>
      </c>
      <c r="O726" s="439">
        <f t="shared" si="36"/>
        <v>0</v>
      </c>
    </row>
    <row r="727" spans="1:15" s="143" customFormat="1" hidden="1" x14ac:dyDescent="0.25">
      <c r="A727" s="399" t="s">
        <v>720</v>
      </c>
      <c r="B727" s="44" t="s">
        <v>96</v>
      </c>
      <c r="C727" s="44" t="s">
        <v>97</v>
      </c>
      <c r="D727" s="44" t="s">
        <v>69</v>
      </c>
      <c r="E727" s="50">
        <v>68571582</v>
      </c>
      <c r="F727" s="166">
        <v>67200285</v>
      </c>
      <c r="G727" s="166">
        <v>67200285</v>
      </c>
      <c r="H727" s="166">
        <v>0</v>
      </c>
      <c r="I727" s="166">
        <v>41679117.43</v>
      </c>
      <c r="J727" s="166">
        <v>0</v>
      </c>
      <c r="K727" s="166">
        <v>25521167.57</v>
      </c>
      <c r="L727" s="168">
        <f t="shared" si="35"/>
        <v>0.37977766865125645</v>
      </c>
      <c r="M727" s="166">
        <v>25521167.57</v>
      </c>
      <c r="N727" s="166">
        <v>0</v>
      </c>
      <c r="O727" s="439">
        <f t="shared" si="36"/>
        <v>0</v>
      </c>
    </row>
    <row r="728" spans="1:15" s="143" customFormat="1" hidden="1" x14ac:dyDescent="0.25">
      <c r="A728" s="399" t="s">
        <v>720</v>
      </c>
      <c r="B728" s="44" t="s">
        <v>464</v>
      </c>
      <c r="C728" s="44" t="s">
        <v>698</v>
      </c>
      <c r="D728" s="44" t="s">
        <v>69</v>
      </c>
      <c r="E728" s="50">
        <v>36923221</v>
      </c>
      <c r="F728" s="166">
        <v>36184829</v>
      </c>
      <c r="G728" s="166">
        <v>36184829</v>
      </c>
      <c r="H728" s="166">
        <v>0</v>
      </c>
      <c r="I728" s="166">
        <v>22676613.210000001</v>
      </c>
      <c r="J728" s="166">
        <v>0</v>
      </c>
      <c r="K728" s="166">
        <v>13508215.789999999</v>
      </c>
      <c r="L728" s="168">
        <f t="shared" si="35"/>
        <v>0.3733115828735849</v>
      </c>
      <c r="M728" s="166">
        <v>13508215.789999999</v>
      </c>
      <c r="N728" s="166">
        <v>0</v>
      </c>
      <c r="O728" s="439">
        <f t="shared" si="36"/>
        <v>0</v>
      </c>
    </row>
    <row r="729" spans="1:15" s="143" customFormat="1" hidden="1" x14ac:dyDescent="0.25">
      <c r="A729" s="399" t="s">
        <v>720</v>
      </c>
      <c r="B729" s="44" t="s">
        <v>481</v>
      </c>
      <c r="C729" s="44" t="s">
        <v>699</v>
      </c>
      <c r="D729" s="44" t="s">
        <v>69</v>
      </c>
      <c r="E729" s="50">
        <v>10549420</v>
      </c>
      <c r="F729" s="166">
        <v>10338452</v>
      </c>
      <c r="G729" s="166">
        <v>10338452</v>
      </c>
      <c r="H729" s="166">
        <v>0</v>
      </c>
      <c r="I729" s="166">
        <v>6334131.25</v>
      </c>
      <c r="J729" s="166">
        <v>0</v>
      </c>
      <c r="K729" s="166">
        <v>4004320.75</v>
      </c>
      <c r="L729" s="168">
        <f t="shared" si="35"/>
        <v>0.38732304894388442</v>
      </c>
      <c r="M729" s="166">
        <v>4004320.75</v>
      </c>
      <c r="N729" s="166">
        <v>0</v>
      </c>
      <c r="O729" s="439">
        <f t="shared" si="36"/>
        <v>0</v>
      </c>
    </row>
    <row r="730" spans="1:15" s="143" customFormat="1" hidden="1" x14ac:dyDescent="0.25">
      <c r="A730" s="399" t="s">
        <v>720</v>
      </c>
      <c r="B730" s="44" t="s">
        <v>498</v>
      </c>
      <c r="C730" s="44" t="s">
        <v>700</v>
      </c>
      <c r="D730" s="44" t="s">
        <v>69</v>
      </c>
      <c r="E730" s="50">
        <v>21098941</v>
      </c>
      <c r="F730" s="166">
        <v>20677004</v>
      </c>
      <c r="G730" s="166">
        <v>20677004</v>
      </c>
      <c r="H730" s="166">
        <v>0</v>
      </c>
      <c r="I730" s="166">
        <v>12668372.970000001</v>
      </c>
      <c r="J730" s="166">
        <v>0</v>
      </c>
      <c r="K730" s="166">
        <v>8008631.0300000003</v>
      </c>
      <c r="L730" s="168">
        <f t="shared" si="35"/>
        <v>0.38732066937743981</v>
      </c>
      <c r="M730" s="166">
        <v>8008631.0300000003</v>
      </c>
      <c r="N730" s="166">
        <v>0</v>
      </c>
      <c r="O730" s="439">
        <f t="shared" si="36"/>
        <v>0</v>
      </c>
    </row>
    <row r="731" spans="1:15" s="143" customFormat="1" x14ac:dyDescent="0.25">
      <c r="A731" s="399" t="s">
        <v>720</v>
      </c>
      <c r="B731" s="44" t="s">
        <v>104</v>
      </c>
      <c r="C731" s="44" t="s">
        <v>105</v>
      </c>
      <c r="D731" s="44" t="s">
        <v>69</v>
      </c>
      <c r="E731" s="50">
        <v>7541300</v>
      </c>
      <c r="F731" s="166">
        <v>2222626</v>
      </c>
      <c r="G731" s="166">
        <v>2222626</v>
      </c>
      <c r="H731" s="166">
        <v>0</v>
      </c>
      <c r="I731" s="166">
        <v>0</v>
      </c>
      <c r="J731" s="166">
        <v>0</v>
      </c>
      <c r="K731" s="166">
        <v>1342926.72</v>
      </c>
      <c r="L731" s="168">
        <f t="shared" si="35"/>
        <v>0.60420723954457478</v>
      </c>
      <c r="M731" s="166">
        <v>1342926.72</v>
      </c>
      <c r="N731" s="166">
        <v>879699.28</v>
      </c>
      <c r="O731" s="439">
        <f t="shared" si="36"/>
        <v>0.39579276045542527</v>
      </c>
    </row>
    <row r="732" spans="1:15" s="143" customFormat="1" hidden="1" x14ac:dyDescent="0.25">
      <c r="A732" s="399" t="s">
        <v>720</v>
      </c>
      <c r="B732" s="44" t="s">
        <v>140</v>
      </c>
      <c r="C732" s="44" t="s">
        <v>141</v>
      </c>
      <c r="D732" s="44" t="s">
        <v>69</v>
      </c>
      <c r="E732" s="50">
        <v>7541300</v>
      </c>
      <c r="F732" s="166">
        <v>2222626</v>
      </c>
      <c r="G732" s="166">
        <v>2222626</v>
      </c>
      <c r="H732" s="166">
        <v>0</v>
      </c>
      <c r="I732" s="166">
        <v>0</v>
      </c>
      <c r="J732" s="166">
        <v>0</v>
      </c>
      <c r="K732" s="166">
        <v>1342926.72</v>
      </c>
      <c r="L732" s="168">
        <f t="shared" si="35"/>
        <v>0.60420723954457478</v>
      </c>
      <c r="M732" s="166">
        <v>1342926.72</v>
      </c>
      <c r="N732" s="166">
        <v>879699.28</v>
      </c>
      <c r="O732" s="439">
        <f t="shared" si="36"/>
        <v>0.39579276045542527</v>
      </c>
    </row>
    <row r="733" spans="1:15" s="143" customFormat="1" hidden="1" x14ac:dyDescent="0.25">
      <c r="A733" s="399" t="s">
        <v>720</v>
      </c>
      <c r="B733" s="44" t="s">
        <v>146</v>
      </c>
      <c r="C733" s="44" t="s">
        <v>147</v>
      </c>
      <c r="D733" s="44" t="s">
        <v>69</v>
      </c>
      <c r="E733" s="50">
        <v>2513800</v>
      </c>
      <c r="F733" s="166">
        <v>434386</v>
      </c>
      <c r="G733" s="166">
        <v>434386</v>
      </c>
      <c r="H733" s="166">
        <v>0</v>
      </c>
      <c r="I733" s="166">
        <v>0</v>
      </c>
      <c r="J733" s="166">
        <v>0</v>
      </c>
      <c r="K733" s="166">
        <v>434385.63</v>
      </c>
      <c r="L733" s="168">
        <f t="shared" si="35"/>
        <v>0.99999914822300906</v>
      </c>
      <c r="M733" s="166">
        <v>434385.63</v>
      </c>
      <c r="N733" s="166">
        <v>0.37</v>
      </c>
      <c r="O733" s="439">
        <f t="shared" si="36"/>
        <v>8.5177699097116383E-7</v>
      </c>
    </row>
    <row r="734" spans="1:15" s="143" customFormat="1" hidden="1" x14ac:dyDescent="0.25">
      <c r="A734" s="399" t="s">
        <v>720</v>
      </c>
      <c r="B734" s="44" t="s">
        <v>148</v>
      </c>
      <c r="C734" s="44" t="s">
        <v>149</v>
      </c>
      <c r="D734" s="44" t="s">
        <v>69</v>
      </c>
      <c r="E734" s="50">
        <v>5027500</v>
      </c>
      <c r="F734" s="166">
        <v>1788240</v>
      </c>
      <c r="G734" s="166">
        <v>1788240</v>
      </c>
      <c r="H734" s="166">
        <v>0</v>
      </c>
      <c r="I734" s="166">
        <v>0</v>
      </c>
      <c r="J734" s="166">
        <v>0</v>
      </c>
      <c r="K734" s="166">
        <v>908541.09</v>
      </c>
      <c r="L734" s="168">
        <f t="shared" si="35"/>
        <v>0.50806440410683129</v>
      </c>
      <c r="M734" s="166">
        <v>908541.09</v>
      </c>
      <c r="N734" s="166">
        <v>879698.91</v>
      </c>
      <c r="O734" s="439">
        <f t="shared" si="36"/>
        <v>0.49193559589316871</v>
      </c>
    </row>
    <row r="735" spans="1:15" s="143" customFormat="1" x14ac:dyDescent="0.25">
      <c r="A735" s="399" t="s">
        <v>720</v>
      </c>
      <c r="B735" s="44" t="s">
        <v>248</v>
      </c>
      <c r="C735" s="44" t="s">
        <v>249</v>
      </c>
      <c r="D735" s="44" t="s">
        <v>69</v>
      </c>
      <c r="E735" s="50">
        <v>11674695</v>
      </c>
      <c r="F735" s="166">
        <v>15441224</v>
      </c>
      <c r="G735" s="166">
        <v>15441224</v>
      </c>
      <c r="H735" s="166">
        <v>0</v>
      </c>
      <c r="I735" s="166">
        <v>7247939.6500000004</v>
      </c>
      <c r="J735" s="166">
        <v>0</v>
      </c>
      <c r="K735" s="166">
        <v>4634441.3499999996</v>
      </c>
      <c r="L735" s="168">
        <f t="shared" si="35"/>
        <v>0.30013432549129521</v>
      </c>
      <c r="M735" s="166">
        <v>4634441.3499999996</v>
      </c>
      <c r="N735" s="166">
        <v>3558843</v>
      </c>
      <c r="O735" s="439">
        <f t="shared" si="36"/>
        <v>0.23047674199920939</v>
      </c>
    </row>
    <row r="736" spans="1:15" s="143" customFormat="1" hidden="1" x14ac:dyDescent="0.25">
      <c r="A736" s="399" t="s">
        <v>720</v>
      </c>
      <c r="B736" s="44" t="s">
        <v>250</v>
      </c>
      <c r="C736" s="44" t="s">
        <v>251</v>
      </c>
      <c r="D736" s="44" t="s">
        <v>69</v>
      </c>
      <c r="E736" s="50">
        <v>11674695</v>
      </c>
      <c r="F736" s="50">
        <v>11441224</v>
      </c>
      <c r="G736" s="50">
        <v>11441224</v>
      </c>
      <c r="H736" s="50">
        <v>0</v>
      </c>
      <c r="I736" s="50">
        <v>7247939.6500000004</v>
      </c>
      <c r="J736" s="50">
        <v>0</v>
      </c>
      <c r="K736" s="50">
        <v>4193284.35</v>
      </c>
      <c r="L736" s="152">
        <f t="shared" si="35"/>
        <v>0.3665066211447307</v>
      </c>
      <c r="M736" s="50">
        <v>4193284.35</v>
      </c>
      <c r="N736" s="50">
        <v>0</v>
      </c>
      <c r="O736" s="418">
        <f t="shared" si="36"/>
        <v>0</v>
      </c>
    </row>
    <row r="737" spans="1:15" s="143" customFormat="1" hidden="1" x14ac:dyDescent="0.25">
      <c r="A737" s="399" t="s">
        <v>720</v>
      </c>
      <c r="B737" s="44" t="s">
        <v>638</v>
      </c>
      <c r="C737" s="44" t="s">
        <v>702</v>
      </c>
      <c r="D737" s="44" t="s">
        <v>69</v>
      </c>
      <c r="E737" s="50">
        <v>9916509</v>
      </c>
      <c r="F737" s="50">
        <v>9718198</v>
      </c>
      <c r="G737" s="50">
        <v>9718198</v>
      </c>
      <c r="H737" s="50">
        <v>0</v>
      </c>
      <c r="I737" s="50">
        <v>6183352.7599999998</v>
      </c>
      <c r="J737" s="50">
        <v>0</v>
      </c>
      <c r="K737" s="50">
        <v>3534845.24</v>
      </c>
      <c r="L737" s="152">
        <f t="shared" si="35"/>
        <v>0.36373463887029267</v>
      </c>
      <c r="M737" s="50">
        <v>3534845.24</v>
      </c>
      <c r="N737" s="50">
        <v>0</v>
      </c>
      <c r="O737" s="418">
        <f t="shared" si="36"/>
        <v>0</v>
      </c>
    </row>
    <row r="738" spans="1:15" s="143" customFormat="1" hidden="1" x14ac:dyDescent="0.25">
      <c r="A738" s="399" t="s">
        <v>720</v>
      </c>
      <c r="B738" s="44" t="s">
        <v>653</v>
      </c>
      <c r="C738" s="44" t="s">
        <v>703</v>
      </c>
      <c r="D738" s="44" t="s">
        <v>69</v>
      </c>
      <c r="E738" s="50">
        <v>1758186</v>
      </c>
      <c r="F738" s="50">
        <v>1723026</v>
      </c>
      <c r="G738" s="50">
        <v>1723026</v>
      </c>
      <c r="H738" s="50">
        <v>0</v>
      </c>
      <c r="I738" s="50">
        <v>1064586.8899999999</v>
      </c>
      <c r="J738" s="50">
        <v>0</v>
      </c>
      <c r="K738" s="50">
        <v>658439.11</v>
      </c>
      <c r="L738" s="152">
        <f t="shared" si="35"/>
        <v>0.38214113426030716</v>
      </c>
      <c r="M738" s="50">
        <v>658439.11</v>
      </c>
      <c r="N738" s="50">
        <v>0</v>
      </c>
      <c r="O738" s="418">
        <f t="shared" si="36"/>
        <v>0</v>
      </c>
    </row>
    <row r="739" spans="1:15" s="143" customFormat="1" hidden="1" x14ac:dyDescent="0.25">
      <c r="A739" s="399" t="s">
        <v>720</v>
      </c>
      <c r="B739" s="44" t="s">
        <v>260</v>
      </c>
      <c r="C739" s="44" t="s">
        <v>261</v>
      </c>
      <c r="D739" s="44" t="s">
        <v>69</v>
      </c>
      <c r="E739" s="50">
        <v>0</v>
      </c>
      <c r="F739" s="50">
        <v>4000000</v>
      </c>
      <c r="G739" s="50">
        <v>4000000</v>
      </c>
      <c r="H739" s="50">
        <v>0</v>
      </c>
      <c r="I739" s="50">
        <v>0</v>
      </c>
      <c r="J739" s="50">
        <v>0</v>
      </c>
      <c r="K739" s="50">
        <v>441157</v>
      </c>
      <c r="L739" s="152">
        <f t="shared" si="35"/>
        <v>0.11028925000000001</v>
      </c>
      <c r="M739" s="50">
        <v>441157</v>
      </c>
      <c r="N739" s="50">
        <v>3558843</v>
      </c>
      <c r="O739" s="418">
        <f t="shared" si="36"/>
        <v>0.88971074999999999</v>
      </c>
    </row>
    <row r="740" spans="1:15" s="143" customFormat="1" hidden="1" x14ac:dyDescent="0.25">
      <c r="A740" s="399" t="s">
        <v>720</v>
      </c>
      <c r="B740" s="44" t="s">
        <v>264</v>
      </c>
      <c r="C740" s="44" t="s">
        <v>265</v>
      </c>
      <c r="D740" s="44" t="s">
        <v>69</v>
      </c>
      <c r="E740" s="50">
        <v>0</v>
      </c>
      <c r="F740" s="50">
        <v>4000000</v>
      </c>
      <c r="G740" s="50">
        <v>4000000</v>
      </c>
      <c r="H740" s="50">
        <v>0</v>
      </c>
      <c r="I740" s="50">
        <v>0</v>
      </c>
      <c r="J740" s="50">
        <v>0</v>
      </c>
      <c r="K740" s="50">
        <v>441157</v>
      </c>
      <c r="L740" s="152">
        <f t="shared" si="35"/>
        <v>0.11028925000000001</v>
      </c>
      <c r="M740" s="50">
        <v>441157</v>
      </c>
      <c r="N740" s="50">
        <v>3558843</v>
      </c>
      <c r="O740" s="418">
        <f t="shared" si="36"/>
        <v>0.88971074999999999</v>
      </c>
    </row>
    <row r="741" spans="1:15" s="143" customFormat="1" x14ac:dyDescent="0.25">
      <c r="A741" s="422"/>
      <c r="B741" s="423"/>
      <c r="C741" s="423"/>
      <c r="D741" s="423"/>
      <c r="E741" s="424"/>
      <c r="F741" s="424">
        <f>+F714+F731+F735</f>
        <v>898206525</v>
      </c>
      <c r="G741" s="424"/>
      <c r="H741" s="424"/>
      <c r="I741" s="424"/>
      <c r="J741" s="424"/>
      <c r="K741" s="424">
        <f>+K714+K731+K735</f>
        <v>314483428.80000007</v>
      </c>
      <c r="L741" s="425">
        <f t="shared" si="35"/>
        <v>0.35012374108504729</v>
      </c>
      <c r="M741" s="424"/>
      <c r="N741" s="424">
        <f>+N714+N731+N735</f>
        <v>493626024.58999997</v>
      </c>
      <c r="O741" s="426">
        <f t="shared" si="36"/>
        <v>0.54956851331045498</v>
      </c>
    </row>
    <row r="742" spans="1:15" s="143" customFormat="1" x14ac:dyDescent="0.25">
      <c r="A742" s="308"/>
      <c r="B742" s="308"/>
      <c r="C742" s="308"/>
      <c r="D742" s="308"/>
      <c r="E742" s="305"/>
      <c r="F742" s="305"/>
      <c r="G742" s="305"/>
      <c r="H742" s="305"/>
      <c r="I742" s="305"/>
      <c r="J742" s="305"/>
      <c r="K742" s="305"/>
      <c r="L742" s="306"/>
      <c r="M742" s="305"/>
      <c r="N742" s="305"/>
      <c r="O742" s="306"/>
    </row>
    <row r="743" spans="1:15" s="143" customFormat="1" x14ac:dyDescent="0.25">
      <c r="A743" s="308"/>
      <c r="B743" s="144" t="s">
        <v>71</v>
      </c>
      <c r="C743" s="144" t="s">
        <v>72</v>
      </c>
      <c r="D743" s="440"/>
      <c r="E743" s="441"/>
      <c r="F743" s="441">
        <f t="shared" ref="F743:K743" si="37">+F682+F689+F714</f>
        <v>9692596544</v>
      </c>
      <c r="G743" s="441">
        <f t="shared" si="37"/>
        <v>9566216393</v>
      </c>
      <c r="H743" s="441">
        <f t="shared" si="37"/>
        <v>0</v>
      </c>
      <c r="I743" s="441">
        <f t="shared" si="37"/>
        <v>956966440.01999998</v>
      </c>
      <c r="J743" s="441">
        <f t="shared" si="37"/>
        <v>0</v>
      </c>
      <c r="K743" s="441">
        <f t="shared" si="37"/>
        <v>3223106368.0900002</v>
      </c>
      <c r="L743" s="442">
        <f t="shared" ref="L743:L747" si="38">+K743/F743</f>
        <v>0.33253281032162607</v>
      </c>
      <c r="M743" s="441"/>
      <c r="N743" s="441">
        <f>N682+N689+N714</f>
        <v>5512523735.8900003</v>
      </c>
      <c r="O743" s="443">
        <f t="shared" ref="O743:O747" si="39">+N743/F743</f>
        <v>0.56873549939540335</v>
      </c>
    </row>
    <row r="744" spans="1:15" s="143" customFormat="1" x14ac:dyDescent="0.25">
      <c r="A744" s="308"/>
      <c r="B744" s="144" t="s">
        <v>104</v>
      </c>
      <c r="C744" s="144" t="s">
        <v>105</v>
      </c>
      <c r="D744" s="440"/>
      <c r="E744" s="441"/>
      <c r="F744" s="441">
        <f>F683+F731</f>
        <v>1190768146</v>
      </c>
      <c r="G744" s="441"/>
      <c r="H744" s="441"/>
      <c r="I744" s="441"/>
      <c r="J744" s="441"/>
      <c r="K744" s="441">
        <f>+K683+K731</f>
        <v>184683764.80000001</v>
      </c>
      <c r="L744" s="442">
        <f t="shared" si="38"/>
        <v>0.15509632619950856</v>
      </c>
      <c r="M744" s="441"/>
      <c r="N744" s="441">
        <f>N683+N731</f>
        <v>730934725.44999993</v>
      </c>
      <c r="O744" s="443">
        <f t="shared" si="39"/>
        <v>0.61383463095258173</v>
      </c>
    </row>
    <row r="745" spans="1:15" s="143" customFormat="1" x14ac:dyDescent="0.25">
      <c r="A745" s="308"/>
      <c r="B745" s="144" t="s">
        <v>184</v>
      </c>
      <c r="C745" s="144" t="s">
        <v>185</v>
      </c>
      <c r="D745" s="440"/>
      <c r="E745" s="441"/>
      <c r="F745" s="441">
        <f t="shared" ref="F745:F746" si="40">+F684</f>
        <v>50848380</v>
      </c>
      <c r="G745" s="441"/>
      <c r="H745" s="441"/>
      <c r="I745" s="441"/>
      <c r="J745" s="441"/>
      <c r="K745" s="441">
        <f t="shared" ref="K745:K746" si="41">+K684</f>
        <v>5286699.47</v>
      </c>
      <c r="L745" s="442">
        <f t="shared" si="38"/>
        <v>0.10396987022988735</v>
      </c>
      <c r="M745" s="441"/>
      <c r="N745" s="441">
        <f t="shared" ref="N745:N746" si="42">N684</f>
        <v>40988761.969999999</v>
      </c>
      <c r="O745" s="443">
        <f t="shared" si="39"/>
        <v>0.80609769613112547</v>
      </c>
    </row>
    <row r="746" spans="1:15" s="143" customFormat="1" x14ac:dyDescent="0.25">
      <c r="A746" s="308"/>
      <c r="B746" s="144" t="s">
        <v>230</v>
      </c>
      <c r="C746" s="144" t="s">
        <v>231</v>
      </c>
      <c r="D746" s="440"/>
      <c r="E746" s="441"/>
      <c r="F746" s="441">
        <f t="shared" si="40"/>
        <v>639452300</v>
      </c>
      <c r="G746" s="441"/>
      <c r="H746" s="441"/>
      <c r="I746" s="441"/>
      <c r="J746" s="441"/>
      <c r="K746" s="441">
        <f t="shared" si="41"/>
        <v>0</v>
      </c>
      <c r="L746" s="442">
        <f t="shared" si="38"/>
        <v>0</v>
      </c>
      <c r="M746" s="441"/>
      <c r="N746" s="441">
        <f t="shared" si="42"/>
        <v>573370731.94000006</v>
      </c>
      <c r="O746" s="443">
        <f t="shared" si="39"/>
        <v>0.89665911271255117</v>
      </c>
    </row>
    <row r="747" spans="1:15" s="143" customFormat="1" x14ac:dyDescent="0.25">
      <c r="A747" s="308"/>
      <c r="B747" s="144" t="s">
        <v>248</v>
      </c>
      <c r="C747" s="144" t="s">
        <v>249</v>
      </c>
      <c r="D747" s="440"/>
      <c r="E747" s="441"/>
      <c r="F747" s="441">
        <f>+F686+F706+F735</f>
        <v>356513657</v>
      </c>
      <c r="G747" s="441"/>
      <c r="H747" s="441"/>
      <c r="I747" s="441"/>
      <c r="J747" s="441"/>
      <c r="K747" s="441">
        <f>+K686+K706+K735</f>
        <v>48649293.480000004</v>
      </c>
      <c r="L747" s="442">
        <f t="shared" si="38"/>
        <v>0.13645842880010625</v>
      </c>
      <c r="M747" s="441"/>
      <c r="N747" s="441">
        <f>N686+N706+N735</f>
        <v>225028259</v>
      </c>
      <c r="O747" s="443">
        <f t="shared" si="39"/>
        <v>0.63119113274249683</v>
      </c>
    </row>
    <row r="748" spans="1:15" s="143" customFormat="1" x14ac:dyDescent="0.25">
      <c r="A748" s="308"/>
      <c r="B748" s="308"/>
      <c r="C748" s="308"/>
      <c r="D748" s="308"/>
      <c r="E748" s="305"/>
      <c r="F748" s="305"/>
      <c r="G748" s="305"/>
      <c r="H748" s="305"/>
      <c r="I748" s="305"/>
      <c r="J748" s="305"/>
      <c r="K748" s="305"/>
      <c r="L748" s="306"/>
      <c r="M748" s="305"/>
      <c r="N748" s="305"/>
      <c r="O748" s="306"/>
    </row>
    <row r="749" spans="1:15" s="143" customFormat="1" x14ac:dyDescent="0.25">
      <c r="E749" s="257"/>
      <c r="F749" s="257"/>
      <c r="G749" s="257"/>
      <c r="H749" s="257"/>
      <c r="I749" s="257"/>
      <c r="J749" s="257"/>
      <c r="K749" s="257"/>
      <c r="L749" s="444"/>
      <c r="M749" s="257"/>
      <c r="N749" s="257"/>
    </row>
    <row r="750" spans="1:15" s="143" customFormat="1" x14ac:dyDescent="0.25">
      <c r="A750" s="413" t="s">
        <v>721</v>
      </c>
      <c r="B750" s="414" t="s">
        <v>71</v>
      </c>
      <c r="C750" s="414" t="s">
        <v>72</v>
      </c>
      <c r="D750" s="414" t="s">
        <v>69</v>
      </c>
      <c r="E750" s="415">
        <v>13427888280</v>
      </c>
      <c r="F750" s="415">
        <v>12993531157</v>
      </c>
      <c r="G750" s="415">
        <v>12796348017</v>
      </c>
      <c r="H750" s="415">
        <v>0</v>
      </c>
      <c r="I750" s="415">
        <v>1342241826.3499999</v>
      </c>
      <c r="J750" s="415">
        <v>0</v>
      </c>
      <c r="K750" s="415">
        <v>4137026435.3800001</v>
      </c>
      <c r="L750" s="416">
        <f t="shared" ref="L750:L781" si="43">+K750/F750</f>
        <v>0.31839123525334079</v>
      </c>
      <c r="M750" s="415">
        <v>4137026435.3800001</v>
      </c>
      <c r="N750" s="415">
        <v>7514262895.2700005</v>
      </c>
      <c r="O750" s="417">
        <f t="shared" ref="O750:O781" si="44">+N750/F750</f>
        <v>0.57830799068210526</v>
      </c>
    </row>
    <row r="751" spans="1:15" s="143" customFormat="1" hidden="1" x14ac:dyDescent="0.25">
      <c r="A751" s="399" t="s">
        <v>721</v>
      </c>
      <c r="B751" s="44" t="s">
        <v>73</v>
      </c>
      <c r="C751" s="44" t="s">
        <v>74</v>
      </c>
      <c r="D751" s="44" t="s">
        <v>69</v>
      </c>
      <c r="E751" s="50">
        <v>4501527400</v>
      </c>
      <c r="F751" s="50">
        <v>4282102200</v>
      </c>
      <c r="G751" s="50">
        <v>4221913200</v>
      </c>
      <c r="H751" s="50">
        <v>0</v>
      </c>
      <c r="I751" s="50">
        <v>0</v>
      </c>
      <c r="J751" s="50">
        <v>0</v>
      </c>
      <c r="K751" s="50">
        <v>1248898861.45</v>
      </c>
      <c r="L751" s="152">
        <f t="shared" si="43"/>
        <v>0.29165554746684935</v>
      </c>
      <c r="M751" s="50">
        <v>1248898861.45</v>
      </c>
      <c r="N751" s="50">
        <v>3033203338.5500002</v>
      </c>
      <c r="O751" s="418">
        <f t="shared" si="44"/>
        <v>0.7083444525331507</v>
      </c>
    </row>
    <row r="752" spans="1:15" s="143" customFormat="1" hidden="1" x14ac:dyDescent="0.25">
      <c r="A752" s="399" t="s">
        <v>721</v>
      </c>
      <c r="B752" s="44" t="s">
        <v>75</v>
      </c>
      <c r="C752" s="44" t="s">
        <v>76</v>
      </c>
      <c r="D752" s="44" t="s">
        <v>69</v>
      </c>
      <c r="E752" s="50">
        <v>4501527400</v>
      </c>
      <c r="F752" s="50">
        <v>4282102200</v>
      </c>
      <c r="G752" s="50">
        <v>4221913200</v>
      </c>
      <c r="H752" s="50">
        <v>0</v>
      </c>
      <c r="I752" s="50">
        <v>0</v>
      </c>
      <c r="J752" s="50">
        <v>0</v>
      </c>
      <c r="K752" s="50">
        <v>1248898861.45</v>
      </c>
      <c r="L752" s="152">
        <f t="shared" si="43"/>
        <v>0.29165554746684935</v>
      </c>
      <c r="M752" s="50">
        <v>1248898861.45</v>
      </c>
      <c r="N752" s="50">
        <v>3033203338.5500002</v>
      </c>
      <c r="O752" s="418">
        <f t="shared" si="44"/>
        <v>0.7083444525331507</v>
      </c>
    </row>
    <row r="753" spans="1:15" s="143" customFormat="1" hidden="1" x14ac:dyDescent="0.25">
      <c r="A753" s="399" t="s">
        <v>721</v>
      </c>
      <c r="B753" s="44" t="s">
        <v>77</v>
      </c>
      <c r="C753" s="44" t="s">
        <v>78</v>
      </c>
      <c r="D753" s="44" t="s">
        <v>69</v>
      </c>
      <c r="E753" s="50">
        <v>6803353044</v>
      </c>
      <c r="F753" s="50">
        <v>6662683454</v>
      </c>
      <c r="G753" s="50">
        <v>6542076334</v>
      </c>
      <c r="H753" s="50">
        <v>0</v>
      </c>
      <c r="I753" s="50">
        <v>0</v>
      </c>
      <c r="J753" s="50">
        <v>0</v>
      </c>
      <c r="K753" s="50">
        <v>2198729267.2800002</v>
      </c>
      <c r="L753" s="152">
        <f t="shared" si="43"/>
        <v>0.3300065630402978</v>
      </c>
      <c r="M753" s="50">
        <v>2198729267.2800002</v>
      </c>
      <c r="N753" s="50">
        <v>4463954186.7200003</v>
      </c>
      <c r="O753" s="418">
        <f t="shared" si="44"/>
        <v>0.66999343695970226</v>
      </c>
    </row>
    <row r="754" spans="1:15" s="143" customFormat="1" hidden="1" x14ac:dyDescent="0.25">
      <c r="A754" s="399" t="s">
        <v>721</v>
      </c>
      <c r="B754" s="44" t="s">
        <v>79</v>
      </c>
      <c r="C754" s="44" t="s">
        <v>80</v>
      </c>
      <c r="D754" s="44" t="s">
        <v>69</v>
      </c>
      <c r="E754" s="50">
        <v>1381150100</v>
      </c>
      <c r="F754" s="50">
        <v>1381150100</v>
      </c>
      <c r="G754" s="50">
        <v>1306223380</v>
      </c>
      <c r="H754" s="50">
        <v>0</v>
      </c>
      <c r="I754" s="50">
        <v>0</v>
      </c>
      <c r="J754" s="50">
        <v>0</v>
      </c>
      <c r="K754" s="50">
        <v>402250885.48000002</v>
      </c>
      <c r="L754" s="152">
        <f t="shared" si="43"/>
        <v>0.29124342493983818</v>
      </c>
      <c r="M754" s="50">
        <v>402250885.48000002</v>
      </c>
      <c r="N754" s="50">
        <v>978899214.51999998</v>
      </c>
      <c r="O754" s="418">
        <f t="shared" si="44"/>
        <v>0.70875657506016176</v>
      </c>
    </row>
    <row r="755" spans="1:15" s="143" customFormat="1" hidden="1" x14ac:dyDescent="0.25">
      <c r="A755" s="399" t="s">
        <v>721</v>
      </c>
      <c r="B755" s="44" t="s">
        <v>81</v>
      </c>
      <c r="C755" s="44" t="s">
        <v>82</v>
      </c>
      <c r="D755" s="44" t="s">
        <v>69</v>
      </c>
      <c r="E755" s="50">
        <v>2537511300</v>
      </c>
      <c r="F755" s="50">
        <v>2461272475</v>
      </c>
      <c r="G755" s="50">
        <v>2430403475</v>
      </c>
      <c r="H755" s="50">
        <v>0</v>
      </c>
      <c r="I755" s="50">
        <v>0</v>
      </c>
      <c r="J755" s="50">
        <v>0</v>
      </c>
      <c r="K755" s="50">
        <v>728177415.23000002</v>
      </c>
      <c r="L755" s="152">
        <f t="shared" si="43"/>
        <v>0.29585404404687055</v>
      </c>
      <c r="M755" s="50">
        <v>728177415.23000002</v>
      </c>
      <c r="N755" s="50">
        <v>1733095059.77</v>
      </c>
      <c r="O755" s="418">
        <f t="shared" si="44"/>
        <v>0.70414595595312945</v>
      </c>
    </row>
    <row r="756" spans="1:15" s="143" customFormat="1" hidden="1" x14ac:dyDescent="0.25">
      <c r="A756" s="399" t="s">
        <v>721</v>
      </c>
      <c r="B756" s="44" t="s">
        <v>83</v>
      </c>
      <c r="C756" s="44" t="s">
        <v>84</v>
      </c>
      <c r="D756" s="44" t="s">
        <v>85</v>
      </c>
      <c r="E756" s="50">
        <v>869285044</v>
      </c>
      <c r="F756" s="50">
        <v>832667096</v>
      </c>
      <c r="G756" s="50">
        <v>826833696</v>
      </c>
      <c r="H756" s="50">
        <v>0</v>
      </c>
      <c r="I756" s="50">
        <v>0</v>
      </c>
      <c r="J756" s="50">
        <v>0</v>
      </c>
      <c r="K756" s="50">
        <v>0</v>
      </c>
      <c r="L756" s="152">
        <f t="shared" si="43"/>
        <v>0</v>
      </c>
      <c r="M756" s="50">
        <v>0</v>
      </c>
      <c r="N756" s="50">
        <v>832667096</v>
      </c>
      <c r="O756" s="418">
        <f t="shared" si="44"/>
        <v>1</v>
      </c>
    </row>
    <row r="757" spans="1:15" s="143" customFormat="1" hidden="1" x14ac:dyDescent="0.25">
      <c r="A757" s="399" t="s">
        <v>721</v>
      </c>
      <c r="B757" s="44" t="s">
        <v>86</v>
      </c>
      <c r="C757" s="44" t="s">
        <v>87</v>
      </c>
      <c r="D757" s="44" t="s">
        <v>69</v>
      </c>
      <c r="E757" s="50">
        <v>799025700</v>
      </c>
      <c r="F757" s="50">
        <v>799025700</v>
      </c>
      <c r="G757" s="50">
        <v>799025700</v>
      </c>
      <c r="H757" s="50">
        <v>0</v>
      </c>
      <c r="I757" s="50">
        <v>0</v>
      </c>
      <c r="J757" s="50">
        <v>0</v>
      </c>
      <c r="K757" s="50">
        <v>720602684.51999998</v>
      </c>
      <c r="L757" s="152">
        <f t="shared" si="43"/>
        <v>0.90185169828705136</v>
      </c>
      <c r="M757" s="50">
        <v>720602684.51999998</v>
      </c>
      <c r="N757" s="50">
        <v>78423015.480000004</v>
      </c>
      <c r="O757" s="418">
        <f t="shared" si="44"/>
        <v>9.8148301712948666E-2</v>
      </c>
    </row>
    <row r="758" spans="1:15" s="143" customFormat="1" hidden="1" x14ac:dyDescent="0.25">
      <c r="A758" s="399" t="s">
        <v>721</v>
      </c>
      <c r="B758" s="44" t="s">
        <v>88</v>
      </c>
      <c r="C758" s="44" t="s">
        <v>89</v>
      </c>
      <c r="D758" s="44" t="s">
        <v>69</v>
      </c>
      <c r="E758" s="50">
        <v>1216380900</v>
      </c>
      <c r="F758" s="50">
        <v>1188568083</v>
      </c>
      <c r="G758" s="50">
        <v>1179590083</v>
      </c>
      <c r="H758" s="50">
        <v>0</v>
      </c>
      <c r="I758" s="50">
        <v>0</v>
      </c>
      <c r="J758" s="50">
        <v>0</v>
      </c>
      <c r="K758" s="50">
        <v>347698282.05000001</v>
      </c>
      <c r="L758" s="152">
        <f t="shared" si="43"/>
        <v>0.29253543572564533</v>
      </c>
      <c r="M758" s="50">
        <v>347698282.05000001</v>
      </c>
      <c r="N758" s="50">
        <v>840869800.95000005</v>
      </c>
      <c r="O758" s="418">
        <f t="shared" si="44"/>
        <v>0.70746456427435467</v>
      </c>
    </row>
    <row r="759" spans="1:15" s="143" customFormat="1" hidden="1" x14ac:dyDescent="0.25">
      <c r="A759" s="399" t="s">
        <v>721</v>
      </c>
      <c r="B759" s="44" t="s">
        <v>90</v>
      </c>
      <c r="C759" s="44" t="s">
        <v>91</v>
      </c>
      <c r="D759" s="44" t="s">
        <v>69</v>
      </c>
      <c r="E759" s="50">
        <v>1017470468</v>
      </c>
      <c r="F759" s="50">
        <v>980339301</v>
      </c>
      <c r="G759" s="50">
        <v>972145791</v>
      </c>
      <c r="H759" s="50">
        <v>0</v>
      </c>
      <c r="I759" s="50">
        <v>633824376</v>
      </c>
      <c r="J759" s="50">
        <v>0</v>
      </c>
      <c r="K759" s="50">
        <v>338321415</v>
      </c>
      <c r="L759" s="152">
        <f t="shared" si="43"/>
        <v>0.34510644901708371</v>
      </c>
      <c r="M759" s="50">
        <v>338321415</v>
      </c>
      <c r="N759" s="50">
        <v>8193510</v>
      </c>
      <c r="O759" s="418">
        <f t="shared" si="44"/>
        <v>8.3578307955645241E-3</v>
      </c>
    </row>
    <row r="760" spans="1:15" s="143" customFormat="1" hidden="1" x14ac:dyDescent="0.25">
      <c r="A760" s="399" t="s">
        <v>721</v>
      </c>
      <c r="B760" s="44" t="s">
        <v>430</v>
      </c>
      <c r="C760" s="44" t="s">
        <v>697</v>
      </c>
      <c r="D760" s="44" t="s">
        <v>69</v>
      </c>
      <c r="E760" s="50">
        <v>965292547</v>
      </c>
      <c r="F760" s="50">
        <v>930065542</v>
      </c>
      <c r="G760" s="50">
        <v>922292212</v>
      </c>
      <c r="H760" s="50">
        <v>0</v>
      </c>
      <c r="I760" s="50">
        <v>601320619</v>
      </c>
      <c r="J760" s="50">
        <v>0</v>
      </c>
      <c r="K760" s="50">
        <v>320971593</v>
      </c>
      <c r="L760" s="152">
        <f t="shared" si="43"/>
        <v>0.34510642369331002</v>
      </c>
      <c r="M760" s="50">
        <v>320971593</v>
      </c>
      <c r="N760" s="50">
        <v>7773330</v>
      </c>
      <c r="O760" s="418">
        <f t="shared" si="44"/>
        <v>8.3578303344991577E-3</v>
      </c>
    </row>
    <row r="761" spans="1:15" s="143" customFormat="1" hidden="1" x14ac:dyDescent="0.25">
      <c r="A761" s="399" t="s">
        <v>721</v>
      </c>
      <c r="B761" s="44" t="s">
        <v>447</v>
      </c>
      <c r="C761" s="44" t="s">
        <v>95</v>
      </c>
      <c r="D761" s="44" t="s">
        <v>69</v>
      </c>
      <c r="E761" s="50">
        <v>52177921</v>
      </c>
      <c r="F761" s="50">
        <v>50273759</v>
      </c>
      <c r="G761" s="50">
        <v>49853579</v>
      </c>
      <c r="H761" s="50">
        <v>0</v>
      </c>
      <c r="I761" s="50">
        <v>32503757</v>
      </c>
      <c r="J761" s="50">
        <v>0</v>
      </c>
      <c r="K761" s="50">
        <v>17349822</v>
      </c>
      <c r="L761" s="152">
        <f t="shared" si="43"/>
        <v>0.3451069175074018</v>
      </c>
      <c r="M761" s="50">
        <v>17349822</v>
      </c>
      <c r="N761" s="50">
        <v>420180</v>
      </c>
      <c r="O761" s="418">
        <f t="shared" si="44"/>
        <v>8.3578393252829973E-3</v>
      </c>
    </row>
    <row r="762" spans="1:15" s="143" customFormat="1" hidden="1" x14ac:dyDescent="0.25">
      <c r="A762" s="399" t="s">
        <v>721</v>
      </c>
      <c r="B762" s="44" t="s">
        <v>96</v>
      </c>
      <c r="C762" s="44" t="s">
        <v>97</v>
      </c>
      <c r="D762" s="44" t="s">
        <v>69</v>
      </c>
      <c r="E762" s="50">
        <v>1105537368</v>
      </c>
      <c r="F762" s="50">
        <v>1068406202</v>
      </c>
      <c r="G762" s="50">
        <v>1060212692</v>
      </c>
      <c r="H762" s="50">
        <v>0</v>
      </c>
      <c r="I762" s="50">
        <v>708417450.35000002</v>
      </c>
      <c r="J762" s="50">
        <v>0</v>
      </c>
      <c r="K762" s="50">
        <v>351076891.64999998</v>
      </c>
      <c r="L762" s="152">
        <f t="shared" si="43"/>
        <v>0.3285987024343387</v>
      </c>
      <c r="M762" s="50">
        <v>351076891.64999998</v>
      </c>
      <c r="N762" s="50">
        <v>8911860</v>
      </c>
      <c r="O762" s="418">
        <f t="shared" si="44"/>
        <v>8.3412656940005294E-3</v>
      </c>
    </row>
    <row r="763" spans="1:15" s="143" customFormat="1" hidden="1" x14ac:dyDescent="0.25">
      <c r="A763" s="399" t="s">
        <v>721</v>
      </c>
      <c r="B763" s="44" t="s">
        <v>465</v>
      </c>
      <c r="C763" s="44" t="s">
        <v>698</v>
      </c>
      <c r="D763" s="44" t="s">
        <v>69</v>
      </c>
      <c r="E763" s="50">
        <v>547868675</v>
      </c>
      <c r="F763" s="50">
        <v>527874970</v>
      </c>
      <c r="G763" s="50">
        <v>523463080</v>
      </c>
      <c r="H763" s="50">
        <v>0</v>
      </c>
      <c r="I763" s="50">
        <v>359325686</v>
      </c>
      <c r="J763" s="50">
        <v>0</v>
      </c>
      <c r="K763" s="50">
        <v>164137394</v>
      </c>
      <c r="L763" s="152">
        <f t="shared" si="43"/>
        <v>0.31093990684953293</v>
      </c>
      <c r="M763" s="50">
        <v>164137394</v>
      </c>
      <c r="N763" s="50">
        <v>4411890</v>
      </c>
      <c r="O763" s="418">
        <f t="shared" si="44"/>
        <v>8.357831400871308E-3</v>
      </c>
    </row>
    <row r="764" spans="1:15" s="143" customFormat="1" hidden="1" x14ac:dyDescent="0.25">
      <c r="A764" s="399" t="s">
        <v>721</v>
      </c>
      <c r="B764" s="44" t="s">
        <v>482</v>
      </c>
      <c r="C764" s="44" t="s">
        <v>699</v>
      </c>
      <c r="D764" s="44" t="s">
        <v>69</v>
      </c>
      <c r="E764" s="50">
        <v>156533864</v>
      </c>
      <c r="F764" s="50">
        <v>150821377</v>
      </c>
      <c r="G764" s="50">
        <v>149560837</v>
      </c>
      <c r="H764" s="50">
        <v>0</v>
      </c>
      <c r="I764" s="50">
        <v>97511392</v>
      </c>
      <c r="J764" s="50">
        <v>0</v>
      </c>
      <c r="K764" s="50">
        <v>52049445</v>
      </c>
      <c r="L764" s="152">
        <f t="shared" si="43"/>
        <v>0.34510654945154096</v>
      </c>
      <c r="M764" s="50">
        <v>52049445</v>
      </c>
      <c r="N764" s="50">
        <v>1260540</v>
      </c>
      <c r="O764" s="418">
        <f t="shared" si="44"/>
        <v>8.3578337837347822E-3</v>
      </c>
    </row>
    <row r="765" spans="1:15" s="143" customFormat="1" hidden="1" x14ac:dyDescent="0.25">
      <c r="A765" s="399" t="s">
        <v>721</v>
      </c>
      <c r="B765" s="44" t="s">
        <v>499</v>
      </c>
      <c r="C765" s="44" t="s">
        <v>700</v>
      </c>
      <c r="D765" s="44" t="s">
        <v>69</v>
      </c>
      <c r="E765" s="50">
        <v>313067829</v>
      </c>
      <c r="F765" s="50">
        <v>301642855</v>
      </c>
      <c r="G765" s="50">
        <v>299121775</v>
      </c>
      <c r="H765" s="50">
        <v>0</v>
      </c>
      <c r="I765" s="50">
        <v>195022849</v>
      </c>
      <c r="J765" s="50">
        <v>0</v>
      </c>
      <c r="K765" s="50">
        <v>104098926</v>
      </c>
      <c r="L765" s="152">
        <f t="shared" si="43"/>
        <v>0.3451065532448962</v>
      </c>
      <c r="M765" s="50">
        <v>104098926</v>
      </c>
      <c r="N765" s="50">
        <v>2521080</v>
      </c>
      <c r="O765" s="418">
        <f t="shared" si="44"/>
        <v>8.3578309852557261E-3</v>
      </c>
    </row>
    <row r="766" spans="1:15" s="143" customFormat="1" hidden="1" x14ac:dyDescent="0.25">
      <c r="A766" s="399" t="s">
        <v>721</v>
      </c>
      <c r="B766" s="44" t="s">
        <v>516</v>
      </c>
      <c r="C766" s="44" t="s">
        <v>722</v>
      </c>
      <c r="D766" s="44" t="s">
        <v>69</v>
      </c>
      <c r="E766" s="50">
        <v>88067000</v>
      </c>
      <c r="F766" s="50">
        <v>88067000</v>
      </c>
      <c r="G766" s="50">
        <v>88067000</v>
      </c>
      <c r="H766" s="50">
        <v>0</v>
      </c>
      <c r="I766" s="50">
        <v>56557523.350000001</v>
      </c>
      <c r="J766" s="50">
        <v>0</v>
      </c>
      <c r="K766" s="50">
        <v>30791126.649999999</v>
      </c>
      <c r="L766" s="152">
        <f t="shared" si="43"/>
        <v>0.34963296864886961</v>
      </c>
      <c r="M766" s="50">
        <v>30791126.649999999</v>
      </c>
      <c r="N766" s="50">
        <v>718350</v>
      </c>
      <c r="O766" s="418">
        <f t="shared" si="44"/>
        <v>8.1568578468665907E-3</v>
      </c>
    </row>
    <row r="767" spans="1:15" s="143" customFormat="1" x14ac:dyDescent="0.25">
      <c r="A767" s="399" t="s">
        <v>721</v>
      </c>
      <c r="B767" s="44" t="s">
        <v>104</v>
      </c>
      <c r="C767" s="44" t="s">
        <v>105</v>
      </c>
      <c r="D767" s="44" t="s">
        <v>69</v>
      </c>
      <c r="E767" s="50">
        <v>45500000</v>
      </c>
      <c r="F767" s="50">
        <v>44866179</v>
      </c>
      <c r="G767" s="50">
        <v>44866179</v>
      </c>
      <c r="H767" s="50">
        <v>0</v>
      </c>
      <c r="I767" s="50">
        <v>886800</v>
      </c>
      <c r="J767" s="50">
        <v>0</v>
      </c>
      <c r="K767" s="50">
        <v>43979379</v>
      </c>
      <c r="L767" s="152">
        <f t="shared" si="43"/>
        <v>0.98023455485255384</v>
      </c>
      <c r="M767" s="50">
        <v>0</v>
      </c>
      <c r="N767" s="50">
        <v>0</v>
      </c>
      <c r="O767" s="418">
        <f t="shared" si="44"/>
        <v>0</v>
      </c>
    </row>
    <row r="768" spans="1:15" s="143" customFormat="1" hidden="1" x14ac:dyDescent="0.25">
      <c r="A768" s="399" t="s">
        <v>721</v>
      </c>
      <c r="B768" s="44" t="s">
        <v>150</v>
      </c>
      <c r="C768" s="44" t="s">
        <v>151</v>
      </c>
      <c r="D768" s="44" t="s">
        <v>69</v>
      </c>
      <c r="E768" s="50">
        <v>45500000</v>
      </c>
      <c r="F768" s="50">
        <v>44866179</v>
      </c>
      <c r="G768" s="50">
        <v>44866179</v>
      </c>
      <c r="H768" s="50">
        <v>0</v>
      </c>
      <c r="I768" s="50">
        <v>886800</v>
      </c>
      <c r="J768" s="50">
        <v>0</v>
      </c>
      <c r="K768" s="50">
        <v>43979379</v>
      </c>
      <c r="L768" s="152">
        <f t="shared" si="43"/>
        <v>0.98023455485255384</v>
      </c>
      <c r="M768" s="50">
        <v>0</v>
      </c>
      <c r="N768" s="50">
        <v>0</v>
      </c>
      <c r="O768" s="418">
        <f t="shared" si="44"/>
        <v>0</v>
      </c>
    </row>
    <row r="769" spans="1:15" s="143" customFormat="1" hidden="1" x14ac:dyDescent="0.25">
      <c r="A769" s="399" t="s">
        <v>721</v>
      </c>
      <c r="B769" s="44" t="s">
        <v>152</v>
      </c>
      <c r="C769" s="44" t="s">
        <v>153</v>
      </c>
      <c r="D769" s="44" t="s">
        <v>69</v>
      </c>
      <c r="E769" s="50">
        <v>45500000</v>
      </c>
      <c r="F769" s="50">
        <v>44866179</v>
      </c>
      <c r="G769" s="50">
        <v>44866179</v>
      </c>
      <c r="H769" s="50">
        <v>0</v>
      </c>
      <c r="I769" s="50">
        <v>886800</v>
      </c>
      <c r="J769" s="50">
        <v>0</v>
      </c>
      <c r="K769" s="50">
        <v>43979379</v>
      </c>
      <c r="L769" s="152">
        <f t="shared" si="43"/>
        <v>0.98023455485255384</v>
      </c>
      <c r="M769" s="50">
        <v>0</v>
      </c>
      <c r="N769" s="50">
        <v>0</v>
      </c>
      <c r="O769" s="418">
        <f t="shared" si="44"/>
        <v>0</v>
      </c>
    </row>
    <row r="770" spans="1:15" s="143" customFormat="1" x14ac:dyDescent="0.25">
      <c r="A770" s="399" t="s">
        <v>721</v>
      </c>
      <c r="B770" s="44" t="s">
        <v>248</v>
      </c>
      <c r="C770" s="44" t="s">
        <v>249</v>
      </c>
      <c r="D770" s="44" t="s">
        <v>69</v>
      </c>
      <c r="E770" s="50">
        <v>421832742</v>
      </c>
      <c r="F770" s="50">
        <v>415510923</v>
      </c>
      <c r="G770" s="50">
        <v>303758983</v>
      </c>
      <c r="H770" s="50">
        <v>0</v>
      </c>
      <c r="I770" s="50">
        <v>116710534.31999999</v>
      </c>
      <c r="J770" s="50">
        <v>0</v>
      </c>
      <c r="K770" s="50">
        <v>141571217.68000001</v>
      </c>
      <c r="L770" s="152">
        <f t="shared" si="43"/>
        <v>0.34071599528082686</v>
      </c>
      <c r="M770" s="50">
        <v>141571217.68000001</v>
      </c>
      <c r="N770" s="50">
        <v>157229171</v>
      </c>
      <c r="O770" s="418">
        <f t="shared" si="44"/>
        <v>0.37839960948511575</v>
      </c>
    </row>
    <row r="771" spans="1:15" s="143" customFormat="1" hidden="1" x14ac:dyDescent="0.25">
      <c r="A771" s="399" t="s">
        <v>721</v>
      </c>
      <c r="B771" s="44" t="s">
        <v>250</v>
      </c>
      <c r="C771" s="44" t="s">
        <v>251</v>
      </c>
      <c r="D771" s="44" t="s">
        <v>69</v>
      </c>
      <c r="E771" s="50">
        <v>173230842</v>
      </c>
      <c r="F771" s="50">
        <v>166909023</v>
      </c>
      <c r="G771" s="50">
        <v>165514033</v>
      </c>
      <c r="H771" s="50">
        <v>0</v>
      </c>
      <c r="I771" s="50">
        <v>110335064.38</v>
      </c>
      <c r="J771" s="50">
        <v>0</v>
      </c>
      <c r="K771" s="50">
        <v>55178968.619999997</v>
      </c>
      <c r="L771" s="152">
        <f t="shared" si="43"/>
        <v>0.33059308375437557</v>
      </c>
      <c r="M771" s="50">
        <v>55178968.619999997</v>
      </c>
      <c r="N771" s="50">
        <v>1394990</v>
      </c>
      <c r="O771" s="418">
        <f t="shared" si="44"/>
        <v>8.3577866248728799E-3</v>
      </c>
    </row>
    <row r="772" spans="1:15" s="143" customFormat="1" hidden="1" x14ac:dyDescent="0.25">
      <c r="A772" s="399" t="s">
        <v>721</v>
      </c>
      <c r="B772" s="44" t="s">
        <v>639</v>
      </c>
      <c r="C772" s="44" t="s">
        <v>702</v>
      </c>
      <c r="D772" s="44" t="s">
        <v>69</v>
      </c>
      <c r="E772" s="50">
        <v>147141882</v>
      </c>
      <c r="F772" s="50">
        <v>141772144</v>
      </c>
      <c r="G772" s="50">
        <v>140587244</v>
      </c>
      <c r="H772" s="50">
        <v>0</v>
      </c>
      <c r="I772" s="50">
        <v>94083183.290000007</v>
      </c>
      <c r="J772" s="50">
        <v>0</v>
      </c>
      <c r="K772" s="50">
        <v>46504060.710000001</v>
      </c>
      <c r="L772" s="152">
        <f t="shared" si="43"/>
        <v>0.32801973221199221</v>
      </c>
      <c r="M772" s="50">
        <v>46504060.710000001</v>
      </c>
      <c r="N772" s="50">
        <v>1184900</v>
      </c>
      <c r="O772" s="418">
        <f t="shared" si="44"/>
        <v>8.357777251361876E-3</v>
      </c>
    </row>
    <row r="773" spans="1:15" s="143" customFormat="1" hidden="1" x14ac:dyDescent="0.25">
      <c r="A773" s="399" t="s">
        <v>721</v>
      </c>
      <c r="B773" s="44" t="s">
        <v>654</v>
      </c>
      <c r="C773" s="44" t="s">
        <v>703</v>
      </c>
      <c r="D773" s="44" t="s">
        <v>69</v>
      </c>
      <c r="E773" s="50">
        <v>26088960</v>
      </c>
      <c r="F773" s="50">
        <v>25136879</v>
      </c>
      <c r="G773" s="50">
        <v>24926789</v>
      </c>
      <c r="H773" s="50">
        <v>0</v>
      </c>
      <c r="I773" s="50">
        <v>16251881.09</v>
      </c>
      <c r="J773" s="50">
        <v>0</v>
      </c>
      <c r="K773" s="50">
        <v>8674907.9100000001</v>
      </c>
      <c r="L773" s="152">
        <f t="shared" si="43"/>
        <v>0.34510680144500039</v>
      </c>
      <c r="M773" s="50">
        <v>8674907.9100000001</v>
      </c>
      <c r="N773" s="50">
        <v>210090</v>
      </c>
      <c r="O773" s="418">
        <f t="shared" si="44"/>
        <v>8.3578394915295572E-3</v>
      </c>
    </row>
    <row r="774" spans="1:15" s="143" customFormat="1" hidden="1" x14ac:dyDescent="0.25">
      <c r="A774" s="399" t="s">
        <v>721</v>
      </c>
      <c r="B774" s="44" t="s">
        <v>260</v>
      </c>
      <c r="C774" s="44" t="s">
        <v>261</v>
      </c>
      <c r="D774" s="44" t="s">
        <v>69</v>
      </c>
      <c r="E774" s="50">
        <v>223601900</v>
      </c>
      <c r="F774" s="50">
        <v>223601900</v>
      </c>
      <c r="G774" s="50">
        <v>134244950</v>
      </c>
      <c r="H774" s="50">
        <v>0</v>
      </c>
      <c r="I774" s="50">
        <v>6220661.0099999998</v>
      </c>
      <c r="J774" s="50">
        <v>0</v>
      </c>
      <c r="K774" s="50">
        <v>82547057.989999995</v>
      </c>
      <c r="L774" s="152">
        <f t="shared" si="43"/>
        <v>0.3691697520906575</v>
      </c>
      <c r="M774" s="50">
        <v>82547057.989999995</v>
      </c>
      <c r="N774" s="50">
        <v>134834181</v>
      </c>
      <c r="O774" s="418">
        <f t="shared" si="44"/>
        <v>0.60300999678446376</v>
      </c>
    </row>
    <row r="775" spans="1:15" s="143" customFormat="1" hidden="1" x14ac:dyDescent="0.25">
      <c r="A775" s="399" t="s">
        <v>721</v>
      </c>
      <c r="B775" s="44" t="s">
        <v>262</v>
      </c>
      <c r="C775" s="44" t="s">
        <v>263</v>
      </c>
      <c r="D775" s="44" t="s">
        <v>69</v>
      </c>
      <c r="E775" s="50">
        <v>150213900</v>
      </c>
      <c r="F775" s="50">
        <v>150213900</v>
      </c>
      <c r="G775" s="50">
        <v>60856950</v>
      </c>
      <c r="H775" s="50">
        <v>0</v>
      </c>
      <c r="I775" s="50">
        <v>6220661.0099999998</v>
      </c>
      <c r="J775" s="50">
        <v>0</v>
      </c>
      <c r="K775" s="50">
        <v>54636288.990000002</v>
      </c>
      <c r="L775" s="152">
        <f t="shared" si="43"/>
        <v>0.36372325723518262</v>
      </c>
      <c r="M775" s="50">
        <v>54636288.990000002</v>
      </c>
      <c r="N775" s="50">
        <v>89356950</v>
      </c>
      <c r="O775" s="418">
        <f t="shared" si="44"/>
        <v>0.59486472290513726</v>
      </c>
    </row>
    <row r="776" spans="1:15" s="143" customFormat="1" hidden="1" x14ac:dyDescent="0.25">
      <c r="A776" s="399" t="s">
        <v>721</v>
      </c>
      <c r="B776" s="44" t="s">
        <v>264</v>
      </c>
      <c r="C776" s="44" t="s">
        <v>265</v>
      </c>
      <c r="D776" s="44" t="s">
        <v>69</v>
      </c>
      <c r="E776" s="50">
        <v>73388000</v>
      </c>
      <c r="F776" s="50">
        <v>73388000</v>
      </c>
      <c r="G776" s="50">
        <v>73388000</v>
      </c>
      <c r="H776" s="50">
        <v>0</v>
      </c>
      <c r="I776" s="50">
        <v>0</v>
      </c>
      <c r="J776" s="50">
        <v>0</v>
      </c>
      <c r="K776" s="50">
        <v>27910769</v>
      </c>
      <c r="L776" s="152">
        <f t="shared" si="43"/>
        <v>0.38031788575788955</v>
      </c>
      <c r="M776" s="50">
        <v>27910769</v>
      </c>
      <c r="N776" s="50">
        <v>45477231</v>
      </c>
      <c r="O776" s="418">
        <f t="shared" si="44"/>
        <v>0.61968211424211039</v>
      </c>
    </row>
    <row r="777" spans="1:15" s="143" customFormat="1" hidden="1" x14ac:dyDescent="0.25">
      <c r="A777" s="399" t="s">
        <v>721</v>
      </c>
      <c r="B777" s="44" t="s">
        <v>286</v>
      </c>
      <c r="C777" s="44" t="s">
        <v>287</v>
      </c>
      <c r="D777" s="44" t="s">
        <v>69</v>
      </c>
      <c r="E777" s="50">
        <v>25000000</v>
      </c>
      <c r="F777" s="50">
        <v>25000000</v>
      </c>
      <c r="G777" s="50">
        <v>4000000</v>
      </c>
      <c r="H777" s="50">
        <v>0</v>
      </c>
      <c r="I777" s="50">
        <v>154808.93</v>
      </c>
      <c r="J777" s="50">
        <v>0</v>
      </c>
      <c r="K777" s="50">
        <v>3845191.07</v>
      </c>
      <c r="L777" s="152">
        <f t="shared" si="43"/>
        <v>0.15380764280000001</v>
      </c>
      <c r="M777" s="50">
        <v>3845191.07</v>
      </c>
      <c r="N777" s="50">
        <v>21000000</v>
      </c>
      <c r="O777" s="418">
        <f t="shared" si="44"/>
        <v>0.84</v>
      </c>
    </row>
    <row r="778" spans="1:15" s="143" customFormat="1" hidden="1" x14ac:dyDescent="0.25">
      <c r="A778" s="399" t="s">
        <v>721</v>
      </c>
      <c r="B778" s="44" t="s">
        <v>288</v>
      </c>
      <c r="C778" s="44" t="s">
        <v>289</v>
      </c>
      <c r="D778" s="44" t="s">
        <v>69</v>
      </c>
      <c r="E778" s="50">
        <v>10000000</v>
      </c>
      <c r="F778" s="50">
        <v>10000000</v>
      </c>
      <c r="G778" s="50">
        <v>4000000</v>
      </c>
      <c r="H778" s="50">
        <v>0</v>
      </c>
      <c r="I778" s="50">
        <v>154808.93</v>
      </c>
      <c r="J778" s="50">
        <v>0</v>
      </c>
      <c r="K778" s="50">
        <v>3845191.07</v>
      </c>
      <c r="L778" s="152">
        <f t="shared" si="43"/>
        <v>0.38451910699999997</v>
      </c>
      <c r="M778" s="50">
        <v>3845191.07</v>
      </c>
      <c r="N778" s="50">
        <v>6000000</v>
      </c>
      <c r="O778" s="418">
        <f t="shared" si="44"/>
        <v>0.6</v>
      </c>
    </row>
    <row r="779" spans="1:15" s="143" customFormat="1" hidden="1" x14ac:dyDescent="0.25">
      <c r="A779" s="399" t="s">
        <v>721</v>
      </c>
      <c r="B779" s="44" t="s">
        <v>370</v>
      </c>
      <c r="C779" s="44" t="s">
        <v>371</v>
      </c>
      <c r="D779" s="44" t="s">
        <v>69</v>
      </c>
      <c r="E779" s="50">
        <v>15000000</v>
      </c>
      <c r="F779" s="50">
        <v>15000000</v>
      </c>
      <c r="G779" s="50">
        <v>0</v>
      </c>
      <c r="H779" s="50">
        <v>0</v>
      </c>
      <c r="I779" s="50">
        <v>0</v>
      </c>
      <c r="J779" s="50">
        <v>0</v>
      </c>
      <c r="K779" s="50">
        <v>0</v>
      </c>
      <c r="L779" s="152">
        <f t="shared" si="43"/>
        <v>0</v>
      </c>
      <c r="M779" s="50">
        <v>0</v>
      </c>
      <c r="N779" s="50">
        <v>15000000</v>
      </c>
      <c r="O779" s="418">
        <f t="shared" si="44"/>
        <v>1</v>
      </c>
    </row>
    <row r="780" spans="1:15" s="143" customFormat="1" hidden="1" x14ac:dyDescent="0.25">
      <c r="A780" s="445"/>
      <c r="B780" s="53"/>
      <c r="C780" s="53"/>
      <c r="D780" s="53"/>
      <c r="E780" s="54">
        <v>765104920000</v>
      </c>
      <c r="F780" s="54">
        <v>753010382417.09998</v>
      </c>
      <c r="G780" s="54">
        <v>641913351448.40002</v>
      </c>
      <c r="H780" s="54">
        <v>2186422798</v>
      </c>
      <c r="I780" s="54">
        <v>110283220261.45</v>
      </c>
      <c r="J780" s="54">
        <v>2462858263.1999998</v>
      </c>
      <c r="K780" s="54">
        <v>210723151539.89999</v>
      </c>
      <c r="L780" s="152">
        <f t="shared" si="43"/>
        <v>0.27984096429520189</v>
      </c>
      <c r="M780" s="54">
        <v>205378334170.5</v>
      </c>
      <c r="N780" s="54">
        <v>427354729554.54999</v>
      </c>
      <c r="O780" s="418">
        <f t="shared" si="44"/>
        <v>0.56752833630630328</v>
      </c>
    </row>
    <row r="781" spans="1:15" s="143" customFormat="1" x14ac:dyDescent="0.25">
      <c r="A781" s="422"/>
      <c r="B781" s="423"/>
      <c r="C781" s="423"/>
      <c r="D781" s="423"/>
      <c r="E781" s="424"/>
      <c r="F781" s="424">
        <f>+F750+F767+F770</f>
        <v>13453908259</v>
      </c>
      <c r="G781" s="424"/>
      <c r="H781" s="424"/>
      <c r="I781" s="424"/>
      <c r="J781" s="424"/>
      <c r="K781" s="424">
        <f>+K750+K767+K770</f>
        <v>4322577032.0600004</v>
      </c>
      <c r="L781" s="425">
        <f t="shared" si="43"/>
        <v>0.32128783315943976</v>
      </c>
      <c r="M781" s="424"/>
      <c r="N781" s="424">
        <f>+N750+N767+N770</f>
        <v>7671492066.2700005</v>
      </c>
      <c r="O781" s="426">
        <f t="shared" si="44"/>
        <v>0.5702054688189323</v>
      </c>
    </row>
    <row r="782" spans="1:15" x14ac:dyDescent="0.25">
      <c r="N782"/>
    </row>
    <row r="783" spans="1:15" x14ac:dyDescent="0.25">
      <c r="B783" s="187" t="s">
        <v>71</v>
      </c>
      <c r="C783" s="187" t="s">
        <v>72</v>
      </c>
      <c r="F783" s="121" t="e">
        <f t="shared" ref="F783:F787" si="45">NA()</f>
        <v>#N/A</v>
      </c>
      <c r="N783"/>
    </row>
    <row r="784" spans="1:15" x14ac:dyDescent="0.25">
      <c r="B784" s="187" t="s">
        <v>104</v>
      </c>
      <c r="C784" s="187" t="s">
        <v>105</v>
      </c>
      <c r="F784" s="121" t="e">
        <f t="shared" si="45"/>
        <v>#N/A</v>
      </c>
      <c r="N784"/>
    </row>
    <row r="785" spans="2:14" x14ac:dyDescent="0.25">
      <c r="B785" s="187" t="s">
        <v>184</v>
      </c>
      <c r="C785" s="187" t="s">
        <v>185</v>
      </c>
      <c r="F785" s="121" t="e">
        <f t="shared" si="45"/>
        <v>#N/A</v>
      </c>
      <c r="N785"/>
    </row>
    <row r="786" spans="2:14" x14ac:dyDescent="0.25">
      <c r="B786" s="187" t="s">
        <v>230</v>
      </c>
      <c r="C786" s="187" t="s">
        <v>231</v>
      </c>
      <c r="F786" s="121" t="e">
        <f t="shared" si="45"/>
        <v>#N/A</v>
      </c>
      <c r="N786"/>
    </row>
    <row r="787" spans="2:14" x14ac:dyDescent="0.25">
      <c r="B787" s="187" t="s">
        <v>248</v>
      </c>
      <c r="C787" s="187" t="s">
        <v>249</v>
      </c>
      <c r="F787" s="121" t="e">
        <f t="shared" si="45"/>
        <v>#N/A</v>
      </c>
      <c r="N787"/>
    </row>
    <row r="788" spans="2:14" x14ac:dyDescent="0.25">
      <c r="B788" s="187" t="s">
        <v>372</v>
      </c>
      <c r="C788" s="187" t="s">
        <v>373</v>
      </c>
      <c r="F788" s="121">
        <f>+F596</f>
        <v>674866517.41999996</v>
      </c>
      <c r="N788"/>
    </row>
    <row r="789" spans="2:14" x14ac:dyDescent="0.25">
      <c r="N789"/>
    </row>
    <row r="790" spans="2:14" x14ac:dyDescent="0.25">
      <c r="N790"/>
    </row>
    <row r="791" spans="2:14" x14ac:dyDescent="0.25">
      <c r="N791"/>
    </row>
    <row r="792" spans="2:14" x14ac:dyDescent="0.25">
      <c r="N792"/>
    </row>
    <row r="793" spans="2:14" x14ac:dyDescent="0.25">
      <c r="N793"/>
    </row>
    <row r="794" spans="2:14" x14ac:dyDescent="0.25">
      <c r="N794"/>
    </row>
    <row r="795" spans="2:14" x14ac:dyDescent="0.25">
      <c r="N795"/>
    </row>
    <row r="796" spans="2:14" x14ac:dyDescent="0.25">
      <c r="N796"/>
    </row>
    <row r="797" spans="2:14" x14ac:dyDescent="0.25">
      <c r="N797"/>
    </row>
    <row r="798" spans="2:14" x14ac:dyDescent="0.25">
      <c r="N798"/>
    </row>
    <row r="799" spans="2:14" x14ac:dyDescent="0.25">
      <c r="N799"/>
    </row>
    <row r="800" spans="2:14" x14ac:dyDescent="0.25">
      <c r="N800"/>
    </row>
    <row r="801" spans="14:14" x14ac:dyDescent="0.25">
      <c r="N801"/>
    </row>
    <row r="802" spans="14:14" x14ac:dyDescent="0.25">
      <c r="N802"/>
    </row>
    <row r="803" spans="14:14" x14ac:dyDescent="0.25">
      <c r="N803"/>
    </row>
    <row r="804" spans="14:14" x14ac:dyDescent="0.25">
      <c r="N804"/>
    </row>
    <row r="805" spans="14:14" x14ac:dyDescent="0.25">
      <c r="N805"/>
    </row>
    <row r="806" spans="14:14" x14ac:dyDescent="0.25">
      <c r="N806"/>
    </row>
    <row r="807" spans="14:14" x14ac:dyDescent="0.25">
      <c r="N807"/>
    </row>
    <row r="808" spans="14:14" x14ac:dyDescent="0.25">
      <c r="N808"/>
    </row>
    <row r="809" spans="14:14" x14ac:dyDescent="0.25">
      <c r="N809"/>
    </row>
    <row r="810" spans="14:14" x14ac:dyDescent="0.25">
      <c r="N810"/>
    </row>
    <row r="811" spans="14:14" x14ac:dyDescent="0.25">
      <c r="N811"/>
    </row>
    <row r="812" spans="14:14" x14ac:dyDescent="0.25">
      <c r="N812"/>
    </row>
    <row r="813" spans="14:14" x14ac:dyDescent="0.25">
      <c r="N813"/>
    </row>
    <row r="814" spans="14:14" x14ac:dyDescent="0.25">
      <c r="N814"/>
    </row>
    <row r="815" spans="14:14" x14ac:dyDescent="0.25">
      <c r="N815"/>
    </row>
    <row r="816" spans="14:14" x14ac:dyDescent="0.25">
      <c r="N816"/>
    </row>
    <row r="817" spans="14:14" x14ac:dyDescent="0.25">
      <c r="N817"/>
    </row>
    <row r="818" spans="14:14" x14ac:dyDescent="0.25">
      <c r="N818"/>
    </row>
    <row r="819" spans="14:14" x14ac:dyDescent="0.25">
      <c r="N819"/>
    </row>
    <row r="820" spans="14:14" x14ac:dyDescent="0.25">
      <c r="N820"/>
    </row>
    <row r="821" spans="14:14" x14ac:dyDescent="0.25">
      <c r="N821"/>
    </row>
    <row r="822" spans="14:14" x14ac:dyDescent="0.25">
      <c r="N822"/>
    </row>
    <row r="823" spans="14:14" x14ac:dyDescent="0.25">
      <c r="N823"/>
    </row>
    <row r="824" spans="14:14" x14ac:dyDescent="0.25">
      <c r="N824"/>
    </row>
    <row r="825" spans="14:14" x14ac:dyDescent="0.25">
      <c r="N825"/>
    </row>
    <row r="826" spans="14:14" x14ac:dyDescent="0.25">
      <c r="N826"/>
    </row>
    <row r="827" spans="14:14" x14ac:dyDescent="0.25">
      <c r="N827"/>
    </row>
    <row r="828" spans="14:14" x14ac:dyDescent="0.25">
      <c r="N828"/>
    </row>
    <row r="829" spans="14:14" x14ac:dyDescent="0.25">
      <c r="N829"/>
    </row>
    <row r="830" spans="14:14" x14ac:dyDescent="0.25">
      <c r="N830"/>
    </row>
    <row r="831" spans="14:14" x14ac:dyDescent="0.25">
      <c r="N831"/>
    </row>
    <row r="832" spans="14:14" x14ac:dyDescent="0.25">
      <c r="N832"/>
    </row>
    <row r="833" spans="14:14" x14ac:dyDescent="0.25">
      <c r="N833"/>
    </row>
    <row r="834" spans="14:14" x14ac:dyDescent="0.25">
      <c r="N834"/>
    </row>
    <row r="835" spans="14:14" x14ac:dyDescent="0.25">
      <c r="N835"/>
    </row>
    <row r="836" spans="14:14" x14ac:dyDescent="0.25">
      <c r="N836"/>
    </row>
    <row r="837" spans="14:14" x14ac:dyDescent="0.25">
      <c r="N837"/>
    </row>
    <row r="838" spans="14:14" x14ac:dyDescent="0.25">
      <c r="N838"/>
    </row>
    <row r="839" spans="14:14" x14ac:dyDescent="0.25">
      <c r="N839"/>
    </row>
    <row r="840" spans="14:14" x14ac:dyDescent="0.25">
      <c r="N840"/>
    </row>
    <row r="841" spans="14:14" x14ac:dyDescent="0.25">
      <c r="N841"/>
    </row>
    <row r="842" spans="14:14" x14ac:dyDescent="0.25">
      <c r="N842"/>
    </row>
    <row r="843" spans="14:14" x14ac:dyDescent="0.25">
      <c r="N843"/>
    </row>
    <row r="844" spans="14:14" x14ac:dyDescent="0.25">
      <c r="N844"/>
    </row>
    <row r="845" spans="14:14" x14ac:dyDescent="0.25">
      <c r="N845"/>
    </row>
    <row r="846" spans="14:14" x14ac:dyDescent="0.25">
      <c r="N846"/>
    </row>
    <row r="847" spans="14:14" x14ac:dyDescent="0.25">
      <c r="N847"/>
    </row>
    <row r="848" spans="14:14" x14ac:dyDescent="0.25">
      <c r="N848"/>
    </row>
    <row r="849" spans="14:14" x14ac:dyDescent="0.25">
      <c r="N849"/>
    </row>
    <row r="850" spans="14:14" x14ac:dyDescent="0.25">
      <c r="N850"/>
    </row>
    <row r="851" spans="14:14" x14ac:dyDescent="0.25">
      <c r="N851"/>
    </row>
    <row r="852" spans="14:14" x14ac:dyDescent="0.25">
      <c r="N852"/>
    </row>
    <row r="853" spans="14:14" x14ac:dyDescent="0.25">
      <c r="N853"/>
    </row>
    <row r="854" spans="14:14" x14ac:dyDescent="0.25">
      <c r="N854"/>
    </row>
    <row r="855" spans="14:14" x14ac:dyDescent="0.25">
      <c r="N855"/>
    </row>
    <row r="856" spans="14:14" x14ac:dyDescent="0.25">
      <c r="N856"/>
    </row>
    <row r="857" spans="14:14" x14ac:dyDescent="0.25">
      <c r="N857"/>
    </row>
    <row r="858" spans="14:14" x14ac:dyDescent="0.25">
      <c r="N858"/>
    </row>
    <row r="859" spans="14:14" x14ac:dyDescent="0.25">
      <c r="N859"/>
    </row>
    <row r="860" spans="14:14" x14ac:dyDescent="0.25">
      <c r="N860"/>
    </row>
    <row r="861" spans="14:14" x14ac:dyDescent="0.25">
      <c r="N861"/>
    </row>
    <row r="862" spans="14:14" x14ac:dyDescent="0.25">
      <c r="N862"/>
    </row>
    <row r="863" spans="14:14" x14ac:dyDescent="0.25">
      <c r="N863"/>
    </row>
    <row r="864" spans="14:14" x14ac:dyDescent="0.25">
      <c r="N864"/>
    </row>
    <row r="865" spans="14:14" x14ac:dyDescent="0.25">
      <c r="N865"/>
    </row>
    <row r="866" spans="14:14" x14ac:dyDescent="0.25">
      <c r="N866"/>
    </row>
    <row r="867" spans="14:14" x14ac:dyDescent="0.25">
      <c r="N867"/>
    </row>
    <row r="868" spans="14:14" x14ac:dyDescent="0.25">
      <c r="N868"/>
    </row>
    <row r="869" spans="14:14" x14ac:dyDescent="0.25">
      <c r="N869"/>
    </row>
    <row r="870" spans="14:14" x14ac:dyDescent="0.25">
      <c r="N870"/>
    </row>
    <row r="871" spans="14:14" x14ac:dyDescent="0.25">
      <c r="N871"/>
    </row>
    <row r="872" spans="14:14" x14ac:dyDescent="0.25">
      <c r="N872"/>
    </row>
    <row r="873" spans="14:14" x14ac:dyDescent="0.25">
      <c r="N873"/>
    </row>
    <row r="874" spans="14:14" x14ac:dyDescent="0.25">
      <c r="N874"/>
    </row>
    <row r="875" spans="14:14" x14ac:dyDescent="0.25">
      <c r="N875"/>
    </row>
    <row r="876" spans="14:14" x14ac:dyDescent="0.25">
      <c r="N876"/>
    </row>
    <row r="877" spans="14:14" x14ac:dyDescent="0.25">
      <c r="N877"/>
    </row>
    <row r="878" spans="14:14" x14ac:dyDescent="0.25">
      <c r="N878"/>
    </row>
    <row r="879" spans="14:14" x14ac:dyDescent="0.25">
      <c r="N879"/>
    </row>
    <row r="880" spans="14:14" x14ac:dyDescent="0.25">
      <c r="N880"/>
    </row>
    <row r="881" spans="14:14" x14ac:dyDescent="0.25">
      <c r="N881"/>
    </row>
    <row r="882" spans="14:14" x14ac:dyDescent="0.25">
      <c r="N882"/>
    </row>
    <row r="883" spans="14:14" x14ac:dyDescent="0.25">
      <c r="N883"/>
    </row>
    <row r="884" spans="14:14" x14ac:dyDescent="0.25">
      <c r="N884"/>
    </row>
    <row r="885" spans="14:14" x14ac:dyDescent="0.25">
      <c r="N885"/>
    </row>
    <row r="886" spans="14:14" x14ac:dyDescent="0.25">
      <c r="N886"/>
    </row>
    <row r="887" spans="14:14" x14ac:dyDescent="0.25">
      <c r="N887"/>
    </row>
    <row r="888" spans="14:14" x14ac:dyDescent="0.25">
      <c r="N888"/>
    </row>
    <row r="889" spans="14:14" x14ac:dyDescent="0.25">
      <c r="N889"/>
    </row>
    <row r="890" spans="14:14" x14ac:dyDescent="0.25">
      <c r="N890"/>
    </row>
    <row r="891" spans="14:14" x14ac:dyDescent="0.25">
      <c r="N891"/>
    </row>
    <row r="892" spans="14:14" x14ac:dyDescent="0.25">
      <c r="N892"/>
    </row>
    <row r="893" spans="14:14" x14ac:dyDescent="0.25">
      <c r="N893"/>
    </row>
    <row r="894" spans="14:14" x14ac:dyDescent="0.25">
      <c r="N894"/>
    </row>
    <row r="895" spans="14:14" x14ac:dyDescent="0.25">
      <c r="N895"/>
    </row>
    <row r="896" spans="14:14" x14ac:dyDescent="0.25">
      <c r="N896"/>
    </row>
    <row r="897" spans="14:14" x14ac:dyDescent="0.25">
      <c r="N897"/>
    </row>
    <row r="898" spans="14:14" x14ac:dyDescent="0.25">
      <c r="N898"/>
    </row>
    <row r="899" spans="14:14" x14ac:dyDescent="0.25">
      <c r="N899"/>
    </row>
    <row r="900" spans="14:14" x14ac:dyDescent="0.25">
      <c r="N900"/>
    </row>
    <row r="901" spans="14:14" x14ac:dyDescent="0.25">
      <c r="N901"/>
    </row>
    <row r="902" spans="14:14" x14ac:dyDescent="0.25">
      <c r="N902"/>
    </row>
    <row r="903" spans="14:14" x14ac:dyDescent="0.25">
      <c r="N903"/>
    </row>
    <row r="904" spans="14:14" x14ac:dyDescent="0.25">
      <c r="N904"/>
    </row>
    <row r="905" spans="14:14" x14ac:dyDescent="0.25">
      <c r="N905"/>
    </row>
    <row r="906" spans="14:14" x14ac:dyDescent="0.25">
      <c r="N906"/>
    </row>
    <row r="907" spans="14:14" x14ac:dyDescent="0.25">
      <c r="N907"/>
    </row>
    <row r="908" spans="14:14" x14ac:dyDescent="0.25">
      <c r="N908"/>
    </row>
    <row r="909" spans="14:14" x14ac:dyDescent="0.25">
      <c r="N909"/>
    </row>
    <row r="910" spans="14:14" x14ac:dyDescent="0.25">
      <c r="N910"/>
    </row>
    <row r="911" spans="14:14" x14ac:dyDescent="0.25">
      <c r="N911"/>
    </row>
    <row r="912" spans="14:14" x14ac:dyDescent="0.25">
      <c r="N912"/>
    </row>
    <row r="913" spans="14:14" x14ac:dyDescent="0.25">
      <c r="N913"/>
    </row>
    <row r="914" spans="14:14" x14ac:dyDescent="0.25">
      <c r="N914"/>
    </row>
    <row r="915" spans="14:14" x14ac:dyDescent="0.25">
      <c r="N915"/>
    </row>
    <row r="916" spans="14:14" x14ac:dyDescent="0.25">
      <c r="N916"/>
    </row>
    <row r="917" spans="14:14" x14ac:dyDescent="0.25">
      <c r="N917"/>
    </row>
    <row r="918" spans="14:14" x14ac:dyDescent="0.25">
      <c r="N918"/>
    </row>
    <row r="919" spans="14:14" x14ac:dyDescent="0.25">
      <c r="N919"/>
    </row>
    <row r="920" spans="14:14" x14ac:dyDescent="0.25">
      <c r="N920"/>
    </row>
    <row r="921" spans="14:14" x14ac:dyDescent="0.25">
      <c r="N921"/>
    </row>
    <row r="922" spans="14:14" x14ac:dyDescent="0.25">
      <c r="N922"/>
    </row>
    <row r="923" spans="14:14" x14ac:dyDescent="0.25">
      <c r="N923"/>
    </row>
    <row r="924" spans="14:14" x14ac:dyDescent="0.25">
      <c r="N924"/>
    </row>
    <row r="925" spans="14:14" x14ac:dyDescent="0.25">
      <c r="N925"/>
    </row>
    <row r="926" spans="14:14" x14ac:dyDescent="0.25">
      <c r="N926"/>
    </row>
    <row r="927" spans="14:14" x14ac:dyDescent="0.25">
      <c r="N927"/>
    </row>
    <row r="928" spans="14:14" x14ac:dyDescent="0.25">
      <c r="N928"/>
    </row>
    <row r="929" spans="14:14" x14ac:dyDescent="0.25">
      <c r="N929"/>
    </row>
    <row r="930" spans="14:14" x14ac:dyDescent="0.25">
      <c r="N930"/>
    </row>
    <row r="931" spans="14:14" x14ac:dyDescent="0.25">
      <c r="N931"/>
    </row>
    <row r="932" spans="14:14" x14ac:dyDescent="0.25">
      <c r="N932"/>
    </row>
    <row r="933" spans="14:14" x14ac:dyDescent="0.25">
      <c r="N933"/>
    </row>
    <row r="934" spans="14:14" x14ac:dyDescent="0.25">
      <c r="N934"/>
    </row>
    <row r="935" spans="14:14" x14ac:dyDescent="0.25">
      <c r="N935"/>
    </row>
    <row r="936" spans="14:14" x14ac:dyDescent="0.25">
      <c r="N936"/>
    </row>
    <row r="937" spans="14:14" x14ac:dyDescent="0.25">
      <c r="N937"/>
    </row>
    <row r="938" spans="14:14" x14ac:dyDescent="0.25">
      <c r="N938"/>
    </row>
    <row r="939" spans="14:14" x14ac:dyDescent="0.25">
      <c r="N939"/>
    </row>
    <row r="940" spans="14:14" x14ac:dyDescent="0.25">
      <c r="N940"/>
    </row>
    <row r="941" spans="14:14" x14ac:dyDescent="0.25">
      <c r="N941"/>
    </row>
    <row r="942" spans="14:14" x14ac:dyDescent="0.25">
      <c r="N942"/>
    </row>
    <row r="943" spans="14:14" x14ac:dyDescent="0.25">
      <c r="N943"/>
    </row>
    <row r="944" spans="14:14" x14ac:dyDescent="0.25">
      <c r="N944"/>
    </row>
    <row r="945" spans="14:14" x14ac:dyDescent="0.25">
      <c r="N945"/>
    </row>
    <row r="946" spans="14:14" x14ac:dyDescent="0.25">
      <c r="N946"/>
    </row>
    <row r="947" spans="14:14" x14ac:dyDescent="0.25">
      <c r="N947"/>
    </row>
    <row r="948" spans="14:14" x14ac:dyDescent="0.25">
      <c r="N948"/>
    </row>
    <row r="949" spans="14:14" x14ac:dyDescent="0.25">
      <c r="N949"/>
    </row>
    <row r="950" spans="14:14" x14ac:dyDescent="0.25">
      <c r="N950"/>
    </row>
    <row r="951" spans="14:14" x14ac:dyDescent="0.25">
      <c r="N951"/>
    </row>
    <row r="952" spans="14:14" x14ac:dyDescent="0.25">
      <c r="N952"/>
    </row>
    <row r="953" spans="14:14" x14ac:dyDescent="0.25">
      <c r="N953"/>
    </row>
    <row r="954" spans="14:14" x14ac:dyDescent="0.25">
      <c r="N954"/>
    </row>
    <row r="955" spans="14:14" x14ac:dyDescent="0.25">
      <c r="N955"/>
    </row>
    <row r="956" spans="14:14" x14ac:dyDescent="0.25">
      <c r="N956"/>
    </row>
    <row r="957" spans="14:14" x14ac:dyDescent="0.25">
      <c r="N957"/>
    </row>
    <row r="958" spans="14:14" x14ac:dyDescent="0.25">
      <c r="N958"/>
    </row>
    <row r="959" spans="14:14" x14ac:dyDescent="0.25">
      <c r="N959"/>
    </row>
    <row r="960" spans="14:14" x14ac:dyDescent="0.25">
      <c r="N960"/>
    </row>
    <row r="961" spans="14:14" x14ac:dyDescent="0.25">
      <c r="N961"/>
    </row>
    <row r="962" spans="14:14" x14ac:dyDescent="0.25">
      <c r="N962"/>
    </row>
    <row r="963" spans="14:14" x14ac:dyDescent="0.25">
      <c r="N963"/>
    </row>
    <row r="964" spans="14:14" x14ac:dyDescent="0.25">
      <c r="N964"/>
    </row>
    <row r="965" spans="14:14" x14ac:dyDescent="0.25">
      <c r="N965"/>
    </row>
    <row r="966" spans="14:14" x14ac:dyDescent="0.25">
      <c r="N966"/>
    </row>
    <row r="967" spans="14:14" x14ac:dyDescent="0.25">
      <c r="N967"/>
    </row>
    <row r="968" spans="14:14" x14ac:dyDescent="0.25">
      <c r="N968"/>
    </row>
    <row r="969" spans="14:14" x14ac:dyDescent="0.25">
      <c r="N969"/>
    </row>
    <row r="970" spans="14:14" x14ac:dyDescent="0.25">
      <c r="N970"/>
    </row>
    <row r="971" spans="14:14" x14ac:dyDescent="0.25">
      <c r="N971"/>
    </row>
    <row r="972" spans="14:14" x14ac:dyDescent="0.25">
      <c r="N972"/>
    </row>
    <row r="973" spans="14:14" x14ac:dyDescent="0.25">
      <c r="N973"/>
    </row>
    <row r="974" spans="14:14" x14ac:dyDescent="0.25">
      <c r="N974"/>
    </row>
    <row r="975" spans="14:14" x14ac:dyDescent="0.25">
      <c r="N975"/>
    </row>
    <row r="976" spans="14:14" x14ac:dyDescent="0.25">
      <c r="N976"/>
    </row>
    <row r="977" spans="14:14" x14ac:dyDescent="0.25">
      <c r="N977"/>
    </row>
    <row r="978" spans="14:14" x14ac:dyDescent="0.25">
      <c r="N978"/>
    </row>
    <row r="979" spans="14:14" x14ac:dyDescent="0.25">
      <c r="N979"/>
    </row>
    <row r="980" spans="14:14" x14ac:dyDescent="0.25">
      <c r="N980"/>
    </row>
    <row r="981" spans="14:14" x14ac:dyDescent="0.25">
      <c r="N981"/>
    </row>
    <row r="982" spans="14:14" x14ac:dyDescent="0.25">
      <c r="N982"/>
    </row>
    <row r="983" spans="14:14" x14ac:dyDescent="0.25">
      <c r="N983"/>
    </row>
    <row r="984" spans="14:14" x14ac:dyDescent="0.25">
      <c r="N984"/>
    </row>
    <row r="985" spans="14:14" x14ac:dyDescent="0.25">
      <c r="N985"/>
    </row>
    <row r="986" spans="14:14" x14ac:dyDescent="0.25">
      <c r="N986"/>
    </row>
    <row r="987" spans="14:14" x14ac:dyDescent="0.25">
      <c r="N987"/>
    </row>
    <row r="988" spans="14:14" x14ac:dyDescent="0.25">
      <c r="N988"/>
    </row>
    <row r="989" spans="14:14" x14ac:dyDescent="0.25">
      <c r="N989"/>
    </row>
    <row r="990" spans="14:14" x14ac:dyDescent="0.25">
      <c r="N990"/>
    </row>
    <row r="991" spans="14:14" x14ac:dyDescent="0.25">
      <c r="N991"/>
    </row>
    <row r="992" spans="14:14" x14ac:dyDescent="0.25">
      <c r="N992"/>
    </row>
    <row r="993" spans="14:14" x14ac:dyDescent="0.25">
      <c r="N993"/>
    </row>
    <row r="994" spans="14:14" x14ac:dyDescent="0.25">
      <c r="N994"/>
    </row>
    <row r="995" spans="14:14" x14ac:dyDescent="0.25">
      <c r="N995"/>
    </row>
    <row r="996" spans="14:14" x14ac:dyDescent="0.25">
      <c r="N996"/>
    </row>
    <row r="997" spans="14:14" x14ac:dyDescent="0.25">
      <c r="N997"/>
    </row>
    <row r="998" spans="14:14" x14ac:dyDescent="0.25">
      <c r="N998"/>
    </row>
    <row r="999" spans="14:14" x14ac:dyDescent="0.25">
      <c r="N999"/>
    </row>
    <row r="1000" spans="14:14" x14ac:dyDescent="0.25">
      <c r="N1000"/>
    </row>
    <row r="1001" spans="14:14" x14ac:dyDescent="0.25">
      <c r="N1001"/>
    </row>
    <row r="1002" spans="14:14" x14ac:dyDescent="0.25">
      <c r="N1002"/>
    </row>
    <row r="1003" spans="14:14" x14ac:dyDescent="0.25">
      <c r="N1003"/>
    </row>
    <row r="1004" spans="14:14" x14ac:dyDescent="0.25">
      <c r="N1004"/>
    </row>
    <row r="1005" spans="14:14" x14ac:dyDescent="0.25">
      <c r="N1005"/>
    </row>
    <row r="1006" spans="14:14" x14ac:dyDescent="0.25">
      <c r="N1006"/>
    </row>
    <row r="1007" spans="14:14" x14ac:dyDescent="0.25">
      <c r="N1007"/>
    </row>
    <row r="1008" spans="14:14" x14ac:dyDescent="0.25">
      <c r="N1008"/>
    </row>
    <row r="1009" spans="14:14" x14ac:dyDescent="0.25">
      <c r="N1009"/>
    </row>
    <row r="1010" spans="14:14" x14ac:dyDescent="0.25">
      <c r="N1010"/>
    </row>
    <row r="1011" spans="14:14" x14ac:dyDescent="0.25">
      <c r="N1011"/>
    </row>
    <row r="1012" spans="14:14" x14ac:dyDescent="0.25">
      <c r="N1012"/>
    </row>
    <row r="1013" spans="14:14" x14ac:dyDescent="0.25">
      <c r="N1013"/>
    </row>
    <row r="1014" spans="14:14" x14ac:dyDescent="0.25">
      <c r="N1014"/>
    </row>
    <row r="1015" spans="14:14" x14ac:dyDescent="0.25">
      <c r="N1015"/>
    </row>
    <row r="1016" spans="14:14" x14ac:dyDescent="0.25">
      <c r="N1016"/>
    </row>
    <row r="1017" spans="14:14" x14ac:dyDescent="0.25">
      <c r="N1017"/>
    </row>
    <row r="1018" spans="14:14" x14ac:dyDescent="0.25">
      <c r="N1018"/>
    </row>
    <row r="1019" spans="14:14" x14ac:dyDescent="0.25">
      <c r="N1019"/>
    </row>
    <row r="1020" spans="14:14" x14ac:dyDescent="0.25">
      <c r="N1020"/>
    </row>
    <row r="1021" spans="14:14" x14ac:dyDescent="0.25">
      <c r="N1021"/>
    </row>
    <row r="1022" spans="14:14" x14ac:dyDescent="0.25">
      <c r="N1022"/>
    </row>
    <row r="1023" spans="14:14" x14ac:dyDescent="0.25">
      <c r="N1023"/>
    </row>
    <row r="1024" spans="14:14" x14ac:dyDescent="0.25">
      <c r="N1024"/>
    </row>
    <row r="1025" spans="14:14" x14ac:dyDescent="0.25">
      <c r="N1025"/>
    </row>
    <row r="1026" spans="14:14" x14ac:dyDescent="0.25">
      <c r="N1026"/>
    </row>
    <row r="1027" spans="14:14" x14ac:dyDescent="0.25">
      <c r="N1027"/>
    </row>
    <row r="1028" spans="14:14" x14ac:dyDescent="0.25">
      <c r="N1028"/>
    </row>
    <row r="1029" spans="14:14" x14ac:dyDescent="0.25">
      <c r="N1029"/>
    </row>
    <row r="1030" spans="14:14" x14ac:dyDescent="0.25">
      <c r="N1030"/>
    </row>
    <row r="1031" spans="14:14" x14ac:dyDescent="0.25">
      <c r="N1031"/>
    </row>
    <row r="1032" spans="14:14" x14ac:dyDescent="0.25">
      <c r="N1032"/>
    </row>
    <row r="1033" spans="14:14" x14ac:dyDescent="0.25">
      <c r="N1033"/>
    </row>
    <row r="1034" spans="14:14" x14ac:dyDescent="0.25">
      <c r="N1034"/>
    </row>
    <row r="1035" spans="14:14" x14ac:dyDescent="0.25">
      <c r="N1035"/>
    </row>
    <row r="1036" spans="14:14" x14ac:dyDescent="0.25">
      <c r="N1036"/>
    </row>
    <row r="1037" spans="14:14" x14ac:dyDescent="0.25">
      <c r="N1037"/>
    </row>
    <row r="1038" spans="14:14" x14ac:dyDescent="0.25">
      <c r="N1038"/>
    </row>
    <row r="1039" spans="14:14" x14ac:dyDescent="0.25">
      <c r="N1039"/>
    </row>
    <row r="1040" spans="14:14" x14ac:dyDescent="0.25">
      <c r="N1040"/>
    </row>
    <row r="1041" spans="14:14" x14ac:dyDescent="0.25">
      <c r="N1041"/>
    </row>
    <row r="1042" spans="14:14" x14ac:dyDescent="0.25">
      <c r="N1042"/>
    </row>
    <row r="1043" spans="14:14" x14ac:dyDescent="0.25">
      <c r="N1043"/>
    </row>
    <row r="1044" spans="14:14" x14ac:dyDescent="0.25">
      <c r="N1044"/>
    </row>
    <row r="1045" spans="14:14" x14ac:dyDescent="0.25">
      <c r="N1045"/>
    </row>
    <row r="1046" spans="14:14" x14ac:dyDescent="0.25">
      <c r="N1046"/>
    </row>
    <row r="1047" spans="14:14" x14ac:dyDescent="0.25">
      <c r="N1047"/>
    </row>
    <row r="1048" spans="14:14" x14ac:dyDescent="0.25">
      <c r="N1048"/>
    </row>
    <row r="1049" spans="14:14" x14ac:dyDescent="0.25">
      <c r="N1049"/>
    </row>
    <row r="1050" spans="14:14" x14ac:dyDescent="0.25">
      <c r="N1050"/>
    </row>
    <row r="1051" spans="14:14" x14ac:dyDescent="0.25">
      <c r="N1051"/>
    </row>
    <row r="1052" spans="14:14" x14ac:dyDescent="0.25">
      <c r="N1052"/>
    </row>
    <row r="1053" spans="14:14" x14ac:dyDescent="0.25">
      <c r="N1053"/>
    </row>
    <row r="1054" spans="14:14" x14ac:dyDescent="0.25">
      <c r="N1054"/>
    </row>
    <row r="1055" spans="14:14" x14ac:dyDescent="0.25">
      <c r="N1055"/>
    </row>
    <row r="1056" spans="14:14" x14ac:dyDescent="0.25">
      <c r="N1056"/>
    </row>
    <row r="1057" spans="14:14" x14ac:dyDescent="0.25">
      <c r="N1057"/>
    </row>
    <row r="1058" spans="14:14" x14ac:dyDescent="0.25">
      <c r="N1058"/>
    </row>
    <row r="1059" spans="14:14" x14ac:dyDescent="0.25">
      <c r="N1059"/>
    </row>
    <row r="1060" spans="14:14" x14ac:dyDescent="0.25">
      <c r="N1060"/>
    </row>
    <row r="1061" spans="14:14" x14ac:dyDescent="0.25">
      <c r="N1061"/>
    </row>
    <row r="1062" spans="14:14" x14ac:dyDescent="0.25">
      <c r="N1062"/>
    </row>
    <row r="1063" spans="14:14" x14ac:dyDescent="0.25">
      <c r="N1063"/>
    </row>
    <row r="1064" spans="14:14" x14ac:dyDescent="0.25">
      <c r="N1064"/>
    </row>
    <row r="1065" spans="14:14" x14ac:dyDescent="0.25">
      <c r="N1065"/>
    </row>
    <row r="1066" spans="14:14" x14ac:dyDescent="0.25">
      <c r="N1066"/>
    </row>
    <row r="1067" spans="14:14" x14ac:dyDescent="0.25">
      <c r="N1067"/>
    </row>
    <row r="1068" spans="14:14" x14ac:dyDescent="0.25">
      <c r="N1068"/>
    </row>
    <row r="1069" spans="14:14" x14ac:dyDescent="0.25">
      <c r="N1069"/>
    </row>
    <row r="1070" spans="14:14" x14ac:dyDescent="0.25">
      <c r="N1070"/>
    </row>
    <row r="1071" spans="14:14" x14ac:dyDescent="0.25">
      <c r="N1071"/>
    </row>
    <row r="1072" spans="14:14" x14ac:dyDescent="0.25">
      <c r="N1072"/>
    </row>
    <row r="1073" spans="14:14" x14ac:dyDescent="0.25">
      <c r="N1073"/>
    </row>
    <row r="1074" spans="14:14" x14ac:dyDescent="0.25">
      <c r="N1074"/>
    </row>
    <row r="1075" spans="14:14" x14ac:dyDescent="0.25">
      <c r="N1075"/>
    </row>
    <row r="1076" spans="14:14" x14ac:dyDescent="0.25">
      <c r="N1076"/>
    </row>
    <row r="1077" spans="14:14" x14ac:dyDescent="0.25">
      <c r="N1077"/>
    </row>
    <row r="1078" spans="14:14" x14ac:dyDescent="0.25">
      <c r="N1078"/>
    </row>
    <row r="1079" spans="14:14" x14ac:dyDescent="0.25">
      <c r="N1079"/>
    </row>
    <row r="1080" spans="14:14" x14ac:dyDescent="0.25">
      <c r="N1080"/>
    </row>
    <row r="1081" spans="14:14" x14ac:dyDescent="0.25">
      <c r="N1081"/>
    </row>
    <row r="1082" spans="14:14" x14ac:dyDescent="0.25">
      <c r="N1082"/>
    </row>
    <row r="1083" spans="14:14" x14ac:dyDescent="0.25">
      <c r="N1083"/>
    </row>
    <row r="1084" spans="14:14" x14ac:dyDescent="0.25">
      <c r="N1084"/>
    </row>
    <row r="1085" spans="14:14" x14ac:dyDescent="0.25">
      <c r="N1085"/>
    </row>
    <row r="1086" spans="14:14" x14ac:dyDescent="0.25">
      <c r="N1086"/>
    </row>
    <row r="1087" spans="14:14" x14ac:dyDescent="0.25">
      <c r="N1087"/>
    </row>
    <row r="1088" spans="14:14" x14ac:dyDescent="0.25">
      <c r="N1088"/>
    </row>
    <row r="1089" spans="14:14" x14ac:dyDescent="0.25">
      <c r="N1089"/>
    </row>
    <row r="1090" spans="14:14" x14ac:dyDescent="0.25">
      <c r="N1090"/>
    </row>
    <row r="1091" spans="14:14" x14ac:dyDescent="0.25">
      <c r="N1091"/>
    </row>
    <row r="1092" spans="14:14" x14ac:dyDescent="0.25">
      <c r="N1092"/>
    </row>
    <row r="1093" spans="14:14" x14ac:dyDescent="0.25">
      <c r="N1093"/>
    </row>
    <row r="1094" spans="14:14" x14ac:dyDescent="0.25">
      <c r="N1094"/>
    </row>
    <row r="1095" spans="14:14" x14ac:dyDescent="0.25">
      <c r="N1095"/>
    </row>
    <row r="1096" spans="14:14" x14ac:dyDescent="0.25">
      <c r="N1096"/>
    </row>
    <row r="1097" spans="14:14" x14ac:dyDescent="0.25">
      <c r="N1097"/>
    </row>
    <row r="1098" spans="14:14" x14ac:dyDescent="0.25">
      <c r="N1098"/>
    </row>
    <row r="1099" spans="14:14" x14ac:dyDescent="0.25">
      <c r="N1099"/>
    </row>
    <row r="1100" spans="14:14" x14ac:dyDescent="0.25">
      <c r="N1100"/>
    </row>
    <row r="1101" spans="14:14" x14ac:dyDescent="0.25">
      <c r="N1101"/>
    </row>
    <row r="1102" spans="14:14" x14ac:dyDescent="0.25">
      <c r="N1102"/>
    </row>
    <row r="1103" spans="14:14" x14ac:dyDescent="0.25">
      <c r="N1103"/>
    </row>
    <row r="1104" spans="14:14" x14ac:dyDescent="0.25">
      <c r="N1104"/>
    </row>
    <row r="1105" spans="14:14" x14ac:dyDescent="0.25">
      <c r="N1105"/>
    </row>
    <row r="1106" spans="14:14" x14ac:dyDescent="0.25">
      <c r="N1106"/>
    </row>
    <row r="1107" spans="14:14" x14ac:dyDescent="0.25">
      <c r="N1107"/>
    </row>
    <row r="1108" spans="14:14" x14ac:dyDescent="0.25">
      <c r="N1108"/>
    </row>
    <row r="1109" spans="14:14" x14ac:dyDescent="0.25">
      <c r="N1109"/>
    </row>
    <row r="1110" spans="14:14" x14ac:dyDescent="0.25">
      <c r="N1110"/>
    </row>
    <row r="1111" spans="14:14" x14ac:dyDescent="0.25">
      <c r="N1111"/>
    </row>
    <row r="1112" spans="14:14" x14ac:dyDescent="0.25">
      <c r="N1112"/>
    </row>
    <row r="1113" spans="14:14" x14ac:dyDescent="0.25">
      <c r="N1113"/>
    </row>
    <row r="1114" spans="14:14" x14ac:dyDescent="0.25">
      <c r="N1114"/>
    </row>
    <row r="1115" spans="14:14" x14ac:dyDescent="0.25">
      <c r="N1115"/>
    </row>
    <row r="1116" spans="14:14" x14ac:dyDescent="0.25">
      <c r="N1116"/>
    </row>
    <row r="1117" spans="14:14" x14ac:dyDescent="0.25">
      <c r="N1117"/>
    </row>
    <row r="1118" spans="14:14" x14ac:dyDescent="0.25">
      <c r="N1118"/>
    </row>
    <row r="1119" spans="14:14" x14ac:dyDescent="0.25">
      <c r="N1119"/>
    </row>
    <row r="1120" spans="14:14" x14ac:dyDescent="0.25">
      <c r="N1120"/>
    </row>
    <row r="1121" spans="14:14" x14ac:dyDescent="0.25">
      <c r="N1121"/>
    </row>
    <row r="1122" spans="14:14" x14ac:dyDescent="0.25">
      <c r="N1122"/>
    </row>
    <row r="1123" spans="14:14" x14ac:dyDescent="0.25">
      <c r="N1123"/>
    </row>
    <row r="1124" spans="14:14" x14ac:dyDescent="0.25">
      <c r="N1124"/>
    </row>
    <row r="1125" spans="14:14" x14ac:dyDescent="0.25">
      <c r="N1125"/>
    </row>
    <row r="1126" spans="14:14" x14ac:dyDescent="0.25">
      <c r="N1126"/>
    </row>
    <row r="1127" spans="14:14" x14ac:dyDescent="0.25">
      <c r="N1127"/>
    </row>
    <row r="1128" spans="14:14" x14ac:dyDescent="0.25">
      <c r="N1128"/>
    </row>
    <row r="1129" spans="14:14" x14ac:dyDescent="0.25">
      <c r="N1129"/>
    </row>
    <row r="1130" spans="14:14" x14ac:dyDescent="0.25">
      <c r="N1130"/>
    </row>
    <row r="1131" spans="14:14" x14ac:dyDescent="0.25">
      <c r="N1131"/>
    </row>
    <row r="1132" spans="14:14" x14ac:dyDescent="0.25">
      <c r="N1132"/>
    </row>
    <row r="1133" spans="14:14" x14ac:dyDescent="0.25">
      <c r="N1133"/>
    </row>
    <row r="1134" spans="14:14" x14ac:dyDescent="0.25">
      <c r="N1134"/>
    </row>
    <row r="1135" spans="14:14" x14ac:dyDescent="0.25">
      <c r="N1135"/>
    </row>
    <row r="1136" spans="14:14" x14ac:dyDescent="0.25">
      <c r="N1136"/>
    </row>
    <row r="1137" spans="14:14" x14ac:dyDescent="0.25">
      <c r="N1137"/>
    </row>
    <row r="1138" spans="14:14" x14ac:dyDescent="0.25">
      <c r="N1138"/>
    </row>
    <row r="1139" spans="14:14" x14ac:dyDescent="0.25">
      <c r="N1139"/>
    </row>
    <row r="1140" spans="14:14" x14ac:dyDescent="0.25">
      <c r="N1140"/>
    </row>
    <row r="1141" spans="14:14" x14ac:dyDescent="0.25">
      <c r="N1141"/>
    </row>
    <row r="1142" spans="14:14" x14ac:dyDescent="0.25">
      <c r="N1142"/>
    </row>
    <row r="1143" spans="14:14" x14ac:dyDescent="0.25">
      <c r="N1143"/>
    </row>
    <row r="1144" spans="14:14" x14ac:dyDescent="0.25">
      <c r="N1144"/>
    </row>
    <row r="1145" spans="14:14" x14ac:dyDescent="0.25">
      <c r="N1145"/>
    </row>
    <row r="1146" spans="14:14" x14ac:dyDescent="0.25">
      <c r="N1146"/>
    </row>
    <row r="1147" spans="14:14" x14ac:dyDescent="0.25">
      <c r="N1147"/>
    </row>
    <row r="1148" spans="14:14" x14ac:dyDescent="0.25">
      <c r="N1148"/>
    </row>
    <row r="1149" spans="14:14" x14ac:dyDescent="0.25">
      <c r="N1149"/>
    </row>
    <row r="1150" spans="14:14" x14ac:dyDescent="0.25">
      <c r="N1150"/>
    </row>
    <row r="1151" spans="14:14" x14ac:dyDescent="0.25">
      <c r="N1151"/>
    </row>
    <row r="1152" spans="14:14" x14ac:dyDescent="0.25">
      <c r="N1152"/>
    </row>
    <row r="1153" spans="14:14" x14ac:dyDescent="0.25">
      <c r="N1153"/>
    </row>
    <row r="1154" spans="14:14" x14ac:dyDescent="0.25">
      <c r="N1154"/>
    </row>
    <row r="1155" spans="14:14" x14ac:dyDescent="0.25">
      <c r="N1155"/>
    </row>
    <row r="1156" spans="14:14" x14ac:dyDescent="0.25">
      <c r="N1156"/>
    </row>
    <row r="1157" spans="14:14" x14ac:dyDescent="0.25">
      <c r="N1157"/>
    </row>
    <row r="1158" spans="14:14" x14ac:dyDescent="0.25">
      <c r="N1158"/>
    </row>
    <row r="1159" spans="14:14" x14ac:dyDescent="0.25">
      <c r="N1159"/>
    </row>
    <row r="1160" spans="14:14" x14ac:dyDescent="0.25">
      <c r="N1160"/>
    </row>
    <row r="1161" spans="14:14" x14ac:dyDescent="0.25">
      <c r="N1161"/>
    </row>
    <row r="1162" spans="14:14" x14ac:dyDescent="0.25">
      <c r="N1162"/>
    </row>
    <row r="1163" spans="14:14" x14ac:dyDescent="0.25">
      <c r="N1163"/>
    </row>
    <row r="1164" spans="14:14" x14ac:dyDescent="0.25">
      <c r="N1164"/>
    </row>
    <row r="1165" spans="14:14" x14ac:dyDescent="0.25">
      <c r="N1165"/>
    </row>
    <row r="1166" spans="14:14" x14ac:dyDescent="0.25">
      <c r="N1166"/>
    </row>
    <row r="1167" spans="14:14" x14ac:dyDescent="0.25">
      <c r="N1167"/>
    </row>
    <row r="1168" spans="14:14" x14ac:dyDescent="0.25">
      <c r="N1168"/>
    </row>
    <row r="1169" spans="14:14" x14ac:dyDescent="0.25">
      <c r="N1169"/>
    </row>
    <row r="1170" spans="14:14" x14ac:dyDescent="0.25">
      <c r="N1170"/>
    </row>
    <row r="1171" spans="14:14" x14ac:dyDescent="0.25">
      <c r="N1171"/>
    </row>
    <row r="1172" spans="14:14" x14ac:dyDescent="0.25">
      <c r="N1172"/>
    </row>
    <row r="1173" spans="14:14" x14ac:dyDescent="0.25">
      <c r="N1173"/>
    </row>
    <row r="1174" spans="14:14" x14ac:dyDescent="0.25">
      <c r="N1174"/>
    </row>
    <row r="1175" spans="14:14" x14ac:dyDescent="0.25">
      <c r="N1175"/>
    </row>
    <row r="1176" spans="14:14" x14ac:dyDescent="0.25">
      <c r="N1176"/>
    </row>
    <row r="1177" spans="14:14" x14ac:dyDescent="0.25">
      <c r="N1177"/>
    </row>
    <row r="1178" spans="14:14" x14ac:dyDescent="0.25">
      <c r="N1178"/>
    </row>
    <row r="1179" spans="14:14" x14ac:dyDescent="0.25">
      <c r="N1179"/>
    </row>
    <row r="1180" spans="14:14" x14ac:dyDescent="0.25">
      <c r="N1180"/>
    </row>
    <row r="1181" spans="14:14" x14ac:dyDescent="0.25">
      <c r="N1181"/>
    </row>
    <row r="1182" spans="14:14" x14ac:dyDescent="0.25">
      <c r="N1182"/>
    </row>
    <row r="1183" spans="14:14" x14ac:dyDescent="0.25">
      <c r="N1183"/>
    </row>
    <row r="1184" spans="14:14" x14ac:dyDescent="0.25">
      <c r="N1184"/>
    </row>
    <row r="1185" spans="14:14" x14ac:dyDescent="0.25">
      <c r="N1185"/>
    </row>
    <row r="1186" spans="14:14" x14ac:dyDescent="0.25">
      <c r="N1186"/>
    </row>
    <row r="1187" spans="14:14" x14ac:dyDescent="0.25">
      <c r="N1187"/>
    </row>
    <row r="1188" spans="14:14" x14ac:dyDescent="0.25">
      <c r="N1188"/>
    </row>
    <row r="1189" spans="14:14" x14ac:dyDescent="0.25">
      <c r="N1189"/>
    </row>
    <row r="1190" spans="14:14" x14ac:dyDescent="0.25">
      <c r="N1190"/>
    </row>
    <row r="1191" spans="14:14" x14ac:dyDescent="0.25">
      <c r="N1191"/>
    </row>
    <row r="1192" spans="14:14" x14ac:dyDescent="0.25">
      <c r="N1192"/>
    </row>
    <row r="1193" spans="14:14" x14ac:dyDescent="0.25">
      <c r="N1193"/>
    </row>
    <row r="1194" spans="14:14" x14ac:dyDescent="0.25">
      <c r="N1194"/>
    </row>
    <row r="1195" spans="14:14" x14ac:dyDescent="0.25">
      <c r="N1195"/>
    </row>
    <row r="1196" spans="14:14" x14ac:dyDescent="0.25">
      <c r="N1196"/>
    </row>
    <row r="1197" spans="14:14" x14ac:dyDescent="0.25">
      <c r="N1197"/>
    </row>
    <row r="1198" spans="14:14" x14ac:dyDescent="0.25">
      <c r="N1198"/>
    </row>
    <row r="1199" spans="14:14" x14ac:dyDescent="0.25">
      <c r="N1199"/>
    </row>
    <row r="1200" spans="14:14" x14ac:dyDescent="0.25">
      <c r="N1200"/>
    </row>
    <row r="1201" spans="14:14" x14ac:dyDescent="0.25">
      <c r="N1201"/>
    </row>
    <row r="1202" spans="14:14" x14ac:dyDescent="0.25">
      <c r="N1202"/>
    </row>
    <row r="1203" spans="14:14" x14ac:dyDescent="0.25">
      <c r="N1203"/>
    </row>
    <row r="1204" spans="14:14" x14ac:dyDescent="0.25">
      <c r="N1204"/>
    </row>
    <row r="1205" spans="14:14" x14ac:dyDescent="0.25">
      <c r="N1205"/>
    </row>
    <row r="1206" spans="14:14" x14ac:dyDescent="0.25">
      <c r="N1206"/>
    </row>
    <row r="1207" spans="14:14" x14ac:dyDescent="0.25">
      <c r="N1207"/>
    </row>
    <row r="1208" spans="14:14" x14ac:dyDescent="0.25">
      <c r="N1208"/>
    </row>
    <row r="1209" spans="14:14" x14ac:dyDescent="0.25">
      <c r="N1209"/>
    </row>
    <row r="1210" spans="14:14" x14ac:dyDescent="0.25">
      <c r="N1210"/>
    </row>
    <row r="1211" spans="14:14" x14ac:dyDescent="0.25">
      <c r="N1211"/>
    </row>
    <row r="1212" spans="14:14" x14ac:dyDescent="0.25">
      <c r="N1212"/>
    </row>
    <row r="1213" spans="14:14" x14ac:dyDescent="0.25">
      <c r="N1213"/>
    </row>
    <row r="1214" spans="14:14" x14ac:dyDescent="0.25">
      <c r="N1214"/>
    </row>
    <row r="1215" spans="14:14" x14ac:dyDescent="0.25">
      <c r="N1215"/>
    </row>
    <row r="1216" spans="14:14" x14ac:dyDescent="0.25">
      <c r="N1216"/>
    </row>
    <row r="1217" spans="14:14" x14ac:dyDescent="0.25">
      <c r="N1217"/>
    </row>
    <row r="1218" spans="14:14" x14ac:dyDescent="0.25">
      <c r="N1218"/>
    </row>
    <row r="1219" spans="14:14" x14ac:dyDescent="0.25">
      <c r="N1219"/>
    </row>
    <row r="1220" spans="14:14" x14ac:dyDescent="0.25">
      <c r="N1220"/>
    </row>
    <row r="1221" spans="14:14" x14ac:dyDescent="0.25">
      <c r="N1221"/>
    </row>
    <row r="1222" spans="14:14" x14ac:dyDescent="0.25">
      <c r="N1222"/>
    </row>
    <row r="1223" spans="14:14" x14ac:dyDescent="0.25">
      <c r="N1223"/>
    </row>
    <row r="1224" spans="14:14" x14ac:dyDescent="0.25">
      <c r="N1224"/>
    </row>
    <row r="1225" spans="14:14" x14ac:dyDescent="0.25">
      <c r="N1225"/>
    </row>
    <row r="1226" spans="14:14" x14ac:dyDescent="0.25">
      <c r="N1226"/>
    </row>
    <row r="1227" spans="14:14" x14ac:dyDescent="0.25">
      <c r="N1227"/>
    </row>
    <row r="1228" spans="14:14" x14ac:dyDescent="0.25">
      <c r="N1228"/>
    </row>
    <row r="1229" spans="14:14" x14ac:dyDescent="0.25">
      <c r="N1229"/>
    </row>
    <row r="1230" spans="14:14" x14ac:dyDescent="0.25">
      <c r="N1230"/>
    </row>
    <row r="1231" spans="14:14" x14ac:dyDescent="0.25">
      <c r="N1231"/>
    </row>
    <row r="1232" spans="14:14" x14ac:dyDescent="0.25">
      <c r="N1232"/>
    </row>
    <row r="1233" spans="14:14" x14ac:dyDescent="0.25">
      <c r="N1233"/>
    </row>
    <row r="1234" spans="14:14" x14ac:dyDescent="0.25">
      <c r="N1234"/>
    </row>
    <row r="1235" spans="14:14" x14ac:dyDescent="0.25">
      <c r="N1235"/>
    </row>
    <row r="1236" spans="14:14" x14ac:dyDescent="0.25">
      <c r="N1236"/>
    </row>
    <row r="1237" spans="14:14" x14ac:dyDescent="0.25">
      <c r="N1237"/>
    </row>
    <row r="1238" spans="14:14" x14ac:dyDescent="0.25">
      <c r="N1238"/>
    </row>
    <row r="1239" spans="14:14" x14ac:dyDescent="0.25">
      <c r="N1239"/>
    </row>
    <row r="1240" spans="14:14" x14ac:dyDescent="0.25">
      <c r="N1240"/>
    </row>
    <row r="1241" spans="14:14" x14ac:dyDescent="0.25">
      <c r="N1241"/>
    </row>
    <row r="1242" spans="14:14" x14ac:dyDescent="0.25">
      <c r="N1242"/>
    </row>
    <row r="1243" spans="14:14" x14ac:dyDescent="0.25">
      <c r="N1243"/>
    </row>
    <row r="1244" spans="14:14" x14ac:dyDescent="0.25">
      <c r="N1244"/>
    </row>
    <row r="1245" spans="14:14" x14ac:dyDescent="0.25">
      <c r="N1245"/>
    </row>
    <row r="1246" spans="14:14" x14ac:dyDescent="0.25">
      <c r="N1246"/>
    </row>
    <row r="1247" spans="14:14" x14ac:dyDescent="0.25">
      <c r="N1247"/>
    </row>
    <row r="1248" spans="14:14" x14ac:dyDescent="0.25">
      <c r="N1248"/>
    </row>
    <row r="1249" spans="14:14" x14ac:dyDescent="0.25">
      <c r="N1249"/>
    </row>
    <row r="1250" spans="14:14" x14ac:dyDescent="0.25">
      <c r="N1250"/>
    </row>
    <row r="1251" spans="14:14" x14ac:dyDescent="0.25">
      <c r="N1251"/>
    </row>
    <row r="1252" spans="14:14" x14ac:dyDescent="0.25">
      <c r="N1252"/>
    </row>
    <row r="1253" spans="14:14" x14ac:dyDescent="0.25">
      <c r="N1253"/>
    </row>
    <row r="1254" spans="14:14" x14ac:dyDescent="0.25">
      <c r="N1254"/>
    </row>
    <row r="1255" spans="14:14" x14ac:dyDescent="0.25">
      <c r="N1255"/>
    </row>
    <row r="1256" spans="14:14" x14ac:dyDescent="0.25">
      <c r="N1256"/>
    </row>
    <row r="1257" spans="14:14" x14ac:dyDescent="0.25">
      <c r="N1257"/>
    </row>
    <row r="1258" spans="14:14" x14ac:dyDescent="0.25">
      <c r="N1258"/>
    </row>
    <row r="1259" spans="14:14" x14ac:dyDescent="0.25">
      <c r="N1259"/>
    </row>
    <row r="1260" spans="14:14" x14ac:dyDescent="0.25">
      <c r="N1260"/>
    </row>
    <row r="1261" spans="14:14" x14ac:dyDescent="0.25">
      <c r="N1261"/>
    </row>
    <row r="1262" spans="14:14" x14ac:dyDescent="0.25">
      <c r="N1262"/>
    </row>
    <row r="1263" spans="14:14" x14ac:dyDescent="0.25">
      <c r="N1263"/>
    </row>
    <row r="1264" spans="14:14" x14ac:dyDescent="0.25">
      <c r="N1264"/>
    </row>
    <row r="1265" spans="14:14" x14ac:dyDescent="0.25">
      <c r="N1265"/>
    </row>
    <row r="1266" spans="14:14" x14ac:dyDescent="0.25">
      <c r="N1266"/>
    </row>
    <row r="1267" spans="14:14" x14ac:dyDescent="0.25">
      <c r="N1267"/>
    </row>
    <row r="1268" spans="14:14" x14ac:dyDescent="0.25">
      <c r="N1268"/>
    </row>
    <row r="1269" spans="14:14" x14ac:dyDescent="0.25">
      <c r="N1269"/>
    </row>
    <row r="1270" spans="14:14" x14ac:dyDescent="0.25">
      <c r="N1270"/>
    </row>
    <row r="1271" spans="14:14" x14ac:dyDescent="0.25">
      <c r="N1271"/>
    </row>
    <row r="1272" spans="14:14" x14ac:dyDescent="0.25">
      <c r="N1272"/>
    </row>
    <row r="1273" spans="14:14" x14ac:dyDescent="0.25">
      <c r="N1273"/>
    </row>
    <row r="1274" spans="14:14" x14ac:dyDescent="0.25">
      <c r="N1274"/>
    </row>
    <row r="1275" spans="14:14" x14ac:dyDescent="0.25">
      <c r="N1275"/>
    </row>
    <row r="1276" spans="14:14" x14ac:dyDescent="0.25">
      <c r="N1276"/>
    </row>
    <row r="1277" spans="14:14" x14ac:dyDescent="0.25">
      <c r="N1277"/>
    </row>
    <row r="1278" spans="14:14" x14ac:dyDescent="0.25">
      <c r="N1278"/>
    </row>
    <row r="1279" spans="14:14" x14ac:dyDescent="0.25">
      <c r="N1279"/>
    </row>
    <row r="1280" spans="14:14" x14ac:dyDescent="0.25">
      <c r="N1280"/>
    </row>
    <row r="1281" spans="14:14" x14ac:dyDescent="0.25">
      <c r="N1281"/>
    </row>
    <row r="1282" spans="14:14" x14ac:dyDescent="0.25">
      <c r="N1282"/>
    </row>
    <row r="1283" spans="14:14" x14ac:dyDescent="0.25">
      <c r="N1283"/>
    </row>
    <row r="1284" spans="14:14" x14ac:dyDescent="0.25">
      <c r="N1284"/>
    </row>
    <row r="1285" spans="14:14" x14ac:dyDescent="0.25">
      <c r="N1285"/>
    </row>
    <row r="1286" spans="14:14" x14ac:dyDescent="0.25">
      <c r="N1286"/>
    </row>
    <row r="1287" spans="14:14" x14ac:dyDescent="0.25">
      <c r="N1287"/>
    </row>
    <row r="1288" spans="14:14" x14ac:dyDescent="0.25">
      <c r="N1288"/>
    </row>
    <row r="1289" spans="14:14" x14ac:dyDescent="0.25">
      <c r="N1289"/>
    </row>
    <row r="1290" spans="14:14" x14ac:dyDescent="0.25">
      <c r="N1290"/>
    </row>
    <row r="1291" spans="14:14" x14ac:dyDescent="0.25">
      <c r="N1291"/>
    </row>
    <row r="1292" spans="14:14" x14ac:dyDescent="0.25">
      <c r="N1292"/>
    </row>
    <row r="1293" spans="14:14" x14ac:dyDescent="0.25">
      <c r="N1293"/>
    </row>
    <row r="1294" spans="14:14" x14ac:dyDescent="0.25">
      <c r="N1294"/>
    </row>
    <row r="1295" spans="14:14" x14ac:dyDescent="0.25">
      <c r="N1295"/>
    </row>
    <row r="1296" spans="14:14" x14ac:dyDescent="0.25">
      <c r="N1296"/>
    </row>
    <row r="1297" spans="14:14" x14ac:dyDescent="0.25">
      <c r="N1297"/>
    </row>
    <row r="1298" spans="14:14" x14ac:dyDescent="0.25">
      <c r="N1298"/>
    </row>
    <row r="1299" spans="14:14" x14ac:dyDescent="0.25">
      <c r="N1299"/>
    </row>
    <row r="1300" spans="14:14" x14ac:dyDescent="0.25">
      <c r="N1300"/>
    </row>
    <row r="1301" spans="14:14" x14ac:dyDescent="0.25">
      <c r="N1301"/>
    </row>
    <row r="1302" spans="14:14" x14ac:dyDescent="0.25">
      <c r="N1302"/>
    </row>
    <row r="1303" spans="14:14" x14ac:dyDescent="0.25">
      <c r="N1303"/>
    </row>
    <row r="1304" spans="14:14" x14ac:dyDescent="0.25">
      <c r="N1304"/>
    </row>
    <row r="1305" spans="14:14" x14ac:dyDescent="0.25">
      <c r="N1305"/>
    </row>
    <row r="1306" spans="14:14" x14ac:dyDescent="0.25">
      <c r="N1306"/>
    </row>
    <row r="1307" spans="14:14" x14ac:dyDescent="0.25">
      <c r="N1307"/>
    </row>
    <row r="1308" spans="14:14" x14ac:dyDescent="0.25">
      <c r="N1308"/>
    </row>
    <row r="1309" spans="14:14" x14ac:dyDescent="0.25">
      <c r="N1309"/>
    </row>
    <row r="1310" spans="14:14" x14ac:dyDescent="0.25">
      <c r="N1310"/>
    </row>
    <row r="1311" spans="14:14" x14ac:dyDescent="0.25">
      <c r="N1311"/>
    </row>
    <row r="1312" spans="14:14" x14ac:dyDescent="0.25">
      <c r="N1312"/>
    </row>
    <row r="1313" spans="14:14" x14ac:dyDescent="0.25">
      <c r="N1313"/>
    </row>
    <row r="1314" spans="14:14" x14ac:dyDescent="0.25">
      <c r="N1314"/>
    </row>
    <row r="1315" spans="14:14" x14ac:dyDescent="0.25">
      <c r="N1315"/>
    </row>
    <row r="1316" spans="14:14" x14ac:dyDescent="0.25">
      <c r="N1316"/>
    </row>
    <row r="1317" spans="14:14" x14ac:dyDescent="0.25">
      <c r="N1317"/>
    </row>
    <row r="1318" spans="14:14" x14ac:dyDescent="0.25">
      <c r="N1318"/>
    </row>
    <row r="1319" spans="14:14" x14ac:dyDescent="0.25">
      <c r="N1319"/>
    </row>
    <row r="1320" spans="14:14" x14ac:dyDescent="0.25">
      <c r="N1320"/>
    </row>
    <row r="1321" spans="14:14" x14ac:dyDescent="0.25">
      <c r="N1321"/>
    </row>
    <row r="1322" spans="14:14" x14ac:dyDescent="0.25">
      <c r="N1322"/>
    </row>
    <row r="1323" spans="14:14" x14ac:dyDescent="0.25">
      <c r="N1323"/>
    </row>
    <row r="1324" spans="14:14" x14ac:dyDescent="0.25">
      <c r="N1324"/>
    </row>
    <row r="1325" spans="14:14" x14ac:dyDescent="0.25">
      <c r="N1325"/>
    </row>
    <row r="1326" spans="14:14" x14ac:dyDescent="0.25">
      <c r="N1326"/>
    </row>
    <row r="1327" spans="14:14" x14ac:dyDescent="0.25">
      <c r="N1327"/>
    </row>
    <row r="1328" spans="14:14" x14ac:dyDescent="0.25">
      <c r="N1328"/>
    </row>
    <row r="1329" spans="14:14" x14ac:dyDescent="0.25">
      <c r="N1329"/>
    </row>
    <row r="1330" spans="14:14" x14ac:dyDescent="0.25">
      <c r="N1330"/>
    </row>
    <row r="1331" spans="14:14" x14ac:dyDescent="0.25">
      <c r="N1331"/>
    </row>
    <row r="1332" spans="14:14" x14ac:dyDescent="0.25">
      <c r="N1332"/>
    </row>
    <row r="1333" spans="14:14" x14ac:dyDescent="0.25">
      <c r="N1333"/>
    </row>
    <row r="1334" spans="14:14" x14ac:dyDescent="0.25">
      <c r="N1334"/>
    </row>
    <row r="1335" spans="14:14" x14ac:dyDescent="0.25">
      <c r="N1335"/>
    </row>
    <row r="1336" spans="14:14" x14ac:dyDescent="0.25">
      <c r="N1336"/>
    </row>
    <row r="1337" spans="14:14" x14ac:dyDescent="0.25">
      <c r="N1337"/>
    </row>
    <row r="1338" spans="14:14" x14ac:dyDescent="0.25">
      <c r="N1338"/>
    </row>
    <row r="1339" spans="14:14" x14ac:dyDescent="0.25">
      <c r="N1339"/>
    </row>
    <row r="1340" spans="14:14" x14ac:dyDescent="0.25">
      <c r="N1340"/>
    </row>
  </sheetData>
  <sheetProtection selectLockedCells="1" selectUnlockedCells="1"/>
  <mergeCells count="6">
    <mergeCell ref="A4:A54"/>
    <mergeCell ref="A64:A133"/>
    <mergeCell ref="A147:A151"/>
    <mergeCell ref="A591:A596"/>
    <mergeCell ref="A600:A670"/>
    <mergeCell ref="A682:A686"/>
  </mergeCells>
  <conditionalFormatting sqref="K2:L3 K63:L63 K4:K61 K64:K144 K155:L157 K285:L285 K361:L367 K158:K283 K286:K358">
    <cfRule type="cellIs" dxfId="26" priority="1" stopIfTrue="1" operator="lessThan">
      <formula>0</formula>
    </cfRule>
  </conditionalFormatting>
  <conditionalFormatting sqref="K682">
    <cfRule type="cellIs" dxfId="25" priority="2" stopIfTrue="1" operator="lessThan">
      <formula>0</formula>
    </cfRule>
  </conditionalFormatting>
  <conditionalFormatting sqref="K683">
    <cfRule type="cellIs" dxfId="24" priority="3" stopIfTrue="1" operator="lessThan">
      <formula>0</formula>
    </cfRule>
  </conditionalFormatting>
  <conditionalFormatting sqref="K684">
    <cfRule type="cellIs" dxfId="23" priority="4" stopIfTrue="1" operator="lessThan">
      <formula>0</formula>
    </cfRule>
  </conditionalFormatting>
  <conditionalFormatting sqref="K685">
    <cfRule type="cellIs" dxfId="22" priority="5" stopIfTrue="1" operator="lessThan">
      <formula>0</formula>
    </cfRule>
  </conditionalFormatting>
  <conditionalFormatting sqref="K686">
    <cfRule type="cellIs" dxfId="21" priority="6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33"/>
  <sheetViews>
    <sheetView zoomScaleNormal="100" workbookViewId="0"/>
  </sheetViews>
  <sheetFormatPr baseColWidth="10" defaultColWidth="36.28515625" defaultRowHeight="15" x14ac:dyDescent="0.25"/>
  <cols>
    <col min="1" max="1" width="17.5703125" customWidth="1"/>
    <col min="2" max="2" width="20.28515625" hidden="1" customWidth="1"/>
    <col min="3" max="3" width="11.28515625" hidden="1" customWidth="1"/>
    <col min="4" max="4" width="6.5703125" customWidth="1"/>
    <col min="5" max="5" width="19.28515625" hidden="1" customWidth="1"/>
    <col min="6" max="6" width="24.28515625" customWidth="1"/>
    <col min="7" max="7" width="18.42578125" hidden="1" customWidth="1"/>
    <col min="8" max="8" width="19.42578125" customWidth="1"/>
    <col min="9" max="9" width="18.5703125" customWidth="1"/>
    <col min="10" max="10" width="21.42578125" customWidth="1"/>
    <col min="11" max="12" width="17.42578125" customWidth="1"/>
    <col min="13" max="13" width="22.7109375" customWidth="1"/>
    <col min="14" max="14" width="29" hidden="1" customWidth="1"/>
  </cols>
  <sheetData>
    <row r="1" spans="1:14" s="143" customFormat="1" x14ac:dyDescent="0.25">
      <c r="A1" s="446" t="s">
        <v>52</v>
      </c>
      <c r="B1" s="447" t="s">
        <v>691</v>
      </c>
      <c r="C1" s="448" t="s">
        <v>54</v>
      </c>
      <c r="D1" s="446" t="s">
        <v>55</v>
      </c>
      <c r="E1" s="449" t="s">
        <v>56</v>
      </c>
      <c r="F1" s="446" t="s">
        <v>57</v>
      </c>
      <c r="G1" s="449" t="s">
        <v>58</v>
      </c>
      <c r="H1" s="377" t="s">
        <v>59</v>
      </c>
      <c r="I1" s="378" t="s">
        <v>60</v>
      </c>
      <c r="J1" s="378" t="s">
        <v>61</v>
      </c>
      <c r="K1" s="378" t="s">
        <v>12</v>
      </c>
      <c r="L1" s="378" t="s">
        <v>63</v>
      </c>
      <c r="M1" s="450" t="s">
        <v>65</v>
      </c>
      <c r="N1" s="447" t="s">
        <v>67</v>
      </c>
    </row>
    <row r="2" spans="1:14" s="143" customFormat="1" x14ac:dyDescent="0.25">
      <c r="A2" s="451" t="s">
        <v>68</v>
      </c>
      <c r="D2" s="452" t="s">
        <v>69</v>
      </c>
      <c r="E2" s="257">
        <v>153020984000</v>
      </c>
      <c r="F2" s="258">
        <v>153020984000</v>
      </c>
      <c r="G2" s="257">
        <v>127990627032.08</v>
      </c>
      <c r="H2" s="259">
        <v>909007751.58000004</v>
      </c>
      <c r="I2" s="262">
        <v>23198553129.02</v>
      </c>
      <c r="J2" s="262">
        <v>304034345.94999999</v>
      </c>
      <c r="K2" s="262">
        <v>32510639231.779999</v>
      </c>
      <c r="L2" s="262">
        <v>30339540006.139999</v>
      </c>
      <c r="M2" s="260">
        <v>96098749541.669998</v>
      </c>
      <c r="N2" s="257">
        <v>71068392573.75</v>
      </c>
    </row>
    <row r="3" spans="1:14" s="143" customFormat="1" x14ac:dyDescent="0.25">
      <c r="A3" s="453">
        <v>214786</v>
      </c>
      <c r="D3" s="453" t="s">
        <v>69</v>
      </c>
      <c r="E3" s="257">
        <v>2252563898</v>
      </c>
      <c r="F3" s="265">
        <v>2252563898</v>
      </c>
      <c r="G3" s="257">
        <v>1928322707</v>
      </c>
      <c r="H3" s="266">
        <v>0</v>
      </c>
      <c r="I3" s="268">
        <v>288078043.44999999</v>
      </c>
      <c r="J3" s="268">
        <v>0</v>
      </c>
      <c r="K3" s="268">
        <v>464329075.37</v>
      </c>
      <c r="L3" s="268">
        <v>445373871.61000001</v>
      </c>
      <c r="M3" s="267">
        <v>1500156779.1800001</v>
      </c>
      <c r="N3" s="257">
        <v>1175915588.1800001</v>
      </c>
    </row>
    <row r="4" spans="1:14" s="143" customFormat="1" hidden="1" x14ac:dyDescent="0.25">
      <c r="A4" s="143" t="s">
        <v>696</v>
      </c>
      <c r="B4" s="143" t="s">
        <v>71</v>
      </c>
      <c r="C4" s="143" t="s">
        <v>72</v>
      </c>
      <c r="D4" s="143" t="s">
        <v>69</v>
      </c>
      <c r="E4" s="257">
        <v>1845529688</v>
      </c>
      <c r="F4" s="257">
        <v>1845529688</v>
      </c>
      <c r="G4" s="257">
        <v>1666253620.4000001</v>
      </c>
      <c r="H4" s="257">
        <v>0</v>
      </c>
      <c r="I4" s="257">
        <v>226518168</v>
      </c>
      <c r="J4" s="257">
        <v>0</v>
      </c>
      <c r="K4" s="257">
        <v>361617264.61000001</v>
      </c>
      <c r="L4" s="257">
        <v>361617264.61000001</v>
      </c>
      <c r="M4" s="279">
        <v>1257394255.3900001</v>
      </c>
      <c r="N4" s="257">
        <v>1078118187.79</v>
      </c>
    </row>
    <row r="5" spans="1:14" s="143" customFormat="1" hidden="1" x14ac:dyDescent="0.25">
      <c r="A5" s="143" t="s">
        <v>696</v>
      </c>
      <c r="B5" s="143" t="s">
        <v>73</v>
      </c>
      <c r="C5" s="143" t="s">
        <v>74</v>
      </c>
      <c r="D5" s="143" t="s">
        <v>69</v>
      </c>
      <c r="E5" s="257">
        <v>712211400</v>
      </c>
      <c r="F5" s="257">
        <v>712211400</v>
      </c>
      <c r="G5" s="257">
        <v>643883950.39999998</v>
      </c>
      <c r="H5" s="257">
        <v>0</v>
      </c>
      <c r="I5" s="257">
        <v>0</v>
      </c>
      <c r="J5" s="257">
        <v>0</v>
      </c>
      <c r="K5" s="257">
        <v>153426497.53999999</v>
      </c>
      <c r="L5" s="257">
        <v>153426497.53999999</v>
      </c>
      <c r="M5" s="279">
        <v>558784902.46000004</v>
      </c>
      <c r="N5" s="257">
        <v>490457452.86000001</v>
      </c>
    </row>
    <row r="6" spans="1:14" s="143" customFormat="1" hidden="1" x14ac:dyDescent="0.25">
      <c r="A6" s="143" t="s">
        <v>696</v>
      </c>
      <c r="B6" s="143" t="s">
        <v>75</v>
      </c>
      <c r="C6" s="143" t="s">
        <v>76</v>
      </c>
      <c r="D6" s="143" t="s">
        <v>69</v>
      </c>
      <c r="E6" s="257">
        <v>712211400</v>
      </c>
      <c r="F6" s="257">
        <v>712211400</v>
      </c>
      <c r="G6" s="257">
        <v>643883950.39999998</v>
      </c>
      <c r="H6" s="257">
        <v>0</v>
      </c>
      <c r="I6" s="257">
        <v>0</v>
      </c>
      <c r="J6" s="257">
        <v>0</v>
      </c>
      <c r="K6" s="257">
        <v>153426497.53999999</v>
      </c>
      <c r="L6" s="257">
        <v>153426497.53999999</v>
      </c>
      <c r="M6" s="279">
        <v>558784902.46000004</v>
      </c>
      <c r="N6" s="257">
        <v>490457452.86000001</v>
      </c>
    </row>
    <row r="7" spans="1:14" s="143" customFormat="1" hidden="1" x14ac:dyDescent="0.25">
      <c r="A7" s="143" t="s">
        <v>696</v>
      </c>
      <c r="B7" s="143" t="s">
        <v>77</v>
      </c>
      <c r="C7" s="143" t="s">
        <v>78</v>
      </c>
      <c r="D7" s="143" t="s">
        <v>69</v>
      </c>
      <c r="E7" s="257">
        <v>851789535</v>
      </c>
      <c r="F7" s="257">
        <v>851789535</v>
      </c>
      <c r="G7" s="257">
        <v>750532470</v>
      </c>
      <c r="H7" s="257">
        <v>0</v>
      </c>
      <c r="I7" s="257">
        <v>0</v>
      </c>
      <c r="J7" s="257">
        <v>0</v>
      </c>
      <c r="K7" s="257">
        <v>153180182.06999999</v>
      </c>
      <c r="L7" s="257">
        <v>153180182.06999999</v>
      </c>
      <c r="M7" s="279">
        <v>698609352.92999995</v>
      </c>
      <c r="N7" s="257">
        <v>597352287.92999995</v>
      </c>
    </row>
    <row r="8" spans="1:14" s="143" customFormat="1" hidden="1" x14ac:dyDescent="0.25">
      <c r="A8" s="143" t="s">
        <v>696</v>
      </c>
      <c r="B8" s="143" t="s">
        <v>79</v>
      </c>
      <c r="C8" s="143" t="s">
        <v>80</v>
      </c>
      <c r="D8" s="143" t="s">
        <v>69</v>
      </c>
      <c r="E8" s="257">
        <v>171630900</v>
      </c>
      <c r="F8" s="257">
        <v>171630900</v>
      </c>
      <c r="G8" s="257">
        <v>160067648</v>
      </c>
      <c r="H8" s="257">
        <v>0</v>
      </c>
      <c r="I8" s="257">
        <v>0</v>
      </c>
      <c r="J8" s="257">
        <v>0</v>
      </c>
      <c r="K8" s="257">
        <v>36547014.109999999</v>
      </c>
      <c r="L8" s="257">
        <v>36547014.109999999</v>
      </c>
      <c r="M8" s="279">
        <v>135083885.88999999</v>
      </c>
      <c r="N8" s="257">
        <v>123520633.89</v>
      </c>
    </row>
    <row r="9" spans="1:14" s="143" customFormat="1" hidden="1" x14ac:dyDescent="0.25">
      <c r="A9" s="143" t="s">
        <v>696</v>
      </c>
      <c r="B9" s="143" t="s">
        <v>81</v>
      </c>
      <c r="C9" s="143" t="s">
        <v>82</v>
      </c>
      <c r="D9" s="143" t="s">
        <v>69</v>
      </c>
      <c r="E9" s="257">
        <v>362005040</v>
      </c>
      <c r="F9" s="257">
        <v>362005040</v>
      </c>
      <c r="G9" s="257">
        <v>349729445</v>
      </c>
      <c r="H9" s="257">
        <v>0</v>
      </c>
      <c r="I9" s="257">
        <v>0</v>
      </c>
      <c r="J9" s="257">
        <v>0</v>
      </c>
      <c r="K9" s="257">
        <v>71885259.810000002</v>
      </c>
      <c r="L9" s="257">
        <v>71885259.810000002</v>
      </c>
      <c r="M9" s="279">
        <v>290119780.19</v>
      </c>
      <c r="N9" s="257">
        <v>277844185.19</v>
      </c>
    </row>
    <row r="10" spans="1:14" s="143" customFormat="1" hidden="1" x14ac:dyDescent="0.25">
      <c r="A10" s="143" t="s">
        <v>696</v>
      </c>
      <c r="B10" s="143" t="s">
        <v>83</v>
      </c>
      <c r="C10" s="143" t="s">
        <v>84</v>
      </c>
      <c r="D10" s="143" t="s">
        <v>85</v>
      </c>
      <c r="E10" s="257">
        <v>120263295</v>
      </c>
      <c r="F10" s="257">
        <v>120263295</v>
      </c>
      <c r="G10" s="257">
        <v>115748619</v>
      </c>
      <c r="H10" s="257">
        <v>0</v>
      </c>
      <c r="I10" s="257">
        <v>0</v>
      </c>
      <c r="J10" s="257">
        <v>0</v>
      </c>
      <c r="K10" s="257">
        <v>0</v>
      </c>
      <c r="L10" s="257">
        <v>0</v>
      </c>
      <c r="M10" s="279">
        <v>120263295</v>
      </c>
      <c r="N10" s="257">
        <v>115748619</v>
      </c>
    </row>
    <row r="11" spans="1:14" s="143" customFormat="1" hidden="1" x14ac:dyDescent="0.25">
      <c r="A11" s="143" t="s">
        <v>696</v>
      </c>
      <c r="B11" s="143" t="s">
        <v>86</v>
      </c>
      <c r="C11" s="143" t="s">
        <v>87</v>
      </c>
      <c r="D11" s="143" t="s">
        <v>69</v>
      </c>
      <c r="E11" s="257">
        <v>110671900</v>
      </c>
      <c r="F11" s="257">
        <v>110671900</v>
      </c>
      <c r="G11" s="257">
        <v>38177498</v>
      </c>
      <c r="H11" s="257">
        <v>0</v>
      </c>
      <c r="I11" s="257">
        <v>0</v>
      </c>
      <c r="J11" s="257">
        <v>0</v>
      </c>
      <c r="K11" s="257">
        <v>26177497.469999999</v>
      </c>
      <c r="L11" s="257">
        <v>26177497.469999999</v>
      </c>
      <c r="M11" s="279">
        <v>84494402.530000001</v>
      </c>
      <c r="N11" s="257">
        <v>12000000.529999999</v>
      </c>
    </row>
    <row r="12" spans="1:14" s="143" customFormat="1" hidden="1" x14ac:dyDescent="0.25">
      <c r="A12" s="143" t="s">
        <v>696</v>
      </c>
      <c r="B12" s="143" t="s">
        <v>88</v>
      </c>
      <c r="C12" s="143" t="s">
        <v>89</v>
      </c>
      <c r="D12" s="143" t="s">
        <v>69</v>
      </c>
      <c r="E12" s="257">
        <v>87218400</v>
      </c>
      <c r="F12" s="257">
        <v>87218400</v>
      </c>
      <c r="G12" s="257">
        <v>86809260</v>
      </c>
      <c r="H12" s="257">
        <v>0</v>
      </c>
      <c r="I12" s="257">
        <v>0</v>
      </c>
      <c r="J12" s="257">
        <v>0</v>
      </c>
      <c r="K12" s="257">
        <v>18570410.68</v>
      </c>
      <c r="L12" s="257">
        <v>18570410.68</v>
      </c>
      <c r="M12" s="279">
        <v>68647989.319999993</v>
      </c>
      <c r="N12" s="257">
        <v>68238849.319999993</v>
      </c>
    </row>
    <row r="13" spans="1:14" s="143" customFormat="1" hidden="1" x14ac:dyDescent="0.25">
      <c r="A13" s="143" t="s">
        <v>696</v>
      </c>
      <c r="B13" s="143" t="s">
        <v>90</v>
      </c>
      <c r="C13" s="143" t="s">
        <v>91</v>
      </c>
      <c r="D13" s="143" t="s">
        <v>69</v>
      </c>
      <c r="E13" s="257">
        <v>140764376</v>
      </c>
      <c r="F13" s="257">
        <v>140764376</v>
      </c>
      <c r="G13" s="257">
        <v>135918599</v>
      </c>
      <c r="H13" s="257">
        <v>0</v>
      </c>
      <c r="I13" s="257">
        <v>113178412</v>
      </c>
      <c r="J13" s="257">
        <v>0</v>
      </c>
      <c r="K13" s="257">
        <v>27585964</v>
      </c>
      <c r="L13" s="257">
        <v>27585964</v>
      </c>
      <c r="M13" s="279">
        <v>0</v>
      </c>
      <c r="N13" s="275">
        <v>-4845777</v>
      </c>
    </row>
    <row r="14" spans="1:14" s="143" customFormat="1" hidden="1" x14ac:dyDescent="0.25">
      <c r="A14" s="143" t="s">
        <v>696</v>
      </c>
      <c r="B14" s="143" t="s">
        <v>416</v>
      </c>
      <c r="C14" s="143" t="s">
        <v>697</v>
      </c>
      <c r="D14" s="143" t="s">
        <v>69</v>
      </c>
      <c r="E14" s="257">
        <v>133545724</v>
      </c>
      <c r="F14" s="257">
        <v>133545724</v>
      </c>
      <c r="G14" s="257">
        <v>128948448</v>
      </c>
      <c r="H14" s="257">
        <v>0</v>
      </c>
      <c r="I14" s="257">
        <v>107374409</v>
      </c>
      <c r="J14" s="257">
        <v>0</v>
      </c>
      <c r="K14" s="257">
        <v>26171315</v>
      </c>
      <c r="L14" s="257">
        <v>26171315</v>
      </c>
      <c r="M14" s="279">
        <v>0</v>
      </c>
      <c r="N14" s="275">
        <v>-4597276</v>
      </c>
    </row>
    <row r="15" spans="1:14" s="143" customFormat="1" hidden="1" x14ac:dyDescent="0.25">
      <c r="A15" s="143" t="s">
        <v>696</v>
      </c>
      <c r="B15" s="143" t="s">
        <v>433</v>
      </c>
      <c r="C15" s="143" t="s">
        <v>95</v>
      </c>
      <c r="D15" s="143" t="s">
        <v>69</v>
      </c>
      <c r="E15" s="257">
        <v>7218652</v>
      </c>
      <c r="F15" s="257">
        <v>7218652</v>
      </c>
      <c r="G15" s="257">
        <v>6970151</v>
      </c>
      <c r="H15" s="257">
        <v>0</v>
      </c>
      <c r="I15" s="257">
        <v>5804003</v>
      </c>
      <c r="J15" s="257">
        <v>0</v>
      </c>
      <c r="K15" s="257">
        <v>1414649</v>
      </c>
      <c r="L15" s="257">
        <v>1414649</v>
      </c>
      <c r="M15" s="279">
        <v>0</v>
      </c>
      <c r="N15" s="275">
        <v>-248501</v>
      </c>
    </row>
    <row r="16" spans="1:14" s="143" customFormat="1" hidden="1" x14ac:dyDescent="0.25">
      <c r="A16" s="143" t="s">
        <v>696</v>
      </c>
      <c r="B16" s="143" t="s">
        <v>96</v>
      </c>
      <c r="C16" s="143" t="s">
        <v>97</v>
      </c>
      <c r="D16" s="143" t="s">
        <v>69</v>
      </c>
      <c r="E16" s="257">
        <v>140764377</v>
      </c>
      <c r="F16" s="257">
        <v>140764377</v>
      </c>
      <c r="G16" s="257">
        <v>135918601</v>
      </c>
      <c r="H16" s="257">
        <v>0</v>
      </c>
      <c r="I16" s="257">
        <v>113339756</v>
      </c>
      <c r="J16" s="257">
        <v>0</v>
      </c>
      <c r="K16" s="257">
        <v>27424621</v>
      </c>
      <c r="L16" s="257">
        <v>27424621</v>
      </c>
      <c r="M16" s="279">
        <v>0</v>
      </c>
      <c r="N16" s="275">
        <v>-4845776</v>
      </c>
    </row>
    <row r="17" spans="1:14" s="143" customFormat="1" hidden="1" x14ac:dyDescent="0.25">
      <c r="A17" s="143" t="s">
        <v>696</v>
      </c>
      <c r="B17" s="143" t="s">
        <v>451</v>
      </c>
      <c r="C17" s="143" t="s">
        <v>698</v>
      </c>
      <c r="D17" s="143" t="s">
        <v>69</v>
      </c>
      <c r="E17" s="257">
        <v>75796203</v>
      </c>
      <c r="F17" s="257">
        <v>75796203</v>
      </c>
      <c r="G17" s="257">
        <v>73186939</v>
      </c>
      <c r="H17" s="257">
        <v>0</v>
      </c>
      <c r="I17" s="257">
        <v>61103574</v>
      </c>
      <c r="J17" s="257">
        <v>0</v>
      </c>
      <c r="K17" s="257">
        <v>14692629</v>
      </c>
      <c r="L17" s="257">
        <v>14692629</v>
      </c>
      <c r="M17" s="279">
        <v>0</v>
      </c>
      <c r="N17" s="275">
        <v>-2609264</v>
      </c>
    </row>
    <row r="18" spans="1:14" s="143" customFormat="1" hidden="1" x14ac:dyDescent="0.25">
      <c r="A18" s="143" t="s">
        <v>696</v>
      </c>
      <c r="B18" s="143" t="s">
        <v>468</v>
      </c>
      <c r="C18" s="143" t="s">
        <v>699</v>
      </c>
      <c r="D18" s="143" t="s">
        <v>69</v>
      </c>
      <c r="E18" s="257">
        <v>21656058</v>
      </c>
      <c r="F18" s="257">
        <v>21656058</v>
      </c>
      <c r="G18" s="257">
        <v>20910554</v>
      </c>
      <c r="H18" s="257">
        <v>0</v>
      </c>
      <c r="I18" s="257">
        <v>17412060</v>
      </c>
      <c r="J18" s="257">
        <v>0</v>
      </c>
      <c r="K18" s="257">
        <v>4243998</v>
      </c>
      <c r="L18" s="257">
        <v>4243998</v>
      </c>
      <c r="M18" s="279">
        <v>0</v>
      </c>
      <c r="N18" s="275">
        <v>-745504</v>
      </c>
    </row>
    <row r="19" spans="1:14" s="143" customFormat="1" hidden="1" x14ac:dyDescent="0.25">
      <c r="A19" s="143" t="s">
        <v>696</v>
      </c>
      <c r="B19" s="143" t="s">
        <v>485</v>
      </c>
      <c r="C19" s="143" t="s">
        <v>700</v>
      </c>
      <c r="D19" s="143" t="s">
        <v>69</v>
      </c>
      <c r="E19" s="257">
        <v>43312116</v>
      </c>
      <c r="F19" s="257">
        <v>43312116</v>
      </c>
      <c r="G19" s="257">
        <v>41821108</v>
      </c>
      <c r="H19" s="257">
        <v>0</v>
      </c>
      <c r="I19" s="257">
        <v>34824122</v>
      </c>
      <c r="J19" s="257">
        <v>0</v>
      </c>
      <c r="K19" s="257">
        <v>8487994</v>
      </c>
      <c r="L19" s="257">
        <v>8487994</v>
      </c>
      <c r="M19" s="279">
        <v>0</v>
      </c>
      <c r="N19" s="275">
        <v>-1491008</v>
      </c>
    </row>
    <row r="20" spans="1:14" s="143" customFormat="1" hidden="1" x14ac:dyDescent="0.25">
      <c r="A20" s="143" t="s">
        <v>696</v>
      </c>
      <c r="B20" s="143" t="s">
        <v>104</v>
      </c>
      <c r="C20" s="143" t="s">
        <v>105</v>
      </c>
      <c r="D20" s="143" t="s">
        <v>69</v>
      </c>
      <c r="E20" s="257">
        <v>83371900</v>
      </c>
      <c r="F20" s="257">
        <v>83371900</v>
      </c>
      <c r="G20" s="257">
        <v>73451899.599999994</v>
      </c>
      <c r="H20" s="257">
        <v>0</v>
      </c>
      <c r="I20" s="257">
        <v>42129295.450000003</v>
      </c>
      <c r="J20" s="257">
        <v>0</v>
      </c>
      <c r="K20" s="257">
        <v>2288860</v>
      </c>
      <c r="L20" s="257">
        <v>2288860</v>
      </c>
      <c r="M20" s="279">
        <v>38953744.549999997</v>
      </c>
      <c r="N20" s="257">
        <v>29033744.149999999</v>
      </c>
    </row>
    <row r="21" spans="1:14" s="143" customFormat="1" hidden="1" x14ac:dyDescent="0.25">
      <c r="A21" s="143" t="s">
        <v>696</v>
      </c>
      <c r="B21" s="143" t="s">
        <v>106</v>
      </c>
      <c r="C21" s="143" t="s">
        <v>107</v>
      </c>
      <c r="D21" s="143" t="s">
        <v>69</v>
      </c>
      <c r="E21" s="257">
        <v>55749325</v>
      </c>
      <c r="F21" s="257">
        <v>55749325</v>
      </c>
      <c r="G21" s="257">
        <v>54664324.600000001</v>
      </c>
      <c r="H21" s="257">
        <v>0</v>
      </c>
      <c r="I21" s="257">
        <v>29594135.449999999</v>
      </c>
      <c r="J21" s="257">
        <v>0</v>
      </c>
      <c r="K21" s="257">
        <v>0</v>
      </c>
      <c r="L21" s="257">
        <v>0</v>
      </c>
      <c r="M21" s="279">
        <v>26155189.550000001</v>
      </c>
      <c r="N21" s="257">
        <v>25070189.149999999</v>
      </c>
    </row>
    <row r="22" spans="1:14" s="143" customFormat="1" hidden="1" x14ac:dyDescent="0.25">
      <c r="A22" s="143" t="s">
        <v>696</v>
      </c>
      <c r="B22" s="143" t="s">
        <v>108</v>
      </c>
      <c r="C22" s="143" t="s">
        <v>109</v>
      </c>
      <c r="D22" s="143" t="s">
        <v>69</v>
      </c>
      <c r="E22" s="257">
        <v>55664325</v>
      </c>
      <c r="F22" s="257">
        <v>55664325</v>
      </c>
      <c r="G22" s="257">
        <v>54664324.600000001</v>
      </c>
      <c r="H22" s="257">
        <v>0</v>
      </c>
      <c r="I22" s="257">
        <v>29594135.449999999</v>
      </c>
      <c r="J22" s="257">
        <v>0</v>
      </c>
      <c r="K22" s="257">
        <v>0</v>
      </c>
      <c r="L22" s="257">
        <v>0</v>
      </c>
      <c r="M22" s="279">
        <v>26070189.550000001</v>
      </c>
      <c r="N22" s="257">
        <v>25070189.149999999</v>
      </c>
    </row>
    <row r="23" spans="1:14" s="143" customFormat="1" hidden="1" x14ac:dyDescent="0.25">
      <c r="A23" s="143" t="s">
        <v>696</v>
      </c>
      <c r="B23" s="143" t="s">
        <v>110</v>
      </c>
      <c r="C23" s="143" t="s">
        <v>111</v>
      </c>
      <c r="D23" s="143" t="s">
        <v>69</v>
      </c>
      <c r="E23" s="257">
        <v>85000</v>
      </c>
      <c r="F23" s="257">
        <v>85000</v>
      </c>
      <c r="G23" s="257">
        <v>0</v>
      </c>
      <c r="H23" s="257">
        <v>0</v>
      </c>
      <c r="I23" s="257">
        <v>0</v>
      </c>
      <c r="J23" s="257">
        <v>0</v>
      </c>
      <c r="K23" s="257">
        <v>0</v>
      </c>
      <c r="L23" s="257">
        <v>0</v>
      </c>
      <c r="M23" s="279">
        <v>85000</v>
      </c>
      <c r="N23" s="257">
        <v>0</v>
      </c>
    </row>
    <row r="24" spans="1:14" s="143" customFormat="1" hidden="1" x14ac:dyDescent="0.25">
      <c r="A24" s="143" t="s">
        <v>696</v>
      </c>
      <c r="B24" s="143" t="s">
        <v>124</v>
      </c>
      <c r="C24" s="143" t="s">
        <v>125</v>
      </c>
      <c r="D24" s="143" t="s">
        <v>69</v>
      </c>
      <c r="E24" s="257">
        <v>1900000</v>
      </c>
      <c r="F24" s="257">
        <v>1900000</v>
      </c>
      <c r="G24" s="257">
        <v>925000</v>
      </c>
      <c r="H24" s="257">
        <v>0</v>
      </c>
      <c r="I24" s="257">
        <v>298320</v>
      </c>
      <c r="J24" s="257">
        <v>0</v>
      </c>
      <c r="K24" s="257">
        <v>0</v>
      </c>
      <c r="L24" s="257">
        <v>0</v>
      </c>
      <c r="M24" s="279">
        <v>1601680</v>
      </c>
      <c r="N24" s="257">
        <v>626680</v>
      </c>
    </row>
    <row r="25" spans="1:14" s="143" customFormat="1" hidden="1" x14ac:dyDescent="0.25">
      <c r="A25" s="143" t="s">
        <v>696</v>
      </c>
      <c r="B25" s="143" t="s">
        <v>128</v>
      </c>
      <c r="C25" s="143" t="s">
        <v>129</v>
      </c>
      <c r="D25" s="143" t="s">
        <v>69</v>
      </c>
      <c r="E25" s="257">
        <v>1250000</v>
      </c>
      <c r="F25" s="257">
        <v>1250000</v>
      </c>
      <c r="G25" s="257">
        <v>625000</v>
      </c>
      <c r="H25" s="257">
        <v>0</v>
      </c>
      <c r="I25" s="257">
        <v>0</v>
      </c>
      <c r="J25" s="257">
        <v>0</v>
      </c>
      <c r="K25" s="257">
        <v>0</v>
      </c>
      <c r="L25" s="257">
        <v>0</v>
      </c>
      <c r="M25" s="279">
        <v>1250000</v>
      </c>
      <c r="N25" s="257">
        <v>625000</v>
      </c>
    </row>
    <row r="26" spans="1:14" s="143" customFormat="1" hidden="1" x14ac:dyDescent="0.25">
      <c r="A26" s="143" t="s">
        <v>696</v>
      </c>
      <c r="B26" s="143" t="s">
        <v>130</v>
      </c>
      <c r="C26" s="143" t="s">
        <v>131</v>
      </c>
      <c r="D26" s="143" t="s">
        <v>69</v>
      </c>
      <c r="E26" s="257">
        <v>50000</v>
      </c>
      <c r="F26" s="257">
        <v>50000</v>
      </c>
      <c r="G26" s="257">
        <v>0</v>
      </c>
      <c r="H26" s="257">
        <v>0</v>
      </c>
      <c r="I26" s="257">
        <v>0</v>
      </c>
      <c r="J26" s="257">
        <v>0</v>
      </c>
      <c r="K26" s="257">
        <v>0</v>
      </c>
      <c r="L26" s="257">
        <v>0</v>
      </c>
      <c r="M26" s="279">
        <v>50000</v>
      </c>
      <c r="N26" s="257">
        <v>0</v>
      </c>
    </row>
    <row r="27" spans="1:14" s="143" customFormat="1" hidden="1" x14ac:dyDescent="0.25">
      <c r="A27" s="143" t="s">
        <v>696</v>
      </c>
      <c r="B27" s="143" t="s">
        <v>132</v>
      </c>
      <c r="C27" s="143" t="s">
        <v>133</v>
      </c>
      <c r="D27" s="143" t="s">
        <v>69</v>
      </c>
      <c r="E27" s="257">
        <v>600000</v>
      </c>
      <c r="F27" s="257">
        <v>600000</v>
      </c>
      <c r="G27" s="257">
        <v>300000</v>
      </c>
      <c r="H27" s="257">
        <v>0</v>
      </c>
      <c r="I27" s="257">
        <v>298320</v>
      </c>
      <c r="J27" s="257">
        <v>0</v>
      </c>
      <c r="K27" s="257">
        <v>0</v>
      </c>
      <c r="L27" s="257">
        <v>0</v>
      </c>
      <c r="M27" s="279">
        <v>301680</v>
      </c>
      <c r="N27" s="257">
        <v>1680</v>
      </c>
    </row>
    <row r="28" spans="1:14" s="143" customFormat="1" hidden="1" x14ac:dyDescent="0.25">
      <c r="A28" s="143" t="s">
        <v>696</v>
      </c>
      <c r="B28" s="143" t="s">
        <v>140</v>
      </c>
      <c r="C28" s="143" t="s">
        <v>141</v>
      </c>
      <c r="D28" s="143" t="s">
        <v>69</v>
      </c>
      <c r="E28" s="257">
        <v>25000000</v>
      </c>
      <c r="F28" s="257">
        <v>25000000</v>
      </c>
      <c r="G28" s="257">
        <v>17540000</v>
      </c>
      <c r="H28" s="257">
        <v>0</v>
      </c>
      <c r="I28" s="257">
        <v>11836840</v>
      </c>
      <c r="J28" s="257">
        <v>0</v>
      </c>
      <c r="K28" s="257">
        <v>2288860</v>
      </c>
      <c r="L28" s="257">
        <v>2288860</v>
      </c>
      <c r="M28" s="279">
        <v>10874300</v>
      </c>
      <c r="N28" s="257">
        <v>3414300</v>
      </c>
    </row>
    <row r="29" spans="1:14" s="143" customFormat="1" hidden="1" x14ac:dyDescent="0.25">
      <c r="A29" s="143" t="s">
        <v>696</v>
      </c>
      <c r="B29" s="143" t="s">
        <v>142</v>
      </c>
      <c r="C29" s="143" t="s">
        <v>143</v>
      </c>
      <c r="D29" s="143" t="s">
        <v>69</v>
      </c>
      <c r="E29" s="257">
        <v>100000</v>
      </c>
      <c r="F29" s="257">
        <v>100000</v>
      </c>
      <c r="G29" s="257">
        <v>100000</v>
      </c>
      <c r="H29" s="257">
        <v>0</v>
      </c>
      <c r="I29" s="257">
        <v>64340</v>
      </c>
      <c r="J29" s="257">
        <v>0</v>
      </c>
      <c r="K29" s="257">
        <v>35660</v>
      </c>
      <c r="L29" s="257">
        <v>35660</v>
      </c>
      <c r="M29" s="279">
        <v>0</v>
      </c>
      <c r="N29" s="257">
        <v>0</v>
      </c>
    </row>
    <row r="30" spans="1:14" s="143" customFormat="1" hidden="1" x14ac:dyDescent="0.25">
      <c r="A30" s="143" t="s">
        <v>696</v>
      </c>
      <c r="B30" s="143" t="s">
        <v>144</v>
      </c>
      <c r="C30" s="143" t="s">
        <v>145</v>
      </c>
      <c r="D30" s="143" t="s">
        <v>69</v>
      </c>
      <c r="E30" s="257">
        <v>8085000</v>
      </c>
      <c r="F30" s="257">
        <v>8085000</v>
      </c>
      <c r="G30" s="257">
        <v>8085000</v>
      </c>
      <c r="H30" s="257">
        <v>0</v>
      </c>
      <c r="I30" s="257">
        <v>6912500</v>
      </c>
      <c r="J30" s="257">
        <v>0</v>
      </c>
      <c r="K30" s="257">
        <v>808200</v>
      </c>
      <c r="L30" s="257">
        <v>808200</v>
      </c>
      <c r="M30" s="279">
        <v>364300</v>
      </c>
      <c r="N30" s="257">
        <v>364300</v>
      </c>
    </row>
    <row r="31" spans="1:14" s="143" customFormat="1" hidden="1" x14ac:dyDescent="0.25">
      <c r="A31" s="143" t="s">
        <v>696</v>
      </c>
      <c r="B31" s="143" t="s">
        <v>146</v>
      </c>
      <c r="C31" s="143" t="s">
        <v>147</v>
      </c>
      <c r="D31" s="143" t="s">
        <v>69</v>
      </c>
      <c r="E31" s="257">
        <v>8295000</v>
      </c>
      <c r="F31" s="257">
        <v>8295000</v>
      </c>
      <c r="G31" s="257">
        <v>1585000</v>
      </c>
      <c r="H31" s="257">
        <v>0</v>
      </c>
      <c r="I31" s="257">
        <v>600000</v>
      </c>
      <c r="J31" s="257">
        <v>0</v>
      </c>
      <c r="K31" s="257">
        <v>1445000</v>
      </c>
      <c r="L31" s="257">
        <v>1445000</v>
      </c>
      <c r="M31" s="279">
        <v>6250000</v>
      </c>
      <c r="N31" s="275">
        <v>-460000</v>
      </c>
    </row>
    <row r="32" spans="1:14" s="143" customFormat="1" hidden="1" x14ac:dyDescent="0.25">
      <c r="A32" s="143" t="s">
        <v>696</v>
      </c>
      <c r="B32" s="143" t="s">
        <v>148</v>
      </c>
      <c r="C32" s="143" t="s">
        <v>149</v>
      </c>
      <c r="D32" s="143" t="s">
        <v>69</v>
      </c>
      <c r="E32" s="257">
        <v>8520000</v>
      </c>
      <c r="F32" s="257">
        <v>8520000</v>
      </c>
      <c r="G32" s="257">
        <v>7770000</v>
      </c>
      <c r="H32" s="257">
        <v>0</v>
      </c>
      <c r="I32" s="257">
        <v>4260000</v>
      </c>
      <c r="J32" s="257">
        <v>0</v>
      </c>
      <c r="K32" s="257">
        <v>0</v>
      </c>
      <c r="L32" s="257">
        <v>0</v>
      </c>
      <c r="M32" s="279">
        <v>4260000</v>
      </c>
      <c r="N32" s="257">
        <v>3510000</v>
      </c>
    </row>
    <row r="33" spans="1:14" s="143" customFormat="1" hidden="1" x14ac:dyDescent="0.25">
      <c r="A33" s="143" t="s">
        <v>696</v>
      </c>
      <c r="B33" s="143" t="s">
        <v>154</v>
      </c>
      <c r="C33" s="143" t="s">
        <v>155</v>
      </c>
      <c r="D33" s="143" t="s">
        <v>69</v>
      </c>
      <c r="E33" s="257">
        <v>400000</v>
      </c>
      <c r="F33" s="257">
        <v>400000</v>
      </c>
      <c r="G33" s="257">
        <v>0</v>
      </c>
      <c r="H33" s="257">
        <v>0</v>
      </c>
      <c r="I33" s="257">
        <v>400000</v>
      </c>
      <c r="J33" s="257">
        <v>0</v>
      </c>
      <c r="K33" s="257">
        <v>0</v>
      </c>
      <c r="L33" s="257">
        <v>0</v>
      </c>
      <c r="M33" s="279">
        <v>0</v>
      </c>
      <c r="N33" s="275">
        <v>-400000</v>
      </c>
    </row>
    <row r="34" spans="1:14" s="143" customFormat="1" hidden="1" x14ac:dyDescent="0.25">
      <c r="A34" s="143" t="s">
        <v>696</v>
      </c>
      <c r="B34" s="143" t="s">
        <v>160</v>
      </c>
      <c r="C34" s="143" t="s">
        <v>161</v>
      </c>
      <c r="D34" s="143" t="s">
        <v>69</v>
      </c>
      <c r="E34" s="257">
        <v>400000</v>
      </c>
      <c r="F34" s="257">
        <v>400000</v>
      </c>
      <c r="G34" s="257">
        <v>0</v>
      </c>
      <c r="H34" s="257">
        <v>0</v>
      </c>
      <c r="I34" s="257">
        <v>400000</v>
      </c>
      <c r="J34" s="257">
        <v>0</v>
      </c>
      <c r="K34" s="257">
        <v>0</v>
      </c>
      <c r="L34" s="257">
        <v>0</v>
      </c>
      <c r="M34" s="279">
        <v>0</v>
      </c>
      <c r="N34" s="275">
        <v>-400000</v>
      </c>
    </row>
    <row r="35" spans="1:14" s="143" customFormat="1" hidden="1" x14ac:dyDescent="0.25">
      <c r="A35" s="143" t="s">
        <v>696</v>
      </c>
      <c r="B35" s="143" t="s">
        <v>162</v>
      </c>
      <c r="C35" s="143" t="s">
        <v>163</v>
      </c>
      <c r="D35" s="143" t="s">
        <v>69</v>
      </c>
      <c r="E35" s="257">
        <v>322575</v>
      </c>
      <c r="F35" s="257">
        <v>322575</v>
      </c>
      <c r="G35" s="257">
        <v>322575</v>
      </c>
      <c r="H35" s="257">
        <v>0</v>
      </c>
      <c r="I35" s="257">
        <v>0</v>
      </c>
      <c r="J35" s="257">
        <v>0</v>
      </c>
      <c r="K35" s="257">
        <v>0</v>
      </c>
      <c r="L35" s="257">
        <v>0</v>
      </c>
      <c r="M35" s="279">
        <v>322575</v>
      </c>
      <c r="N35" s="257">
        <v>322575</v>
      </c>
    </row>
    <row r="36" spans="1:14" s="143" customFormat="1" hidden="1" x14ac:dyDescent="0.25">
      <c r="A36" s="143" t="s">
        <v>696</v>
      </c>
      <c r="B36" s="143" t="s">
        <v>170</v>
      </c>
      <c r="C36" s="143" t="s">
        <v>171</v>
      </c>
      <c r="D36" s="143" t="s">
        <v>69</v>
      </c>
      <c r="E36" s="257">
        <v>322575</v>
      </c>
      <c r="F36" s="257">
        <v>322575</v>
      </c>
      <c r="G36" s="257">
        <v>322575</v>
      </c>
      <c r="H36" s="257">
        <v>0</v>
      </c>
      <c r="I36" s="257">
        <v>0</v>
      </c>
      <c r="J36" s="257">
        <v>0</v>
      </c>
      <c r="K36" s="257">
        <v>0</v>
      </c>
      <c r="L36" s="257">
        <v>0</v>
      </c>
      <c r="M36" s="279">
        <v>322575</v>
      </c>
      <c r="N36" s="257">
        <v>322575</v>
      </c>
    </row>
    <row r="37" spans="1:14" s="143" customFormat="1" hidden="1" x14ac:dyDescent="0.25">
      <c r="A37" s="143" t="s">
        <v>696</v>
      </c>
      <c r="B37" s="143" t="s">
        <v>184</v>
      </c>
      <c r="C37" s="143" t="s">
        <v>185</v>
      </c>
      <c r="D37" s="143" t="s">
        <v>69</v>
      </c>
      <c r="E37" s="257">
        <v>4976400</v>
      </c>
      <c r="F37" s="257">
        <v>4976400</v>
      </c>
      <c r="G37" s="257">
        <v>4376300</v>
      </c>
      <c r="H37" s="257">
        <v>0</v>
      </c>
      <c r="I37" s="257">
        <v>0</v>
      </c>
      <c r="J37" s="257">
        <v>0</v>
      </c>
      <c r="K37" s="257">
        <v>562346.76</v>
      </c>
      <c r="L37" s="257">
        <v>0</v>
      </c>
      <c r="M37" s="279">
        <v>4414053.24</v>
      </c>
      <c r="N37" s="257">
        <v>3813953.24</v>
      </c>
    </row>
    <row r="38" spans="1:14" s="143" customFormat="1" hidden="1" x14ac:dyDescent="0.25">
      <c r="A38" s="143" t="s">
        <v>696</v>
      </c>
      <c r="B38" s="143" t="s">
        <v>186</v>
      </c>
      <c r="C38" s="143" t="s">
        <v>187</v>
      </c>
      <c r="D38" s="143" t="s">
        <v>69</v>
      </c>
      <c r="E38" s="257">
        <v>43000</v>
      </c>
      <c r="F38" s="257">
        <v>43000</v>
      </c>
      <c r="G38" s="257">
        <v>0</v>
      </c>
      <c r="H38" s="257">
        <v>0</v>
      </c>
      <c r="I38" s="257">
        <v>0</v>
      </c>
      <c r="J38" s="257">
        <v>0</v>
      </c>
      <c r="K38" s="257">
        <v>0</v>
      </c>
      <c r="L38" s="257">
        <v>0</v>
      </c>
      <c r="M38" s="279">
        <v>43000</v>
      </c>
      <c r="N38" s="257">
        <v>0</v>
      </c>
    </row>
    <row r="39" spans="1:14" s="143" customFormat="1" hidden="1" x14ac:dyDescent="0.25">
      <c r="A39" s="143" t="s">
        <v>696</v>
      </c>
      <c r="B39" s="143" t="s">
        <v>192</v>
      </c>
      <c r="C39" s="143" t="s">
        <v>193</v>
      </c>
      <c r="D39" s="143" t="s">
        <v>69</v>
      </c>
      <c r="E39" s="257">
        <v>43000</v>
      </c>
      <c r="F39" s="257">
        <v>43000</v>
      </c>
      <c r="G39" s="257">
        <v>0</v>
      </c>
      <c r="H39" s="257">
        <v>0</v>
      </c>
      <c r="I39" s="257">
        <v>0</v>
      </c>
      <c r="J39" s="257">
        <v>0</v>
      </c>
      <c r="K39" s="257">
        <v>0</v>
      </c>
      <c r="L39" s="257">
        <v>0</v>
      </c>
      <c r="M39" s="279">
        <v>43000</v>
      </c>
      <c r="N39" s="257">
        <v>0</v>
      </c>
    </row>
    <row r="40" spans="1:14" s="143" customFormat="1" hidden="1" x14ac:dyDescent="0.25">
      <c r="A40" s="143" t="s">
        <v>696</v>
      </c>
      <c r="B40" s="143" t="s">
        <v>206</v>
      </c>
      <c r="C40" s="143" t="s">
        <v>207</v>
      </c>
      <c r="D40" s="143" t="s">
        <v>69</v>
      </c>
      <c r="E40" s="257">
        <v>49000</v>
      </c>
      <c r="F40" s="257">
        <v>49000</v>
      </c>
      <c r="G40" s="257">
        <v>0</v>
      </c>
      <c r="H40" s="257">
        <v>0</v>
      </c>
      <c r="I40" s="257">
        <v>0</v>
      </c>
      <c r="J40" s="257">
        <v>0</v>
      </c>
      <c r="K40" s="257">
        <v>0</v>
      </c>
      <c r="L40" s="257">
        <v>0</v>
      </c>
      <c r="M40" s="279">
        <v>49000</v>
      </c>
      <c r="N40" s="257">
        <v>0</v>
      </c>
    </row>
    <row r="41" spans="1:14" s="143" customFormat="1" hidden="1" x14ac:dyDescent="0.25">
      <c r="A41" s="143" t="s">
        <v>696</v>
      </c>
      <c r="B41" s="143" t="s">
        <v>208</v>
      </c>
      <c r="C41" s="143" t="s">
        <v>209</v>
      </c>
      <c r="D41" s="143" t="s">
        <v>69</v>
      </c>
      <c r="E41" s="257">
        <v>49000</v>
      </c>
      <c r="F41" s="257">
        <v>49000</v>
      </c>
      <c r="G41" s="257">
        <v>0</v>
      </c>
      <c r="H41" s="257">
        <v>0</v>
      </c>
      <c r="I41" s="257">
        <v>0</v>
      </c>
      <c r="J41" s="257">
        <v>0</v>
      </c>
      <c r="K41" s="257">
        <v>0</v>
      </c>
      <c r="L41" s="257">
        <v>0</v>
      </c>
      <c r="M41" s="279">
        <v>49000</v>
      </c>
      <c r="N41" s="257">
        <v>0</v>
      </c>
    </row>
    <row r="42" spans="1:14" s="143" customFormat="1" hidden="1" x14ac:dyDescent="0.25">
      <c r="A42" s="143" t="s">
        <v>696</v>
      </c>
      <c r="B42" s="143" t="s">
        <v>212</v>
      </c>
      <c r="C42" s="143" t="s">
        <v>213</v>
      </c>
      <c r="D42" s="143" t="s">
        <v>69</v>
      </c>
      <c r="E42" s="257">
        <v>4884400</v>
      </c>
      <c r="F42" s="257">
        <v>4884400</v>
      </c>
      <c r="G42" s="257">
        <v>4376300</v>
      </c>
      <c r="H42" s="257">
        <v>0</v>
      </c>
      <c r="I42" s="257">
        <v>0</v>
      </c>
      <c r="J42" s="257">
        <v>0</v>
      </c>
      <c r="K42" s="257">
        <v>562346.76</v>
      </c>
      <c r="L42" s="257">
        <v>0</v>
      </c>
      <c r="M42" s="279">
        <v>4322053.24</v>
      </c>
      <c r="N42" s="257">
        <v>3813953.24</v>
      </c>
    </row>
    <row r="43" spans="1:14" s="143" customFormat="1" hidden="1" x14ac:dyDescent="0.25">
      <c r="A43" s="143" t="s">
        <v>696</v>
      </c>
      <c r="B43" s="143" t="s">
        <v>214</v>
      </c>
      <c r="C43" s="143" t="s">
        <v>215</v>
      </c>
      <c r="D43" s="143" t="s">
        <v>69</v>
      </c>
      <c r="E43" s="257">
        <v>2500000</v>
      </c>
      <c r="F43" s="257">
        <v>2500000</v>
      </c>
      <c r="G43" s="257">
        <v>2250000</v>
      </c>
      <c r="H43" s="257">
        <v>0</v>
      </c>
      <c r="I43" s="257">
        <v>0</v>
      </c>
      <c r="J43" s="257">
        <v>0</v>
      </c>
      <c r="K43" s="257">
        <v>0</v>
      </c>
      <c r="L43" s="257">
        <v>0</v>
      </c>
      <c r="M43" s="279">
        <v>2500000</v>
      </c>
      <c r="N43" s="257">
        <v>2250000</v>
      </c>
    </row>
    <row r="44" spans="1:14" s="143" customFormat="1" hidden="1" x14ac:dyDescent="0.25">
      <c r="A44" s="143" t="s">
        <v>696</v>
      </c>
      <c r="B44" s="143" t="s">
        <v>218</v>
      </c>
      <c r="C44" s="143" t="s">
        <v>219</v>
      </c>
      <c r="D44" s="143" t="s">
        <v>69</v>
      </c>
      <c r="E44" s="257">
        <v>1800000</v>
      </c>
      <c r="F44" s="257">
        <v>1800000</v>
      </c>
      <c r="G44" s="257">
        <v>1676300</v>
      </c>
      <c r="H44" s="257">
        <v>0</v>
      </c>
      <c r="I44" s="257">
        <v>0</v>
      </c>
      <c r="J44" s="257">
        <v>0</v>
      </c>
      <c r="K44" s="257">
        <v>562346.76</v>
      </c>
      <c r="L44" s="257">
        <v>0</v>
      </c>
      <c r="M44" s="279">
        <v>1237653.24</v>
      </c>
      <c r="N44" s="257">
        <v>1113953.24</v>
      </c>
    </row>
    <row r="45" spans="1:14" s="143" customFormat="1" hidden="1" x14ac:dyDescent="0.25">
      <c r="A45" s="143" t="s">
        <v>696</v>
      </c>
      <c r="B45" s="143" t="s">
        <v>222</v>
      </c>
      <c r="C45" s="143" t="s">
        <v>223</v>
      </c>
      <c r="D45" s="143" t="s">
        <v>69</v>
      </c>
      <c r="E45" s="257">
        <v>500000</v>
      </c>
      <c r="F45" s="257">
        <v>500000</v>
      </c>
      <c r="G45" s="257">
        <v>450000</v>
      </c>
      <c r="H45" s="257">
        <v>0</v>
      </c>
      <c r="I45" s="257">
        <v>0</v>
      </c>
      <c r="J45" s="257">
        <v>0</v>
      </c>
      <c r="K45" s="257">
        <v>0</v>
      </c>
      <c r="L45" s="257">
        <v>0</v>
      </c>
      <c r="M45" s="279">
        <v>500000</v>
      </c>
      <c r="N45" s="257">
        <v>450000</v>
      </c>
    </row>
    <row r="46" spans="1:14" s="143" customFormat="1" hidden="1" x14ac:dyDescent="0.25">
      <c r="A46" s="143" t="s">
        <v>696</v>
      </c>
      <c r="B46" s="143" t="s">
        <v>226</v>
      </c>
      <c r="C46" s="143" t="s">
        <v>227</v>
      </c>
      <c r="D46" s="143" t="s">
        <v>69</v>
      </c>
      <c r="E46" s="257">
        <v>37400</v>
      </c>
      <c r="F46" s="257">
        <v>37400</v>
      </c>
      <c r="G46" s="257">
        <v>0</v>
      </c>
      <c r="H46" s="257">
        <v>0</v>
      </c>
      <c r="I46" s="257">
        <v>0</v>
      </c>
      <c r="J46" s="257">
        <v>0</v>
      </c>
      <c r="K46" s="257">
        <v>0</v>
      </c>
      <c r="L46" s="257">
        <v>0</v>
      </c>
      <c r="M46" s="279">
        <v>37400</v>
      </c>
      <c r="N46" s="257">
        <v>0</v>
      </c>
    </row>
    <row r="47" spans="1:14" s="143" customFormat="1" hidden="1" x14ac:dyDescent="0.25">
      <c r="A47" s="143" t="s">
        <v>696</v>
      </c>
      <c r="B47" s="143" t="s">
        <v>228</v>
      </c>
      <c r="C47" s="143" t="s">
        <v>229</v>
      </c>
      <c r="D47" s="143" t="s">
        <v>69</v>
      </c>
      <c r="E47" s="257">
        <v>47000</v>
      </c>
      <c r="F47" s="257">
        <v>47000</v>
      </c>
      <c r="G47" s="257">
        <v>0</v>
      </c>
      <c r="H47" s="257">
        <v>0</v>
      </c>
      <c r="I47" s="257">
        <v>0</v>
      </c>
      <c r="J47" s="257">
        <v>0</v>
      </c>
      <c r="K47" s="257">
        <v>0</v>
      </c>
      <c r="L47" s="257">
        <v>0</v>
      </c>
      <c r="M47" s="279">
        <v>47000</v>
      </c>
      <c r="N47" s="257">
        <v>0</v>
      </c>
    </row>
    <row r="48" spans="1:14" s="143" customFormat="1" hidden="1" x14ac:dyDescent="0.25">
      <c r="A48" s="143" t="s">
        <v>696</v>
      </c>
      <c r="B48" s="143" t="s">
        <v>230</v>
      </c>
      <c r="C48" s="143" t="s">
        <v>231</v>
      </c>
      <c r="D48" s="143" t="s">
        <v>85</v>
      </c>
      <c r="E48" s="257">
        <v>4220000</v>
      </c>
      <c r="F48" s="257">
        <v>4220000</v>
      </c>
      <c r="G48" s="257">
        <v>3950000</v>
      </c>
      <c r="H48" s="257">
        <v>0</v>
      </c>
      <c r="I48" s="257">
        <v>0</v>
      </c>
      <c r="J48" s="257">
        <v>0</v>
      </c>
      <c r="K48" s="257">
        <v>0</v>
      </c>
      <c r="L48" s="257">
        <v>0</v>
      </c>
      <c r="M48" s="279">
        <v>4220000</v>
      </c>
      <c r="N48" s="257">
        <v>3950000</v>
      </c>
    </row>
    <row r="49" spans="1:14" s="143" customFormat="1" hidden="1" x14ac:dyDescent="0.25">
      <c r="A49" s="143" t="s">
        <v>696</v>
      </c>
      <c r="B49" s="143" t="s">
        <v>232</v>
      </c>
      <c r="C49" s="143" t="s">
        <v>233</v>
      </c>
      <c r="D49" s="143" t="s">
        <v>85</v>
      </c>
      <c r="E49" s="257">
        <v>3320000</v>
      </c>
      <c r="F49" s="257">
        <v>3320000</v>
      </c>
      <c r="G49" s="257">
        <v>3050000</v>
      </c>
      <c r="H49" s="257">
        <v>0</v>
      </c>
      <c r="I49" s="257">
        <v>0</v>
      </c>
      <c r="J49" s="257">
        <v>0</v>
      </c>
      <c r="K49" s="257">
        <v>0</v>
      </c>
      <c r="L49" s="257">
        <v>0</v>
      </c>
      <c r="M49" s="279">
        <v>3320000</v>
      </c>
      <c r="N49" s="257">
        <v>3050000</v>
      </c>
    </row>
    <row r="50" spans="1:14" s="143" customFormat="1" hidden="1" x14ac:dyDescent="0.25">
      <c r="A50" s="143" t="s">
        <v>696</v>
      </c>
      <c r="B50" s="143" t="s">
        <v>236</v>
      </c>
      <c r="C50" s="143" t="s">
        <v>237</v>
      </c>
      <c r="D50" s="143" t="s">
        <v>85</v>
      </c>
      <c r="E50" s="257">
        <v>120000</v>
      </c>
      <c r="F50" s="257">
        <v>120000</v>
      </c>
      <c r="G50" s="257">
        <v>0</v>
      </c>
      <c r="H50" s="257">
        <v>0</v>
      </c>
      <c r="I50" s="257">
        <v>0</v>
      </c>
      <c r="J50" s="257">
        <v>0</v>
      </c>
      <c r="K50" s="257">
        <v>0</v>
      </c>
      <c r="L50" s="257">
        <v>0</v>
      </c>
      <c r="M50" s="279">
        <v>120000</v>
      </c>
      <c r="N50" s="257">
        <v>0</v>
      </c>
    </row>
    <row r="51" spans="1:14" s="143" customFormat="1" hidden="1" x14ac:dyDescent="0.25">
      <c r="A51" s="143" t="s">
        <v>696</v>
      </c>
      <c r="B51" s="143" t="s">
        <v>238</v>
      </c>
      <c r="C51" s="143" t="s">
        <v>239</v>
      </c>
      <c r="D51" s="143" t="s">
        <v>85</v>
      </c>
      <c r="E51" s="257">
        <v>3200000</v>
      </c>
      <c r="F51" s="257">
        <v>3200000</v>
      </c>
      <c r="G51" s="257">
        <v>3050000</v>
      </c>
      <c r="H51" s="257">
        <v>0</v>
      </c>
      <c r="I51" s="257">
        <v>0</v>
      </c>
      <c r="J51" s="257">
        <v>0</v>
      </c>
      <c r="K51" s="257">
        <v>0</v>
      </c>
      <c r="L51" s="257">
        <v>0</v>
      </c>
      <c r="M51" s="279">
        <v>3200000</v>
      </c>
      <c r="N51" s="257">
        <v>3050000</v>
      </c>
    </row>
    <row r="52" spans="1:14" s="143" customFormat="1" hidden="1" x14ac:dyDescent="0.25">
      <c r="A52" s="143" t="s">
        <v>696</v>
      </c>
      <c r="B52" s="143" t="s">
        <v>244</v>
      </c>
      <c r="C52" s="143" t="s">
        <v>245</v>
      </c>
      <c r="D52" s="143" t="s">
        <v>85</v>
      </c>
      <c r="E52" s="257">
        <v>900000</v>
      </c>
      <c r="F52" s="257">
        <v>900000</v>
      </c>
      <c r="G52" s="257">
        <v>900000</v>
      </c>
      <c r="H52" s="257">
        <v>0</v>
      </c>
      <c r="I52" s="257">
        <v>0</v>
      </c>
      <c r="J52" s="257">
        <v>0</v>
      </c>
      <c r="K52" s="257">
        <v>0</v>
      </c>
      <c r="L52" s="257">
        <v>0</v>
      </c>
      <c r="M52" s="279">
        <v>900000</v>
      </c>
      <c r="N52" s="257">
        <v>900000</v>
      </c>
    </row>
    <row r="53" spans="1:14" s="143" customFormat="1" hidden="1" x14ac:dyDescent="0.25">
      <c r="A53" s="143" t="s">
        <v>696</v>
      </c>
      <c r="B53" s="143" t="s">
        <v>246</v>
      </c>
      <c r="C53" s="143" t="s">
        <v>247</v>
      </c>
      <c r="D53" s="143" t="s">
        <v>85</v>
      </c>
      <c r="E53" s="257">
        <v>900000</v>
      </c>
      <c r="F53" s="257">
        <v>900000</v>
      </c>
      <c r="G53" s="257">
        <v>900000</v>
      </c>
      <c r="H53" s="257">
        <v>0</v>
      </c>
      <c r="I53" s="257">
        <v>0</v>
      </c>
      <c r="J53" s="257">
        <v>0</v>
      </c>
      <c r="K53" s="257">
        <v>0</v>
      </c>
      <c r="L53" s="257">
        <v>0</v>
      </c>
      <c r="M53" s="279">
        <v>900000</v>
      </c>
      <c r="N53" s="257">
        <v>900000</v>
      </c>
    </row>
    <row r="54" spans="1:14" s="143" customFormat="1" hidden="1" x14ac:dyDescent="0.25">
      <c r="A54" s="143" t="s">
        <v>696</v>
      </c>
      <c r="B54" s="143" t="s">
        <v>248</v>
      </c>
      <c r="C54" s="143" t="s">
        <v>249</v>
      </c>
      <c r="D54" s="143" t="s">
        <v>69</v>
      </c>
      <c r="E54" s="257">
        <v>314465910</v>
      </c>
      <c r="F54" s="257">
        <v>314465910</v>
      </c>
      <c r="G54" s="257">
        <v>180290887</v>
      </c>
      <c r="H54" s="257">
        <v>0</v>
      </c>
      <c r="I54" s="257">
        <v>19430580</v>
      </c>
      <c r="J54" s="257">
        <v>0</v>
      </c>
      <c r="K54" s="257">
        <v>99860604</v>
      </c>
      <c r="L54" s="257">
        <v>81467747</v>
      </c>
      <c r="M54" s="279">
        <v>195174726</v>
      </c>
      <c r="N54" s="257">
        <v>60999703</v>
      </c>
    </row>
    <row r="55" spans="1:14" s="143" customFormat="1" hidden="1" x14ac:dyDescent="0.25">
      <c r="A55" s="143" t="s">
        <v>696</v>
      </c>
      <c r="B55" s="143" t="s">
        <v>250</v>
      </c>
      <c r="C55" s="143" t="s">
        <v>251</v>
      </c>
      <c r="D55" s="143" t="s">
        <v>69</v>
      </c>
      <c r="E55" s="257">
        <v>281465910</v>
      </c>
      <c r="F55" s="257">
        <v>281465910</v>
      </c>
      <c r="G55" s="257">
        <v>170290887</v>
      </c>
      <c r="H55" s="257">
        <v>0</v>
      </c>
      <c r="I55" s="257">
        <v>19430580</v>
      </c>
      <c r="J55" s="257">
        <v>0</v>
      </c>
      <c r="K55" s="257">
        <v>96499615</v>
      </c>
      <c r="L55" s="257">
        <v>78106758</v>
      </c>
      <c r="M55" s="279">
        <v>165535715</v>
      </c>
      <c r="N55" s="257">
        <v>54360692</v>
      </c>
    </row>
    <row r="56" spans="1:14" s="143" customFormat="1" hidden="1" x14ac:dyDescent="0.25">
      <c r="A56" s="143" t="s">
        <v>696</v>
      </c>
      <c r="B56" s="143" t="s">
        <v>619</v>
      </c>
      <c r="C56" s="143" t="s">
        <v>701</v>
      </c>
      <c r="D56" s="143" t="s">
        <v>69</v>
      </c>
      <c r="E56" s="257">
        <v>257500000</v>
      </c>
      <c r="F56" s="257">
        <v>257500000</v>
      </c>
      <c r="G56" s="257">
        <v>147150000</v>
      </c>
      <c r="H56" s="257">
        <v>0</v>
      </c>
      <c r="I56" s="257">
        <v>0</v>
      </c>
      <c r="J56" s="257">
        <v>0</v>
      </c>
      <c r="K56" s="257">
        <v>91964285</v>
      </c>
      <c r="L56" s="257">
        <v>73571428</v>
      </c>
      <c r="M56" s="279">
        <v>165535715</v>
      </c>
      <c r="N56" s="257">
        <v>55185715</v>
      </c>
    </row>
    <row r="57" spans="1:14" s="143" customFormat="1" hidden="1" x14ac:dyDescent="0.25">
      <c r="A57" s="143" t="s">
        <v>696</v>
      </c>
      <c r="B57" s="143" t="s">
        <v>625</v>
      </c>
      <c r="C57" s="143" t="s">
        <v>702</v>
      </c>
      <c r="D57" s="143" t="s">
        <v>69</v>
      </c>
      <c r="E57" s="257">
        <v>20356634</v>
      </c>
      <c r="F57" s="257">
        <v>20356634</v>
      </c>
      <c r="G57" s="257">
        <v>19655861</v>
      </c>
      <c r="H57" s="257">
        <v>0</v>
      </c>
      <c r="I57" s="257">
        <v>16528637</v>
      </c>
      <c r="J57" s="257">
        <v>0</v>
      </c>
      <c r="K57" s="257">
        <v>3827997</v>
      </c>
      <c r="L57" s="257">
        <v>3827997</v>
      </c>
      <c r="M57" s="279">
        <v>0</v>
      </c>
      <c r="N57" s="275">
        <v>-700773</v>
      </c>
    </row>
    <row r="58" spans="1:14" s="143" customFormat="1" hidden="1" x14ac:dyDescent="0.25">
      <c r="A58" s="143" t="s">
        <v>696</v>
      </c>
      <c r="B58" s="143" t="s">
        <v>640</v>
      </c>
      <c r="C58" s="143" t="s">
        <v>703</v>
      </c>
      <c r="D58" s="143" t="s">
        <v>69</v>
      </c>
      <c r="E58" s="257">
        <v>3609276</v>
      </c>
      <c r="F58" s="257">
        <v>3609276</v>
      </c>
      <c r="G58" s="257">
        <v>3485026</v>
      </c>
      <c r="H58" s="257">
        <v>0</v>
      </c>
      <c r="I58" s="257">
        <v>2901943</v>
      </c>
      <c r="J58" s="257">
        <v>0</v>
      </c>
      <c r="K58" s="257">
        <v>707333</v>
      </c>
      <c r="L58" s="257">
        <v>707333</v>
      </c>
      <c r="M58" s="279">
        <v>0</v>
      </c>
      <c r="N58" s="275">
        <v>-124250</v>
      </c>
    </row>
    <row r="59" spans="1:14" s="143" customFormat="1" hidden="1" x14ac:dyDescent="0.25">
      <c r="A59" s="143" t="s">
        <v>696</v>
      </c>
      <c r="B59" s="143" t="s">
        <v>260</v>
      </c>
      <c r="C59" s="143" t="s">
        <v>261</v>
      </c>
      <c r="D59" s="143" t="s">
        <v>69</v>
      </c>
      <c r="E59" s="257">
        <v>33000000</v>
      </c>
      <c r="F59" s="257">
        <v>33000000</v>
      </c>
      <c r="G59" s="257">
        <v>10000000</v>
      </c>
      <c r="H59" s="257">
        <v>0</v>
      </c>
      <c r="I59" s="257">
        <v>0</v>
      </c>
      <c r="J59" s="257">
        <v>0</v>
      </c>
      <c r="K59" s="257">
        <v>3360989</v>
      </c>
      <c r="L59" s="257">
        <v>3360989</v>
      </c>
      <c r="M59" s="279">
        <v>29639011</v>
      </c>
      <c r="N59" s="257">
        <v>6639011</v>
      </c>
    </row>
    <row r="60" spans="1:14" s="143" customFormat="1" hidden="1" x14ac:dyDescent="0.25">
      <c r="A60" s="143" t="s">
        <v>696</v>
      </c>
      <c r="B60" s="143" t="s">
        <v>262</v>
      </c>
      <c r="C60" s="143" t="s">
        <v>263</v>
      </c>
      <c r="D60" s="143" t="s">
        <v>69</v>
      </c>
      <c r="E60" s="257">
        <v>23000000</v>
      </c>
      <c r="F60" s="257">
        <v>23000000</v>
      </c>
      <c r="G60" s="257">
        <v>0</v>
      </c>
      <c r="H60" s="257">
        <v>0</v>
      </c>
      <c r="I60" s="257">
        <v>0</v>
      </c>
      <c r="J60" s="257">
        <v>0</v>
      </c>
      <c r="K60" s="257">
        <v>0</v>
      </c>
      <c r="L60" s="257">
        <v>0</v>
      </c>
      <c r="M60" s="279">
        <v>23000000</v>
      </c>
      <c r="N60" s="257">
        <v>0</v>
      </c>
    </row>
    <row r="61" spans="1:14" s="143" customFormat="1" hidden="1" x14ac:dyDescent="0.25">
      <c r="A61" s="143" t="s">
        <v>696</v>
      </c>
      <c r="B61" s="143" t="s">
        <v>264</v>
      </c>
      <c r="C61" s="143" t="s">
        <v>265</v>
      </c>
      <c r="D61" s="143" t="s">
        <v>69</v>
      </c>
      <c r="E61" s="257">
        <v>10000000</v>
      </c>
      <c r="F61" s="257">
        <v>10000000</v>
      </c>
      <c r="G61" s="257">
        <v>10000000</v>
      </c>
      <c r="H61" s="257">
        <v>0</v>
      </c>
      <c r="I61" s="257">
        <v>0</v>
      </c>
      <c r="J61" s="257">
        <v>0</v>
      </c>
      <c r="K61" s="257">
        <v>3360989</v>
      </c>
      <c r="L61" s="257">
        <v>3360989</v>
      </c>
      <c r="M61" s="279">
        <v>6639011</v>
      </c>
      <c r="N61" s="257">
        <v>6639011</v>
      </c>
    </row>
    <row r="62" spans="1:14" s="143" customFormat="1" x14ac:dyDescent="0.25">
      <c r="A62" s="454">
        <v>214787</v>
      </c>
      <c r="D62" s="454" t="s">
        <v>69</v>
      </c>
      <c r="E62" s="257">
        <v>3672713874</v>
      </c>
      <c r="F62" s="272">
        <v>3672713874</v>
      </c>
      <c r="G62" s="257">
        <v>3029392263</v>
      </c>
      <c r="H62" s="269">
        <v>0</v>
      </c>
      <c r="I62" s="274">
        <v>479357222.39999998</v>
      </c>
      <c r="J62" s="274">
        <v>564424.06000000006</v>
      </c>
      <c r="K62" s="274">
        <v>759985163.77999997</v>
      </c>
      <c r="L62" s="274">
        <v>753753414.38</v>
      </c>
      <c r="M62" s="273">
        <v>2432807063.7600002</v>
      </c>
      <c r="N62" s="257">
        <v>1789485452.76</v>
      </c>
    </row>
    <row r="63" spans="1:14" s="143" customFormat="1" hidden="1" x14ac:dyDescent="0.25">
      <c r="A63" s="143" t="s">
        <v>704</v>
      </c>
      <c r="B63" s="143" t="s">
        <v>71</v>
      </c>
      <c r="C63" s="143" t="s">
        <v>72</v>
      </c>
      <c r="D63" s="143" t="s">
        <v>69</v>
      </c>
      <c r="E63" s="257">
        <v>2848782596</v>
      </c>
      <c r="F63" s="257">
        <v>2848782596</v>
      </c>
      <c r="G63" s="257">
        <v>2547475506</v>
      </c>
      <c r="H63" s="257">
        <v>0</v>
      </c>
      <c r="I63" s="257">
        <v>330851739</v>
      </c>
      <c r="J63" s="257">
        <v>0</v>
      </c>
      <c r="K63" s="257">
        <v>617149471.34000003</v>
      </c>
      <c r="L63" s="257">
        <v>617149471.34000003</v>
      </c>
      <c r="M63" s="279">
        <v>1900781385.6600001</v>
      </c>
      <c r="N63" s="257">
        <v>1599474295.6600001</v>
      </c>
    </row>
    <row r="64" spans="1:14" s="143" customFormat="1" hidden="1" x14ac:dyDescent="0.25">
      <c r="A64" s="143" t="s">
        <v>704</v>
      </c>
      <c r="B64" s="143" t="s">
        <v>73</v>
      </c>
      <c r="C64" s="143" t="s">
        <v>74</v>
      </c>
      <c r="D64" s="143" t="s">
        <v>69</v>
      </c>
      <c r="E64" s="257">
        <v>1118901696</v>
      </c>
      <c r="F64" s="257">
        <v>1118901696</v>
      </c>
      <c r="G64" s="257">
        <v>979840093</v>
      </c>
      <c r="H64" s="257">
        <v>0</v>
      </c>
      <c r="I64" s="257">
        <v>0</v>
      </c>
      <c r="J64" s="257">
        <v>0</v>
      </c>
      <c r="K64" s="257">
        <v>257952856.38</v>
      </c>
      <c r="L64" s="257">
        <v>257952856.38</v>
      </c>
      <c r="M64" s="279">
        <v>860948839.62</v>
      </c>
      <c r="N64" s="257">
        <v>721887236.62</v>
      </c>
    </row>
    <row r="65" spans="1:14" s="143" customFormat="1" hidden="1" x14ac:dyDescent="0.25">
      <c r="A65" s="143" t="s">
        <v>704</v>
      </c>
      <c r="B65" s="143" t="s">
        <v>75</v>
      </c>
      <c r="C65" s="143" t="s">
        <v>76</v>
      </c>
      <c r="D65" s="143" t="s">
        <v>69</v>
      </c>
      <c r="E65" s="257">
        <v>1118901696</v>
      </c>
      <c r="F65" s="257">
        <v>1118901696</v>
      </c>
      <c r="G65" s="257">
        <v>979840093</v>
      </c>
      <c r="H65" s="257">
        <v>0</v>
      </c>
      <c r="I65" s="257">
        <v>0</v>
      </c>
      <c r="J65" s="257">
        <v>0</v>
      </c>
      <c r="K65" s="257">
        <v>257952856.38</v>
      </c>
      <c r="L65" s="257">
        <v>257952856.38</v>
      </c>
      <c r="M65" s="279">
        <v>860948839.62</v>
      </c>
      <c r="N65" s="257">
        <v>721887236.62</v>
      </c>
    </row>
    <row r="66" spans="1:14" s="143" customFormat="1" hidden="1" x14ac:dyDescent="0.25">
      <c r="A66" s="143" t="s">
        <v>704</v>
      </c>
      <c r="B66" s="143" t="s">
        <v>77</v>
      </c>
      <c r="C66" s="143" t="s">
        <v>78</v>
      </c>
      <c r="D66" s="143" t="s">
        <v>69</v>
      </c>
      <c r="E66" s="257">
        <v>1295309720</v>
      </c>
      <c r="F66" s="257">
        <v>1295309720</v>
      </c>
      <c r="G66" s="257">
        <v>1144209287</v>
      </c>
      <c r="H66" s="257">
        <v>0</v>
      </c>
      <c r="I66" s="257">
        <v>0</v>
      </c>
      <c r="J66" s="257">
        <v>0</v>
      </c>
      <c r="K66" s="257">
        <v>255477173.96000001</v>
      </c>
      <c r="L66" s="257">
        <v>255477173.96000001</v>
      </c>
      <c r="M66" s="279">
        <v>1039832546.04</v>
      </c>
      <c r="N66" s="257">
        <v>888732113.03999996</v>
      </c>
    </row>
    <row r="67" spans="1:14" s="143" customFormat="1" hidden="1" x14ac:dyDescent="0.25">
      <c r="A67" s="143" t="s">
        <v>704</v>
      </c>
      <c r="B67" s="143" t="s">
        <v>79</v>
      </c>
      <c r="C67" s="143" t="s">
        <v>80</v>
      </c>
      <c r="D67" s="143" t="s">
        <v>69</v>
      </c>
      <c r="E67" s="257">
        <v>329734600</v>
      </c>
      <c r="F67" s="257">
        <v>329734600</v>
      </c>
      <c r="G67" s="257">
        <v>312608542</v>
      </c>
      <c r="H67" s="257">
        <v>0</v>
      </c>
      <c r="I67" s="257">
        <v>0</v>
      </c>
      <c r="J67" s="257">
        <v>0</v>
      </c>
      <c r="K67" s="257">
        <v>76731003.379999995</v>
      </c>
      <c r="L67" s="257">
        <v>76731003.379999995</v>
      </c>
      <c r="M67" s="279">
        <v>253003596.62</v>
      </c>
      <c r="N67" s="257">
        <v>235877538.62</v>
      </c>
    </row>
    <row r="68" spans="1:14" s="143" customFormat="1" hidden="1" x14ac:dyDescent="0.25">
      <c r="A68" s="143" t="s">
        <v>704</v>
      </c>
      <c r="B68" s="143" t="s">
        <v>81</v>
      </c>
      <c r="C68" s="143" t="s">
        <v>82</v>
      </c>
      <c r="D68" s="143" t="s">
        <v>69</v>
      </c>
      <c r="E68" s="257">
        <v>442514922</v>
      </c>
      <c r="F68" s="257">
        <v>442514922</v>
      </c>
      <c r="G68" s="257">
        <v>432303620</v>
      </c>
      <c r="H68" s="257">
        <v>0</v>
      </c>
      <c r="I68" s="257">
        <v>0</v>
      </c>
      <c r="J68" s="257">
        <v>0</v>
      </c>
      <c r="K68" s="257">
        <v>99202537.799999997</v>
      </c>
      <c r="L68" s="257">
        <v>99202537.799999997</v>
      </c>
      <c r="M68" s="279">
        <v>343312384.19999999</v>
      </c>
      <c r="N68" s="257">
        <v>333101082.19999999</v>
      </c>
    </row>
    <row r="69" spans="1:14" s="143" customFormat="1" hidden="1" x14ac:dyDescent="0.25">
      <c r="A69" s="143" t="s">
        <v>704</v>
      </c>
      <c r="B69" s="143" t="s">
        <v>83</v>
      </c>
      <c r="C69" s="143" t="s">
        <v>84</v>
      </c>
      <c r="D69" s="143" t="s">
        <v>85</v>
      </c>
      <c r="E69" s="257">
        <v>185639998</v>
      </c>
      <c r="F69" s="257">
        <v>185639998</v>
      </c>
      <c r="G69" s="257">
        <v>177967965</v>
      </c>
      <c r="H69" s="257">
        <v>0</v>
      </c>
      <c r="I69" s="257">
        <v>0</v>
      </c>
      <c r="J69" s="257">
        <v>0</v>
      </c>
      <c r="K69" s="257">
        <v>0</v>
      </c>
      <c r="L69" s="257">
        <v>0</v>
      </c>
      <c r="M69" s="279">
        <v>185639998</v>
      </c>
      <c r="N69" s="257">
        <v>177967965</v>
      </c>
    </row>
    <row r="70" spans="1:14" s="143" customFormat="1" hidden="1" x14ac:dyDescent="0.25">
      <c r="A70" s="143" t="s">
        <v>704</v>
      </c>
      <c r="B70" s="143" t="s">
        <v>86</v>
      </c>
      <c r="C70" s="143" t="s">
        <v>87</v>
      </c>
      <c r="D70" s="143" t="s">
        <v>69</v>
      </c>
      <c r="E70" s="257">
        <v>170646400</v>
      </c>
      <c r="F70" s="257">
        <v>170646400</v>
      </c>
      <c r="G70" s="257">
        <v>55646400</v>
      </c>
      <c r="H70" s="257">
        <v>0</v>
      </c>
      <c r="I70" s="257">
        <v>0</v>
      </c>
      <c r="J70" s="257">
        <v>0</v>
      </c>
      <c r="K70" s="257">
        <v>40448779.990000002</v>
      </c>
      <c r="L70" s="257">
        <v>40448779.990000002</v>
      </c>
      <c r="M70" s="279">
        <v>130197620.01000001</v>
      </c>
      <c r="N70" s="257">
        <v>15197620.01</v>
      </c>
    </row>
    <row r="71" spans="1:14" s="143" customFormat="1" hidden="1" x14ac:dyDescent="0.25">
      <c r="A71" s="143" t="s">
        <v>704</v>
      </c>
      <c r="B71" s="143" t="s">
        <v>88</v>
      </c>
      <c r="C71" s="143" t="s">
        <v>89</v>
      </c>
      <c r="D71" s="143" t="s">
        <v>69</v>
      </c>
      <c r="E71" s="257">
        <v>166773800</v>
      </c>
      <c r="F71" s="257">
        <v>166773800</v>
      </c>
      <c r="G71" s="257">
        <v>165682760</v>
      </c>
      <c r="H71" s="257">
        <v>0</v>
      </c>
      <c r="I71" s="257">
        <v>0</v>
      </c>
      <c r="J71" s="257">
        <v>0</v>
      </c>
      <c r="K71" s="257">
        <v>39094852.789999999</v>
      </c>
      <c r="L71" s="257">
        <v>39094852.789999999</v>
      </c>
      <c r="M71" s="279">
        <v>127678947.20999999</v>
      </c>
      <c r="N71" s="257">
        <v>126587907.20999999</v>
      </c>
    </row>
    <row r="72" spans="1:14" s="143" customFormat="1" hidden="1" x14ac:dyDescent="0.25">
      <c r="A72" s="143" t="s">
        <v>704</v>
      </c>
      <c r="B72" s="143" t="s">
        <v>90</v>
      </c>
      <c r="C72" s="143" t="s">
        <v>91</v>
      </c>
      <c r="D72" s="143" t="s">
        <v>69</v>
      </c>
      <c r="E72" s="257">
        <v>217285640</v>
      </c>
      <c r="F72" s="257">
        <v>217285640</v>
      </c>
      <c r="G72" s="257">
        <v>211713113</v>
      </c>
      <c r="H72" s="257">
        <v>0</v>
      </c>
      <c r="I72" s="257">
        <v>165238136</v>
      </c>
      <c r="J72" s="257">
        <v>0</v>
      </c>
      <c r="K72" s="257">
        <v>52047504</v>
      </c>
      <c r="L72" s="257">
        <v>52047504</v>
      </c>
      <c r="M72" s="279">
        <v>0</v>
      </c>
      <c r="N72" s="275">
        <v>-5572527</v>
      </c>
    </row>
    <row r="73" spans="1:14" s="143" customFormat="1" hidden="1" x14ac:dyDescent="0.25">
      <c r="A73" s="143" t="s">
        <v>704</v>
      </c>
      <c r="B73" s="143" t="s">
        <v>418</v>
      </c>
      <c r="C73" s="143" t="s">
        <v>697</v>
      </c>
      <c r="D73" s="143" t="s">
        <v>69</v>
      </c>
      <c r="E73" s="257">
        <v>206142800</v>
      </c>
      <c r="F73" s="257">
        <v>206142800</v>
      </c>
      <c r="G73" s="257">
        <v>200856044</v>
      </c>
      <c r="H73" s="257">
        <v>0</v>
      </c>
      <c r="I73" s="257">
        <v>156764394</v>
      </c>
      <c r="J73" s="257">
        <v>0</v>
      </c>
      <c r="K73" s="257">
        <v>49378406</v>
      </c>
      <c r="L73" s="257">
        <v>49378406</v>
      </c>
      <c r="M73" s="279">
        <v>0</v>
      </c>
      <c r="N73" s="275">
        <v>-5286756</v>
      </c>
    </row>
    <row r="74" spans="1:14" s="143" customFormat="1" hidden="1" x14ac:dyDescent="0.25">
      <c r="A74" s="143" t="s">
        <v>704</v>
      </c>
      <c r="B74" s="143" t="s">
        <v>435</v>
      </c>
      <c r="C74" s="143" t="s">
        <v>95</v>
      </c>
      <c r="D74" s="143" t="s">
        <v>69</v>
      </c>
      <c r="E74" s="257">
        <v>11142840</v>
      </c>
      <c r="F74" s="257">
        <v>11142840</v>
      </c>
      <c r="G74" s="257">
        <v>10857069</v>
      </c>
      <c r="H74" s="257">
        <v>0</v>
      </c>
      <c r="I74" s="257">
        <v>8473742</v>
      </c>
      <c r="J74" s="257">
        <v>0</v>
      </c>
      <c r="K74" s="257">
        <v>2669098</v>
      </c>
      <c r="L74" s="257">
        <v>2669098</v>
      </c>
      <c r="M74" s="279">
        <v>0</v>
      </c>
      <c r="N74" s="275">
        <v>-285771</v>
      </c>
    </row>
    <row r="75" spans="1:14" s="143" customFormat="1" hidden="1" x14ac:dyDescent="0.25">
      <c r="A75" s="143" t="s">
        <v>704</v>
      </c>
      <c r="B75" s="143" t="s">
        <v>96</v>
      </c>
      <c r="C75" s="143" t="s">
        <v>97</v>
      </c>
      <c r="D75" s="143" t="s">
        <v>69</v>
      </c>
      <c r="E75" s="257">
        <v>217285540</v>
      </c>
      <c r="F75" s="257">
        <v>217285540</v>
      </c>
      <c r="G75" s="257">
        <v>211713013</v>
      </c>
      <c r="H75" s="257">
        <v>0</v>
      </c>
      <c r="I75" s="257">
        <v>165613603</v>
      </c>
      <c r="J75" s="257">
        <v>0</v>
      </c>
      <c r="K75" s="257">
        <v>51671937</v>
      </c>
      <c r="L75" s="257">
        <v>51671937</v>
      </c>
      <c r="M75" s="279">
        <v>0</v>
      </c>
      <c r="N75" s="275">
        <v>-5572527</v>
      </c>
    </row>
    <row r="76" spans="1:14" s="143" customFormat="1" hidden="1" x14ac:dyDescent="0.25">
      <c r="A76" s="143" t="s">
        <v>704</v>
      </c>
      <c r="B76" s="143" t="s">
        <v>453</v>
      </c>
      <c r="C76" s="143" t="s">
        <v>698</v>
      </c>
      <c r="D76" s="143" t="s">
        <v>69</v>
      </c>
      <c r="E76" s="257">
        <v>116999976</v>
      </c>
      <c r="F76" s="257">
        <v>116999976</v>
      </c>
      <c r="G76" s="257">
        <v>113999385</v>
      </c>
      <c r="H76" s="257">
        <v>0</v>
      </c>
      <c r="I76" s="257">
        <v>89349971</v>
      </c>
      <c r="J76" s="257">
        <v>0</v>
      </c>
      <c r="K76" s="257">
        <v>27650005</v>
      </c>
      <c r="L76" s="257">
        <v>27650005</v>
      </c>
      <c r="M76" s="279">
        <v>0</v>
      </c>
      <c r="N76" s="275">
        <v>-3000591</v>
      </c>
    </row>
    <row r="77" spans="1:14" s="143" customFormat="1" hidden="1" x14ac:dyDescent="0.25">
      <c r="A77" s="143" t="s">
        <v>704</v>
      </c>
      <c r="B77" s="143" t="s">
        <v>470</v>
      </c>
      <c r="C77" s="143" t="s">
        <v>699</v>
      </c>
      <c r="D77" s="143" t="s">
        <v>69</v>
      </c>
      <c r="E77" s="257">
        <v>33428521</v>
      </c>
      <c r="F77" s="257">
        <v>33428521</v>
      </c>
      <c r="G77" s="257">
        <v>32571209</v>
      </c>
      <c r="H77" s="257">
        <v>0</v>
      </c>
      <c r="I77" s="257">
        <v>25421207</v>
      </c>
      <c r="J77" s="257">
        <v>0</v>
      </c>
      <c r="K77" s="257">
        <v>8007314</v>
      </c>
      <c r="L77" s="257">
        <v>8007314</v>
      </c>
      <c r="M77" s="279">
        <v>0</v>
      </c>
      <c r="N77" s="275">
        <v>-857312</v>
      </c>
    </row>
    <row r="78" spans="1:14" s="143" customFormat="1" hidden="1" x14ac:dyDescent="0.25">
      <c r="A78" s="143" t="s">
        <v>704</v>
      </c>
      <c r="B78" s="143" t="s">
        <v>487</v>
      </c>
      <c r="C78" s="143" t="s">
        <v>700</v>
      </c>
      <c r="D78" s="143" t="s">
        <v>69</v>
      </c>
      <c r="E78" s="257">
        <v>66857043</v>
      </c>
      <c r="F78" s="257">
        <v>66857043</v>
      </c>
      <c r="G78" s="257">
        <v>65142419</v>
      </c>
      <c r="H78" s="257">
        <v>0</v>
      </c>
      <c r="I78" s="257">
        <v>50842425</v>
      </c>
      <c r="J78" s="257">
        <v>0</v>
      </c>
      <c r="K78" s="257">
        <v>16014618</v>
      </c>
      <c r="L78" s="257">
        <v>16014618</v>
      </c>
      <c r="M78" s="279">
        <v>0</v>
      </c>
      <c r="N78" s="275">
        <v>-1714624</v>
      </c>
    </row>
    <row r="79" spans="1:14" s="143" customFormat="1" hidden="1" x14ac:dyDescent="0.25">
      <c r="A79" s="143" t="s">
        <v>704</v>
      </c>
      <c r="B79" s="143" t="s">
        <v>104</v>
      </c>
      <c r="C79" s="143" t="s">
        <v>105</v>
      </c>
      <c r="D79" s="143" t="s">
        <v>69</v>
      </c>
      <c r="E79" s="257">
        <v>261541565</v>
      </c>
      <c r="F79" s="257">
        <v>261541565</v>
      </c>
      <c r="G79" s="257">
        <v>176339635</v>
      </c>
      <c r="H79" s="257">
        <v>0</v>
      </c>
      <c r="I79" s="257">
        <v>110866975.90000001</v>
      </c>
      <c r="J79" s="257">
        <v>564424.06000000006</v>
      </c>
      <c r="K79" s="257">
        <v>22663386.82</v>
      </c>
      <c r="L79" s="257">
        <v>18493575.539999999</v>
      </c>
      <c r="M79" s="279">
        <v>127446778.22</v>
      </c>
      <c r="N79" s="257">
        <v>42244848.219999999</v>
      </c>
    </row>
    <row r="80" spans="1:14" s="143" customFormat="1" hidden="1" x14ac:dyDescent="0.25">
      <c r="A80" s="143" t="s">
        <v>704</v>
      </c>
      <c r="B80" s="143" t="s">
        <v>106</v>
      </c>
      <c r="C80" s="143" t="s">
        <v>107</v>
      </c>
      <c r="D80" s="143" t="s">
        <v>69</v>
      </c>
      <c r="E80" s="257">
        <v>90013380</v>
      </c>
      <c r="F80" s="257">
        <v>90013380</v>
      </c>
      <c r="G80" s="257">
        <v>14137550</v>
      </c>
      <c r="H80" s="257">
        <v>0</v>
      </c>
      <c r="I80" s="257">
        <v>0</v>
      </c>
      <c r="J80" s="257">
        <v>0</v>
      </c>
      <c r="K80" s="257">
        <v>0</v>
      </c>
      <c r="L80" s="257">
        <v>0</v>
      </c>
      <c r="M80" s="279">
        <v>90013380</v>
      </c>
      <c r="N80" s="257">
        <v>14137550</v>
      </c>
    </row>
    <row r="81" spans="1:14" s="143" customFormat="1" hidden="1" x14ac:dyDescent="0.25">
      <c r="A81" s="143" t="s">
        <v>704</v>
      </c>
      <c r="B81" s="143" t="s">
        <v>108</v>
      </c>
      <c r="C81" s="143" t="s">
        <v>109</v>
      </c>
      <c r="D81" s="143" t="s">
        <v>69</v>
      </c>
      <c r="E81" s="257">
        <v>0</v>
      </c>
      <c r="F81" s="257">
        <v>14137549.84</v>
      </c>
      <c r="G81" s="257">
        <v>14137549.84</v>
      </c>
      <c r="H81" s="257">
        <v>0</v>
      </c>
      <c r="I81" s="257">
        <v>0</v>
      </c>
      <c r="J81" s="257">
        <v>0</v>
      </c>
      <c r="K81" s="257">
        <v>0</v>
      </c>
      <c r="L81" s="257">
        <v>0</v>
      </c>
      <c r="M81" s="279">
        <v>14137549.84</v>
      </c>
      <c r="N81" s="257">
        <v>14137549.84</v>
      </c>
    </row>
    <row r="82" spans="1:14" s="143" customFormat="1" hidden="1" x14ac:dyDescent="0.25">
      <c r="A82" s="143" t="s">
        <v>704</v>
      </c>
      <c r="B82" s="143" t="s">
        <v>304</v>
      </c>
      <c r="C82" s="143" t="s">
        <v>305</v>
      </c>
      <c r="D82" s="143" t="s">
        <v>69</v>
      </c>
      <c r="E82" s="257">
        <v>90013380</v>
      </c>
      <c r="F82" s="257">
        <v>75875830.159999996</v>
      </c>
      <c r="G82" s="257">
        <v>0.16</v>
      </c>
      <c r="H82" s="257">
        <v>0</v>
      </c>
      <c r="I82" s="257">
        <v>0</v>
      </c>
      <c r="J82" s="257">
        <v>0</v>
      </c>
      <c r="K82" s="257">
        <v>0</v>
      </c>
      <c r="L82" s="257">
        <v>0</v>
      </c>
      <c r="M82" s="279">
        <v>75875830.159999996</v>
      </c>
      <c r="N82" s="257">
        <v>0.16</v>
      </c>
    </row>
    <row r="83" spans="1:14" s="143" customFormat="1" hidden="1" x14ac:dyDescent="0.25">
      <c r="A83" s="143" t="s">
        <v>704</v>
      </c>
      <c r="B83" s="143" t="s">
        <v>112</v>
      </c>
      <c r="C83" s="143" t="s">
        <v>113</v>
      </c>
      <c r="D83" s="143" t="s">
        <v>69</v>
      </c>
      <c r="E83" s="257">
        <v>105953785</v>
      </c>
      <c r="F83" s="257">
        <v>105953785</v>
      </c>
      <c r="G83" s="257">
        <v>102953785</v>
      </c>
      <c r="H83" s="257">
        <v>0</v>
      </c>
      <c r="I83" s="257">
        <v>87800639.450000003</v>
      </c>
      <c r="J83" s="257">
        <v>0</v>
      </c>
      <c r="K83" s="257">
        <v>17733145.539999999</v>
      </c>
      <c r="L83" s="257">
        <v>14256205.539999999</v>
      </c>
      <c r="M83" s="279">
        <v>420000.01</v>
      </c>
      <c r="N83" s="257">
        <v>-2579999.9900000002</v>
      </c>
    </row>
    <row r="84" spans="1:14" s="143" customFormat="1" hidden="1" x14ac:dyDescent="0.25">
      <c r="A84" s="143" t="s">
        <v>704</v>
      </c>
      <c r="B84" s="143" t="s">
        <v>114</v>
      </c>
      <c r="C84" s="143" t="s">
        <v>115</v>
      </c>
      <c r="D84" s="143" t="s">
        <v>69</v>
      </c>
      <c r="E84" s="257">
        <v>8169861</v>
      </c>
      <c r="F84" s="257">
        <v>8169861</v>
      </c>
      <c r="G84" s="257">
        <v>6169861</v>
      </c>
      <c r="H84" s="257">
        <v>0</v>
      </c>
      <c r="I84" s="257">
        <v>7206455</v>
      </c>
      <c r="J84" s="257">
        <v>0</v>
      </c>
      <c r="K84" s="257">
        <v>963406</v>
      </c>
      <c r="L84" s="257">
        <v>587823</v>
      </c>
      <c r="M84" s="279">
        <v>0</v>
      </c>
      <c r="N84" s="275">
        <v>-2000000</v>
      </c>
    </row>
    <row r="85" spans="1:14" s="143" customFormat="1" hidden="1" x14ac:dyDescent="0.25">
      <c r="A85" s="143" t="s">
        <v>704</v>
      </c>
      <c r="B85" s="143" t="s">
        <v>116</v>
      </c>
      <c r="C85" s="143" t="s">
        <v>117</v>
      </c>
      <c r="D85" s="143" t="s">
        <v>69</v>
      </c>
      <c r="E85" s="257">
        <v>49884000</v>
      </c>
      <c r="F85" s="257">
        <v>49884000</v>
      </c>
      <c r="G85" s="257">
        <v>49884000</v>
      </c>
      <c r="H85" s="257">
        <v>0</v>
      </c>
      <c r="I85" s="257">
        <v>38554415.700000003</v>
      </c>
      <c r="J85" s="257">
        <v>0</v>
      </c>
      <c r="K85" s="257">
        <v>11329584.300000001</v>
      </c>
      <c r="L85" s="257">
        <v>8228227.2999999998</v>
      </c>
      <c r="M85" s="279">
        <v>0</v>
      </c>
      <c r="N85" s="257">
        <v>0</v>
      </c>
    </row>
    <row r="86" spans="1:14" s="143" customFormat="1" hidden="1" x14ac:dyDescent="0.25">
      <c r="A86" s="143" t="s">
        <v>704</v>
      </c>
      <c r="B86" s="143" t="s">
        <v>118</v>
      </c>
      <c r="C86" s="143" t="s">
        <v>119</v>
      </c>
      <c r="D86" s="143" t="s">
        <v>69</v>
      </c>
      <c r="E86" s="257">
        <v>19924</v>
      </c>
      <c r="F86" s="257">
        <v>19924</v>
      </c>
      <c r="G86" s="257">
        <v>19924</v>
      </c>
      <c r="H86" s="257">
        <v>0</v>
      </c>
      <c r="I86" s="257">
        <v>999</v>
      </c>
      <c r="J86" s="257">
        <v>0</v>
      </c>
      <c r="K86" s="257">
        <v>18925</v>
      </c>
      <c r="L86" s="257">
        <v>18925</v>
      </c>
      <c r="M86" s="279">
        <v>0</v>
      </c>
      <c r="N86" s="257">
        <v>0</v>
      </c>
    </row>
    <row r="87" spans="1:14" s="143" customFormat="1" hidden="1" x14ac:dyDescent="0.25">
      <c r="A87" s="143" t="s">
        <v>704</v>
      </c>
      <c r="B87" s="143" t="s">
        <v>120</v>
      </c>
      <c r="C87" s="143" t="s">
        <v>121</v>
      </c>
      <c r="D87" s="143" t="s">
        <v>69</v>
      </c>
      <c r="E87" s="257">
        <v>47460000</v>
      </c>
      <c r="F87" s="257">
        <v>47460000</v>
      </c>
      <c r="G87" s="257">
        <v>46460000</v>
      </c>
      <c r="H87" s="257">
        <v>0</v>
      </c>
      <c r="I87" s="257">
        <v>42038769.75</v>
      </c>
      <c r="J87" s="257">
        <v>0</v>
      </c>
      <c r="K87" s="257">
        <v>5421230.2400000002</v>
      </c>
      <c r="L87" s="257">
        <v>5421230.2400000002</v>
      </c>
      <c r="M87" s="279">
        <v>0.01</v>
      </c>
      <c r="N87" s="257">
        <v>-999999.99</v>
      </c>
    </row>
    <row r="88" spans="1:14" s="143" customFormat="1" hidden="1" x14ac:dyDescent="0.25">
      <c r="A88" s="143" t="s">
        <v>704</v>
      </c>
      <c r="B88" s="143" t="s">
        <v>122</v>
      </c>
      <c r="C88" s="143" t="s">
        <v>123</v>
      </c>
      <c r="D88" s="143" t="s">
        <v>69</v>
      </c>
      <c r="E88" s="257">
        <v>420000</v>
      </c>
      <c r="F88" s="257">
        <v>420000</v>
      </c>
      <c r="G88" s="257">
        <v>420000</v>
      </c>
      <c r="H88" s="257">
        <v>0</v>
      </c>
      <c r="I88" s="257">
        <v>0</v>
      </c>
      <c r="J88" s="257">
        <v>0</v>
      </c>
      <c r="K88" s="257">
        <v>0</v>
      </c>
      <c r="L88" s="257">
        <v>0</v>
      </c>
      <c r="M88" s="279">
        <v>420000</v>
      </c>
      <c r="N88" s="257">
        <v>420000</v>
      </c>
    </row>
    <row r="89" spans="1:14" s="143" customFormat="1" hidden="1" x14ac:dyDescent="0.25">
      <c r="A89" s="143" t="s">
        <v>704</v>
      </c>
      <c r="B89" s="143" t="s">
        <v>124</v>
      </c>
      <c r="C89" s="143" t="s">
        <v>125</v>
      </c>
      <c r="D89" s="143" t="s">
        <v>69</v>
      </c>
      <c r="E89" s="257">
        <v>8000000</v>
      </c>
      <c r="F89" s="257">
        <v>8000000</v>
      </c>
      <c r="G89" s="257">
        <v>8000000</v>
      </c>
      <c r="H89" s="257">
        <v>0</v>
      </c>
      <c r="I89" s="257">
        <v>2364215.34</v>
      </c>
      <c r="J89" s="257">
        <v>282415.06</v>
      </c>
      <c r="K89" s="257">
        <v>4318660</v>
      </c>
      <c r="L89" s="257">
        <v>4077670</v>
      </c>
      <c r="M89" s="279">
        <v>1034709.6</v>
      </c>
      <c r="N89" s="257">
        <v>1034709.6</v>
      </c>
    </row>
    <row r="90" spans="1:14" s="143" customFormat="1" hidden="1" x14ac:dyDescent="0.25">
      <c r="A90" s="143" t="s">
        <v>704</v>
      </c>
      <c r="B90" s="143" t="s">
        <v>126</v>
      </c>
      <c r="C90" s="143" t="s">
        <v>127</v>
      </c>
      <c r="D90" s="143" t="s">
        <v>69</v>
      </c>
      <c r="E90" s="257">
        <v>7000000</v>
      </c>
      <c r="F90" s="257">
        <v>7000000</v>
      </c>
      <c r="G90" s="257">
        <v>7000000</v>
      </c>
      <c r="H90" s="257">
        <v>0</v>
      </c>
      <c r="I90" s="257">
        <v>2364215.34</v>
      </c>
      <c r="J90" s="257">
        <v>282415.06</v>
      </c>
      <c r="K90" s="257">
        <v>4318660</v>
      </c>
      <c r="L90" s="257">
        <v>4077670</v>
      </c>
      <c r="M90" s="279">
        <v>34709.599999999999</v>
      </c>
      <c r="N90" s="257">
        <v>34709.599999999999</v>
      </c>
    </row>
    <row r="91" spans="1:14" s="143" customFormat="1" hidden="1" x14ac:dyDescent="0.25">
      <c r="A91" s="143" t="s">
        <v>704</v>
      </c>
      <c r="B91" s="143" t="s">
        <v>132</v>
      </c>
      <c r="C91" s="143" t="s">
        <v>133</v>
      </c>
      <c r="D91" s="143" t="s">
        <v>69</v>
      </c>
      <c r="E91" s="257">
        <v>1000000</v>
      </c>
      <c r="F91" s="257">
        <v>1000000</v>
      </c>
      <c r="G91" s="257">
        <v>1000000</v>
      </c>
      <c r="H91" s="257">
        <v>0</v>
      </c>
      <c r="I91" s="257">
        <v>0</v>
      </c>
      <c r="J91" s="257">
        <v>0</v>
      </c>
      <c r="K91" s="257">
        <v>0</v>
      </c>
      <c r="L91" s="257">
        <v>0</v>
      </c>
      <c r="M91" s="279">
        <v>1000000</v>
      </c>
      <c r="N91" s="257">
        <v>1000000</v>
      </c>
    </row>
    <row r="92" spans="1:14" s="143" customFormat="1" hidden="1" x14ac:dyDescent="0.25">
      <c r="A92" s="143" t="s">
        <v>704</v>
      </c>
      <c r="B92" s="143" t="s">
        <v>134</v>
      </c>
      <c r="C92" s="143" t="s">
        <v>135</v>
      </c>
      <c r="D92" s="143" t="s">
        <v>69</v>
      </c>
      <c r="E92" s="257">
        <v>3480000</v>
      </c>
      <c r="F92" s="257">
        <v>3480000</v>
      </c>
      <c r="G92" s="257">
        <v>1480000</v>
      </c>
      <c r="H92" s="257">
        <v>0</v>
      </c>
      <c r="I92" s="257">
        <v>992671.68</v>
      </c>
      <c r="J92" s="257">
        <v>282009</v>
      </c>
      <c r="K92" s="257">
        <v>0</v>
      </c>
      <c r="L92" s="257">
        <v>0</v>
      </c>
      <c r="M92" s="279">
        <v>2205319.3199999998</v>
      </c>
      <c r="N92" s="257">
        <v>205319.32</v>
      </c>
    </row>
    <row r="93" spans="1:14" s="143" customFormat="1" hidden="1" x14ac:dyDescent="0.25">
      <c r="A93" s="143" t="s">
        <v>704</v>
      </c>
      <c r="B93" s="143" t="s">
        <v>136</v>
      </c>
      <c r="C93" s="143" t="s">
        <v>137</v>
      </c>
      <c r="D93" s="143" t="s">
        <v>69</v>
      </c>
      <c r="E93" s="257">
        <v>2000000</v>
      </c>
      <c r="F93" s="257">
        <v>2000000</v>
      </c>
      <c r="G93" s="257">
        <v>0</v>
      </c>
      <c r="H93" s="257">
        <v>0</v>
      </c>
      <c r="I93" s="257">
        <v>0</v>
      </c>
      <c r="J93" s="257">
        <v>0</v>
      </c>
      <c r="K93" s="257">
        <v>0</v>
      </c>
      <c r="L93" s="257">
        <v>0</v>
      </c>
      <c r="M93" s="279">
        <v>2000000</v>
      </c>
      <c r="N93" s="257">
        <v>0</v>
      </c>
    </row>
    <row r="94" spans="1:14" s="143" customFormat="1" hidden="1" x14ac:dyDescent="0.25">
      <c r="A94" s="143" t="s">
        <v>704</v>
      </c>
      <c r="B94" s="143" t="s">
        <v>138</v>
      </c>
      <c r="C94" s="143" t="s">
        <v>139</v>
      </c>
      <c r="D94" s="143" t="s">
        <v>69</v>
      </c>
      <c r="E94" s="257">
        <v>1480000</v>
      </c>
      <c r="F94" s="257">
        <v>1480000</v>
      </c>
      <c r="G94" s="257">
        <v>1480000</v>
      </c>
      <c r="H94" s="257">
        <v>0</v>
      </c>
      <c r="I94" s="257">
        <v>992671.68</v>
      </c>
      <c r="J94" s="257">
        <v>282009</v>
      </c>
      <c r="K94" s="257">
        <v>0</v>
      </c>
      <c r="L94" s="257">
        <v>0</v>
      </c>
      <c r="M94" s="279">
        <v>205319.32</v>
      </c>
      <c r="N94" s="257">
        <v>205319.32</v>
      </c>
    </row>
    <row r="95" spans="1:14" s="143" customFormat="1" hidden="1" x14ac:dyDescent="0.25">
      <c r="A95" s="143" t="s">
        <v>704</v>
      </c>
      <c r="B95" s="143" t="s">
        <v>140</v>
      </c>
      <c r="C95" s="143" t="s">
        <v>141</v>
      </c>
      <c r="D95" s="143" t="s">
        <v>69</v>
      </c>
      <c r="E95" s="257">
        <v>1500000</v>
      </c>
      <c r="F95" s="257">
        <v>1500000</v>
      </c>
      <c r="G95" s="257">
        <v>1173900</v>
      </c>
      <c r="H95" s="257">
        <v>0</v>
      </c>
      <c r="I95" s="257">
        <v>1258100</v>
      </c>
      <c r="J95" s="257">
        <v>0</v>
      </c>
      <c r="K95" s="257">
        <v>159700</v>
      </c>
      <c r="L95" s="257">
        <v>159700</v>
      </c>
      <c r="M95" s="279">
        <v>82200</v>
      </c>
      <c r="N95" s="275">
        <v>-243900</v>
      </c>
    </row>
    <row r="96" spans="1:14" s="143" customFormat="1" hidden="1" x14ac:dyDescent="0.25">
      <c r="A96" s="143" t="s">
        <v>704</v>
      </c>
      <c r="B96" s="143" t="s">
        <v>144</v>
      </c>
      <c r="C96" s="143" t="s">
        <v>145</v>
      </c>
      <c r="D96" s="143" t="s">
        <v>69</v>
      </c>
      <c r="E96" s="257">
        <v>1500000</v>
      </c>
      <c r="F96" s="257">
        <v>1500000</v>
      </c>
      <c r="G96" s="257">
        <v>1173900</v>
      </c>
      <c r="H96" s="257">
        <v>0</v>
      </c>
      <c r="I96" s="257">
        <v>1258100</v>
      </c>
      <c r="J96" s="257">
        <v>0</v>
      </c>
      <c r="K96" s="257">
        <v>159700</v>
      </c>
      <c r="L96" s="257">
        <v>159700</v>
      </c>
      <c r="M96" s="279">
        <v>82200</v>
      </c>
      <c r="N96" s="275">
        <v>-243900</v>
      </c>
    </row>
    <row r="97" spans="1:14" s="143" customFormat="1" hidden="1" x14ac:dyDescent="0.25">
      <c r="A97" s="143" t="s">
        <v>704</v>
      </c>
      <c r="B97" s="143" t="s">
        <v>150</v>
      </c>
      <c r="C97" s="143" t="s">
        <v>151</v>
      </c>
      <c r="D97" s="143" t="s">
        <v>69</v>
      </c>
      <c r="E97" s="257">
        <v>29000000</v>
      </c>
      <c r="F97" s="257">
        <v>29000000</v>
      </c>
      <c r="G97" s="257">
        <v>25500000</v>
      </c>
      <c r="H97" s="257">
        <v>0</v>
      </c>
      <c r="I97" s="257">
        <v>0</v>
      </c>
      <c r="J97" s="257">
        <v>0</v>
      </c>
      <c r="K97" s="257">
        <v>0</v>
      </c>
      <c r="L97" s="257">
        <v>0</v>
      </c>
      <c r="M97" s="279">
        <v>29000000</v>
      </c>
      <c r="N97" s="257">
        <v>25500000</v>
      </c>
    </row>
    <row r="98" spans="1:14" s="143" customFormat="1" hidden="1" x14ac:dyDescent="0.25">
      <c r="A98" s="143" t="s">
        <v>704</v>
      </c>
      <c r="B98" s="143" t="s">
        <v>152</v>
      </c>
      <c r="C98" s="143" t="s">
        <v>153</v>
      </c>
      <c r="D98" s="143" t="s">
        <v>69</v>
      </c>
      <c r="E98" s="257">
        <v>29000000</v>
      </c>
      <c r="F98" s="257">
        <v>29000000</v>
      </c>
      <c r="G98" s="257">
        <v>25500000</v>
      </c>
      <c r="H98" s="257">
        <v>0</v>
      </c>
      <c r="I98" s="257">
        <v>0</v>
      </c>
      <c r="J98" s="257">
        <v>0</v>
      </c>
      <c r="K98" s="257">
        <v>0</v>
      </c>
      <c r="L98" s="257">
        <v>0</v>
      </c>
      <c r="M98" s="279">
        <v>29000000</v>
      </c>
      <c r="N98" s="257">
        <v>25500000</v>
      </c>
    </row>
    <row r="99" spans="1:14" s="143" customFormat="1" hidden="1" x14ac:dyDescent="0.25">
      <c r="A99" s="143" t="s">
        <v>704</v>
      </c>
      <c r="B99" s="143" t="s">
        <v>154</v>
      </c>
      <c r="C99" s="143" t="s">
        <v>155</v>
      </c>
      <c r="D99" s="143" t="s">
        <v>69</v>
      </c>
      <c r="E99" s="257">
        <v>200000</v>
      </c>
      <c r="F99" s="257">
        <v>200000</v>
      </c>
      <c r="G99" s="257">
        <v>200000</v>
      </c>
      <c r="H99" s="257">
        <v>0</v>
      </c>
      <c r="I99" s="257">
        <v>200000</v>
      </c>
      <c r="J99" s="257">
        <v>0</v>
      </c>
      <c r="K99" s="257">
        <v>0</v>
      </c>
      <c r="L99" s="257">
        <v>0</v>
      </c>
      <c r="M99" s="279">
        <v>0</v>
      </c>
      <c r="N99" s="257">
        <v>0</v>
      </c>
    </row>
    <row r="100" spans="1:14" s="143" customFormat="1" hidden="1" x14ac:dyDescent="0.25">
      <c r="A100" s="143" t="s">
        <v>704</v>
      </c>
      <c r="B100" s="143" t="s">
        <v>160</v>
      </c>
      <c r="C100" s="143" t="s">
        <v>161</v>
      </c>
      <c r="D100" s="143" t="s">
        <v>69</v>
      </c>
      <c r="E100" s="257">
        <v>200000</v>
      </c>
      <c r="F100" s="257">
        <v>200000</v>
      </c>
      <c r="G100" s="257">
        <v>200000</v>
      </c>
      <c r="H100" s="257">
        <v>0</v>
      </c>
      <c r="I100" s="257">
        <v>200000</v>
      </c>
      <c r="J100" s="257">
        <v>0</v>
      </c>
      <c r="K100" s="257">
        <v>0</v>
      </c>
      <c r="L100" s="257">
        <v>0</v>
      </c>
      <c r="M100" s="279">
        <v>0</v>
      </c>
      <c r="N100" s="257">
        <v>0</v>
      </c>
    </row>
    <row r="101" spans="1:14" s="143" customFormat="1" hidden="1" x14ac:dyDescent="0.25">
      <c r="A101" s="143" t="s">
        <v>704</v>
      </c>
      <c r="B101" s="143" t="s">
        <v>162</v>
      </c>
      <c r="C101" s="143" t="s">
        <v>163</v>
      </c>
      <c r="D101" s="143" t="s">
        <v>69</v>
      </c>
      <c r="E101" s="257">
        <v>21394400</v>
      </c>
      <c r="F101" s="257">
        <v>21394400</v>
      </c>
      <c r="G101" s="257">
        <v>20894400</v>
      </c>
      <c r="H101" s="257">
        <v>0</v>
      </c>
      <c r="I101" s="257">
        <v>16251349.43</v>
      </c>
      <c r="J101" s="257">
        <v>0</v>
      </c>
      <c r="K101" s="257">
        <v>451881.28</v>
      </c>
      <c r="L101" s="257">
        <v>0</v>
      </c>
      <c r="M101" s="279">
        <v>4691169.29</v>
      </c>
      <c r="N101" s="257">
        <v>4191169.29</v>
      </c>
    </row>
    <row r="102" spans="1:14" s="143" customFormat="1" hidden="1" x14ac:dyDescent="0.25">
      <c r="A102" s="143" t="s">
        <v>704</v>
      </c>
      <c r="B102" s="143" t="s">
        <v>166</v>
      </c>
      <c r="C102" s="143" t="s">
        <v>167</v>
      </c>
      <c r="D102" s="143" t="s">
        <v>69</v>
      </c>
      <c r="E102" s="257">
        <v>13000000</v>
      </c>
      <c r="F102" s="257">
        <v>13000000</v>
      </c>
      <c r="G102" s="257">
        <v>13000000</v>
      </c>
      <c r="H102" s="257">
        <v>0</v>
      </c>
      <c r="I102" s="257">
        <v>12999955.050000001</v>
      </c>
      <c r="J102" s="257">
        <v>0</v>
      </c>
      <c r="K102" s="257">
        <v>0</v>
      </c>
      <c r="L102" s="257">
        <v>0</v>
      </c>
      <c r="M102" s="279">
        <v>44.95</v>
      </c>
      <c r="N102" s="257">
        <v>44.95</v>
      </c>
    </row>
    <row r="103" spans="1:14" s="143" customFormat="1" hidden="1" x14ac:dyDescent="0.25">
      <c r="A103" s="143" t="s">
        <v>704</v>
      </c>
      <c r="B103" s="143" t="s">
        <v>168</v>
      </c>
      <c r="C103" s="143" t="s">
        <v>169</v>
      </c>
      <c r="D103" s="143" t="s">
        <v>69</v>
      </c>
      <c r="E103" s="257">
        <v>6194400</v>
      </c>
      <c r="F103" s="257">
        <v>6194400</v>
      </c>
      <c r="G103" s="257">
        <v>5694400</v>
      </c>
      <c r="H103" s="257">
        <v>0</v>
      </c>
      <c r="I103" s="257">
        <v>1986540</v>
      </c>
      <c r="J103" s="257">
        <v>0</v>
      </c>
      <c r="K103" s="257">
        <v>0</v>
      </c>
      <c r="L103" s="257">
        <v>0</v>
      </c>
      <c r="M103" s="279">
        <v>4207860</v>
      </c>
      <c r="N103" s="257">
        <v>3707860</v>
      </c>
    </row>
    <row r="104" spans="1:14" s="143" customFormat="1" hidden="1" x14ac:dyDescent="0.25">
      <c r="A104" s="143" t="s">
        <v>704</v>
      </c>
      <c r="B104" s="143" t="s">
        <v>172</v>
      </c>
      <c r="C104" s="143" t="s">
        <v>173</v>
      </c>
      <c r="D104" s="143" t="s">
        <v>69</v>
      </c>
      <c r="E104" s="257">
        <v>2200000</v>
      </c>
      <c r="F104" s="257">
        <v>2200000</v>
      </c>
      <c r="G104" s="257">
        <v>2200000</v>
      </c>
      <c r="H104" s="257">
        <v>0</v>
      </c>
      <c r="I104" s="257">
        <v>1264854.3799999999</v>
      </c>
      <c r="J104" s="257">
        <v>0</v>
      </c>
      <c r="K104" s="257">
        <v>451881.28</v>
      </c>
      <c r="L104" s="257">
        <v>0</v>
      </c>
      <c r="M104" s="279">
        <v>483264.34</v>
      </c>
      <c r="N104" s="257">
        <v>483264.34</v>
      </c>
    </row>
    <row r="105" spans="1:14" s="143" customFormat="1" hidden="1" x14ac:dyDescent="0.25">
      <c r="A105" s="143" t="s">
        <v>704</v>
      </c>
      <c r="B105" s="143" t="s">
        <v>174</v>
      </c>
      <c r="C105" s="143" t="s">
        <v>175</v>
      </c>
      <c r="D105" s="143" t="s">
        <v>69</v>
      </c>
      <c r="E105" s="257">
        <v>1000000</v>
      </c>
      <c r="F105" s="257">
        <v>1000000</v>
      </c>
      <c r="G105" s="257">
        <v>1000000</v>
      </c>
      <c r="H105" s="257">
        <v>0</v>
      </c>
      <c r="I105" s="257">
        <v>1000000</v>
      </c>
      <c r="J105" s="257">
        <v>0</v>
      </c>
      <c r="K105" s="257">
        <v>0</v>
      </c>
      <c r="L105" s="257">
        <v>0</v>
      </c>
      <c r="M105" s="279">
        <v>0</v>
      </c>
      <c r="N105" s="257">
        <v>0</v>
      </c>
    </row>
    <row r="106" spans="1:14" s="143" customFormat="1" hidden="1" x14ac:dyDescent="0.25">
      <c r="A106" s="143" t="s">
        <v>704</v>
      </c>
      <c r="B106" s="143" t="s">
        <v>176</v>
      </c>
      <c r="C106" s="143" t="s">
        <v>177</v>
      </c>
      <c r="D106" s="143" t="s">
        <v>69</v>
      </c>
      <c r="E106" s="257">
        <v>1000000</v>
      </c>
      <c r="F106" s="257">
        <v>1000000</v>
      </c>
      <c r="G106" s="257">
        <v>1000000</v>
      </c>
      <c r="H106" s="257">
        <v>0</v>
      </c>
      <c r="I106" s="257">
        <v>1000000</v>
      </c>
      <c r="J106" s="257">
        <v>0</v>
      </c>
      <c r="K106" s="257">
        <v>0</v>
      </c>
      <c r="L106" s="257">
        <v>0</v>
      </c>
      <c r="M106" s="279">
        <v>0</v>
      </c>
      <c r="N106" s="257">
        <v>0</v>
      </c>
    </row>
    <row r="107" spans="1:14" s="143" customFormat="1" hidden="1" x14ac:dyDescent="0.25">
      <c r="A107" s="143" t="s">
        <v>704</v>
      </c>
      <c r="B107" s="143" t="s">
        <v>178</v>
      </c>
      <c r="C107" s="143" t="s">
        <v>179</v>
      </c>
      <c r="D107" s="143" t="s">
        <v>69</v>
      </c>
      <c r="E107" s="257">
        <v>1000000</v>
      </c>
      <c r="F107" s="257">
        <v>1000000</v>
      </c>
      <c r="G107" s="257">
        <v>1000000</v>
      </c>
      <c r="H107" s="257">
        <v>0</v>
      </c>
      <c r="I107" s="257">
        <v>1000000</v>
      </c>
      <c r="J107" s="257">
        <v>0</v>
      </c>
      <c r="K107" s="257">
        <v>0</v>
      </c>
      <c r="L107" s="257">
        <v>0</v>
      </c>
      <c r="M107" s="279">
        <v>0</v>
      </c>
      <c r="N107" s="257">
        <v>0</v>
      </c>
    </row>
    <row r="108" spans="1:14" s="143" customFormat="1" hidden="1" x14ac:dyDescent="0.25">
      <c r="A108" s="143" t="s">
        <v>704</v>
      </c>
      <c r="B108" s="143" t="s">
        <v>182</v>
      </c>
      <c r="C108" s="143" t="s">
        <v>183</v>
      </c>
      <c r="D108" s="143" t="s">
        <v>69</v>
      </c>
      <c r="E108" s="257">
        <v>1000000</v>
      </c>
      <c r="F108" s="257">
        <v>1000000</v>
      </c>
      <c r="G108" s="257">
        <v>1000000</v>
      </c>
      <c r="H108" s="257">
        <v>0</v>
      </c>
      <c r="I108" s="257">
        <v>1000000</v>
      </c>
      <c r="J108" s="257">
        <v>0</v>
      </c>
      <c r="K108" s="257">
        <v>0</v>
      </c>
      <c r="L108" s="257">
        <v>0</v>
      </c>
      <c r="M108" s="279">
        <v>0</v>
      </c>
      <c r="N108" s="257">
        <v>0</v>
      </c>
    </row>
    <row r="109" spans="1:14" s="143" customFormat="1" hidden="1" x14ac:dyDescent="0.25">
      <c r="A109" s="143" t="s">
        <v>704</v>
      </c>
      <c r="B109" s="143" t="s">
        <v>184</v>
      </c>
      <c r="C109" s="143" t="s">
        <v>185</v>
      </c>
      <c r="D109" s="143" t="s">
        <v>69</v>
      </c>
      <c r="E109" s="257">
        <v>40981500</v>
      </c>
      <c r="F109" s="257">
        <v>40981500</v>
      </c>
      <c r="G109" s="257">
        <v>38920115</v>
      </c>
      <c r="H109" s="257">
        <v>0</v>
      </c>
      <c r="I109" s="257">
        <v>8512755.5999999996</v>
      </c>
      <c r="J109" s="257">
        <v>0</v>
      </c>
      <c r="K109" s="257">
        <v>4208828.5199999996</v>
      </c>
      <c r="L109" s="257">
        <v>2146890.4</v>
      </c>
      <c r="M109" s="279">
        <v>28259915.879999999</v>
      </c>
      <c r="N109" s="257">
        <v>26198530.879999999</v>
      </c>
    </row>
    <row r="110" spans="1:14" s="143" customFormat="1" hidden="1" x14ac:dyDescent="0.25">
      <c r="A110" s="143" t="s">
        <v>704</v>
      </c>
      <c r="B110" s="143" t="s">
        <v>186</v>
      </c>
      <c r="C110" s="143" t="s">
        <v>187</v>
      </c>
      <c r="D110" s="143" t="s">
        <v>69</v>
      </c>
      <c r="E110" s="257">
        <v>14621000</v>
      </c>
      <c r="F110" s="257">
        <v>14621000</v>
      </c>
      <c r="G110" s="257">
        <v>14100000</v>
      </c>
      <c r="H110" s="257">
        <v>0</v>
      </c>
      <c r="I110" s="257">
        <v>7476174.5999999996</v>
      </c>
      <c r="J110" s="257">
        <v>0</v>
      </c>
      <c r="K110" s="257">
        <v>2123825.4</v>
      </c>
      <c r="L110" s="257">
        <v>2123825.4</v>
      </c>
      <c r="M110" s="279">
        <v>5021000</v>
      </c>
      <c r="N110" s="257">
        <v>4500000</v>
      </c>
    </row>
    <row r="111" spans="1:14" s="143" customFormat="1" hidden="1" x14ac:dyDescent="0.25">
      <c r="A111" s="143" t="s">
        <v>704</v>
      </c>
      <c r="B111" s="143" t="s">
        <v>188</v>
      </c>
      <c r="C111" s="143" t="s">
        <v>189</v>
      </c>
      <c r="D111" s="143" t="s">
        <v>69</v>
      </c>
      <c r="E111" s="257">
        <v>9600000</v>
      </c>
      <c r="F111" s="257">
        <v>9600000</v>
      </c>
      <c r="G111" s="257">
        <v>9600000</v>
      </c>
      <c r="H111" s="257">
        <v>0</v>
      </c>
      <c r="I111" s="257">
        <v>7476174.5999999996</v>
      </c>
      <c r="J111" s="257">
        <v>0</v>
      </c>
      <c r="K111" s="257">
        <v>2123825.4</v>
      </c>
      <c r="L111" s="257">
        <v>2123825.4</v>
      </c>
      <c r="M111" s="279">
        <v>0</v>
      </c>
      <c r="N111" s="257">
        <v>0</v>
      </c>
    </row>
    <row r="112" spans="1:14" s="143" customFormat="1" hidden="1" x14ac:dyDescent="0.25">
      <c r="A112" s="143" t="s">
        <v>704</v>
      </c>
      <c r="B112" s="143" t="s">
        <v>190</v>
      </c>
      <c r="C112" s="143" t="s">
        <v>191</v>
      </c>
      <c r="D112" s="143" t="s">
        <v>69</v>
      </c>
      <c r="E112" s="257">
        <v>5000000</v>
      </c>
      <c r="F112" s="257">
        <v>5000000</v>
      </c>
      <c r="G112" s="257">
        <v>4500000</v>
      </c>
      <c r="H112" s="257">
        <v>0</v>
      </c>
      <c r="I112" s="257">
        <v>0</v>
      </c>
      <c r="J112" s="257">
        <v>0</v>
      </c>
      <c r="K112" s="257">
        <v>0</v>
      </c>
      <c r="L112" s="257">
        <v>0</v>
      </c>
      <c r="M112" s="279">
        <v>5000000</v>
      </c>
      <c r="N112" s="257">
        <v>4500000</v>
      </c>
    </row>
    <row r="113" spans="1:14" s="143" customFormat="1" hidden="1" x14ac:dyDescent="0.25">
      <c r="A113" s="143" t="s">
        <v>704</v>
      </c>
      <c r="B113" s="143" t="s">
        <v>192</v>
      </c>
      <c r="C113" s="143" t="s">
        <v>193</v>
      </c>
      <c r="D113" s="143" t="s">
        <v>69</v>
      </c>
      <c r="E113" s="257">
        <v>21000</v>
      </c>
      <c r="F113" s="257">
        <v>21000</v>
      </c>
      <c r="G113" s="257">
        <v>0</v>
      </c>
      <c r="H113" s="257">
        <v>0</v>
      </c>
      <c r="I113" s="257">
        <v>0</v>
      </c>
      <c r="J113" s="257">
        <v>0</v>
      </c>
      <c r="K113" s="257">
        <v>0</v>
      </c>
      <c r="L113" s="257">
        <v>0</v>
      </c>
      <c r="M113" s="279">
        <v>21000</v>
      </c>
      <c r="N113" s="257">
        <v>0</v>
      </c>
    </row>
    <row r="114" spans="1:14" s="143" customFormat="1" hidden="1" x14ac:dyDescent="0.25">
      <c r="A114" s="143" t="s">
        <v>704</v>
      </c>
      <c r="B114" s="143" t="s">
        <v>196</v>
      </c>
      <c r="C114" s="143" t="s">
        <v>197</v>
      </c>
      <c r="D114" s="143" t="s">
        <v>69</v>
      </c>
      <c r="E114" s="257">
        <v>3000000</v>
      </c>
      <c r="F114" s="257">
        <v>3000000</v>
      </c>
      <c r="G114" s="257">
        <v>2755000</v>
      </c>
      <c r="H114" s="257">
        <v>0</v>
      </c>
      <c r="I114" s="257">
        <v>754479</v>
      </c>
      <c r="J114" s="257">
        <v>0</v>
      </c>
      <c r="K114" s="257">
        <v>0</v>
      </c>
      <c r="L114" s="257">
        <v>0</v>
      </c>
      <c r="M114" s="279">
        <v>2245521</v>
      </c>
      <c r="N114" s="257">
        <v>2000521</v>
      </c>
    </row>
    <row r="115" spans="1:14" s="143" customFormat="1" hidden="1" x14ac:dyDescent="0.25">
      <c r="A115" s="143" t="s">
        <v>704</v>
      </c>
      <c r="B115" s="143" t="s">
        <v>198</v>
      </c>
      <c r="C115" s="143" t="s">
        <v>199</v>
      </c>
      <c r="D115" s="143" t="s">
        <v>69</v>
      </c>
      <c r="E115" s="257">
        <v>3000000</v>
      </c>
      <c r="F115" s="257">
        <v>3000000</v>
      </c>
      <c r="G115" s="257">
        <v>2755000</v>
      </c>
      <c r="H115" s="257">
        <v>0</v>
      </c>
      <c r="I115" s="257">
        <v>754479</v>
      </c>
      <c r="J115" s="257">
        <v>0</v>
      </c>
      <c r="K115" s="257">
        <v>0</v>
      </c>
      <c r="L115" s="257">
        <v>0</v>
      </c>
      <c r="M115" s="279">
        <v>2245521</v>
      </c>
      <c r="N115" s="257">
        <v>2000521</v>
      </c>
    </row>
    <row r="116" spans="1:14" s="143" customFormat="1" hidden="1" x14ac:dyDescent="0.25">
      <c r="A116" s="143" t="s">
        <v>704</v>
      </c>
      <c r="B116" s="143" t="s">
        <v>206</v>
      </c>
      <c r="C116" s="143" t="s">
        <v>207</v>
      </c>
      <c r="D116" s="143" t="s">
        <v>69</v>
      </c>
      <c r="E116" s="257">
        <v>355000</v>
      </c>
      <c r="F116" s="257">
        <v>355000</v>
      </c>
      <c r="G116" s="257">
        <v>12615</v>
      </c>
      <c r="H116" s="257">
        <v>0</v>
      </c>
      <c r="I116" s="257">
        <v>0</v>
      </c>
      <c r="J116" s="257">
        <v>0</v>
      </c>
      <c r="K116" s="257">
        <v>12615</v>
      </c>
      <c r="L116" s="257">
        <v>12615</v>
      </c>
      <c r="M116" s="279">
        <v>342385</v>
      </c>
      <c r="N116" s="257">
        <v>0</v>
      </c>
    </row>
    <row r="117" spans="1:14" s="143" customFormat="1" hidden="1" x14ac:dyDescent="0.25">
      <c r="A117" s="143" t="s">
        <v>704</v>
      </c>
      <c r="B117" s="143" t="s">
        <v>208</v>
      </c>
      <c r="C117" s="143" t="s">
        <v>209</v>
      </c>
      <c r="D117" s="143" t="s">
        <v>69</v>
      </c>
      <c r="E117" s="257">
        <v>130000</v>
      </c>
      <c r="F117" s="257">
        <v>130000</v>
      </c>
      <c r="G117" s="257">
        <v>12615</v>
      </c>
      <c r="H117" s="257">
        <v>0</v>
      </c>
      <c r="I117" s="257">
        <v>0</v>
      </c>
      <c r="J117" s="257">
        <v>0</v>
      </c>
      <c r="K117" s="257">
        <v>12615</v>
      </c>
      <c r="L117" s="257">
        <v>12615</v>
      </c>
      <c r="M117" s="279">
        <v>117385</v>
      </c>
      <c r="N117" s="257">
        <v>0</v>
      </c>
    </row>
    <row r="118" spans="1:14" s="143" customFormat="1" hidden="1" x14ac:dyDescent="0.25">
      <c r="A118" s="143" t="s">
        <v>704</v>
      </c>
      <c r="B118" s="143" t="s">
        <v>210</v>
      </c>
      <c r="C118" s="143" t="s">
        <v>211</v>
      </c>
      <c r="D118" s="143" t="s">
        <v>69</v>
      </c>
      <c r="E118" s="257">
        <v>225000</v>
      </c>
      <c r="F118" s="257">
        <v>225000</v>
      </c>
      <c r="G118" s="257">
        <v>0</v>
      </c>
      <c r="H118" s="257">
        <v>0</v>
      </c>
      <c r="I118" s="257">
        <v>0</v>
      </c>
      <c r="J118" s="257">
        <v>0</v>
      </c>
      <c r="K118" s="257">
        <v>0</v>
      </c>
      <c r="L118" s="257">
        <v>0</v>
      </c>
      <c r="M118" s="279">
        <v>225000</v>
      </c>
      <c r="N118" s="257">
        <v>0</v>
      </c>
    </row>
    <row r="119" spans="1:14" s="143" customFormat="1" hidden="1" x14ac:dyDescent="0.25">
      <c r="A119" s="143" t="s">
        <v>704</v>
      </c>
      <c r="B119" s="143" t="s">
        <v>212</v>
      </c>
      <c r="C119" s="143" t="s">
        <v>213</v>
      </c>
      <c r="D119" s="143" t="s">
        <v>69</v>
      </c>
      <c r="E119" s="257">
        <v>23005500</v>
      </c>
      <c r="F119" s="257">
        <v>23005500</v>
      </c>
      <c r="G119" s="257">
        <v>22052500</v>
      </c>
      <c r="H119" s="257">
        <v>0</v>
      </c>
      <c r="I119" s="257">
        <v>282102</v>
      </c>
      <c r="J119" s="257">
        <v>0</v>
      </c>
      <c r="K119" s="257">
        <v>2072388.12</v>
      </c>
      <c r="L119" s="257">
        <v>10450</v>
      </c>
      <c r="M119" s="279">
        <v>20651009.879999999</v>
      </c>
      <c r="N119" s="257">
        <v>19698009.879999999</v>
      </c>
    </row>
    <row r="120" spans="1:14" s="143" customFormat="1" hidden="1" x14ac:dyDescent="0.25">
      <c r="A120" s="143" t="s">
        <v>704</v>
      </c>
      <c r="B120" s="143" t="s">
        <v>214</v>
      </c>
      <c r="C120" s="143" t="s">
        <v>215</v>
      </c>
      <c r="D120" s="143" t="s">
        <v>69</v>
      </c>
      <c r="E120" s="257">
        <v>2600000</v>
      </c>
      <c r="F120" s="257">
        <v>2600000</v>
      </c>
      <c r="G120" s="257">
        <v>2350000</v>
      </c>
      <c r="H120" s="257">
        <v>0</v>
      </c>
      <c r="I120" s="257">
        <v>14916</v>
      </c>
      <c r="J120" s="257">
        <v>0</v>
      </c>
      <c r="K120" s="257">
        <v>0</v>
      </c>
      <c r="L120" s="257">
        <v>0</v>
      </c>
      <c r="M120" s="279">
        <v>2585084</v>
      </c>
      <c r="N120" s="257">
        <v>2335084</v>
      </c>
    </row>
    <row r="121" spans="1:14" s="143" customFormat="1" hidden="1" x14ac:dyDescent="0.25">
      <c r="A121" s="143" t="s">
        <v>704</v>
      </c>
      <c r="B121" s="143" t="s">
        <v>216</v>
      </c>
      <c r="C121" s="143" t="s">
        <v>217</v>
      </c>
      <c r="D121" s="143" t="s">
        <v>69</v>
      </c>
      <c r="E121" s="257">
        <v>562500</v>
      </c>
      <c r="F121" s="257">
        <v>562500</v>
      </c>
      <c r="G121" s="257">
        <v>502500</v>
      </c>
      <c r="H121" s="257">
        <v>0</v>
      </c>
      <c r="I121" s="257">
        <v>0</v>
      </c>
      <c r="J121" s="257">
        <v>0</v>
      </c>
      <c r="K121" s="257">
        <v>0</v>
      </c>
      <c r="L121" s="257">
        <v>0</v>
      </c>
      <c r="M121" s="279">
        <v>562500</v>
      </c>
      <c r="N121" s="257">
        <v>502500</v>
      </c>
    </row>
    <row r="122" spans="1:14" s="143" customFormat="1" hidden="1" x14ac:dyDescent="0.25">
      <c r="A122" s="143" t="s">
        <v>704</v>
      </c>
      <c r="B122" s="143" t="s">
        <v>218</v>
      </c>
      <c r="C122" s="143" t="s">
        <v>219</v>
      </c>
      <c r="D122" s="143" t="s">
        <v>69</v>
      </c>
      <c r="E122" s="257">
        <v>8000000</v>
      </c>
      <c r="F122" s="257">
        <v>8000000</v>
      </c>
      <c r="G122" s="257">
        <v>7500000</v>
      </c>
      <c r="H122" s="257">
        <v>0</v>
      </c>
      <c r="I122" s="257">
        <v>89550</v>
      </c>
      <c r="J122" s="257">
        <v>0</v>
      </c>
      <c r="K122" s="257">
        <v>2072388.12</v>
      </c>
      <c r="L122" s="257">
        <v>10450</v>
      </c>
      <c r="M122" s="279">
        <v>5838061.8799999999</v>
      </c>
      <c r="N122" s="257">
        <v>5338061.88</v>
      </c>
    </row>
    <row r="123" spans="1:14" s="143" customFormat="1" hidden="1" x14ac:dyDescent="0.25">
      <c r="A123" s="143" t="s">
        <v>704</v>
      </c>
      <c r="B123" s="143" t="s">
        <v>222</v>
      </c>
      <c r="C123" s="143" t="s">
        <v>223</v>
      </c>
      <c r="D123" s="143" t="s">
        <v>69</v>
      </c>
      <c r="E123" s="257">
        <v>11000000</v>
      </c>
      <c r="F123" s="257">
        <v>11000000</v>
      </c>
      <c r="G123" s="257">
        <v>11000000</v>
      </c>
      <c r="H123" s="257">
        <v>0</v>
      </c>
      <c r="I123" s="257">
        <v>177636</v>
      </c>
      <c r="J123" s="257">
        <v>0</v>
      </c>
      <c r="K123" s="257">
        <v>0</v>
      </c>
      <c r="L123" s="257">
        <v>0</v>
      </c>
      <c r="M123" s="279">
        <v>10822364</v>
      </c>
      <c r="N123" s="257">
        <v>10822364</v>
      </c>
    </row>
    <row r="124" spans="1:14" s="143" customFormat="1" hidden="1" x14ac:dyDescent="0.25">
      <c r="A124" s="143" t="s">
        <v>704</v>
      </c>
      <c r="B124" s="143" t="s">
        <v>224</v>
      </c>
      <c r="C124" s="143" t="s">
        <v>225</v>
      </c>
      <c r="D124" s="143" t="s">
        <v>69</v>
      </c>
      <c r="E124" s="257">
        <v>800000</v>
      </c>
      <c r="F124" s="257">
        <v>800000</v>
      </c>
      <c r="G124" s="257">
        <v>700000</v>
      </c>
      <c r="H124" s="257">
        <v>0</v>
      </c>
      <c r="I124" s="257">
        <v>0</v>
      </c>
      <c r="J124" s="257">
        <v>0</v>
      </c>
      <c r="K124" s="257">
        <v>0</v>
      </c>
      <c r="L124" s="257">
        <v>0</v>
      </c>
      <c r="M124" s="279">
        <v>800000</v>
      </c>
      <c r="N124" s="257">
        <v>700000</v>
      </c>
    </row>
    <row r="125" spans="1:14" s="143" customFormat="1" hidden="1" x14ac:dyDescent="0.25">
      <c r="A125" s="143" t="s">
        <v>704</v>
      </c>
      <c r="B125" s="143" t="s">
        <v>226</v>
      </c>
      <c r="C125" s="143" t="s">
        <v>227</v>
      </c>
      <c r="D125" s="143" t="s">
        <v>69</v>
      </c>
      <c r="E125" s="257">
        <v>10000</v>
      </c>
      <c r="F125" s="257">
        <v>10000</v>
      </c>
      <c r="G125" s="257">
        <v>0</v>
      </c>
      <c r="H125" s="257">
        <v>0</v>
      </c>
      <c r="I125" s="257">
        <v>0</v>
      </c>
      <c r="J125" s="257">
        <v>0</v>
      </c>
      <c r="K125" s="257">
        <v>0</v>
      </c>
      <c r="L125" s="257">
        <v>0</v>
      </c>
      <c r="M125" s="279">
        <v>10000</v>
      </c>
      <c r="N125" s="257">
        <v>0</v>
      </c>
    </row>
    <row r="126" spans="1:14" s="143" customFormat="1" hidden="1" x14ac:dyDescent="0.25">
      <c r="A126" s="143" t="s">
        <v>704</v>
      </c>
      <c r="B126" s="143" t="s">
        <v>228</v>
      </c>
      <c r="C126" s="143" t="s">
        <v>229</v>
      </c>
      <c r="D126" s="143" t="s">
        <v>69</v>
      </c>
      <c r="E126" s="257">
        <v>33000</v>
      </c>
      <c r="F126" s="257">
        <v>33000</v>
      </c>
      <c r="G126" s="257">
        <v>0</v>
      </c>
      <c r="H126" s="257">
        <v>0</v>
      </c>
      <c r="I126" s="257">
        <v>0</v>
      </c>
      <c r="J126" s="257">
        <v>0</v>
      </c>
      <c r="K126" s="257">
        <v>0</v>
      </c>
      <c r="L126" s="257">
        <v>0</v>
      </c>
      <c r="M126" s="279">
        <v>33000</v>
      </c>
      <c r="N126" s="257">
        <v>0</v>
      </c>
    </row>
    <row r="127" spans="1:14" s="143" customFormat="1" hidden="1" x14ac:dyDescent="0.25">
      <c r="A127" s="143" t="s">
        <v>704</v>
      </c>
      <c r="B127" s="143" t="s">
        <v>230</v>
      </c>
      <c r="C127" s="143" t="s">
        <v>231</v>
      </c>
      <c r="D127" s="143" t="s">
        <v>85</v>
      </c>
      <c r="E127" s="257">
        <v>12109140</v>
      </c>
      <c r="F127" s="257">
        <v>12109140</v>
      </c>
      <c r="G127" s="257">
        <v>10969140</v>
      </c>
      <c r="H127" s="257">
        <v>0</v>
      </c>
      <c r="I127" s="257">
        <v>0</v>
      </c>
      <c r="J127" s="257">
        <v>0</v>
      </c>
      <c r="K127" s="257">
        <v>0</v>
      </c>
      <c r="L127" s="257">
        <v>0</v>
      </c>
      <c r="M127" s="279">
        <v>12109140</v>
      </c>
      <c r="N127" s="257">
        <v>10969140</v>
      </c>
    </row>
    <row r="128" spans="1:14" s="143" customFormat="1" hidden="1" x14ac:dyDescent="0.25">
      <c r="A128" s="143" t="s">
        <v>704</v>
      </c>
      <c r="B128" s="143" t="s">
        <v>232</v>
      </c>
      <c r="C128" s="143" t="s">
        <v>233</v>
      </c>
      <c r="D128" s="143" t="s">
        <v>85</v>
      </c>
      <c r="E128" s="257">
        <v>12109140</v>
      </c>
      <c r="F128" s="257">
        <v>12109140</v>
      </c>
      <c r="G128" s="257">
        <v>10969140</v>
      </c>
      <c r="H128" s="257">
        <v>0</v>
      </c>
      <c r="I128" s="257">
        <v>0</v>
      </c>
      <c r="J128" s="257">
        <v>0</v>
      </c>
      <c r="K128" s="257">
        <v>0</v>
      </c>
      <c r="L128" s="257">
        <v>0</v>
      </c>
      <c r="M128" s="279">
        <v>12109140</v>
      </c>
      <c r="N128" s="257">
        <v>10969140</v>
      </c>
    </row>
    <row r="129" spans="1:14" s="143" customFormat="1" hidden="1" x14ac:dyDescent="0.25">
      <c r="A129" s="143" t="s">
        <v>704</v>
      </c>
      <c r="B129" s="143" t="s">
        <v>234</v>
      </c>
      <c r="C129" s="143" t="s">
        <v>235</v>
      </c>
      <c r="D129" s="143" t="s">
        <v>85</v>
      </c>
      <c r="E129" s="257">
        <v>120000</v>
      </c>
      <c r="F129" s="257">
        <v>120000</v>
      </c>
      <c r="G129" s="257">
        <v>0</v>
      </c>
      <c r="H129" s="257">
        <v>0</v>
      </c>
      <c r="I129" s="257">
        <v>0</v>
      </c>
      <c r="J129" s="257">
        <v>0</v>
      </c>
      <c r="K129" s="257">
        <v>0</v>
      </c>
      <c r="L129" s="257">
        <v>0</v>
      </c>
      <c r="M129" s="279">
        <v>120000</v>
      </c>
      <c r="N129" s="257">
        <v>0</v>
      </c>
    </row>
    <row r="130" spans="1:14" s="143" customFormat="1" hidden="1" x14ac:dyDescent="0.25">
      <c r="A130" s="143" t="s">
        <v>704</v>
      </c>
      <c r="B130" s="143" t="s">
        <v>236</v>
      </c>
      <c r="C130" s="143" t="s">
        <v>237</v>
      </c>
      <c r="D130" s="143" t="s">
        <v>85</v>
      </c>
      <c r="E130" s="257">
        <v>620000</v>
      </c>
      <c r="F130" s="257">
        <v>620000</v>
      </c>
      <c r="G130" s="257">
        <v>0</v>
      </c>
      <c r="H130" s="257">
        <v>0</v>
      </c>
      <c r="I130" s="257">
        <v>0</v>
      </c>
      <c r="J130" s="257">
        <v>0</v>
      </c>
      <c r="K130" s="257">
        <v>0</v>
      </c>
      <c r="L130" s="257">
        <v>0</v>
      </c>
      <c r="M130" s="279">
        <v>620000</v>
      </c>
      <c r="N130" s="257">
        <v>0</v>
      </c>
    </row>
    <row r="131" spans="1:14" s="143" customFormat="1" hidden="1" x14ac:dyDescent="0.25">
      <c r="A131" s="143" t="s">
        <v>704</v>
      </c>
      <c r="B131" s="143" t="s">
        <v>238</v>
      </c>
      <c r="C131" s="143" t="s">
        <v>239</v>
      </c>
      <c r="D131" s="143" t="s">
        <v>85</v>
      </c>
      <c r="E131" s="257">
        <v>11369140</v>
      </c>
      <c r="F131" s="257">
        <v>11369140</v>
      </c>
      <c r="G131" s="257">
        <v>10969140</v>
      </c>
      <c r="H131" s="257">
        <v>0</v>
      </c>
      <c r="I131" s="257">
        <v>0</v>
      </c>
      <c r="J131" s="257">
        <v>0</v>
      </c>
      <c r="K131" s="257">
        <v>0</v>
      </c>
      <c r="L131" s="257">
        <v>0</v>
      </c>
      <c r="M131" s="279">
        <v>11369140</v>
      </c>
      <c r="N131" s="257">
        <v>10969140</v>
      </c>
    </row>
    <row r="132" spans="1:14" s="143" customFormat="1" hidden="1" x14ac:dyDescent="0.25">
      <c r="A132" s="143" t="s">
        <v>704</v>
      </c>
      <c r="B132" s="143" t="s">
        <v>248</v>
      </c>
      <c r="C132" s="143" t="s">
        <v>249</v>
      </c>
      <c r="D132" s="143" t="s">
        <v>69</v>
      </c>
      <c r="E132" s="257">
        <v>509299073</v>
      </c>
      <c r="F132" s="257">
        <v>509299073</v>
      </c>
      <c r="G132" s="257">
        <v>255687867</v>
      </c>
      <c r="H132" s="257">
        <v>0</v>
      </c>
      <c r="I132" s="257">
        <v>29125751.899999999</v>
      </c>
      <c r="J132" s="257">
        <v>0</v>
      </c>
      <c r="K132" s="257">
        <v>115963477.09999999</v>
      </c>
      <c r="L132" s="257">
        <v>115963477.09999999</v>
      </c>
      <c r="M132" s="279">
        <v>364209844</v>
      </c>
      <c r="N132" s="257">
        <v>110598638</v>
      </c>
    </row>
    <row r="133" spans="1:14" s="143" customFormat="1" hidden="1" x14ac:dyDescent="0.25">
      <c r="A133" s="143" t="s">
        <v>704</v>
      </c>
      <c r="B133" s="143" t="s">
        <v>250</v>
      </c>
      <c r="C133" s="143" t="s">
        <v>251</v>
      </c>
      <c r="D133" s="143" t="s">
        <v>69</v>
      </c>
      <c r="E133" s="257">
        <v>38994178</v>
      </c>
      <c r="F133" s="257">
        <v>38994178</v>
      </c>
      <c r="G133" s="257">
        <v>38045421</v>
      </c>
      <c r="H133" s="257">
        <v>0</v>
      </c>
      <c r="I133" s="257">
        <v>28508332</v>
      </c>
      <c r="J133" s="257">
        <v>0</v>
      </c>
      <c r="K133" s="257">
        <v>10485846</v>
      </c>
      <c r="L133" s="257">
        <v>10485846</v>
      </c>
      <c r="M133" s="279">
        <v>0</v>
      </c>
      <c r="N133" s="275">
        <v>-948757</v>
      </c>
    </row>
    <row r="134" spans="1:14" s="143" customFormat="1" hidden="1" x14ac:dyDescent="0.25">
      <c r="A134" s="143" t="s">
        <v>704</v>
      </c>
      <c r="B134" s="143" t="s">
        <v>617</v>
      </c>
      <c r="C134" s="143" t="s">
        <v>253</v>
      </c>
      <c r="D134" s="143" t="s">
        <v>69</v>
      </c>
      <c r="E134" s="257">
        <v>2000000</v>
      </c>
      <c r="F134" s="257">
        <v>2000000</v>
      </c>
      <c r="G134" s="257">
        <v>2000000</v>
      </c>
      <c r="H134" s="257">
        <v>0</v>
      </c>
      <c r="I134" s="257">
        <v>0</v>
      </c>
      <c r="J134" s="257">
        <v>0</v>
      </c>
      <c r="K134" s="257">
        <v>2000000</v>
      </c>
      <c r="L134" s="257">
        <v>2000000</v>
      </c>
      <c r="M134" s="279">
        <v>0</v>
      </c>
      <c r="N134" s="257">
        <v>0</v>
      </c>
    </row>
    <row r="135" spans="1:14" s="143" customFormat="1" hidden="1" x14ac:dyDescent="0.25">
      <c r="A135" s="143" t="s">
        <v>704</v>
      </c>
      <c r="B135" s="143" t="s">
        <v>627</v>
      </c>
      <c r="C135" s="143" t="s">
        <v>702</v>
      </c>
      <c r="D135" s="143" t="s">
        <v>69</v>
      </c>
      <c r="E135" s="257">
        <v>31422808</v>
      </c>
      <c r="F135" s="257">
        <v>31422808</v>
      </c>
      <c r="G135" s="257">
        <v>30616936</v>
      </c>
      <c r="H135" s="257">
        <v>0</v>
      </c>
      <c r="I135" s="257">
        <v>24271514</v>
      </c>
      <c r="J135" s="257">
        <v>0</v>
      </c>
      <c r="K135" s="257">
        <v>7151294</v>
      </c>
      <c r="L135" s="257">
        <v>7151294</v>
      </c>
      <c r="M135" s="279">
        <v>0</v>
      </c>
      <c r="N135" s="275">
        <v>-805872</v>
      </c>
    </row>
    <row r="136" spans="1:14" s="143" customFormat="1" hidden="1" x14ac:dyDescent="0.25">
      <c r="A136" s="143" t="s">
        <v>704</v>
      </c>
      <c r="B136" s="143" t="s">
        <v>642</v>
      </c>
      <c r="C136" s="143" t="s">
        <v>703</v>
      </c>
      <c r="D136" s="143" t="s">
        <v>69</v>
      </c>
      <c r="E136" s="257">
        <v>5571370</v>
      </c>
      <c r="F136" s="257">
        <v>5571370</v>
      </c>
      <c r="G136" s="257">
        <v>5428485</v>
      </c>
      <c r="H136" s="257">
        <v>0</v>
      </c>
      <c r="I136" s="257">
        <v>4236818</v>
      </c>
      <c r="J136" s="257">
        <v>0</v>
      </c>
      <c r="K136" s="257">
        <v>1334552</v>
      </c>
      <c r="L136" s="257">
        <v>1334552</v>
      </c>
      <c r="M136" s="279">
        <v>0</v>
      </c>
      <c r="N136" s="275">
        <v>-142885</v>
      </c>
    </row>
    <row r="137" spans="1:14" s="143" customFormat="1" hidden="1" x14ac:dyDescent="0.25">
      <c r="A137" s="143" t="s">
        <v>704</v>
      </c>
      <c r="B137" s="143" t="s">
        <v>260</v>
      </c>
      <c r="C137" s="143" t="s">
        <v>261</v>
      </c>
      <c r="D137" s="143" t="s">
        <v>69</v>
      </c>
      <c r="E137" s="257">
        <v>47000000</v>
      </c>
      <c r="F137" s="257">
        <v>47000000</v>
      </c>
      <c r="G137" s="257">
        <v>25000000</v>
      </c>
      <c r="H137" s="257">
        <v>0</v>
      </c>
      <c r="I137" s="257">
        <v>0</v>
      </c>
      <c r="J137" s="257">
        <v>0</v>
      </c>
      <c r="K137" s="257">
        <v>522356</v>
      </c>
      <c r="L137" s="257">
        <v>522356</v>
      </c>
      <c r="M137" s="279">
        <v>46477644</v>
      </c>
      <c r="N137" s="257">
        <v>24477644</v>
      </c>
    </row>
    <row r="138" spans="1:14" s="143" customFormat="1" hidden="1" x14ac:dyDescent="0.25">
      <c r="A138" s="143" t="s">
        <v>704</v>
      </c>
      <c r="B138" s="143" t="s">
        <v>262</v>
      </c>
      <c r="C138" s="143" t="s">
        <v>263</v>
      </c>
      <c r="D138" s="143" t="s">
        <v>69</v>
      </c>
      <c r="E138" s="257">
        <v>22000000</v>
      </c>
      <c r="F138" s="257">
        <v>22000000</v>
      </c>
      <c r="G138" s="257">
        <v>0</v>
      </c>
      <c r="H138" s="257">
        <v>0</v>
      </c>
      <c r="I138" s="257">
        <v>0</v>
      </c>
      <c r="J138" s="257">
        <v>0</v>
      </c>
      <c r="K138" s="257">
        <v>0</v>
      </c>
      <c r="L138" s="257">
        <v>0</v>
      </c>
      <c r="M138" s="279">
        <v>22000000</v>
      </c>
      <c r="N138" s="257">
        <v>0</v>
      </c>
    </row>
    <row r="139" spans="1:14" s="143" customFormat="1" hidden="1" x14ac:dyDescent="0.25">
      <c r="A139" s="143" t="s">
        <v>704</v>
      </c>
      <c r="B139" s="143" t="s">
        <v>264</v>
      </c>
      <c r="C139" s="143" t="s">
        <v>265</v>
      </c>
      <c r="D139" s="143" t="s">
        <v>69</v>
      </c>
      <c r="E139" s="257">
        <v>25000000</v>
      </c>
      <c r="F139" s="257">
        <v>25000000</v>
      </c>
      <c r="G139" s="257">
        <v>25000000</v>
      </c>
      <c r="H139" s="257">
        <v>0</v>
      </c>
      <c r="I139" s="257">
        <v>0</v>
      </c>
      <c r="J139" s="257">
        <v>0</v>
      </c>
      <c r="K139" s="257">
        <v>522356</v>
      </c>
      <c r="L139" s="257">
        <v>522356</v>
      </c>
      <c r="M139" s="279">
        <v>24477644</v>
      </c>
      <c r="N139" s="257">
        <v>24477644</v>
      </c>
    </row>
    <row r="140" spans="1:14" s="143" customFormat="1" hidden="1" x14ac:dyDescent="0.25">
      <c r="A140" s="143" t="s">
        <v>704</v>
      </c>
      <c r="B140" s="143" t="s">
        <v>266</v>
      </c>
      <c r="C140" s="143" t="s">
        <v>267</v>
      </c>
      <c r="D140" s="143" t="s">
        <v>69</v>
      </c>
      <c r="E140" s="257">
        <v>423304895</v>
      </c>
      <c r="F140" s="257">
        <v>423304895</v>
      </c>
      <c r="G140" s="257">
        <v>192642446</v>
      </c>
      <c r="H140" s="257">
        <v>0</v>
      </c>
      <c r="I140" s="257">
        <v>617419.9</v>
      </c>
      <c r="J140" s="257">
        <v>0</v>
      </c>
      <c r="K140" s="257">
        <v>104955275.09999999</v>
      </c>
      <c r="L140" s="257">
        <v>104955275.09999999</v>
      </c>
      <c r="M140" s="279">
        <v>317732200</v>
      </c>
      <c r="N140" s="257">
        <v>87069751</v>
      </c>
    </row>
    <row r="141" spans="1:14" s="143" customFormat="1" hidden="1" x14ac:dyDescent="0.25">
      <c r="A141" s="143" t="s">
        <v>704</v>
      </c>
      <c r="B141" s="143" t="s">
        <v>664</v>
      </c>
      <c r="C141" s="143" t="s">
        <v>269</v>
      </c>
      <c r="D141" s="143" t="s">
        <v>69</v>
      </c>
      <c r="E141" s="257">
        <v>406300000</v>
      </c>
      <c r="F141" s="257">
        <v>406300000</v>
      </c>
      <c r="G141" s="257">
        <v>189254751</v>
      </c>
      <c r="H141" s="257">
        <v>0</v>
      </c>
      <c r="I141" s="257">
        <v>0</v>
      </c>
      <c r="J141" s="257">
        <v>0</v>
      </c>
      <c r="K141" s="257">
        <v>101575000</v>
      </c>
      <c r="L141" s="257">
        <v>101575000</v>
      </c>
      <c r="M141" s="279">
        <v>304725000</v>
      </c>
      <c r="N141" s="257">
        <v>87679751</v>
      </c>
    </row>
    <row r="142" spans="1:14" s="143" customFormat="1" hidden="1" x14ac:dyDescent="0.25">
      <c r="A142" s="143" t="s">
        <v>704</v>
      </c>
      <c r="B142" s="143" t="s">
        <v>666</v>
      </c>
      <c r="C142" s="143" t="s">
        <v>705</v>
      </c>
      <c r="D142" s="143" t="s">
        <v>69</v>
      </c>
      <c r="E142" s="257">
        <v>13007200</v>
      </c>
      <c r="F142" s="257">
        <v>13007200</v>
      </c>
      <c r="G142" s="257">
        <v>0</v>
      </c>
      <c r="H142" s="257">
        <v>0</v>
      </c>
      <c r="I142" s="257">
        <v>0</v>
      </c>
      <c r="J142" s="257">
        <v>0</v>
      </c>
      <c r="K142" s="257">
        <v>0</v>
      </c>
      <c r="L142" s="257">
        <v>0</v>
      </c>
      <c r="M142" s="279">
        <v>13007200</v>
      </c>
      <c r="N142" s="257">
        <v>0</v>
      </c>
    </row>
    <row r="143" spans="1:14" s="143" customFormat="1" hidden="1" x14ac:dyDescent="0.25">
      <c r="A143" s="143" t="s">
        <v>704</v>
      </c>
      <c r="B143" s="143" t="s">
        <v>668</v>
      </c>
      <c r="C143" s="143" t="s">
        <v>273</v>
      </c>
      <c r="D143" s="143" t="s">
        <v>69</v>
      </c>
      <c r="E143" s="257">
        <v>3997695</v>
      </c>
      <c r="F143" s="257">
        <v>3997695</v>
      </c>
      <c r="G143" s="257">
        <v>3387695</v>
      </c>
      <c r="H143" s="257">
        <v>0</v>
      </c>
      <c r="I143" s="257">
        <v>617419.9</v>
      </c>
      <c r="J143" s="257">
        <v>0</v>
      </c>
      <c r="K143" s="257">
        <v>3380275.1</v>
      </c>
      <c r="L143" s="257">
        <v>3380275.1</v>
      </c>
      <c r="M143" s="279">
        <v>0</v>
      </c>
      <c r="N143" s="275">
        <v>-610000</v>
      </c>
    </row>
    <row r="144" spans="1:14" s="143" customFormat="1" x14ac:dyDescent="0.25">
      <c r="A144" s="454">
        <v>214788</v>
      </c>
      <c r="D144" s="454" t="s">
        <v>69</v>
      </c>
      <c r="E144" s="257">
        <v>3537393833</v>
      </c>
      <c r="F144" s="272">
        <v>3537393833</v>
      </c>
      <c r="G144" s="257">
        <v>2206115763</v>
      </c>
      <c r="H144" s="269">
        <v>45434401</v>
      </c>
      <c r="I144" s="274">
        <v>265552593.18000001</v>
      </c>
      <c r="J144" s="274">
        <v>40954341.75</v>
      </c>
      <c r="K144" s="274">
        <v>454883604.80000001</v>
      </c>
      <c r="L144" s="274">
        <v>407642533.18000001</v>
      </c>
      <c r="M144" s="273">
        <v>2730568892.27</v>
      </c>
      <c r="N144" s="257">
        <v>1399290822.27</v>
      </c>
    </row>
    <row r="145" spans="1:14" s="143" customFormat="1" hidden="1" x14ac:dyDescent="0.25">
      <c r="A145" s="143" t="s">
        <v>706</v>
      </c>
      <c r="B145" s="143" t="s">
        <v>71</v>
      </c>
      <c r="C145" s="143" t="s">
        <v>72</v>
      </c>
      <c r="D145" s="143" t="s">
        <v>69</v>
      </c>
      <c r="E145" s="257">
        <v>1329087181</v>
      </c>
      <c r="F145" s="257">
        <v>1329087181</v>
      </c>
      <c r="G145" s="257">
        <v>1202043753</v>
      </c>
      <c r="H145" s="257">
        <v>0</v>
      </c>
      <c r="I145" s="257">
        <v>152759361.30000001</v>
      </c>
      <c r="J145" s="257">
        <v>0</v>
      </c>
      <c r="K145" s="257">
        <v>321472441.04000002</v>
      </c>
      <c r="L145" s="257">
        <v>321472441.04000002</v>
      </c>
      <c r="M145" s="279">
        <v>854855378.65999997</v>
      </c>
      <c r="N145" s="257">
        <v>727811950.65999997</v>
      </c>
    </row>
    <row r="146" spans="1:14" s="143" customFormat="1" hidden="1" x14ac:dyDescent="0.25">
      <c r="A146" s="143" t="s">
        <v>706</v>
      </c>
      <c r="B146" s="143" t="s">
        <v>73</v>
      </c>
      <c r="C146" s="143" t="s">
        <v>74</v>
      </c>
      <c r="D146" s="143" t="s">
        <v>69</v>
      </c>
      <c r="E146" s="257">
        <v>512821400</v>
      </c>
      <c r="F146" s="257">
        <v>512821400</v>
      </c>
      <c r="G146" s="257">
        <v>406078937</v>
      </c>
      <c r="H146" s="257">
        <v>0</v>
      </c>
      <c r="I146" s="257">
        <v>0</v>
      </c>
      <c r="J146" s="257">
        <v>0</v>
      </c>
      <c r="K146" s="257">
        <v>110690337.75</v>
      </c>
      <c r="L146" s="257">
        <v>110690337.75</v>
      </c>
      <c r="M146" s="279">
        <v>402131062.25</v>
      </c>
      <c r="N146" s="257">
        <v>295388599.25</v>
      </c>
    </row>
    <row r="147" spans="1:14" s="143" customFormat="1" hidden="1" x14ac:dyDescent="0.25">
      <c r="A147" s="143" t="s">
        <v>706</v>
      </c>
      <c r="B147" s="143" t="s">
        <v>75</v>
      </c>
      <c r="C147" s="143" t="s">
        <v>76</v>
      </c>
      <c r="D147" s="143" t="s">
        <v>69</v>
      </c>
      <c r="E147" s="257">
        <v>507821400</v>
      </c>
      <c r="F147" s="257">
        <v>507821400</v>
      </c>
      <c r="G147" s="257">
        <v>404878937</v>
      </c>
      <c r="H147" s="257">
        <v>0</v>
      </c>
      <c r="I147" s="257">
        <v>0</v>
      </c>
      <c r="J147" s="257">
        <v>0</v>
      </c>
      <c r="K147" s="257">
        <v>110690337.75</v>
      </c>
      <c r="L147" s="257">
        <v>110690337.75</v>
      </c>
      <c r="M147" s="279">
        <v>397131062.25</v>
      </c>
      <c r="N147" s="257">
        <v>294188599.25</v>
      </c>
    </row>
    <row r="148" spans="1:14" s="143" customFormat="1" hidden="1" x14ac:dyDescent="0.25">
      <c r="A148" s="143" t="s">
        <v>706</v>
      </c>
      <c r="B148" s="143" t="s">
        <v>291</v>
      </c>
      <c r="C148" s="143" t="s">
        <v>292</v>
      </c>
      <c r="D148" s="143" t="s">
        <v>69</v>
      </c>
      <c r="E148" s="257">
        <v>5000000</v>
      </c>
      <c r="F148" s="257">
        <v>5000000</v>
      </c>
      <c r="G148" s="257">
        <v>1200000</v>
      </c>
      <c r="H148" s="257">
        <v>0</v>
      </c>
      <c r="I148" s="257">
        <v>0</v>
      </c>
      <c r="J148" s="257">
        <v>0</v>
      </c>
      <c r="K148" s="257">
        <v>0</v>
      </c>
      <c r="L148" s="257">
        <v>0</v>
      </c>
      <c r="M148" s="279">
        <v>5000000</v>
      </c>
      <c r="N148" s="257">
        <v>1200000</v>
      </c>
    </row>
    <row r="149" spans="1:14" s="143" customFormat="1" hidden="1" x14ac:dyDescent="0.25">
      <c r="A149" s="143" t="s">
        <v>706</v>
      </c>
      <c r="B149" s="143" t="s">
        <v>293</v>
      </c>
      <c r="C149" s="143" t="s">
        <v>294</v>
      </c>
      <c r="D149" s="143" t="s">
        <v>69</v>
      </c>
      <c r="E149" s="257">
        <v>11000000</v>
      </c>
      <c r="F149" s="257">
        <v>11000000</v>
      </c>
      <c r="G149" s="257">
        <v>11000000</v>
      </c>
      <c r="H149" s="257">
        <v>0</v>
      </c>
      <c r="I149" s="257">
        <v>0</v>
      </c>
      <c r="J149" s="257">
        <v>0</v>
      </c>
      <c r="K149" s="257">
        <v>1168177.72</v>
      </c>
      <c r="L149" s="257">
        <v>1168177.72</v>
      </c>
      <c r="M149" s="279">
        <v>9831822.2799999993</v>
      </c>
      <c r="N149" s="257">
        <v>9831822.2799999993</v>
      </c>
    </row>
    <row r="150" spans="1:14" s="143" customFormat="1" hidden="1" x14ac:dyDescent="0.25">
      <c r="A150" s="143" t="s">
        <v>706</v>
      </c>
      <c r="B150" s="143" t="s">
        <v>295</v>
      </c>
      <c r="C150" s="143" t="s">
        <v>296</v>
      </c>
      <c r="D150" s="143" t="s">
        <v>69</v>
      </c>
      <c r="E150" s="257">
        <v>11000000</v>
      </c>
      <c r="F150" s="257">
        <v>11000000</v>
      </c>
      <c r="G150" s="257">
        <v>11000000</v>
      </c>
      <c r="H150" s="257">
        <v>0</v>
      </c>
      <c r="I150" s="257">
        <v>0</v>
      </c>
      <c r="J150" s="257">
        <v>0</v>
      </c>
      <c r="K150" s="257">
        <v>1168177.72</v>
      </c>
      <c r="L150" s="257">
        <v>1168177.72</v>
      </c>
      <c r="M150" s="279">
        <v>9831822.2799999993</v>
      </c>
      <c r="N150" s="257">
        <v>9831822.2799999993</v>
      </c>
    </row>
    <row r="151" spans="1:14" s="143" customFormat="1" hidden="1" x14ac:dyDescent="0.25">
      <c r="A151" s="143" t="s">
        <v>706</v>
      </c>
      <c r="B151" s="143" t="s">
        <v>77</v>
      </c>
      <c r="C151" s="143" t="s">
        <v>78</v>
      </c>
      <c r="D151" s="143" t="s">
        <v>69</v>
      </c>
      <c r="E151" s="257">
        <v>602518513</v>
      </c>
      <c r="F151" s="257">
        <v>602518513</v>
      </c>
      <c r="G151" s="257">
        <v>587390283</v>
      </c>
      <c r="H151" s="257">
        <v>0</v>
      </c>
      <c r="I151" s="257">
        <v>0</v>
      </c>
      <c r="J151" s="257">
        <v>0</v>
      </c>
      <c r="K151" s="257">
        <v>159626018.87</v>
      </c>
      <c r="L151" s="257">
        <v>159626018.87</v>
      </c>
      <c r="M151" s="279">
        <v>442892494.13</v>
      </c>
      <c r="N151" s="257">
        <v>427764264.13</v>
      </c>
    </row>
    <row r="152" spans="1:14" s="143" customFormat="1" hidden="1" x14ac:dyDescent="0.25">
      <c r="A152" s="143" t="s">
        <v>706</v>
      </c>
      <c r="B152" s="143" t="s">
        <v>79</v>
      </c>
      <c r="C152" s="143" t="s">
        <v>80</v>
      </c>
      <c r="D152" s="143" t="s">
        <v>69</v>
      </c>
      <c r="E152" s="257">
        <v>160994500</v>
      </c>
      <c r="F152" s="257">
        <v>160994500</v>
      </c>
      <c r="G152" s="257">
        <v>154396123</v>
      </c>
      <c r="H152" s="257">
        <v>0</v>
      </c>
      <c r="I152" s="257">
        <v>0</v>
      </c>
      <c r="J152" s="257">
        <v>0</v>
      </c>
      <c r="K152" s="257">
        <v>33760151.939999998</v>
      </c>
      <c r="L152" s="257">
        <v>33760151.939999998</v>
      </c>
      <c r="M152" s="279">
        <v>127234348.06</v>
      </c>
      <c r="N152" s="257">
        <v>120635971.06</v>
      </c>
    </row>
    <row r="153" spans="1:14" s="143" customFormat="1" hidden="1" x14ac:dyDescent="0.25">
      <c r="A153" s="143" t="s">
        <v>706</v>
      </c>
      <c r="B153" s="143" t="s">
        <v>81</v>
      </c>
      <c r="C153" s="143" t="s">
        <v>82</v>
      </c>
      <c r="D153" s="143" t="s">
        <v>69</v>
      </c>
      <c r="E153" s="257">
        <v>218799248</v>
      </c>
      <c r="F153" s="257">
        <v>218799248</v>
      </c>
      <c r="G153" s="257">
        <v>212878407</v>
      </c>
      <c r="H153" s="257">
        <v>0</v>
      </c>
      <c r="I153" s="257">
        <v>0</v>
      </c>
      <c r="J153" s="257">
        <v>0</v>
      </c>
      <c r="K153" s="257">
        <v>43431577.32</v>
      </c>
      <c r="L153" s="257">
        <v>43431577.32</v>
      </c>
      <c r="M153" s="279">
        <v>175367670.68000001</v>
      </c>
      <c r="N153" s="257">
        <v>169446829.68000001</v>
      </c>
    </row>
    <row r="154" spans="1:14" s="143" customFormat="1" hidden="1" x14ac:dyDescent="0.25">
      <c r="A154" s="143" t="s">
        <v>706</v>
      </c>
      <c r="B154" s="143" t="s">
        <v>83</v>
      </c>
      <c r="C154" s="143" t="s">
        <v>84</v>
      </c>
      <c r="D154" s="143" t="s">
        <v>85</v>
      </c>
      <c r="E154" s="257">
        <v>86609465</v>
      </c>
      <c r="F154" s="257">
        <v>86609465</v>
      </c>
      <c r="G154" s="257">
        <v>84394818</v>
      </c>
      <c r="H154" s="257">
        <v>0</v>
      </c>
      <c r="I154" s="257">
        <v>0</v>
      </c>
      <c r="J154" s="257">
        <v>0</v>
      </c>
      <c r="K154" s="257">
        <v>0</v>
      </c>
      <c r="L154" s="257">
        <v>0</v>
      </c>
      <c r="M154" s="279">
        <v>86609465</v>
      </c>
      <c r="N154" s="257">
        <v>84394818</v>
      </c>
    </row>
    <row r="155" spans="1:14" s="143" customFormat="1" hidden="1" x14ac:dyDescent="0.25">
      <c r="A155" s="143" t="s">
        <v>706</v>
      </c>
      <c r="B155" s="143" t="s">
        <v>86</v>
      </c>
      <c r="C155" s="143" t="s">
        <v>87</v>
      </c>
      <c r="D155" s="143" t="s">
        <v>69</v>
      </c>
      <c r="E155" s="257">
        <v>79437600</v>
      </c>
      <c r="F155" s="257">
        <v>79437600</v>
      </c>
      <c r="G155" s="257">
        <v>79437600</v>
      </c>
      <c r="H155" s="257">
        <v>0</v>
      </c>
      <c r="I155" s="257">
        <v>0</v>
      </c>
      <c r="J155" s="257">
        <v>0</v>
      </c>
      <c r="K155" s="257">
        <v>70505091.120000005</v>
      </c>
      <c r="L155" s="257">
        <v>70505091.120000005</v>
      </c>
      <c r="M155" s="279">
        <v>8932508.8800000008</v>
      </c>
      <c r="N155" s="257">
        <v>8932508.8800000008</v>
      </c>
    </row>
    <row r="156" spans="1:14" s="143" customFormat="1" hidden="1" x14ac:dyDescent="0.25">
      <c r="A156" s="143" t="s">
        <v>706</v>
      </c>
      <c r="B156" s="143" t="s">
        <v>88</v>
      </c>
      <c r="C156" s="143" t="s">
        <v>89</v>
      </c>
      <c r="D156" s="143" t="s">
        <v>69</v>
      </c>
      <c r="E156" s="257">
        <v>56677700</v>
      </c>
      <c r="F156" s="257">
        <v>56677700</v>
      </c>
      <c r="G156" s="257">
        <v>56283335</v>
      </c>
      <c r="H156" s="257">
        <v>0</v>
      </c>
      <c r="I156" s="257">
        <v>0</v>
      </c>
      <c r="J156" s="257">
        <v>0</v>
      </c>
      <c r="K156" s="257">
        <v>11929198.49</v>
      </c>
      <c r="L156" s="257">
        <v>11929198.49</v>
      </c>
      <c r="M156" s="279">
        <v>44748501.509999998</v>
      </c>
      <c r="N156" s="257">
        <v>44354136.509999998</v>
      </c>
    </row>
    <row r="157" spans="1:14" s="143" customFormat="1" hidden="1" x14ac:dyDescent="0.25">
      <c r="A157" s="143" t="s">
        <v>706</v>
      </c>
      <c r="B157" s="143" t="s">
        <v>90</v>
      </c>
      <c r="C157" s="143" t="s">
        <v>91</v>
      </c>
      <c r="D157" s="143" t="s">
        <v>69</v>
      </c>
      <c r="E157" s="257">
        <v>101373634</v>
      </c>
      <c r="F157" s="257">
        <v>101373634</v>
      </c>
      <c r="G157" s="257">
        <v>98787266</v>
      </c>
      <c r="H157" s="257">
        <v>0</v>
      </c>
      <c r="I157" s="257">
        <v>76105674.659999996</v>
      </c>
      <c r="J157" s="257">
        <v>0</v>
      </c>
      <c r="K157" s="257">
        <v>25267959.34</v>
      </c>
      <c r="L157" s="257">
        <v>25267959.34</v>
      </c>
      <c r="M157" s="279">
        <v>0</v>
      </c>
      <c r="N157" s="275">
        <v>-2586368</v>
      </c>
    </row>
    <row r="158" spans="1:14" s="143" customFormat="1" hidden="1" x14ac:dyDescent="0.25">
      <c r="A158" s="143" t="s">
        <v>706</v>
      </c>
      <c r="B158" s="143" t="s">
        <v>419</v>
      </c>
      <c r="C158" s="143" t="s">
        <v>697</v>
      </c>
      <c r="D158" s="143" t="s">
        <v>69</v>
      </c>
      <c r="E158" s="257">
        <v>96175035</v>
      </c>
      <c r="F158" s="257">
        <v>96175035</v>
      </c>
      <c r="G158" s="257">
        <v>93721300</v>
      </c>
      <c r="H158" s="257">
        <v>0</v>
      </c>
      <c r="I158" s="257">
        <v>72202783.780000001</v>
      </c>
      <c r="J158" s="257">
        <v>0</v>
      </c>
      <c r="K158" s="257">
        <v>23972251.219999999</v>
      </c>
      <c r="L158" s="257">
        <v>23972251.219999999</v>
      </c>
      <c r="M158" s="279">
        <v>0</v>
      </c>
      <c r="N158" s="275">
        <v>-2453735</v>
      </c>
    </row>
    <row r="159" spans="1:14" s="143" customFormat="1" hidden="1" x14ac:dyDescent="0.25">
      <c r="A159" s="143" t="s">
        <v>706</v>
      </c>
      <c r="B159" s="143" t="s">
        <v>436</v>
      </c>
      <c r="C159" s="143" t="s">
        <v>95</v>
      </c>
      <c r="D159" s="143" t="s">
        <v>69</v>
      </c>
      <c r="E159" s="257">
        <v>5198599</v>
      </c>
      <c r="F159" s="257">
        <v>5198599</v>
      </c>
      <c r="G159" s="257">
        <v>5065966</v>
      </c>
      <c r="H159" s="257">
        <v>0</v>
      </c>
      <c r="I159" s="257">
        <v>3902890.88</v>
      </c>
      <c r="J159" s="257">
        <v>0</v>
      </c>
      <c r="K159" s="257">
        <v>1295708.1200000001</v>
      </c>
      <c r="L159" s="257">
        <v>1295708.1200000001</v>
      </c>
      <c r="M159" s="279">
        <v>0</v>
      </c>
      <c r="N159" s="275">
        <v>-132633</v>
      </c>
    </row>
    <row r="160" spans="1:14" s="143" customFormat="1" hidden="1" x14ac:dyDescent="0.25">
      <c r="A160" s="143" t="s">
        <v>706</v>
      </c>
      <c r="B160" s="143" t="s">
        <v>96</v>
      </c>
      <c r="C160" s="143" t="s">
        <v>97</v>
      </c>
      <c r="D160" s="143" t="s">
        <v>69</v>
      </c>
      <c r="E160" s="257">
        <v>101373634</v>
      </c>
      <c r="F160" s="257">
        <v>101373634</v>
      </c>
      <c r="G160" s="257">
        <v>98787267</v>
      </c>
      <c r="H160" s="257">
        <v>0</v>
      </c>
      <c r="I160" s="257">
        <v>76653686.640000001</v>
      </c>
      <c r="J160" s="257">
        <v>0</v>
      </c>
      <c r="K160" s="257">
        <v>24719947.359999999</v>
      </c>
      <c r="L160" s="257">
        <v>24719947.359999999</v>
      </c>
      <c r="M160" s="279">
        <v>0</v>
      </c>
      <c r="N160" s="275">
        <v>-2586367</v>
      </c>
    </row>
    <row r="161" spans="1:14" s="143" customFormat="1" hidden="1" x14ac:dyDescent="0.25">
      <c r="A161" s="143" t="s">
        <v>706</v>
      </c>
      <c r="B161" s="143" t="s">
        <v>454</v>
      </c>
      <c r="C161" s="143" t="s">
        <v>698</v>
      </c>
      <c r="D161" s="143" t="s">
        <v>69</v>
      </c>
      <c r="E161" s="257">
        <v>54585842</v>
      </c>
      <c r="F161" s="257">
        <v>54585842</v>
      </c>
      <c r="G161" s="257">
        <v>53193182</v>
      </c>
      <c r="H161" s="257">
        <v>0</v>
      </c>
      <c r="I161" s="257">
        <v>41527292.32</v>
      </c>
      <c r="J161" s="257">
        <v>0</v>
      </c>
      <c r="K161" s="257">
        <v>13058549.68</v>
      </c>
      <c r="L161" s="257">
        <v>13058549.68</v>
      </c>
      <c r="M161" s="279">
        <v>0</v>
      </c>
      <c r="N161" s="275">
        <v>-1392660</v>
      </c>
    </row>
    <row r="162" spans="1:14" s="143" customFormat="1" hidden="1" x14ac:dyDescent="0.25">
      <c r="A162" s="143" t="s">
        <v>706</v>
      </c>
      <c r="B162" s="143" t="s">
        <v>471</v>
      </c>
      <c r="C162" s="143" t="s">
        <v>699</v>
      </c>
      <c r="D162" s="143" t="s">
        <v>69</v>
      </c>
      <c r="E162" s="257">
        <v>15595897</v>
      </c>
      <c r="F162" s="257">
        <v>15595897</v>
      </c>
      <c r="G162" s="257">
        <v>15197995</v>
      </c>
      <c r="H162" s="257">
        <v>0</v>
      </c>
      <c r="I162" s="257">
        <v>11708761.300000001</v>
      </c>
      <c r="J162" s="257">
        <v>0</v>
      </c>
      <c r="K162" s="257">
        <v>3887135.7</v>
      </c>
      <c r="L162" s="257">
        <v>3887135.7</v>
      </c>
      <c r="M162" s="279">
        <v>0</v>
      </c>
      <c r="N162" s="275">
        <v>-397902</v>
      </c>
    </row>
    <row r="163" spans="1:14" s="143" customFormat="1" hidden="1" x14ac:dyDescent="0.25">
      <c r="A163" s="143" t="s">
        <v>706</v>
      </c>
      <c r="B163" s="143" t="s">
        <v>488</v>
      </c>
      <c r="C163" s="143" t="s">
        <v>700</v>
      </c>
      <c r="D163" s="143" t="s">
        <v>69</v>
      </c>
      <c r="E163" s="257">
        <v>31191895</v>
      </c>
      <c r="F163" s="257">
        <v>31191895</v>
      </c>
      <c r="G163" s="257">
        <v>30396090</v>
      </c>
      <c r="H163" s="257">
        <v>0</v>
      </c>
      <c r="I163" s="257">
        <v>23417633.02</v>
      </c>
      <c r="J163" s="257">
        <v>0</v>
      </c>
      <c r="K163" s="257">
        <v>7774261.9800000004</v>
      </c>
      <c r="L163" s="257">
        <v>7774261.9800000004</v>
      </c>
      <c r="M163" s="279">
        <v>0</v>
      </c>
      <c r="N163" s="275">
        <v>-795805</v>
      </c>
    </row>
    <row r="164" spans="1:14" s="143" customFormat="1" hidden="1" x14ac:dyDescent="0.25">
      <c r="A164" s="143" t="s">
        <v>706</v>
      </c>
      <c r="B164" s="143" t="s">
        <v>104</v>
      </c>
      <c r="C164" s="143" t="s">
        <v>105</v>
      </c>
      <c r="D164" s="143" t="s">
        <v>69</v>
      </c>
      <c r="E164" s="257">
        <v>1188545520</v>
      </c>
      <c r="F164" s="257">
        <v>1188545520</v>
      </c>
      <c r="G164" s="257">
        <v>601221378</v>
      </c>
      <c r="H164" s="257">
        <v>72700</v>
      </c>
      <c r="I164" s="257">
        <v>94656160.920000002</v>
      </c>
      <c r="J164" s="257">
        <v>40888648.649999999</v>
      </c>
      <c r="K164" s="257">
        <v>124041910</v>
      </c>
      <c r="L164" s="257">
        <v>77164578.379999995</v>
      </c>
      <c r="M164" s="279">
        <v>928886100.42999995</v>
      </c>
      <c r="N164" s="257">
        <v>341561958.43000001</v>
      </c>
    </row>
    <row r="165" spans="1:14" s="143" customFormat="1" hidden="1" x14ac:dyDescent="0.25">
      <c r="A165" s="143" t="s">
        <v>706</v>
      </c>
      <c r="B165" s="143" t="s">
        <v>106</v>
      </c>
      <c r="C165" s="143" t="s">
        <v>107</v>
      </c>
      <c r="D165" s="143" t="s">
        <v>69</v>
      </c>
      <c r="E165" s="257">
        <v>411755980</v>
      </c>
      <c r="F165" s="257">
        <v>411905497.89999998</v>
      </c>
      <c r="G165" s="257">
        <v>205438507.90000001</v>
      </c>
      <c r="H165" s="257">
        <v>0</v>
      </c>
      <c r="I165" s="257">
        <v>18163607.68</v>
      </c>
      <c r="J165" s="257">
        <v>38088378.280000001</v>
      </c>
      <c r="K165" s="257">
        <v>22951215.300000001</v>
      </c>
      <c r="L165" s="257">
        <v>12543000</v>
      </c>
      <c r="M165" s="279">
        <v>332702296.63999999</v>
      </c>
      <c r="N165" s="257">
        <v>126235306.64</v>
      </c>
    </row>
    <row r="166" spans="1:14" s="143" customFormat="1" hidden="1" x14ac:dyDescent="0.25">
      <c r="A166" s="143" t="s">
        <v>706</v>
      </c>
      <c r="B166" s="143" t="s">
        <v>280</v>
      </c>
      <c r="C166" s="143" t="s">
        <v>281</v>
      </c>
      <c r="D166" s="143" t="s">
        <v>69</v>
      </c>
      <c r="E166" s="257">
        <v>168555500</v>
      </c>
      <c r="F166" s="257">
        <v>168555500</v>
      </c>
      <c r="G166" s="257">
        <v>88477750</v>
      </c>
      <c r="H166" s="257">
        <v>0</v>
      </c>
      <c r="I166" s="257">
        <v>4264914.57</v>
      </c>
      <c r="J166" s="257">
        <v>19087714.800000001</v>
      </c>
      <c r="K166" s="257">
        <v>22951215.300000001</v>
      </c>
      <c r="L166" s="257">
        <v>12543000</v>
      </c>
      <c r="M166" s="279">
        <v>122251655.33</v>
      </c>
      <c r="N166" s="257">
        <v>42173905.329999998</v>
      </c>
    </row>
    <row r="167" spans="1:14" s="143" customFormat="1" hidden="1" x14ac:dyDescent="0.25">
      <c r="A167" s="143" t="s">
        <v>706</v>
      </c>
      <c r="B167" s="143" t="s">
        <v>302</v>
      </c>
      <c r="C167" s="143" t="s">
        <v>303</v>
      </c>
      <c r="D167" s="143" t="s">
        <v>69</v>
      </c>
      <c r="E167" s="257">
        <v>3869560</v>
      </c>
      <c r="F167" s="257">
        <v>3869560</v>
      </c>
      <c r="G167" s="257">
        <v>1934780</v>
      </c>
      <c r="H167" s="257">
        <v>0</v>
      </c>
      <c r="I167" s="257">
        <v>0</v>
      </c>
      <c r="J167" s="257">
        <v>0</v>
      </c>
      <c r="K167" s="257">
        <v>0</v>
      </c>
      <c r="L167" s="257">
        <v>0</v>
      </c>
      <c r="M167" s="279">
        <v>3869560</v>
      </c>
      <c r="N167" s="257">
        <v>1934780</v>
      </c>
    </row>
    <row r="168" spans="1:14" s="143" customFormat="1" hidden="1" x14ac:dyDescent="0.25">
      <c r="A168" s="143" t="s">
        <v>706</v>
      </c>
      <c r="B168" s="143" t="s">
        <v>108</v>
      </c>
      <c r="C168" s="143" t="s">
        <v>109</v>
      </c>
      <c r="D168" s="143" t="s">
        <v>69</v>
      </c>
      <c r="E168" s="257">
        <v>194561670</v>
      </c>
      <c r="F168" s="257">
        <v>194561670</v>
      </c>
      <c r="G168" s="257">
        <v>92280835</v>
      </c>
      <c r="H168" s="257">
        <v>0</v>
      </c>
      <c r="I168" s="257">
        <v>10098064.42</v>
      </c>
      <c r="J168" s="257">
        <v>13956624.52</v>
      </c>
      <c r="K168" s="257">
        <v>0</v>
      </c>
      <c r="L168" s="257">
        <v>0</v>
      </c>
      <c r="M168" s="279">
        <v>170506981.06</v>
      </c>
      <c r="N168" s="257">
        <v>68226146.060000002</v>
      </c>
    </row>
    <row r="169" spans="1:14" s="143" customFormat="1" hidden="1" x14ac:dyDescent="0.25">
      <c r="A169" s="143" t="s">
        <v>706</v>
      </c>
      <c r="B169" s="143" t="s">
        <v>304</v>
      </c>
      <c r="C169" s="143" t="s">
        <v>305</v>
      </c>
      <c r="D169" s="143" t="s">
        <v>69</v>
      </c>
      <c r="E169" s="257">
        <v>1649720</v>
      </c>
      <c r="F169" s="257">
        <v>1799237.9</v>
      </c>
      <c r="G169" s="257">
        <v>1185377.8999999999</v>
      </c>
      <c r="H169" s="257">
        <v>0</v>
      </c>
      <c r="I169" s="257">
        <v>348849.83</v>
      </c>
      <c r="J169" s="257">
        <v>273492</v>
      </c>
      <c r="K169" s="257">
        <v>0</v>
      </c>
      <c r="L169" s="257">
        <v>0</v>
      </c>
      <c r="M169" s="279">
        <v>1176896.07</v>
      </c>
      <c r="N169" s="257">
        <v>563036.06999999995</v>
      </c>
    </row>
    <row r="170" spans="1:14" s="143" customFormat="1" hidden="1" x14ac:dyDescent="0.25">
      <c r="A170" s="143" t="s">
        <v>706</v>
      </c>
      <c r="B170" s="143" t="s">
        <v>110</v>
      </c>
      <c r="C170" s="143" t="s">
        <v>111</v>
      </c>
      <c r="D170" s="143" t="s">
        <v>69</v>
      </c>
      <c r="E170" s="257">
        <v>43119530</v>
      </c>
      <c r="F170" s="257">
        <v>43119530</v>
      </c>
      <c r="G170" s="257">
        <v>21559765</v>
      </c>
      <c r="H170" s="257">
        <v>0</v>
      </c>
      <c r="I170" s="257">
        <v>3451778.86</v>
      </c>
      <c r="J170" s="257">
        <v>4770546.96</v>
      </c>
      <c r="K170" s="257">
        <v>0</v>
      </c>
      <c r="L170" s="257">
        <v>0</v>
      </c>
      <c r="M170" s="279">
        <v>34897204.18</v>
      </c>
      <c r="N170" s="257">
        <v>13337439.18</v>
      </c>
    </row>
    <row r="171" spans="1:14" s="143" customFormat="1" hidden="1" x14ac:dyDescent="0.25">
      <c r="A171" s="143" t="s">
        <v>706</v>
      </c>
      <c r="B171" s="143" t="s">
        <v>112</v>
      </c>
      <c r="C171" s="143" t="s">
        <v>113</v>
      </c>
      <c r="D171" s="143" t="s">
        <v>69</v>
      </c>
      <c r="E171" s="257">
        <v>114662680</v>
      </c>
      <c r="F171" s="257">
        <v>114662680</v>
      </c>
      <c r="G171" s="257">
        <v>57331340</v>
      </c>
      <c r="H171" s="257">
        <v>0</v>
      </c>
      <c r="I171" s="257">
        <v>12661126.960000001</v>
      </c>
      <c r="J171" s="257">
        <v>501379.04</v>
      </c>
      <c r="K171" s="257">
        <v>12382428.279999999</v>
      </c>
      <c r="L171" s="257">
        <v>12134788.460000001</v>
      </c>
      <c r="M171" s="279">
        <v>89117745.719999999</v>
      </c>
      <c r="N171" s="257">
        <v>31786405.719999999</v>
      </c>
    </row>
    <row r="172" spans="1:14" s="143" customFormat="1" hidden="1" x14ac:dyDescent="0.25">
      <c r="A172" s="143" t="s">
        <v>706</v>
      </c>
      <c r="B172" s="143" t="s">
        <v>114</v>
      </c>
      <c r="C172" s="143" t="s">
        <v>115</v>
      </c>
      <c r="D172" s="143" t="s">
        <v>69</v>
      </c>
      <c r="E172" s="257">
        <v>19200000</v>
      </c>
      <c r="F172" s="257">
        <v>19200000</v>
      </c>
      <c r="G172" s="257">
        <v>9600000</v>
      </c>
      <c r="H172" s="257">
        <v>0</v>
      </c>
      <c r="I172" s="257">
        <v>2906707.01</v>
      </c>
      <c r="J172" s="257">
        <v>0</v>
      </c>
      <c r="K172" s="257">
        <v>1858214</v>
      </c>
      <c r="L172" s="257">
        <v>1858214</v>
      </c>
      <c r="M172" s="279">
        <v>14435078.99</v>
      </c>
      <c r="N172" s="257">
        <v>4835078.99</v>
      </c>
    </row>
    <row r="173" spans="1:14" s="143" customFormat="1" hidden="1" x14ac:dyDescent="0.25">
      <c r="A173" s="143" t="s">
        <v>706</v>
      </c>
      <c r="B173" s="143" t="s">
        <v>116</v>
      </c>
      <c r="C173" s="143" t="s">
        <v>117</v>
      </c>
      <c r="D173" s="143" t="s">
        <v>69</v>
      </c>
      <c r="E173" s="257">
        <v>37800000</v>
      </c>
      <c r="F173" s="257">
        <v>37800000</v>
      </c>
      <c r="G173" s="257">
        <v>18900000</v>
      </c>
      <c r="H173" s="257">
        <v>0</v>
      </c>
      <c r="I173" s="257">
        <v>2087400</v>
      </c>
      <c r="J173" s="257">
        <v>0</v>
      </c>
      <c r="K173" s="257">
        <v>6195905</v>
      </c>
      <c r="L173" s="257">
        <v>6195905</v>
      </c>
      <c r="M173" s="279">
        <v>29516695</v>
      </c>
      <c r="N173" s="257">
        <v>10616695</v>
      </c>
    </row>
    <row r="174" spans="1:14" s="143" customFormat="1" hidden="1" x14ac:dyDescent="0.25">
      <c r="A174" s="143" t="s">
        <v>706</v>
      </c>
      <c r="B174" s="143" t="s">
        <v>118</v>
      </c>
      <c r="C174" s="143" t="s">
        <v>119</v>
      </c>
      <c r="D174" s="143" t="s">
        <v>69</v>
      </c>
      <c r="E174" s="257">
        <v>7200000</v>
      </c>
      <c r="F174" s="257">
        <v>7200000</v>
      </c>
      <c r="G174" s="257">
        <v>3600000</v>
      </c>
      <c r="H174" s="257">
        <v>0</v>
      </c>
      <c r="I174" s="257">
        <v>717680</v>
      </c>
      <c r="J174" s="257">
        <v>0</v>
      </c>
      <c r="K174" s="257">
        <v>474910</v>
      </c>
      <c r="L174" s="257">
        <v>474910</v>
      </c>
      <c r="M174" s="279">
        <v>6007410</v>
      </c>
      <c r="N174" s="257">
        <v>2407410</v>
      </c>
    </row>
    <row r="175" spans="1:14" s="143" customFormat="1" hidden="1" x14ac:dyDescent="0.25">
      <c r="A175" s="143" t="s">
        <v>706</v>
      </c>
      <c r="B175" s="143" t="s">
        <v>120</v>
      </c>
      <c r="C175" s="143" t="s">
        <v>121</v>
      </c>
      <c r="D175" s="143" t="s">
        <v>69</v>
      </c>
      <c r="E175" s="257">
        <v>45662680</v>
      </c>
      <c r="F175" s="257">
        <v>45662680</v>
      </c>
      <c r="G175" s="257">
        <v>22831340</v>
      </c>
      <c r="H175" s="257">
        <v>0</v>
      </c>
      <c r="I175" s="257">
        <v>6949339.9500000002</v>
      </c>
      <c r="J175" s="257">
        <v>501379.04</v>
      </c>
      <c r="K175" s="257">
        <v>3408298.43</v>
      </c>
      <c r="L175" s="257">
        <v>3160658.61</v>
      </c>
      <c r="M175" s="279">
        <v>34803662.579999998</v>
      </c>
      <c r="N175" s="257">
        <v>11972322.58</v>
      </c>
    </row>
    <row r="176" spans="1:14" s="143" customFormat="1" hidden="1" x14ac:dyDescent="0.25">
      <c r="A176" s="143" t="s">
        <v>706</v>
      </c>
      <c r="B176" s="143" t="s">
        <v>122</v>
      </c>
      <c r="C176" s="143" t="s">
        <v>123</v>
      </c>
      <c r="D176" s="143" t="s">
        <v>69</v>
      </c>
      <c r="E176" s="257">
        <v>4800000</v>
      </c>
      <c r="F176" s="257">
        <v>4800000</v>
      </c>
      <c r="G176" s="257">
        <v>2400000</v>
      </c>
      <c r="H176" s="257">
        <v>0</v>
      </c>
      <c r="I176" s="257">
        <v>0</v>
      </c>
      <c r="J176" s="257">
        <v>0</v>
      </c>
      <c r="K176" s="257">
        <v>445100.85</v>
      </c>
      <c r="L176" s="257">
        <v>445100.85</v>
      </c>
      <c r="M176" s="279">
        <v>4354899.1500000004</v>
      </c>
      <c r="N176" s="257">
        <v>1954899.15</v>
      </c>
    </row>
    <row r="177" spans="1:14" s="143" customFormat="1" hidden="1" x14ac:dyDescent="0.25">
      <c r="A177" s="143" t="s">
        <v>706</v>
      </c>
      <c r="B177" s="143" t="s">
        <v>124</v>
      </c>
      <c r="C177" s="143" t="s">
        <v>125</v>
      </c>
      <c r="D177" s="143" t="s">
        <v>69</v>
      </c>
      <c r="E177" s="257">
        <v>5424230</v>
      </c>
      <c r="F177" s="257">
        <v>5424230</v>
      </c>
      <c r="G177" s="257">
        <v>3024666</v>
      </c>
      <c r="H177" s="257">
        <v>0</v>
      </c>
      <c r="I177" s="257">
        <v>623633.12</v>
      </c>
      <c r="J177" s="257">
        <v>20675.419999999998</v>
      </c>
      <c r="K177" s="257">
        <v>218813.55</v>
      </c>
      <c r="L177" s="257">
        <v>218813.55</v>
      </c>
      <c r="M177" s="279">
        <v>4561107.91</v>
      </c>
      <c r="N177" s="257">
        <v>2161543.91</v>
      </c>
    </row>
    <row r="178" spans="1:14" s="143" customFormat="1" hidden="1" x14ac:dyDescent="0.25">
      <c r="A178" s="143" t="s">
        <v>706</v>
      </c>
      <c r="B178" s="143" t="s">
        <v>126</v>
      </c>
      <c r="C178" s="143" t="s">
        <v>127</v>
      </c>
      <c r="D178" s="143" t="s">
        <v>69</v>
      </c>
      <c r="E178" s="257">
        <v>500000</v>
      </c>
      <c r="F178" s="257">
        <v>500000</v>
      </c>
      <c r="G178" s="257">
        <v>493500</v>
      </c>
      <c r="H178" s="257">
        <v>0</v>
      </c>
      <c r="I178" s="257">
        <v>248896.8</v>
      </c>
      <c r="J178" s="257">
        <v>0</v>
      </c>
      <c r="K178" s="257">
        <v>110530</v>
      </c>
      <c r="L178" s="257">
        <v>110530</v>
      </c>
      <c r="M178" s="279">
        <v>140573.20000000001</v>
      </c>
      <c r="N178" s="257">
        <v>134073.20000000001</v>
      </c>
    </row>
    <row r="179" spans="1:14" s="143" customFormat="1" hidden="1" x14ac:dyDescent="0.25">
      <c r="A179" s="143" t="s">
        <v>706</v>
      </c>
      <c r="B179" s="143" t="s">
        <v>128</v>
      </c>
      <c r="C179" s="143" t="s">
        <v>129</v>
      </c>
      <c r="D179" s="143" t="s">
        <v>69</v>
      </c>
      <c r="E179" s="257">
        <v>1000000</v>
      </c>
      <c r="F179" s="257">
        <v>1000000</v>
      </c>
      <c r="G179" s="257">
        <v>500000</v>
      </c>
      <c r="H179" s="257">
        <v>0</v>
      </c>
      <c r="I179" s="257">
        <v>95600</v>
      </c>
      <c r="J179" s="257">
        <v>0</v>
      </c>
      <c r="K179" s="257">
        <v>12015</v>
      </c>
      <c r="L179" s="257">
        <v>12015</v>
      </c>
      <c r="M179" s="279">
        <v>892385</v>
      </c>
      <c r="N179" s="257">
        <v>392385</v>
      </c>
    </row>
    <row r="180" spans="1:14" s="143" customFormat="1" hidden="1" x14ac:dyDescent="0.25">
      <c r="A180" s="143" t="s">
        <v>706</v>
      </c>
      <c r="B180" s="143" t="s">
        <v>130</v>
      </c>
      <c r="C180" s="143" t="s">
        <v>131</v>
      </c>
      <c r="D180" s="143" t="s">
        <v>69</v>
      </c>
      <c r="E180" s="257">
        <v>138100</v>
      </c>
      <c r="F180" s="257">
        <v>138100</v>
      </c>
      <c r="G180" s="257">
        <v>138100</v>
      </c>
      <c r="H180" s="257">
        <v>0</v>
      </c>
      <c r="I180" s="257">
        <v>91863.99</v>
      </c>
      <c r="J180" s="257">
        <v>0</v>
      </c>
      <c r="K180" s="257">
        <v>22650.85</v>
      </c>
      <c r="L180" s="257">
        <v>22650.85</v>
      </c>
      <c r="M180" s="279">
        <v>23585.16</v>
      </c>
      <c r="N180" s="257">
        <v>23585.16</v>
      </c>
    </row>
    <row r="181" spans="1:14" s="143" customFormat="1" hidden="1" x14ac:dyDescent="0.25">
      <c r="A181" s="143" t="s">
        <v>706</v>
      </c>
      <c r="B181" s="143" t="s">
        <v>132</v>
      </c>
      <c r="C181" s="143" t="s">
        <v>133</v>
      </c>
      <c r="D181" s="143" t="s">
        <v>69</v>
      </c>
      <c r="E181" s="257">
        <v>3786130</v>
      </c>
      <c r="F181" s="257">
        <v>3786130</v>
      </c>
      <c r="G181" s="257">
        <v>1893066</v>
      </c>
      <c r="H181" s="257">
        <v>0</v>
      </c>
      <c r="I181" s="257">
        <v>187272.33</v>
      </c>
      <c r="J181" s="257">
        <v>20675.419999999998</v>
      </c>
      <c r="K181" s="257">
        <v>73617.7</v>
      </c>
      <c r="L181" s="257">
        <v>73617.7</v>
      </c>
      <c r="M181" s="279">
        <v>3504564.55</v>
      </c>
      <c r="N181" s="257">
        <v>1611500.55</v>
      </c>
    </row>
    <row r="182" spans="1:14" s="143" customFormat="1" hidden="1" x14ac:dyDescent="0.25">
      <c r="A182" s="143" t="s">
        <v>706</v>
      </c>
      <c r="B182" s="143" t="s">
        <v>134</v>
      </c>
      <c r="C182" s="143" t="s">
        <v>135</v>
      </c>
      <c r="D182" s="143" t="s">
        <v>69</v>
      </c>
      <c r="E182" s="257">
        <v>385113260</v>
      </c>
      <c r="F182" s="257">
        <v>385113260</v>
      </c>
      <c r="G182" s="257">
        <v>204256630</v>
      </c>
      <c r="H182" s="257">
        <v>0</v>
      </c>
      <c r="I182" s="257">
        <v>37368969.350000001</v>
      </c>
      <c r="J182" s="257">
        <v>287215.90999999997</v>
      </c>
      <c r="K182" s="257">
        <v>69077953</v>
      </c>
      <c r="L182" s="257">
        <v>32856476.5</v>
      </c>
      <c r="M182" s="279">
        <v>278379121.74000001</v>
      </c>
      <c r="N182" s="257">
        <v>97522491.739999995</v>
      </c>
    </row>
    <row r="183" spans="1:14" s="143" customFormat="1" hidden="1" x14ac:dyDescent="0.25">
      <c r="A183" s="143" t="s">
        <v>706</v>
      </c>
      <c r="B183" s="143" t="s">
        <v>306</v>
      </c>
      <c r="C183" s="143" t="s">
        <v>307</v>
      </c>
      <c r="D183" s="143" t="s">
        <v>69</v>
      </c>
      <c r="E183" s="257">
        <v>2000000</v>
      </c>
      <c r="F183" s="257">
        <v>2000000</v>
      </c>
      <c r="G183" s="257">
        <v>1000000</v>
      </c>
      <c r="H183" s="257">
        <v>0</v>
      </c>
      <c r="I183" s="257">
        <v>0</v>
      </c>
      <c r="J183" s="257">
        <v>0</v>
      </c>
      <c r="K183" s="257">
        <v>0</v>
      </c>
      <c r="L183" s="257">
        <v>0</v>
      </c>
      <c r="M183" s="279">
        <v>2000000</v>
      </c>
      <c r="N183" s="257">
        <v>1000000</v>
      </c>
    </row>
    <row r="184" spans="1:14" s="143" customFormat="1" hidden="1" x14ac:dyDescent="0.25">
      <c r="A184" s="143" t="s">
        <v>706</v>
      </c>
      <c r="B184" s="143" t="s">
        <v>136</v>
      </c>
      <c r="C184" s="143" t="s">
        <v>137</v>
      </c>
      <c r="D184" s="143" t="s">
        <v>69</v>
      </c>
      <c r="E184" s="257">
        <v>373281100</v>
      </c>
      <c r="F184" s="257">
        <v>373281100</v>
      </c>
      <c r="G184" s="257">
        <v>194240550</v>
      </c>
      <c r="H184" s="257">
        <v>0</v>
      </c>
      <c r="I184" s="257">
        <v>35139476.490000002</v>
      </c>
      <c r="J184" s="257">
        <v>0</v>
      </c>
      <c r="K184" s="257">
        <v>65662953</v>
      </c>
      <c r="L184" s="257">
        <v>32831476.5</v>
      </c>
      <c r="M184" s="279">
        <v>272478670.50999999</v>
      </c>
      <c r="N184" s="257">
        <v>93438120.510000005</v>
      </c>
    </row>
    <row r="185" spans="1:14" s="143" customFormat="1" hidden="1" x14ac:dyDescent="0.25">
      <c r="A185" s="143" t="s">
        <v>706</v>
      </c>
      <c r="B185" s="143" t="s">
        <v>138</v>
      </c>
      <c r="C185" s="143" t="s">
        <v>139</v>
      </c>
      <c r="D185" s="143" t="s">
        <v>69</v>
      </c>
      <c r="E185" s="257">
        <v>9832160</v>
      </c>
      <c r="F185" s="257">
        <v>9832160</v>
      </c>
      <c r="G185" s="257">
        <v>9016080</v>
      </c>
      <c r="H185" s="257">
        <v>0</v>
      </c>
      <c r="I185" s="257">
        <v>2229492.86</v>
      </c>
      <c r="J185" s="257">
        <v>287215.90999999997</v>
      </c>
      <c r="K185" s="257">
        <v>3415000</v>
      </c>
      <c r="L185" s="257">
        <v>25000</v>
      </c>
      <c r="M185" s="279">
        <v>3900451.23</v>
      </c>
      <c r="N185" s="257">
        <v>3084371.23</v>
      </c>
    </row>
    <row r="186" spans="1:14" s="143" customFormat="1" hidden="1" x14ac:dyDescent="0.25">
      <c r="A186" s="143" t="s">
        <v>706</v>
      </c>
      <c r="B186" s="143" t="s">
        <v>140</v>
      </c>
      <c r="C186" s="143" t="s">
        <v>141</v>
      </c>
      <c r="D186" s="143" t="s">
        <v>69</v>
      </c>
      <c r="E186" s="257">
        <v>35800000</v>
      </c>
      <c r="F186" s="257">
        <v>35800000</v>
      </c>
      <c r="G186" s="257">
        <v>20921616</v>
      </c>
      <c r="H186" s="257">
        <v>72700</v>
      </c>
      <c r="I186" s="257">
        <v>7253918.2699999996</v>
      </c>
      <c r="J186" s="257">
        <v>0</v>
      </c>
      <c r="K186" s="257">
        <v>4201981.7300000004</v>
      </c>
      <c r="L186" s="257">
        <v>4201981.7300000004</v>
      </c>
      <c r="M186" s="279">
        <v>24271400</v>
      </c>
      <c r="N186" s="257">
        <v>9393016</v>
      </c>
    </row>
    <row r="187" spans="1:14" s="143" customFormat="1" hidden="1" x14ac:dyDescent="0.25">
      <c r="A187" s="143" t="s">
        <v>706</v>
      </c>
      <c r="B187" s="143" t="s">
        <v>142</v>
      </c>
      <c r="C187" s="143" t="s">
        <v>143</v>
      </c>
      <c r="D187" s="143" t="s">
        <v>69</v>
      </c>
      <c r="E187" s="257">
        <v>1800000</v>
      </c>
      <c r="F187" s="257">
        <v>1800000</v>
      </c>
      <c r="G187" s="257">
        <v>1262575</v>
      </c>
      <c r="H187" s="257">
        <v>0</v>
      </c>
      <c r="I187" s="257">
        <v>462118.27</v>
      </c>
      <c r="J187" s="257">
        <v>0</v>
      </c>
      <c r="K187" s="257">
        <v>237881.73</v>
      </c>
      <c r="L187" s="257">
        <v>237881.73</v>
      </c>
      <c r="M187" s="279">
        <v>1100000</v>
      </c>
      <c r="N187" s="257">
        <v>562575</v>
      </c>
    </row>
    <row r="188" spans="1:14" s="143" customFormat="1" hidden="1" x14ac:dyDescent="0.25">
      <c r="A188" s="143" t="s">
        <v>706</v>
      </c>
      <c r="B188" s="143" t="s">
        <v>144</v>
      </c>
      <c r="C188" s="143" t="s">
        <v>145</v>
      </c>
      <c r="D188" s="143" t="s">
        <v>69</v>
      </c>
      <c r="E188" s="257">
        <v>34000000</v>
      </c>
      <c r="F188" s="257">
        <v>34000000</v>
      </c>
      <c r="G188" s="257">
        <v>19659041</v>
      </c>
      <c r="H188" s="257">
        <v>72700</v>
      </c>
      <c r="I188" s="257">
        <v>6791800</v>
      </c>
      <c r="J188" s="257">
        <v>0</v>
      </c>
      <c r="K188" s="257">
        <v>3964100</v>
      </c>
      <c r="L188" s="257">
        <v>3964100</v>
      </c>
      <c r="M188" s="279">
        <v>23171400</v>
      </c>
      <c r="N188" s="257">
        <v>8830441</v>
      </c>
    </row>
    <row r="189" spans="1:14" s="143" customFormat="1" hidden="1" x14ac:dyDescent="0.25">
      <c r="A189" s="143" t="s">
        <v>706</v>
      </c>
      <c r="B189" s="143" t="s">
        <v>150</v>
      </c>
      <c r="C189" s="143" t="s">
        <v>151</v>
      </c>
      <c r="D189" s="143" t="s">
        <v>69</v>
      </c>
      <c r="E189" s="257">
        <v>113000000</v>
      </c>
      <c r="F189" s="257">
        <v>113000000</v>
      </c>
      <c r="G189" s="257">
        <v>48692450</v>
      </c>
      <c r="H189" s="257">
        <v>0</v>
      </c>
      <c r="I189" s="257">
        <v>6138093.54</v>
      </c>
      <c r="J189" s="257">
        <v>0</v>
      </c>
      <c r="K189" s="257">
        <v>13652150</v>
      </c>
      <c r="L189" s="257">
        <v>13652150</v>
      </c>
      <c r="M189" s="279">
        <v>93209756.459999993</v>
      </c>
      <c r="N189" s="257">
        <v>28902206.460000001</v>
      </c>
    </row>
    <row r="190" spans="1:14" s="143" customFormat="1" hidden="1" x14ac:dyDescent="0.25">
      <c r="A190" s="143" t="s">
        <v>706</v>
      </c>
      <c r="B190" s="143" t="s">
        <v>152</v>
      </c>
      <c r="C190" s="143" t="s">
        <v>153</v>
      </c>
      <c r="D190" s="143" t="s">
        <v>69</v>
      </c>
      <c r="E190" s="257">
        <v>113000000</v>
      </c>
      <c r="F190" s="257">
        <v>113000000</v>
      </c>
      <c r="G190" s="257">
        <v>48692450</v>
      </c>
      <c r="H190" s="257">
        <v>0</v>
      </c>
      <c r="I190" s="257">
        <v>6138093.54</v>
      </c>
      <c r="J190" s="257">
        <v>0</v>
      </c>
      <c r="K190" s="257">
        <v>13652150</v>
      </c>
      <c r="L190" s="257">
        <v>13652150</v>
      </c>
      <c r="M190" s="279">
        <v>93209756.459999993</v>
      </c>
      <c r="N190" s="257">
        <v>28902206.460000001</v>
      </c>
    </row>
    <row r="191" spans="1:14" s="143" customFormat="1" hidden="1" x14ac:dyDescent="0.25">
      <c r="A191" s="143" t="s">
        <v>706</v>
      </c>
      <c r="B191" s="143" t="s">
        <v>162</v>
      </c>
      <c r="C191" s="143" t="s">
        <v>163</v>
      </c>
      <c r="D191" s="143" t="s">
        <v>69</v>
      </c>
      <c r="E191" s="257">
        <v>119064370</v>
      </c>
      <c r="F191" s="257">
        <v>118914852.09999999</v>
      </c>
      <c r="G191" s="257">
        <v>59382668.100000001</v>
      </c>
      <c r="H191" s="257">
        <v>0</v>
      </c>
      <c r="I191" s="257">
        <v>11710645</v>
      </c>
      <c r="J191" s="257">
        <v>1991000</v>
      </c>
      <c r="K191" s="257">
        <v>1555993.14</v>
      </c>
      <c r="L191" s="257">
        <v>1555993.14</v>
      </c>
      <c r="M191" s="279">
        <v>103657213.95999999</v>
      </c>
      <c r="N191" s="257">
        <v>44125029.960000001</v>
      </c>
    </row>
    <row r="192" spans="1:14" s="143" customFormat="1" hidden="1" x14ac:dyDescent="0.25">
      <c r="A192" s="143" t="s">
        <v>706</v>
      </c>
      <c r="B192" s="143" t="s">
        <v>310</v>
      </c>
      <c r="C192" s="143" t="s">
        <v>311</v>
      </c>
      <c r="D192" s="143" t="s">
        <v>69</v>
      </c>
      <c r="E192" s="257">
        <v>25816590</v>
      </c>
      <c r="F192" s="257">
        <v>25816590</v>
      </c>
      <c r="G192" s="257">
        <v>12908296</v>
      </c>
      <c r="H192" s="257">
        <v>0</v>
      </c>
      <c r="I192" s="257">
        <v>1104052.5</v>
      </c>
      <c r="J192" s="257">
        <v>311000</v>
      </c>
      <c r="K192" s="257">
        <v>0</v>
      </c>
      <c r="L192" s="257">
        <v>0</v>
      </c>
      <c r="M192" s="279">
        <v>24401537.5</v>
      </c>
      <c r="N192" s="257">
        <v>11493243.5</v>
      </c>
    </row>
    <row r="193" spans="1:14" s="143" customFormat="1" hidden="1" x14ac:dyDescent="0.25">
      <c r="A193" s="143" t="s">
        <v>706</v>
      </c>
      <c r="B193" s="143" t="s">
        <v>164</v>
      </c>
      <c r="C193" s="143" t="s">
        <v>165</v>
      </c>
      <c r="D193" s="143" t="s">
        <v>69</v>
      </c>
      <c r="E193" s="257">
        <v>4358000</v>
      </c>
      <c r="F193" s="257">
        <v>4358000</v>
      </c>
      <c r="G193" s="257">
        <v>2179000</v>
      </c>
      <c r="H193" s="257">
        <v>0</v>
      </c>
      <c r="I193" s="257">
        <v>805062.5</v>
      </c>
      <c r="J193" s="257">
        <v>0</v>
      </c>
      <c r="K193" s="257">
        <v>0</v>
      </c>
      <c r="L193" s="257">
        <v>0</v>
      </c>
      <c r="M193" s="279">
        <v>3552937.5</v>
      </c>
      <c r="N193" s="257">
        <v>1373937.5</v>
      </c>
    </row>
    <row r="194" spans="1:14" s="143" customFormat="1" hidden="1" x14ac:dyDescent="0.25">
      <c r="A194" s="143" t="s">
        <v>706</v>
      </c>
      <c r="B194" s="143" t="s">
        <v>166</v>
      </c>
      <c r="C194" s="143" t="s">
        <v>167</v>
      </c>
      <c r="D194" s="143" t="s">
        <v>69</v>
      </c>
      <c r="E194" s="257">
        <v>28300000</v>
      </c>
      <c r="F194" s="257">
        <v>28150482.100000001</v>
      </c>
      <c r="G194" s="257">
        <v>14000482.1</v>
      </c>
      <c r="H194" s="257">
        <v>0</v>
      </c>
      <c r="I194" s="257">
        <v>3545283.31</v>
      </c>
      <c r="J194" s="257">
        <v>0</v>
      </c>
      <c r="K194" s="257">
        <v>1488193.14</v>
      </c>
      <c r="L194" s="257">
        <v>1488193.14</v>
      </c>
      <c r="M194" s="279">
        <v>23117005.649999999</v>
      </c>
      <c r="N194" s="257">
        <v>8967005.6500000004</v>
      </c>
    </row>
    <row r="195" spans="1:14" s="143" customFormat="1" hidden="1" x14ac:dyDescent="0.25">
      <c r="A195" s="143" t="s">
        <v>706</v>
      </c>
      <c r="B195" s="143" t="s">
        <v>312</v>
      </c>
      <c r="C195" s="143" t="s">
        <v>313</v>
      </c>
      <c r="D195" s="143" t="s">
        <v>69</v>
      </c>
      <c r="E195" s="257">
        <v>8695420</v>
      </c>
      <c r="F195" s="257">
        <v>8695420</v>
      </c>
      <c r="G195" s="257">
        <v>4347710</v>
      </c>
      <c r="H195" s="257">
        <v>0</v>
      </c>
      <c r="I195" s="257">
        <v>1142477.33</v>
      </c>
      <c r="J195" s="257">
        <v>0</v>
      </c>
      <c r="K195" s="257">
        <v>0</v>
      </c>
      <c r="L195" s="257">
        <v>0</v>
      </c>
      <c r="M195" s="279">
        <v>7552942.6699999999</v>
      </c>
      <c r="N195" s="257">
        <v>3205232.67</v>
      </c>
    </row>
    <row r="196" spans="1:14" s="143" customFormat="1" hidden="1" x14ac:dyDescent="0.25">
      <c r="A196" s="143" t="s">
        <v>706</v>
      </c>
      <c r="B196" s="143" t="s">
        <v>168</v>
      </c>
      <c r="C196" s="143" t="s">
        <v>169</v>
      </c>
      <c r="D196" s="143" t="s">
        <v>69</v>
      </c>
      <c r="E196" s="257">
        <v>19689160</v>
      </c>
      <c r="F196" s="257">
        <v>19689160</v>
      </c>
      <c r="G196" s="257">
        <v>9844580</v>
      </c>
      <c r="H196" s="257">
        <v>0</v>
      </c>
      <c r="I196" s="257">
        <v>1890301.44</v>
      </c>
      <c r="J196" s="257">
        <v>60000</v>
      </c>
      <c r="K196" s="257">
        <v>67800</v>
      </c>
      <c r="L196" s="257">
        <v>67800</v>
      </c>
      <c r="M196" s="279">
        <v>17671058.559999999</v>
      </c>
      <c r="N196" s="257">
        <v>7826478.5599999996</v>
      </c>
    </row>
    <row r="197" spans="1:14" s="143" customFormat="1" hidden="1" x14ac:dyDescent="0.25">
      <c r="A197" s="143" t="s">
        <v>706</v>
      </c>
      <c r="B197" s="143" t="s">
        <v>170</v>
      </c>
      <c r="C197" s="143" t="s">
        <v>171</v>
      </c>
      <c r="D197" s="143" t="s">
        <v>69</v>
      </c>
      <c r="E197" s="257">
        <v>26663380</v>
      </c>
      <c r="F197" s="257">
        <v>26663380</v>
      </c>
      <c r="G197" s="257">
        <v>13331690</v>
      </c>
      <c r="H197" s="257">
        <v>0</v>
      </c>
      <c r="I197" s="257">
        <v>2627721.67</v>
      </c>
      <c r="J197" s="257">
        <v>1620000</v>
      </c>
      <c r="K197" s="257">
        <v>0</v>
      </c>
      <c r="L197" s="257">
        <v>0</v>
      </c>
      <c r="M197" s="279">
        <v>22415658.329999998</v>
      </c>
      <c r="N197" s="257">
        <v>9083968.3300000001</v>
      </c>
    </row>
    <row r="198" spans="1:14" s="143" customFormat="1" hidden="1" x14ac:dyDescent="0.25">
      <c r="A198" s="143" t="s">
        <v>706</v>
      </c>
      <c r="B198" s="143" t="s">
        <v>172</v>
      </c>
      <c r="C198" s="143" t="s">
        <v>173</v>
      </c>
      <c r="D198" s="143" t="s">
        <v>69</v>
      </c>
      <c r="E198" s="257">
        <v>5541820</v>
      </c>
      <c r="F198" s="257">
        <v>5541820</v>
      </c>
      <c r="G198" s="257">
        <v>2770910</v>
      </c>
      <c r="H198" s="257">
        <v>0</v>
      </c>
      <c r="I198" s="257">
        <v>595746.25</v>
      </c>
      <c r="J198" s="257">
        <v>0</v>
      </c>
      <c r="K198" s="257">
        <v>0</v>
      </c>
      <c r="L198" s="257">
        <v>0</v>
      </c>
      <c r="M198" s="279">
        <v>4946073.75</v>
      </c>
      <c r="N198" s="257">
        <v>2175163.75</v>
      </c>
    </row>
    <row r="199" spans="1:14" s="143" customFormat="1" hidden="1" x14ac:dyDescent="0.25">
      <c r="A199" s="143" t="s">
        <v>706</v>
      </c>
      <c r="B199" s="143" t="s">
        <v>174</v>
      </c>
      <c r="C199" s="143" t="s">
        <v>175</v>
      </c>
      <c r="D199" s="143" t="s">
        <v>69</v>
      </c>
      <c r="E199" s="257">
        <v>1525000</v>
      </c>
      <c r="F199" s="257">
        <v>1525000</v>
      </c>
      <c r="G199" s="257">
        <v>973500</v>
      </c>
      <c r="H199" s="257">
        <v>0</v>
      </c>
      <c r="I199" s="257">
        <v>586167</v>
      </c>
      <c r="J199" s="257">
        <v>0</v>
      </c>
      <c r="K199" s="257">
        <v>1375</v>
      </c>
      <c r="L199" s="257">
        <v>1375</v>
      </c>
      <c r="M199" s="279">
        <v>937458</v>
      </c>
      <c r="N199" s="257">
        <v>385958</v>
      </c>
    </row>
    <row r="200" spans="1:14" s="143" customFormat="1" hidden="1" x14ac:dyDescent="0.25">
      <c r="A200" s="143" t="s">
        <v>706</v>
      </c>
      <c r="B200" s="143" t="s">
        <v>176</v>
      </c>
      <c r="C200" s="143" t="s">
        <v>177</v>
      </c>
      <c r="D200" s="143" t="s">
        <v>69</v>
      </c>
      <c r="E200" s="257">
        <v>1525000</v>
      </c>
      <c r="F200" s="257">
        <v>1525000</v>
      </c>
      <c r="G200" s="257">
        <v>973500</v>
      </c>
      <c r="H200" s="257">
        <v>0</v>
      </c>
      <c r="I200" s="257">
        <v>586167</v>
      </c>
      <c r="J200" s="257">
        <v>0</v>
      </c>
      <c r="K200" s="257">
        <v>1375</v>
      </c>
      <c r="L200" s="257">
        <v>1375</v>
      </c>
      <c r="M200" s="279">
        <v>937458</v>
      </c>
      <c r="N200" s="257">
        <v>385958</v>
      </c>
    </row>
    <row r="201" spans="1:14" s="143" customFormat="1" hidden="1" x14ac:dyDescent="0.25">
      <c r="A201" s="143" t="s">
        <v>706</v>
      </c>
      <c r="B201" s="143" t="s">
        <v>178</v>
      </c>
      <c r="C201" s="143" t="s">
        <v>179</v>
      </c>
      <c r="D201" s="143" t="s">
        <v>69</v>
      </c>
      <c r="E201" s="257">
        <v>2200000</v>
      </c>
      <c r="F201" s="257">
        <v>2200000</v>
      </c>
      <c r="G201" s="257">
        <v>1200000</v>
      </c>
      <c r="H201" s="257">
        <v>0</v>
      </c>
      <c r="I201" s="257">
        <v>150000</v>
      </c>
      <c r="J201" s="257">
        <v>0</v>
      </c>
      <c r="K201" s="257">
        <v>0</v>
      </c>
      <c r="L201" s="257">
        <v>0</v>
      </c>
      <c r="M201" s="279">
        <v>2050000</v>
      </c>
      <c r="N201" s="257">
        <v>1050000</v>
      </c>
    </row>
    <row r="202" spans="1:14" s="143" customFormat="1" hidden="1" x14ac:dyDescent="0.25">
      <c r="A202" s="143" t="s">
        <v>706</v>
      </c>
      <c r="B202" s="143" t="s">
        <v>180</v>
      </c>
      <c r="C202" s="143" t="s">
        <v>181</v>
      </c>
      <c r="D202" s="143" t="s">
        <v>69</v>
      </c>
      <c r="E202" s="257">
        <v>200000</v>
      </c>
      <c r="F202" s="257">
        <v>200000</v>
      </c>
      <c r="G202" s="257">
        <v>200000</v>
      </c>
      <c r="H202" s="257">
        <v>0</v>
      </c>
      <c r="I202" s="257">
        <v>150000</v>
      </c>
      <c r="J202" s="257">
        <v>0</v>
      </c>
      <c r="K202" s="257">
        <v>0</v>
      </c>
      <c r="L202" s="257">
        <v>0</v>
      </c>
      <c r="M202" s="279">
        <v>50000</v>
      </c>
      <c r="N202" s="257">
        <v>50000</v>
      </c>
    </row>
    <row r="203" spans="1:14" s="143" customFormat="1" hidden="1" x14ac:dyDescent="0.25">
      <c r="A203" s="143" t="s">
        <v>706</v>
      </c>
      <c r="B203" s="143" t="s">
        <v>182</v>
      </c>
      <c r="C203" s="143" t="s">
        <v>183</v>
      </c>
      <c r="D203" s="143" t="s">
        <v>69</v>
      </c>
      <c r="E203" s="257">
        <v>2000000</v>
      </c>
      <c r="F203" s="257">
        <v>2000000</v>
      </c>
      <c r="G203" s="257">
        <v>1000000</v>
      </c>
      <c r="H203" s="257">
        <v>0</v>
      </c>
      <c r="I203" s="257">
        <v>0</v>
      </c>
      <c r="J203" s="257">
        <v>0</v>
      </c>
      <c r="K203" s="257">
        <v>0</v>
      </c>
      <c r="L203" s="257">
        <v>0</v>
      </c>
      <c r="M203" s="279">
        <v>2000000</v>
      </c>
      <c r="N203" s="257">
        <v>1000000</v>
      </c>
    </row>
    <row r="204" spans="1:14" s="143" customFormat="1" hidden="1" x14ac:dyDescent="0.25">
      <c r="A204" s="143" t="s">
        <v>706</v>
      </c>
      <c r="B204" s="143" t="s">
        <v>184</v>
      </c>
      <c r="C204" s="143" t="s">
        <v>185</v>
      </c>
      <c r="D204" s="143" t="s">
        <v>69</v>
      </c>
      <c r="E204" s="257">
        <v>56348380</v>
      </c>
      <c r="F204" s="257">
        <v>56348380</v>
      </c>
      <c r="G204" s="257">
        <v>21622740</v>
      </c>
      <c r="H204" s="257">
        <v>277980</v>
      </c>
      <c r="I204" s="257">
        <v>4986347.58</v>
      </c>
      <c r="J204" s="257">
        <v>65693.100000000006</v>
      </c>
      <c r="K204" s="257">
        <v>4202489.1399999997</v>
      </c>
      <c r="L204" s="257">
        <v>3838749.14</v>
      </c>
      <c r="M204" s="279">
        <v>46815870.18</v>
      </c>
      <c r="N204" s="257">
        <v>12090230.18</v>
      </c>
    </row>
    <row r="205" spans="1:14" s="143" customFormat="1" hidden="1" x14ac:dyDescent="0.25">
      <c r="A205" s="143" t="s">
        <v>706</v>
      </c>
      <c r="B205" s="143" t="s">
        <v>186</v>
      </c>
      <c r="C205" s="143" t="s">
        <v>187</v>
      </c>
      <c r="D205" s="143" t="s">
        <v>69</v>
      </c>
      <c r="E205" s="257">
        <v>30858480</v>
      </c>
      <c r="F205" s="257">
        <v>30858480</v>
      </c>
      <c r="G205" s="257">
        <v>14009240</v>
      </c>
      <c r="H205" s="257">
        <v>0</v>
      </c>
      <c r="I205" s="257">
        <v>3625918.98</v>
      </c>
      <c r="J205" s="257">
        <v>0</v>
      </c>
      <c r="K205" s="257">
        <v>2842950.14</v>
      </c>
      <c r="L205" s="257">
        <v>2842950.14</v>
      </c>
      <c r="M205" s="279">
        <v>24389610.879999999</v>
      </c>
      <c r="N205" s="257">
        <v>7540370.8799999999</v>
      </c>
    </row>
    <row r="206" spans="1:14" s="143" customFormat="1" hidden="1" x14ac:dyDescent="0.25">
      <c r="A206" s="143" t="s">
        <v>706</v>
      </c>
      <c r="B206" s="143" t="s">
        <v>188</v>
      </c>
      <c r="C206" s="143" t="s">
        <v>189</v>
      </c>
      <c r="D206" s="143" t="s">
        <v>69</v>
      </c>
      <c r="E206" s="257">
        <v>25379000</v>
      </c>
      <c r="F206" s="257">
        <v>25379000</v>
      </c>
      <c r="G206" s="257">
        <v>12769500</v>
      </c>
      <c r="H206" s="257">
        <v>0</v>
      </c>
      <c r="I206" s="257">
        <v>3568114.86</v>
      </c>
      <c r="J206" s="257">
        <v>0</v>
      </c>
      <c r="K206" s="257">
        <v>2831885.14</v>
      </c>
      <c r="L206" s="257">
        <v>2831885.14</v>
      </c>
      <c r="M206" s="279">
        <v>18979000</v>
      </c>
      <c r="N206" s="257">
        <v>6369500</v>
      </c>
    </row>
    <row r="207" spans="1:14" s="143" customFormat="1" hidden="1" x14ac:dyDescent="0.25">
      <c r="A207" s="143" t="s">
        <v>706</v>
      </c>
      <c r="B207" s="143" t="s">
        <v>190</v>
      </c>
      <c r="C207" s="143" t="s">
        <v>191</v>
      </c>
      <c r="D207" s="143" t="s">
        <v>69</v>
      </c>
      <c r="E207" s="257">
        <v>231600</v>
      </c>
      <c r="F207" s="257">
        <v>231600</v>
      </c>
      <c r="G207" s="257">
        <v>115800</v>
      </c>
      <c r="H207" s="257">
        <v>0</v>
      </c>
      <c r="I207" s="257">
        <v>0</v>
      </c>
      <c r="J207" s="257">
        <v>0</v>
      </c>
      <c r="K207" s="257">
        <v>0</v>
      </c>
      <c r="L207" s="257">
        <v>0</v>
      </c>
      <c r="M207" s="279">
        <v>231600</v>
      </c>
      <c r="N207" s="257">
        <v>115800</v>
      </c>
    </row>
    <row r="208" spans="1:14" s="143" customFormat="1" hidden="1" x14ac:dyDescent="0.25">
      <c r="A208" s="143" t="s">
        <v>706</v>
      </c>
      <c r="B208" s="143" t="s">
        <v>192</v>
      </c>
      <c r="C208" s="143" t="s">
        <v>193</v>
      </c>
      <c r="D208" s="143" t="s">
        <v>69</v>
      </c>
      <c r="E208" s="257">
        <v>4850880</v>
      </c>
      <c r="F208" s="257">
        <v>4850880</v>
      </c>
      <c r="G208" s="257">
        <v>925440</v>
      </c>
      <c r="H208" s="257">
        <v>0</v>
      </c>
      <c r="I208" s="257">
        <v>57804.12</v>
      </c>
      <c r="J208" s="257">
        <v>0</v>
      </c>
      <c r="K208" s="257">
        <v>11065</v>
      </c>
      <c r="L208" s="257">
        <v>11065</v>
      </c>
      <c r="M208" s="279">
        <v>4782010.88</v>
      </c>
      <c r="N208" s="257">
        <v>856570.88</v>
      </c>
    </row>
    <row r="209" spans="1:14" s="143" customFormat="1" hidden="1" x14ac:dyDescent="0.25">
      <c r="A209" s="143" t="s">
        <v>706</v>
      </c>
      <c r="B209" s="143" t="s">
        <v>194</v>
      </c>
      <c r="C209" s="143" t="s">
        <v>195</v>
      </c>
      <c r="D209" s="143" t="s">
        <v>69</v>
      </c>
      <c r="E209" s="257">
        <v>397000</v>
      </c>
      <c r="F209" s="257">
        <v>397000</v>
      </c>
      <c r="G209" s="257">
        <v>198500</v>
      </c>
      <c r="H209" s="257">
        <v>0</v>
      </c>
      <c r="I209" s="257">
        <v>0</v>
      </c>
      <c r="J209" s="257">
        <v>0</v>
      </c>
      <c r="K209" s="257">
        <v>0</v>
      </c>
      <c r="L209" s="257">
        <v>0</v>
      </c>
      <c r="M209" s="279">
        <v>397000</v>
      </c>
      <c r="N209" s="257">
        <v>198500</v>
      </c>
    </row>
    <row r="210" spans="1:14" s="143" customFormat="1" hidden="1" x14ac:dyDescent="0.25">
      <c r="A210" s="143" t="s">
        <v>706</v>
      </c>
      <c r="B210" s="143" t="s">
        <v>200</v>
      </c>
      <c r="C210" s="143" t="s">
        <v>201</v>
      </c>
      <c r="D210" s="143" t="s">
        <v>69</v>
      </c>
      <c r="E210" s="257">
        <v>5536500</v>
      </c>
      <c r="F210" s="257">
        <v>5536500</v>
      </c>
      <c r="G210" s="257">
        <v>2788250</v>
      </c>
      <c r="H210" s="257">
        <v>0</v>
      </c>
      <c r="I210" s="257">
        <v>3160</v>
      </c>
      <c r="J210" s="257">
        <v>0</v>
      </c>
      <c r="K210" s="257">
        <v>483923</v>
      </c>
      <c r="L210" s="257">
        <v>483923</v>
      </c>
      <c r="M210" s="279">
        <v>5049417</v>
      </c>
      <c r="N210" s="257">
        <v>2301167</v>
      </c>
    </row>
    <row r="211" spans="1:14" s="143" customFormat="1" hidden="1" x14ac:dyDescent="0.25">
      <c r="A211" s="143" t="s">
        <v>706</v>
      </c>
      <c r="B211" s="143" t="s">
        <v>314</v>
      </c>
      <c r="C211" s="143" t="s">
        <v>315</v>
      </c>
      <c r="D211" s="143" t="s">
        <v>69</v>
      </c>
      <c r="E211" s="257">
        <v>1274000</v>
      </c>
      <c r="F211" s="257">
        <v>1274000</v>
      </c>
      <c r="G211" s="257">
        <v>657000</v>
      </c>
      <c r="H211" s="257">
        <v>0</v>
      </c>
      <c r="I211" s="257">
        <v>0</v>
      </c>
      <c r="J211" s="257">
        <v>0</v>
      </c>
      <c r="K211" s="257">
        <v>338498</v>
      </c>
      <c r="L211" s="257">
        <v>338498</v>
      </c>
      <c r="M211" s="279">
        <v>935502</v>
      </c>
      <c r="N211" s="257">
        <v>318502</v>
      </c>
    </row>
    <row r="212" spans="1:14" s="143" customFormat="1" hidden="1" x14ac:dyDescent="0.25">
      <c r="A212" s="143" t="s">
        <v>706</v>
      </c>
      <c r="B212" s="143" t="s">
        <v>316</v>
      </c>
      <c r="C212" s="143" t="s">
        <v>317</v>
      </c>
      <c r="D212" s="143" t="s">
        <v>69</v>
      </c>
      <c r="E212" s="257">
        <v>290000</v>
      </c>
      <c r="F212" s="257">
        <v>290000</v>
      </c>
      <c r="G212" s="257">
        <v>145000</v>
      </c>
      <c r="H212" s="257">
        <v>0</v>
      </c>
      <c r="I212" s="257">
        <v>0</v>
      </c>
      <c r="J212" s="257">
        <v>0</v>
      </c>
      <c r="K212" s="257">
        <v>0</v>
      </c>
      <c r="L212" s="257">
        <v>0</v>
      </c>
      <c r="M212" s="279">
        <v>290000</v>
      </c>
      <c r="N212" s="257">
        <v>145000</v>
      </c>
    </row>
    <row r="213" spans="1:14" s="143" customFormat="1" hidden="1" x14ac:dyDescent="0.25">
      <c r="A213" s="143" t="s">
        <v>706</v>
      </c>
      <c r="B213" s="143" t="s">
        <v>318</v>
      </c>
      <c r="C213" s="143" t="s">
        <v>319</v>
      </c>
      <c r="D213" s="143" t="s">
        <v>69</v>
      </c>
      <c r="E213" s="257">
        <v>100000</v>
      </c>
      <c r="F213" s="257">
        <v>100000</v>
      </c>
      <c r="G213" s="257">
        <v>50000</v>
      </c>
      <c r="H213" s="257">
        <v>0</v>
      </c>
      <c r="I213" s="257">
        <v>0</v>
      </c>
      <c r="J213" s="257">
        <v>0</v>
      </c>
      <c r="K213" s="257">
        <v>0</v>
      </c>
      <c r="L213" s="257">
        <v>0</v>
      </c>
      <c r="M213" s="279">
        <v>100000</v>
      </c>
      <c r="N213" s="257">
        <v>50000</v>
      </c>
    </row>
    <row r="214" spans="1:14" s="143" customFormat="1" hidden="1" x14ac:dyDescent="0.25">
      <c r="A214" s="143" t="s">
        <v>706</v>
      </c>
      <c r="B214" s="143" t="s">
        <v>202</v>
      </c>
      <c r="C214" s="143" t="s">
        <v>203</v>
      </c>
      <c r="D214" s="143" t="s">
        <v>69</v>
      </c>
      <c r="E214" s="257">
        <v>2782500</v>
      </c>
      <c r="F214" s="257">
        <v>2782500</v>
      </c>
      <c r="G214" s="257">
        <v>1391250</v>
      </c>
      <c r="H214" s="257">
        <v>0</v>
      </c>
      <c r="I214" s="257">
        <v>0</v>
      </c>
      <c r="J214" s="257">
        <v>0</v>
      </c>
      <c r="K214" s="257">
        <v>0</v>
      </c>
      <c r="L214" s="257">
        <v>0</v>
      </c>
      <c r="M214" s="279">
        <v>2782500</v>
      </c>
      <c r="N214" s="257">
        <v>1391250</v>
      </c>
    </row>
    <row r="215" spans="1:14" s="143" customFormat="1" hidden="1" x14ac:dyDescent="0.25">
      <c r="A215" s="143" t="s">
        <v>706</v>
      </c>
      <c r="B215" s="143" t="s">
        <v>204</v>
      </c>
      <c r="C215" s="143" t="s">
        <v>205</v>
      </c>
      <c r="D215" s="143" t="s">
        <v>69</v>
      </c>
      <c r="E215" s="257">
        <v>200000</v>
      </c>
      <c r="F215" s="257">
        <v>200000</v>
      </c>
      <c r="G215" s="257">
        <v>100000</v>
      </c>
      <c r="H215" s="257">
        <v>0</v>
      </c>
      <c r="I215" s="257">
        <v>0</v>
      </c>
      <c r="J215" s="257">
        <v>0</v>
      </c>
      <c r="K215" s="257">
        <v>0</v>
      </c>
      <c r="L215" s="257">
        <v>0</v>
      </c>
      <c r="M215" s="279">
        <v>200000</v>
      </c>
      <c r="N215" s="257">
        <v>100000</v>
      </c>
    </row>
    <row r="216" spans="1:14" s="143" customFormat="1" hidden="1" x14ac:dyDescent="0.25">
      <c r="A216" s="143" t="s">
        <v>706</v>
      </c>
      <c r="B216" s="143" t="s">
        <v>322</v>
      </c>
      <c r="C216" s="143" t="s">
        <v>323</v>
      </c>
      <c r="D216" s="143" t="s">
        <v>69</v>
      </c>
      <c r="E216" s="257">
        <v>890000</v>
      </c>
      <c r="F216" s="257">
        <v>890000</v>
      </c>
      <c r="G216" s="257">
        <v>445000</v>
      </c>
      <c r="H216" s="257">
        <v>0</v>
      </c>
      <c r="I216" s="257">
        <v>3160</v>
      </c>
      <c r="J216" s="257">
        <v>0</v>
      </c>
      <c r="K216" s="257">
        <v>145425</v>
      </c>
      <c r="L216" s="257">
        <v>145425</v>
      </c>
      <c r="M216" s="279">
        <v>741415</v>
      </c>
      <c r="N216" s="257">
        <v>296415</v>
      </c>
    </row>
    <row r="217" spans="1:14" s="143" customFormat="1" hidden="1" x14ac:dyDescent="0.25">
      <c r="A217" s="143" t="s">
        <v>706</v>
      </c>
      <c r="B217" s="143" t="s">
        <v>206</v>
      </c>
      <c r="C217" s="143" t="s">
        <v>207</v>
      </c>
      <c r="D217" s="143" t="s">
        <v>69</v>
      </c>
      <c r="E217" s="257">
        <v>3341900</v>
      </c>
      <c r="F217" s="257">
        <v>3341900</v>
      </c>
      <c r="G217" s="257">
        <v>670950</v>
      </c>
      <c r="H217" s="257">
        <v>0</v>
      </c>
      <c r="I217" s="257">
        <v>8348.59</v>
      </c>
      <c r="J217" s="257">
        <v>65693.100000000006</v>
      </c>
      <c r="K217" s="257">
        <v>45250</v>
      </c>
      <c r="L217" s="257">
        <v>45250</v>
      </c>
      <c r="M217" s="279">
        <v>3222608.31</v>
      </c>
      <c r="N217" s="257">
        <v>551658.31000000006</v>
      </c>
    </row>
    <row r="218" spans="1:14" s="143" customFormat="1" hidden="1" x14ac:dyDescent="0.25">
      <c r="A218" s="143" t="s">
        <v>706</v>
      </c>
      <c r="B218" s="143" t="s">
        <v>208</v>
      </c>
      <c r="C218" s="143" t="s">
        <v>209</v>
      </c>
      <c r="D218" s="143" t="s">
        <v>69</v>
      </c>
      <c r="E218" s="257">
        <v>671900</v>
      </c>
      <c r="F218" s="257">
        <v>671900</v>
      </c>
      <c r="G218" s="257">
        <v>335950</v>
      </c>
      <c r="H218" s="257">
        <v>0</v>
      </c>
      <c r="I218" s="257">
        <v>0</v>
      </c>
      <c r="J218" s="257">
        <v>0</v>
      </c>
      <c r="K218" s="257">
        <v>45250</v>
      </c>
      <c r="L218" s="257">
        <v>45250</v>
      </c>
      <c r="M218" s="279">
        <v>626650</v>
      </c>
      <c r="N218" s="257">
        <v>290700</v>
      </c>
    </row>
    <row r="219" spans="1:14" s="143" customFormat="1" hidden="1" x14ac:dyDescent="0.25">
      <c r="A219" s="143" t="s">
        <v>706</v>
      </c>
      <c r="B219" s="143" t="s">
        <v>210</v>
      </c>
      <c r="C219" s="143" t="s">
        <v>211</v>
      </c>
      <c r="D219" s="143" t="s">
        <v>69</v>
      </c>
      <c r="E219" s="257">
        <v>2670000</v>
      </c>
      <c r="F219" s="257">
        <v>2670000</v>
      </c>
      <c r="G219" s="257">
        <v>335000</v>
      </c>
      <c r="H219" s="257">
        <v>0</v>
      </c>
      <c r="I219" s="257">
        <v>8348.59</v>
      </c>
      <c r="J219" s="257">
        <v>65693.100000000006</v>
      </c>
      <c r="K219" s="257">
        <v>0</v>
      </c>
      <c r="L219" s="257">
        <v>0</v>
      </c>
      <c r="M219" s="279">
        <v>2595958.31</v>
      </c>
      <c r="N219" s="257">
        <v>260958.31</v>
      </c>
    </row>
    <row r="220" spans="1:14" s="143" customFormat="1" hidden="1" x14ac:dyDescent="0.25">
      <c r="A220" s="143" t="s">
        <v>706</v>
      </c>
      <c r="B220" s="143" t="s">
        <v>212</v>
      </c>
      <c r="C220" s="143" t="s">
        <v>213</v>
      </c>
      <c r="D220" s="143" t="s">
        <v>69</v>
      </c>
      <c r="E220" s="257">
        <v>16611500</v>
      </c>
      <c r="F220" s="257">
        <v>16611500</v>
      </c>
      <c r="G220" s="257">
        <v>4154300</v>
      </c>
      <c r="H220" s="257">
        <v>277980</v>
      </c>
      <c r="I220" s="257">
        <v>1348920.01</v>
      </c>
      <c r="J220" s="257">
        <v>0</v>
      </c>
      <c r="K220" s="257">
        <v>830366</v>
      </c>
      <c r="L220" s="257">
        <v>466626</v>
      </c>
      <c r="M220" s="279">
        <v>14154233.99</v>
      </c>
      <c r="N220" s="257">
        <v>1697033.99</v>
      </c>
    </row>
    <row r="221" spans="1:14" s="143" customFormat="1" hidden="1" x14ac:dyDescent="0.25">
      <c r="A221" s="143" t="s">
        <v>706</v>
      </c>
      <c r="B221" s="143" t="s">
        <v>214</v>
      </c>
      <c r="C221" s="143" t="s">
        <v>215</v>
      </c>
      <c r="D221" s="143" t="s">
        <v>69</v>
      </c>
      <c r="E221" s="257">
        <v>5232000</v>
      </c>
      <c r="F221" s="257">
        <v>5232000</v>
      </c>
      <c r="G221" s="257">
        <v>116000</v>
      </c>
      <c r="H221" s="257">
        <v>0</v>
      </c>
      <c r="I221" s="257">
        <v>0</v>
      </c>
      <c r="J221" s="257">
        <v>0</v>
      </c>
      <c r="K221" s="257">
        <v>30288</v>
      </c>
      <c r="L221" s="257">
        <v>30288</v>
      </c>
      <c r="M221" s="279">
        <v>5201712</v>
      </c>
      <c r="N221" s="257">
        <v>85712</v>
      </c>
    </row>
    <row r="222" spans="1:14" s="143" customFormat="1" hidden="1" x14ac:dyDescent="0.25">
      <c r="A222" s="143" t="s">
        <v>706</v>
      </c>
      <c r="B222" s="143" t="s">
        <v>218</v>
      </c>
      <c r="C222" s="143" t="s">
        <v>219</v>
      </c>
      <c r="D222" s="143" t="s">
        <v>69</v>
      </c>
      <c r="E222" s="257">
        <v>6600000</v>
      </c>
      <c r="F222" s="257">
        <v>6600000</v>
      </c>
      <c r="G222" s="257">
        <v>1300000</v>
      </c>
      <c r="H222" s="257">
        <v>0</v>
      </c>
      <c r="I222" s="257">
        <v>668320.01</v>
      </c>
      <c r="J222" s="257">
        <v>0</v>
      </c>
      <c r="K222" s="257">
        <v>84498</v>
      </c>
      <c r="L222" s="257">
        <v>84498</v>
      </c>
      <c r="M222" s="279">
        <v>5847181.9900000002</v>
      </c>
      <c r="N222" s="257">
        <v>547181.99</v>
      </c>
    </row>
    <row r="223" spans="1:14" s="143" customFormat="1" hidden="1" x14ac:dyDescent="0.25">
      <c r="A223" s="143" t="s">
        <v>706</v>
      </c>
      <c r="B223" s="143" t="s">
        <v>220</v>
      </c>
      <c r="C223" s="143" t="s">
        <v>221</v>
      </c>
      <c r="D223" s="143" t="s">
        <v>69</v>
      </c>
      <c r="E223" s="257">
        <v>340000</v>
      </c>
      <c r="F223" s="257">
        <v>340000</v>
      </c>
      <c r="G223" s="257">
        <v>170000</v>
      </c>
      <c r="H223" s="257">
        <v>0</v>
      </c>
      <c r="I223" s="257">
        <v>0</v>
      </c>
      <c r="J223" s="257">
        <v>0</v>
      </c>
      <c r="K223" s="257">
        <v>0</v>
      </c>
      <c r="L223" s="257">
        <v>0</v>
      </c>
      <c r="M223" s="279">
        <v>340000</v>
      </c>
      <c r="N223" s="257">
        <v>170000</v>
      </c>
    </row>
    <row r="224" spans="1:14" s="143" customFormat="1" hidden="1" x14ac:dyDescent="0.25">
      <c r="A224" s="143" t="s">
        <v>706</v>
      </c>
      <c r="B224" s="143" t="s">
        <v>222</v>
      </c>
      <c r="C224" s="143" t="s">
        <v>223</v>
      </c>
      <c r="D224" s="143" t="s">
        <v>69</v>
      </c>
      <c r="E224" s="257">
        <v>1393100</v>
      </c>
      <c r="F224" s="257">
        <v>1393100</v>
      </c>
      <c r="G224" s="257">
        <v>1393100</v>
      </c>
      <c r="H224" s="257">
        <v>277980</v>
      </c>
      <c r="I224" s="257">
        <v>678000</v>
      </c>
      <c r="J224" s="257">
        <v>0</v>
      </c>
      <c r="K224" s="257">
        <v>363740</v>
      </c>
      <c r="L224" s="257">
        <v>0</v>
      </c>
      <c r="M224" s="279">
        <v>73380</v>
      </c>
      <c r="N224" s="257">
        <v>73380</v>
      </c>
    </row>
    <row r="225" spans="1:14" s="143" customFormat="1" hidden="1" x14ac:dyDescent="0.25">
      <c r="A225" s="143" t="s">
        <v>706</v>
      </c>
      <c r="B225" s="143" t="s">
        <v>224</v>
      </c>
      <c r="C225" s="143" t="s">
        <v>225</v>
      </c>
      <c r="D225" s="143" t="s">
        <v>69</v>
      </c>
      <c r="E225" s="257">
        <v>2296200</v>
      </c>
      <c r="F225" s="257">
        <v>2296200</v>
      </c>
      <c r="G225" s="257">
        <v>648100</v>
      </c>
      <c r="H225" s="257">
        <v>0</v>
      </c>
      <c r="I225" s="257">
        <v>0</v>
      </c>
      <c r="J225" s="257">
        <v>0</v>
      </c>
      <c r="K225" s="257">
        <v>15000</v>
      </c>
      <c r="L225" s="257">
        <v>15000</v>
      </c>
      <c r="M225" s="279">
        <v>2281200</v>
      </c>
      <c r="N225" s="257">
        <v>633100</v>
      </c>
    </row>
    <row r="226" spans="1:14" s="143" customFormat="1" hidden="1" x14ac:dyDescent="0.25">
      <c r="A226" s="143" t="s">
        <v>706</v>
      </c>
      <c r="B226" s="143" t="s">
        <v>228</v>
      </c>
      <c r="C226" s="143" t="s">
        <v>229</v>
      </c>
      <c r="D226" s="143" t="s">
        <v>69</v>
      </c>
      <c r="E226" s="257">
        <v>750200</v>
      </c>
      <c r="F226" s="257">
        <v>750200</v>
      </c>
      <c r="G226" s="257">
        <v>527100</v>
      </c>
      <c r="H226" s="257">
        <v>0</v>
      </c>
      <c r="I226" s="257">
        <v>2600</v>
      </c>
      <c r="J226" s="257">
        <v>0</v>
      </c>
      <c r="K226" s="257">
        <v>336840</v>
      </c>
      <c r="L226" s="257">
        <v>336840</v>
      </c>
      <c r="M226" s="279">
        <v>410760</v>
      </c>
      <c r="N226" s="257">
        <v>187660</v>
      </c>
    </row>
    <row r="227" spans="1:14" s="143" customFormat="1" hidden="1" x14ac:dyDescent="0.25">
      <c r="A227" s="143" t="s">
        <v>706</v>
      </c>
      <c r="B227" s="143" t="s">
        <v>230</v>
      </c>
      <c r="C227" s="143" t="s">
        <v>231</v>
      </c>
      <c r="D227" s="143" t="s">
        <v>85</v>
      </c>
      <c r="E227" s="257">
        <v>744452300</v>
      </c>
      <c r="F227" s="257">
        <v>744452300</v>
      </c>
      <c r="G227" s="257">
        <v>267226150</v>
      </c>
      <c r="H227" s="257">
        <v>45083721</v>
      </c>
      <c r="I227" s="257">
        <v>0</v>
      </c>
      <c r="J227" s="257">
        <v>0</v>
      </c>
      <c r="K227" s="257">
        <v>0</v>
      </c>
      <c r="L227" s="257">
        <v>0</v>
      </c>
      <c r="M227" s="279">
        <v>699368579</v>
      </c>
      <c r="N227" s="257">
        <v>222142429</v>
      </c>
    </row>
    <row r="228" spans="1:14" s="143" customFormat="1" hidden="1" x14ac:dyDescent="0.25">
      <c r="A228" s="143" t="s">
        <v>706</v>
      </c>
      <c r="B228" s="143" t="s">
        <v>232</v>
      </c>
      <c r="C228" s="143" t="s">
        <v>233</v>
      </c>
      <c r="D228" s="143" t="s">
        <v>85</v>
      </c>
      <c r="E228" s="257">
        <v>67752300</v>
      </c>
      <c r="F228" s="257">
        <v>67752300</v>
      </c>
      <c r="G228" s="257">
        <v>40126150</v>
      </c>
      <c r="H228" s="257">
        <v>0</v>
      </c>
      <c r="I228" s="257">
        <v>0</v>
      </c>
      <c r="J228" s="257">
        <v>0</v>
      </c>
      <c r="K228" s="257">
        <v>0</v>
      </c>
      <c r="L228" s="257">
        <v>0</v>
      </c>
      <c r="M228" s="279">
        <v>67752300</v>
      </c>
      <c r="N228" s="257">
        <v>40126150</v>
      </c>
    </row>
    <row r="229" spans="1:14" s="143" customFormat="1" hidden="1" x14ac:dyDescent="0.25">
      <c r="A229" s="143" t="s">
        <v>706</v>
      </c>
      <c r="B229" s="143" t="s">
        <v>238</v>
      </c>
      <c r="C229" s="143" t="s">
        <v>239</v>
      </c>
      <c r="D229" s="143" t="s">
        <v>85</v>
      </c>
      <c r="E229" s="257">
        <v>45252300</v>
      </c>
      <c r="F229" s="257">
        <v>45252300</v>
      </c>
      <c r="G229" s="257">
        <v>17626150</v>
      </c>
      <c r="H229" s="257">
        <v>0</v>
      </c>
      <c r="I229" s="257">
        <v>0</v>
      </c>
      <c r="J229" s="257">
        <v>0</v>
      </c>
      <c r="K229" s="257">
        <v>0</v>
      </c>
      <c r="L229" s="257">
        <v>0</v>
      </c>
      <c r="M229" s="279">
        <v>45252300</v>
      </c>
      <c r="N229" s="257">
        <v>17626150</v>
      </c>
    </row>
    <row r="230" spans="1:14" s="143" customFormat="1" hidden="1" x14ac:dyDescent="0.25">
      <c r="A230" s="143" t="s">
        <v>706</v>
      </c>
      <c r="B230" s="143" t="s">
        <v>282</v>
      </c>
      <c r="C230" s="143" t="s">
        <v>283</v>
      </c>
      <c r="D230" s="143" t="s">
        <v>85</v>
      </c>
      <c r="E230" s="257">
        <v>22500000</v>
      </c>
      <c r="F230" s="257">
        <v>22500000</v>
      </c>
      <c r="G230" s="257">
        <v>22500000</v>
      </c>
      <c r="H230" s="257">
        <v>0</v>
      </c>
      <c r="I230" s="257">
        <v>0</v>
      </c>
      <c r="J230" s="257">
        <v>0</v>
      </c>
      <c r="K230" s="257">
        <v>0</v>
      </c>
      <c r="L230" s="257">
        <v>0</v>
      </c>
      <c r="M230" s="279">
        <v>22500000</v>
      </c>
      <c r="N230" s="257">
        <v>22500000</v>
      </c>
    </row>
    <row r="231" spans="1:14" s="143" customFormat="1" hidden="1" x14ac:dyDescent="0.25">
      <c r="A231" s="143" t="s">
        <v>706</v>
      </c>
      <c r="B231" s="143" t="s">
        <v>328</v>
      </c>
      <c r="C231" s="143" t="s">
        <v>329</v>
      </c>
      <c r="D231" s="143" t="s">
        <v>85</v>
      </c>
      <c r="E231" s="257">
        <v>630000000</v>
      </c>
      <c r="F231" s="257">
        <v>630000000</v>
      </c>
      <c r="G231" s="257">
        <v>180400000</v>
      </c>
      <c r="H231" s="257">
        <v>0</v>
      </c>
      <c r="I231" s="257">
        <v>0</v>
      </c>
      <c r="J231" s="257">
        <v>0</v>
      </c>
      <c r="K231" s="257">
        <v>0</v>
      </c>
      <c r="L231" s="257">
        <v>0</v>
      </c>
      <c r="M231" s="279">
        <v>630000000</v>
      </c>
      <c r="N231" s="257">
        <v>180400000</v>
      </c>
    </row>
    <row r="232" spans="1:14" s="143" customFormat="1" hidden="1" x14ac:dyDescent="0.25">
      <c r="A232" s="143" t="s">
        <v>706</v>
      </c>
      <c r="B232" s="143" t="s">
        <v>330</v>
      </c>
      <c r="C232" s="143" t="s">
        <v>331</v>
      </c>
      <c r="D232" s="143" t="s">
        <v>85</v>
      </c>
      <c r="E232" s="257">
        <v>630000000</v>
      </c>
      <c r="F232" s="257">
        <v>630000000</v>
      </c>
      <c r="G232" s="257">
        <v>180400000</v>
      </c>
      <c r="H232" s="257">
        <v>0</v>
      </c>
      <c r="I232" s="257">
        <v>0</v>
      </c>
      <c r="J232" s="257">
        <v>0</v>
      </c>
      <c r="K232" s="257">
        <v>0</v>
      </c>
      <c r="L232" s="257">
        <v>0</v>
      </c>
      <c r="M232" s="279">
        <v>630000000</v>
      </c>
      <c r="N232" s="257">
        <v>180400000</v>
      </c>
    </row>
    <row r="233" spans="1:14" s="143" customFormat="1" hidden="1" x14ac:dyDescent="0.25">
      <c r="A233" s="143" t="s">
        <v>706</v>
      </c>
      <c r="B233" s="143" t="s">
        <v>244</v>
      </c>
      <c r="C233" s="143" t="s">
        <v>245</v>
      </c>
      <c r="D233" s="143" t="s">
        <v>85</v>
      </c>
      <c r="E233" s="257">
        <v>46700000</v>
      </c>
      <c r="F233" s="257">
        <v>46700000</v>
      </c>
      <c r="G233" s="257">
        <v>46700000</v>
      </c>
      <c r="H233" s="257">
        <v>45083721</v>
      </c>
      <c r="I233" s="257">
        <v>0</v>
      </c>
      <c r="J233" s="257">
        <v>0</v>
      </c>
      <c r="K233" s="257">
        <v>0</v>
      </c>
      <c r="L233" s="257">
        <v>0</v>
      </c>
      <c r="M233" s="279">
        <v>1616279</v>
      </c>
      <c r="N233" s="257">
        <v>1616279</v>
      </c>
    </row>
    <row r="234" spans="1:14" s="143" customFormat="1" hidden="1" x14ac:dyDescent="0.25">
      <c r="A234" s="143" t="s">
        <v>706</v>
      </c>
      <c r="B234" s="143" t="s">
        <v>246</v>
      </c>
      <c r="C234" s="143" t="s">
        <v>247</v>
      </c>
      <c r="D234" s="143" t="s">
        <v>85</v>
      </c>
      <c r="E234" s="257">
        <v>46700000</v>
      </c>
      <c r="F234" s="257">
        <v>46700000</v>
      </c>
      <c r="G234" s="257">
        <v>46700000</v>
      </c>
      <c r="H234" s="257">
        <v>45083721</v>
      </c>
      <c r="I234" s="257">
        <v>0</v>
      </c>
      <c r="J234" s="257">
        <v>0</v>
      </c>
      <c r="K234" s="257">
        <v>0</v>
      </c>
      <c r="L234" s="257">
        <v>0</v>
      </c>
      <c r="M234" s="279">
        <v>1616279</v>
      </c>
      <c r="N234" s="257">
        <v>1616279</v>
      </c>
    </row>
    <row r="235" spans="1:14" s="143" customFormat="1" hidden="1" x14ac:dyDescent="0.25">
      <c r="A235" s="143" t="s">
        <v>706</v>
      </c>
      <c r="B235" s="143" t="s">
        <v>248</v>
      </c>
      <c r="C235" s="143" t="s">
        <v>249</v>
      </c>
      <c r="D235" s="143" t="s">
        <v>69</v>
      </c>
      <c r="E235" s="257">
        <v>218960452</v>
      </c>
      <c r="F235" s="257">
        <v>218960452</v>
      </c>
      <c r="G235" s="257">
        <v>114001742</v>
      </c>
      <c r="H235" s="257">
        <v>0</v>
      </c>
      <c r="I235" s="257">
        <v>13150723.380000001</v>
      </c>
      <c r="J235" s="257">
        <v>0</v>
      </c>
      <c r="K235" s="257">
        <v>5166764.62</v>
      </c>
      <c r="L235" s="257">
        <v>5166764.62</v>
      </c>
      <c r="M235" s="279">
        <v>200642964</v>
      </c>
      <c r="N235" s="257">
        <v>95684254</v>
      </c>
    </row>
    <row r="236" spans="1:14" s="143" customFormat="1" hidden="1" x14ac:dyDescent="0.25">
      <c r="A236" s="143" t="s">
        <v>706</v>
      </c>
      <c r="B236" s="143" t="s">
        <v>250</v>
      </c>
      <c r="C236" s="143" t="s">
        <v>251</v>
      </c>
      <c r="D236" s="143" t="s">
        <v>69</v>
      </c>
      <c r="E236" s="257">
        <v>17259352</v>
      </c>
      <c r="F236" s="257">
        <v>17259352</v>
      </c>
      <c r="G236" s="257">
        <v>16819008</v>
      </c>
      <c r="H236" s="257">
        <v>0</v>
      </c>
      <c r="I236" s="257">
        <v>13150723.380000001</v>
      </c>
      <c r="J236" s="257">
        <v>0</v>
      </c>
      <c r="K236" s="257">
        <v>4108628.62</v>
      </c>
      <c r="L236" s="257">
        <v>4108628.62</v>
      </c>
      <c r="M236" s="279">
        <v>0</v>
      </c>
      <c r="N236" s="275">
        <v>-440344</v>
      </c>
    </row>
    <row r="237" spans="1:14" s="143" customFormat="1" hidden="1" x14ac:dyDescent="0.25">
      <c r="A237" s="143" t="s">
        <v>706</v>
      </c>
      <c r="B237" s="143" t="s">
        <v>628</v>
      </c>
      <c r="C237" s="143" t="s">
        <v>702</v>
      </c>
      <c r="D237" s="143" t="s">
        <v>69</v>
      </c>
      <c r="E237" s="257">
        <v>14660103</v>
      </c>
      <c r="F237" s="257">
        <v>14660103</v>
      </c>
      <c r="G237" s="257">
        <v>14286075</v>
      </c>
      <c r="H237" s="257">
        <v>0</v>
      </c>
      <c r="I237" s="257">
        <v>11203072.310000001</v>
      </c>
      <c r="J237" s="257">
        <v>0</v>
      </c>
      <c r="K237" s="257">
        <v>3457030.69</v>
      </c>
      <c r="L237" s="257">
        <v>3457030.69</v>
      </c>
      <c r="M237" s="279">
        <v>0</v>
      </c>
      <c r="N237" s="275">
        <v>-374028</v>
      </c>
    </row>
    <row r="238" spans="1:14" s="143" customFormat="1" hidden="1" x14ac:dyDescent="0.25">
      <c r="A238" s="143" t="s">
        <v>706</v>
      </c>
      <c r="B238" s="143" t="s">
        <v>643</v>
      </c>
      <c r="C238" s="143" t="s">
        <v>703</v>
      </c>
      <c r="D238" s="143" t="s">
        <v>69</v>
      </c>
      <c r="E238" s="257">
        <v>2599249</v>
      </c>
      <c r="F238" s="257">
        <v>2599249</v>
      </c>
      <c r="G238" s="257">
        <v>2532933</v>
      </c>
      <c r="H238" s="257">
        <v>0</v>
      </c>
      <c r="I238" s="257">
        <v>1947651.07</v>
      </c>
      <c r="J238" s="257">
        <v>0</v>
      </c>
      <c r="K238" s="257">
        <v>651597.93000000005</v>
      </c>
      <c r="L238" s="257">
        <v>651597.93000000005</v>
      </c>
      <c r="M238" s="279">
        <v>0</v>
      </c>
      <c r="N238" s="275">
        <v>-66316</v>
      </c>
    </row>
    <row r="239" spans="1:14" s="143" customFormat="1" hidden="1" x14ac:dyDescent="0.25">
      <c r="A239" s="143" t="s">
        <v>706</v>
      </c>
      <c r="B239" s="143" t="s">
        <v>260</v>
      </c>
      <c r="C239" s="143" t="s">
        <v>261</v>
      </c>
      <c r="D239" s="143" t="s">
        <v>69</v>
      </c>
      <c r="E239" s="257">
        <v>195701100</v>
      </c>
      <c r="F239" s="257">
        <v>195701100</v>
      </c>
      <c r="G239" s="257">
        <v>94182734</v>
      </c>
      <c r="H239" s="257">
        <v>0</v>
      </c>
      <c r="I239" s="257">
        <v>0</v>
      </c>
      <c r="J239" s="257">
        <v>0</v>
      </c>
      <c r="K239" s="257">
        <v>1058136</v>
      </c>
      <c r="L239" s="257">
        <v>1058136</v>
      </c>
      <c r="M239" s="279">
        <v>194642964</v>
      </c>
      <c r="N239" s="257">
        <v>93124598</v>
      </c>
    </row>
    <row r="240" spans="1:14" s="143" customFormat="1" hidden="1" x14ac:dyDescent="0.25">
      <c r="A240" s="143" t="s">
        <v>706</v>
      </c>
      <c r="B240" s="143" t="s">
        <v>262</v>
      </c>
      <c r="C240" s="143" t="s">
        <v>263</v>
      </c>
      <c r="D240" s="143" t="s">
        <v>69</v>
      </c>
      <c r="E240" s="257">
        <v>165701100</v>
      </c>
      <c r="F240" s="257">
        <v>165701100</v>
      </c>
      <c r="G240" s="257">
        <v>64182734</v>
      </c>
      <c r="H240" s="257">
        <v>0</v>
      </c>
      <c r="I240" s="257">
        <v>0</v>
      </c>
      <c r="J240" s="257">
        <v>0</v>
      </c>
      <c r="K240" s="257">
        <v>0</v>
      </c>
      <c r="L240" s="257">
        <v>0</v>
      </c>
      <c r="M240" s="279">
        <v>165701100</v>
      </c>
      <c r="N240" s="257">
        <v>64182734</v>
      </c>
    </row>
    <row r="241" spans="1:14" s="143" customFormat="1" hidden="1" x14ac:dyDescent="0.25">
      <c r="A241" s="143" t="s">
        <v>706</v>
      </c>
      <c r="B241" s="143" t="s">
        <v>264</v>
      </c>
      <c r="C241" s="143" t="s">
        <v>265</v>
      </c>
      <c r="D241" s="143" t="s">
        <v>69</v>
      </c>
      <c r="E241" s="257">
        <v>30000000</v>
      </c>
      <c r="F241" s="257">
        <v>30000000</v>
      </c>
      <c r="G241" s="257">
        <v>30000000</v>
      </c>
      <c r="H241" s="257">
        <v>0</v>
      </c>
      <c r="I241" s="257">
        <v>0</v>
      </c>
      <c r="J241" s="257">
        <v>0</v>
      </c>
      <c r="K241" s="257">
        <v>1058136</v>
      </c>
      <c r="L241" s="257">
        <v>1058136</v>
      </c>
      <c r="M241" s="279">
        <v>28941864</v>
      </c>
      <c r="N241" s="257">
        <v>28941864</v>
      </c>
    </row>
    <row r="242" spans="1:14" s="143" customFormat="1" hidden="1" x14ac:dyDescent="0.25">
      <c r="A242" s="143" t="s">
        <v>706</v>
      </c>
      <c r="B242" s="143" t="s">
        <v>286</v>
      </c>
      <c r="C242" s="143" t="s">
        <v>287</v>
      </c>
      <c r="D242" s="143" t="s">
        <v>69</v>
      </c>
      <c r="E242" s="257">
        <v>6000000</v>
      </c>
      <c r="F242" s="257">
        <v>6000000</v>
      </c>
      <c r="G242" s="257">
        <v>3000000</v>
      </c>
      <c r="H242" s="257">
        <v>0</v>
      </c>
      <c r="I242" s="257">
        <v>0</v>
      </c>
      <c r="J242" s="257">
        <v>0</v>
      </c>
      <c r="K242" s="257">
        <v>0</v>
      </c>
      <c r="L242" s="257">
        <v>0</v>
      </c>
      <c r="M242" s="279">
        <v>6000000</v>
      </c>
      <c r="N242" s="257">
        <v>3000000</v>
      </c>
    </row>
    <row r="243" spans="1:14" s="143" customFormat="1" hidden="1" x14ac:dyDescent="0.25">
      <c r="A243" s="143" t="s">
        <v>706</v>
      </c>
      <c r="B243" s="143" t="s">
        <v>288</v>
      </c>
      <c r="C243" s="143" t="s">
        <v>289</v>
      </c>
      <c r="D243" s="143" t="s">
        <v>69</v>
      </c>
      <c r="E243" s="257">
        <v>6000000</v>
      </c>
      <c r="F243" s="257">
        <v>6000000</v>
      </c>
      <c r="G243" s="257">
        <v>3000000</v>
      </c>
      <c r="H243" s="257">
        <v>0</v>
      </c>
      <c r="I243" s="257">
        <v>0</v>
      </c>
      <c r="J243" s="257">
        <v>0</v>
      </c>
      <c r="K243" s="257">
        <v>0</v>
      </c>
      <c r="L243" s="257">
        <v>0</v>
      </c>
      <c r="M243" s="279">
        <v>6000000</v>
      </c>
      <c r="N243" s="257">
        <v>3000000</v>
      </c>
    </row>
    <row r="244" spans="1:14" s="143" customFormat="1" x14ac:dyDescent="0.25">
      <c r="A244" s="454">
        <v>214789</v>
      </c>
      <c r="D244" s="454" t="s">
        <v>69</v>
      </c>
      <c r="E244" s="257">
        <v>77210852108</v>
      </c>
      <c r="F244" s="272">
        <v>77210852108</v>
      </c>
      <c r="G244" s="257">
        <v>67406639141</v>
      </c>
      <c r="H244" s="269">
        <v>120585272.98</v>
      </c>
      <c r="I244" s="274">
        <v>14772763190.92</v>
      </c>
      <c r="J244" s="274">
        <v>243353899.28999999</v>
      </c>
      <c r="K244" s="274">
        <v>17879554890.98</v>
      </c>
      <c r="L244" s="274">
        <v>16837323778.5</v>
      </c>
      <c r="M244" s="273">
        <v>44194594853.830002</v>
      </c>
      <c r="N244" s="257">
        <v>34390381886.830002</v>
      </c>
    </row>
    <row r="245" spans="1:14" s="143" customFormat="1" hidden="1" x14ac:dyDescent="0.25">
      <c r="A245" s="143" t="s">
        <v>707</v>
      </c>
      <c r="B245" s="143" t="s">
        <v>71</v>
      </c>
      <c r="C245" s="143" t="s">
        <v>72</v>
      </c>
      <c r="D245" s="143" t="s">
        <v>69</v>
      </c>
      <c r="E245" s="257">
        <v>48966684366</v>
      </c>
      <c r="F245" s="257">
        <v>48966684366</v>
      </c>
      <c r="G245" s="257">
        <v>43316191386</v>
      </c>
      <c r="H245" s="257">
        <v>0</v>
      </c>
      <c r="I245" s="257">
        <v>5096710533</v>
      </c>
      <c r="J245" s="257">
        <v>0</v>
      </c>
      <c r="K245" s="257">
        <v>13486112824.17</v>
      </c>
      <c r="L245" s="257">
        <v>13486112824.17</v>
      </c>
      <c r="M245" s="279">
        <v>30383861008.830002</v>
      </c>
      <c r="N245" s="257">
        <v>24733368028.830002</v>
      </c>
    </row>
    <row r="246" spans="1:14" s="143" customFormat="1" hidden="1" x14ac:dyDescent="0.25">
      <c r="A246" s="143" t="s">
        <v>707</v>
      </c>
      <c r="B246" s="143" t="s">
        <v>73</v>
      </c>
      <c r="C246" s="143" t="s">
        <v>74</v>
      </c>
      <c r="D246" s="143" t="s">
        <v>69</v>
      </c>
      <c r="E246" s="257">
        <v>17541843984</v>
      </c>
      <c r="F246" s="257">
        <v>17541843984</v>
      </c>
      <c r="G246" s="257">
        <v>13604724873</v>
      </c>
      <c r="H246" s="257">
        <v>0</v>
      </c>
      <c r="I246" s="257">
        <v>0</v>
      </c>
      <c r="J246" s="257">
        <v>0</v>
      </c>
      <c r="K246" s="257">
        <v>4074041268.2399998</v>
      </c>
      <c r="L246" s="257">
        <v>4074041268.2399998</v>
      </c>
      <c r="M246" s="279">
        <v>13467802715.76</v>
      </c>
      <c r="N246" s="257">
        <v>9530683604.7600002</v>
      </c>
    </row>
    <row r="247" spans="1:14" s="143" customFormat="1" hidden="1" x14ac:dyDescent="0.25">
      <c r="A247" s="143" t="s">
        <v>707</v>
      </c>
      <c r="B247" s="143" t="s">
        <v>75</v>
      </c>
      <c r="C247" s="143" t="s">
        <v>76</v>
      </c>
      <c r="D247" s="143" t="s">
        <v>69</v>
      </c>
      <c r="E247" s="257">
        <v>17541843984</v>
      </c>
      <c r="F247" s="257">
        <v>17541843984</v>
      </c>
      <c r="G247" s="257">
        <v>13604724873</v>
      </c>
      <c r="H247" s="257">
        <v>0</v>
      </c>
      <c r="I247" s="257">
        <v>0</v>
      </c>
      <c r="J247" s="257">
        <v>0</v>
      </c>
      <c r="K247" s="257">
        <v>4074041268.2399998</v>
      </c>
      <c r="L247" s="257">
        <v>4074041268.2399998</v>
      </c>
      <c r="M247" s="279">
        <v>13467802715.76</v>
      </c>
      <c r="N247" s="257">
        <v>9530683604.7600002</v>
      </c>
    </row>
    <row r="248" spans="1:14" s="143" customFormat="1" hidden="1" x14ac:dyDescent="0.25">
      <c r="A248" s="143" t="s">
        <v>707</v>
      </c>
      <c r="B248" s="143" t="s">
        <v>293</v>
      </c>
      <c r="C248" s="143" t="s">
        <v>294</v>
      </c>
      <c r="D248" s="143" t="s">
        <v>69</v>
      </c>
      <c r="E248" s="257">
        <v>3681614000</v>
      </c>
      <c r="F248" s="257">
        <v>3681614000</v>
      </c>
      <c r="G248" s="257">
        <v>3681614000</v>
      </c>
      <c r="H248" s="257">
        <v>0</v>
      </c>
      <c r="I248" s="257">
        <v>0</v>
      </c>
      <c r="J248" s="257">
        <v>0</v>
      </c>
      <c r="K248" s="257">
        <v>916418055.64999998</v>
      </c>
      <c r="L248" s="257">
        <v>916418055.64999998</v>
      </c>
      <c r="M248" s="279">
        <v>2765195944.3499999</v>
      </c>
      <c r="N248" s="257">
        <v>2765195944.3499999</v>
      </c>
    </row>
    <row r="249" spans="1:14" s="143" customFormat="1" hidden="1" x14ac:dyDescent="0.25">
      <c r="A249" s="143" t="s">
        <v>707</v>
      </c>
      <c r="B249" s="143" t="s">
        <v>295</v>
      </c>
      <c r="C249" s="143" t="s">
        <v>296</v>
      </c>
      <c r="D249" s="143" t="s">
        <v>69</v>
      </c>
      <c r="E249" s="257">
        <v>8000000</v>
      </c>
      <c r="F249" s="257">
        <v>8000000</v>
      </c>
      <c r="G249" s="257">
        <v>8000000</v>
      </c>
      <c r="H249" s="257">
        <v>0</v>
      </c>
      <c r="I249" s="257">
        <v>0</v>
      </c>
      <c r="J249" s="257">
        <v>0</v>
      </c>
      <c r="K249" s="257">
        <v>2826388.81</v>
      </c>
      <c r="L249" s="257">
        <v>2826388.81</v>
      </c>
      <c r="M249" s="279">
        <v>5173611.1900000004</v>
      </c>
      <c r="N249" s="257">
        <v>5173611.1900000004</v>
      </c>
    </row>
    <row r="250" spans="1:14" s="143" customFormat="1" hidden="1" x14ac:dyDescent="0.25">
      <c r="A250" s="143" t="s">
        <v>707</v>
      </c>
      <c r="B250" s="143" t="s">
        <v>337</v>
      </c>
      <c r="C250" s="143" t="s">
        <v>338</v>
      </c>
      <c r="D250" s="143" t="s">
        <v>69</v>
      </c>
      <c r="E250" s="257">
        <v>25000000</v>
      </c>
      <c r="F250" s="257">
        <v>25000000</v>
      </c>
      <c r="G250" s="257">
        <v>25000000</v>
      </c>
      <c r="H250" s="257">
        <v>0</v>
      </c>
      <c r="I250" s="257">
        <v>0</v>
      </c>
      <c r="J250" s="257">
        <v>0</v>
      </c>
      <c r="K250" s="257">
        <v>354490</v>
      </c>
      <c r="L250" s="257">
        <v>354490</v>
      </c>
      <c r="M250" s="279">
        <v>24645510</v>
      </c>
      <c r="N250" s="257">
        <v>24645510</v>
      </c>
    </row>
    <row r="251" spans="1:14" s="143" customFormat="1" hidden="1" x14ac:dyDescent="0.25">
      <c r="A251" s="143" t="s">
        <v>707</v>
      </c>
      <c r="B251" s="143" t="s">
        <v>339</v>
      </c>
      <c r="C251" s="143" t="s">
        <v>340</v>
      </c>
      <c r="D251" s="143" t="s">
        <v>69</v>
      </c>
      <c r="E251" s="257">
        <v>3648614000</v>
      </c>
      <c r="F251" s="257">
        <v>3648614000</v>
      </c>
      <c r="G251" s="257">
        <v>3648614000</v>
      </c>
      <c r="H251" s="257">
        <v>0</v>
      </c>
      <c r="I251" s="257">
        <v>0</v>
      </c>
      <c r="J251" s="257">
        <v>0</v>
      </c>
      <c r="K251" s="257">
        <v>913237176.84000003</v>
      </c>
      <c r="L251" s="257">
        <v>913237176.84000003</v>
      </c>
      <c r="M251" s="279">
        <v>2735376823.1599998</v>
      </c>
      <c r="N251" s="257">
        <v>2735376823.1599998</v>
      </c>
    </row>
    <row r="252" spans="1:14" s="143" customFormat="1" hidden="1" x14ac:dyDescent="0.25">
      <c r="A252" s="143" t="s">
        <v>707</v>
      </c>
      <c r="B252" s="143" t="s">
        <v>77</v>
      </c>
      <c r="C252" s="143" t="s">
        <v>78</v>
      </c>
      <c r="D252" s="143" t="s">
        <v>69</v>
      </c>
      <c r="E252" s="257">
        <v>20273537632</v>
      </c>
      <c r="F252" s="257">
        <v>20273537632</v>
      </c>
      <c r="G252" s="257">
        <v>18736556544</v>
      </c>
      <c r="H252" s="257">
        <v>0</v>
      </c>
      <c r="I252" s="257">
        <v>0</v>
      </c>
      <c r="J252" s="257">
        <v>0</v>
      </c>
      <c r="K252" s="257">
        <v>6122675283.2799997</v>
      </c>
      <c r="L252" s="257">
        <v>6122675283.2799997</v>
      </c>
      <c r="M252" s="279">
        <v>14150862348.719999</v>
      </c>
      <c r="N252" s="257">
        <v>12613881260.719999</v>
      </c>
    </row>
    <row r="253" spans="1:14" s="143" customFormat="1" hidden="1" x14ac:dyDescent="0.25">
      <c r="A253" s="143" t="s">
        <v>707</v>
      </c>
      <c r="B253" s="143" t="s">
        <v>79</v>
      </c>
      <c r="C253" s="143" t="s">
        <v>80</v>
      </c>
      <c r="D253" s="143" t="s">
        <v>69</v>
      </c>
      <c r="E253" s="257">
        <v>7240363600</v>
      </c>
      <c r="F253" s="257">
        <v>7240363600</v>
      </c>
      <c r="G253" s="257">
        <v>6903593599</v>
      </c>
      <c r="H253" s="257">
        <v>0</v>
      </c>
      <c r="I253" s="257">
        <v>0</v>
      </c>
      <c r="J253" s="257">
        <v>0</v>
      </c>
      <c r="K253" s="257">
        <v>1689993412.9200001</v>
      </c>
      <c r="L253" s="257">
        <v>1689993412.9200001</v>
      </c>
      <c r="M253" s="279">
        <v>5550370187.0799999</v>
      </c>
      <c r="N253" s="257">
        <v>5213600186.0799999</v>
      </c>
    </row>
    <row r="254" spans="1:14" s="143" customFormat="1" hidden="1" x14ac:dyDescent="0.25">
      <c r="A254" s="143" t="s">
        <v>707</v>
      </c>
      <c r="B254" s="143" t="s">
        <v>81</v>
      </c>
      <c r="C254" s="143" t="s">
        <v>82</v>
      </c>
      <c r="D254" s="143" t="s">
        <v>69</v>
      </c>
      <c r="E254" s="257">
        <v>646663149</v>
      </c>
      <c r="F254" s="257">
        <v>646663149</v>
      </c>
      <c r="G254" s="257">
        <v>507159410</v>
      </c>
      <c r="H254" s="257">
        <v>0</v>
      </c>
      <c r="I254" s="257">
        <v>0</v>
      </c>
      <c r="J254" s="257">
        <v>0</v>
      </c>
      <c r="K254" s="257">
        <v>116238773.36</v>
      </c>
      <c r="L254" s="257">
        <v>116238773.36</v>
      </c>
      <c r="M254" s="279">
        <v>530424375.63999999</v>
      </c>
      <c r="N254" s="257">
        <v>390920636.63999999</v>
      </c>
    </row>
    <row r="255" spans="1:14" s="143" customFormat="1" hidden="1" x14ac:dyDescent="0.25">
      <c r="A255" s="143" t="s">
        <v>707</v>
      </c>
      <c r="B255" s="143" t="s">
        <v>83</v>
      </c>
      <c r="C255" s="143" t="s">
        <v>84</v>
      </c>
      <c r="D255" s="143" t="s">
        <v>85</v>
      </c>
      <c r="E255" s="257">
        <v>3190897883</v>
      </c>
      <c r="F255" s="257">
        <v>3190897883</v>
      </c>
      <c r="G255" s="257">
        <v>2136349208</v>
      </c>
      <c r="H255" s="257">
        <v>0</v>
      </c>
      <c r="I255" s="257">
        <v>0</v>
      </c>
      <c r="J255" s="257">
        <v>0</v>
      </c>
      <c r="K255" s="257">
        <v>152808.79999999999</v>
      </c>
      <c r="L255" s="257">
        <v>152808.79999999999</v>
      </c>
      <c r="M255" s="279">
        <v>3190745074.1999998</v>
      </c>
      <c r="N255" s="257">
        <v>2136196399.2</v>
      </c>
    </row>
    <row r="256" spans="1:14" s="143" customFormat="1" hidden="1" x14ac:dyDescent="0.25">
      <c r="A256" s="143" t="s">
        <v>707</v>
      </c>
      <c r="B256" s="143" t="s">
        <v>86</v>
      </c>
      <c r="C256" s="143" t="s">
        <v>87</v>
      </c>
      <c r="D256" s="143" t="s">
        <v>69</v>
      </c>
      <c r="E256" s="257">
        <v>2924191700</v>
      </c>
      <c r="F256" s="257">
        <v>2924191700</v>
      </c>
      <c r="G256" s="257">
        <v>2924191700</v>
      </c>
      <c r="H256" s="257">
        <v>0</v>
      </c>
      <c r="I256" s="257">
        <v>0</v>
      </c>
      <c r="J256" s="257">
        <v>0</v>
      </c>
      <c r="K256" s="257">
        <v>2864019903.27</v>
      </c>
      <c r="L256" s="257">
        <v>2864019903.27</v>
      </c>
      <c r="M256" s="279">
        <v>60171796.729999997</v>
      </c>
      <c r="N256" s="257">
        <v>60171796.729999997</v>
      </c>
    </row>
    <row r="257" spans="1:14" s="143" customFormat="1" hidden="1" x14ac:dyDescent="0.25">
      <c r="A257" s="143" t="s">
        <v>707</v>
      </c>
      <c r="B257" s="143" t="s">
        <v>88</v>
      </c>
      <c r="C257" s="143" t="s">
        <v>89</v>
      </c>
      <c r="D257" s="143" t="s">
        <v>69</v>
      </c>
      <c r="E257" s="257">
        <v>6271421300</v>
      </c>
      <c r="F257" s="257">
        <v>6271421300</v>
      </c>
      <c r="G257" s="257">
        <v>6265262627</v>
      </c>
      <c r="H257" s="257">
        <v>0</v>
      </c>
      <c r="I257" s="257">
        <v>0</v>
      </c>
      <c r="J257" s="257">
        <v>0</v>
      </c>
      <c r="K257" s="257">
        <v>1452270384.9300001</v>
      </c>
      <c r="L257" s="257">
        <v>1452270384.9300001</v>
      </c>
      <c r="M257" s="279">
        <v>4819150915.0699997</v>
      </c>
      <c r="N257" s="257">
        <v>4812992242.0699997</v>
      </c>
    </row>
    <row r="258" spans="1:14" s="143" customFormat="1" hidden="1" x14ac:dyDescent="0.25">
      <c r="A258" s="143" t="s">
        <v>707</v>
      </c>
      <c r="B258" s="143" t="s">
        <v>90</v>
      </c>
      <c r="C258" s="143" t="s">
        <v>91</v>
      </c>
      <c r="D258" s="143" t="s">
        <v>69</v>
      </c>
      <c r="E258" s="257">
        <v>3734844376</v>
      </c>
      <c r="F258" s="257">
        <v>3734844376</v>
      </c>
      <c r="G258" s="257">
        <v>3646647985</v>
      </c>
      <c r="H258" s="257">
        <v>0</v>
      </c>
      <c r="I258" s="257">
        <v>2542586530</v>
      </c>
      <c r="J258" s="257">
        <v>0</v>
      </c>
      <c r="K258" s="257">
        <v>1192257846</v>
      </c>
      <c r="L258" s="257">
        <v>1192257846</v>
      </c>
      <c r="M258" s="279">
        <v>0</v>
      </c>
      <c r="N258" s="275">
        <v>-88196391</v>
      </c>
    </row>
    <row r="259" spans="1:14" s="143" customFormat="1" hidden="1" x14ac:dyDescent="0.25">
      <c r="A259" s="143" t="s">
        <v>707</v>
      </c>
      <c r="B259" s="143" t="s">
        <v>420</v>
      </c>
      <c r="C259" s="143" t="s">
        <v>697</v>
      </c>
      <c r="D259" s="143" t="s">
        <v>69</v>
      </c>
      <c r="E259" s="257">
        <v>3543313962</v>
      </c>
      <c r="F259" s="257">
        <v>3543313962</v>
      </c>
      <c r="G259" s="257">
        <v>3459640463</v>
      </c>
      <c r="H259" s="257">
        <v>0</v>
      </c>
      <c r="I259" s="257">
        <v>2412190695</v>
      </c>
      <c r="J259" s="257">
        <v>0</v>
      </c>
      <c r="K259" s="257">
        <v>1131123267</v>
      </c>
      <c r="L259" s="257">
        <v>1131123267</v>
      </c>
      <c r="M259" s="279">
        <v>0</v>
      </c>
      <c r="N259" s="275">
        <v>-83673499</v>
      </c>
    </row>
    <row r="260" spans="1:14" s="143" customFormat="1" hidden="1" x14ac:dyDescent="0.25">
      <c r="A260" s="143" t="s">
        <v>707</v>
      </c>
      <c r="B260" s="143" t="s">
        <v>437</v>
      </c>
      <c r="C260" s="143" t="s">
        <v>95</v>
      </c>
      <c r="D260" s="143" t="s">
        <v>69</v>
      </c>
      <c r="E260" s="257">
        <v>191530414</v>
      </c>
      <c r="F260" s="257">
        <v>191530414</v>
      </c>
      <c r="G260" s="257">
        <v>187007522</v>
      </c>
      <c r="H260" s="257">
        <v>0</v>
      </c>
      <c r="I260" s="257">
        <v>130395835</v>
      </c>
      <c r="J260" s="257">
        <v>0</v>
      </c>
      <c r="K260" s="257">
        <v>61134579</v>
      </c>
      <c r="L260" s="257">
        <v>61134579</v>
      </c>
      <c r="M260" s="279">
        <v>0</v>
      </c>
      <c r="N260" s="275">
        <v>-4522892</v>
      </c>
    </row>
    <row r="261" spans="1:14" s="143" customFormat="1" hidden="1" x14ac:dyDescent="0.25">
      <c r="A261" s="143" t="s">
        <v>707</v>
      </c>
      <c r="B261" s="143" t="s">
        <v>96</v>
      </c>
      <c r="C261" s="143" t="s">
        <v>97</v>
      </c>
      <c r="D261" s="143" t="s">
        <v>69</v>
      </c>
      <c r="E261" s="257">
        <v>3734844374</v>
      </c>
      <c r="F261" s="257">
        <v>3734844374</v>
      </c>
      <c r="G261" s="257">
        <v>3646647984</v>
      </c>
      <c r="H261" s="257">
        <v>0</v>
      </c>
      <c r="I261" s="257">
        <v>2554124003</v>
      </c>
      <c r="J261" s="257">
        <v>0</v>
      </c>
      <c r="K261" s="257">
        <v>1180720371</v>
      </c>
      <c r="L261" s="257">
        <v>1180720371</v>
      </c>
      <c r="M261" s="279">
        <v>0</v>
      </c>
      <c r="N261" s="275">
        <v>-88196390</v>
      </c>
    </row>
    <row r="262" spans="1:14" s="143" customFormat="1" hidden="1" x14ac:dyDescent="0.25">
      <c r="A262" s="143" t="s">
        <v>707</v>
      </c>
      <c r="B262" s="143" t="s">
        <v>455</v>
      </c>
      <c r="C262" s="143" t="s">
        <v>698</v>
      </c>
      <c r="D262" s="143" t="s">
        <v>69</v>
      </c>
      <c r="E262" s="257">
        <v>2011070048</v>
      </c>
      <c r="F262" s="257">
        <v>2011070048</v>
      </c>
      <c r="G262" s="257">
        <v>1963579684</v>
      </c>
      <c r="H262" s="257">
        <v>0</v>
      </c>
      <c r="I262" s="257">
        <v>1380561012</v>
      </c>
      <c r="J262" s="257">
        <v>0</v>
      </c>
      <c r="K262" s="257">
        <v>630509036</v>
      </c>
      <c r="L262" s="257">
        <v>630509036</v>
      </c>
      <c r="M262" s="279">
        <v>0</v>
      </c>
      <c r="N262" s="275">
        <v>-47490364</v>
      </c>
    </row>
    <row r="263" spans="1:14" s="143" customFormat="1" hidden="1" x14ac:dyDescent="0.25">
      <c r="A263" s="143" t="s">
        <v>707</v>
      </c>
      <c r="B263" s="143" t="s">
        <v>472</v>
      </c>
      <c r="C263" s="143" t="s">
        <v>699</v>
      </c>
      <c r="D263" s="143" t="s">
        <v>69</v>
      </c>
      <c r="E263" s="257">
        <v>574591442</v>
      </c>
      <c r="F263" s="257">
        <v>574591442</v>
      </c>
      <c r="G263" s="257">
        <v>561022767</v>
      </c>
      <c r="H263" s="257">
        <v>0</v>
      </c>
      <c r="I263" s="257">
        <v>391187639</v>
      </c>
      <c r="J263" s="257">
        <v>0</v>
      </c>
      <c r="K263" s="257">
        <v>183403803</v>
      </c>
      <c r="L263" s="257">
        <v>183403803</v>
      </c>
      <c r="M263" s="279">
        <v>0</v>
      </c>
      <c r="N263" s="275">
        <v>-13568675</v>
      </c>
    </row>
    <row r="264" spans="1:14" s="143" customFormat="1" hidden="1" x14ac:dyDescent="0.25">
      <c r="A264" s="143" t="s">
        <v>707</v>
      </c>
      <c r="B264" s="143" t="s">
        <v>489</v>
      </c>
      <c r="C264" s="143" t="s">
        <v>700</v>
      </c>
      <c r="D264" s="143" t="s">
        <v>69</v>
      </c>
      <c r="E264" s="257">
        <v>1149182884</v>
      </c>
      <c r="F264" s="257">
        <v>1149182884</v>
      </c>
      <c r="G264" s="257">
        <v>1122045533</v>
      </c>
      <c r="H264" s="257">
        <v>0</v>
      </c>
      <c r="I264" s="257">
        <v>782375352</v>
      </c>
      <c r="J264" s="257">
        <v>0</v>
      </c>
      <c r="K264" s="257">
        <v>366807532</v>
      </c>
      <c r="L264" s="257">
        <v>366807532</v>
      </c>
      <c r="M264" s="279">
        <v>0</v>
      </c>
      <c r="N264" s="275">
        <v>-27137351</v>
      </c>
    </row>
    <row r="265" spans="1:14" s="143" customFormat="1" hidden="1" x14ac:dyDescent="0.25">
      <c r="A265" s="143" t="s">
        <v>707</v>
      </c>
      <c r="B265" s="143" t="s">
        <v>104</v>
      </c>
      <c r="C265" s="143" t="s">
        <v>105</v>
      </c>
      <c r="D265" s="143" t="s">
        <v>69</v>
      </c>
      <c r="E265" s="257">
        <v>6509291577</v>
      </c>
      <c r="F265" s="257">
        <v>6509291577</v>
      </c>
      <c r="G265" s="257">
        <v>5550587929</v>
      </c>
      <c r="H265" s="257">
        <v>286900</v>
      </c>
      <c r="I265" s="257">
        <v>891509816.26999998</v>
      </c>
      <c r="J265" s="257">
        <v>32512057.530000001</v>
      </c>
      <c r="K265" s="257">
        <v>459596650.77999997</v>
      </c>
      <c r="L265" s="257">
        <v>382214745.02999997</v>
      </c>
      <c r="M265" s="279">
        <v>5125386152.4200001</v>
      </c>
      <c r="N265" s="257">
        <v>4166682504.4200001</v>
      </c>
    </row>
    <row r="266" spans="1:14" s="143" customFormat="1" hidden="1" x14ac:dyDescent="0.25">
      <c r="A266" s="143" t="s">
        <v>707</v>
      </c>
      <c r="B266" s="143" t="s">
        <v>106</v>
      </c>
      <c r="C266" s="143" t="s">
        <v>107</v>
      </c>
      <c r="D266" s="143" t="s">
        <v>69</v>
      </c>
      <c r="E266" s="257">
        <v>3002893777</v>
      </c>
      <c r="F266" s="257">
        <v>3002893777</v>
      </c>
      <c r="G266" s="257">
        <v>2945862847</v>
      </c>
      <c r="H266" s="257">
        <v>0</v>
      </c>
      <c r="I266" s="257">
        <v>408658204.27999997</v>
      </c>
      <c r="J266" s="257">
        <v>0</v>
      </c>
      <c r="K266" s="257">
        <v>170642962.55000001</v>
      </c>
      <c r="L266" s="257">
        <v>126082082.89</v>
      </c>
      <c r="M266" s="279">
        <v>2423592610.1700001</v>
      </c>
      <c r="N266" s="257">
        <v>2366561680.1700001</v>
      </c>
    </row>
    <row r="267" spans="1:14" s="143" customFormat="1" hidden="1" x14ac:dyDescent="0.25">
      <c r="A267" s="143" t="s">
        <v>707</v>
      </c>
      <c r="B267" s="143" t="s">
        <v>280</v>
      </c>
      <c r="C267" s="143" t="s">
        <v>281</v>
      </c>
      <c r="D267" s="143" t="s">
        <v>69</v>
      </c>
      <c r="E267" s="257">
        <v>540000000</v>
      </c>
      <c r="F267" s="257">
        <v>540000000</v>
      </c>
      <c r="G267" s="257">
        <v>540000000</v>
      </c>
      <c r="H267" s="257">
        <v>0</v>
      </c>
      <c r="I267" s="257">
        <v>35378712.079999998</v>
      </c>
      <c r="J267" s="257">
        <v>0</v>
      </c>
      <c r="K267" s="257">
        <v>82180909.819999993</v>
      </c>
      <c r="L267" s="257">
        <v>75977869.719999999</v>
      </c>
      <c r="M267" s="279">
        <v>422440378.10000002</v>
      </c>
      <c r="N267" s="257">
        <v>422440378.10000002</v>
      </c>
    </row>
    <row r="268" spans="1:14" s="143" customFormat="1" hidden="1" x14ac:dyDescent="0.25">
      <c r="A268" s="143" t="s">
        <v>707</v>
      </c>
      <c r="B268" s="143" t="s">
        <v>108</v>
      </c>
      <c r="C268" s="143" t="s">
        <v>109</v>
      </c>
      <c r="D268" s="143" t="s">
        <v>69</v>
      </c>
      <c r="E268" s="257">
        <v>974595134</v>
      </c>
      <c r="F268" s="257">
        <v>974595134</v>
      </c>
      <c r="G268" s="257">
        <v>974595134</v>
      </c>
      <c r="H268" s="257">
        <v>0</v>
      </c>
      <c r="I268" s="257">
        <v>145729081.13999999</v>
      </c>
      <c r="J268" s="257">
        <v>0</v>
      </c>
      <c r="K268" s="257">
        <v>44698245.189999998</v>
      </c>
      <c r="L268" s="257">
        <v>6340405.6299999999</v>
      </c>
      <c r="M268" s="279">
        <v>784167807.66999996</v>
      </c>
      <c r="N268" s="257">
        <v>784167807.66999996</v>
      </c>
    </row>
    <row r="269" spans="1:14" s="143" customFormat="1" hidden="1" x14ac:dyDescent="0.25">
      <c r="A269" s="143" t="s">
        <v>707</v>
      </c>
      <c r="B269" s="143" t="s">
        <v>304</v>
      </c>
      <c r="C269" s="143" t="s">
        <v>305</v>
      </c>
      <c r="D269" s="143" t="s">
        <v>69</v>
      </c>
      <c r="E269" s="257">
        <v>114061860</v>
      </c>
      <c r="F269" s="257">
        <v>114061860</v>
      </c>
      <c r="G269" s="257">
        <v>57030930</v>
      </c>
      <c r="H269" s="257">
        <v>0</v>
      </c>
      <c r="I269" s="257">
        <v>8742059.2300000004</v>
      </c>
      <c r="J269" s="257">
        <v>0</v>
      </c>
      <c r="K269" s="257">
        <v>0</v>
      </c>
      <c r="L269" s="257">
        <v>0</v>
      </c>
      <c r="M269" s="279">
        <v>105319800.77</v>
      </c>
      <c r="N269" s="257">
        <v>48288870.770000003</v>
      </c>
    </row>
    <row r="270" spans="1:14" s="143" customFormat="1" hidden="1" x14ac:dyDescent="0.25">
      <c r="A270" s="143" t="s">
        <v>707</v>
      </c>
      <c r="B270" s="143" t="s">
        <v>110</v>
      </c>
      <c r="C270" s="143" t="s">
        <v>111</v>
      </c>
      <c r="D270" s="143" t="s">
        <v>69</v>
      </c>
      <c r="E270" s="257">
        <v>1374236783</v>
      </c>
      <c r="F270" s="257">
        <v>1374236783</v>
      </c>
      <c r="G270" s="257">
        <v>1374236783</v>
      </c>
      <c r="H270" s="257">
        <v>0</v>
      </c>
      <c r="I270" s="257">
        <v>218808351.83000001</v>
      </c>
      <c r="J270" s="257">
        <v>0</v>
      </c>
      <c r="K270" s="257">
        <v>43763807.539999999</v>
      </c>
      <c r="L270" s="257">
        <v>43763807.539999999</v>
      </c>
      <c r="M270" s="279">
        <v>1111664623.6300001</v>
      </c>
      <c r="N270" s="257">
        <v>1111664623.6300001</v>
      </c>
    </row>
    <row r="271" spans="1:14" s="143" customFormat="1" hidden="1" x14ac:dyDescent="0.25">
      <c r="A271" s="143" t="s">
        <v>707</v>
      </c>
      <c r="B271" s="143" t="s">
        <v>112</v>
      </c>
      <c r="C271" s="143" t="s">
        <v>113</v>
      </c>
      <c r="D271" s="143" t="s">
        <v>69</v>
      </c>
      <c r="E271" s="257">
        <v>758051064</v>
      </c>
      <c r="F271" s="257">
        <v>758051064</v>
      </c>
      <c r="G271" s="257">
        <v>629039646</v>
      </c>
      <c r="H271" s="257">
        <v>0</v>
      </c>
      <c r="I271" s="257">
        <v>107436305.28</v>
      </c>
      <c r="J271" s="257">
        <v>1091783</v>
      </c>
      <c r="K271" s="257">
        <v>180765250.96000001</v>
      </c>
      <c r="L271" s="257">
        <v>176727931.81</v>
      </c>
      <c r="M271" s="279">
        <v>468757724.75999999</v>
      </c>
      <c r="N271" s="257">
        <v>339746306.75999999</v>
      </c>
    </row>
    <row r="272" spans="1:14" s="143" customFormat="1" hidden="1" x14ac:dyDescent="0.25">
      <c r="A272" s="143" t="s">
        <v>707</v>
      </c>
      <c r="B272" s="143" t="s">
        <v>114</v>
      </c>
      <c r="C272" s="143" t="s">
        <v>115</v>
      </c>
      <c r="D272" s="143" t="s">
        <v>69</v>
      </c>
      <c r="E272" s="257">
        <v>18001000</v>
      </c>
      <c r="F272" s="257">
        <v>18001000</v>
      </c>
      <c r="G272" s="257">
        <v>9000500</v>
      </c>
      <c r="H272" s="257">
        <v>0</v>
      </c>
      <c r="I272" s="257">
        <v>3219731</v>
      </c>
      <c r="J272" s="257">
        <v>0</v>
      </c>
      <c r="K272" s="257">
        <v>1280519</v>
      </c>
      <c r="L272" s="257">
        <v>0</v>
      </c>
      <c r="M272" s="279">
        <v>13500750</v>
      </c>
      <c r="N272" s="257">
        <v>4500250</v>
      </c>
    </row>
    <row r="273" spans="1:14" s="143" customFormat="1" hidden="1" x14ac:dyDescent="0.25">
      <c r="A273" s="143" t="s">
        <v>707</v>
      </c>
      <c r="B273" s="143" t="s">
        <v>116</v>
      </c>
      <c r="C273" s="143" t="s">
        <v>117</v>
      </c>
      <c r="D273" s="143" t="s">
        <v>69</v>
      </c>
      <c r="E273" s="257">
        <v>244470000</v>
      </c>
      <c r="F273" s="257">
        <v>244470000</v>
      </c>
      <c r="G273" s="257">
        <v>225288685</v>
      </c>
      <c r="H273" s="257">
        <v>0</v>
      </c>
      <c r="I273" s="257">
        <v>6157752</v>
      </c>
      <c r="J273" s="257">
        <v>0</v>
      </c>
      <c r="K273" s="257">
        <v>146404281.31999999</v>
      </c>
      <c r="L273" s="257">
        <v>146404281.31999999</v>
      </c>
      <c r="M273" s="279">
        <v>91907966.680000007</v>
      </c>
      <c r="N273" s="257">
        <v>72726651.680000007</v>
      </c>
    </row>
    <row r="274" spans="1:14" s="143" customFormat="1" hidden="1" x14ac:dyDescent="0.25">
      <c r="A274" s="143" t="s">
        <v>707</v>
      </c>
      <c r="B274" s="143" t="s">
        <v>118</v>
      </c>
      <c r="C274" s="143" t="s">
        <v>119</v>
      </c>
      <c r="D274" s="143" t="s">
        <v>69</v>
      </c>
      <c r="E274" s="257">
        <v>6000000</v>
      </c>
      <c r="F274" s="257">
        <v>6000000</v>
      </c>
      <c r="G274" s="257">
        <v>3000000</v>
      </c>
      <c r="H274" s="257">
        <v>0</v>
      </c>
      <c r="I274" s="257">
        <v>1268340</v>
      </c>
      <c r="J274" s="257">
        <v>0</v>
      </c>
      <c r="K274" s="257">
        <v>231660</v>
      </c>
      <c r="L274" s="257">
        <v>231660</v>
      </c>
      <c r="M274" s="279">
        <v>4500000</v>
      </c>
      <c r="N274" s="257">
        <v>1500000</v>
      </c>
    </row>
    <row r="275" spans="1:14" s="143" customFormat="1" hidden="1" x14ac:dyDescent="0.25">
      <c r="A275" s="143" t="s">
        <v>707</v>
      </c>
      <c r="B275" s="143" t="s">
        <v>120</v>
      </c>
      <c r="C275" s="143" t="s">
        <v>121</v>
      </c>
      <c r="D275" s="143" t="s">
        <v>69</v>
      </c>
      <c r="E275" s="257">
        <v>411938379</v>
      </c>
      <c r="F275" s="257">
        <v>411938379</v>
      </c>
      <c r="G275" s="257">
        <v>314108776</v>
      </c>
      <c r="H275" s="257">
        <v>0</v>
      </c>
      <c r="I275" s="257">
        <v>84137248.480000004</v>
      </c>
      <c r="J275" s="257">
        <v>0</v>
      </c>
      <c r="K275" s="257">
        <v>26024148.859999999</v>
      </c>
      <c r="L275" s="257">
        <v>25512174.210000001</v>
      </c>
      <c r="M275" s="279">
        <v>301776981.66000003</v>
      </c>
      <c r="N275" s="257">
        <v>203947378.66</v>
      </c>
    </row>
    <row r="276" spans="1:14" s="143" customFormat="1" hidden="1" x14ac:dyDescent="0.25">
      <c r="A276" s="143" t="s">
        <v>707</v>
      </c>
      <c r="B276" s="143" t="s">
        <v>122</v>
      </c>
      <c r="C276" s="143" t="s">
        <v>123</v>
      </c>
      <c r="D276" s="143" t="s">
        <v>69</v>
      </c>
      <c r="E276" s="257">
        <v>77641685</v>
      </c>
      <c r="F276" s="257">
        <v>77641685</v>
      </c>
      <c r="G276" s="257">
        <v>77641685</v>
      </c>
      <c r="H276" s="257">
        <v>0</v>
      </c>
      <c r="I276" s="257">
        <v>12653233.800000001</v>
      </c>
      <c r="J276" s="257">
        <v>1091783</v>
      </c>
      <c r="K276" s="257">
        <v>6824641.7800000003</v>
      </c>
      <c r="L276" s="257">
        <v>4579816.28</v>
      </c>
      <c r="M276" s="279">
        <v>57072026.420000002</v>
      </c>
      <c r="N276" s="257">
        <v>57072026.420000002</v>
      </c>
    </row>
    <row r="277" spans="1:14" s="143" customFormat="1" hidden="1" x14ac:dyDescent="0.25">
      <c r="A277" s="143" t="s">
        <v>707</v>
      </c>
      <c r="B277" s="143" t="s">
        <v>124</v>
      </c>
      <c r="C277" s="143" t="s">
        <v>125</v>
      </c>
      <c r="D277" s="143" t="s">
        <v>69</v>
      </c>
      <c r="E277" s="257">
        <v>9633760</v>
      </c>
      <c r="F277" s="257">
        <v>9633760</v>
      </c>
      <c r="G277" s="257">
        <v>9633760</v>
      </c>
      <c r="H277" s="257">
        <v>0</v>
      </c>
      <c r="I277" s="257">
        <v>3000000</v>
      </c>
      <c r="J277" s="257">
        <v>0</v>
      </c>
      <c r="K277" s="257">
        <v>0</v>
      </c>
      <c r="L277" s="257">
        <v>0</v>
      </c>
      <c r="M277" s="279">
        <v>6633760</v>
      </c>
      <c r="N277" s="257">
        <v>6633760</v>
      </c>
    </row>
    <row r="278" spans="1:14" s="143" customFormat="1" hidden="1" x14ac:dyDescent="0.25">
      <c r="A278" s="143" t="s">
        <v>707</v>
      </c>
      <c r="B278" s="143" t="s">
        <v>126</v>
      </c>
      <c r="C278" s="143" t="s">
        <v>127</v>
      </c>
      <c r="D278" s="143" t="s">
        <v>69</v>
      </c>
      <c r="E278" s="257">
        <v>5513760</v>
      </c>
      <c r="F278" s="257">
        <v>5513760</v>
      </c>
      <c r="G278" s="257">
        <v>5513760</v>
      </c>
      <c r="H278" s="257">
        <v>0</v>
      </c>
      <c r="I278" s="257">
        <v>3000000</v>
      </c>
      <c r="J278" s="257">
        <v>0</v>
      </c>
      <c r="K278" s="257">
        <v>0</v>
      </c>
      <c r="L278" s="257">
        <v>0</v>
      </c>
      <c r="M278" s="279">
        <v>2513760</v>
      </c>
      <c r="N278" s="257">
        <v>2513760</v>
      </c>
    </row>
    <row r="279" spans="1:14" s="143" customFormat="1" hidden="1" x14ac:dyDescent="0.25">
      <c r="A279" s="143" t="s">
        <v>707</v>
      </c>
      <c r="B279" s="143" t="s">
        <v>128</v>
      </c>
      <c r="C279" s="143" t="s">
        <v>129</v>
      </c>
      <c r="D279" s="143" t="s">
        <v>69</v>
      </c>
      <c r="E279" s="257">
        <v>2620000</v>
      </c>
      <c r="F279" s="257">
        <v>2620000</v>
      </c>
      <c r="G279" s="257">
        <v>2620000</v>
      </c>
      <c r="H279" s="257">
        <v>0</v>
      </c>
      <c r="I279" s="257">
        <v>0</v>
      </c>
      <c r="J279" s="257">
        <v>0</v>
      </c>
      <c r="K279" s="257">
        <v>0</v>
      </c>
      <c r="L279" s="257">
        <v>0</v>
      </c>
      <c r="M279" s="279">
        <v>2620000</v>
      </c>
      <c r="N279" s="257">
        <v>2620000</v>
      </c>
    </row>
    <row r="280" spans="1:14" s="143" customFormat="1" hidden="1" x14ac:dyDescent="0.25">
      <c r="A280" s="143" t="s">
        <v>707</v>
      </c>
      <c r="B280" s="143" t="s">
        <v>132</v>
      </c>
      <c r="C280" s="143" t="s">
        <v>133</v>
      </c>
      <c r="D280" s="143" t="s">
        <v>69</v>
      </c>
      <c r="E280" s="257">
        <v>1500000</v>
      </c>
      <c r="F280" s="257">
        <v>1500000</v>
      </c>
      <c r="G280" s="257">
        <v>1500000</v>
      </c>
      <c r="H280" s="257">
        <v>0</v>
      </c>
      <c r="I280" s="257">
        <v>0</v>
      </c>
      <c r="J280" s="257">
        <v>0</v>
      </c>
      <c r="K280" s="257">
        <v>0</v>
      </c>
      <c r="L280" s="257">
        <v>0</v>
      </c>
      <c r="M280" s="279">
        <v>1500000</v>
      </c>
      <c r="N280" s="257">
        <v>1500000</v>
      </c>
    </row>
    <row r="281" spans="1:14" s="143" customFormat="1" hidden="1" x14ac:dyDescent="0.25">
      <c r="A281" s="143" t="s">
        <v>707</v>
      </c>
      <c r="B281" s="143" t="s">
        <v>134</v>
      </c>
      <c r="C281" s="143" t="s">
        <v>135</v>
      </c>
      <c r="D281" s="143" t="s">
        <v>69</v>
      </c>
      <c r="E281" s="257">
        <v>312558343</v>
      </c>
      <c r="F281" s="257">
        <v>312558343</v>
      </c>
      <c r="G281" s="257">
        <v>309558343</v>
      </c>
      <c r="H281" s="257">
        <v>0</v>
      </c>
      <c r="I281" s="257">
        <v>120974383.06</v>
      </c>
      <c r="J281" s="257">
        <v>21437069.379999999</v>
      </c>
      <c r="K281" s="257">
        <v>19335600.280000001</v>
      </c>
      <c r="L281" s="257">
        <v>19007357.57</v>
      </c>
      <c r="M281" s="279">
        <v>150811290.28</v>
      </c>
      <c r="N281" s="257">
        <v>147811290.28</v>
      </c>
    </row>
    <row r="282" spans="1:14" s="143" customFormat="1" hidden="1" x14ac:dyDescent="0.25">
      <c r="A282" s="143" t="s">
        <v>707</v>
      </c>
      <c r="B282" s="143" t="s">
        <v>346</v>
      </c>
      <c r="C282" s="143" t="s">
        <v>347</v>
      </c>
      <c r="D282" s="143" t="s">
        <v>69</v>
      </c>
      <c r="E282" s="257">
        <v>34001608</v>
      </c>
      <c r="F282" s="257">
        <v>34001608</v>
      </c>
      <c r="G282" s="257">
        <v>31001608</v>
      </c>
      <c r="H282" s="257">
        <v>0</v>
      </c>
      <c r="I282" s="257">
        <v>25403313.129999999</v>
      </c>
      <c r="J282" s="257">
        <v>5228032</v>
      </c>
      <c r="K282" s="257">
        <v>328242.71000000002</v>
      </c>
      <c r="L282" s="257">
        <v>0</v>
      </c>
      <c r="M282" s="279">
        <v>3042020.16</v>
      </c>
      <c r="N282" s="257">
        <v>42020.160000000003</v>
      </c>
    </row>
    <row r="283" spans="1:14" s="143" customFormat="1" hidden="1" x14ac:dyDescent="0.25">
      <c r="A283" s="143" t="s">
        <v>707</v>
      </c>
      <c r="B283" s="143" t="s">
        <v>308</v>
      </c>
      <c r="C283" s="143" t="s">
        <v>309</v>
      </c>
      <c r="D283" s="143" t="s">
        <v>69</v>
      </c>
      <c r="E283" s="257">
        <v>95000000</v>
      </c>
      <c r="F283" s="257">
        <v>95000000</v>
      </c>
      <c r="G283" s="257">
        <v>95000000</v>
      </c>
      <c r="H283" s="257">
        <v>0</v>
      </c>
      <c r="I283" s="257">
        <v>33134601.510000002</v>
      </c>
      <c r="J283" s="257">
        <v>5940000</v>
      </c>
      <c r="K283" s="257">
        <v>3476500</v>
      </c>
      <c r="L283" s="257">
        <v>3476500</v>
      </c>
      <c r="M283" s="279">
        <v>52448898.490000002</v>
      </c>
      <c r="N283" s="257">
        <v>52448898.490000002</v>
      </c>
    </row>
    <row r="284" spans="1:14" s="143" customFormat="1" hidden="1" x14ac:dyDescent="0.25">
      <c r="A284" s="143" t="s">
        <v>707</v>
      </c>
      <c r="B284" s="143" t="s">
        <v>136</v>
      </c>
      <c r="C284" s="143" t="s">
        <v>137</v>
      </c>
      <c r="D284" s="143" t="s">
        <v>69</v>
      </c>
      <c r="E284" s="257">
        <v>131200000</v>
      </c>
      <c r="F284" s="257">
        <v>131200000</v>
      </c>
      <c r="G284" s="257">
        <v>131200000</v>
      </c>
      <c r="H284" s="257">
        <v>0</v>
      </c>
      <c r="I284" s="257">
        <v>53205478.850000001</v>
      </c>
      <c r="J284" s="257">
        <v>10269037.380000001</v>
      </c>
      <c r="K284" s="257">
        <v>12822233.970000001</v>
      </c>
      <c r="L284" s="257">
        <v>12822233.970000001</v>
      </c>
      <c r="M284" s="279">
        <v>54903249.799999997</v>
      </c>
      <c r="N284" s="257">
        <v>54903249.799999997</v>
      </c>
    </row>
    <row r="285" spans="1:14" s="143" customFormat="1" hidden="1" x14ac:dyDescent="0.25">
      <c r="A285" s="143" t="s">
        <v>707</v>
      </c>
      <c r="B285" s="143" t="s">
        <v>138</v>
      </c>
      <c r="C285" s="143" t="s">
        <v>139</v>
      </c>
      <c r="D285" s="143" t="s">
        <v>69</v>
      </c>
      <c r="E285" s="257">
        <v>52356735</v>
      </c>
      <c r="F285" s="257">
        <v>52356735</v>
      </c>
      <c r="G285" s="257">
        <v>52356735</v>
      </c>
      <c r="H285" s="257">
        <v>0</v>
      </c>
      <c r="I285" s="257">
        <v>9230989.5700000003</v>
      </c>
      <c r="J285" s="257">
        <v>0</v>
      </c>
      <c r="K285" s="257">
        <v>2708623.6</v>
      </c>
      <c r="L285" s="257">
        <v>2708623.6</v>
      </c>
      <c r="M285" s="279">
        <v>40417121.829999998</v>
      </c>
      <c r="N285" s="257">
        <v>40417121.829999998</v>
      </c>
    </row>
    <row r="286" spans="1:14" s="143" customFormat="1" hidden="1" x14ac:dyDescent="0.25">
      <c r="A286" s="143" t="s">
        <v>707</v>
      </c>
      <c r="B286" s="143" t="s">
        <v>140</v>
      </c>
      <c r="C286" s="143" t="s">
        <v>141</v>
      </c>
      <c r="D286" s="143" t="s">
        <v>69</v>
      </c>
      <c r="E286" s="257">
        <v>134000000</v>
      </c>
      <c r="F286" s="257">
        <v>134000000</v>
      </c>
      <c r="G286" s="257">
        <v>67000000</v>
      </c>
      <c r="H286" s="257">
        <v>128800</v>
      </c>
      <c r="I286" s="257">
        <v>11057073</v>
      </c>
      <c r="J286" s="257">
        <v>0</v>
      </c>
      <c r="K286" s="257">
        <v>17467319</v>
      </c>
      <c r="L286" s="257">
        <v>16116219</v>
      </c>
      <c r="M286" s="279">
        <v>105346808</v>
      </c>
      <c r="N286" s="257">
        <v>38346808</v>
      </c>
    </row>
    <row r="287" spans="1:14" s="143" customFormat="1" hidden="1" x14ac:dyDescent="0.25">
      <c r="A287" s="143" t="s">
        <v>707</v>
      </c>
      <c r="B287" s="143" t="s">
        <v>142</v>
      </c>
      <c r="C287" s="143" t="s">
        <v>143</v>
      </c>
      <c r="D287" s="143" t="s">
        <v>69</v>
      </c>
      <c r="E287" s="257">
        <v>4000000</v>
      </c>
      <c r="F287" s="257">
        <v>4000000</v>
      </c>
      <c r="G287" s="257">
        <v>2000000</v>
      </c>
      <c r="H287" s="257">
        <v>0</v>
      </c>
      <c r="I287" s="257">
        <v>500055</v>
      </c>
      <c r="J287" s="257">
        <v>0</v>
      </c>
      <c r="K287" s="257">
        <v>489055</v>
      </c>
      <c r="L287" s="257">
        <v>489055</v>
      </c>
      <c r="M287" s="279">
        <v>3010890</v>
      </c>
      <c r="N287" s="257">
        <v>1010890</v>
      </c>
    </row>
    <row r="288" spans="1:14" s="143" customFormat="1" hidden="1" x14ac:dyDescent="0.25">
      <c r="A288" s="143" t="s">
        <v>707</v>
      </c>
      <c r="B288" s="143" t="s">
        <v>144</v>
      </c>
      <c r="C288" s="143" t="s">
        <v>145</v>
      </c>
      <c r="D288" s="143" t="s">
        <v>69</v>
      </c>
      <c r="E288" s="257">
        <v>130000000</v>
      </c>
      <c r="F288" s="257">
        <v>130000000</v>
      </c>
      <c r="G288" s="257">
        <v>65000000</v>
      </c>
      <c r="H288" s="257">
        <v>128800</v>
      </c>
      <c r="I288" s="257">
        <v>10557018</v>
      </c>
      <c r="J288" s="257">
        <v>0</v>
      </c>
      <c r="K288" s="257">
        <v>16978264</v>
      </c>
      <c r="L288" s="257">
        <v>15627164</v>
      </c>
      <c r="M288" s="279">
        <v>102335918</v>
      </c>
      <c r="N288" s="257">
        <v>37335918</v>
      </c>
    </row>
    <row r="289" spans="1:14" s="143" customFormat="1" hidden="1" x14ac:dyDescent="0.25">
      <c r="A289" s="143" t="s">
        <v>707</v>
      </c>
      <c r="B289" s="143" t="s">
        <v>150</v>
      </c>
      <c r="C289" s="143" t="s">
        <v>151</v>
      </c>
      <c r="D289" s="143" t="s">
        <v>69</v>
      </c>
      <c r="E289" s="257">
        <v>1300000000</v>
      </c>
      <c r="F289" s="257">
        <v>1300000000</v>
      </c>
      <c r="G289" s="257">
        <v>686242189</v>
      </c>
      <c r="H289" s="257">
        <v>0</v>
      </c>
      <c r="I289" s="257">
        <v>4322041.7</v>
      </c>
      <c r="J289" s="257">
        <v>0</v>
      </c>
      <c r="K289" s="257">
        <v>0</v>
      </c>
      <c r="L289" s="257">
        <v>0</v>
      </c>
      <c r="M289" s="279">
        <v>1295677958.3</v>
      </c>
      <c r="N289" s="257">
        <v>681920147.29999995</v>
      </c>
    </row>
    <row r="290" spans="1:14" s="143" customFormat="1" hidden="1" x14ac:dyDescent="0.25">
      <c r="A290" s="143" t="s">
        <v>707</v>
      </c>
      <c r="B290" s="143" t="s">
        <v>152</v>
      </c>
      <c r="C290" s="143" t="s">
        <v>153</v>
      </c>
      <c r="D290" s="143" t="s">
        <v>69</v>
      </c>
      <c r="E290" s="257">
        <v>1300000000</v>
      </c>
      <c r="F290" s="257">
        <v>1300000000</v>
      </c>
      <c r="G290" s="257">
        <v>686242189</v>
      </c>
      <c r="H290" s="257">
        <v>0</v>
      </c>
      <c r="I290" s="257">
        <v>4322041.7</v>
      </c>
      <c r="J290" s="257">
        <v>0</v>
      </c>
      <c r="K290" s="257">
        <v>0</v>
      </c>
      <c r="L290" s="257">
        <v>0</v>
      </c>
      <c r="M290" s="279">
        <v>1295677958.3</v>
      </c>
      <c r="N290" s="257">
        <v>681920147.29999995</v>
      </c>
    </row>
    <row r="291" spans="1:14" s="143" customFormat="1" hidden="1" x14ac:dyDescent="0.25">
      <c r="A291" s="143" t="s">
        <v>707</v>
      </c>
      <c r="B291" s="143" t="s">
        <v>154</v>
      </c>
      <c r="C291" s="143" t="s">
        <v>155</v>
      </c>
      <c r="D291" s="143" t="s">
        <v>69</v>
      </c>
      <c r="E291" s="257">
        <v>5000000</v>
      </c>
      <c r="F291" s="257">
        <v>5000000</v>
      </c>
      <c r="G291" s="257">
        <v>5000000</v>
      </c>
      <c r="H291" s="257">
        <v>158100</v>
      </c>
      <c r="I291" s="257">
        <v>1145000</v>
      </c>
      <c r="J291" s="257">
        <v>0</v>
      </c>
      <c r="K291" s="257">
        <v>0</v>
      </c>
      <c r="L291" s="257">
        <v>0</v>
      </c>
      <c r="M291" s="279">
        <v>3696900</v>
      </c>
      <c r="N291" s="257">
        <v>3696900</v>
      </c>
    </row>
    <row r="292" spans="1:14" s="143" customFormat="1" hidden="1" x14ac:dyDescent="0.25">
      <c r="A292" s="143" t="s">
        <v>707</v>
      </c>
      <c r="B292" s="143" t="s">
        <v>156</v>
      </c>
      <c r="C292" s="143" t="s">
        <v>157</v>
      </c>
      <c r="D292" s="143" t="s">
        <v>69</v>
      </c>
      <c r="E292" s="257">
        <v>5000000</v>
      </c>
      <c r="F292" s="257">
        <v>5000000</v>
      </c>
      <c r="G292" s="257">
        <v>5000000</v>
      </c>
      <c r="H292" s="257">
        <v>158100</v>
      </c>
      <c r="I292" s="257">
        <v>1145000</v>
      </c>
      <c r="J292" s="257">
        <v>0</v>
      </c>
      <c r="K292" s="257">
        <v>0</v>
      </c>
      <c r="L292" s="257">
        <v>0</v>
      </c>
      <c r="M292" s="279">
        <v>3696900</v>
      </c>
      <c r="N292" s="257">
        <v>3696900</v>
      </c>
    </row>
    <row r="293" spans="1:14" s="143" customFormat="1" hidden="1" x14ac:dyDescent="0.25">
      <c r="A293" s="143" t="s">
        <v>707</v>
      </c>
      <c r="B293" s="143" t="s">
        <v>162</v>
      </c>
      <c r="C293" s="143" t="s">
        <v>163</v>
      </c>
      <c r="D293" s="143" t="s">
        <v>69</v>
      </c>
      <c r="E293" s="257">
        <v>932264008</v>
      </c>
      <c r="F293" s="257">
        <v>932264008</v>
      </c>
      <c r="G293" s="257">
        <v>870602675</v>
      </c>
      <c r="H293" s="257">
        <v>0</v>
      </c>
      <c r="I293" s="257">
        <v>228891182.84999999</v>
      </c>
      <c r="J293" s="257">
        <v>9983205.1500000004</v>
      </c>
      <c r="K293" s="257">
        <v>70329047.299999997</v>
      </c>
      <c r="L293" s="257">
        <v>43224683.07</v>
      </c>
      <c r="M293" s="279">
        <v>623060572.70000005</v>
      </c>
      <c r="N293" s="257">
        <v>561399239.70000005</v>
      </c>
    </row>
    <row r="294" spans="1:14" s="143" customFormat="1" hidden="1" x14ac:dyDescent="0.25">
      <c r="A294" s="143" t="s">
        <v>707</v>
      </c>
      <c r="B294" s="143" t="s">
        <v>310</v>
      </c>
      <c r="C294" s="143" t="s">
        <v>311</v>
      </c>
      <c r="D294" s="143" t="s">
        <v>69</v>
      </c>
      <c r="E294" s="257">
        <v>120656000</v>
      </c>
      <c r="F294" s="257">
        <v>120656000</v>
      </c>
      <c r="G294" s="257">
        <v>58994667</v>
      </c>
      <c r="H294" s="257">
        <v>0</v>
      </c>
      <c r="I294" s="257">
        <v>5177143.3099999996</v>
      </c>
      <c r="J294" s="257">
        <v>420508.59</v>
      </c>
      <c r="K294" s="257">
        <v>0</v>
      </c>
      <c r="L294" s="257">
        <v>0</v>
      </c>
      <c r="M294" s="279">
        <v>115058348.09999999</v>
      </c>
      <c r="N294" s="257">
        <v>53397015.100000001</v>
      </c>
    </row>
    <row r="295" spans="1:14" s="143" customFormat="1" hidden="1" x14ac:dyDescent="0.25">
      <c r="A295" s="143" t="s">
        <v>707</v>
      </c>
      <c r="B295" s="143" t="s">
        <v>164</v>
      </c>
      <c r="C295" s="143" t="s">
        <v>165</v>
      </c>
      <c r="D295" s="143" t="s">
        <v>69</v>
      </c>
      <c r="E295" s="257">
        <v>504520000</v>
      </c>
      <c r="F295" s="257">
        <v>504520000</v>
      </c>
      <c r="G295" s="257">
        <v>504520000</v>
      </c>
      <c r="H295" s="257">
        <v>0</v>
      </c>
      <c r="I295" s="257">
        <v>121867752.53</v>
      </c>
      <c r="J295" s="257">
        <v>2637793.7799999998</v>
      </c>
      <c r="K295" s="257">
        <v>64157459.57</v>
      </c>
      <c r="L295" s="257">
        <v>42240826.75</v>
      </c>
      <c r="M295" s="279">
        <v>315856994.12</v>
      </c>
      <c r="N295" s="257">
        <v>315856994.12</v>
      </c>
    </row>
    <row r="296" spans="1:14" s="143" customFormat="1" hidden="1" x14ac:dyDescent="0.25">
      <c r="A296" s="143" t="s">
        <v>707</v>
      </c>
      <c r="B296" s="143" t="s">
        <v>164</v>
      </c>
      <c r="C296" s="143" t="s">
        <v>165</v>
      </c>
      <c r="D296" s="143" t="s">
        <v>85</v>
      </c>
      <c r="E296" s="257">
        <v>0</v>
      </c>
      <c r="F296" s="257">
        <v>0</v>
      </c>
      <c r="G296" s="257">
        <v>0</v>
      </c>
      <c r="H296" s="257">
        <v>0</v>
      </c>
      <c r="I296" s="257">
        <v>0</v>
      </c>
      <c r="J296" s="257">
        <v>0</v>
      </c>
      <c r="K296" s="257">
        <v>0</v>
      </c>
      <c r="L296" s="257">
        <v>0</v>
      </c>
      <c r="M296" s="279">
        <v>0</v>
      </c>
      <c r="N296" s="257">
        <v>0</v>
      </c>
    </row>
    <row r="297" spans="1:14" s="143" customFormat="1" hidden="1" x14ac:dyDescent="0.25">
      <c r="A297" s="143" t="s">
        <v>707</v>
      </c>
      <c r="B297" s="143" t="s">
        <v>166</v>
      </c>
      <c r="C297" s="143" t="s">
        <v>167</v>
      </c>
      <c r="D297" s="143" t="s">
        <v>69</v>
      </c>
      <c r="E297" s="257">
        <v>95028648</v>
      </c>
      <c r="F297" s="257">
        <v>95028648</v>
      </c>
      <c r="G297" s="257">
        <v>95028648</v>
      </c>
      <c r="H297" s="257">
        <v>0</v>
      </c>
      <c r="I297" s="257">
        <v>67059609.619999997</v>
      </c>
      <c r="J297" s="257">
        <v>99000</v>
      </c>
      <c r="K297" s="257">
        <v>327918.32</v>
      </c>
      <c r="L297" s="257">
        <v>327918.32</v>
      </c>
      <c r="M297" s="279">
        <v>27542120.059999999</v>
      </c>
      <c r="N297" s="257">
        <v>27542120.059999999</v>
      </c>
    </row>
    <row r="298" spans="1:14" s="143" customFormat="1" hidden="1" x14ac:dyDescent="0.25">
      <c r="A298" s="143" t="s">
        <v>707</v>
      </c>
      <c r="B298" s="143" t="s">
        <v>312</v>
      </c>
      <c r="C298" s="143" t="s">
        <v>313</v>
      </c>
      <c r="D298" s="143" t="s">
        <v>69</v>
      </c>
      <c r="E298" s="257">
        <v>3000000</v>
      </c>
      <c r="F298" s="257">
        <v>3000000</v>
      </c>
      <c r="G298" s="257">
        <v>3000000</v>
      </c>
      <c r="H298" s="257">
        <v>0</v>
      </c>
      <c r="I298" s="257">
        <v>0</v>
      </c>
      <c r="J298" s="257">
        <v>0</v>
      </c>
      <c r="K298" s="257">
        <v>0</v>
      </c>
      <c r="L298" s="257">
        <v>0</v>
      </c>
      <c r="M298" s="279">
        <v>3000000</v>
      </c>
      <c r="N298" s="257">
        <v>3000000</v>
      </c>
    </row>
    <row r="299" spans="1:14" s="143" customFormat="1" hidden="1" x14ac:dyDescent="0.25">
      <c r="A299" s="143" t="s">
        <v>707</v>
      </c>
      <c r="B299" s="143" t="s">
        <v>168</v>
      </c>
      <c r="C299" s="143" t="s">
        <v>169</v>
      </c>
      <c r="D299" s="143" t="s">
        <v>69</v>
      </c>
      <c r="E299" s="257">
        <v>16864852</v>
      </c>
      <c r="F299" s="257">
        <v>16864852</v>
      </c>
      <c r="G299" s="257">
        <v>16864852</v>
      </c>
      <c r="H299" s="257">
        <v>0</v>
      </c>
      <c r="I299" s="257">
        <v>3231175</v>
      </c>
      <c r="J299" s="257">
        <v>767175</v>
      </c>
      <c r="K299" s="257">
        <v>0</v>
      </c>
      <c r="L299" s="257">
        <v>0</v>
      </c>
      <c r="M299" s="279">
        <v>12866502</v>
      </c>
      <c r="N299" s="257">
        <v>12866502</v>
      </c>
    </row>
    <row r="300" spans="1:14" s="143" customFormat="1" hidden="1" x14ac:dyDescent="0.25">
      <c r="A300" s="143" t="s">
        <v>707</v>
      </c>
      <c r="B300" s="143" t="s">
        <v>170</v>
      </c>
      <c r="C300" s="143" t="s">
        <v>171</v>
      </c>
      <c r="D300" s="143" t="s">
        <v>69</v>
      </c>
      <c r="E300" s="257">
        <v>40562000</v>
      </c>
      <c r="F300" s="257">
        <v>40562000</v>
      </c>
      <c r="G300" s="257">
        <v>40562000</v>
      </c>
      <c r="H300" s="257">
        <v>0</v>
      </c>
      <c r="I300" s="257">
        <v>1215134.47</v>
      </c>
      <c r="J300" s="257">
        <v>0</v>
      </c>
      <c r="K300" s="257">
        <v>0</v>
      </c>
      <c r="L300" s="257">
        <v>0</v>
      </c>
      <c r="M300" s="279">
        <v>39346865.530000001</v>
      </c>
      <c r="N300" s="257">
        <v>39346865.530000001</v>
      </c>
    </row>
    <row r="301" spans="1:14" s="143" customFormat="1" hidden="1" x14ac:dyDescent="0.25">
      <c r="A301" s="143" t="s">
        <v>707</v>
      </c>
      <c r="B301" s="143" t="s">
        <v>172</v>
      </c>
      <c r="C301" s="143" t="s">
        <v>173</v>
      </c>
      <c r="D301" s="143" t="s">
        <v>69</v>
      </c>
      <c r="E301" s="257">
        <v>151632508</v>
      </c>
      <c r="F301" s="257">
        <v>151632508</v>
      </c>
      <c r="G301" s="257">
        <v>151632508</v>
      </c>
      <c r="H301" s="257">
        <v>0</v>
      </c>
      <c r="I301" s="257">
        <v>30340367.920000002</v>
      </c>
      <c r="J301" s="257">
        <v>6058727.7800000003</v>
      </c>
      <c r="K301" s="257">
        <v>5843669.4100000001</v>
      </c>
      <c r="L301" s="257">
        <v>655938</v>
      </c>
      <c r="M301" s="279">
        <v>109389742.89</v>
      </c>
      <c r="N301" s="257">
        <v>109389742.89</v>
      </c>
    </row>
    <row r="302" spans="1:14" s="143" customFormat="1" hidden="1" x14ac:dyDescent="0.25">
      <c r="A302" s="143" t="s">
        <v>707</v>
      </c>
      <c r="B302" s="143" t="s">
        <v>174</v>
      </c>
      <c r="C302" s="143" t="s">
        <v>175</v>
      </c>
      <c r="D302" s="143" t="s">
        <v>69</v>
      </c>
      <c r="E302" s="257">
        <v>18000000</v>
      </c>
      <c r="F302" s="257">
        <v>18000000</v>
      </c>
      <c r="G302" s="257">
        <v>9000000</v>
      </c>
      <c r="H302" s="257">
        <v>0</v>
      </c>
      <c r="I302" s="257">
        <v>1413520</v>
      </c>
      <c r="J302" s="257">
        <v>0</v>
      </c>
      <c r="K302" s="257">
        <v>136480</v>
      </c>
      <c r="L302" s="257">
        <v>136480</v>
      </c>
      <c r="M302" s="279">
        <v>16450000</v>
      </c>
      <c r="N302" s="257">
        <v>7450000</v>
      </c>
    </row>
    <row r="303" spans="1:14" s="143" customFormat="1" hidden="1" x14ac:dyDescent="0.25">
      <c r="A303" s="143" t="s">
        <v>707</v>
      </c>
      <c r="B303" s="143" t="s">
        <v>176</v>
      </c>
      <c r="C303" s="143" t="s">
        <v>177</v>
      </c>
      <c r="D303" s="143" t="s">
        <v>69</v>
      </c>
      <c r="E303" s="257">
        <v>18000000</v>
      </c>
      <c r="F303" s="257">
        <v>18000000</v>
      </c>
      <c r="G303" s="257">
        <v>9000000</v>
      </c>
      <c r="H303" s="257">
        <v>0</v>
      </c>
      <c r="I303" s="257">
        <v>1413520</v>
      </c>
      <c r="J303" s="257">
        <v>0</v>
      </c>
      <c r="K303" s="257">
        <v>136480</v>
      </c>
      <c r="L303" s="257">
        <v>136480</v>
      </c>
      <c r="M303" s="279">
        <v>16450000</v>
      </c>
      <c r="N303" s="257">
        <v>7450000</v>
      </c>
    </row>
    <row r="304" spans="1:14" s="143" customFormat="1" hidden="1" x14ac:dyDescent="0.25">
      <c r="A304" s="143" t="s">
        <v>707</v>
      </c>
      <c r="B304" s="143" t="s">
        <v>178</v>
      </c>
      <c r="C304" s="143" t="s">
        <v>179</v>
      </c>
      <c r="D304" s="143" t="s">
        <v>69</v>
      </c>
      <c r="E304" s="257">
        <v>36890625</v>
      </c>
      <c r="F304" s="257">
        <v>36890625</v>
      </c>
      <c r="G304" s="257">
        <v>18648469</v>
      </c>
      <c r="H304" s="257">
        <v>0</v>
      </c>
      <c r="I304" s="257">
        <v>4612106.0999999996</v>
      </c>
      <c r="J304" s="257">
        <v>0</v>
      </c>
      <c r="K304" s="257">
        <v>919990.69</v>
      </c>
      <c r="L304" s="257">
        <v>919990.69</v>
      </c>
      <c r="M304" s="279">
        <v>31358528.210000001</v>
      </c>
      <c r="N304" s="257">
        <v>13116372.210000001</v>
      </c>
    </row>
    <row r="305" spans="1:14" s="143" customFormat="1" hidden="1" x14ac:dyDescent="0.25">
      <c r="A305" s="143" t="s">
        <v>707</v>
      </c>
      <c r="B305" s="143" t="s">
        <v>348</v>
      </c>
      <c r="C305" s="143" t="s">
        <v>349</v>
      </c>
      <c r="D305" s="143" t="s">
        <v>69</v>
      </c>
      <c r="E305" s="257">
        <v>3000000</v>
      </c>
      <c r="F305" s="257">
        <v>3000000</v>
      </c>
      <c r="G305" s="257">
        <v>1703157</v>
      </c>
      <c r="H305" s="257">
        <v>0</v>
      </c>
      <c r="I305" s="257">
        <v>0</v>
      </c>
      <c r="J305" s="257">
        <v>0</v>
      </c>
      <c r="K305" s="257">
        <v>919990.69</v>
      </c>
      <c r="L305" s="257">
        <v>919990.69</v>
      </c>
      <c r="M305" s="279">
        <v>2080009.31</v>
      </c>
      <c r="N305" s="257">
        <v>783166.31</v>
      </c>
    </row>
    <row r="306" spans="1:14" s="143" customFormat="1" hidden="1" x14ac:dyDescent="0.25">
      <c r="A306" s="143" t="s">
        <v>707</v>
      </c>
      <c r="B306" s="143" t="s">
        <v>180</v>
      </c>
      <c r="C306" s="143" t="s">
        <v>181</v>
      </c>
      <c r="D306" s="143" t="s">
        <v>69</v>
      </c>
      <c r="E306" s="257">
        <v>19500000</v>
      </c>
      <c r="F306" s="257">
        <v>19500000</v>
      </c>
      <c r="G306" s="257">
        <v>9750000</v>
      </c>
      <c r="H306" s="257">
        <v>0</v>
      </c>
      <c r="I306" s="257">
        <v>1426615.85</v>
      </c>
      <c r="J306" s="257">
        <v>0</v>
      </c>
      <c r="K306" s="257">
        <v>0</v>
      </c>
      <c r="L306" s="257">
        <v>0</v>
      </c>
      <c r="M306" s="279">
        <v>18073384.149999999</v>
      </c>
      <c r="N306" s="257">
        <v>8323384.1500000004</v>
      </c>
    </row>
    <row r="307" spans="1:14" s="143" customFormat="1" hidden="1" x14ac:dyDescent="0.25">
      <c r="A307" s="143" t="s">
        <v>707</v>
      </c>
      <c r="B307" s="143" t="s">
        <v>182</v>
      </c>
      <c r="C307" s="143" t="s">
        <v>183</v>
      </c>
      <c r="D307" s="143" t="s">
        <v>69</v>
      </c>
      <c r="E307" s="257">
        <v>14390625</v>
      </c>
      <c r="F307" s="257">
        <v>14390625</v>
      </c>
      <c r="G307" s="257">
        <v>7195312</v>
      </c>
      <c r="H307" s="257">
        <v>0</v>
      </c>
      <c r="I307" s="257">
        <v>3185490.25</v>
      </c>
      <c r="J307" s="257">
        <v>0</v>
      </c>
      <c r="K307" s="257">
        <v>0</v>
      </c>
      <c r="L307" s="257">
        <v>0</v>
      </c>
      <c r="M307" s="279">
        <v>11205134.75</v>
      </c>
      <c r="N307" s="257">
        <v>4009821.75</v>
      </c>
    </row>
    <row r="308" spans="1:14" s="143" customFormat="1" hidden="1" x14ac:dyDescent="0.25">
      <c r="A308" s="143" t="s">
        <v>707</v>
      </c>
      <c r="B308" s="143" t="s">
        <v>184</v>
      </c>
      <c r="C308" s="143" t="s">
        <v>185</v>
      </c>
      <c r="D308" s="143" t="s">
        <v>69</v>
      </c>
      <c r="E308" s="257">
        <v>5938711949</v>
      </c>
      <c r="F308" s="257">
        <v>5938711949</v>
      </c>
      <c r="G308" s="257">
        <v>5500788930</v>
      </c>
      <c r="H308" s="257">
        <v>74928816.140000001</v>
      </c>
      <c r="I308" s="257">
        <v>955906006.13</v>
      </c>
      <c r="J308" s="257">
        <v>210841841.75999999</v>
      </c>
      <c r="K308" s="257">
        <v>921749902.29999995</v>
      </c>
      <c r="L308" s="257">
        <v>858778476.02999997</v>
      </c>
      <c r="M308" s="279">
        <v>3775285382.6700001</v>
      </c>
      <c r="N308" s="257">
        <v>3337362363.6700001</v>
      </c>
    </row>
    <row r="309" spans="1:14" s="143" customFormat="1" hidden="1" x14ac:dyDescent="0.25">
      <c r="A309" s="143" t="s">
        <v>707</v>
      </c>
      <c r="B309" s="143" t="s">
        <v>186</v>
      </c>
      <c r="C309" s="143" t="s">
        <v>187</v>
      </c>
      <c r="D309" s="143" t="s">
        <v>69</v>
      </c>
      <c r="E309" s="257">
        <v>1018969461</v>
      </c>
      <c r="F309" s="257">
        <v>1018969461</v>
      </c>
      <c r="G309" s="257">
        <v>648580394</v>
      </c>
      <c r="H309" s="257">
        <v>355540.94</v>
      </c>
      <c r="I309" s="257">
        <v>197778741.53</v>
      </c>
      <c r="J309" s="257">
        <v>45047391.259999998</v>
      </c>
      <c r="K309" s="257">
        <v>132635833.02</v>
      </c>
      <c r="L309" s="257">
        <v>129242087.48</v>
      </c>
      <c r="M309" s="279">
        <v>643151954.25</v>
      </c>
      <c r="N309" s="257">
        <v>272762887.25</v>
      </c>
    </row>
    <row r="310" spans="1:14" s="143" customFormat="1" hidden="1" x14ac:dyDescent="0.25">
      <c r="A310" s="143" t="s">
        <v>707</v>
      </c>
      <c r="B310" s="143" t="s">
        <v>188</v>
      </c>
      <c r="C310" s="143" t="s">
        <v>189</v>
      </c>
      <c r="D310" s="143" t="s">
        <v>69</v>
      </c>
      <c r="E310" s="257">
        <v>735778133</v>
      </c>
      <c r="F310" s="257">
        <v>735778133</v>
      </c>
      <c r="G310" s="257">
        <v>367889066</v>
      </c>
      <c r="H310" s="257">
        <v>0</v>
      </c>
      <c r="I310" s="257">
        <v>21188251.609999999</v>
      </c>
      <c r="J310" s="257">
        <v>10500791.26</v>
      </c>
      <c r="K310" s="257">
        <v>131098273.02</v>
      </c>
      <c r="L310" s="257">
        <v>127704527.48</v>
      </c>
      <c r="M310" s="279">
        <v>572990817.11000001</v>
      </c>
      <c r="N310" s="257">
        <v>205101750.11000001</v>
      </c>
    </row>
    <row r="311" spans="1:14" s="143" customFormat="1" hidden="1" x14ac:dyDescent="0.25">
      <c r="A311" s="143" t="s">
        <v>707</v>
      </c>
      <c r="B311" s="143" t="s">
        <v>190</v>
      </c>
      <c r="C311" s="143" t="s">
        <v>191</v>
      </c>
      <c r="D311" s="143" t="s">
        <v>69</v>
      </c>
      <c r="E311" s="257">
        <v>224830540</v>
      </c>
      <c r="F311" s="257">
        <v>224830540</v>
      </c>
      <c r="G311" s="257">
        <v>222330540</v>
      </c>
      <c r="H311" s="257">
        <v>0</v>
      </c>
      <c r="I311" s="257">
        <v>174453400</v>
      </c>
      <c r="J311" s="257">
        <v>34546600</v>
      </c>
      <c r="K311" s="257">
        <v>311400</v>
      </c>
      <c r="L311" s="257">
        <v>311400</v>
      </c>
      <c r="M311" s="279">
        <v>15519140</v>
      </c>
      <c r="N311" s="257">
        <v>13019140</v>
      </c>
    </row>
    <row r="312" spans="1:14" s="143" customFormat="1" hidden="1" x14ac:dyDescent="0.25">
      <c r="A312" s="143" t="s">
        <v>707</v>
      </c>
      <c r="B312" s="143" t="s">
        <v>350</v>
      </c>
      <c r="C312" s="143" t="s">
        <v>351</v>
      </c>
      <c r="D312" s="143" t="s">
        <v>69</v>
      </c>
      <c r="E312" s="257">
        <v>12909188</v>
      </c>
      <c r="F312" s="257">
        <v>12909188</v>
      </c>
      <c r="G312" s="257">
        <v>12909188</v>
      </c>
      <c r="H312" s="257">
        <v>0</v>
      </c>
      <c r="I312" s="257">
        <v>2137089.92</v>
      </c>
      <c r="J312" s="257">
        <v>0</v>
      </c>
      <c r="K312" s="257">
        <v>0</v>
      </c>
      <c r="L312" s="257">
        <v>0</v>
      </c>
      <c r="M312" s="279">
        <v>10772098.08</v>
      </c>
      <c r="N312" s="257">
        <v>10772098.08</v>
      </c>
    </row>
    <row r="313" spans="1:14" s="143" customFormat="1" hidden="1" x14ac:dyDescent="0.25">
      <c r="A313" s="143" t="s">
        <v>707</v>
      </c>
      <c r="B313" s="143" t="s">
        <v>192</v>
      </c>
      <c r="C313" s="143" t="s">
        <v>193</v>
      </c>
      <c r="D313" s="143" t="s">
        <v>69</v>
      </c>
      <c r="E313" s="257">
        <v>40465200</v>
      </c>
      <c r="F313" s="257">
        <v>40465200</v>
      </c>
      <c r="G313" s="257">
        <v>40465200</v>
      </c>
      <c r="H313" s="257">
        <v>355540.94</v>
      </c>
      <c r="I313" s="257">
        <v>0</v>
      </c>
      <c r="J313" s="257">
        <v>0</v>
      </c>
      <c r="K313" s="257">
        <v>0</v>
      </c>
      <c r="L313" s="257">
        <v>0</v>
      </c>
      <c r="M313" s="279">
        <v>40109659.060000002</v>
      </c>
      <c r="N313" s="257">
        <v>40109659.060000002</v>
      </c>
    </row>
    <row r="314" spans="1:14" s="143" customFormat="1" hidden="1" x14ac:dyDescent="0.25">
      <c r="A314" s="143" t="s">
        <v>707</v>
      </c>
      <c r="B314" s="143" t="s">
        <v>194</v>
      </c>
      <c r="C314" s="143" t="s">
        <v>195</v>
      </c>
      <c r="D314" s="143" t="s">
        <v>69</v>
      </c>
      <c r="E314" s="257">
        <v>4986400</v>
      </c>
      <c r="F314" s="257">
        <v>4986400</v>
      </c>
      <c r="G314" s="257">
        <v>4986400</v>
      </c>
      <c r="H314" s="257">
        <v>0</v>
      </c>
      <c r="I314" s="257">
        <v>0</v>
      </c>
      <c r="J314" s="257">
        <v>0</v>
      </c>
      <c r="K314" s="257">
        <v>1226160</v>
      </c>
      <c r="L314" s="257">
        <v>1226160</v>
      </c>
      <c r="M314" s="279">
        <v>3760240</v>
      </c>
      <c r="N314" s="257">
        <v>3760240</v>
      </c>
    </row>
    <row r="315" spans="1:14" s="143" customFormat="1" hidden="1" x14ac:dyDescent="0.25">
      <c r="A315" s="143" t="s">
        <v>707</v>
      </c>
      <c r="B315" s="143" t="s">
        <v>196</v>
      </c>
      <c r="C315" s="143" t="s">
        <v>197</v>
      </c>
      <c r="D315" s="143" t="s">
        <v>69</v>
      </c>
      <c r="E315" s="257">
        <v>1012911000</v>
      </c>
      <c r="F315" s="257">
        <v>1012911000</v>
      </c>
      <c r="G315" s="257">
        <v>999955500</v>
      </c>
      <c r="H315" s="257">
        <v>6197965.7999999998</v>
      </c>
      <c r="I315" s="257">
        <v>343125170.08999997</v>
      </c>
      <c r="J315" s="257">
        <v>0</v>
      </c>
      <c r="K315" s="257">
        <v>638924005.86000001</v>
      </c>
      <c r="L315" s="257">
        <v>625726270.86000001</v>
      </c>
      <c r="M315" s="279">
        <v>24663858.25</v>
      </c>
      <c r="N315" s="257">
        <v>11708358.25</v>
      </c>
    </row>
    <row r="316" spans="1:14" s="143" customFormat="1" hidden="1" x14ac:dyDescent="0.25">
      <c r="A316" s="143" t="s">
        <v>707</v>
      </c>
      <c r="B316" s="143" t="s">
        <v>198</v>
      </c>
      <c r="C316" s="143" t="s">
        <v>199</v>
      </c>
      <c r="D316" s="143" t="s">
        <v>69</v>
      </c>
      <c r="E316" s="257">
        <v>987000000</v>
      </c>
      <c r="F316" s="257">
        <v>987000000</v>
      </c>
      <c r="G316" s="257">
        <v>987000000</v>
      </c>
      <c r="H316" s="257">
        <v>6197965.7999999998</v>
      </c>
      <c r="I316" s="257">
        <v>337449020.08999997</v>
      </c>
      <c r="J316" s="257">
        <v>0</v>
      </c>
      <c r="K316" s="257">
        <v>638924005.86000001</v>
      </c>
      <c r="L316" s="257">
        <v>625726270.86000001</v>
      </c>
      <c r="M316" s="279">
        <v>4429008.25</v>
      </c>
      <c r="N316" s="257">
        <v>4429008.25</v>
      </c>
    </row>
    <row r="317" spans="1:14" s="143" customFormat="1" hidden="1" x14ac:dyDescent="0.25">
      <c r="A317" s="143" t="s">
        <v>707</v>
      </c>
      <c r="B317" s="143" t="s">
        <v>352</v>
      </c>
      <c r="C317" s="143" t="s">
        <v>353</v>
      </c>
      <c r="D317" s="143" t="s">
        <v>69</v>
      </c>
      <c r="E317" s="257">
        <v>25911000</v>
      </c>
      <c r="F317" s="257">
        <v>25911000</v>
      </c>
      <c r="G317" s="257">
        <v>12955500</v>
      </c>
      <c r="H317" s="257">
        <v>0</v>
      </c>
      <c r="I317" s="257">
        <v>5676150</v>
      </c>
      <c r="J317" s="257">
        <v>0</v>
      </c>
      <c r="K317" s="257">
        <v>0</v>
      </c>
      <c r="L317" s="257">
        <v>0</v>
      </c>
      <c r="M317" s="279">
        <v>20234850</v>
      </c>
      <c r="N317" s="257">
        <v>7279350</v>
      </c>
    </row>
    <row r="318" spans="1:14" s="143" customFormat="1" hidden="1" x14ac:dyDescent="0.25">
      <c r="A318" s="143" t="s">
        <v>707</v>
      </c>
      <c r="B318" s="143" t="s">
        <v>200</v>
      </c>
      <c r="C318" s="143" t="s">
        <v>201</v>
      </c>
      <c r="D318" s="143" t="s">
        <v>69</v>
      </c>
      <c r="E318" s="257">
        <v>492133633</v>
      </c>
      <c r="F318" s="257">
        <v>491910153</v>
      </c>
      <c r="G318" s="257">
        <v>480668172</v>
      </c>
      <c r="H318" s="257">
        <v>24503073.399999999</v>
      </c>
      <c r="I318" s="257">
        <v>40649320.270000003</v>
      </c>
      <c r="J318" s="257">
        <v>2418079.7999999998</v>
      </c>
      <c r="K318" s="257">
        <v>69981170.079999998</v>
      </c>
      <c r="L318" s="257">
        <v>65565130.079999998</v>
      </c>
      <c r="M318" s="279">
        <v>354358509.44999999</v>
      </c>
      <c r="N318" s="257">
        <v>343116528.44999999</v>
      </c>
    </row>
    <row r="319" spans="1:14" s="143" customFormat="1" hidden="1" x14ac:dyDescent="0.25">
      <c r="A319" s="143" t="s">
        <v>707</v>
      </c>
      <c r="B319" s="143" t="s">
        <v>314</v>
      </c>
      <c r="C319" s="143" t="s">
        <v>315</v>
      </c>
      <c r="D319" s="143" t="s">
        <v>69</v>
      </c>
      <c r="E319" s="257">
        <v>116502163</v>
      </c>
      <c r="F319" s="257">
        <v>116502163</v>
      </c>
      <c r="G319" s="257">
        <v>116502163</v>
      </c>
      <c r="H319" s="257">
        <v>0</v>
      </c>
      <c r="I319" s="257">
        <v>112836.15</v>
      </c>
      <c r="J319" s="257">
        <v>0</v>
      </c>
      <c r="K319" s="257">
        <v>3034362.5</v>
      </c>
      <c r="L319" s="257">
        <v>3034362.5</v>
      </c>
      <c r="M319" s="279">
        <v>113354964.34999999</v>
      </c>
      <c r="N319" s="257">
        <v>113354964.34999999</v>
      </c>
    </row>
    <row r="320" spans="1:14" s="143" customFormat="1" hidden="1" x14ac:dyDescent="0.25">
      <c r="A320" s="143" t="s">
        <v>707</v>
      </c>
      <c r="B320" s="143" t="s">
        <v>316</v>
      </c>
      <c r="C320" s="143" t="s">
        <v>317</v>
      </c>
      <c r="D320" s="143" t="s">
        <v>69</v>
      </c>
      <c r="E320" s="257">
        <v>100168000</v>
      </c>
      <c r="F320" s="257">
        <v>100168000</v>
      </c>
      <c r="G320" s="257">
        <v>100168000</v>
      </c>
      <c r="H320" s="257">
        <v>9943073.4000000004</v>
      </c>
      <c r="I320" s="257">
        <v>35773084</v>
      </c>
      <c r="J320" s="257">
        <v>0</v>
      </c>
      <c r="K320" s="257">
        <v>20102530</v>
      </c>
      <c r="L320" s="257">
        <v>16068430</v>
      </c>
      <c r="M320" s="279">
        <v>34349312.600000001</v>
      </c>
      <c r="N320" s="257">
        <v>34349312.600000001</v>
      </c>
    </row>
    <row r="321" spans="1:14" s="143" customFormat="1" hidden="1" x14ac:dyDescent="0.25">
      <c r="A321" s="143" t="s">
        <v>707</v>
      </c>
      <c r="B321" s="143" t="s">
        <v>318</v>
      </c>
      <c r="C321" s="143" t="s">
        <v>319</v>
      </c>
      <c r="D321" s="143" t="s">
        <v>69</v>
      </c>
      <c r="E321" s="257">
        <v>88546837</v>
      </c>
      <c r="F321" s="257">
        <v>88546837</v>
      </c>
      <c r="G321" s="257">
        <v>88546837</v>
      </c>
      <c r="H321" s="257">
        <v>0</v>
      </c>
      <c r="I321" s="257">
        <v>2536800</v>
      </c>
      <c r="J321" s="257">
        <v>0</v>
      </c>
      <c r="K321" s="257">
        <v>36440070</v>
      </c>
      <c r="L321" s="257">
        <v>36440070</v>
      </c>
      <c r="M321" s="279">
        <v>49569967</v>
      </c>
      <c r="N321" s="257">
        <v>49569967</v>
      </c>
    </row>
    <row r="322" spans="1:14" s="143" customFormat="1" hidden="1" x14ac:dyDescent="0.25">
      <c r="A322" s="143" t="s">
        <v>707</v>
      </c>
      <c r="B322" s="143" t="s">
        <v>202</v>
      </c>
      <c r="C322" s="143" t="s">
        <v>203</v>
      </c>
      <c r="D322" s="143" t="s">
        <v>69</v>
      </c>
      <c r="E322" s="257">
        <v>110456300</v>
      </c>
      <c r="F322" s="257">
        <v>110456300</v>
      </c>
      <c r="G322" s="257">
        <v>110456299</v>
      </c>
      <c r="H322" s="257">
        <v>14560000</v>
      </c>
      <c r="I322" s="257">
        <v>1540836.43</v>
      </c>
      <c r="J322" s="257">
        <v>0</v>
      </c>
      <c r="K322" s="257">
        <v>1196024.3</v>
      </c>
      <c r="L322" s="257">
        <v>1196024.3</v>
      </c>
      <c r="M322" s="279">
        <v>93159439.269999996</v>
      </c>
      <c r="N322" s="257">
        <v>93159438.269999996</v>
      </c>
    </row>
    <row r="323" spans="1:14" s="143" customFormat="1" hidden="1" x14ac:dyDescent="0.25">
      <c r="A323" s="143" t="s">
        <v>707</v>
      </c>
      <c r="B323" s="143" t="s">
        <v>320</v>
      </c>
      <c r="C323" s="143" t="s">
        <v>321</v>
      </c>
      <c r="D323" s="143" t="s">
        <v>69</v>
      </c>
      <c r="E323" s="257">
        <v>2261183</v>
      </c>
      <c r="F323" s="257">
        <v>2261183</v>
      </c>
      <c r="G323" s="257">
        <v>2261183</v>
      </c>
      <c r="H323" s="257">
        <v>0</v>
      </c>
      <c r="I323" s="257">
        <v>0</v>
      </c>
      <c r="J323" s="257">
        <v>0</v>
      </c>
      <c r="K323" s="257">
        <v>0</v>
      </c>
      <c r="L323" s="257">
        <v>0</v>
      </c>
      <c r="M323" s="279">
        <v>2261183</v>
      </c>
      <c r="N323" s="257">
        <v>2261183</v>
      </c>
    </row>
    <row r="324" spans="1:14" s="143" customFormat="1" hidden="1" x14ac:dyDescent="0.25">
      <c r="A324" s="143" t="s">
        <v>707</v>
      </c>
      <c r="B324" s="143" t="s">
        <v>204</v>
      </c>
      <c r="C324" s="143" t="s">
        <v>205</v>
      </c>
      <c r="D324" s="143" t="s">
        <v>69</v>
      </c>
      <c r="E324" s="257">
        <v>51120350</v>
      </c>
      <c r="F324" s="257">
        <v>50896870</v>
      </c>
      <c r="G324" s="257">
        <v>39654890</v>
      </c>
      <c r="H324" s="257">
        <v>0</v>
      </c>
      <c r="I324" s="257">
        <v>390764.17</v>
      </c>
      <c r="J324" s="257">
        <v>0</v>
      </c>
      <c r="K324" s="257">
        <v>2311164.38</v>
      </c>
      <c r="L324" s="257">
        <v>2311164.38</v>
      </c>
      <c r="M324" s="279">
        <v>48194941.450000003</v>
      </c>
      <c r="N324" s="257">
        <v>36952961.450000003</v>
      </c>
    </row>
    <row r="325" spans="1:14" s="143" customFormat="1" hidden="1" x14ac:dyDescent="0.25">
      <c r="A325" s="143" t="s">
        <v>707</v>
      </c>
      <c r="B325" s="143" t="s">
        <v>322</v>
      </c>
      <c r="C325" s="143" t="s">
        <v>323</v>
      </c>
      <c r="D325" s="143" t="s">
        <v>69</v>
      </c>
      <c r="E325" s="257">
        <v>23078800</v>
      </c>
      <c r="F325" s="257">
        <v>23078800</v>
      </c>
      <c r="G325" s="257">
        <v>23078800</v>
      </c>
      <c r="H325" s="257">
        <v>0</v>
      </c>
      <c r="I325" s="257">
        <v>294999.52</v>
      </c>
      <c r="J325" s="257">
        <v>2418079.7999999998</v>
      </c>
      <c r="K325" s="257">
        <v>6897018.9000000004</v>
      </c>
      <c r="L325" s="257">
        <v>6515078.9000000004</v>
      </c>
      <c r="M325" s="279">
        <v>13468701.779999999</v>
      </c>
      <c r="N325" s="257">
        <v>13468701.779999999</v>
      </c>
    </row>
    <row r="326" spans="1:14" s="143" customFormat="1" hidden="1" x14ac:dyDescent="0.25">
      <c r="A326" s="143" t="s">
        <v>707</v>
      </c>
      <c r="B326" s="143" t="s">
        <v>206</v>
      </c>
      <c r="C326" s="143" t="s">
        <v>207</v>
      </c>
      <c r="D326" s="143" t="s">
        <v>69</v>
      </c>
      <c r="E326" s="257">
        <v>144803139</v>
      </c>
      <c r="F326" s="257">
        <v>145026619</v>
      </c>
      <c r="G326" s="257">
        <v>145026619</v>
      </c>
      <c r="H326" s="257">
        <v>23181000</v>
      </c>
      <c r="I326" s="257">
        <v>58711599.649999999</v>
      </c>
      <c r="J326" s="257">
        <v>8329106.7000000002</v>
      </c>
      <c r="K326" s="257">
        <v>0</v>
      </c>
      <c r="L326" s="257">
        <v>0</v>
      </c>
      <c r="M326" s="279">
        <v>54804912.649999999</v>
      </c>
      <c r="N326" s="257">
        <v>54804912.649999999</v>
      </c>
    </row>
    <row r="327" spans="1:14" s="143" customFormat="1" hidden="1" x14ac:dyDescent="0.25">
      <c r="A327" s="143" t="s">
        <v>707</v>
      </c>
      <c r="B327" s="143" t="s">
        <v>208</v>
      </c>
      <c r="C327" s="143" t="s">
        <v>209</v>
      </c>
      <c r="D327" s="143" t="s">
        <v>69</v>
      </c>
      <c r="E327" s="257">
        <v>17162500</v>
      </c>
      <c r="F327" s="257">
        <v>17385980</v>
      </c>
      <c r="G327" s="257">
        <v>17385980</v>
      </c>
      <c r="H327" s="257">
        <v>23181000</v>
      </c>
      <c r="I327" s="257">
        <v>223480</v>
      </c>
      <c r="J327" s="257">
        <v>0</v>
      </c>
      <c r="K327" s="257">
        <v>0</v>
      </c>
      <c r="L327" s="257">
        <v>0</v>
      </c>
      <c r="M327" s="340">
        <v>-6018500</v>
      </c>
      <c r="N327" s="275">
        <v>-6018500</v>
      </c>
    </row>
    <row r="328" spans="1:14" s="143" customFormat="1" hidden="1" x14ac:dyDescent="0.25">
      <c r="A328" s="143" t="s">
        <v>707</v>
      </c>
      <c r="B328" s="143" t="s">
        <v>210</v>
      </c>
      <c r="C328" s="143" t="s">
        <v>211</v>
      </c>
      <c r="D328" s="143" t="s">
        <v>69</v>
      </c>
      <c r="E328" s="257">
        <v>127640639</v>
      </c>
      <c r="F328" s="257">
        <v>127640639</v>
      </c>
      <c r="G328" s="257">
        <v>127640639</v>
      </c>
      <c r="H328" s="257">
        <v>0</v>
      </c>
      <c r="I328" s="257">
        <v>58488119.649999999</v>
      </c>
      <c r="J328" s="257">
        <v>8329106.7000000002</v>
      </c>
      <c r="K328" s="257">
        <v>0</v>
      </c>
      <c r="L328" s="257">
        <v>0</v>
      </c>
      <c r="M328" s="279">
        <v>60823412.649999999</v>
      </c>
      <c r="N328" s="257">
        <v>60823412.649999999</v>
      </c>
    </row>
    <row r="329" spans="1:14" s="143" customFormat="1" hidden="1" x14ac:dyDescent="0.25">
      <c r="A329" s="143" t="s">
        <v>707</v>
      </c>
      <c r="B329" s="143" t="s">
        <v>212</v>
      </c>
      <c r="C329" s="143" t="s">
        <v>213</v>
      </c>
      <c r="D329" s="143" t="s">
        <v>69</v>
      </c>
      <c r="E329" s="257">
        <v>3269894716</v>
      </c>
      <c r="F329" s="257">
        <v>3269894716</v>
      </c>
      <c r="G329" s="257">
        <v>3226558245</v>
      </c>
      <c r="H329" s="257">
        <v>20691236</v>
      </c>
      <c r="I329" s="257">
        <v>315641174.58999997</v>
      </c>
      <c r="J329" s="257">
        <v>155047264</v>
      </c>
      <c r="K329" s="257">
        <v>80208893.340000004</v>
      </c>
      <c r="L329" s="257">
        <v>38244987.609999999</v>
      </c>
      <c r="M329" s="279">
        <v>2698306148.0700002</v>
      </c>
      <c r="N329" s="257">
        <v>2654969677.0700002</v>
      </c>
    </row>
    <row r="330" spans="1:14" s="143" customFormat="1" hidden="1" x14ac:dyDescent="0.25">
      <c r="A330" s="143" t="s">
        <v>707</v>
      </c>
      <c r="B330" s="143" t="s">
        <v>214</v>
      </c>
      <c r="C330" s="143" t="s">
        <v>215</v>
      </c>
      <c r="D330" s="143" t="s">
        <v>69</v>
      </c>
      <c r="E330" s="257">
        <v>34070136</v>
      </c>
      <c r="F330" s="257">
        <v>34070136</v>
      </c>
      <c r="G330" s="257">
        <v>34070136</v>
      </c>
      <c r="H330" s="257">
        <v>0</v>
      </c>
      <c r="I330" s="257">
        <v>1004707.4</v>
      </c>
      <c r="J330" s="257">
        <v>0</v>
      </c>
      <c r="K330" s="257">
        <v>592475.1</v>
      </c>
      <c r="L330" s="257">
        <v>0</v>
      </c>
      <c r="M330" s="279">
        <v>32472953.5</v>
      </c>
      <c r="N330" s="257">
        <v>32472953.5</v>
      </c>
    </row>
    <row r="331" spans="1:14" s="143" customFormat="1" hidden="1" x14ac:dyDescent="0.25">
      <c r="A331" s="143" t="s">
        <v>707</v>
      </c>
      <c r="B331" s="143" t="s">
        <v>216</v>
      </c>
      <c r="C331" s="143" t="s">
        <v>217</v>
      </c>
      <c r="D331" s="143" t="s">
        <v>69</v>
      </c>
      <c r="E331" s="257">
        <v>26479307</v>
      </c>
      <c r="F331" s="257">
        <v>26479307</v>
      </c>
      <c r="G331" s="257">
        <v>26479307</v>
      </c>
      <c r="H331" s="257">
        <v>0</v>
      </c>
      <c r="I331" s="257">
        <v>6890478.9699999997</v>
      </c>
      <c r="J331" s="257">
        <v>0</v>
      </c>
      <c r="K331" s="257">
        <v>2308012.0099999998</v>
      </c>
      <c r="L331" s="257">
        <v>2183443.2999999998</v>
      </c>
      <c r="M331" s="279">
        <v>17280816.02</v>
      </c>
      <c r="N331" s="257">
        <v>17280816.02</v>
      </c>
    </row>
    <row r="332" spans="1:14" s="143" customFormat="1" hidden="1" x14ac:dyDescent="0.25">
      <c r="A332" s="143" t="s">
        <v>707</v>
      </c>
      <c r="B332" s="143" t="s">
        <v>218</v>
      </c>
      <c r="C332" s="143" t="s">
        <v>219</v>
      </c>
      <c r="D332" s="143" t="s">
        <v>69</v>
      </c>
      <c r="E332" s="257">
        <v>140601000</v>
      </c>
      <c r="F332" s="257">
        <v>140601000</v>
      </c>
      <c r="G332" s="257">
        <v>137607000</v>
      </c>
      <c r="H332" s="257">
        <v>0</v>
      </c>
      <c r="I332" s="257">
        <v>49288637.32</v>
      </c>
      <c r="J332" s="257">
        <v>0</v>
      </c>
      <c r="K332" s="257">
        <v>23816028</v>
      </c>
      <c r="L332" s="257">
        <v>23816028</v>
      </c>
      <c r="M332" s="279">
        <v>67496334.680000007</v>
      </c>
      <c r="N332" s="257">
        <v>64502334.68</v>
      </c>
    </row>
    <row r="333" spans="1:14" s="143" customFormat="1" hidden="1" x14ac:dyDescent="0.25">
      <c r="A333" s="143" t="s">
        <v>707</v>
      </c>
      <c r="B333" s="143" t="s">
        <v>220</v>
      </c>
      <c r="C333" s="143" t="s">
        <v>221</v>
      </c>
      <c r="D333" s="143" t="s">
        <v>69</v>
      </c>
      <c r="E333" s="257">
        <v>1260371675</v>
      </c>
      <c r="F333" s="257">
        <v>1260371675</v>
      </c>
      <c r="G333" s="257">
        <v>1249371675</v>
      </c>
      <c r="H333" s="257">
        <v>5099540</v>
      </c>
      <c r="I333" s="257">
        <v>43046622.640000001</v>
      </c>
      <c r="J333" s="257">
        <v>0</v>
      </c>
      <c r="K333" s="257">
        <v>0</v>
      </c>
      <c r="L333" s="257">
        <v>0</v>
      </c>
      <c r="M333" s="279">
        <v>1212225512.3599999</v>
      </c>
      <c r="N333" s="257">
        <v>1201225512.3599999</v>
      </c>
    </row>
    <row r="334" spans="1:14" s="143" customFormat="1" hidden="1" x14ac:dyDescent="0.25">
      <c r="A334" s="143" t="s">
        <v>707</v>
      </c>
      <c r="B334" s="143" t="s">
        <v>222</v>
      </c>
      <c r="C334" s="143" t="s">
        <v>223</v>
      </c>
      <c r="D334" s="143" t="s">
        <v>69</v>
      </c>
      <c r="E334" s="257">
        <v>291010979</v>
      </c>
      <c r="F334" s="257">
        <v>291010979</v>
      </c>
      <c r="G334" s="257">
        <v>261668508</v>
      </c>
      <c r="H334" s="257">
        <v>15591696</v>
      </c>
      <c r="I334" s="257">
        <v>104807765.98</v>
      </c>
      <c r="J334" s="257">
        <v>34567264</v>
      </c>
      <c r="K334" s="257">
        <v>576011.1</v>
      </c>
      <c r="L334" s="257">
        <v>576011.1</v>
      </c>
      <c r="M334" s="279">
        <v>135468241.91999999</v>
      </c>
      <c r="N334" s="257">
        <v>106125770.92</v>
      </c>
    </row>
    <row r="335" spans="1:14" s="143" customFormat="1" hidden="1" x14ac:dyDescent="0.25">
      <c r="A335" s="143" t="s">
        <v>707</v>
      </c>
      <c r="B335" s="143" t="s">
        <v>224</v>
      </c>
      <c r="C335" s="143" t="s">
        <v>225</v>
      </c>
      <c r="D335" s="143" t="s">
        <v>69</v>
      </c>
      <c r="E335" s="257">
        <v>1243089320</v>
      </c>
      <c r="F335" s="257">
        <v>1243089320</v>
      </c>
      <c r="G335" s="257">
        <v>1243089320</v>
      </c>
      <c r="H335" s="257">
        <v>0</v>
      </c>
      <c r="I335" s="257">
        <v>34724245.340000004</v>
      </c>
      <c r="J335" s="257">
        <v>120480000</v>
      </c>
      <c r="K335" s="257">
        <v>1414230</v>
      </c>
      <c r="L335" s="257">
        <v>1414230</v>
      </c>
      <c r="M335" s="279">
        <v>1086470844.6600001</v>
      </c>
      <c r="N335" s="257">
        <v>1086470844.6600001</v>
      </c>
    </row>
    <row r="336" spans="1:14" s="143" customFormat="1" hidden="1" x14ac:dyDescent="0.25">
      <c r="A336" s="143" t="s">
        <v>707</v>
      </c>
      <c r="B336" s="143" t="s">
        <v>226</v>
      </c>
      <c r="C336" s="143" t="s">
        <v>227</v>
      </c>
      <c r="D336" s="143" t="s">
        <v>69</v>
      </c>
      <c r="E336" s="257">
        <v>90632447</v>
      </c>
      <c r="F336" s="257">
        <v>90632447</v>
      </c>
      <c r="G336" s="257">
        <v>90632447</v>
      </c>
      <c r="H336" s="257">
        <v>0</v>
      </c>
      <c r="I336" s="257">
        <v>0</v>
      </c>
      <c r="J336" s="257">
        <v>0</v>
      </c>
      <c r="K336" s="257">
        <v>2072760</v>
      </c>
      <c r="L336" s="257">
        <v>2072760</v>
      </c>
      <c r="M336" s="279">
        <v>88559687</v>
      </c>
      <c r="N336" s="257">
        <v>88559687</v>
      </c>
    </row>
    <row r="337" spans="1:14" s="143" customFormat="1" hidden="1" x14ac:dyDescent="0.25">
      <c r="A337" s="143" t="s">
        <v>707</v>
      </c>
      <c r="B337" s="143" t="s">
        <v>228</v>
      </c>
      <c r="C337" s="143" t="s">
        <v>229</v>
      </c>
      <c r="D337" s="143" t="s">
        <v>69</v>
      </c>
      <c r="E337" s="257">
        <v>183639852</v>
      </c>
      <c r="F337" s="257">
        <v>183639852</v>
      </c>
      <c r="G337" s="257">
        <v>183639852</v>
      </c>
      <c r="H337" s="257">
        <v>0</v>
      </c>
      <c r="I337" s="257">
        <v>75878716.939999998</v>
      </c>
      <c r="J337" s="257">
        <v>0</v>
      </c>
      <c r="K337" s="257">
        <v>49429377.130000003</v>
      </c>
      <c r="L337" s="257">
        <v>8182515.21</v>
      </c>
      <c r="M337" s="279">
        <v>58331757.93</v>
      </c>
      <c r="N337" s="257">
        <v>58331757.93</v>
      </c>
    </row>
    <row r="338" spans="1:14" s="143" customFormat="1" hidden="1" x14ac:dyDescent="0.25">
      <c r="A338" s="143" t="s">
        <v>707</v>
      </c>
      <c r="B338" s="143" t="s">
        <v>230</v>
      </c>
      <c r="C338" s="143" t="s">
        <v>231</v>
      </c>
      <c r="D338" s="143" t="s">
        <v>85</v>
      </c>
      <c r="E338" s="257">
        <v>2053989952</v>
      </c>
      <c r="F338" s="257">
        <v>2053989952</v>
      </c>
      <c r="G338" s="257">
        <v>1786494147</v>
      </c>
      <c r="H338" s="257">
        <v>45369556.840000004</v>
      </c>
      <c r="I338" s="257">
        <v>654613968.15999997</v>
      </c>
      <c r="J338" s="257">
        <v>0</v>
      </c>
      <c r="K338" s="257">
        <v>48797469.600000001</v>
      </c>
      <c r="L338" s="257">
        <v>48797469.600000001</v>
      </c>
      <c r="M338" s="279">
        <v>1305208957.4000001</v>
      </c>
      <c r="N338" s="257">
        <v>1037713152.4</v>
      </c>
    </row>
    <row r="339" spans="1:14" s="143" customFormat="1" hidden="1" x14ac:dyDescent="0.25">
      <c r="A339" s="143" t="s">
        <v>707</v>
      </c>
      <c r="B339" s="143" t="s">
        <v>232</v>
      </c>
      <c r="C339" s="143" t="s">
        <v>233</v>
      </c>
      <c r="D339" s="143" t="s">
        <v>85</v>
      </c>
      <c r="E339" s="257">
        <v>1511257014</v>
      </c>
      <c r="F339" s="257">
        <v>1511257014</v>
      </c>
      <c r="G339" s="257">
        <v>1410742052</v>
      </c>
      <c r="H339" s="257">
        <v>45369556.840000004</v>
      </c>
      <c r="I339" s="257">
        <v>654183899.98000002</v>
      </c>
      <c r="J339" s="257">
        <v>0</v>
      </c>
      <c r="K339" s="257">
        <v>48199598</v>
      </c>
      <c r="L339" s="257">
        <v>48199598</v>
      </c>
      <c r="M339" s="279">
        <v>763503959.17999995</v>
      </c>
      <c r="N339" s="257">
        <v>662988997.17999995</v>
      </c>
    </row>
    <row r="340" spans="1:14" s="143" customFormat="1" hidden="1" x14ac:dyDescent="0.25">
      <c r="A340" s="143" t="s">
        <v>707</v>
      </c>
      <c r="B340" s="143" t="s">
        <v>234</v>
      </c>
      <c r="C340" s="143" t="s">
        <v>235</v>
      </c>
      <c r="D340" s="143" t="s">
        <v>85</v>
      </c>
      <c r="E340" s="257">
        <v>46000000</v>
      </c>
      <c r="F340" s="257">
        <v>46000000</v>
      </c>
      <c r="G340" s="257">
        <v>46000000</v>
      </c>
      <c r="H340" s="257">
        <v>45369556.840000004</v>
      </c>
      <c r="I340" s="257">
        <v>0</v>
      </c>
      <c r="J340" s="257">
        <v>0</v>
      </c>
      <c r="K340" s="257">
        <v>0</v>
      </c>
      <c r="L340" s="257">
        <v>0</v>
      </c>
      <c r="M340" s="279">
        <v>630443.16</v>
      </c>
      <c r="N340" s="257">
        <v>630443.16</v>
      </c>
    </row>
    <row r="341" spans="1:14" s="143" customFormat="1" hidden="1" x14ac:dyDescent="0.25">
      <c r="A341" s="143" t="s">
        <v>707</v>
      </c>
      <c r="B341" s="143" t="s">
        <v>324</v>
      </c>
      <c r="C341" s="143" t="s">
        <v>325</v>
      </c>
      <c r="D341" s="143" t="s">
        <v>85</v>
      </c>
      <c r="E341" s="257">
        <v>0</v>
      </c>
      <c r="F341" s="257">
        <v>815400</v>
      </c>
      <c r="G341" s="257">
        <v>815400</v>
      </c>
      <c r="H341" s="257">
        <v>0</v>
      </c>
      <c r="I341" s="257">
        <v>815400</v>
      </c>
      <c r="J341" s="257">
        <v>0</v>
      </c>
      <c r="K341" s="257">
        <v>0</v>
      </c>
      <c r="L341" s="257">
        <v>0</v>
      </c>
      <c r="M341" s="279">
        <v>0</v>
      </c>
      <c r="N341" s="257">
        <v>0</v>
      </c>
    </row>
    <row r="342" spans="1:14" s="143" customFormat="1" hidden="1" x14ac:dyDescent="0.25">
      <c r="A342" s="143" t="s">
        <v>707</v>
      </c>
      <c r="B342" s="143" t="s">
        <v>236</v>
      </c>
      <c r="C342" s="143" t="s">
        <v>237</v>
      </c>
      <c r="D342" s="143" t="s">
        <v>85</v>
      </c>
      <c r="E342" s="257">
        <v>302703422</v>
      </c>
      <c r="F342" s="257">
        <v>302703422</v>
      </c>
      <c r="G342" s="257">
        <v>287003422</v>
      </c>
      <c r="H342" s="257">
        <v>0</v>
      </c>
      <c r="I342" s="257">
        <v>211188499.97999999</v>
      </c>
      <c r="J342" s="257">
        <v>0</v>
      </c>
      <c r="K342" s="257">
        <v>0</v>
      </c>
      <c r="L342" s="257">
        <v>0</v>
      </c>
      <c r="M342" s="279">
        <v>91514922.019999996</v>
      </c>
      <c r="N342" s="257">
        <v>75814922.019999996</v>
      </c>
    </row>
    <row r="343" spans="1:14" s="143" customFormat="1" hidden="1" x14ac:dyDescent="0.25">
      <c r="A343" s="143" t="s">
        <v>707</v>
      </c>
      <c r="B343" s="143" t="s">
        <v>238</v>
      </c>
      <c r="C343" s="143" t="s">
        <v>239</v>
      </c>
      <c r="D343" s="143" t="s">
        <v>85</v>
      </c>
      <c r="E343" s="257">
        <v>68995579</v>
      </c>
      <c r="F343" s="257">
        <v>68995579</v>
      </c>
      <c r="G343" s="257">
        <v>68995579</v>
      </c>
      <c r="H343" s="257">
        <v>0</v>
      </c>
      <c r="I343" s="257">
        <v>0</v>
      </c>
      <c r="J343" s="257">
        <v>0</v>
      </c>
      <c r="K343" s="257">
        <v>43357170</v>
      </c>
      <c r="L343" s="257">
        <v>43357170</v>
      </c>
      <c r="M343" s="279">
        <v>25638409</v>
      </c>
      <c r="N343" s="257">
        <v>25638409</v>
      </c>
    </row>
    <row r="344" spans="1:14" s="143" customFormat="1" hidden="1" x14ac:dyDescent="0.25">
      <c r="A344" s="143" t="s">
        <v>707</v>
      </c>
      <c r="B344" s="143" t="s">
        <v>282</v>
      </c>
      <c r="C344" s="143" t="s">
        <v>283</v>
      </c>
      <c r="D344" s="143" t="s">
        <v>85</v>
      </c>
      <c r="E344" s="257">
        <v>100000000</v>
      </c>
      <c r="F344" s="257">
        <v>100000000</v>
      </c>
      <c r="G344" s="257">
        <v>100000000</v>
      </c>
      <c r="H344" s="257">
        <v>0</v>
      </c>
      <c r="I344" s="257">
        <v>0</v>
      </c>
      <c r="J344" s="257">
        <v>0</v>
      </c>
      <c r="K344" s="257">
        <v>0</v>
      </c>
      <c r="L344" s="257">
        <v>0</v>
      </c>
      <c r="M344" s="279">
        <v>100000000</v>
      </c>
      <c r="N344" s="257">
        <v>100000000</v>
      </c>
    </row>
    <row r="345" spans="1:14" s="143" customFormat="1" hidden="1" x14ac:dyDescent="0.25">
      <c r="A345" s="143" t="s">
        <v>707</v>
      </c>
      <c r="B345" s="143" t="s">
        <v>326</v>
      </c>
      <c r="C345" s="143" t="s">
        <v>327</v>
      </c>
      <c r="D345" s="143" t="s">
        <v>85</v>
      </c>
      <c r="E345" s="257">
        <v>1200000</v>
      </c>
      <c r="F345" s="257">
        <v>1200000</v>
      </c>
      <c r="G345" s="257">
        <v>1200000</v>
      </c>
      <c r="H345" s="257">
        <v>0</v>
      </c>
      <c r="I345" s="257">
        <v>0</v>
      </c>
      <c r="J345" s="257">
        <v>0</v>
      </c>
      <c r="K345" s="257">
        <v>0</v>
      </c>
      <c r="L345" s="257">
        <v>0</v>
      </c>
      <c r="M345" s="279">
        <v>1200000</v>
      </c>
      <c r="N345" s="257">
        <v>1200000</v>
      </c>
    </row>
    <row r="346" spans="1:14" s="143" customFormat="1" hidden="1" x14ac:dyDescent="0.25">
      <c r="A346" s="143" t="s">
        <v>707</v>
      </c>
      <c r="B346" s="143" t="s">
        <v>240</v>
      </c>
      <c r="C346" s="143" t="s">
        <v>241</v>
      </c>
      <c r="D346" s="143" t="s">
        <v>85</v>
      </c>
      <c r="E346" s="257">
        <v>2700000</v>
      </c>
      <c r="F346" s="257">
        <v>2700000</v>
      </c>
      <c r="G346" s="257">
        <v>2700000</v>
      </c>
      <c r="H346" s="257">
        <v>0</v>
      </c>
      <c r="I346" s="257">
        <v>0</v>
      </c>
      <c r="J346" s="257">
        <v>0</v>
      </c>
      <c r="K346" s="257">
        <v>0</v>
      </c>
      <c r="L346" s="257">
        <v>0</v>
      </c>
      <c r="M346" s="279">
        <v>2700000</v>
      </c>
      <c r="N346" s="257">
        <v>2700000</v>
      </c>
    </row>
    <row r="347" spans="1:14" s="143" customFormat="1" hidden="1" x14ac:dyDescent="0.25">
      <c r="A347" s="143" t="s">
        <v>707</v>
      </c>
      <c r="B347" s="143" t="s">
        <v>242</v>
      </c>
      <c r="C347" s="143" t="s">
        <v>243</v>
      </c>
      <c r="D347" s="143" t="s">
        <v>85</v>
      </c>
      <c r="E347" s="257">
        <v>989658013</v>
      </c>
      <c r="F347" s="257">
        <v>988842613</v>
      </c>
      <c r="G347" s="257">
        <v>904027651</v>
      </c>
      <c r="H347" s="257">
        <v>0</v>
      </c>
      <c r="I347" s="257">
        <v>442180000</v>
      </c>
      <c r="J347" s="257">
        <v>0</v>
      </c>
      <c r="K347" s="257">
        <v>4842428</v>
      </c>
      <c r="L347" s="257">
        <v>4842428</v>
      </c>
      <c r="M347" s="279">
        <v>541820185</v>
      </c>
      <c r="N347" s="257">
        <v>457005223</v>
      </c>
    </row>
    <row r="348" spans="1:14" s="143" customFormat="1" hidden="1" x14ac:dyDescent="0.25">
      <c r="A348" s="143" t="s">
        <v>707</v>
      </c>
      <c r="B348" s="143" t="s">
        <v>328</v>
      </c>
      <c r="C348" s="143" t="s">
        <v>329</v>
      </c>
      <c r="D348" s="143" t="s">
        <v>85</v>
      </c>
      <c r="E348" s="257">
        <v>94148000</v>
      </c>
      <c r="F348" s="257">
        <v>94148000</v>
      </c>
      <c r="G348" s="257">
        <v>94148000</v>
      </c>
      <c r="H348" s="257">
        <v>0</v>
      </c>
      <c r="I348" s="257">
        <v>430068.18</v>
      </c>
      <c r="J348" s="257">
        <v>0</v>
      </c>
      <c r="K348" s="257">
        <v>597871.6</v>
      </c>
      <c r="L348" s="257">
        <v>597871.6</v>
      </c>
      <c r="M348" s="279">
        <v>93120060.219999999</v>
      </c>
      <c r="N348" s="257">
        <v>93120060.219999999</v>
      </c>
    </row>
    <row r="349" spans="1:14" s="143" customFormat="1" hidden="1" x14ac:dyDescent="0.25">
      <c r="A349" s="143" t="s">
        <v>707</v>
      </c>
      <c r="B349" s="143" t="s">
        <v>330</v>
      </c>
      <c r="C349" s="143" t="s">
        <v>331</v>
      </c>
      <c r="D349" s="143" t="s">
        <v>85</v>
      </c>
      <c r="E349" s="257">
        <v>92800000</v>
      </c>
      <c r="F349" s="257">
        <v>92800000</v>
      </c>
      <c r="G349" s="257">
        <v>92800000</v>
      </c>
      <c r="H349" s="257">
        <v>0</v>
      </c>
      <c r="I349" s="257">
        <v>0</v>
      </c>
      <c r="J349" s="257">
        <v>0</v>
      </c>
      <c r="K349" s="257">
        <v>597871.6</v>
      </c>
      <c r="L349" s="257">
        <v>597871.6</v>
      </c>
      <c r="M349" s="279">
        <v>92202128.400000006</v>
      </c>
      <c r="N349" s="257">
        <v>92202128.400000006</v>
      </c>
    </row>
    <row r="350" spans="1:14" s="143" customFormat="1" hidden="1" x14ac:dyDescent="0.25">
      <c r="A350" s="143" t="s">
        <v>707</v>
      </c>
      <c r="B350" s="143" t="s">
        <v>358</v>
      </c>
      <c r="C350" s="143" t="s">
        <v>359</v>
      </c>
      <c r="D350" s="143" t="s">
        <v>85</v>
      </c>
      <c r="E350" s="257">
        <v>1348000</v>
      </c>
      <c r="F350" s="257">
        <v>1348000</v>
      </c>
      <c r="G350" s="257">
        <v>1348000</v>
      </c>
      <c r="H350" s="257">
        <v>0</v>
      </c>
      <c r="I350" s="257">
        <v>430068.18</v>
      </c>
      <c r="J350" s="257">
        <v>0</v>
      </c>
      <c r="K350" s="257">
        <v>0</v>
      </c>
      <c r="L350" s="257">
        <v>0</v>
      </c>
      <c r="M350" s="279">
        <v>917931.82</v>
      </c>
      <c r="N350" s="257">
        <v>917931.82</v>
      </c>
    </row>
    <row r="351" spans="1:14" s="143" customFormat="1" hidden="1" x14ac:dyDescent="0.25">
      <c r="A351" s="143" t="s">
        <v>707</v>
      </c>
      <c r="B351" s="143" t="s">
        <v>244</v>
      </c>
      <c r="C351" s="143" t="s">
        <v>245</v>
      </c>
      <c r="D351" s="143" t="s">
        <v>85</v>
      </c>
      <c r="E351" s="257">
        <v>448584938</v>
      </c>
      <c r="F351" s="257">
        <v>448584938</v>
      </c>
      <c r="G351" s="257">
        <v>281604095</v>
      </c>
      <c r="H351" s="257">
        <v>0</v>
      </c>
      <c r="I351" s="257">
        <v>0</v>
      </c>
      <c r="J351" s="257">
        <v>0</v>
      </c>
      <c r="K351" s="257">
        <v>0</v>
      </c>
      <c r="L351" s="257">
        <v>0</v>
      </c>
      <c r="M351" s="279">
        <v>448584938</v>
      </c>
      <c r="N351" s="257">
        <v>281604095</v>
      </c>
    </row>
    <row r="352" spans="1:14" s="143" customFormat="1" hidden="1" x14ac:dyDescent="0.25">
      <c r="A352" s="143" t="s">
        <v>707</v>
      </c>
      <c r="B352" s="143" t="s">
        <v>246</v>
      </c>
      <c r="C352" s="143" t="s">
        <v>247</v>
      </c>
      <c r="D352" s="143" t="s">
        <v>85</v>
      </c>
      <c r="E352" s="257">
        <v>448584938</v>
      </c>
      <c r="F352" s="257">
        <v>448584938</v>
      </c>
      <c r="G352" s="257">
        <v>281604095</v>
      </c>
      <c r="H352" s="257">
        <v>0</v>
      </c>
      <c r="I352" s="257">
        <v>0</v>
      </c>
      <c r="J352" s="257">
        <v>0</v>
      </c>
      <c r="K352" s="257">
        <v>0</v>
      </c>
      <c r="L352" s="257">
        <v>0</v>
      </c>
      <c r="M352" s="279">
        <v>448584938</v>
      </c>
      <c r="N352" s="257">
        <v>281604095</v>
      </c>
    </row>
    <row r="353" spans="1:14" s="143" customFormat="1" hidden="1" x14ac:dyDescent="0.25">
      <c r="A353" s="143" t="s">
        <v>707</v>
      </c>
      <c r="B353" s="143" t="s">
        <v>248</v>
      </c>
      <c r="C353" s="143" t="s">
        <v>249</v>
      </c>
      <c r="D353" s="143" t="s">
        <v>69</v>
      </c>
      <c r="E353" s="257">
        <v>13160774264</v>
      </c>
      <c r="F353" s="257">
        <v>13160774264</v>
      </c>
      <c r="G353" s="257">
        <v>10809555558</v>
      </c>
      <c r="H353" s="257">
        <v>0</v>
      </c>
      <c r="I353" s="257">
        <v>7174022867.3599997</v>
      </c>
      <c r="J353" s="257">
        <v>0</v>
      </c>
      <c r="K353" s="257">
        <v>2963298044.1300001</v>
      </c>
      <c r="L353" s="257">
        <v>2061420263.6700001</v>
      </c>
      <c r="M353" s="279">
        <v>3023453352.5100002</v>
      </c>
      <c r="N353" s="257">
        <v>672234646.50999999</v>
      </c>
    </row>
    <row r="354" spans="1:14" s="143" customFormat="1" hidden="1" x14ac:dyDescent="0.25">
      <c r="A354" s="143" t="s">
        <v>707</v>
      </c>
      <c r="B354" s="143" t="s">
        <v>250</v>
      </c>
      <c r="C354" s="143" t="s">
        <v>251</v>
      </c>
      <c r="D354" s="143" t="s">
        <v>69</v>
      </c>
      <c r="E354" s="257">
        <v>11073271142</v>
      </c>
      <c r="F354" s="257">
        <v>11073271142</v>
      </c>
      <c r="G354" s="257">
        <v>9869797595</v>
      </c>
      <c r="H354" s="257">
        <v>0</v>
      </c>
      <c r="I354" s="257">
        <v>7018889773.3000002</v>
      </c>
      <c r="J354" s="257">
        <v>0</v>
      </c>
      <c r="K354" s="257">
        <v>2736471266.6999998</v>
      </c>
      <c r="L354" s="257">
        <v>1890093486.24</v>
      </c>
      <c r="M354" s="279">
        <v>1317910102</v>
      </c>
      <c r="N354" s="257">
        <v>114436555</v>
      </c>
    </row>
    <row r="355" spans="1:14" s="143" customFormat="1" hidden="1" x14ac:dyDescent="0.25">
      <c r="A355" s="143" t="s">
        <v>707</v>
      </c>
      <c r="B355" s="143" t="s">
        <v>621</v>
      </c>
      <c r="C355" s="143" t="s">
        <v>708</v>
      </c>
      <c r="D355" s="143" t="s">
        <v>69</v>
      </c>
      <c r="E355" s="257">
        <v>44000000</v>
      </c>
      <c r="F355" s="257">
        <v>44000000</v>
      </c>
      <c r="G355" s="257">
        <v>22000000</v>
      </c>
      <c r="H355" s="257">
        <v>0</v>
      </c>
      <c r="I355" s="257">
        <v>0</v>
      </c>
      <c r="J355" s="257">
        <v>0</v>
      </c>
      <c r="K355" s="257">
        <v>0</v>
      </c>
      <c r="L355" s="257">
        <v>0</v>
      </c>
      <c r="M355" s="279">
        <v>44000000</v>
      </c>
      <c r="N355" s="257">
        <v>22000000</v>
      </c>
    </row>
    <row r="356" spans="1:14" s="143" customFormat="1" hidden="1" x14ac:dyDescent="0.25">
      <c r="A356" s="143" t="s">
        <v>707</v>
      </c>
      <c r="B356" s="143" t="s">
        <v>629</v>
      </c>
      <c r="C356" s="143" t="s">
        <v>702</v>
      </c>
      <c r="D356" s="143" t="s">
        <v>69</v>
      </c>
      <c r="E356" s="257">
        <v>540115935</v>
      </c>
      <c r="F356" s="257">
        <v>540115935</v>
      </c>
      <c r="G356" s="257">
        <v>527361381</v>
      </c>
      <c r="H356" s="257">
        <v>0</v>
      </c>
      <c r="I356" s="257">
        <v>379048767</v>
      </c>
      <c r="J356" s="257">
        <v>0</v>
      </c>
      <c r="K356" s="257">
        <v>161067168</v>
      </c>
      <c r="L356" s="257">
        <v>161067168</v>
      </c>
      <c r="M356" s="279">
        <v>0</v>
      </c>
      <c r="N356" s="275">
        <v>-12754554</v>
      </c>
    </row>
    <row r="357" spans="1:14" s="143" customFormat="1" hidden="1" x14ac:dyDescent="0.25">
      <c r="A357" s="143" t="s">
        <v>707</v>
      </c>
      <c r="B357" s="143" t="s">
        <v>644</v>
      </c>
      <c r="C357" s="143" t="s">
        <v>703</v>
      </c>
      <c r="D357" s="143" t="s">
        <v>69</v>
      </c>
      <c r="E357" s="257">
        <v>95765207</v>
      </c>
      <c r="F357" s="257">
        <v>95765207</v>
      </c>
      <c r="G357" s="257">
        <v>93503762</v>
      </c>
      <c r="H357" s="257">
        <v>0</v>
      </c>
      <c r="I357" s="257">
        <v>65197894</v>
      </c>
      <c r="J357" s="257">
        <v>0</v>
      </c>
      <c r="K357" s="257">
        <v>30567313</v>
      </c>
      <c r="L357" s="257">
        <v>30567313</v>
      </c>
      <c r="M357" s="279">
        <v>0</v>
      </c>
      <c r="N357" s="275">
        <v>-2261445</v>
      </c>
    </row>
    <row r="358" spans="1:14" s="143" customFormat="1" hidden="1" x14ac:dyDescent="0.25">
      <c r="A358" s="143" t="s">
        <v>707</v>
      </c>
      <c r="B358" s="143" t="s">
        <v>655</v>
      </c>
      <c r="C358" s="143" t="s">
        <v>709</v>
      </c>
      <c r="D358" s="143" t="s">
        <v>69</v>
      </c>
      <c r="E358" s="257">
        <v>10393390000</v>
      </c>
      <c r="F358" s="257">
        <v>10393390000</v>
      </c>
      <c r="G358" s="257">
        <v>9226932452</v>
      </c>
      <c r="H358" s="257">
        <v>0</v>
      </c>
      <c r="I358" s="257">
        <v>6574643112.3000002</v>
      </c>
      <c r="J358" s="257">
        <v>0</v>
      </c>
      <c r="K358" s="257">
        <v>2544836785.6999998</v>
      </c>
      <c r="L358" s="257">
        <v>1698459005.24</v>
      </c>
      <c r="M358" s="279">
        <v>1273910102</v>
      </c>
      <c r="N358" s="257">
        <v>107452554</v>
      </c>
    </row>
    <row r="359" spans="1:14" s="143" customFormat="1" hidden="1" x14ac:dyDescent="0.25">
      <c r="A359" s="143" t="s">
        <v>707</v>
      </c>
      <c r="B359" s="143" t="s">
        <v>366</v>
      </c>
      <c r="C359" s="143" t="s">
        <v>367</v>
      </c>
      <c r="D359" s="143" t="s">
        <v>69</v>
      </c>
      <c r="E359" s="257">
        <v>666000000</v>
      </c>
      <c r="F359" s="257">
        <v>666000000</v>
      </c>
      <c r="G359" s="257">
        <v>333000000</v>
      </c>
      <c r="H359" s="257">
        <v>0</v>
      </c>
      <c r="I359" s="257">
        <v>0</v>
      </c>
      <c r="J359" s="257">
        <v>0</v>
      </c>
      <c r="K359" s="257">
        <v>166500000</v>
      </c>
      <c r="L359" s="257">
        <v>111000000</v>
      </c>
      <c r="M359" s="279">
        <v>499500000</v>
      </c>
      <c r="N359" s="257">
        <v>166500000</v>
      </c>
    </row>
    <row r="360" spans="1:14" s="143" customFormat="1" hidden="1" x14ac:dyDescent="0.25">
      <c r="A360" s="143" t="s">
        <v>707</v>
      </c>
      <c r="B360" s="143" t="s">
        <v>368</v>
      </c>
      <c r="C360" s="143" t="s">
        <v>369</v>
      </c>
      <c r="D360" s="143" t="s">
        <v>69</v>
      </c>
      <c r="E360" s="257">
        <v>666000000</v>
      </c>
      <c r="F360" s="257">
        <v>666000000</v>
      </c>
      <c r="G360" s="257">
        <v>333000000</v>
      </c>
      <c r="H360" s="257">
        <v>0</v>
      </c>
      <c r="I360" s="257">
        <v>0</v>
      </c>
      <c r="J360" s="257">
        <v>0</v>
      </c>
      <c r="K360" s="257">
        <v>166500000</v>
      </c>
      <c r="L360" s="257">
        <v>111000000</v>
      </c>
      <c r="M360" s="279">
        <v>499500000</v>
      </c>
      <c r="N360" s="257">
        <v>166500000</v>
      </c>
    </row>
    <row r="361" spans="1:14" s="143" customFormat="1" hidden="1" x14ac:dyDescent="0.25">
      <c r="A361" s="143" t="s">
        <v>707</v>
      </c>
      <c r="B361" s="143" t="s">
        <v>260</v>
      </c>
      <c r="C361" s="143" t="s">
        <v>261</v>
      </c>
      <c r="D361" s="143" t="s">
        <v>69</v>
      </c>
      <c r="E361" s="257">
        <v>1271503122</v>
      </c>
      <c r="F361" s="257">
        <v>1271503122</v>
      </c>
      <c r="G361" s="257">
        <v>521500780</v>
      </c>
      <c r="H361" s="257">
        <v>0</v>
      </c>
      <c r="I361" s="257">
        <v>99324891.959999993</v>
      </c>
      <c r="J361" s="257">
        <v>0</v>
      </c>
      <c r="K361" s="257">
        <v>38377797.210000001</v>
      </c>
      <c r="L361" s="257">
        <v>38377797.210000001</v>
      </c>
      <c r="M361" s="279">
        <v>1133800432.8299999</v>
      </c>
      <c r="N361" s="257">
        <v>383798090.82999998</v>
      </c>
    </row>
    <row r="362" spans="1:14" s="143" customFormat="1" hidden="1" x14ac:dyDescent="0.25">
      <c r="A362" s="143" t="s">
        <v>707</v>
      </c>
      <c r="B362" s="143" t="s">
        <v>262</v>
      </c>
      <c r="C362" s="143" t="s">
        <v>263</v>
      </c>
      <c r="D362" s="143" t="s">
        <v>69</v>
      </c>
      <c r="E362" s="257">
        <v>1000003122</v>
      </c>
      <c r="F362" s="257">
        <v>1000003122</v>
      </c>
      <c r="G362" s="257">
        <v>250000780</v>
      </c>
      <c r="H362" s="257">
        <v>0</v>
      </c>
      <c r="I362" s="257">
        <v>99324891.959999993</v>
      </c>
      <c r="J362" s="257">
        <v>0</v>
      </c>
      <c r="K362" s="257">
        <v>18236299.710000001</v>
      </c>
      <c r="L362" s="257">
        <v>18236299.710000001</v>
      </c>
      <c r="M362" s="279">
        <v>882441930.33000004</v>
      </c>
      <c r="N362" s="257">
        <v>132439588.33</v>
      </c>
    </row>
    <row r="363" spans="1:14" s="143" customFormat="1" hidden="1" x14ac:dyDescent="0.25">
      <c r="A363" s="143" t="s">
        <v>707</v>
      </c>
      <c r="B363" s="143" t="s">
        <v>264</v>
      </c>
      <c r="C363" s="143" t="s">
        <v>265</v>
      </c>
      <c r="D363" s="143" t="s">
        <v>69</v>
      </c>
      <c r="E363" s="257">
        <v>271500000</v>
      </c>
      <c r="F363" s="257">
        <v>271500000</v>
      </c>
      <c r="G363" s="257">
        <v>271500000</v>
      </c>
      <c r="H363" s="257">
        <v>0</v>
      </c>
      <c r="I363" s="257">
        <v>0</v>
      </c>
      <c r="J363" s="257">
        <v>0</v>
      </c>
      <c r="K363" s="257">
        <v>20141497.5</v>
      </c>
      <c r="L363" s="257">
        <v>20141497.5</v>
      </c>
      <c r="M363" s="279">
        <v>251358502.5</v>
      </c>
      <c r="N363" s="257">
        <v>251358502.5</v>
      </c>
    </row>
    <row r="364" spans="1:14" s="143" customFormat="1" hidden="1" x14ac:dyDescent="0.25">
      <c r="A364" s="143" t="s">
        <v>707</v>
      </c>
      <c r="B364" s="143" t="s">
        <v>286</v>
      </c>
      <c r="C364" s="143" t="s">
        <v>287</v>
      </c>
      <c r="D364" s="143" t="s">
        <v>69</v>
      </c>
      <c r="E364" s="257">
        <v>150000000</v>
      </c>
      <c r="F364" s="257">
        <v>150000000</v>
      </c>
      <c r="G364" s="257">
        <v>85257183</v>
      </c>
      <c r="H364" s="257">
        <v>0</v>
      </c>
      <c r="I364" s="257">
        <v>55808202.100000001</v>
      </c>
      <c r="J364" s="257">
        <v>0</v>
      </c>
      <c r="K364" s="257">
        <v>21948980.219999999</v>
      </c>
      <c r="L364" s="257">
        <v>21948980.219999999</v>
      </c>
      <c r="M364" s="279">
        <v>72242817.680000007</v>
      </c>
      <c r="N364" s="257">
        <v>7500000.6799999997</v>
      </c>
    </row>
    <row r="365" spans="1:14" s="143" customFormat="1" hidden="1" x14ac:dyDescent="0.25">
      <c r="A365" s="143" t="s">
        <v>707</v>
      </c>
      <c r="B365" s="143" t="s">
        <v>288</v>
      </c>
      <c r="C365" s="143" t="s">
        <v>289</v>
      </c>
      <c r="D365" s="143" t="s">
        <v>69</v>
      </c>
      <c r="E365" s="257">
        <v>100000000</v>
      </c>
      <c r="F365" s="257">
        <v>100000000</v>
      </c>
      <c r="G365" s="257">
        <v>50257183</v>
      </c>
      <c r="H365" s="257">
        <v>0</v>
      </c>
      <c r="I365" s="257">
        <v>48974836.640000001</v>
      </c>
      <c r="J365" s="257">
        <v>0</v>
      </c>
      <c r="K365" s="257">
        <v>1282345.68</v>
      </c>
      <c r="L365" s="257">
        <v>1282345.68</v>
      </c>
      <c r="M365" s="279">
        <v>49742817.68</v>
      </c>
      <c r="N365" s="257">
        <v>0.68</v>
      </c>
    </row>
    <row r="366" spans="1:14" s="143" customFormat="1" hidden="1" x14ac:dyDescent="0.25">
      <c r="A366" s="143" t="s">
        <v>707</v>
      </c>
      <c r="B366" s="143" t="s">
        <v>370</v>
      </c>
      <c r="C366" s="143" t="s">
        <v>371</v>
      </c>
      <c r="D366" s="143" t="s">
        <v>69</v>
      </c>
      <c r="E366" s="257">
        <v>50000000</v>
      </c>
      <c r="F366" s="257">
        <v>50000000</v>
      </c>
      <c r="G366" s="257">
        <v>35000000</v>
      </c>
      <c r="H366" s="257">
        <v>0</v>
      </c>
      <c r="I366" s="257">
        <v>6833365.46</v>
      </c>
      <c r="J366" s="257">
        <v>0</v>
      </c>
      <c r="K366" s="257">
        <v>20666634.539999999</v>
      </c>
      <c r="L366" s="257">
        <v>20666634.539999999</v>
      </c>
      <c r="M366" s="279">
        <v>22500000</v>
      </c>
      <c r="N366" s="257">
        <v>7500000</v>
      </c>
    </row>
    <row r="367" spans="1:14" s="143" customFormat="1" hidden="1" x14ac:dyDescent="0.25">
      <c r="A367" s="143" t="s">
        <v>707</v>
      </c>
      <c r="B367" s="143" t="s">
        <v>372</v>
      </c>
      <c r="C367" s="143" t="s">
        <v>373</v>
      </c>
      <c r="D367" s="143" t="s">
        <v>85</v>
      </c>
      <c r="E367" s="257">
        <v>581400000</v>
      </c>
      <c r="F367" s="257">
        <v>581400000</v>
      </c>
      <c r="G367" s="257">
        <v>443021191</v>
      </c>
      <c r="H367" s="257">
        <v>0</v>
      </c>
      <c r="I367" s="257">
        <v>0</v>
      </c>
      <c r="J367" s="257">
        <v>0</v>
      </c>
      <c r="K367" s="257">
        <v>0</v>
      </c>
      <c r="L367" s="257">
        <v>0</v>
      </c>
      <c r="M367" s="279">
        <v>581400000</v>
      </c>
      <c r="N367" s="257">
        <v>443021191</v>
      </c>
    </row>
    <row r="368" spans="1:14" s="143" customFormat="1" hidden="1" x14ac:dyDescent="0.25">
      <c r="A368" s="143" t="s">
        <v>707</v>
      </c>
      <c r="B368" s="143" t="s">
        <v>374</v>
      </c>
      <c r="C368" s="143" t="s">
        <v>375</v>
      </c>
      <c r="D368" s="143" t="s">
        <v>85</v>
      </c>
      <c r="E368" s="257">
        <v>581400000</v>
      </c>
      <c r="F368" s="257">
        <v>581400000</v>
      </c>
      <c r="G368" s="257">
        <v>443021191</v>
      </c>
      <c r="H368" s="257">
        <v>0</v>
      </c>
      <c r="I368" s="257">
        <v>0</v>
      </c>
      <c r="J368" s="257">
        <v>0</v>
      </c>
      <c r="K368" s="257">
        <v>0</v>
      </c>
      <c r="L368" s="257">
        <v>0</v>
      </c>
      <c r="M368" s="279">
        <v>581400000</v>
      </c>
      <c r="N368" s="257">
        <v>443021191</v>
      </c>
    </row>
    <row r="369" spans="1:14" s="143" customFormat="1" hidden="1" x14ac:dyDescent="0.25">
      <c r="A369" s="143" t="s">
        <v>707</v>
      </c>
      <c r="B369" s="143" t="s">
        <v>674</v>
      </c>
      <c r="C369" s="143" t="s">
        <v>710</v>
      </c>
      <c r="D369" s="143" t="s">
        <v>85</v>
      </c>
      <c r="E369" s="257">
        <v>581400000</v>
      </c>
      <c r="F369" s="257">
        <v>581400000</v>
      </c>
      <c r="G369" s="257">
        <v>443021191</v>
      </c>
      <c r="H369" s="257">
        <v>0</v>
      </c>
      <c r="I369" s="257">
        <v>0</v>
      </c>
      <c r="J369" s="257">
        <v>0</v>
      </c>
      <c r="K369" s="257">
        <v>0</v>
      </c>
      <c r="L369" s="257">
        <v>0</v>
      </c>
      <c r="M369" s="279">
        <v>581400000</v>
      </c>
      <c r="N369" s="257">
        <v>443021191</v>
      </c>
    </row>
    <row r="370" spans="1:14" s="143" customFormat="1" x14ac:dyDescent="0.25">
      <c r="A370" s="454">
        <v>214789001</v>
      </c>
      <c r="D370" s="454" t="s">
        <v>69</v>
      </c>
      <c r="E370" s="257">
        <v>27896892306</v>
      </c>
      <c r="F370" s="272">
        <v>27896892306</v>
      </c>
      <c r="G370" s="257">
        <v>20617233226</v>
      </c>
      <c r="H370" s="269">
        <v>714995723.24000001</v>
      </c>
      <c r="I370" s="274">
        <v>2498663680.3000002</v>
      </c>
      <c r="J370" s="274">
        <v>0</v>
      </c>
      <c r="K370" s="274">
        <v>5341487407.7200003</v>
      </c>
      <c r="L370" s="274">
        <v>4369822176.1899996</v>
      </c>
      <c r="M370" s="273">
        <v>19341745494.740002</v>
      </c>
      <c r="N370" s="257">
        <v>12062086414.74</v>
      </c>
    </row>
    <row r="371" spans="1:14" s="143" customFormat="1" hidden="1" x14ac:dyDescent="0.25">
      <c r="A371" s="143" t="s">
        <v>711</v>
      </c>
      <c r="B371" s="143" t="s">
        <v>71</v>
      </c>
      <c r="C371" s="143" t="s">
        <v>72</v>
      </c>
      <c r="D371" s="143" t="s">
        <v>69</v>
      </c>
      <c r="E371" s="257">
        <v>13888392480</v>
      </c>
      <c r="F371" s="257">
        <v>13888392480</v>
      </c>
      <c r="G371" s="257">
        <v>13450241509</v>
      </c>
      <c r="H371" s="257">
        <v>0</v>
      </c>
      <c r="I371" s="257">
        <v>1685782807</v>
      </c>
      <c r="J371" s="257">
        <v>0</v>
      </c>
      <c r="K371" s="257">
        <v>3466092660.9299998</v>
      </c>
      <c r="L371" s="257">
        <v>3466092660.9299998</v>
      </c>
      <c r="M371" s="279">
        <v>8736517012.0699997</v>
      </c>
      <c r="N371" s="257">
        <v>8298366041.0699997</v>
      </c>
    </row>
    <row r="372" spans="1:14" s="143" customFormat="1" hidden="1" x14ac:dyDescent="0.25">
      <c r="A372" s="143" t="s">
        <v>711</v>
      </c>
      <c r="B372" s="143" t="s">
        <v>73</v>
      </c>
      <c r="C372" s="143" t="s">
        <v>74</v>
      </c>
      <c r="D372" s="143" t="s">
        <v>69</v>
      </c>
      <c r="E372" s="257">
        <v>5229936552</v>
      </c>
      <c r="F372" s="257">
        <v>5229936552</v>
      </c>
      <c r="G372" s="257">
        <v>5032025148</v>
      </c>
      <c r="H372" s="257">
        <v>0</v>
      </c>
      <c r="I372" s="257">
        <v>0</v>
      </c>
      <c r="J372" s="257">
        <v>0</v>
      </c>
      <c r="K372" s="257">
        <v>1171954914.25</v>
      </c>
      <c r="L372" s="257">
        <v>1171954914.25</v>
      </c>
      <c r="M372" s="279">
        <v>4057981637.75</v>
      </c>
      <c r="N372" s="257">
        <v>3860070233.75</v>
      </c>
    </row>
    <row r="373" spans="1:14" s="143" customFormat="1" hidden="1" x14ac:dyDescent="0.25">
      <c r="A373" s="143" t="s">
        <v>711</v>
      </c>
      <c r="B373" s="143" t="s">
        <v>75</v>
      </c>
      <c r="C373" s="143" t="s">
        <v>76</v>
      </c>
      <c r="D373" s="143" t="s">
        <v>69</v>
      </c>
      <c r="E373" s="257">
        <v>5229936552</v>
      </c>
      <c r="F373" s="257">
        <v>5229936552</v>
      </c>
      <c r="G373" s="257">
        <v>5032025148</v>
      </c>
      <c r="H373" s="257">
        <v>0</v>
      </c>
      <c r="I373" s="257">
        <v>0</v>
      </c>
      <c r="J373" s="257">
        <v>0</v>
      </c>
      <c r="K373" s="257">
        <v>1171954914.25</v>
      </c>
      <c r="L373" s="257">
        <v>1171954914.25</v>
      </c>
      <c r="M373" s="279">
        <v>4057981637.75</v>
      </c>
      <c r="N373" s="257">
        <v>3860070233.75</v>
      </c>
    </row>
    <row r="374" spans="1:14" s="143" customFormat="1" hidden="1" x14ac:dyDescent="0.25">
      <c r="A374" s="143" t="s">
        <v>711</v>
      </c>
      <c r="B374" s="143" t="s">
        <v>293</v>
      </c>
      <c r="C374" s="143" t="s">
        <v>294</v>
      </c>
      <c r="D374" s="143" t="s">
        <v>69</v>
      </c>
      <c r="E374" s="257">
        <v>26335200</v>
      </c>
      <c r="F374" s="257">
        <v>26335200</v>
      </c>
      <c r="G374" s="257">
        <v>26335200</v>
      </c>
      <c r="H374" s="257">
        <v>0</v>
      </c>
      <c r="I374" s="257">
        <v>0</v>
      </c>
      <c r="J374" s="257">
        <v>0</v>
      </c>
      <c r="K374" s="257">
        <v>1306990</v>
      </c>
      <c r="L374" s="257">
        <v>1306990</v>
      </c>
      <c r="M374" s="279">
        <v>25028210</v>
      </c>
      <c r="N374" s="257">
        <v>25028210</v>
      </c>
    </row>
    <row r="375" spans="1:14" s="143" customFormat="1" hidden="1" x14ac:dyDescent="0.25">
      <c r="A375" s="143" t="s">
        <v>711</v>
      </c>
      <c r="B375" s="143" t="s">
        <v>339</v>
      </c>
      <c r="C375" s="143" t="s">
        <v>340</v>
      </c>
      <c r="D375" s="143" t="s">
        <v>69</v>
      </c>
      <c r="E375" s="257">
        <v>26335200</v>
      </c>
      <c r="F375" s="257">
        <v>26335200</v>
      </c>
      <c r="G375" s="257">
        <v>26335200</v>
      </c>
      <c r="H375" s="257">
        <v>0</v>
      </c>
      <c r="I375" s="257">
        <v>0</v>
      </c>
      <c r="J375" s="257">
        <v>0</v>
      </c>
      <c r="K375" s="257">
        <v>1306990</v>
      </c>
      <c r="L375" s="257">
        <v>1306990</v>
      </c>
      <c r="M375" s="279">
        <v>25028210</v>
      </c>
      <c r="N375" s="257">
        <v>25028210</v>
      </c>
    </row>
    <row r="376" spans="1:14" s="143" customFormat="1" hidden="1" x14ac:dyDescent="0.25">
      <c r="A376" s="143" t="s">
        <v>711</v>
      </c>
      <c r="B376" s="143" t="s">
        <v>77</v>
      </c>
      <c r="C376" s="143" t="s">
        <v>78</v>
      </c>
      <c r="D376" s="143" t="s">
        <v>69</v>
      </c>
      <c r="E376" s="257">
        <v>6513497315</v>
      </c>
      <c r="F376" s="257">
        <v>6513497315</v>
      </c>
      <c r="G376" s="257">
        <v>6340096078</v>
      </c>
      <c r="H376" s="257">
        <v>0</v>
      </c>
      <c r="I376" s="257">
        <v>0</v>
      </c>
      <c r="J376" s="257">
        <v>0</v>
      </c>
      <c r="K376" s="257">
        <v>1859990150.6800001</v>
      </c>
      <c r="L376" s="257">
        <v>1859990150.6800001</v>
      </c>
      <c r="M376" s="279">
        <v>4653507164.3199997</v>
      </c>
      <c r="N376" s="257">
        <v>4480105927.3199997</v>
      </c>
    </row>
    <row r="377" spans="1:14" s="143" customFormat="1" hidden="1" x14ac:dyDescent="0.25">
      <c r="A377" s="143" t="s">
        <v>711</v>
      </c>
      <c r="B377" s="143" t="s">
        <v>79</v>
      </c>
      <c r="C377" s="143" t="s">
        <v>80</v>
      </c>
      <c r="D377" s="143" t="s">
        <v>69</v>
      </c>
      <c r="E377" s="257">
        <v>1819317700</v>
      </c>
      <c r="F377" s="257">
        <v>1819317700</v>
      </c>
      <c r="G377" s="257">
        <v>1737983822</v>
      </c>
      <c r="H377" s="257">
        <v>0</v>
      </c>
      <c r="I377" s="257">
        <v>0</v>
      </c>
      <c r="J377" s="257">
        <v>0</v>
      </c>
      <c r="K377" s="257">
        <v>385020580.31</v>
      </c>
      <c r="L377" s="257">
        <v>385020580.31</v>
      </c>
      <c r="M377" s="279">
        <v>1434297119.6900001</v>
      </c>
      <c r="N377" s="257">
        <v>1352963241.6900001</v>
      </c>
    </row>
    <row r="378" spans="1:14" s="143" customFormat="1" hidden="1" x14ac:dyDescent="0.25">
      <c r="A378" s="143" t="s">
        <v>711</v>
      </c>
      <c r="B378" s="143" t="s">
        <v>81</v>
      </c>
      <c r="C378" s="143" t="s">
        <v>82</v>
      </c>
      <c r="D378" s="143" t="s">
        <v>69</v>
      </c>
      <c r="E378" s="257">
        <v>1750176673</v>
      </c>
      <c r="F378" s="257">
        <v>1750176673</v>
      </c>
      <c r="G378" s="257">
        <v>1705397775</v>
      </c>
      <c r="H378" s="257">
        <v>0</v>
      </c>
      <c r="I378" s="257">
        <v>0</v>
      </c>
      <c r="J378" s="257">
        <v>0</v>
      </c>
      <c r="K378" s="257">
        <v>388897698.72000003</v>
      </c>
      <c r="L378" s="257">
        <v>388897698.72000003</v>
      </c>
      <c r="M378" s="279">
        <v>1361278974.28</v>
      </c>
      <c r="N378" s="257">
        <v>1316500076.28</v>
      </c>
    </row>
    <row r="379" spans="1:14" s="143" customFormat="1" hidden="1" x14ac:dyDescent="0.25">
      <c r="A379" s="143" t="s">
        <v>711</v>
      </c>
      <c r="B379" s="143" t="s">
        <v>83</v>
      </c>
      <c r="C379" s="143" t="s">
        <v>84</v>
      </c>
      <c r="D379" s="143" t="s">
        <v>85</v>
      </c>
      <c r="E379" s="257">
        <v>905032542</v>
      </c>
      <c r="F379" s="257">
        <v>905032542</v>
      </c>
      <c r="G379" s="257">
        <v>876480578</v>
      </c>
      <c r="H379" s="257">
        <v>0</v>
      </c>
      <c r="I379" s="257">
        <v>0</v>
      </c>
      <c r="J379" s="257">
        <v>0</v>
      </c>
      <c r="K379" s="257">
        <v>221644.11</v>
      </c>
      <c r="L379" s="257">
        <v>221644.11</v>
      </c>
      <c r="M379" s="279">
        <v>904810897.88999999</v>
      </c>
      <c r="N379" s="257">
        <v>876258933.88999999</v>
      </c>
    </row>
    <row r="380" spans="1:14" s="143" customFormat="1" hidden="1" x14ac:dyDescent="0.25">
      <c r="A380" s="143" t="s">
        <v>711</v>
      </c>
      <c r="B380" s="143" t="s">
        <v>86</v>
      </c>
      <c r="C380" s="143" t="s">
        <v>87</v>
      </c>
      <c r="D380" s="143" t="s">
        <v>69</v>
      </c>
      <c r="E380" s="257">
        <v>831593600</v>
      </c>
      <c r="F380" s="257">
        <v>831593600</v>
      </c>
      <c r="G380" s="257">
        <v>831593600</v>
      </c>
      <c r="H380" s="257">
        <v>0</v>
      </c>
      <c r="I380" s="257">
        <v>0</v>
      </c>
      <c r="J380" s="257">
        <v>0</v>
      </c>
      <c r="K380" s="257">
        <v>804786810.5</v>
      </c>
      <c r="L380" s="257">
        <v>804786810.5</v>
      </c>
      <c r="M380" s="279">
        <v>26806789.5</v>
      </c>
      <c r="N380" s="257">
        <v>26806789.5</v>
      </c>
    </row>
    <row r="381" spans="1:14" s="143" customFormat="1" hidden="1" x14ac:dyDescent="0.25">
      <c r="A381" s="143" t="s">
        <v>711</v>
      </c>
      <c r="B381" s="143" t="s">
        <v>88</v>
      </c>
      <c r="C381" s="143" t="s">
        <v>89</v>
      </c>
      <c r="D381" s="143" t="s">
        <v>69</v>
      </c>
      <c r="E381" s="257">
        <v>1207376800</v>
      </c>
      <c r="F381" s="257">
        <v>1207376800</v>
      </c>
      <c r="G381" s="257">
        <v>1188640303</v>
      </c>
      <c r="H381" s="257">
        <v>0</v>
      </c>
      <c r="I381" s="257">
        <v>0</v>
      </c>
      <c r="J381" s="257">
        <v>0</v>
      </c>
      <c r="K381" s="257">
        <v>281063417.04000002</v>
      </c>
      <c r="L381" s="257">
        <v>281063417.04000002</v>
      </c>
      <c r="M381" s="279">
        <v>926313382.96000004</v>
      </c>
      <c r="N381" s="257">
        <v>907576885.96000004</v>
      </c>
    </row>
    <row r="382" spans="1:14" s="143" customFormat="1" hidden="1" x14ac:dyDescent="0.25">
      <c r="A382" s="143" t="s">
        <v>711</v>
      </c>
      <c r="B382" s="143" t="s">
        <v>90</v>
      </c>
      <c r="C382" s="143" t="s">
        <v>91</v>
      </c>
      <c r="D382" s="143" t="s">
        <v>69</v>
      </c>
      <c r="E382" s="257">
        <v>1059311707</v>
      </c>
      <c r="F382" s="257">
        <v>1059311707</v>
      </c>
      <c r="G382" s="257">
        <v>1025892542</v>
      </c>
      <c r="H382" s="257">
        <v>0</v>
      </c>
      <c r="I382" s="257">
        <v>842266399</v>
      </c>
      <c r="J382" s="257">
        <v>0</v>
      </c>
      <c r="K382" s="257">
        <v>217045308</v>
      </c>
      <c r="L382" s="257">
        <v>217045308</v>
      </c>
      <c r="M382" s="279">
        <v>0</v>
      </c>
      <c r="N382" s="275">
        <v>-33419165</v>
      </c>
    </row>
    <row r="383" spans="1:14" s="143" customFormat="1" hidden="1" x14ac:dyDescent="0.25">
      <c r="A383" s="143" t="s">
        <v>711</v>
      </c>
      <c r="B383" s="143" t="s">
        <v>421</v>
      </c>
      <c r="C383" s="143" t="s">
        <v>697</v>
      </c>
      <c r="D383" s="143" t="s">
        <v>69</v>
      </c>
      <c r="E383" s="257">
        <v>1004988079</v>
      </c>
      <c r="F383" s="257">
        <v>1004988079</v>
      </c>
      <c r="G383" s="257">
        <v>973282717</v>
      </c>
      <c r="H383" s="257">
        <v>0</v>
      </c>
      <c r="I383" s="257">
        <v>799073299</v>
      </c>
      <c r="J383" s="257">
        <v>0</v>
      </c>
      <c r="K383" s="257">
        <v>205914780</v>
      </c>
      <c r="L383" s="257">
        <v>205914780</v>
      </c>
      <c r="M383" s="279">
        <v>0</v>
      </c>
      <c r="N383" s="275">
        <v>-31705362</v>
      </c>
    </row>
    <row r="384" spans="1:14" s="143" customFormat="1" hidden="1" x14ac:dyDescent="0.25">
      <c r="A384" s="143" t="s">
        <v>711</v>
      </c>
      <c r="B384" s="143" t="s">
        <v>438</v>
      </c>
      <c r="C384" s="143" t="s">
        <v>95</v>
      </c>
      <c r="D384" s="143" t="s">
        <v>69</v>
      </c>
      <c r="E384" s="257">
        <v>54323628</v>
      </c>
      <c r="F384" s="257">
        <v>54323628</v>
      </c>
      <c r="G384" s="257">
        <v>52609825</v>
      </c>
      <c r="H384" s="257">
        <v>0</v>
      </c>
      <c r="I384" s="257">
        <v>43193100</v>
      </c>
      <c r="J384" s="257">
        <v>0</v>
      </c>
      <c r="K384" s="257">
        <v>11130528</v>
      </c>
      <c r="L384" s="257">
        <v>11130528</v>
      </c>
      <c r="M384" s="279">
        <v>0</v>
      </c>
      <c r="N384" s="275">
        <v>-1713803</v>
      </c>
    </row>
    <row r="385" spans="1:14" s="143" customFormat="1" hidden="1" x14ac:dyDescent="0.25">
      <c r="A385" s="143" t="s">
        <v>711</v>
      </c>
      <c r="B385" s="143" t="s">
        <v>96</v>
      </c>
      <c r="C385" s="143" t="s">
        <v>97</v>
      </c>
      <c r="D385" s="143" t="s">
        <v>69</v>
      </c>
      <c r="E385" s="257">
        <v>1059311706</v>
      </c>
      <c r="F385" s="257">
        <v>1059311706</v>
      </c>
      <c r="G385" s="257">
        <v>1025892541</v>
      </c>
      <c r="H385" s="257">
        <v>0</v>
      </c>
      <c r="I385" s="257">
        <v>843516408</v>
      </c>
      <c r="J385" s="257">
        <v>0</v>
      </c>
      <c r="K385" s="257">
        <v>215795298</v>
      </c>
      <c r="L385" s="257">
        <v>215795298</v>
      </c>
      <c r="M385" s="279">
        <v>0</v>
      </c>
      <c r="N385" s="275">
        <v>-33419165</v>
      </c>
    </row>
    <row r="386" spans="1:14" s="143" customFormat="1" hidden="1" x14ac:dyDescent="0.25">
      <c r="A386" s="143" t="s">
        <v>711</v>
      </c>
      <c r="B386" s="143" t="s">
        <v>456</v>
      </c>
      <c r="C386" s="143" t="s">
        <v>698</v>
      </c>
      <c r="D386" s="143" t="s">
        <v>69</v>
      </c>
      <c r="E386" s="257">
        <v>570398650</v>
      </c>
      <c r="F386" s="257">
        <v>570398650</v>
      </c>
      <c r="G386" s="257">
        <v>552403715</v>
      </c>
      <c r="H386" s="257">
        <v>0</v>
      </c>
      <c r="I386" s="257">
        <v>454778110</v>
      </c>
      <c r="J386" s="257">
        <v>0</v>
      </c>
      <c r="K386" s="257">
        <v>115620540</v>
      </c>
      <c r="L386" s="257">
        <v>115620540</v>
      </c>
      <c r="M386" s="279">
        <v>0</v>
      </c>
      <c r="N386" s="275">
        <v>-17994935</v>
      </c>
    </row>
    <row r="387" spans="1:14" s="143" customFormat="1" hidden="1" x14ac:dyDescent="0.25">
      <c r="A387" s="143" t="s">
        <v>711</v>
      </c>
      <c r="B387" s="143" t="s">
        <v>473</v>
      </c>
      <c r="C387" s="143" t="s">
        <v>699</v>
      </c>
      <c r="D387" s="143" t="s">
        <v>69</v>
      </c>
      <c r="E387" s="257">
        <v>162970985</v>
      </c>
      <c r="F387" s="257">
        <v>162970985</v>
      </c>
      <c r="G387" s="257">
        <v>157829575</v>
      </c>
      <c r="H387" s="257">
        <v>0</v>
      </c>
      <c r="I387" s="257">
        <v>129579399</v>
      </c>
      <c r="J387" s="257">
        <v>0</v>
      </c>
      <c r="K387" s="257">
        <v>33391586</v>
      </c>
      <c r="L387" s="257">
        <v>33391586</v>
      </c>
      <c r="M387" s="279">
        <v>0</v>
      </c>
      <c r="N387" s="275">
        <v>-5141410</v>
      </c>
    </row>
    <row r="388" spans="1:14" s="143" customFormat="1" hidden="1" x14ac:dyDescent="0.25">
      <c r="A388" s="143" t="s">
        <v>711</v>
      </c>
      <c r="B388" s="143" t="s">
        <v>490</v>
      </c>
      <c r="C388" s="143" t="s">
        <v>700</v>
      </c>
      <c r="D388" s="143" t="s">
        <v>69</v>
      </c>
      <c r="E388" s="257">
        <v>325942071</v>
      </c>
      <c r="F388" s="257">
        <v>325942071</v>
      </c>
      <c r="G388" s="257">
        <v>315659251</v>
      </c>
      <c r="H388" s="257">
        <v>0</v>
      </c>
      <c r="I388" s="257">
        <v>259158899</v>
      </c>
      <c r="J388" s="257">
        <v>0</v>
      </c>
      <c r="K388" s="257">
        <v>66783172</v>
      </c>
      <c r="L388" s="257">
        <v>66783172</v>
      </c>
      <c r="M388" s="279">
        <v>0</v>
      </c>
      <c r="N388" s="275">
        <v>-10282820</v>
      </c>
    </row>
    <row r="389" spans="1:14" s="143" customFormat="1" hidden="1" x14ac:dyDescent="0.25">
      <c r="A389" s="143" t="s">
        <v>711</v>
      </c>
      <c r="B389" s="143" t="s">
        <v>104</v>
      </c>
      <c r="C389" s="143" t="s">
        <v>105</v>
      </c>
      <c r="D389" s="143" t="s">
        <v>69</v>
      </c>
      <c r="E389" s="257">
        <v>3955829992</v>
      </c>
      <c r="F389" s="257">
        <v>3955829992</v>
      </c>
      <c r="G389" s="257">
        <v>2033514996</v>
      </c>
      <c r="H389" s="257">
        <v>0</v>
      </c>
      <c r="I389" s="257">
        <v>503263371.64999998</v>
      </c>
      <c r="J389" s="257">
        <v>0</v>
      </c>
      <c r="K389" s="257">
        <v>439929088.57999998</v>
      </c>
      <c r="L389" s="257">
        <v>119576700.17</v>
      </c>
      <c r="M389" s="279">
        <v>3012637531.77</v>
      </c>
      <c r="N389" s="257">
        <v>1090322535.77</v>
      </c>
    </row>
    <row r="390" spans="1:14" s="143" customFormat="1" hidden="1" x14ac:dyDescent="0.25">
      <c r="A390" s="143" t="s">
        <v>711</v>
      </c>
      <c r="B390" s="143" t="s">
        <v>112</v>
      </c>
      <c r="C390" s="143" t="s">
        <v>113</v>
      </c>
      <c r="D390" s="143" t="s">
        <v>69</v>
      </c>
      <c r="E390" s="257">
        <v>3954369992</v>
      </c>
      <c r="F390" s="257">
        <v>3954369992</v>
      </c>
      <c r="G390" s="257">
        <v>2032854996</v>
      </c>
      <c r="H390" s="257">
        <v>0</v>
      </c>
      <c r="I390" s="257">
        <v>503263371.64999998</v>
      </c>
      <c r="J390" s="257">
        <v>0</v>
      </c>
      <c r="K390" s="257">
        <v>439929088.57999998</v>
      </c>
      <c r="L390" s="257">
        <v>119576700.17</v>
      </c>
      <c r="M390" s="279">
        <v>3011177531.77</v>
      </c>
      <c r="N390" s="257">
        <v>1089662535.77</v>
      </c>
    </row>
    <row r="391" spans="1:14" s="143" customFormat="1" hidden="1" x14ac:dyDescent="0.25">
      <c r="A391" s="143" t="s">
        <v>711</v>
      </c>
      <c r="B391" s="143" t="s">
        <v>114</v>
      </c>
      <c r="C391" s="143" t="s">
        <v>115</v>
      </c>
      <c r="D391" s="143" t="s">
        <v>69</v>
      </c>
      <c r="E391" s="257">
        <v>2664489000</v>
      </c>
      <c r="F391" s="257">
        <v>2664489000</v>
      </c>
      <c r="G391" s="257">
        <v>1331514500</v>
      </c>
      <c r="H391" s="257">
        <v>0</v>
      </c>
      <c r="I391" s="257">
        <v>310268863.37</v>
      </c>
      <c r="J391" s="257">
        <v>0</v>
      </c>
      <c r="K391" s="257">
        <v>354758386.63</v>
      </c>
      <c r="L391" s="257">
        <v>107925768.63</v>
      </c>
      <c r="M391" s="279">
        <v>1999461750</v>
      </c>
      <c r="N391" s="257">
        <v>666487250</v>
      </c>
    </row>
    <row r="392" spans="1:14" s="143" customFormat="1" hidden="1" x14ac:dyDescent="0.25">
      <c r="A392" s="143" t="s">
        <v>711</v>
      </c>
      <c r="B392" s="143" t="s">
        <v>116</v>
      </c>
      <c r="C392" s="143" t="s">
        <v>117</v>
      </c>
      <c r="D392" s="143" t="s">
        <v>69</v>
      </c>
      <c r="E392" s="257">
        <v>1052390992</v>
      </c>
      <c r="F392" s="257">
        <v>1052390992</v>
      </c>
      <c r="G392" s="257">
        <v>526195496</v>
      </c>
      <c r="H392" s="257">
        <v>0</v>
      </c>
      <c r="I392" s="257">
        <v>191660201.36000001</v>
      </c>
      <c r="J392" s="257">
        <v>0</v>
      </c>
      <c r="K392" s="257">
        <v>71437546.640000001</v>
      </c>
      <c r="L392" s="257">
        <v>7399067.75</v>
      </c>
      <c r="M392" s="279">
        <v>789293244</v>
      </c>
      <c r="N392" s="257">
        <v>263097748</v>
      </c>
    </row>
    <row r="393" spans="1:14" s="143" customFormat="1" hidden="1" x14ac:dyDescent="0.25">
      <c r="A393" s="143" t="s">
        <v>711</v>
      </c>
      <c r="B393" s="143" t="s">
        <v>120</v>
      </c>
      <c r="C393" s="143" t="s">
        <v>121</v>
      </c>
      <c r="D393" s="143" t="s">
        <v>69</v>
      </c>
      <c r="E393" s="257">
        <v>124690000</v>
      </c>
      <c r="F393" s="257">
        <v>124690000</v>
      </c>
      <c r="G393" s="257">
        <v>62345000</v>
      </c>
      <c r="H393" s="257">
        <v>0</v>
      </c>
      <c r="I393" s="257">
        <v>0</v>
      </c>
      <c r="J393" s="257">
        <v>0</v>
      </c>
      <c r="K393" s="257">
        <v>0</v>
      </c>
      <c r="L393" s="257">
        <v>0</v>
      </c>
      <c r="M393" s="279">
        <v>124690000</v>
      </c>
      <c r="N393" s="257">
        <v>62345000</v>
      </c>
    </row>
    <row r="394" spans="1:14" s="143" customFormat="1" hidden="1" x14ac:dyDescent="0.25">
      <c r="A394" s="143" t="s">
        <v>711</v>
      </c>
      <c r="B394" s="143" t="s">
        <v>122</v>
      </c>
      <c r="C394" s="143" t="s">
        <v>123</v>
      </c>
      <c r="D394" s="143" t="s">
        <v>69</v>
      </c>
      <c r="E394" s="257">
        <v>112800000</v>
      </c>
      <c r="F394" s="257">
        <v>112800000</v>
      </c>
      <c r="G394" s="257">
        <v>112800000</v>
      </c>
      <c r="H394" s="257">
        <v>0</v>
      </c>
      <c r="I394" s="257">
        <v>1334306.92</v>
      </c>
      <c r="J394" s="257">
        <v>0</v>
      </c>
      <c r="K394" s="257">
        <v>13733155.310000001</v>
      </c>
      <c r="L394" s="257">
        <v>4251863.79</v>
      </c>
      <c r="M394" s="279">
        <v>97732537.769999996</v>
      </c>
      <c r="N394" s="257">
        <v>97732537.769999996</v>
      </c>
    </row>
    <row r="395" spans="1:14" s="143" customFormat="1" hidden="1" x14ac:dyDescent="0.25">
      <c r="A395" s="143" t="s">
        <v>711</v>
      </c>
      <c r="B395" s="143" t="s">
        <v>134</v>
      </c>
      <c r="C395" s="143" t="s">
        <v>135</v>
      </c>
      <c r="D395" s="143" t="s">
        <v>69</v>
      </c>
      <c r="E395" s="257">
        <v>340000</v>
      </c>
      <c r="F395" s="257">
        <v>340000</v>
      </c>
      <c r="G395" s="257">
        <v>340000</v>
      </c>
      <c r="H395" s="257">
        <v>0</v>
      </c>
      <c r="I395" s="257">
        <v>0</v>
      </c>
      <c r="J395" s="257">
        <v>0</v>
      </c>
      <c r="K395" s="257">
        <v>0</v>
      </c>
      <c r="L395" s="257">
        <v>0</v>
      </c>
      <c r="M395" s="279">
        <v>340000</v>
      </c>
      <c r="N395" s="257">
        <v>340000</v>
      </c>
    </row>
    <row r="396" spans="1:14" s="143" customFormat="1" hidden="1" x14ac:dyDescent="0.25">
      <c r="A396" s="143" t="s">
        <v>711</v>
      </c>
      <c r="B396" s="143" t="s">
        <v>346</v>
      </c>
      <c r="C396" s="143" t="s">
        <v>347</v>
      </c>
      <c r="D396" s="143" t="s">
        <v>69</v>
      </c>
      <c r="E396" s="257">
        <v>180000</v>
      </c>
      <c r="F396" s="257">
        <v>180000</v>
      </c>
      <c r="G396" s="257">
        <v>180000</v>
      </c>
      <c r="H396" s="257">
        <v>0</v>
      </c>
      <c r="I396" s="257">
        <v>0</v>
      </c>
      <c r="J396" s="257">
        <v>0</v>
      </c>
      <c r="K396" s="257">
        <v>0</v>
      </c>
      <c r="L396" s="257">
        <v>0</v>
      </c>
      <c r="M396" s="279">
        <v>180000</v>
      </c>
      <c r="N396" s="257">
        <v>180000</v>
      </c>
    </row>
    <row r="397" spans="1:14" s="143" customFormat="1" hidden="1" x14ac:dyDescent="0.25">
      <c r="A397" s="143" t="s">
        <v>711</v>
      </c>
      <c r="B397" s="143" t="s">
        <v>138</v>
      </c>
      <c r="C397" s="143" t="s">
        <v>139</v>
      </c>
      <c r="D397" s="143" t="s">
        <v>69</v>
      </c>
      <c r="E397" s="257">
        <v>160000</v>
      </c>
      <c r="F397" s="257">
        <v>160000</v>
      </c>
      <c r="G397" s="257">
        <v>160000</v>
      </c>
      <c r="H397" s="257">
        <v>0</v>
      </c>
      <c r="I397" s="257">
        <v>0</v>
      </c>
      <c r="J397" s="257">
        <v>0</v>
      </c>
      <c r="K397" s="257">
        <v>0</v>
      </c>
      <c r="L397" s="257">
        <v>0</v>
      </c>
      <c r="M397" s="279">
        <v>160000</v>
      </c>
      <c r="N397" s="257">
        <v>160000</v>
      </c>
    </row>
    <row r="398" spans="1:14" s="143" customFormat="1" hidden="1" x14ac:dyDescent="0.25">
      <c r="A398" s="143" t="s">
        <v>711</v>
      </c>
      <c r="B398" s="143" t="s">
        <v>162</v>
      </c>
      <c r="C398" s="143" t="s">
        <v>163</v>
      </c>
      <c r="D398" s="143" t="s">
        <v>69</v>
      </c>
      <c r="E398" s="257">
        <v>1120000</v>
      </c>
      <c r="F398" s="257">
        <v>1120000</v>
      </c>
      <c r="G398" s="257">
        <v>320000</v>
      </c>
      <c r="H398" s="257">
        <v>0</v>
      </c>
      <c r="I398" s="257">
        <v>0</v>
      </c>
      <c r="J398" s="257">
        <v>0</v>
      </c>
      <c r="K398" s="257">
        <v>0</v>
      </c>
      <c r="L398" s="257">
        <v>0</v>
      </c>
      <c r="M398" s="279">
        <v>1120000</v>
      </c>
      <c r="N398" s="257">
        <v>320000</v>
      </c>
    </row>
    <row r="399" spans="1:14" s="143" customFormat="1" hidden="1" x14ac:dyDescent="0.25">
      <c r="A399" s="143" t="s">
        <v>711</v>
      </c>
      <c r="B399" s="143" t="s">
        <v>164</v>
      </c>
      <c r="C399" s="143" t="s">
        <v>165</v>
      </c>
      <c r="D399" s="143" t="s">
        <v>69</v>
      </c>
      <c r="E399" s="257">
        <v>800000</v>
      </c>
      <c r="F399" s="257">
        <v>800000</v>
      </c>
      <c r="G399" s="257">
        <v>0</v>
      </c>
      <c r="H399" s="257">
        <v>0</v>
      </c>
      <c r="I399" s="257">
        <v>0</v>
      </c>
      <c r="J399" s="257">
        <v>0</v>
      </c>
      <c r="K399" s="257">
        <v>0</v>
      </c>
      <c r="L399" s="257">
        <v>0</v>
      </c>
      <c r="M399" s="279">
        <v>800000</v>
      </c>
      <c r="N399" s="257">
        <v>0</v>
      </c>
    </row>
    <row r="400" spans="1:14" s="143" customFormat="1" hidden="1" x14ac:dyDescent="0.25">
      <c r="A400" s="143" t="s">
        <v>711</v>
      </c>
      <c r="B400" s="143" t="s">
        <v>172</v>
      </c>
      <c r="C400" s="143" t="s">
        <v>173</v>
      </c>
      <c r="D400" s="143" t="s">
        <v>69</v>
      </c>
      <c r="E400" s="257">
        <v>320000</v>
      </c>
      <c r="F400" s="257">
        <v>320000</v>
      </c>
      <c r="G400" s="257">
        <v>320000</v>
      </c>
      <c r="H400" s="257">
        <v>0</v>
      </c>
      <c r="I400" s="257">
        <v>0</v>
      </c>
      <c r="J400" s="257">
        <v>0</v>
      </c>
      <c r="K400" s="257">
        <v>0</v>
      </c>
      <c r="L400" s="257">
        <v>0</v>
      </c>
      <c r="M400" s="279">
        <v>320000</v>
      </c>
      <c r="N400" s="257">
        <v>320000</v>
      </c>
    </row>
    <row r="401" spans="1:14" s="143" customFormat="1" hidden="1" x14ac:dyDescent="0.25">
      <c r="A401" s="143" t="s">
        <v>711</v>
      </c>
      <c r="B401" s="143" t="s">
        <v>184</v>
      </c>
      <c r="C401" s="143" t="s">
        <v>185</v>
      </c>
      <c r="D401" s="143" t="s">
        <v>69</v>
      </c>
      <c r="E401" s="257">
        <v>9762991308</v>
      </c>
      <c r="F401" s="257">
        <v>9762991308</v>
      </c>
      <c r="G401" s="257">
        <v>4852608020</v>
      </c>
      <c r="H401" s="257">
        <v>714995723.24000001</v>
      </c>
      <c r="I401" s="257">
        <v>164966319.65000001</v>
      </c>
      <c r="J401" s="257">
        <v>0</v>
      </c>
      <c r="K401" s="257">
        <v>1390099826.21</v>
      </c>
      <c r="L401" s="257">
        <v>738786983.09000003</v>
      </c>
      <c r="M401" s="279">
        <v>7492929438.8999996</v>
      </c>
      <c r="N401" s="257">
        <v>2582546150.9000001</v>
      </c>
    </row>
    <row r="402" spans="1:14" s="143" customFormat="1" hidden="1" x14ac:dyDescent="0.25">
      <c r="A402" s="143" t="s">
        <v>711</v>
      </c>
      <c r="B402" s="143" t="s">
        <v>186</v>
      </c>
      <c r="C402" s="143" t="s">
        <v>187</v>
      </c>
      <c r="D402" s="143" t="s">
        <v>69</v>
      </c>
      <c r="E402" s="257">
        <v>20114885</v>
      </c>
      <c r="F402" s="257">
        <v>20114885</v>
      </c>
      <c r="G402" s="257">
        <v>11213415</v>
      </c>
      <c r="H402" s="257">
        <v>1232287</v>
      </c>
      <c r="I402" s="257">
        <v>0</v>
      </c>
      <c r="J402" s="257">
        <v>0</v>
      </c>
      <c r="K402" s="257">
        <v>0</v>
      </c>
      <c r="L402" s="257">
        <v>0</v>
      </c>
      <c r="M402" s="279">
        <v>18882598</v>
      </c>
      <c r="N402" s="257">
        <v>9981128</v>
      </c>
    </row>
    <row r="403" spans="1:14" s="143" customFormat="1" hidden="1" x14ac:dyDescent="0.25">
      <c r="A403" s="143" t="s">
        <v>711</v>
      </c>
      <c r="B403" s="143" t="s">
        <v>188</v>
      </c>
      <c r="C403" s="143" t="s">
        <v>189</v>
      </c>
      <c r="D403" s="143" t="s">
        <v>69</v>
      </c>
      <c r="E403" s="257">
        <v>4558400</v>
      </c>
      <c r="F403" s="257">
        <v>4558400</v>
      </c>
      <c r="G403" s="257">
        <v>2279200</v>
      </c>
      <c r="H403" s="257">
        <v>0</v>
      </c>
      <c r="I403" s="257">
        <v>0</v>
      </c>
      <c r="J403" s="257">
        <v>0</v>
      </c>
      <c r="K403" s="257">
        <v>0</v>
      </c>
      <c r="L403" s="257">
        <v>0</v>
      </c>
      <c r="M403" s="279">
        <v>4558400</v>
      </c>
      <c r="N403" s="257">
        <v>2279200</v>
      </c>
    </row>
    <row r="404" spans="1:14" s="143" customFormat="1" hidden="1" x14ac:dyDescent="0.25">
      <c r="A404" s="143" t="s">
        <v>711</v>
      </c>
      <c r="B404" s="143" t="s">
        <v>190</v>
      </c>
      <c r="C404" s="143" t="s">
        <v>191</v>
      </c>
      <c r="D404" s="143" t="s">
        <v>69</v>
      </c>
      <c r="E404" s="257">
        <v>1998283</v>
      </c>
      <c r="F404" s="257">
        <v>1998283</v>
      </c>
      <c r="G404" s="257">
        <v>1998283</v>
      </c>
      <c r="H404" s="257">
        <v>0</v>
      </c>
      <c r="I404" s="257">
        <v>0</v>
      </c>
      <c r="J404" s="257">
        <v>0</v>
      </c>
      <c r="K404" s="257">
        <v>0</v>
      </c>
      <c r="L404" s="257">
        <v>0</v>
      </c>
      <c r="M404" s="279">
        <v>1998283</v>
      </c>
      <c r="N404" s="257">
        <v>1998283</v>
      </c>
    </row>
    <row r="405" spans="1:14" s="143" customFormat="1" hidden="1" x14ac:dyDescent="0.25">
      <c r="A405" s="143" t="s">
        <v>711</v>
      </c>
      <c r="B405" s="143" t="s">
        <v>350</v>
      </c>
      <c r="C405" s="143" t="s">
        <v>351</v>
      </c>
      <c r="D405" s="143" t="s">
        <v>69</v>
      </c>
      <c r="E405" s="257">
        <v>1432676</v>
      </c>
      <c r="F405" s="257">
        <v>1432676</v>
      </c>
      <c r="G405" s="257">
        <v>1432676</v>
      </c>
      <c r="H405" s="257">
        <v>1232287</v>
      </c>
      <c r="I405" s="257">
        <v>0</v>
      </c>
      <c r="J405" s="257">
        <v>0</v>
      </c>
      <c r="K405" s="257">
        <v>0</v>
      </c>
      <c r="L405" s="257">
        <v>0</v>
      </c>
      <c r="M405" s="279">
        <v>200389</v>
      </c>
      <c r="N405" s="257">
        <v>200389</v>
      </c>
    </row>
    <row r="406" spans="1:14" s="143" customFormat="1" hidden="1" x14ac:dyDescent="0.25">
      <c r="A406" s="143" t="s">
        <v>711</v>
      </c>
      <c r="B406" s="143" t="s">
        <v>194</v>
      </c>
      <c r="C406" s="143" t="s">
        <v>195</v>
      </c>
      <c r="D406" s="143" t="s">
        <v>69</v>
      </c>
      <c r="E406" s="257">
        <v>12125526</v>
      </c>
      <c r="F406" s="257">
        <v>12125526</v>
      </c>
      <c r="G406" s="257">
        <v>5503256</v>
      </c>
      <c r="H406" s="257">
        <v>0</v>
      </c>
      <c r="I406" s="257">
        <v>0</v>
      </c>
      <c r="J406" s="257">
        <v>0</v>
      </c>
      <c r="K406" s="257">
        <v>0</v>
      </c>
      <c r="L406" s="257">
        <v>0</v>
      </c>
      <c r="M406" s="279">
        <v>12125526</v>
      </c>
      <c r="N406" s="257">
        <v>5503256</v>
      </c>
    </row>
    <row r="407" spans="1:14" s="143" customFormat="1" hidden="1" x14ac:dyDescent="0.25">
      <c r="A407" s="143" t="s">
        <v>711</v>
      </c>
      <c r="B407" s="143" t="s">
        <v>196</v>
      </c>
      <c r="C407" s="143" t="s">
        <v>197</v>
      </c>
      <c r="D407" s="143" t="s">
        <v>69</v>
      </c>
      <c r="E407" s="257">
        <v>9704809902</v>
      </c>
      <c r="F407" s="257">
        <v>9704809902</v>
      </c>
      <c r="G407" s="257">
        <v>4809007034</v>
      </c>
      <c r="H407" s="257">
        <v>706200809.24000001</v>
      </c>
      <c r="I407" s="257">
        <v>164966319.65000001</v>
      </c>
      <c r="J407" s="257">
        <v>0</v>
      </c>
      <c r="K407" s="257">
        <v>1390099826.21</v>
      </c>
      <c r="L407" s="257">
        <v>738786983.09000003</v>
      </c>
      <c r="M407" s="279">
        <v>7443542946.8999996</v>
      </c>
      <c r="N407" s="257">
        <v>2547740078.9000001</v>
      </c>
    </row>
    <row r="408" spans="1:14" s="143" customFormat="1" hidden="1" x14ac:dyDescent="0.25">
      <c r="A408" s="143" t="s">
        <v>711</v>
      </c>
      <c r="B408" s="143" t="s">
        <v>579</v>
      </c>
      <c r="C408" s="143" t="s">
        <v>580</v>
      </c>
      <c r="D408" s="143" t="s">
        <v>69</v>
      </c>
      <c r="E408" s="257">
        <v>3494885</v>
      </c>
      <c r="F408" s="257">
        <v>3494885</v>
      </c>
      <c r="G408" s="257">
        <v>3494885</v>
      </c>
      <c r="H408" s="257">
        <v>3193200</v>
      </c>
      <c r="I408" s="257">
        <v>0</v>
      </c>
      <c r="J408" s="257">
        <v>0</v>
      </c>
      <c r="K408" s="257">
        <v>0</v>
      </c>
      <c r="L408" s="257">
        <v>0</v>
      </c>
      <c r="M408" s="279">
        <v>301685</v>
      </c>
      <c r="N408" s="257">
        <v>301685</v>
      </c>
    </row>
    <row r="409" spans="1:14" s="143" customFormat="1" hidden="1" x14ac:dyDescent="0.25">
      <c r="A409" s="143" t="s">
        <v>711</v>
      </c>
      <c r="B409" s="143" t="s">
        <v>198</v>
      </c>
      <c r="C409" s="143" t="s">
        <v>199</v>
      </c>
      <c r="D409" s="143" t="s">
        <v>69</v>
      </c>
      <c r="E409" s="257">
        <v>9654391017</v>
      </c>
      <c r="F409" s="257">
        <v>9654391017</v>
      </c>
      <c r="G409" s="257">
        <v>4783797592</v>
      </c>
      <c r="H409" s="257">
        <v>703007609.24000001</v>
      </c>
      <c r="I409" s="257">
        <v>164966319.65000001</v>
      </c>
      <c r="J409" s="257">
        <v>0</v>
      </c>
      <c r="K409" s="257">
        <v>1390099826.21</v>
      </c>
      <c r="L409" s="257">
        <v>738786983.09000003</v>
      </c>
      <c r="M409" s="279">
        <v>7396317261.8999996</v>
      </c>
      <c r="N409" s="257">
        <v>2525723836.9000001</v>
      </c>
    </row>
    <row r="410" spans="1:14" s="143" customFormat="1" hidden="1" x14ac:dyDescent="0.25">
      <c r="A410" s="143" t="s">
        <v>711</v>
      </c>
      <c r="B410" s="143" t="s">
        <v>352</v>
      </c>
      <c r="C410" s="143" t="s">
        <v>353</v>
      </c>
      <c r="D410" s="143" t="s">
        <v>69</v>
      </c>
      <c r="E410" s="257">
        <v>46924000</v>
      </c>
      <c r="F410" s="257">
        <v>46924000</v>
      </c>
      <c r="G410" s="257">
        <v>21714557</v>
      </c>
      <c r="H410" s="257">
        <v>0</v>
      </c>
      <c r="I410" s="257">
        <v>0</v>
      </c>
      <c r="J410" s="257">
        <v>0</v>
      </c>
      <c r="K410" s="257">
        <v>0</v>
      </c>
      <c r="L410" s="257">
        <v>0</v>
      </c>
      <c r="M410" s="279">
        <v>46924000</v>
      </c>
      <c r="N410" s="257">
        <v>21714557</v>
      </c>
    </row>
    <row r="411" spans="1:14" s="143" customFormat="1" hidden="1" x14ac:dyDescent="0.25">
      <c r="A411" s="143" t="s">
        <v>711</v>
      </c>
      <c r="B411" s="143" t="s">
        <v>200</v>
      </c>
      <c r="C411" s="143" t="s">
        <v>201</v>
      </c>
      <c r="D411" s="143" t="s">
        <v>69</v>
      </c>
      <c r="E411" s="257">
        <v>9701312</v>
      </c>
      <c r="F411" s="257">
        <v>9701312</v>
      </c>
      <c r="G411" s="257">
        <v>9022362</v>
      </c>
      <c r="H411" s="257">
        <v>3580877</v>
      </c>
      <c r="I411" s="257">
        <v>0</v>
      </c>
      <c r="J411" s="257">
        <v>0</v>
      </c>
      <c r="K411" s="257">
        <v>0</v>
      </c>
      <c r="L411" s="257">
        <v>0</v>
      </c>
      <c r="M411" s="279">
        <v>6120435</v>
      </c>
      <c r="N411" s="257">
        <v>5441485</v>
      </c>
    </row>
    <row r="412" spans="1:14" s="143" customFormat="1" hidden="1" x14ac:dyDescent="0.25">
      <c r="A412" s="143" t="s">
        <v>711</v>
      </c>
      <c r="B412" s="143" t="s">
        <v>314</v>
      </c>
      <c r="C412" s="143" t="s">
        <v>315</v>
      </c>
      <c r="D412" s="143" t="s">
        <v>69</v>
      </c>
      <c r="E412" s="257">
        <v>3440012</v>
      </c>
      <c r="F412" s="257">
        <v>3440012</v>
      </c>
      <c r="G412" s="257">
        <v>3440012</v>
      </c>
      <c r="H412" s="257">
        <v>3309013</v>
      </c>
      <c r="I412" s="257">
        <v>0</v>
      </c>
      <c r="J412" s="257">
        <v>0</v>
      </c>
      <c r="K412" s="257">
        <v>0</v>
      </c>
      <c r="L412" s="257">
        <v>0</v>
      </c>
      <c r="M412" s="279">
        <v>130999</v>
      </c>
      <c r="N412" s="257">
        <v>130999</v>
      </c>
    </row>
    <row r="413" spans="1:14" s="143" customFormat="1" hidden="1" x14ac:dyDescent="0.25">
      <c r="A413" s="143" t="s">
        <v>711</v>
      </c>
      <c r="B413" s="143" t="s">
        <v>316</v>
      </c>
      <c r="C413" s="143" t="s">
        <v>317</v>
      </c>
      <c r="D413" s="143" t="s">
        <v>69</v>
      </c>
      <c r="E413" s="257">
        <v>678950</v>
      </c>
      <c r="F413" s="257">
        <v>678950</v>
      </c>
      <c r="G413" s="257">
        <v>0</v>
      </c>
      <c r="H413" s="257">
        <v>0</v>
      </c>
      <c r="I413" s="257">
        <v>0</v>
      </c>
      <c r="J413" s="257">
        <v>0</v>
      </c>
      <c r="K413" s="257">
        <v>0</v>
      </c>
      <c r="L413" s="257">
        <v>0</v>
      </c>
      <c r="M413" s="279">
        <v>678950</v>
      </c>
      <c r="N413" s="257">
        <v>0</v>
      </c>
    </row>
    <row r="414" spans="1:14" s="143" customFormat="1" hidden="1" x14ac:dyDescent="0.25">
      <c r="A414" s="143" t="s">
        <v>711</v>
      </c>
      <c r="B414" s="143" t="s">
        <v>318</v>
      </c>
      <c r="C414" s="143" t="s">
        <v>319</v>
      </c>
      <c r="D414" s="143" t="s">
        <v>69</v>
      </c>
      <c r="E414" s="257">
        <v>648835</v>
      </c>
      <c r="F414" s="257">
        <v>648835</v>
      </c>
      <c r="G414" s="257">
        <v>648835</v>
      </c>
      <c r="H414" s="257">
        <v>0</v>
      </c>
      <c r="I414" s="257">
        <v>0</v>
      </c>
      <c r="J414" s="257">
        <v>0</v>
      </c>
      <c r="K414" s="257">
        <v>0</v>
      </c>
      <c r="L414" s="257">
        <v>0</v>
      </c>
      <c r="M414" s="279">
        <v>648835</v>
      </c>
      <c r="N414" s="257">
        <v>648835</v>
      </c>
    </row>
    <row r="415" spans="1:14" s="143" customFormat="1" hidden="1" x14ac:dyDescent="0.25">
      <c r="A415" s="143" t="s">
        <v>711</v>
      </c>
      <c r="B415" s="143" t="s">
        <v>202</v>
      </c>
      <c r="C415" s="143" t="s">
        <v>203</v>
      </c>
      <c r="D415" s="143" t="s">
        <v>69</v>
      </c>
      <c r="E415" s="257">
        <v>274510</v>
      </c>
      <c r="F415" s="257">
        <v>274510</v>
      </c>
      <c r="G415" s="257">
        <v>274510</v>
      </c>
      <c r="H415" s="257">
        <v>271864</v>
      </c>
      <c r="I415" s="257">
        <v>0</v>
      </c>
      <c r="J415" s="257">
        <v>0</v>
      </c>
      <c r="K415" s="257">
        <v>0</v>
      </c>
      <c r="L415" s="257">
        <v>0</v>
      </c>
      <c r="M415" s="279">
        <v>2646</v>
      </c>
      <c r="N415" s="257">
        <v>2646</v>
      </c>
    </row>
    <row r="416" spans="1:14" s="143" customFormat="1" hidden="1" x14ac:dyDescent="0.25">
      <c r="A416" s="143" t="s">
        <v>711</v>
      </c>
      <c r="B416" s="143" t="s">
        <v>204</v>
      </c>
      <c r="C416" s="143" t="s">
        <v>205</v>
      </c>
      <c r="D416" s="143" t="s">
        <v>69</v>
      </c>
      <c r="E416" s="257">
        <v>4524220</v>
      </c>
      <c r="F416" s="257">
        <v>4524220</v>
      </c>
      <c r="G416" s="257">
        <v>4524220</v>
      </c>
      <c r="H416" s="257">
        <v>0</v>
      </c>
      <c r="I416" s="257">
        <v>0</v>
      </c>
      <c r="J416" s="257">
        <v>0</v>
      </c>
      <c r="K416" s="257">
        <v>0</v>
      </c>
      <c r="L416" s="257">
        <v>0</v>
      </c>
      <c r="M416" s="279">
        <v>4524220</v>
      </c>
      <c r="N416" s="257">
        <v>4524220</v>
      </c>
    </row>
    <row r="417" spans="1:14" s="143" customFormat="1" hidden="1" x14ac:dyDescent="0.25">
      <c r="A417" s="143" t="s">
        <v>711</v>
      </c>
      <c r="B417" s="143" t="s">
        <v>322</v>
      </c>
      <c r="C417" s="143" t="s">
        <v>323</v>
      </c>
      <c r="D417" s="143" t="s">
        <v>69</v>
      </c>
      <c r="E417" s="257">
        <v>134785</v>
      </c>
      <c r="F417" s="257">
        <v>134785</v>
      </c>
      <c r="G417" s="257">
        <v>134785</v>
      </c>
      <c r="H417" s="257">
        <v>0</v>
      </c>
      <c r="I417" s="257">
        <v>0</v>
      </c>
      <c r="J417" s="257">
        <v>0</v>
      </c>
      <c r="K417" s="257">
        <v>0</v>
      </c>
      <c r="L417" s="257">
        <v>0</v>
      </c>
      <c r="M417" s="279">
        <v>134785</v>
      </c>
      <c r="N417" s="257">
        <v>134785</v>
      </c>
    </row>
    <row r="418" spans="1:14" s="143" customFormat="1" hidden="1" x14ac:dyDescent="0.25">
      <c r="A418" s="143" t="s">
        <v>711</v>
      </c>
      <c r="B418" s="143" t="s">
        <v>206</v>
      </c>
      <c r="C418" s="143" t="s">
        <v>207</v>
      </c>
      <c r="D418" s="143" t="s">
        <v>69</v>
      </c>
      <c r="E418" s="257">
        <v>4818247</v>
      </c>
      <c r="F418" s="257">
        <v>4818247</v>
      </c>
      <c r="G418" s="257">
        <v>1818247</v>
      </c>
      <c r="H418" s="257">
        <v>0</v>
      </c>
      <c r="I418" s="257">
        <v>0</v>
      </c>
      <c r="J418" s="257">
        <v>0</v>
      </c>
      <c r="K418" s="257">
        <v>0</v>
      </c>
      <c r="L418" s="257">
        <v>0</v>
      </c>
      <c r="M418" s="279">
        <v>4818247</v>
      </c>
      <c r="N418" s="257">
        <v>1818247</v>
      </c>
    </row>
    <row r="419" spans="1:14" s="143" customFormat="1" hidden="1" x14ac:dyDescent="0.25">
      <c r="A419" s="143" t="s">
        <v>711</v>
      </c>
      <c r="B419" s="143" t="s">
        <v>208</v>
      </c>
      <c r="C419" s="143" t="s">
        <v>209</v>
      </c>
      <c r="D419" s="143" t="s">
        <v>69</v>
      </c>
      <c r="E419" s="257">
        <v>4818247</v>
      </c>
      <c r="F419" s="257">
        <v>4818247</v>
      </c>
      <c r="G419" s="257">
        <v>1818247</v>
      </c>
      <c r="H419" s="257">
        <v>0</v>
      </c>
      <c r="I419" s="257">
        <v>0</v>
      </c>
      <c r="J419" s="257">
        <v>0</v>
      </c>
      <c r="K419" s="257">
        <v>0</v>
      </c>
      <c r="L419" s="257">
        <v>0</v>
      </c>
      <c r="M419" s="279">
        <v>4818247</v>
      </c>
      <c r="N419" s="257">
        <v>1818247</v>
      </c>
    </row>
    <row r="420" spans="1:14" s="143" customFormat="1" hidden="1" x14ac:dyDescent="0.25">
      <c r="A420" s="143" t="s">
        <v>711</v>
      </c>
      <c r="B420" s="143" t="s">
        <v>354</v>
      </c>
      <c r="C420" s="143" t="s">
        <v>355</v>
      </c>
      <c r="D420" s="143" t="s">
        <v>69</v>
      </c>
      <c r="E420" s="257">
        <v>2859160</v>
      </c>
      <c r="F420" s="257">
        <v>2859160</v>
      </c>
      <c r="G420" s="257">
        <v>859160</v>
      </c>
      <c r="H420" s="257">
        <v>0</v>
      </c>
      <c r="I420" s="257">
        <v>0</v>
      </c>
      <c r="J420" s="257">
        <v>0</v>
      </c>
      <c r="K420" s="257">
        <v>0</v>
      </c>
      <c r="L420" s="257">
        <v>0</v>
      </c>
      <c r="M420" s="279">
        <v>2859160</v>
      </c>
      <c r="N420" s="257">
        <v>859160</v>
      </c>
    </row>
    <row r="421" spans="1:14" s="143" customFormat="1" hidden="1" x14ac:dyDescent="0.25">
      <c r="A421" s="143" t="s">
        <v>711</v>
      </c>
      <c r="B421" s="143" t="s">
        <v>356</v>
      </c>
      <c r="C421" s="143" t="s">
        <v>357</v>
      </c>
      <c r="D421" s="143" t="s">
        <v>69</v>
      </c>
      <c r="E421" s="257">
        <v>2859160</v>
      </c>
      <c r="F421" s="257">
        <v>2859160</v>
      </c>
      <c r="G421" s="257">
        <v>859160</v>
      </c>
      <c r="H421" s="257">
        <v>0</v>
      </c>
      <c r="I421" s="257">
        <v>0</v>
      </c>
      <c r="J421" s="257">
        <v>0</v>
      </c>
      <c r="K421" s="257">
        <v>0</v>
      </c>
      <c r="L421" s="257">
        <v>0</v>
      </c>
      <c r="M421" s="279">
        <v>2859160</v>
      </c>
      <c r="N421" s="257">
        <v>859160</v>
      </c>
    </row>
    <row r="422" spans="1:14" s="143" customFormat="1" hidden="1" x14ac:dyDescent="0.25">
      <c r="A422" s="143" t="s">
        <v>711</v>
      </c>
      <c r="B422" s="143" t="s">
        <v>212</v>
      </c>
      <c r="C422" s="143" t="s">
        <v>213</v>
      </c>
      <c r="D422" s="143" t="s">
        <v>69</v>
      </c>
      <c r="E422" s="257">
        <v>20687802</v>
      </c>
      <c r="F422" s="257">
        <v>20687802</v>
      </c>
      <c r="G422" s="257">
        <v>20687802</v>
      </c>
      <c r="H422" s="257">
        <v>3981750</v>
      </c>
      <c r="I422" s="257">
        <v>0</v>
      </c>
      <c r="J422" s="257">
        <v>0</v>
      </c>
      <c r="K422" s="257">
        <v>0</v>
      </c>
      <c r="L422" s="257">
        <v>0</v>
      </c>
      <c r="M422" s="279">
        <v>16706052</v>
      </c>
      <c r="N422" s="257">
        <v>16706052</v>
      </c>
    </row>
    <row r="423" spans="1:14" s="143" customFormat="1" hidden="1" x14ac:dyDescent="0.25">
      <c r="A423" s="143" t="s">
        <v>711</v>
      </c>
      <c r="B423" s="143" t="s">
        <v>216</v>
      </c>
      <c r="C423" s="143" t="s">
        <v>217</v>
      </c>
      <c r="D423" s="143" t="s">
        <v>69</v>
      </c>
      <c r="E423" s="257">
        <v>9443712</v>
      </c>
      <c r="F423" s="257">
        <v>9443712</v>
      </c>
      <c r="G423" s="257">
        <v>9443712</v>
      </c>
      <c r="H423" s="257">
        <v>0</v>
      </c>
      <c r="I423" s="257">
        <v>0</v>
      </c>
      <c r="J423" s="257">
        <v>0</v>
      </c>
      <c r="K423" s="257">
        <v>0</v>
      </c>
      <c r="L423" s="257">
        <v>0</v>
      </c>
      <c r="M423" s="279">
        <v>9443712</v>
      </c>
      <c r="N423" s="257">
        <v>9443712</v>
      </c>
    </row>
    <row r="424" spans="1:14" s="143" customFormat="1" hidden="1" x14ac:dyDescent="0.25">
      <c r="A424" s="143" t="s">
        <v>711</v>
      </c>
      <c r="B424" s="143" t="s">
        <v>218</v>
      </c>
      <c r="C424" s="143" t="s">
        <v>219</v>
      </c>
      <c r="D424" s="143" t="s">
        <v>69</v>
      </c>
      <c r="E424" s="257">
        <v>4708500</v>
      </c>
      <c r="F424" s="257">
        <v>4708500</v>
      </c>
      <c r="G424" s="257">
        <v>4708500</v>
      </c>
      <c r="H424" s="257">
        <v>0</v>
      </c>
      <c r="I424" s="257">
        <v>0</v>
      </c>
      <c r="J424" s="257">
        <v>0</v>
      </c>
      <c r="K424" s="257">
        <v>0</v>
      </c>
      <c r="L424" s="257">
        <v>0</v>
      </c>
      <c r="M424" s="279">
        <v>4708500</v>
      </c>
      <c r="N424" s="257">
        <v>4708500</v>
      </c>
    </row>
    <row r="425" spans="1:14" s="143" customFormat="1" hidden="1" x14ac:dyDescent="0.25">
      <c r="A425" s="143" t="s">
        <v>711</v>
      </c>
      <c r="B425" s="143" t="s">
        <v>220</v>
      </c>
      <c r="C425" s="143" t="s">
        <v>221</v>
      </c>
      <c r="D425" s="143" t="s">
        <v>69</v>
      </c>
      <c r="E425" s="257">
        <v>4306450</v>
      </c>
      <c r="F425" s="257">
        <v>4306450</v>
      </c>
      <c r="G425" s="257">
        <v>4306450</v>
      </c>
      <c r="H425" s="257">
        <v>3981750</v>
      </c>
      <c r="I425" s="257">
        <v>0</v>
      </c>
      <c r="J425" s="257">
        <v>0</v>
      </c>
      <c r="K425" s="257">
        <v>0</v>
      </c>
      <c r="L425" s="257">
        <v>0</v>
      </c>
      <c r="M425" s="279">
        <v>324700</v>
      </c>
      <c r="N425" s="257">
        <v>324700</v>
      </c>
    </row>
    <row r="426" spans="1:14" s="143" customFormat="1" hidden="1" x14ac:dyDescent="0.25">
      <c r="A426" s="143" t="s">
        <v>711</v>
      </c>
      <c r="B426" s="143" t="s">
        <v>222</v>
      </c>
      <c r="C426" s="143" t="s">
        <v>223</v>
      </c>
      <c r="D426" s="143" t="s">
        <v>69</v>
      </c>
      <c r="E426" s="257">
        <v>842640</v>
      </c>
      <c r="F426" s="257">
        <v>842640</v>
      </c>
      <c r="G426" s="257">
        <v>842640</v>
      </c>
      <c r="H426" s="257">
        <v>0</v>
      </c>
      <c r="I426" s="257">
        <v>0</v>
      </c>
      <c r="J426" s="257">
        <v>0</v>
      </c>
      <c r="K426" s="257">
        <v>0</v>
      </c>
      <c r="L426" s="257">
        <v>0</v>
      </c>
      <c r="M426" s="279">
        <v>842640</v>
      </c>
      <c r="N426" s="257">
        <v>842640</v>
      </c>
    </row>
    <row r="427" spans="1:14" s="143" customFormat="1" hidden="1" x14ac:dyDescent="0.25">
      <c r="A427" s="143" t="s">
        <v>711</v>
      </c>
      <c r="B427" s="143" t="s">
        <v>224</v>
      </c>
      <c r="C427" s="143" t="s">
        <v>225</v>
      </c>
      <c r="D427" s="143" t="s">
        <v>69</v>
      </c>
      <c r="E427" s="257">
        <v>887300</v>
      </c>
      <c r="F427" s="257">
        <v>887300</v>
      </c>
      <c r="G427" s="257">
        <v>887300</v>
      </c>
      <c r="H427" s="257">
        <v>0</v>
      </c>
      <c r="I427" s="257">
        <v>0</v>
      </c>
      <c r="J427" s="257">
        <v>0</v>
      </c>
      <c r="K427" s="257">
        <v>0</v>
      </c>
      <c r="L427" s="257">
        <v>0</v>
      </c>
      <c r="M427" s="279">
        <v>887300</v>
      </c>
      <c r="N427" s="257">
        <v>887300</v>
      </c>
    </row>
    <row r="428" spans="1:14" s="143" customFormat="1" hidden="1" x14ac:dyDescent="0.25">
      <c r="A428" s="143" t="s">
        <v>711</v>
      </c>
      <c r="B428" s="143" t="s">
        <v>228</v>
      </c>
      <c r="C428" s="143" t="s">
        <v>229</v>
      </c>
      <c r="D428" s="143" t="s">
        <v>69</v>
      </c>
      <c r="E428" s="257">
        <v>499200</v>
      </c>
      <c r="F428" s="257">
        <v>499200</v>
      </c>
      <c r="G428" s="257">
        <v>499200</v>
      </c>
      <c r="H428" s="257">
        <v>0</v>
      </c>
      <c r="I428" s="257">
        <v>0</v>
      </c>
      <c r="J428" s="257">
        <v>0</v>
      </c>
      <c r="K428" s="257">
        <v>0</v>
      </c>
      <c r="L428" s="257">
        <v>0</v>
      </c>
      <c r="M428" s="279">
        <v>499200</v>
      </c>
      <c r="N428" s="257">
        <v>499200</v>
      </c>
    </row>
    <row r="429" spans="1:14" s="143" customFormat="1" hidden="1" x14ac:dyDescent="0.25">
      <c r="A429" s="143" t="s">
        <v>711</v>
      </c>
      <c r="B429" s="143" t="s">
        <v>230</v>
      </c>
      <c r="C429" s="143" t="s">
        <v>231</v>
      </c>
      <c r="D429" s="143" t="s">
        <v>85</v>
      </c>
      <c r="E429" s="257">
        <v>53324000</v>
      </c>
      <c r="F429" s="257">
        <v>53324000</v>
      </c>
      <c r="G429" s="257">
        <v>50204000</v>
      </c>
      <c r="H429" s="257">
        <v>0</v>
      </c>
      <c r="I429" s="257">
        <v>0</v>
      </c>
      <c r="J429" s="257">
        <v>0</v>
      </c>
      <c r="K429" s="257">
        <v>0</v>
      </c>
      <c r="L429" s="257">
        <v>0</v>
      </c>
      <c r="M429" s="279">
        <v>53324000</v>
      </c>
      <c r="N429" s="257">
        <v>50204000</v>
      </c>
    </row>
    <row r="430" spans="1:14" s="143" customFormat="1" hidden="1" x14ac:dyDescent="0.25">
      <c r="A430" s="143" t="s">
        <v>711</v>
      </c>
      <c r="B430" s="143" t="s">
        <v>232</v>
      </c>
      <c r="C430" s="143" t="s">
        <v>233</v>
      </c>
      <c r="D430" s="143" t="s">
        <v>85</v>
      </c>
      <c r="E430" s="257">
        <v>45824000</v>
      </c>
      <c r="F430" s="257">
        <v>45824000</v>
      </c>
      <c r="G430" s="257">
        <v>42704000</v>
      </c>
      <c r="H430" s="257">
        <v>0</v>
      </c>
      <c r="I430" s="257">
        <v>0</v>
      </c>
      <c r="J430" s="257">
        <v>0</v>
      </c>
      <c r="K430" s="257">
        <v>0</v>
      </c>
      <c r="L430" s="257">
        <v>0</v>
      </c>
      <c r="M430" s="279">
        <v>45824000</v>
      </c>
      <c r="N430" s="257">
        <v>42704000</v>
      </c>
    </row>
    <row r="431" spans="1:14" s="143" customFormat="1" hidden="1" x14ac:dyDescent="0.25">
      <c r="A431" s="143" t="s">
        <v>711</v>
      </c>
      <c r="B431" s="143" t="s">
        <v>234</v>
      </c>
      <c r="C431" s="143" t="s">
        <v>235</v>
      </c>
      <c r="D431" s="143" t="s">
        <v>85</v>
      </c>
      <c r="E431" s="257">
        <v>3490000</v>
      </c>
      <c r="F431" s="257">
        <v>3490000</v>
      </c>
      <c r="G431" s="257">
        <v>790000</v>
      </c>
      <c r="H431" s="257">
        <v>0</v>
      </c>
      <c r="I431" s="257">
        <v>0</v>
      </c>
      <c r="J431" s="257">
        <v>0</v>
      </c>
      <c r="K431" s="257">
        <v>0</v>
      </c>
      <c r="L431" s="257">
        <v>0</v>
      </c>
      <c r="M431" s="279">
        <v>3490000</v>
      </c>
      <c r="N431" s="257">
        <v>790000</v>
      </c>
    </row>
    <row r="432" spans="1:14" s="143" customFormat="1" hidden="1" x14ac:dyDescent="0.25">
      <c r="A432" s="143" t="s">
        <v>711</v>
      </c>
      <c r="B432" s="143" t="s">
        <v>238</v>
      </c>
      <c r="C432" s="143" t="s">
        <v>239</v>
      </c>
      <c r="D432" s="143" t="s">
        <v>85</v>
      </c>
      <c r="E432" s="257">
        <v>420000</v>
      </c>
      <c r="F432" s="257">
        <v>420000</v>
      </c>
      <c r="G432" s="257">
        <v>0</v>
      </c>
      <c r="H432" s="257">
        <v>0</v>
      </c>
      <c r="I432" s="257">
        <v>0</v>
      </c>
      <c r="J432" s="257">
        <v>0</v>
      </c>
      <c r="K432" s="257">
        <v>0</v>
      </c>
      <c r="L432" s="257">
        <v>0</v>
      </c>
      <c r="M432" s="279">
        <v>420000</v>
      </c>
      <c r="N432" s="257">
        <v>0</v>
      </c>
    </row>
    <row r="433" spans="1:14" s="143" customFormat="1" hidden="1" x14ac:dyDescent="0.25">
      <c r="A433" s="143" t="s">
        <v>711</v>
      </c>
      <c r="B433" s="143" t="s">
        <v>326</v>
      </c>
      <c r="C433" s="143" t="s">
        <v>327</v>
      </c>
      <c r="D433" s="143" t="s">
        <v>85</v>
      </c>
      <c r="E433" s="257">
        <v>41125000</v>
      </c>
      <c r="F433" s="257">
        <v>41125000</v>
      </c>
      <c r="G433" s="257">
        <v>41125000</v>
      </c>
      <c r="H433" s="257">
        <v>0</v>
      </c>
      <c r="I433" s="257">
        <v>0</v>
      </c>
      <c r="J433" s="257">
        <v>0</v>
      </c>
      <c r="K433" s="257">
        <v>0</v>
      </c>
      <c r="L433" s="257">
        <v>0</v>
      </c>
      <c r="M433" s="279">
        <v>41125000</v>
      </c>
      <c r="N433" s="257">
        <v>41125000</v>
      </c>
    </row>
    <row r="434" spans="1:14" s="143" customFormat="1" hidden="1" x14ac:dyDescent="0.25">
      <c r="A434" s="143" t="s">
        <v>711</v>
      </c>
      <c r="B434" s="143" t="s">
        <v>242</v>
      </c>
      <c r="C434" s="143" t="s">
        <v>243</v>
      </c>
      <c r="D434" s="143" t="s">
        <v>85</v>
      </c>
      <c r="E434" s="257">
        <v>789000</v>
      </c>
      <c r="F434" s="257">
        <v>789000</v>
      </c>
      <c r="G434" s="257">
        <v>789000</v>
      </c>
      <c r="H434" s="257">
        <v>0</v>
      </c>
      <c r="I434" s="257">
        <v>0</v>
      </c>
      <c r="J434" s="257">
        <v>0</v>
      </c>
      <c r="K434" s="257">
        <v>0</v>
      </c>
      <c r="L434" s="257">
        <v>0</v>
      </c>
      <c r="M434" s="279">
        <v>789000</v>
      </c>
      <c r="N434" s="257">
        <v>789000</v>
      </c>
    </row>
    <row r="435" spans="1:14" s="143" customFormat="1" hidden="1" x14ac:dyDescent="0.25">
      <c r="A435" s="143" t="s">
        <v>711</v>
      </c>
      <c r="B435" s="143" t="s">
        <v>244</v>
      </c>
      <c r="C435" s="143" t="s">
        <v>245</v>
      </c>
      <c r="D435" s="143" t="s">
        <v>85</v>
      </c>
      <c r="E435" s="257">
        <v>7500000</v>
      </c>
      <c r="F435" s="257">
        <v>7500000</v>
      </c>
      <c r="G435" s="257">
        <v>7500000</v>
      </c>
      <c r="H435" s="257">
        <v>0</v>
      </c>
      <c r="I435" s="257">
        <v>0</v>
      </c>
      <c r="J435" s="257">
        <v>0</v>
      </c>
      <c r="K435" s="257">
        <v>0</v>
      </c>
      <c r="L435" s="257">
        <v>0</v>
      </c>
      <c r="M435" s="279">
        <v>7500000</v>
      </c>
      <c r="N435" s="257">
        <v>7500000</v>
      </c>
    </row>
    <row r="436" spans="1:14" s="143" customFormat="1" hidden="1" x14ac:dyDescent="0.25">
      <c r="A436" s="143" t="s">
        <v>711</v>
      </c>
      <c r="B436" s="143" t="s">
        <v>611</v>
      </c>
      <c r="C436" s="143" t="s">
        <v>612</v>
      </c>
      <c r="D436" s="143" t="s">
        <v>85</v>
      </c>
      <c r="E436" s="257">
        <v>7500000</v>
      </c>
      <c r="F436" s="257">
        <v>7500000</v>
      </c>
      <c r="G436" s="257">
        <v>7500000</v>
      </c>
      <c r="H436" s="257">
        <v>0</v>
      </c>
      <c r="I436" s="257">
        <v>0</v>
      </c>
      <c r="J436" s="257">
        <v>0</v>
      </c>
      <c r="K436" s="257">
        <v>0</v>
      </c>
      <c r="L436" s="257">
        <v>0</v>
      </c>
      <c r="M436" s="279">
        <v>7500000</v>
      </c>
      <c r="N436" s="257">
        <v>7500000</v>
      </c>
    </row>
    <row r="437" spans="1:14" s="143" customFormat="1" hidden="1" x14ac:dyDescent="0.25">
      <c r="A437" s="143" t="s">
        <v>711</v>
      </c>
      <c r="B437" s="143" t="s">
        <v>248</v>
      </c>
      <c r="C437" s="143" t="s">
        <v>249</v>
      </c>
      <c r="D437" s="143" t="s">
        <v>69</v>
      </c>
      <c r="E437" s="257">
        <v>236354526</v>
      </c>
      <c r="F437" s="257">
        <v>236354526</v>
      </c>
      <c r="G437" s="257">
        <v>230664701</v>
      </c>
      <c r="H437" s="257">
        <v>0</v>
      </c>
      <c r="I437" s="257">
        <v>144651182</v>
      </c>
      <c r="J437" s="257">
        <v>0</v>
      </c>
      <c r="K437" s="257">
        <v>45365832</v>
      </c>
      <c r="L437" s="257">
        <v>45365832</v>
      </c>
      <c r="M437" s="279">
        <v>46337512</v>
      </c>
      <c r="N437" s="257">
        <v>40647687</v>
      </c>
    </row>
    <row r="438" spans="1:14" s="143" customFormat="1" hidden="1" x14ac:dyDescent="0.25">
      <c r="A438" s="143" t="s">
        <v>711</v>
      </c>
      <c r="B438" s="143" t="s">
        <v>250</v>
      </c>
      <c r="C438" s="143" t="s">
        <v>251</v>
      </c>
      <c r="D438" s="143" t="s">
        <v>69</v>
      </c>
      <c r="E438" s="257">
        <v>180354526</v>
      </c>
      <c r="F438" s="257">
        <v>180354526</v>
      </c>
      <c r="G438" s="257">
        <v>174664701</v>
      </c>
      <c r="H438" s="257">
        <v>0</v>
      </c>
      <c r="I438" s="257">
        <v>144651182</v>
      </c>
      <c r="J438" s="257">
        <v>0</v>
      </c>
      <c r="K438" s="257">
        <v>35703344</v>
      </c>
      <c r="L438" s="257">
        <v>35703344</v>
      </c>
      <c r="M438" s="279">
        <v>0</v>
      </c>
      <c r="N438" s="275">
        <v>-5689825</v>
      </c>
    </row>
    <row r="439" spans="1:14" s="143" customFormat="1" hidden="1" x14ac:dyDescent="0.25">
      <c r="A439" s="143" t="s">
        <v>711</v>
      </c>
      <c r="B439" s="143" t="s">
        <v>630</v>
      </c>
      <c r="C439" s="143" t="s">
        <v>702</v>
      </c>
      <c r="D439" s="143" t="s">
        <v>69</v>
      </c>
      <c r="E439" s="257">
        <v>153192762</v>
      </c>
      <c r="F439" s="257">
        <v>153192762</v>
      </c>
      <c r="G439" s="257">
        <v>148359836</v>
      </c>
      <c r="H439" s="257">
        <v>0</v>
      </c>
      <c r="I439" s="257">
        <v>123054682</v>
      </c>
      <c r="J439" s="257">
        <v>0</v>
      </c>
      <c r="K439" s="257">
        <v>30138080</v>
      </c>
      <c r="L439" s="257">
        <v>30138080</v>
      </c>
      <c r="M439" s="279">
        <v>0</v>
      </c>
      <c r="N439" s="275">
        <v>-4832926</v>
      </c>
    </row>
    <row r="440" spans="1:14" s="143" customFormat="1" hidden="1" x14ac:dyDescent="0.25">
      <c r="A440" s="143" t="s">
        <v>711</v>
      </c>
      <c r="B440" s="143" t="s">
        <v>645</v>
      </c>
      <c r="C440" s="143" t="s">
        <v>703</v>
      </c>
      <c r="D440" s="143" t="s">
        <v>69</v>
      </c>
      <c r="E440" s="257">
        <v>27161764</v>
      </c>
      <c r="F440" s="257">
        <v>27161764</v>
      </c>
      <c r="G440" s="257">
        <v>26304865</v>
      </c>
      <c r="H440" s="257">
        <v>0</v>
      </c>
      <c r="I440" s="257">
        <v>21596500</v>
      </c>
      <c r="J440" s="257">
        <v>0</v>
      </c>
      <c r="K440" s="257">
        <v>5565264</v>
      </c>
      <c r="L440" s="257">
        <v>5565264</v>
      </c>
      <c r="M440" s="279">
        <v>0</v>
      </c>
      <c r="N440" s="275">
        <v>-856899</v>
      </c>
    </row>
    <row r="441" spans="1:14" s="143" customFormat="1" hidden="1" x14ac:dyDescent="0.25">
      <c r="A441" s="143" t="s">
        <v>711</v>
      </c>
      <c r="B441" s="143" t="s">
        <v>260</v>
      </c>
      <c r="C441" s="143" t="s">
        <v>261</v>
      </c>
      <c r="D441" s="143" t="s">
        <v>69</v>
      </c>
      <c r="E441" s="257">
        <v>56000000</v>
      </c>
      <c r="F441" s="257">
        <v>56000000</v>
      </c>
      <c r="G441" s="257">
        <v>56000000</v>
      </c>
      <c r="H441" s="257">
        <v>0</v>
      </c>
      <c r="I441" s="257">
        <v>0</v>
      </c>
      <c r="J441" s="257">
        <v>0</v>
      </c>
      <c r="K441" s="257">
        <v>9662488</v>
      </c>
      <c r="L441" s="257">
        <v>9662488</v>
      </c>
      <c r="M441" s="279">
        <v>46337512</v>
      </c>
      <c r="N441" s="257">
        <v>46337512</v>
      </c>
    </row>
    <row r="442" spans="1:14" s="143" customFormat="1" hidden="1" x14ac:dyDescent="0.25">
      <c r="A442" s="143" t="s">
        <v>711</v>
      </c>
      <c r="B442" s="143" t="s">
        <v>264</v>
      </c>
      <c r="C442" s="143" t="s">
        <v>265</v>
      </c>
      <c r="D442" s="143" t="s">
        <v>69</v>
      </c>
      <c r="E442" s="257">
        <v>56000000</v>
      </c>
      <c r="F442" s="257">
        <v>56000000</v>
      </c>
      <c r="G442" s="257">
        <v>56000000</v>
      </c>
      <c r="H442" s="257">
        <v>0</v>
      </c>
      <c r="I442" s="257">
        <v>0</v>
      </c>
      <c r="J442" s="257">
        <v>0</v>
      </c>
      <c r="K442" s="257">
        <v>9662488</v>
      </c>
      <c r="L442" s="257">
        <v>9662488</v>
      </c>
      <c r="M442" s="279">
        <v>46337512</v>
      </c>
      <c r="N442" s="257">
        <v>46337512</v>
      </c>
    </row>
    <row r="443" spans="1:14" s="143" customFormat="1" x14ac:dyDescent="0.25">
      <c r="A443" s="454">
        <v>214789002</v>
      </c>
      <c r="D443" s="454" t="s">
        <v>69</v>
      </c>
      <c r="E443" s="257">
        <v>2218633702</v>
      </c>
      <c r="F443" s="272">
        <v>2218633702</v>
      </c>
      <c r="G443" s="257">
        <v>1739893566</v>
      </c>
      <c r="H443" s="269">
        <v>8958600</v>
      </c>
      <c r="I443" s="274">
        <v>218754936.80000001</v>
      </c>
      <c r="J443" s="274">
        <v>0</v>
      </c>
      <c r="K443" s="274">
        <v>403141059.88</v>
      </c>
      <c r="L443" s="274">
        <v>338824368.48000002</v>
      </c>
      <c r="M443" s="273">
        <v>1587779105.3199999</v>
      </c>
      <c r="N443" s="257">
        <v>1109038969.3199999</v>
      </c>
    </row>
    <row r="444" spans="1:14" s="143" customFormat="1" hidden="1" x14ac:dyDescent="0.25">
      <c r="A444" s="143" t="s">
        <v>712</v>
      </c>
      <c r="B444" s="143" t="s">
        <v>71</v>
      </c>
      <c r="C444" s="143" t="s">
        <v>72</v>
      </c>
      <c r="D444" s="143" t="s">
        <v>69</v>
      </c>
      <c r="E444" s="257">
        <v>1258145726</v>
      </c>
      <c r="F444" s="257">
        <v>1258145726</v>
      </c>
      <c r="G444" s="257">
        <v>1219624729</v>
      </c>
      <c r="H444" s="257">
        <v>0</v>
      </c>
      <c r="I444" s="257">
        <v>149829094</v>
      </c>
      <c r="J444" s="257">
        <v>0</v>
      </c>
      <c r="K444" s="257">
        <v>317591654.83999997</v>
      </c>
      <c r="L444" s="257">
        <v>317591654.83999997</v>
      </c>
      <c r="M444" s="279">
        <v>790724977.15999997</v>
      </c>
      <c r="N444" s="257">
        <v>752203980.15999997</v>
      </c>
    </row>
    <row r="445" spans="1:14" s="143" customFormat="1" hidden="1" x14ac:dyDescent="0.25">
      <c r="A445" s="143" t="s">
        <v>712</v>
      </c>
      <c r="B445" s="143" t="s">
        <v>73</v>
      </c>
      <c r="C445" s="143" t="s">
        <v>74</v>
      </c>
      <c r="D445" s="143" t="s">
        <v>69</v>
      </c>
      <c r="E445" s="257">
        <v>493376624</v>
      </c>
      <c r="F445" s="257">
        <v>493376624</v>
      </c>
      <c r="G445" s="257">
        <v>477092402</v>
      </c>
      <c r="H445" s="257">
        <v>0</v>
      </c>
      <c r="I445" s="257">
        <v>0</v>
      </c>
      <c r="J445" s="257">
        <v>0</v>
      </c>
      <c r="K445" s="257">
        <v>112723987.84</v>
      </c>
      <c r="L445" s="257">
        <v>112723987.84</v>
      </c>
      <c r="M445" s="279">
        <v>380652636.16000003</v>
      </c>
      <c r="N445" s="257">
        <v>364368414.16000003</v>
      </c>
    </row>
    <row r="446" spans="1:14" s="143" customFormat="1" hidden="1" x14ac:dyDescent="0.25">
      <c r="A446" s="143" t="s">
        <v>712</v>
      </c>
      <c r="B446" s="143" t="s">
        <v>75</v>
      </c>
      <c r="C446" s="143" t="s">
        <v>76</v>
      </c>
      <c r="D446" s="143" t="s">
        <v>69</v>
      </c>
      <c r="E446" s="257">
        <v>493376624</v>
      </c>
      <c r="F446" s="257">
        <v>493376624</v>
      </c>
      <c r="G446" s="257">
        <v>477092402</v>
      </c>
      <c r="H446" s="257">
        <v>0</v>
      </c>
      <c r="I446" s="257">
        <v>0</v>
      </c>
      <c r="J446" s="257">
        <v>0</v>
      </c>
      <c r="K446" s="257">
        <v>112723987.84</v>
      </c>
      <c r="L446" s="257">
        <v>112723987.84</v>
      </c>
      <c r="M446" s="279">
        <v>380652636.16000003</v>
      </c>
      <c r="N446" s="257">
        <v>364368414.16000003</v>
      </c>
    </row>
    <row r="447" spans="1:14" s="143" customFormat="1" hidden="1" x14ac:dyDescent="0.25">
      <c r="A447" s="143" t="s">
        <v>712</v>
      </c>
      <c r="B447" s="143" t="s">
        <v>77</v>
      </c>
      <c r="C447" s="143" t="s">
        <v>78</v>
      </c>
      <c r="D447" s="143" t="s">
        <v>69</v>
      </c>
      <c r="E447" s="257">
        <v>572843880</v>
      </c>
      <c r="F447" s="257">
        <v>572843880</v>
      </c>
      <c r="G447" s="257">
        <v>556483341</v>
      </c>
      <c r="H447" s="257">
        <v>0</v>
      </c>
      <c r="I447" s="257">
        <v>0</v>
      </c>
      <c r="J447" s="257">
        <v>0</v>
      </c>
      <c r="K447" s="257">
        <v>162771539</v>
      </c>
      <c r="L447" s="257">
        <v>162771539</v>
      </c>
      <c r="M447" s="279">
        <v>410072341</v>
      </c>
      <c r="N447" s="257">
        <v>393711802</v>
      </c>
    </row>
    <row r="448" spans="1:14" s="143" customFormat="1" hidden="1" x14ac:dyDescent="0.25">
      <c r="A448" s="143" t="s">
        <v>712</v>
      </c>
      <c r="B448" s="143" t="s">
        <v>79</v>
      </c>
      <c r="C448" s="143" t="s">
        <v>80</v>
      </c>
      <c r="D448" s="143" t="s">
        <v>69</v>
      </c>
      <c r="E448" s="257">
        <v>166263500</v>
      </c>
      <c r="F448" s="257">
        <v>166263500</v>
      </c>
      <c r="G448" s="257">
        <v>159438723</v>
      </c>
      <c r="H448" s="257">
        <v>0</v>
      </c>
      <c r="I448" s="257">
        <v>0</v>
      </c>
      <c r="J448" s="257">
        <v>0</v>
      </c>
      <c r="K448" s="257">
        <v>35920101.149999999</v>
      </c>
      <c r="L448" s="257">
        <v>35920101.149999999</v>
      </c>
      <c r="M448" s="279">
        <v>130343398.84999999</v>
      </c>
      <c r="N448" s="257">
        <v>123518621.84999999</v>
      </c>
    </row>
    <row r="449" spans="1:14" s="143" customFormat="1" hidden="1" x14ac:dyDescent="0.25">
      <c r="A449" s="143" t="s">
        <v>712</v>
      </c>
      <c r="B449" s="143" t="s">
        <v>81</v>
      </c>
      <c r="C449" s="143" t="s">
        <v>82</v>
      </c>
      <c r="D449" s="143" t="s">
        <v>69</v>
      </c>
      <c r="E449" s="257">
        <v>139725380</v>
      </c>
      <c r="F449" s="257">
        <v>139725380</v>
      </c>
      <c r="G449" s="257">
        <v>133724590</v>
      </c>
      <c r="H449" s="257">
        <v>0</v>
      </c>
      <c r="I449" s="257">
        <v>0</v>
      </c>
      <c r="J449" s="257">
        <v>0</v>
      </c>
      <c r="K449" s="257">
        <v>35881816.920000002</v>
      </c>
      <c r="L449" s="257">
        <v>35881816.920000002</v>
      </c>
      <c r="M449" s="279">
        <v>103843563.08</v>
      </c>
      <c r="N449" s="257">
        <v>97842773.079999998</v>
      </c>
    </row>
    <row r="450" spans="1:14" s="143" customFormat="1" hidden="1" x14ac:dyDescent="0.25">
      <c r="A450" s="143" t="s">
        <v>712</v>
      </c>
      <c r="B450" s="143" t="s">
        <v>83</v>
      </c>
      <c r="C450" s="143" t="s">
        <v>84</v>
      </c>
      <c r="D450" s="143" t="s">
        <v>85</v>
      </c>
      <c r="E450" s="257">
        <v>81986600</v>
      </c>
      <c r="F450" s="257">
        <v>81986600</v>
      </c>
      <c r="G450" s="257">
        <v>79476392</v>
      </c>
      <c r="H450" s="257">
        <v>0</v>
      </c>
      <c r="I450" s="257">
        <v>0</v>
      </c>
      <c r="J450" s="257">
        <v>0</v>
      </c>
      <c r="K450" s="257">
        <v>0</v>
      </c>
      <c r="L450" s="257">
        <v>0</v>
      </c>
      <c r="M450" s="279">
        <v>81986600</v>
      </c>
      <c r="N450" s="257">
        <v>79476392</v>
      </c>
    </row>
    <row r="451" spans="1:14" s="143" customFormat="1" hidden="1" x14ac:dyDescent="0.25">
      <c r="A451" s="143" t="s">
        <v>712</v>
      </c>
      <c r="B451" s="143" t="s">
        <v>86</v>
      </c>
      <c r="C451" s="143" t="s">
        <v>87</v>
      </c>
      <c r="D451" s="143" t="s">
        <v>69</v>
      </c>
      <c r="E451" s="257">
        <v>75278800</v>
      </c>
      <c r="F451" s="257">
        <v>75278800</v>
      </c>
      <c r="G451" s="257">
        <v>75278800</v>
      </c>
      <c r="H451" s="257">
        <v>0</v>
      </c>
      <c r="I451" s="257">
        <v>0</v>
      </c>
      <c r="J451" s="257">
        <v>0</v>
      </c>
      <c r="K451" s="257">
        <v>63363055.5</v>
      </c>
      <c r="L451" s="257">
        <v>63363055.5</v>
      </c>
      <c r="M451" s="279">
        <v>11915744.5</v>
      </c>
      <c r="N451" s="257">
        <v>11915744.5</v>
      </c>
    </row>
    <row r="452" spans="1:14" s="143" customFormat="1" hidden="1" x14ac:dyDescent="0.25">
      <c r="A452" s="143" t="s">
        <v>712</v>
      </c>
      <c r="B452" s="143" t="s">
        <v>88</v>
      </c>
      <c r="C452" s="143" t="s">
        <v>89</v>
      </c>
      <c r="D452" s="143" t="s">
        <v>69</v>
      </c>
      <c r="E452" s="257">
        <v>109589600</v>
      </c>
      <c r="F452" s="257">
        <v>109589600</v>
      </c>
      <c r="G452" s="257">
        <v>108564836</v>
      </c>
      <c r="H452" s="257">
        <v>0</v>
      </c>
      <c r="I452" s="257">
        <v>0</v>
      </c>
      <c r="J452" s="257">
        <v>0</v>
      </c>
      <c r="K452" s="257">
        <v>27606565.43</v>
      </c>
      <c r="L452" s="257">
        <v>27606565.43</v>
      </c>
      <c r="M452" s="279">
        <v>81983034.569999993</v>
      </c>
      <c r="N452" s="257">
        <v>80958270.569999993</v>
      </c>
    </row>
    <row r="453" spans="1:14" s="143" customFormat="1" hidden="1" x14ac:dyDescent="0.25">
      <c r="A453" s="143" t="s">
        <v>712</v>
      </c>
      <c r="B453" s="143" t="s">
        <v>90</v>
      </c>
      <c r="C453" s="143" t="s">
        <v>91</v>
      </c>
      <c r="D453" s="143" t="s">
        <v>69</v>
      </c>
      <c r="E453" s="257">
        <v>95962711</v>
      </c>
      <c r="F453" s="257">
        <v>95962711</v>
      </c>
      <c r="G453" s="257">
        <v>93024593</v>
      </c>
      <c r="H453" s="257">
        <v>0</v>
      </c>
      <c r="I453" s="257">
        <v>74851407</v>
      </c>
      <c r="J453" s="257">
        <v>0</v>
      </c>
      <c r="K453" s="257">
        <v>21111304</v>
      </c>
      <c r="L453" s="257">
        <v>21111304</v>
      </c>
      <c r="M453" s="279">
        <v>0</v>
      </c>
      <c r="N453" s="275">
        <v>-2938118</v>
      </c>
    </row>
    <row r="454" spans="1:14" s="143" customFormat="1" hidden="1" x14ac:dyDescent="0.25">
      <c r="A454" s="143" t="s">
        <v>712</v>
      </c>
      <c r="B454" s="143" t="s">
        <v>422</v>
      </c>
      <c r="C454" s="143" t="s">
        <v>697</v>
      </c>
      <c r="D454" s="143" t="s">
        <v>69</v>
      </c>
      <c r="E454" s="257">
        <v>91041575</v>
      </c>
      <c r="F454" s="257">
        <v>91041575</v>
      </c>
      <c r="G454" s="257">
        <v>88254129</v>
      </c>
      <c r="H454" s="257">
        <v>0</v>
      </c>
      <c r="I454" s="257">
        <v>71012901</v>
      </c>
      <c r="J454" s="257">
        <v>0</v>
      </c>
      <c r="K454" s="257">
        <v>20028674</v>
      </c>
      <c r="L454" s="257">
        <v>20028674</v>
      </c>
      <c r="M454" s="279">
        <v>0</v>
      </c>
      <c r="N454" s="275">
        <v>-2787446</v>
      </c>
    </row>
    <row r="455" spans="1:14" s="143" customFormat="1" hidden="1" x14ac:dyDescent="0.25">
      <c r="A455" s="143" t="s">
        <v>712</v>
      </c>
      <c r="B455" s="143" t="s">
        <v>439</v>
      </c>
      <c r="C455" s="143" t="s">
        <v>95</v>
      </c>
      <c r="D455" s="143" t="s">
        <v>69</v>
      </c>
      <c r="E455" s="257">
        <v>4921136</v>
      </c>
      <c r="F455" s="257">
        <v>4921136</v>
      </c>
      <c r="G455" s="257">
        <v>4770464</v>
      </c>
      <c r="H455" s="257">
        <v>0</v>
      </c>
      <c r="I455" s="257">
        <v>3838506</v>
      </c>
      <c r="J455" s="257">
        <v>0</v>
      </c>
      <c r="K455" s="257">
        <v>1082630</v>
      </c>
      <c r="L455" s="257">
        <v>1082630</v>
      </c>
      <c r="M455" s="279">
        <v>0</v>
      </c>
      <c r="N455" s="275">
        <v>-150672</v>
      </c>
    </row>
    <row r="456" spans="1:14" s="143" customFormat="1" hidden="1" x14ac:dyDescent="0.25">
      <c r="A456" s="143" t="s">
        <v>712</v>
      </c>
      <c r="B456" s="143" t="s">
        <v>96</v>
      </c>
      <c r="C456" s="143" t="s">
        <v>97</v>
      </c>
      <c r="D456" s="143" t="s">
        <v>69</v>
      </c>
      <c r="E456" s="257">
        <v>95962511</v>
      </c>
      <c r="F456" s="257">
        <v>95962511</v>
      </c>
      <c r="G456" s="257">
        <v>93024393</v>
      </c>
      <c r="H456" s="257">
        <v>0</v>
      </c>
      <c r="I456" s="257">
        <v>74977687</v>
      </c>
      <c r="J456" s="257">
        <v>0</v>
      </c>
      <c r="K456" s="257">
        <v>20984824</v>
      </c>
      <c r="L456" s="257">
        <v>20984824</v>
      </c>
      <c r="M456" s="279">
        <v>0</v>
      </c>
      <c r="N456" s="275">
        <v>-2938118</v>
      </c>
    </row>
    <row r="457" spans="1:14" s="143" customFormat="1" hidden="1" x14ac:dyDescent="0.25">
      <c r="A457" s="143" t="s">
        <v>712</v>
      </c>
      <c r="B457" s="143" t="s">
        <v>457</v>
      </c>
      <c r="C457" s="143" t="s">
        <v>698</v>
      </c>
      <c r="D457" s="143" t="s">
        <v>69</v>
      </c>
      <c r="E457" s="257">
        <v>51672183</v>
      </c>
      <c r="F457" s="257">
        <v>51672183</v>
      </c>
      <c r="G457" s="257">
        <v>50090119</v>
      </c>
      <c r="H457" s="257">
        <v>0</v>
      </c>
      <c r="I457" s="257">
        <v>40431038</v>
      </c>
      <c r="J457" s="257">
        <v>0</v>
      </c>
      <c r="K457" s="257">
        <v>11241145</v>
      </c>
      <c r="L457" s="257">
        <v>11241145</v>
      </c>
      <c r="M457" s="279">
        <v>0</v>
      </c>
      <c r="N457" s="275">
        <v>-1582064</v>
      </c>
    </row>
    <row r="458" spans="1:14" s="143" customFormat="1" hidden="1" x14ac:dyDescent="0.25">
      <c r="A458" s="143" t="s">
        <v>712</v>
      </c>
      <c r="B458" s="143" t="s">
        <v>474</v>
      </c>
      <c r="C458" s="143" t="s">
        <v>699</v>
      </c>
      <c r="D458" s="143" t="s">
        <v>69</v>
      </c>
      <c r="E458" s="257">
        <v>14763409</v>
      </c>
      <c r="F458" s="257">
        <v>14763409</v>
      </c>
      <c r="G458" s="257">
        <v>14311391</v>
      </c>
      <c r="H458" s="257">
        <v>0</v>
      </c>
      <c r="I458" s="257">
        <v>11515516</v>
      </c>
      <c r="J458" s="257">
        <v>0</v>
      </c>
      <c r="K458" s="257">
        <v>3247893</v>
      </c>
      <c r="L458" s="257">
        <v>3247893</v>
      </c>
      <c r="M458" s="279">
        <v>0</v>
      </c>
      <c r="N458" s="275">
        <v>-452018</v>
      </c>
    </row>
    <row r="459" spans="1:14" s="143" customFormat="1" hidden="1" x14ac:dyDescent="0.25">
      <c r="A459" s="143" t="s">
        <v>712</v>
      </c>
      <c r="B459" s="143" t="s">
        <v>491</v>
      </c>
      <c r="C459" s="143" t="s">
        <v>700</v>
      </c>
      <c r="D459" s="143" t="s">
        <v>69</v>
      </c>
      <c r="E459" s="257">
        <v>29526919</v>
      </c>
      <c r="F459" s="257">
        <v>29526919</v>
      </c>
      <c r="G459" s="257">
        <v>28622883</v>
      </c>
      <c r="H459" s="257">
        <v>0</v>
      </c>
      <c r="I459" s="257">
        <v>23031133</v>
      </c>
      <c r="J459" s="257">
        <v>0</v>
      </c>
      <c r="K459" s="257">
        <v>6495786</v>
      </c>
      <c r="L459" s="257">
        <v>6495786</v>
      </c>
      <c r="M459" s="279">
        <v>0</v>
      </c>
      <c r="N459" s="275">
        <v>-904036</v>
      </c>
    </row>
    <row r="460" spans="1:14" s="143" customFormat="1" hidden="1" x14ac:dyDescent="0.25">
      <c r="A460" s="143" t="s">
        <v>712</v>
      </c>
      <c r="B460" s="143" t="s">
        <v>104</v>
      </c>
      <c r="C460" s="143" t="s">
        <v>105</v>
      </c>
      <c r="D460" s="143" t="s">
        <v>69</v>
      </c>
      <c r="E460" s="257">
        <v>306630000</v>
      </c>
      <c r="F460" s="257">
        <v>306630000</v>
      </c>
      <c r="G460" s="257">
        <v>160411875</v>
      </c>
      <c r="H460" s="257">
        <v>0</v>
      </c>
      <c r="I460" s="257">
        <v>36082851.399999999</v>
      </c>
      <c r="J460" s="257">
        <v>0</v>
      </c>
      <c r="K460" s="257">
        <v>32427148.600000001</v>
      </c>
      <c r="L460" s="257">
        <v>0</v>
      </c>
      <c r="M460" s="279">
        <v>238120000</v>
      </c>
      <c r="N460" s="257">
        <v>91901875</v>
      </c>
    </row>
    <row r="461" spans="1:14" s="143" customFormat="1" hidden="1" x14ac:dyDescent="0.25">
      <c r="A461" s="143" t="s">
        <v>712</v>
      </c>
      <c r="B461" s="143" t="s">
        <v>112</v>
      </c>
      <c r="C461" s="143" t="s">
        <v>113</v>
      </c>
      <c r="D461" s="143" t="s">
        <v>69</v>
      </c>
      <c r="E461" s="257">
        <v>291630000</v>
      </c>
      <c r="F461" s="257">
        <v>291630000</v>
      </c>
      <c r="G461" s="257">
        <v>145411875</v>
      </c>
      <c r="H461" s="257">
        <v>0</v>
      </c>
      <c r="I461" s="257">
        <v>36082851.399999999</v>
      </c>
      <c r="J461" s="257">
        <v>0</v>
      </c>
      <c r="K461" s="257">
        <v>32427148.600000001</v>
      </c>
      <c r="L461" s="257">
        <v>0</v>
      </c>
      <c r="M461" s="279">
        <v>223120000</v>
      </c>
      <c r="N461" s="257">
        <v>76901875</v>
      </c>
    </row>
    <row r="462" spans="1:14" s="143" customFormat="1" hidden="1" x14ac:dyDescent="0.25">
      <c r="A462" s="143" t="s">
        <v>712</v>
      </c>
      <c r="B462" s="143" t="s">
        <v>114</v>
      </c>
      <c r="C462" s="143" t="s">
        <v>115</v>
      </c>
      <c r="D462" s="143" t="s">
        <v>69</v>
      </c>
      <c r="E462" s="257">
        <v>221840000</v>
      </c>
      <c r="F462" s="257">
        <v>221840000</v>
      </c>
      <c r="G462" s="257">
        <v>108266875</v>
      </c>
      <c r="H462" s="257">
        <v>0</v>
      </c>
      <c r="I462" s="257">
        <v>28220916</v>
      </c>
      <c r="J462" s="257">
        <v>0</v>
      </c>
      <c r="K462" s="257">
        <v>27239084</v>
      </c>
      <c r="L462" s="257">
        <v>0</v>
      </c>
      <c r="M462" s="279">
        <v>166380000</v>
      </c>
      <c r="N462" s="257">
        <v>52806875</v>
      </c>
    </row>
    <row r="463" spans="1:14" s="143" customFormat="1" hidden="1" x14ac:dyDescent="0.25">
      <c r="A463" s="143" t="s">
        <v>712</v>
      </c>
      <c r="B463" s="143" t="s">
        <v>116</v>
      </c>
      <c r="C463" s="143" t="s">
        <v>117</v>
      </c>
      <c r="D463" s="143" t="s">
        <v>69</v>
      </c>
      <c r="E463" s="257">
        <v>52200000</v>
      </c>
      <c r="F463" s="257">
        <v>52200000</v>
      </c>
      <c r="G463" s="257">
        <v>26100000</v>
      </c>
      <c r="H463" s="257">
        <v>0</v>
      </c>
      <c r="I463" s="257">
        <v>7861935.4000000004</v>
      </c>
      <c r="J463" s="257">
        <v>0</v>
      </c>
      <c r="K463" s="257">
        <v>5188064.5999999996</v>
      </c>
      <c r="L463" s="257">
        <v>0</v>
      </c>
      <c r="M463" s="279">
        <v>39150000</v>
      </c>
      <c r="N463" s="257">
        <v>13050000</v>
      </c>
    </row>
    <row r="464" spans="1:14" s="143" customFormat="1" hidden="1" x14ac:dyDescent="0.25">
      <c r="A464" s="143" t="s">
        <v>712</v>
      </c>
      <c r="B464" s="143" t="s">
        <v>120</v>
      </c>
      <c r="C464" s="143" t="s">
        <v>121</v>
      </c>
      <c r="D464" s="143" t="s">
        <v>69</v>
      </c>
      <c r="E464" s="257">
        <v>13090000</v>
      </c>
      <c r="F464" s="257">
        <v>13090000</v>
      </c>
      <c r="G464" s="257">
        <v>6545000</v>
      </c>
      <c r="H464" s="257">
        <v>0</v>
      </c>
      <c r="I464" s="257">
        <v>0</v>
      </c>
      <c r="J464" s="257">
        <v>0</v>
      </c>
      <c r="K464" s="257">
        <v>0</v>
      </c>
      <c r="L464" s="257">
        <v>0</v>
      </c>
      <c r="M464" s="279">
        <v>13090000</v>
      </c>
      <c r="N464" s="257">
        <v>6545000</v>
      </c>
    </row>
    <row r="465" spans="1:14" s="143" customFormat="1" hidden="1" x14ac:dyDescent="0.25">
      <c r="A465" s="143" t="s">
        <v>712</v>
      </c>
      <c r="B465" s="143" t="s">
        <v>122</v>
      </c>
      <c r="C465" s="143" t="s">
        <v>123</v>
      </c>
      <c r="D465" s="143" t="s">
        <v>69</v>
      </c>
      <c r="E465" s="257">
        <v>4500000</v>
      </c>
      <c r="F465" s="257">
        <v>4500000</v>
      </c>
      <c r="G465" s="257">
        <v>4500000</v>
      </c>
      <c r="H465" s="257">
        <v>0</v>
      </c>
      <c r="I465" s="257">
        <v>0</v>
      </c>
      <c r="J465" s="257">
        <v>0</v>
      </c>
      <c r="K465" s="257">
        <v>0</v>
      </c>
      <c r="L465" s="257">
        <v>0</v>
      </c>
      <c r="M465" s="279">
        <v>4500000</v>
      </c>
      <c r="N465" s="257">
        <v>4500000</v>
      </c>
    </row>
    <row r="466" spans="1:14" s="143" customFormat="1" hidden="1" x14ac:dyDescent="0.25">
      <c r="A466" s="143" t="s">
        <v>712</v>
      </c>
      <c r="B466" s="143" t="s">
        <v>162</v>
      </c>
      <c r="C466" s="143" t="s">
        <v>163</v>
      </c>
      <c r="D466" s="143" t="s">
        <v>69</v>
      </c>
      <c r="E466" s="257">
        <v>15000000</v>
      </c>
      <c r="F466" s="257">
        <v>15000000</v>
      </c>
      <c r="G466" s="257">
        <v>15000000</v>
      </c>
      <c r="H466" s="257">
        <v>0</v>
      </c>
      <c r="I466" s="257">
        <v>0</v>
      </c>
      <c r="J466" s="257">
        <v>0</v>
      </c>
      <c r="K466" s="257">
        <v>0</v>
      </c>
      <c r="L466" s="257">
        <v>0</v>
      </c>
      <c r="M466" s="279">
        <v>15000000</v>
      </c>
      <c r="N466" s="257">
        <v>15000000</v>
      </c>
    </row>
    <row r="467" spans="1:14" s="143" customFormat="1" hidden="1" x14ac:dyDescent="0.25">
      <c r="A467" s="143" t="s">
        <v>712</v>
      </c>
      <c r="B467" s="143" t="s">
        <v>164</v>
      </c>
      <c r="C467" s="143" t="s">
        <v>165</v>
      </c>
      <c r="D467" s="143" t="s">
        <v>69</v>
      </c>
      <c r="E467" s="257">
        <v>15000000</v>
      </c>
      <c r="F467" s="257">
        <v>15000000</v>
      </c>
      <c r="G467" s="257">
        <v>15000000</v>
      </c>
      <c r="H467" s="257">
        <v>0</v>
      </c>
      <c r="I467" s="257">
        <v>0</v>
      </c>
      <c r="J467" s="257">
        <v>0</v>
      </c>
      <c r="K467" s="257">
        <v>0</v>
      </c>
      <c r="L467" s="257">
        <v>0</v>
      </c>
      <c r="M467" s="279">
        <v>15000000</v>
      </c>
      <c r="N467" s="257">
        <v>15000000</v>
      </c>
    </row>
    <row r="468" spans="1:14" s="143" customFormat="1" hidden="1" x14ac:dyDescent="0.25">
      <c r="A468" s="143" t="s">
        <v>712</v>
      </c>
      <c r="B468" s="143" t="s">
        <v>184</v>
      </c>
      <c r="C468" s="143" t="s">
        <v>185</v>
      </c>
      <c r="D468" s="143" t="s">
        <v>69</v>
      </c>
      <c r="E468" s="257">
        <v>621407272</v>
      </c>
      <c r="F468" s="257">
        <v>621407272</v>
      </c>
      <c r="G468" s="257">
        <v>327906489</v>
      </c>
      <c r="H468" s="257">
        <v>2998600</v>
      </c>
      <c r="I468" s="257">
        <v>19972642.399999999</v>
      </c>
      <c r="J468" s="257">
        <v>0</v>
      </c>
      <c r="K468" s="257">
        <v>48975473.439999998</v>
      </c>
      <c r="L468" s="257">
        <v>17085930.640000001</v>
      </c>
      <c r="M468" s="279">
        <v>549460556.15999997</v>
      </c>
      <c r="N468" s="257">
        <v>255959773.16</v>
      </c>
    </row>
    <row r="469" spans="1:14" s="143" customFormat="1" hidden="1" x14ac:dyDescent="0.25">
      <c r="A469" s="143" t="s">
        <v>712</v>
      </c>
      <c r="B469" s="143" t="s">
        <v>186</v>
      </c>
      <c r="C469" s="143" t="s">
        <v>187</v>
      </c>
      <c r="D469" s="143" t="s">
        <v>69</v>
      </c>
      <c r="E469" s="257">
        <v>25251750</v>
      </c>
      <c r="F469" s="257">
        <v>25251750</v>
      </c>
      <c r="G469" s="257">
        <v>12508376</v>
      </c>
      <c r="H469" s="257">
        <v>0</v>
      </c>
      <c r="I469" s="257">
        <v>0</v>
      </c>
      <c r="J469" s="257">
        <v>0</v>
      </c>
      <c r="K469" s="257">
        <v>0</v>
      </c>
      <c r="L469" s="257">
        <v>0</v>
      </c>
      <c r="M469" s="279">
        <v>25251750</v>
      </c>
      <c r="N469" s="257">
        <v>12508376</v>
      </c>
    </row>
    <row r="470" spans="1:14" s="143" customFormat="1" hidden="1" x14ac:dyDescent="0.25">
      <c r="A470" s="143" t="s">
        <v>712</v>
      </c>
      <c r="B470" s="143" t="s">
        <v>188</v>
      </c>
      <c r="C470" s="143" t="s">
        <v>189</v>
      </c>
      <c r="D470" s="143" t="s">
        <v>69</v>
      </c>
      <c r="E470" s="257">
        <v>24819750</v>
      </c>
      <c r="F470" s="257">
        <v>24819750</v>
      </c>
      <c r="G470" s="257">
        <v>12311376</v>
      </c>
      <c r="H470" s="257">
        <v>0</v>
      </c>
      <c r="I470" s="257">
        <v>0</v>
      </c>
      <c r="J470" s="257">
        <v>0</v>
      </c>
      <c r="K470" s="257">
        <v>0</v>
      </c>
      <c r="L470" s="257">
        <v>0</v>
      </c>
      <c r="M470" s="279">
        <v>24819750</v>
      </c>
      <c r="N470" s="257">
        <v>12311376</v>
      </c>
    </row>
    <row r="471" spans="1:14" s="143" customFormat="1" hidden="1" x14ac:dyDescent="0.25">
      <c r="A471" s="143" t="s">
        <v>712</v>
      </c>
      <c r="B471" s="143" t="s">
        <v>190</v>
      </c>
      <c r="C471" s="143" t="s">
        <v>191</v>
      </c>
      <c r="D471" s="143" t="s">
        <v>69</v>
      </c>
      <c r="E471" s="257">
        <v>197000</v>
      </c>
      <c r="F471" s="257">
        <v>197000</v>
      </c>
      <c r="G471" s="257">
        <v>197000</v>
      </c>
      <c r="H471" s="257">
        <v>0</v>
      </c>
      <c r="I471" s="257">
        <v>0</v>
      </c>
      <c r="J471" s="257">
        <v>0</v>
      </c>
      <c r="K471" s="257">
        <v>0</v>
      </c>
      <c r="L471" s="257">
        <v>0</v>
      </c>
      <c r="M471" s="279">
        <v>197000</v>
      </c>
      <c r="N471" s="257">
        <v>197000</v>
      </c>
    </row>
    <row r="472" spans="1:14" s="143" customFormat="1" hidden="1" x14ac:dyDescent="0.25">
      <c r="A472" s="143" t="s">
        <v>712</v>
      </c>
      <c r="B472" s="143" t="s">
        <v>194</v>
      </c>
      <c r="C472" s="143" t="s">
        <v>195</v>
      </c>
      <c r="D472" s="143" t="s">
        <v>69</v>
      </c>
      <c r="E472" s="257">
        <v>235000</v>
      </c>
      <c r="F472" s="257">
        <v>235000</v>
      </c>
      <c r="G472" s="257">
        <v>0</v>
      </c>
      <c r="H472" s="257">
        <v>0</v>
      </c>
      <c r="I472" s="257">
        <v>0</v>
      </c>
      <c r="J472" s="257">
        <v>0</v>
      </c>
      <c r="K472" s="257">
        <v>0</v>
      </c>
      <c r="L472" s="257">
        <v>0</v>
      </c>
      <c r="M472" s="279">
        <v>235000</v>
      </c>
      <c r="N472" s="257">
        <v>0</v>
      </c>
    </row>
    <row r="473" spans="1:14" s="143" customFormat="1" hidden="1" x14ac:dyDescent="0.25">
      <c r="A473" s="143" t="s">
        <v>712</v>
      </c>
      <c r="B473" s="143" t="s">
        <v>196</v>
      </c>
      <c r="C473" s="143" t="s">
        <v>197</v>
      </c>
      <c r="D473" s="143" t="s">
        <v>69</v>
      </c>
      <c r="E473" s="257">
        <v>582942552</v>
      </c>
      <c r="F473" s="257">
        <v>582942552</v>
      </c>
      <c r="G473" s="257">
        <v>302185143</v>
      </c>
      <c r="H473" s="257">
        <v>0</v>
      </c>
      <c r="I473" s="257">
        <v>19972642.399999999</v>
      </c>
      <c r="J473" s="257">
        <v>0</v>
      </c>
      <c r="K473" s="257">
        <v>48975473.439999998</v>
      </c>
      <c r="L473" s="257">
        <v>17085930.640000001</v>
      </c>
      <c r="M473" s="279">
        <v>513994436.16000003</v>
      </c>
      <c r="N473" s="257">
        <v>233237027.16</v>
      </c>
    </row>
    <row r="474" spans="1:14" s="143" customFormat="1" hidden="1" x14ac:dyDescent="0.25">
      <c r="A474" s="143" t="s">
        <v>712</v>
      </c>
      <c r="B474" s="143" t="s">
        <v>198</v>
      </c>
      <c r="C474" s="143" t="s">
        <v>199</v>
      </c>
      <c r="D474" s="143" t="s">
        <v>69</v>
      </c>
      <c r="E474" s="257">
        <v>582942552</v>
      </c>
      <c r="F474" s="257">
        <v>582942552</v>
      </c>
      <c r="G474" s="257">
        <v>302185143</v>
      </c>
      <c r="H474" s="257">
        <v>0</v>
      </c>
      <c r="I474" s="257">
        <v>19972642.399999999</v>
      </c>
      <c r="J474" s="257">
        <v>0</v>
      </c>
      <c r="K474" s="257">
        <v>48975473.439999998</v>
      </c>
      <c r="L474" s="257">
        <v>17085930.640000001</v>
      </c>
      <c r="M474" s="279">
        <v>513994436.16000003</v>
      </c>
      <c r="N474" s="257">
        <v>233237027.16</v>
      </c>
    </row>
    <row r="475" spans="1:14" s="143" customFormat="1" hidden="1" x14ac:dyDescent="0.25">
      <c r="A475" s="143" t="s">
        <v>712</v>
      </c>
      <c r="B475" s="143" t="s">
        <v>206</v>
      </c>
      <c r="C475" s="143" t="s">
        <v>207</v>
      </c>
      <c r="D475" s="143" t="s">
        <v>69</v>
      </c>
      <c r="E475" s="257">
        <v>367200</v>
      </c>
      <c r="F475" s="257">
        <v>367200</v>
      </c>
      <c r="G475" s="257">
        <v>367200</v>
      </c>
      <c r="H475" s="257">
        <v>0</v>
      </c>
      <c r="I475" s="257">
        <v>0</v>
      </c>
      <c r="J475" s="257">
        <v>0</v>
      </c>
      <c r="K475" s="257">
        <v>0</v>
      </c>
      <c r="L475" s="257">
        <v>0</v>
      </c>
      <c r="M475" s="279">
        <v>367200</v>
      </c>
      <c r="N475" s="257">
        <v>367200</v>
      </c>
    </row>
    <row r="476" spans="1:14" s="143" customFormat="1" hidden="1" x14ac:dyDescent="0.25">
      <c r="A476" s="143" t="s">
        <v>712</v>
      </c>
      <c r="B476" s="143" t="s">
        <v>208</v>
      </c>
      <c r="C476" s="143" t="s">
        <v>209</v>
      </c>
      <c r="D476" s="143" t="s">
        <v>69</v>
      </c>
      <c r="E476" s="257">
        <v>367200</v>
      </c>
      <c r="F476" s="257">
        <v>367200</v>
      </c>
      <c r="G476" s="257">
        <v>367200</v>
      </c>
      <c r="H476" s="257">
        <v>0</v>
      </c>
      <c r="I476" s="257">
        <v>0</v>
      </c>
      <c r="J476" s="257">
        <v>0</v>
      </c>
      <c r="K476" s="257">
        <v>0</v>
      </c>
      <c r="L476" s="257">
        <v>0</v>
      </c>
      <c r="M476" s="279">
        <v>367200</v>
      </c>
      <c r="N476" s="257">
        <v>367200</v>
      </c>
    </row>
    <row r="477" spans="1:14" s="143" customFormat="1" hidden="1" x14ac:dyDescent="0.25">
      <c r="A477" s="143" t="s">
        <v>712</v>
      </c>
      <c r="B477" s="143" t="s">
        <v>354</v>
      </c>
      <c r="C477" s="143" t="s">
        <v>355</v>
      </c>
      <c r="D477" s="143" t="s">
        <v>69</v>
      </c>
      <c r="E477" s="257">
        <v>6280000</v>
      </c>
      <c r="F477" s="257">
        <v>6280000</v>
      </c>
      <c r="G477" s="257">
        <v>6280000</v>
      </c>
      <c r="H477" s="257">
        <v>0</v>
      </c>
      <c r="I477" s="257">
        <v>0</v>
      </c>
      <c r="J477" s="257">
        <v>0</v>
      </c>
      <c r="K477" s="257">
        <v>0</v>
      </c>
      <c r="L477" s="257">
        <v>0</v>
      </c>
      <c r="M477" s="279">
        <v>6280000</v>
      </c>
      <c r="N477" s="257">
        <v>6280000</v>
      </c>
    </row>
    <row r="478" spans="1:14" s="143" customFormat="1" hidden="1" x14ac:dyDescent="0.25">
      <c r="A478" s="143" t="s">
        <v>712</v>
      </c>
      <c r="B478" s="143" t="s">
        <v>356</v>
      </c>
      <c r="C478" s="143" t="s">
        <v>357</v>
      </c>
      <c r="D478" s="143" t="s">
        <v>69</v>
      </c>
      <c r="E478" s="257">
        <v>6280000</v>
      </c>
      <c r="F478" s="257">
        <v>6280000</v>
      </c>
      <c r="G478" s="257">
        <v>6280000</v>
      </c>
      <c r="H478" s="257">
        <v>0</v>
      </c>
      <c r="I478" s="257">
        <v>0</v>
      </c>
      <c r="J478" s="257">
        <v>0</v>
      </c>
      <c r="K478" s="257">
        <v>0</v>
      </c>
      <c r="L478" s="257">
        <v>0</v>
      </c>
      <c r="M478" s="279">
        <v>6280000</v>
      </c>
      <c r="N478" s="257">
        <v>6280000</v>
      </c>
    </row>
    <row r="479" spans="1:14" s="143" customFormat="1" hidden="1" x14ac:dyDescent="0.25">
      <c r="A479" s="143" t="s">
        <v>712</v>
      </c>
      <c r="B479" s="143" t="s">
        <v>212</v>
      </c>
      <c r="C479" s="143" t="s">
        <v>213</v>
      </c>
      <c r="D479" s="143" t="s">
        <v>69</v>
      </c>
      <c r="E479" s="257">
        <v>6565770</v>
      </c>
      <c r="F479" s="257">
        <v>6565770</v>
      </c>
      <c r="G479" s="257">
        <v>6565770</v>
      </c>
      <c r="H479" s="257">
        <v>2998600</v>
      </c>
      <c r="I479" s="257">
        <v>0</v>
      </c>
      <c r="J479" s="257">
        <v>0</v>
      </c>
      <c r="K479" s="257">
        <v>0</v>
      </c>
      <c r="L479" s="257">
        <v>0</v>
      </c>
      <c r="M479" s="279">
        <v>3567170</v>
      </c>
      <c r="N479" s="257">
        <v>3567170</v>
      </c>
    </row>
    <row r="480" spans="1:14" s="143" customFormat="1" hidden="1" x14ac:dyDescent="0.25">
      <c r="A480" s="143" t="s">
        <v>712</v>
      </c>
      <c r="B480" s="143" t="s">
        <v>216</v>
      </c>
      <c r="C480" s="143" t="s">
        <v>217</v>
      </c>
      <c r="D480" s="143" t="s">
        <v>69</v>
      </c>
      <c r="E480" s="257">
        <v>1076170</v>
      </c>
      <c r="F480" s="257">
        <v>1076170</v>
      </c>
      <c r="G480" s="257">
        <v>1076170</v>
      </c>
      <c r="H480" s="257">
        <v>0</v>
      </c>
      <c r="I480" s="257">
        <v>0</v>
      </c>
      <c r="J480" s="257">
        <v>0</v>
      </c>
      <c r="K480" s="257">
        <v>0</v>
      </c>
      <c r="L480" s="257">
        <v>0</v>
      </c>
      <c r="M480" s="279">
        <v>1076170</v>
      </c>
      <c r="N480" s="257">
        <v>1076170</v>
      </c>
    </row>
    <row r="481" spans="1:14" s="143" customFormat="1" hidden="1" x14ac:dyDescent="0.25">
      <c r="A481" s="143" t="s">
        <v>712</v>
      </c>
      <c r="B481" s="143" t="s">
        <v>218</v>
      </c>
      <c r="C481" s="143" t="s">
        <v>219</v>
      </c>
      <c r="D481" s="143" t="s">
        <v>69</v>
      </c>
      <c r="E481" s="257">
        <v>333500</v>
      </c>
      <c r="F481" s="257">
        <v>333500</v>
      </c>
      <c r="G481" s="257">
        <v>333500</v>
      </c>
      <c r="H481" s="257">
        <v>0</v>
      </c>
      <c r="I481" s="257">
        <v>0</v>
      </c>
      <c r="J481" s="257">
        <v>0</v>
      </c>
      <c r="K481" s="257">
        <v>0</v>
      </c>
      <c r="L481" s="257">
        <v>0</v>
      </c>
      <c r="M481" s="279">
        <v>333500</v>
      </c>
      <c r="N481" s="257">
        <v>333500</v>
      </c>
    </row>
    <row r="482" spans="1:14" s="143" customFormat="1" hidden="1" x14ac:dyDescent="0.25">
      <c r="A482" s="143" t="s">
        <v>712</v>
      </c>
      <c r="B482" s="143" t="s">
        <v>220</v>
      </c>
      <c r="C482" s="143" t="s">
        <v>221</v>
      </c>
      <c r="D482" s="143" t="s">
        <v>69</v>
      </c>
      <c r="E482" s="257">
        <v>2531700</v>
      </c>
      <c r="F482" s="257">
        <v>2531700</v>
      </c>
      <c r="G482" s="257">
        <v>2531700</v>
      </c>
      <c r="H482" s="257">
        <v>2530600</v>
      </c>
      <c r="I482" s="257">
        <v>0</v>
      </c>
      <c r="J482" s="257">
        <v>0</v>
      </c>
      <c r="K482" s="257">
        <v>0</v>
      </c>
      <c r="L482" s="257">
        <v>0</v>
      </c>
      <c r="M482" s="279">
        <v>1100</v>
      </c>
      <c r="N482" s="257">
        <v>1100</v>
      </c>
    </row>
    <row r="483" spans="1:14" s="143" customFormat="1" hidden="1" x14ac:dyDescent="0.25">
      <c r="A483" s="143" t="s">
        <v>712</v>
      </c>
      <c r="B483" s="143" t="s">
        <v>224</v>
      </c>
      <c r="C483" s="143" t="s">
        <v>225</v>
      </c>
      <c r="D483" s="143" t="s">
        <v>69</v>
      </c>
      <c r="E483" s="257">
        <v>525000</v>
      </c>
      <c r="F483" s="257">
        <v>525000</v>
      </c>
      <c r="G483" s="257">
        <v>525000</v>
      </c>
      <c r="H483" s="257">
        <v>468000</v>
      </c>
      <c r="I483" s="257">
        <v>0</v>
      </c>
      <c r="J483" s="257">
        <v>0</v>
      </c>
      <c r="K483" s="257">
        <v>0</v>
      </c>
      <c r="L483" s="257">
        <v>0</v>
      </c>
      <c r="M483" s="279">
        <v>57000</v>
      </c>
      <c r="N483" s="257">
        <v>57000</v>
      </c>
    </row>
    <row r="484" spans="1:14" s="143" customFormat="1" hidden="1" x14ac:dyDescent="0.25">
      <c r="A484" s="143" t="s">
        <v>712</v>
      </c>
      <c r="B484" s="143" t="s">
        <v>226</v>
      </c>
      <c r="C484" s="143" t="s">
        <v>227</v>
      </c>
      <c r="D484" s="143" t="s">
        <v>69</v>
      </c>
      <c r="E484" s="257">
        <v>2094900</v>
      </c>
      <c r="F484" s="257">
        <v>2094900</v>
      </c>
      <c r="G484" s="257">
        <v>2094900</v>
      </c>
      <c r="H484" s="257">
        <v>0</v>
      </c>
      <c r="I484" s="257">
        <v>0</v>
      </c>
      <c r="J484" s="257">
        <v>0</v>
      </c>
      <c r="K484" s="257">
        <v>0</v>
      </c>
      <c r="L484" s="257">
        <v>0</v>
      </c>
      <c r="M484" s="279">
        <v>2094900</v>
      </c>
      <c r="N484" s="257">
        <v>2094900</v>
      </c>
    </row>
    <row r="485" spans="1:14" s="143" customFormat="1" hidden="1" x14ac:dyDescent="0.25">
      <c r="A485" s="143" t="s">
        <v>712</v>
      </c>
      <c r="B485" s="143" t="s">
        <v>228</v>
      </c>
      <c r="C485" s="143" t="s">
        <v>229</v>
      </c>
      <c r="D485" s="143" t="s">
        <v>69</v>
      </c>
      <c r="E485" s="257">
        <v>4500</v>
      </c>
      <c r="F485" s="257">
        <v>4500</v>
      </c>
      <c r="G485" s="257">
        <v>4500</v>
      </c>
      <c r="H485" s="257">
        <v>0</v>
      </c>
      <c r="I485" s="257">
        <v>0</v>
      </c>
      <c r="J485" s="257">
        <v>0</v>
      </c>
      <c r="K485" s="257">
        <v>0</v>
      </c>
      <c r="L485" s="257">
        <v>0</v>
      </c>
      <c r="M485" s="279">
        <v>4500</v>
      </c>
      <c r="N485" s="257">
        <v>4500</v>
      </c>
    </row>
    <row r="486" spans="1:14" s="143" customFormat="1" hidden="1" x14ac:dyDescent="0.25">
      <c r="A486" s="143" t="s">
        <v>712</v>
      </c>
      <c r="B486" s="143" t="s">
        <v>230</v>
      </c>
      <c r="C486" s="143" t="s">
        <v>231</v>
      </c>
      <c r="D486" s="143" t="s">
        <v>85</v>
      </c>
      <c r="E486" s="257">
        <v>10612500</v>
      </c>
      <c r="F486" s="257">
        <v>10612500</v>
      </c>
      <c r="G486" s="257">
        <v>10612500</v>
      </c>
      <c r="H486" s="257">
        <v>5960000</v>
      </c>
      <c r="I486" s="257">
        <v>0</v>
      </c>
      <c r="J486" s="257">
        <v>0</v>
      </c>
      <c r="K486" s="257">
        <v>0</v>
      </c>
      <c r="L486" s="257">
        <v>0</v>
      </c>
      <c r="M486" s="279">
        <v>4652500</v>
      </c>
      <c r="N486" s="257">
        <v>4652500</v>
      </c>
    </row>
    <row r="487" spans="1:14" s="143" customFormat="1" hidden="1" x14ac:dyDescent="0.25">
      <c r="A487" s="143" t="s">
        <v>712</v>
      </c>
      <c r="B487" s="143" t="s">
        <v>232</v>
      </c>
      <c r="C487" s="143" t="s">
        <v>233</v>
      </c>
      <c r="D487" s="143" t="s">
        <v>85</v>
      </c>
      <c r="E487" s="257">
        <v>10612500</v>
      </c>
      <c r="F487" s="257">
        <v>10612500</v>
      </c>
      <c r="G487" s="257">
        <v>10612500</v>
      </c>
      <c r="H487" s="257">
        <v>5960000</v>
      </c>
      <c r="I487" s="257">
        <v>0</v>
      </c>
      <c r="J487" s="257">
        <v>0</v>
      </c>
      <c r="K487" s="257">
        <v>0</v>
      </c>
      <c r="L487" s="257">
        <v>0</v>
      </c>
      <c r="M487" s="279">
        <v>4652500</v>
      </c>
      <c r="N487" s="257">
        <v>4652500</v>
      </c>
    </row>
    <row r="488" spans="1:14" s="143" customFormat="1" hidden="1" x14ac:dyDescent="0.25">
      <c r="A488" s="143" t="s">
        <v>712</v>
      </c>
      <c r="B488" s="143" t="s">
        <v>234</v>
      </c>
      <c r="C488" s="143" t="s">
        <v>235</v>
      </c>
      <c r="D488" s="143" t="s">
        <v>85</v>
      </c>
      <c r="E488" s="257">
        <v>6650000</v>
      </c>
      <c r="F488" s="257">
        <v>6650000</v>
      </c>
      <c r="G488" s="257">
        <v>6650000</v>
      </c>
      <c r="H488" s="257">
        <v>5960000</v>
      </c>
      <c r="I488" s="257">
        <v>0</v>
      </c>
      <c r="J488" s="257">
        <v>0</v>
      </c>
      <c r="K488" s="257">
        <v>0</v>
      </c>
      <c r="L488" s="257">
        <v>0</v>
      </c>
      <c r="M488" s="279">
        <v>690000</v>
      </c>
      <c r="N488" s="257">
        <v>690000</v>
      </c>
    </row>
    <row r="489" spans="1:14" s="143" customFormat="1" hidden="1" x14ac:dyDescent="0.25">
      <c r="A489" s="143" t="s">
        <v>712</v>
      </c>
      <c r="B489" s="143" t="s">
        <v>326</v>
      </c>
      <c r="C489" s="143" t="s">
        <v>327</v>
      </c>
      <c r="D489" s="143" t="s">
        <v>85</v>
      </c>
      <c r="E489" s="257">
        <v>760000</v>
      </c>
      <c r="F489" s="257">
        <v>760000</v>
      </c>
      <c r="G489" s="257">
        <v>760000</v>
      </c>
      <c r="H489" s="257">
        <v>0</v>
      </c>
      <c r="I489" s="257">
        <v>0</v>
      </c>
      <c r="J489" s="257">
        <v>0</v>
      </c>
      <c r="K489" s="257">
        <v>0</v>
      </c>
      <c r="L489" s="257">
        <v>0</v>
      </c>
      <c r="M489" s="279">
        <v>760000</v>
      </c>
      <c r="N489" s="257">
        <v>760000</v>
      </c>
    </row>
    <row r="490" spans="1:14" s="143" customFormat="1" hidden="1" x14ac:dyDescent="0.25">
      <c r="A490" s="143" t="s">
        <v>712</v>
      </c>
      <c r="B490" s="143" t="s">
        <v>242</v>
      </c>
      <c r="C490" s="143" t="s">
        <v>243</v>
      </c>
      <c r="D490" s="143" t="s">
        <v>85</v>
      </c>
      <c r="E490" s="257">
        <v>3202500</v>
      </c>
      <c r="F490" s="257">
        <v>3202500</v>
      </c>
      <c r="G490" s="257">
        <v>3202500</v>
      </c>
      <c r="H490" s="257">
        <v>0</v>
      </c>
      <c r="I490" s="257">
        <v>0</v>
      </c>
      <c r="J490" s="257">
        <v>0</v>
      </c>
      <c r="K490" s="257">
        <v>0</v>
      </c>
      <c r="L490" s="257">
        <v>0</v>
      </c>
      <c r="M490" s="279">
        <v>3202500</v>
      </c>
      <c r="N490" s="257">
        <v>3202500</v>
      </c>
    </row>
    <row r="491" spans="1:14" s="143" customFormat="1" hidden="1" x14ac:dyDescent="0.25">
      <c r="A491" s="143" t="s">
        <v>712</v>
      </c>
      <c r="B491" s="143" t="s">
        <v>248</v>
      </c>
      <c r="C491" s="143" t="s">
        <v>249</v>
      </c>
      <c r="D491" s="143" t="s">
        <v>69</v>
      </c>
      <c r="E491" s="257">
        <v>21838204</v>
      </c>
      <c r="F491" s="257">
        <v>21838204</v>
      </c>
      <c r="G491" s="257">
        <v>21337973</v>
      </c>
      <c r="H491" s="257">
        <v>0</v>
      </c>
      <c r="I491" s="257">
        <v>12870349</v>
      </c>
      <c r="J491" s="257">
        <v>0</v>
      </c>
      <c r="K491" s="257">
        <v>4146783</v>
      </c>
      <c r="L491" s="257">
        <v>4146783</v>
      </c>
      <c r="M491" s="279">
        <v>4821072</v>
      </c>
      <c r="N491" s="257">
        <v>4320841</v>
      </c>
    </row>
    <row r="492" spans="1:14" s="143" customFormat="1" hidden="1" x14ac:dyDescent="0.25">
      <c r="A492" s="143" t="s">
        <v>712</v>
      </c>
      <c r="B492" s="143" t="s">
        <v>250</v>
      </c>
      <c r="C492" s="143" t="s">
        <v>251</v>
      </c>
      <c r="D492" s="143" t="s">
        <v>69</v>
      </c>
      <c r="E492" s="257">
        <v>16338204</v>
      </c>
      <c r="F492" s="257">
        <v>16338204</v>
      </c>
      <c r="G492" s="257">
        <v>15837973</v>
      </c>
      <c r="H492" s="257">
        <v>0</v>
      </c>
      <c r="I492" s="257">
        <v>12870349</v>
      </c>
      <c r="J492" s="257">
        <v>0</v>
      </c>
      <c r="K492" s="257">
        <v>3467855</v>
      </c>
      <c r="L492" s="257">
        <v>3467855</v>
      </c>
      <c r="M492" s="279">
        <v>0</v>
      </c>
      <c r="N492" s="275">
        <v>-500231</v>
      </c>
    </row>
    <row r="493" spans="1:14" s="143" customFormat="1" hidden="1" x14ac:dyDescent="0.25">
      <c r="A493" s="143" t="s">
        <v>712</v>
      </c>
      <c r="B493" s="143" t="s">
        <v>631</v>
      </c>
      <c r="C493" s="143" t="s">
        <v>702</v>
      </c>
      <c r="D493" s="143" t="s">
        <v>69</v>
      </c>
      <c r="E493" s="257">
        <v>13877686</v>
      </c>
      <c r="F493" s="257">
        <v>13877686</v>
      </c>
      <c r="G493" s="257">
        <v>13452790</v>
      </c>
      <c r="H493" s="257">
        <v>0</v>
      </c>
      <c r="I493" s="257">
        <v>10951147</v>
      </c>
      <c r="J493" s="257">
        <v>0</v>
      </c>
      <c r="K493" s="257">
        <v>2926539</v>
      </c>
      <c r="L493" s="257">
        <v>2926539</v>
      </c>
      <c r="M493" s="279">
        <v>0</v>
      </c>
      <c r="N493" s="275">
        <v>-424896</v>
      </c>
    </row>
    <row r="494" spans="1:14" s="143" customFormat="1" hidden="1" x14ac:dyDescent="0.25">
      <c r="A494" s="143" t="s">
        <v>712</v>
      </c>
      <c r="B494" s="143" t="s">
        <v>646</v>
      </c>
      <c r="C494" s="143" t="s">
        <v>703</v>
      </c>
      <c r="D494" s="143" t="s">
        <v>69</v>
      </c>
      <c r="E494" s="257">
        <v>2460518</v>
      </c>
      <c r="F494" s="257">
        <v>2460518</v>
      </c>
      <c r="G494" s="257">
        <v>2385183</v>
      </c>
      <c r="H494" s="257">
        <v>0</v>
      </c>
      <c r="I494" s="257">
        <v>1919202</v>
      </c>
      <c r="J494" s="257">
        <v>0</v>
      </c>
      <c r="K494" s="257">
        <v>541316</v>
      </c>
      <c r="L494" s="257">
        <v>541316</v>
      </c>
      <c r="M494" s="279">
        <v>0</v>
      </c>
      <c r="N494" s="275">
        <v>-75335</v>
      </c>
    </row>
    <row r="495" spans="1:14" s="143" customFormat="1" hidden="1" x14ac:dyDescent="0.25">
      <c r="A495" s="143" t="s">
        <v>712</v>
      </c>
      <c r="B495" s="143" t="s">
        <v>260</v>
      </c>
      <c r="C495" s="143" t="s">
        <v>261</v>
      </c>
      <c r="D495" s="143" t="s">
        <v>69</v>
      </c>
      <c r="E495" s="257">
        <v>5500000</v>
      </c>
      <c r="F495" s="257">
        <v>5500000</v>
      </c>
      <c r="G495" s="257">
        <v>5500000</v>
      </c>
      <c r="H495" s="257">
        <v>0</v>
      </c>
      <c r="I495" s="257">
        <v>0</v>
      </c>
      <c r="J495" s="257">
        <v>0</v>
      </c>
      <c r="K495" s="257">
        <v>678928</v>
      </c>
      <c r="L495" s="257">
        <v>678928</v>
      </c>
      <c r="M495" s="279">
        <v>4821072</v>
      </c>
      <c r="N495" s="257">
        <v>4821072</v>
      </c>
    </row>
    <row r="496" spans="1:14" s="143" customFormat="1" hidden="1" x14ac:dyDescent="0.25">
      <c r="A496" s="143" t="s">
        <v>712</v>
      </c>
      <c r="B496" s="143" t="s">
        <v>264</v>
      </c>
      <c r="C496" s="143" t="s">
        <v>265</v>
      </c>
      <c r="D496" s="143" t="s">
        <v>69</v>
      </c>
      <c r="E496" s="257">
        <v>5500000</v>
      </c>
      <c r="F496" s="257">
        <v>5500000</v>
      </c>
      <c r="G496" s="257">
        <v>5500000</v>
      </c>
      <c r="H496" s="257">
        <v>0</v>
      </c>
      <c r="I496" s="257">
        <v>0</v>
      </c>
      <c r="J496" s="257">
        <v>0</v>
      </c>
      <c r="K496" s="257">
        <v>678928</v>
      </c>
      <c r="L496" s="257">
        <v>678928</v>
      </c>
      <c r="M496" s="279">
        <v>4821072</v>
      </c>
      <c r="N496" s="257">
        <v>4821072</v>
      </c>
    </row>
    <row r="497" spans="1:14" s="143" customFormat="1" x14ac:dyDescent="0.25">
      <c r="A497" s="454">
        <v>214789003</v>
      </c>
      <c r="D497" s="454" t="s">
        <v>69</v>
      </c>
      <c r="E497" s="257">
        <v>1434240030</v>
      </c>
      <c r="F497" s="272">
        <v>1434240030</v>
      </c>
      <c r="G497" s="257">
        <v>1294169993</v>
      </c>
      <c r="H497" s="269">
        <v>0</v>
      </c>
      <c r="I497" s="274">
        <v>166851978.84999999</v>
      </c>
      <c r="J497" s="274">
        <v>5855721.7699999996</v>
      </c>
      <c r="K497" s="274">
        <v>326685438.55000001</v>
      </c>
      <c r="L497" s="274">
        <v>313360710.25</v>
      </c>
      <c r="M497" s="273">
        <v>934846890.83000004</v>
      </c>
      <c r="N497" s="257">
        <v>794776853.83000004</v>
      </c>
    </row>
    <row r="498" spans="1:14" s="143" customFormat="1" hidden="1" x14ac:dyDescent="0.25">
      <c r="A498" s="143" t="s">
        <v>713</v>
      </c>
      <c r="B498" s="143" t="s">
        <v>71</v>
      </c>
      <c r="C498" s="143" t="s">
        <v>72</v>
      </c>
      <c r="D498" s="143" t="s">
        <v>69</v>
      </c>
      <c r="E498" s="257">
        <v>1171265212</v>
      </c>
      <c r="F498" s="257">
        <v>1171265212</v>
      </c>
      <c r="G498" s="257">
        <v>1152605746</v>
      </c>
      <c r="H498" s="257">
        <v>0</v>
      </c>
      <c r="I498" s="257">
        <v>141172311</v>
      </c>
      <c r="J498" s="257">
        <v>0</v>
      </c>
      <c r="K498" s="257">
        <v>290371189.20999998</v>
      </c>
      <c r="L498" s="257">
        <v>290371189.20999998</v>
      </c>
      <c r="M498" s="279">
        <v>739721711.78999996</v>
      </c>
      <c r="N498" s="257">
        <v>721062245.78999996</v>
      </c>
    </row>
    <row r="499" spans="1:14" s="143" customFormat="1" hidden="1" x14ac:dyDescent="0.25">
      <c r="A499" s="143" t="s">
        <v>713</v>
      </c>
      <c r="B499" s="143" t="s">
        <v>73</v>
      </c>
      <c r="C499" s="143" t="s">
        <v>74</v>
      </c>
      <c r="D499" s="143" t="s">
        <v>69</v>
      </c>
      <c r="E499" s="257">
        <v>419650432</v>
      </c>
      <c r="F499" s="257">
        <v>419650432</v>
      </c>
      <c r="G499" s="257">
        <v>414102244</v>
      </c>
      <c r="H499" s="257">
        <v>0</v>
      </c>
      <c r="I499" s="257">
        <v>0</v>
      </c>
      <c r="J499" s="257">
        <v>0</v>
      </c>
      <c r="K499" s="257">
        <v>98102688.219999999</v>
      </c>
      <c r="L499" s="257">
        <v>98102688.219999999</v>
      </c>
      <c r="M499" s="279">
        <v>321547743.77999997</v>
      </c>
      <c r="N499" s="257">
        <v>315999555.77999997</v>
      </c>
    </row>
    <row r="500" spans="1:14" s="143" customFormat="1" hidden="1" x14ac:dyDescent="0.25">
      <c r="A500" s="143" t="s">
        <v>713</v>
      </c>
      <c r="B500" s="143" t="s">
        <v>75</v>
      </c>
      <c r="C500" s="143" t="s">
        <v>76</v>
      </c>
      <c r="D500" s="143" t="s">
        <v>69</v>
      </c>
      <c r="E500" s="257">
        <v>419650432</v>
      </c>
      <c r="F500" s="257">
        <v>419650432</v>
      </c>
      <c r="G500" s="257">
        <v>414102244</v>
      </c>
      <c r="H500" s="257">
        <v>0</v>
      </c>
      <c r="I500" s="257">
        <v>0</v>
      </c>
      <c r="J500" s="257">
        <v>0</v>
      </c>
      <c r="K500" s="257">
        <v>98102688.219999999</v>
      </c>
      <c r="L500" s="257">
        <v>98102688.219999999</v>
      </c>
      <c r="M500" s="279">
        <v>321547743.77999997</v>
      </c>
      <c r="N500" s="257">
        <v>315999555.77999997</v>
      </c>
    </row>
    <row r="501" spans="1:14" s="143" customFormat="1" hidden="1" x14ac:dyDescent="0.25">
      <c r="A501" s="143" t="s">
        <v>713</v>
      </c>
      <c r="B501" s="143" t="s">
        <v>293</v>
      </c>
      <c r="C501" s="143" t="s">
        <v>294</v>
      </c>
      <c r="D501" s="143" t="s">
        <v>69</v>
      </c>
      <c r="E501" s="257">
        <v>5204100</v>
      </c>
      <c r="F501" s="257">
        <v>5204100</v>
      </c>
      <c r="G501" s="257">
        <v>5204100</v>
      </c>
      <c r="H501" s="257">
        <v>0</v>
      </c>
      <c r="I501" s="257">
        <v>0</v>
      </c>
      <c r="J501" s="257">
        <v>0</v>
      </c>
      <c r="K501" s="257">
        <v>0</v>
      </c>
      <c r="L501" s="257">
        <v>0</v>
      </c>
      <c r="M501" s="279">
        <v>5204100</v>
      </c>
      <c r="N501" s="257">
        <v>5204100</v>
      </c>
    </row>
    <row r="502" spans="1:14" s="143" customFormat="1" hidden="1" x14ac:dyDescent="0.25">
      <c r="A502" s="143" t="s">
        <v>713</v>
      </c>
      <c r="B502" s="143" t="s">
        <v>339</v>
      </c>
      <c r="C502" s="143" t="s">
        <v>340</v>
      </c>
      <c r="D502" s="143" t="s">
        <v>69</v>
      </c>
      <c r="E502" s="257">
        <v>5204100</v>
      </c>
      <c r="F502" s="257">
        <v>5204100</v>
      </c>
      <c r="G502" s="257">
        <v>5204100</v>
      </c>
      <c r="H502" s="257">
        <v>0</v>
      </c>
      <c r="I502" s="257">
        <v>0</v>
      </c>
      <c r="J502" s="257">
        <v>0</v>
      </c>
      <c r="K502" s="257">
        <v>0</v>
      </c>
      <c r="L502" s="257">
        <v>0</v>
      </c>
      <c r="M502" s="279">
        <v>5204100</v>
      </c>
      <c r="N502" s="257">
        <v>5204100</v>
      </c>
    </row>
    <row r="503" spans="1:14" s="143" customFormat="1" hidden="1" x14ac:dyDescent="0.25">
      <c r="A503" s="143" t="s">
        <v>713</v>
      </c>
      <c r="B503" s="143" t="s">
        <v>77</v>
      </c>
      <c r="C503" s="143" t="s">
        <v>78</v>
      </c>
      <c r="D503" s="143" t="s">
        <v>69</v>
      </c>
      <c r="E503" s="257">
        <v>567738543</v>
      </c>
      <c r="F503" s="257">
        <v>567738543</v>
      </c>
      <c r="G503" s="257">
        <v>557473696</v>
      </c>
      <c r="H503" s="257">
        <v>0</v>
      </c>
      <c r="I503" s="257">
        <v>0</v>
      </c>
      <c r="J503" s="257">
        <v>0</v>
      </c>
      <c r="K503" s="257">
        <v>154768674.99000001</v>
      </c>
      <c r="L503" s="257">
        <v>154768674.99000001</v>
      </c>
      <c r="M503" s="279">
        <v>412969868.00999999</v>
      </c>
      <c r="N503" s="257">
        <v>402705021.00999999</v>
      </c>
    </row>
    <row r="504" spans="1:14" s="143" customFormat="1" hidden="1" x14ac:dyDescent="0.25">
      <c r="A504" s="143" t="s">
        <v>713</v>
      </c>
      <c r="B504" s="143" t="s">
        <v>79</v>
      </c>
      <c r="C504" s="143" t="s">
        <v>80</v>
      </c>
      <c r="D504" s="143" t="s">
        <v>69</v>
      </c>
      <c r="E504" s="257">
        <v>176537100</v>
      </c>
      <c r="F504" s="257">
        <v>176537100</v>
      </c>
      <c r="G504" s="257">
        <v>170058581</v>
      </c>
      <c r="H504" s="257">
        <v>0</v>
      </c>
      <c r="I504" s="257">
        <v>0</v>
      </c>
      <c r="J504" s="257">
        <v>0</v>
      </c>
      <c r="K504" s="257">
        <v>37514443.109999999</v>
      </c>
      <c r="L504" s="257">
        <v>37514443.109999999</v>
      </c>
      <c r="M504" s="279">
        <v>139022656.88999999</v>
      </c>
      <c r="N504" s="257">
        <v>132544137.89</v>
      </c>
    </row>
    <row r="505" spans="1:14" s="143" customFormat="1" hidden="1" x14ac:dyDescent="0.25">
      <c r="A505" s="143" t="s">
        <v>713</v>
      </c>
      <c r="B505" s="143" t="s">
        <v>81</v>
      </c>
      <c r="C505" s="143" t="s">
        <v>82</v>
      </c>
      <c r="D505" s="143" t="s">
        <v>69</v>
      </c>
      <c r="E505" s="257">
        <v>145353690</v>
      </c>
      <c r="F505" s="257">
        <v>145353690</v>
      </c>
      <c r="G505" s="257">
        <v>142783300</v>
      </c>
      <c r="H505" s="257">
        <v>0</v>
      </c>
      <c r="I505" s="257">
        <v>0</v>
      </c>
      <c r="J505" s="257">
        <v>0</v>
      </c>
      <c r="K505" s="257">
        <v>31401227.059999999</v>
      </c>
      <c r="L505" s="257">
        <v>31401227.059999999</v>
      </c>
      <c r="M505" s="279">
        <v>113952462.94</v>
      </c>
      <c r="N505" s="257">
        <v>111382072.94</v>
      </c>
    </row>
    <row r="506" spans="1:14" s="143" customFormat="1" hidden="1" x14ac:dyDescent="0.25">
      <c r="A506" s="143" t="s">
        <v>713</v>
      </c>
      <c r="B506" s="143" t="s">
        <v>83</v>
      </c>
      <c r="C506" s="143" t="s">
        <v>84</v>
      </c>
      <c r="D506" s="143" t="s">
        <v>85</v>
      </c>
      <c r="E506" s="257">
        <v>76324653</v>
      </c>
      <c r="F506" s="257">
        <v>76324653</v>
      </c>
      <c r="G506" s="257">
        <v>75108715</v>
      </c>
      <c r="H506" s="257">
        <v>0</v>
      </c>
      <c r="I506" s="257">
        <v>0</v>
      </c>
      <c r="J506" s="257">
        <v>0</v>
      </c>
      <c r="K506" s="257">
        <v>0</v>
      </c>
      <c r="L506" s="257">
        <v>0</v>
      </c>
      <c r="M506" s="279">
        <v>76324653</v>
      </c>
      <c r="N506" s="257">
        <v>75108715</v>
      </c>
    </row>
    <row r="507" spans="1:14" s="143" customFormat="1" hidden="1" x14ac:dyDescent="0.25">
      <c r="A507" s="143" t="s">
        <v>713</v>
      </c>
      <c r="B507" s="143" t="s">
        <v>86</v>
      </c>
      <c r="C507" s="143" t="s">
        <v>87</v>
      </c>
      <c r="D507" s="143" t="s">
        <v>69</v>
      </c>
      <c r="E507" s="257">
        <v>70126000</v>
      </c>
      <c r="F507" s="257">
        <v>70126000</v>
      </c>
      <c r="G507" s="257">
        <v>70126000</v>
      </c>
      <c r="H507" s="257">
        <v>0</v>
      </c>
      <c r="I507" s="257">
        <v>0</v>
      </c>
      <c r="J507" s="257">
        <v>0</v>
      </c>
      <c r="K507" s="257">
        <v>62351269.950000003</v>
      </c>
      <c r="L507" s="257">
        <v>62351269.950000003</v>
      </c>
      <c r="M507" s="279">
        <v>7774730.0499999998</v>
      </c>
      <c r="N507" s="257">
        <v>7774730.0499999998</v>
      </c>
    </row>
    <row r="508" spans="1:14" s="143" customFormat="1" hidden="1" x14ac:dyDescent="0.25">
      <c r="A508" s="143" t="s">
        <v>713</v>
      </c>
      <c r="B508" s="143" t="s">
        <v>88</v>
      </c>
      <c r="C508" s="143" t="s">
        <v>89</v>
      </c>
      <c r="D508" s="143" t="s">
        <v>69</v>
      </c>
      <c r="E508" s="257">
        <v>99397100</v>
      </c>
      <c r="F508" s="257">
        <v>99397100</v>
      </c>
      <c r="G508" s="257">
        <v>99397100</v>
      </c>
      <c r="H508" s="257">
        <v>0</v>
      </c>
      <c r="I508" s="257">
        <v>0</v>
      </c>
      <c r="J508" s="257">
        <v>0</v>
      </c>
      <c r="K508" s="257">
        <v>23501734.870000001</v>
      </c>
      <c r="L508" s="257">
        <v>23501734.870000001</v>
      </c>
      <c r="M508" s="279">
        <v>75895365.129999995</v>
      </c>
      <c r="N508" s="257">
        <v>75895365.129999995</v>
      </c>
    </row>
    <row r="509" spans="1:14" s="143" customFormat="1" hidden="1" x14ac:dyDescent="0.25">
      <c r="A509" s="143" t="s">
        <v>713</v>
      </c>
      <c r="B509" s="143" t="s">
        <v>90</v>
      </c>
      <c r="C509" s="143" t="s">
        <v>91</v>
      </c>
      <c r="D509" s="143" t="s">
        <v>69</v>
      </c>
      <c r="E509" s="257">
        <v>89336069</v>
      </c>
      <c r="F509" s="257">
        <v>89336069</v>
      </c>
      <c r="G509" s="257">
        <v>87912853</v>
      </c>
      <c r="H509" s="257">
        <v>0</v>
      </c>
      <c r="I509" s="257">
        <v>70532314</v>
      </c>
      <c r="J509" s="257">
        <v>0</v>
      </c>
      <c r="K509" s="257">
        <v>18803755</v>
      </c>
      <c r="L509" s="257">
        <v>18803755</v>
      </c>
      <c r="M509" s="279">
        <v>0</v>
      </c>
      <c r="N509" s="275">
        <v>-1423216</v>
      </c>
    </row>
    <row r="510" spans="1:14" s="143" customFormat="1" hidden="1" x14ac:dyDescent="0.25">
      <c r="A510" s="143" t="s">
        <v>713</v>
      </c>
      <c r="B510" s="143" t="s">
        <v>423</v>
      </c>
      <c r="C510" s="143" t="s">
        <v>697</v>
      </c>
      <c r="D510" s="143" t="s">
        <v>69</v>
      </c>
      <c r="E510" s="257">
        <v>84754804</v>
      </c>
      <c r="F510" s="257">
        <v>84754804</v>
      </c>
      <c r="G510" s="257">
        <v>83404573</v>
      </c>
      <c r="H510" s="257">
        <v>0</v>
      </c>
      <c r="I510" s="257">
        <v>66915344</v>
      </c>
      <c r="J510" s="257">
        <v>0</v>
      </c>
      <c r="K510" s="257">
        <v>17839460</v>
      </c>
      <c r="L510" s="257">
        <v>17839460</v>
      </c>
      <c r="M510" s="279">
        <v>0</v>
      </c>
      <c r="N510" s="275">
        <v>-1350231</v>
      </c>
    </row>
    <row r="511" spans="1:14" s="143" customFormat="1" hidden="1" x14ac:dyDescent="0.25">
      <c r="A511" s="143" t="s">
        <v>713</v>
      </c>
      <c r="B511" s="143" t="s">
        <v>440</v>
      </c>
      <c r="C511" s="143" t="s">
        <v>95</v>
      </c>
      <c r="D511" s="143" t="s">
        <v>69</v>
      </c>
      <c r="E511" s="257">
        <v>4581265</v>
      </c>
      <c r="F511" s="257">
        <v>4581265</v>
      </c>
      <c r="G511" s="257">
        <v>4508280</v>
      </c>
      <c r="H511" s="257">
        <v>0</v>
      </c>
      <c r="I511" s="257">
        <v>3616970</v>
      </c>
      <c r="J511" s="257">
        <v>0</v>
      </c>
      <c r="K511" s="257">
        <v>964295</v>
      </c>
      <c r="L511" s="257">
        <v>964295</v>
      </c>
      <c r="M511" s="279">
        <v>0</v>
      </c>
      <c r="N511" s="275">
        <v>-72985</v>
      </c>
    </row>
    <row r="512" spans="1:14" s="143" customFormat="1" hidden="1" x14ac:dyDescent="0.25">
      <c r="A512" s="143" t="s">
        <v>713</v>
      </c>
      <c r="B512" s="143" t="s">
        <v>96</v>
      </c>
      <c r="C512" s="143" t="s">
        <v>97</v>
      </c>
      <c r="D512" s="143" t="s">
        <v>69</v>
      </c>
      <c r="E512" s="257">
        <v>89336068</v>
      </c>
      <c r="F512" s="257">
        <v>89336068</v>
      </c>
      <c r="G512" s="257">
        <v>87912853</v>
      </c>
      <c r="H512" s="257">
        <v>0</v>
      </c>
      <c r="I512" s="257">
        <v>70639997</v>
      </c>
      <c r="J512" s="257">
        <v>0</v>
      </c>
      <c r="K512" s="257">
        <v>18696071</v>
      </c>
      <c r="L512" s="257">
        <v>18696071</v>
      </c>
      <c r="M512" s="279">
        <v>0</v>
      </c>
      <c r="N512" s="275">
        <v>-1423215</v>
      </c>
    </row>
    <row r="513" spans="1:14" s="143" customFormat="1" hidden="1" x14ac:dyDescent="0.25">
      <c r="A513" s="143" t="s">
        <v>713</v>
      </c>
      <c r="B513" s="143" t="s">
        <v>458</v>
      </c>
      <c r="C513" s="143" t="s">
        <v>698</v>
      </c>
      <c r="D513" s="143" t="s">
        <v>69</v>
      </c>
      <c r="E513" s="257">
        <v>48104083</v>
      </c>
      <c r="F513" s="257">
        <v>48104083</v>
      </c>
      <c r="G513" s="257">
        <v>47337736</v>
      </c>
      <c r="H513" s="257">
        <v>0</v>
      </c>
      <c r="I513" s="257">
        <v>38086668</v>
      </c>
      <c r="J513" s="257">
        <v>0</v>
      </c>
      <c r="K513" s="257">
        <v>10017415</v>
      </c>
      <c r="L513" s="257">
        <v>10017415</v>
      </c>
      <c r="M513" s="279">
        <v>0</v>
      </c>
      <c r="N513" s="275">
        <v>-766347</v>
      </c>
    </row>
    <row r="514" spans="1:14" s="143" customFormat="1" hidden="1" x14ac:dyDescent="0.25">
      <c r="A514" s="143" t="s">
        <v>713</v>
      </c>
      <c r="B514" s="143" t="s">
        <v>475</v>
      </c>
      <c r="C514" s="143" t="s">
        <v>699</v>
      </c>
      <c r="D514" s="143" t="s">
        <v>69</v>
      </c>
      <c r="E514" s="257">
        <v>13743995</v>
      </c>
      <c r="F514" s="257">
        <v>13743995</v>
      </c>
      <c r="G514" s="257">
        <v>13525039</v>
      </c>
      <c r="H514" s="257">
        <v>0</v>
      </c>
      <c r="I514" s="257">
        <v>10851110</v>
      </c>
      <c r="J514" s="257">
        <v>0</v>
      </c>
      <c r="K514" s="257">
        <v>2892885</v>
      </c>
      <c r="L514" s="257">
        <v>2892885</v>
      </c>
      <c r="M514" s="279">
        <v>0</v>
      </c>
      <c r="N514" s="275">
        <v>-218956</v>
      </c>
    </row>
    <row r="515" spans="1:14" s="143" customFormat="1" hidden="1" x14ac:dyDescent="0.25">
      <c r="A515" s="143" t="s">
        <v>713</v>
      </c>
      <c r="B515" s="143" t="s">
        <v>492</v>
      </c>
      <c r="C515" s="143" t="s">
        <v>700</v>
      </c>
      <c r="D515" s="143" t="s">
        <v>69</v>
      </c>
      <c r="E515" s="257">
        <v>27487990</v>
      </c>
      <c r="F515" s="257">
        <v>27487990</v>
      </c>
      <c r="G515" s="257">
        <v>27050078</v>
      </c>
      <c r="H515" s="257">
        <v>0</v>
      </c>
      <c r="I515" s="257">
        <v>21702219</v>
      </c>
      <c r="J515" s="257">
        <v>0</v>
      </c>
      <c r="K515" s="257">
        <v>5785771</v>
      </c>
      <c r="L515" s="257">
        <v>5785771</v>
      </c>
      <c r="M515" s="279">
        <v>0</v>
      </c>
      <c r="N515" s="275">
        <v>-437912</v>
      </c>
    </row>
    <row r="516" spans="1:14" s="143" customFormat="1" hidden="1" x14ac:dyDescent="0.25">
      <c r="A516" s="143" t="s">
        <v>713</v>
      </c>
      <c r="B516" s="143" t="s">
        <v>104</v>
      </c>
      <c r="C516" s="143" t="s">
        <v>105</v>
      </c>
      <c r="D516" s="143" t="s">
        <v>69</v>
      </c>
      <c r="E516" s="257">
        <v>92630000</v>
      </c>
      <c r="F516" s="257">
        <v>92630000</v>
      </c>
      <c r="G516" s="257">
        <v>46915000</v>
      </c>
      <c r="H516" s="257">
        <v>0</v>
      </c>
      <c r="I516" s="257">
        <v>11253271.699999999</v>
      </c>
      <c r="J516" s="257">
        <v>0</v>
      </c>
      <c r="K516" s="257">
        <v>11076728.300000001</v>
      </c>
      <c r="L516" s="257">
        <v>4218055</v>
      </c>
      <c r="M516" s="279">
        <v>70300000</v>
      </c>
      <c r="N516" s="257">
        <v>24585000</v>
      </c>
    </row>
    <row r="517" spans="1:14" s="143" customFormat="1" hidden="1" x14ac:dyDescent="0.25">
      <c r="A517" s="143" t="s">
        <v>713</v>
      </c>
      <c r="B517" s="143" t="s">
        <v>112</v>
      </c>
      <c r="C517" s="143" t="s">
        <v>113</v>
      </c>
      <c r="D517" s="143" t="s">
        <v>69</v>
      </c>
      <c r="E517" s="257">
        <v>92630000</v>
      </c>
      <c r="F517" s="257">
        <v>92630000</v>
      </c>
      <c r="G517" s="257">
        <v>46915000</v>
      </c>
      <c r="H517" s="257">
        <v>0</v>
      </c>
      <c r="I517" s="257">
        <v>11253271.699999999</v>
      </c>
      <c r="J517" s="257">
        <v>0</v>
      </c>
      <c r="K517" s="257">
        <v>11076728.300000001</v>
      </c>
      <c r="L517" s="257">
        <v>4218055</v>
      </c>
      <c r="M517" s="279">
        <v>70300000</v>
      </c>
      <c r="N517" s="257">
        <v>24585000</v>
      </c>
    </row>
    <row r="518" spans="1:14" s="143" customFormat="1" hidden="1" x14ac:dyDescent="0.25">
      <c r="A518" s="143" t="s">
        <v>713</v>
      </c>
      <c r="B518" s="143" t="s">
        <v>114</v>
      </c>
      <c r="C518" s="143" t="s">
        <v>115</v>
      </c>
      <c r="D518" s="143" t="s">
        <v>69</v>
      </c>
      <c r="E518" s="257">
        <v>54520000</v>
      </c>
      <c r="F518" s="257">
        <v>54520000</v>
      </c>
      <c r="G518" s="257">
        <v>27360000</v>
      </c>
      <c r="H518" s="257">
        <v>0</v>
      </c>
      <c r="I518" s="257">
        <v>5326747</v>
      </c>
      <c r="J518" s="257">
        <v>0</v>
      </c>
      <c r="K518" s="257">
        <v>8303253</v>
      </c>
      <c r="L518" s="257">
        <v>4218055</v>
      </c>
      <c r="M518" s="279">
        <v>40890000</v>
      </c>
      <c r="N518" s="257">
        <v>13730000</v>
      </c>
    </row>
    <row r="519" spans="1:14" s="143" customFormat="1" hidden="1" x14ac:dyDescent="0.25">
      <c r="A519" s="143" t="s">
        <v>713</v>
      </c>
      <c r="B519" s="143" t="s">
        <v>116</v>
      </c>
      <c r="C519" s="143" t="s">
        <v>117</v>
      </c>
      <c r="D519" s="143" t="s">
        <v>69</v>
      </c>
      <c r="E519" s="257">
        <v>34800000</v>
      </c>
      <c r="F519" s="257">
        <v>34800000</v>
      </c>
      <c r="G519" s="257">
        <v>17400000</v>
      </c>
      <c r="H519" s="257">
        <v>0</v>
      </c>
      <c r="I519" s="257">
        <v>5926524.7000000002</v>
      </c>
      <c r="J519" s="257">
        <v>0</v>
      </c>
      <c r="K519" s="257">
        <v>2773475.3</v>
      </c>
      <c r="L519" s="257">
        <v>0</v>
      </c>
      <c r="M519" s="279">
        <v>26100000</v>
      </c>
      <c r="N519" s="257">
        <v>8700000</v>
      </c>
    </row>
    <row r="520" spans="1:14" s="143" customFormat="1" hidden="1" x14ac:dyDescent="0.25">
      <c r="A520" s="143" t="s">
        <v>713</v>
      </c>
      <c r="B520" s="143" t="s">
        <v>120</v>
      </c>
      <c r="C520" s="143" t="s">
        <v>121</v>
      </c>
      <c r="D520" s="143" t="s">
        <v>69</v>
      </c>
      <c r="E520" s="257">
        <v>2310000</v>
      </c>
      <c r="F520" s="257">
        <v>2310000</v>
      </c>
      <c r="G520" s="257">
        <v>1155000</v>
      </c>
      <c r="H520" s="257">
        <v>0</v>
      </c>
      <c r="I520" s="257">
        <v>0</v>
      </c>
      <c r="J520" s="257">
        <v>0</v>
      </c>
      <c r="K520" s="257">
        <v>0</v>
      </c>
      <c r="L520" s="257">
        <v>0</v>
      </c>
      <c r="M520" s="279">
        <v>2310000</v>
      </c>
      <c r="N520" s="257">
        <v>1155000</v>
      </c>
    </row>
    <row r="521" spans="1:14" s="143" customFormat="1" hidden="1" x14ac:dyDescent="0.25">
      <c r="A521" s="143" t="s">
        <v>713</v>
      </c>
      <c r="B521" s="143" t="s">
        <v>122</v>
      </c>
      <c r="C521" s="143" t="s">
        <v>123</v>
      </c>
      <c r="D521" s="143" t="s">
        <v>69</v>
      </c>
      <c r="E521" s="257">
        <v>1000000</v>
      </c>
      <c r="F521" s="257">
        <v>1000000</v>
      </c>
      <c r="G521" s="257">
        <v>1000000</v>
      </c>
      <c r="H521" s="257">
        <v>0</v>
      </c>
      <c r="I521" s="257">
        <v>0</v>
      </c>
      <c r="J521" s="257">
        <v>0</v>
      </c>
      <c r="K521" s="257">
        <v>0</v>
      </c>
      <c r="L521" s="257">
        <v>0</v>
      </c>
      <c r="M521" s="279">
        <v>1000000</v>
      </c>
      <c r="N521" s="257">
        <v>1000000</v>
      </c>
    </row>
    <row r="522" spans="1:14" s="143" customFormat="1" hidden="1" x14ac:dyDescent="0.25">
      <c r="A522" s="143" t="s">
        <v>713</v>
      </c>
      <c r="B522" s="143" t="s">
        <v>184</v>
      </c>
      <c r="C522" s="143" t="s">
        <v>185</v>
      </c>
      <c r="D522" s="143" t="s">
        <v>69</v>
      </c>
      <c r="E522" s="257">
        <v>150099855</v>
      </c>
      <c r="F522" s="257">
        <v>150099855</v>
      </c>
      <c r="G522" s="257">
        <v>74646595</v>
      </c>
      <c r="H522" s="257">
        <v>0</v>
      </c>
      <c r="I522" s="257">
        <v>2310210.15</v>
      </c>
      <c r="J522" s="257">
        <v>5855721.7699999996</v>
      </c>
      <c r="K522" s="257">
        <v>21224765.039999999</v>
      </c>
      <c r="L522" s="257">
        <v>14758710.039999999</v>
      </c>
      <c r="M522" s="279">
        <v>120709158.04000001</v>
      </c>
      <c r="N522" s="257">
        <v>45255898.039999999</v>
      </c>
    </row>
    <row r="523" spans="1:14" s="143" customFormat="1" hidden="1" x14ac:dyDescent="0.25">
      <c r="A523" s="143" t="s">
        <v>713</v>
      </c>
      <c r="B523" s="143" t="s">
        <v>186</v>
      </c>
      <c r="C523" s="143" t="s">
        <v>187</v>
      </c>
      <c r="D523" s="143" t="s">
        <v>69</v>
      </c>
      <c r="E523" s="257">
        <v>568000</v>
      </c>
      <c r="F523" s="257">
        <v>568000</v>
      </c>
      <c r="G523" s="257">
        <v>153000</v>
      </c>
      <c r="H523" s="257">
        <v>0</v>
      </c>
      <c r="I523" s="257">
        <v>0</v>
      </c>
      <c r="J523" s="257">
        <v>0</v>
      </c>
      <c r="K523" s="257">
        <v>0</v>
      </c>
      <c r="L523" s="257">
        <v>0</v>
      </c>
      <c r="M523" s="279">
        <v>568000</v>
      </c>
      <c r="N523" s="257">
        <v>153000</v>
      </c>
    </row>
    <row r="524" spans="1:14" s="143" customFormat="1" hidden="1" x14ac:dyDescent="0.25">
      <c r="A524" s="143" t="s">
        <v>713</v>
      </c>
      <c r="B524" s="143" t="s">
        <v>188</v>
      </c>
      <c r="C524" s="143" t="s">
        <v>189</v>
      </c>
      <c r="D524" s="143" t="s">
        <v>69</v>
      </c>
      <c r="E524" s="257">
        <v>5500</v>
      </c>
      <c r="F524" s="257">
        <v>5500</v>
      </c>
      <c r="G524" s="257">
        <v>5500</v>
      </c>
      <c r="H524" s="257">
        <v>0</v>
      </c>
      <c r="I524" s="257">
        <v>0</v>
      </c>
      <c r="J524" s="257">
        <v>0</v>
      </c>
      <c r="K524" s="257">
        <v>0</v>
      </c>
      <c r="L524" s="257">
        <v>0</v>
      </c>
      <c r="M524" s="279">
        <v>5500</v>
      </c>
      <c r="N524" s="257">
        <v>5500</v>
      </c>
    </row>
    <row r="525" spans="1:14" s="143" customFormat="1" hidden="1" x14ac:dyDescent="0.25">
      <c r="A525" s="143" t="s">
        <v>713</v>
      </c>
      <c r="B525" s="143" t="s">
        <v>190</v>
      </c>
      <c r="C525" s="143" t="s">
        <v>191</v>
      </c>
      <c r="D525" s="143" t="s">
        <v>69</v>
      </c>
      <c r="E525" s="257">
        <v>147500</v>
      </c>
      <c r="F525" s="257">
        <v>147500</v>
      </c>
      <c r="G525" s="257">
        <v>147500</v>
      </c>
      <c r="H525" s="257">
        <v>0</v>
      </c>
      <c r="I525" s="257">
        <v>0</v>
      </c>
      <c r="J525" s="257">
        <v>0</v>
      </c>
      <c r="K525" s="257">
        <v>0</v>
      </c>
      <c r="L525" s="257">
        <v>0</v>
      </c>
      <c r="M525" s="279">
        <v>147500</v>
      </c>
      <c r="N525" s="257">
        <v>147500</v>
      </c>
    </row>
    <row r="526" spans="1:14" s="143" customFormat="1" hidden="1" x14ac:dyDescent="0.25">
      <c r="A526" s="143" t="s">
        <v>713</v>
      </c>
      <c r="B526" s="143" t="s">
        <v>194</v>
      </c>
      <c r="C526" s="143" t="s">
        <v>195</v>
      </c>
      <c r="D526" s="143" t="s">
        <v>69</v>
      </c>
      <c r="E526" s="257">
        <v>415000</v>
      </c>
      <c r="F526" s="257">
        <v>415000</v>
      </c>
      <c r="G526" s="257">
        <v>0</v>
      </c>
      <c r="H526" s="257">
        <v>0</v>
      </c>
      <c r="I526" s="257">
        <v>0</v>
      </c>
      <c r="J526" s="257">
        <v>0</v>
      </c>
      <c r="K526" s="257">
        <v>0</v>
      </c>
      <c r="L526" s="257">
        <v>0</v>
      </c>
      <c r="M526" s="279">
        <v>415000</v>
      </c>
      <c r="N526" s="257">
        <v>0</v>
      </c>
    </row>
    <row r="527" spans="1:14" s="143" customFormat="1" hidden="1" x14ac:dyDescent="0.25">
      <c r="A527" s="143" t="s">
        <v>713</v>
      </c>
      <c r="B527" s="143" t="s">
        <v>196</v>
      </c>
      <c r="C527" s="143" t="s">
        <v>197</v>
      </c>
      <c r="D527" s="143" t="s">
        <v>69</v>
      </c>
      <c r="E527" s="257">
        <v>148180115</v>
      </c>
      <c r="F527" s="257">
        <v>148180115</v>
      </c>
      <c r="G527" s="257">
        <v>73141855</v>
      </c>
      <c r="H527" s="257">
        <v>0</v>
      </c>
      <c r="I527" s="257">
        <v>2310210.15</v>
      </c>
      <c r="J527" s="257">
        <v>5855721.7699999996</v>
      </c>
      <c r="K527" s="257">
        <v>21224765.039999999</v>
      </c>
      <c r="L527" s="257">
        <v>14758710.039999999</v>
      </c>
      <c r="M527" s="279">
        <v>118789418.04000001</v>
      </c>
      <c r="N527" s="257">
        <v>43751158.039999999</v>
      </c>
    </row>
    <row r="528" spans="1:14" s="143" customFormat="1" hidden="1" x14ac:dyDescent="0.25">
      <c r="A528" s="143" t="s">
        <v>713</v>
      </c>
      <c r="B528" s="143" t="s">
        <v>198</v>
      </c>
      <c r="C528" s="143" t="s">
        <v>199</v>
      </c>
      <c r="D528" s="143" t="s">
        <v>69</v>
      </c>
      <c r="E528" s="257">
        <v>148180115</v>
      </c>
      <c r="F528" s="257">
        <v>148180115</v>
      </c>
      <c r="G528" s="257">
        <v>73141855</v>
      </c>
      <c r="H528" s="257">
        <v>0</v>
      </c>
      <c r="I528" s="257">
        <v>2310210.15</v>
      </c>
      <c r="J528" s="257">
        <v>5855721.7699999996</v>
      </c>
      <c r="K528" s="257">
        <v>21224765.039999999</v>
      </c>
      <c r="L528" s="257">
        <v>14758710.039999999</v>
      </c>
      <c r="M528" s="279">
        <v>118789418.04000001</v>
      </c>
      <c r="N528" s="257">
        <v>43751158.039999999</v>
      </c>
    </row>
    <row r="529" spans="1:14" s="143" customFormat="1" hidden="1" x14ac:dyDescent="0.25">
      <c r="A529" s="143" t="s">
        <v>713</v>
      </c>
      <c r="B529" s="143" t="s">
        <v>212</v>
      </c>
      <c r="C529" s="143" t="s">
        <v>213</v>
      </c>
      <c r="D529" s="143" t="s">
        <v>69</v>
      </c>
      <c r="E529" s="257">
        <v>1351740</v>
      </c>
      <c r="F529" s="257">
        <v>1351740</v>
      </c>
      <c r="G529" s="257">
        <v>1351740</v>
      </c>
      <c r="H529" s="257">
        <v>0</v>
      </c>
      <c r="I529" s="257">
        <v>0</v>
      </c>
      <c r="J529" s="257">
        <v>0</v>
      </c>
      <c r="K529" s="257">
        <v>0</v>
      </c>
      <c r="L529" s="257">
        <v>0</v>
      </c>
      <c r="M529" s="279">
        <v>1351740</v>
      </c>
      <c r="N529" s="257">
        <v>1351740</v>
      </c>
    </row>
    <row r="530" spans="1:14" s="143" customFormat="1" hidden="1" x14ac:dyDescent="0.25">
      <c r="A530" s="143" t="s">
        <v>713</v>
      </c>
      <c r="B530" s="143" t="s">
        <v>216</v>
      </c>
      <c r="C530" s="143" t="s">
        <v>217</v>
      </c>
      <c r="D530" s="143" t="s">
        <v>69</v>
      </c>
      <c r="E530" s="257">
        <v>708740</v>
      </c>
      <c r="F530" s="257">
        <v>708740</v>
      </c>
      <c r="G530" s="257">
        <v>708740</v>
      </c>
      <c r="H530" s="257">
        <v>0</v>
      </c>
      <c r="I530" s="257">
        <v>0</v>
      </c>
      <c r="J530" s="257">
        <v>0</v>
      </c>
      <c r="K530" s="257">
        <v>0</v>
      </c>
      <c r="L530" s="257">
        <v>0</v>
      </c>
      <c r="M530" s="279">
        <v>708740</v>
      </c>
      <c r="N530" s="257">
        <v>708740</v>
      </c>
    </row>
    <row r="531" spans="1:14" s="143" customFormat="1" hidden="1" x14ac:dyDescent="0.25">
      <c r="A531" s="143" t="s">
        <v>713</v>
      </c>
      <c r="B531" s="143" t="s">
        <v>218</v>
      </c>
      <c r="C531" s="143" t="s">
        <v>219</v>
      </c>
      <c r="D531" s="143" t="s">
        <v>69</v>
      </c>
      <c r="E531" s="257">
        <v>616000</v>
      </c>
      <c r="F531" s="257">
        <v>616000</v>
      </c>
      <c r="G531" s="257">
        <v>616000</v>
      </c>
      <c r="H531" s="257">
        <v>0</v>
      </c>
      <c r="I531" s="257">
        <v>0</v>
      </c>
      <c r="J531" s="257">
        <v>0</v>
      </c>
      <c r="K531" s="257">
        <v>0</v>
      </c>
      <c r="L531" s="257">
        <v>0</v>
      </c>
      <c r="M531" s="279">
        <v>616000</v>
      </c>
      <c r="N531" s="257">
        <v>616000</v>
      </c>
    </row>
    <row r="532" spans="1:14" s="143" customFormat="1" hidden="1" x14ac:dyDescent="0.25">
      <c r="A532" s="143" t="s">
        <v>713</v>
      </c>
      <c r="B532" s="143" t="s">
        <v>224</v>
      </c>
      <c r="C532" s="143" t="s">
        <v>225</v>
      </c>
      <c r="D532" s="143" t="s">
        <v>69</v>
      </c>
      <c r="E532" s="257">
        <v>27000</v>
      </c>
      <c r="F532" s="257">
        <v>27000</v>
      </c>
      <c r="G532" s="257">
        <v>27000</v>
      </c>
      <c r="H532" s="257">
        <v>0</v>
      </c>
      <c r="I532" s="257">
        <v>0</v>
      </c>
      <c r="J532" s="257">
        <v>0</v>
      </c>
      <c r="K532" s="257">
        <v>0</v>
      </c>
      <c r="L532" s="257">
        <v>0</v>
      </c>
      <c r="M532" s="279">
        <v>27000</v>
      </c>
      <c r="N532" s="257">
        <v>27000</v>
      </c>
    </row>
    <row r="533" spans="1:14" s="143" customFormat="1" hidden="1" x14ac:dyDescent="0.25">
      <c r="A533" s="143" t="s">
        <v>713</v>
      </c>
      <c r="B533" s="143" t="s">
        <v>230</v>
      </c>
      <c r="C533" s="143" t="s">
        <v>231</v>
      </c>
      <c r="D533" s="143" t="s">
        <v>85</v>
      </c>
      <c r="E533" s="257">
        <v>535000</v>
      </c>
      <c r="F533" s="257">
        <v>535000</v>
      </c>
      <c r="G533" s="257">
        <v>535000</v>
      </c>
      <c r="H533" s="257">
        <v>0</v>
      </c>
      <c r="I533" s="257">
        <v>0</v>
      </c>
      <c r="J533" s="257">
        <v>0</v>
      </c>
      <c r="K533" s="257">
        <v>0</v>
      </c>
      <c r="L533" s="257">
        <v>0</v>
      </c>
      <c r="M533" s="279">
        <v>535000</v>
      </c>
      <c r="N533" s="257">
        <v>535000</v>
      </c>
    </row>
    <row r="534" spans="1:14" s="143" customFormat="1" hidden="1" x14ac:dyDescent="0.25">
      <c r="A534" s="143" t="s">
        <v>713</v>
      </c>
      <c r="B534" s="143" t="s">
        <v>232</v>
      </c>
      <c r="C534" s="143" t="s">
        <v>233</v>
      </c>
      <c r="D534" s="143" t="s">
        <v>85</v>
      </c>
      <c r="E534" s="257">
        <v>535000</v>
      </c>
      <c r="F534" s="257">
        <v>535000</v>
      </c>
      <c r="G534" s="257">
        <v>535000</v>
      </c>
      <c r="H534" s="257">
        <v>0</v>
      </c>
      <c r="I534" s="257">
        <v>0</v>
      </c>
      <c r="J534" s="257">
        <v>0</v>
      </c>
      <c r="K534" s="257">
        <v>0</v>
      </c>
      <c r="L534" s="257">
        <v>0</v>
      </c>
      <c r="M534" s="279">
        <v>535000</v>
      </c>
      <c r="N534" s="257">
        <v>535000</v>
      </c>
    </row>
    <row r="535" spans="1:14" s="143" customFormat="1" hidden="1" x14ac:dyDescent="0.25">
      <c r="A535" s="143" t="s">
        <v>713</v>
      </c>
      <c r="B535" s="143" t="s">
        <v>326</v>
      </c>
      <c r="C535" s="143" t="s">
        <v>327</v>
      </c>
      <c r="D535" s="143" t="s">
        <v>85</v>
      </c>
      <c r="E535" s="257">
        <v>535000</v>
      </c>
      <c r="F535" s="257">
        <v>535000</v>
      </c>
      <c r="G535" s="257">
        <v>535000</v>
      </c>
      <c r="H535" s="257">
        <v>0</v>
      </c>
      <c r="I535" s="257">
        <v>0</v>
      </c>
      <c r="J535" s="257">
        <v>0</v>
      </c>
      <c r="K535" s="257">
        <v>0</v>
      </c>
      <c r="L535" s="257">
        <v>0</v>
      </c>
      <c r="M535" s="279">
        <v>535000</v>
      </c>
      <c r="N535" s="257">
        <v>535000</v>
      </c>
    </row>
    <row r="536" spans="1:14" s="143" customFormat="1" hidden="1" x14ac:dyDescent="0.25">
      <c r="A536" s="143" t="s">
        <v>713</v>
      </c>
      <c r="B536" s="143" t="s">
        <v>248</v>
      </c>
      <c r="C536" s="143" t="s">
        <v>249</v>
      </c>
      <c r="D536" s="143" t="s">
        <v>69</v>
      </c>
      <c r="E536" s="257">
        <v>19709963</v>
      </c>
      <c r="F536" s="257">
        <v>19709963</v>
      </c>
      <c r="G536" s="257">
        <v>19467652</v>
      </c>
      <c r="H536" s="257">
        <v>0</v>
      </c>
      <c r="I536" s="257">
        <v>12116186</v>
      </c>
      <c r="J536" s="257">
        <v>0</v>
      </c>
      <c r="K536" s="257">
        <v>4012756</v>
      </c>
      <c r="L536" s="257">
        <v>4012756</v>
      </c>
      <c r="M536" s="279">
        <v>3581021</v>
      </c>
      <c r="N536" s="257">
        <v>3338710</v>
      </c>
    </row>
    <row r="537" spans="1:14" s="143" customFormat="1" hidden="1" x14ac:dyDescent="0.25">
      <c r="A537" s="143" t="s">
        <v>713</v>
      </c>
      <c r="B537" s="143" t="s">
        <v>250</v>
      </c>
      <c r="C537" s="143" t="s">
        <v>251</v>
      </c>
      <c r="D537" s="143" t="s">
        <v>69</v>
      </c>
      <c r="E537" s="257">
        <v>15209963</v>
      </c>
      <c r="F537" s="257">
        <v>15209963</v>
      </c>
      <c r="G537" s="257">
        <v>14967652</v>
      </c>
      <c r="H537" s="257">
        <v>0</v>
      </c>
      <c r="I537" s="257">
        <v>12116186</v>
      </c>
      <c r="J537" s="257">
        <v>0</v>
      </c>
      <c r="K537" s="257">
        <v>3093777</v>
      </c>
      <c r="L537" s="257">
        <v>3093777</v>
      </c>
      <c r="M537" s="279">
        <v>0</v>
      </c>
      <c r="N537" s="275">
        <v>-242311</v>
      </c>
    </row>
    <row r="538" spans="1:14" s="143" customFormat="1" hidden="1" x14ac:dyDescent="0.25">
      <c r="A538" s="143" t="s">
        <v>713</v>
      </c>
      <c r="B538" s="143" t="s">
        <v>632</v>
      </c>
      <c r="C538" s="143" t="s">
        <v>702</v>
      </c>
      <c r="D538" s="143" t="s">
        <v>69</v>
      </c>
      <c r="E538" s="257">
        <v>12919331</v>
      </c>
      <c r="F538" s="257">
        <v>12919331</v>
      </c>
      <c r="G538" s="257">
        <v>12713512</v>
      </c>
      <c r="H538" s="257">
        <v>0</v>
      </c>
      <c r="I538" s="257">
        <v>10307702</v>
      </c>
      <c r="J538" s="257">
        <v>0</v>
      </c>
      <c r="K538" s="257">
        <v>2611629</v>
      </c>
      <c r="L538" s="257">
        <v>2611629</v>
      </c>
      <c r="M538" s="279">
        <v>0</v>
      </c>
      <c r="N538" s="275">
        <v>-205819</v>
      </c>
    </row>
    <row r="539" spans="1:14" s="143" customFormat="1" hidden="1" x14ac:dyDescent="0.25">
      <c r="A539" s="143" t="s">
        <v>713</v>
      </c>
      <c r="B539" s="143" t="s">
        <v>647</v>
      </c>
      <c r="C539" s="143" t="s">
        <v>703</v>
      </c>
      <c r="D539" s="143" t="s">
        <v>69</v>
      </c>
      <c r="E539" s="257">
        <v>2290632</v>
      </c>
      <c r="F539" s="257">
        <v>2290632</v>
      </c>
      <c r="G539" s="257">
        <v>2254140</v>
      </c>
      <c r="H539" s="257">
        <v>0</v>
      </c>
      <c r="I539" s="257">
        <v>1808484</v>
      </c>
      <c r="J539" s="257">
        <v>0</v>
      </c>
      <c r="K539" s="257">
        <v>482148</v>
      </c>
      <c r="L539" s="257">
        <v>482148</v>
      </c>
      <c r="M539" s="279">
        <v>0</v>
      </c>
      <c r="N539" s="275">
        <v>-36492</v>
      </c>
    </row>
    <row r="540" spans="1:14" s="143" customFormat="1" hidden="1" x14ac:dyDescent="0.25">
      <c r="A540" s="143" t="s">
        <v>713</v>
      </c>
      <c r="B540" s="143" t="s">
        <v>260</v>
      </c>
      <c r="C540" s="143" t="s">
        <v>261</v>
      </c>
      <c r="D540" s="143" t="s">
        <v>69</v>
      </c>
      <c r="E540" s="257">
        <v>4500000</v>
      </c>
      <c r="F540" s="257">
        <v>4500000</v>
      </c>
      <c r="G540" s="257">
        <v>4500000</v>
      </c>
      <c r="H540" s="257">
        <v>0</v>
      </c>
      <c r="I540" s="257">
        <v>0</v>
      </c>
      <c r="J540" s="257">
        <v>0</v>
      </c>
      <c r="K540" s="257">
        <v>918979</v>
      </c>
      <c r="L540" s="257">
        <v>918979</v>
      </c>
      <c r="M540" s="279">
        <v>3581021</v>
      </c>
      <c r="N540" s="257">
        <v>3581021</v>
      </c>
    </row>
    <row r="541" spans="1:14" s="143" customFormat="1" hidden="1" x14ac:dyDescent="0.25">
      <c r="A541" s="143" t="s">
        <v>713</v>
      </c>
      <c r="B541" s="143" t="s">
        <v>264</v>
      </c>
      <c r="C541" s="143" t="s">
        <v>265</v>
      </c>
      <c r="D541" s="143" t="s">
        <v>69</v>
      </c>
      <c r="E541" s="257">
        <v>4500000</v>
      </c>
      <c r="F541" s="257">
        <v>4500000</v>
      </c>
      <c r="G541" s="257">
        <v>4500000</v>
      </c>
      <c r="H541" s="257">
        <v>0</v>
      </c>
      <c r="I541" s="257">
        <v>0</v>
      </c>
      <c r="J541" s="257">
        <v>0</v>
      </c>
      <c r="K541" s="257">
        <v>918979</v>
      </c>
      <c r="L541" s="257">
        <v>918979</v>
      </c>
      <c r="M541" s="279">
        <v>3581021</v>
      </c>
      <c r="N541" s="257">
        <v>3581021</v>
      </c>
    </row>
    <row r="542" spans="1:14" s="143" customFormat="1" x14ac:dyDescent="0.25">
      <c r="A542" s="454">
        <v>214789004</v>
      </c>
      <c r="D542" s="454" t="s">
        <v>69</v>
      </c>
      <c r="E542" s="257">
        <v>2343912564</v>
      </c>
      <c r="F542" s="272">
        <v>2343912564</v>
      </c>
      <c r="G542" s="257">
        <v>2087292037</v>
      </c>
      <c r="H542" s="269">
        <v>17727554.359999999</v>
      </c>
      <c r="I542" s="274">
        <v>261651239.69</v>
      </c>
      <c r="J542" s="274">
        <v>12693564.869999999</v>
      </c>
      <c r="K542" s="274">
        <v>522434207.00999999</v>
      </c>
      <c r="L542" s="274">
        <v>515974749.57999998</v>
      </c>
      <c r="M542" s="273">
        <v>1529405998.0699999</v>
      </c>
      <c r="N542" s="257">
        <v>1272785471.0699999</v>
      </c>
    </row>
    <row r="543" spans="1:14" s="143" customFormat="1" hidden="1" x14ac:dyDescent="0.25">
      <c r="A543" s="143" t="s">
        <v>714</v>
      </c>
      <c r="B543" s="143" t="s">
        <v>71</v>
      </c>
      <c r="C543" s="143" t="s">
        <v>72</v>
      </c>
      <c r="D543" s="143" t="s">
        <v>69</v>
      </c>
      <c r="E543" s="257">
        <v>1911246104</v>
      </c>
      <c r="F543" s="257">
        <v>1911246104</v>
      </c>
      <c r="G543" s="257">
        <v>1860273235</v>
      </c>
      <c r="H543" s="257">
        <v>0</v>
      </c>
      <c r="I543" s="257">
        <v>227801917</v>
      </c>
      <c r="J543" s="257">
        <v>0</v>
      </c>
      <c r="K543" s="257">
        <v>487675440.83999997</v>
      </c>
      <c r="L543" s="257">
        <v>487675440.83999997</v>
      </c>
      <c r="M543" s="279">
        <v>1195768746.1600001</v>
      </c>
      <c r="N543" s="257">
        <v>1144795877.1600001</v>
      </c>
    </row>
    <row r="544" spans="1:14" s="143" customFormat="1" hidden="1" x14ac:dyDescent="0.25">
      <c r="A544" s="143" t="s">
        <v>714</v>
      </c>
      <c r="B544" s="143" t="s">
        <v>73</v>
      </c>
      <c r="C544" s="143" t="s">
        <v>74</v>
      </c>
      <c r="D544" s="143" t="s">
        <v>69</v>
      </c>
      <c r="E544" s="257">
        <v>693088616</v>
      </c>
      <c r="F544" s="257">
        <v>693088616</v>
      </c>
      <c r="G544" s="257">
        <v>672914792</v>
      </c>
      <c r="H544" s="257">
        <v>0</v>
      </c>
      <c r="I544" s="257">
        <v>0</v>
      </c>
      <c r="J544" s="257">
        <v>0</v>
      </c>
      <c r="K544" s="257">
        <v>162638494.25999999</v>
      </c>
      <c r="L544" s="257">
        <v>162638494.25999999</v>
      </c>
      <c r="M544" s="279">
        <v>530450121.74000001</v>
      </c>
      <c r="N544" s="257">
        <v>510276297.74000001</v>
      </c>
    </row>
    <row r="545" spans="1:14" s="143" customFormat="1" hidden="1" x14ac:dyDescent="0.25">
      <c r="A545" s="143" t="s">
        <v>714</v>
      </c>
      <c r="B545" s="143" t="s">
        <v>75</v>
      </c>
      <c r="C545" s="143" t="s">
        <v>76</v>
      </c>
      <c r="D545" s="143" t="s">
        <v>69</v>
      </c>
      <c r="E545" s="257">
        <v>693088616</v>
      </c>
      <c r="F545" s="257">
        <v>693088616</v>
      </c>
      <c r="G545" s="257">
        <v>672914792</v>
      </c>
      <c r="H545" s="257">
        <v>0</v>
      </c>
      <c r="I545" s="257">
        <v>0</v>
      </c>
      <c r="J545" s="257">
        <v>0</v>
      </c>
      <c r="K545" s="257">
        <v>162638494.25999999</v>
      </c>
      <c r="L545" s="257">
        <v>162638494.25999999</v>
      </c>
      <c r="M545" s="279">
        <v>530450121.74000001</v>
      </c>
      <c r="N545" s="257">
        <v>510276297.74000001</v>
      </c>
    </row>
    <row r="546" spans="1:14" s="143" customFormat="1" hidden="1" x14ac:dyDescent="0.25">
      <c r="A546" s="143" t="s">
        <v>714</v>
      </c>
      <c r="B546" s="143" t="s">
        <v>293</v>
      </c>
      <c r="C546" s="143" t="s">
        <v>294</v>
      </c>
      <c r="D546" s="143" t="s">
        <v>69</v>
      </c>
      <c r="E546" s="257">
        <v>2572600</v>
      </c>
      <c r="F546" s="257">
        <v>2572600</v>
      </c>
      <c r="G546" s="257">
        <v>2572600</v>
      </c>
      <c r="H546" s="257">
        <v>0</v>
      </c>
      <c r="I546" s="257">
        <v>0</v>
      </c>
      <c r="J546" s="257">
        <v>0</v>
      </c>
      <c r="K546" s="257">
        <v>485122.5</v>
      </c>
      <c r="L546" s="257">
        <v>485122.5</v>
      </c>
      <c r="M546" s="279">
        <v>2087477.5</v>
      </c>
      <c r="N546" s="257">
        <v>2087477.5</v>
      </c>
    </row>
    <row r="547" spans="1:14" s="143" customFormat="1" hidden="1" x14ac:dyDescent="0.25">
      <c r="A547" s="143" t="s">
        <v>714</v>
      </c>
      <c r="B547" s="143" t="s">
        <v>339</v>
      </c>
      <c r="C547" s="143" t="s">
        <v>340</v>
      </c>
      <c r="D547" s="143" t="s">
        <v>69</v>
      </c>
      <c r="E547" s="257">
        <v>2572600</v>
      </c>
      <c r="F547" s="257">
        <v>2572600</v>
      </c>
      <c r="G547" s="257">
        <v>2572600</v>
      </c>
      <c r="H547" s="257">
        <v>0</v>
      </c>
      <c r="I547" s="257">
        <v>0</v>
      </c>
      <c r="J547" s="257">
        <v>0</v>
      </c>
      <c r="K547" s="257">
        <v>485122.5</v>
      </c>
      <c r="L547" s="257">
        <v>485122.5</v>
      </c>
      <c r="M547" s="279">
        <v>2087477.5</v>
      </c>
      <c r="N547" s="257">
        <v>2087477.5</v>
      </c>
    </row>
    <row r="548" spans="1:14" s="143" customFormat="1" hidden="1" x14ac:dyDescent="0.25">
      <c r="A548" s="143" t="s">
        <v>714</v>
      </c>
      <c r="B548" s="143" t="s">
        <v>77</v>
      </c>
      <c r="C548" s="143" t="s">
        <v>78</v>
      </c>
      <c r="D548" s="143" t="s">
        <v>69</v>
      </c>
      <c r="E548" s="257">
        <v>924031359</v>
      </c>
      <c r="F548" s="257">
        <v>924031359</v>
      </c>
      <c r="G548" s="257">
        <v>901008037</v>
      </c>
      <c r="H548" s="257">
        <v>0</v>
      </c>
      <c r="I548" s="257">
        <v>0</v>
      </c>
      <c r="J548" s="257">
        <v>0</v>
      </c>
      <c r="K548" s="257">
        <v>260800212.08000001</v>
      </c>
      <c r="L548" s="257">
        <v>260800212.08000001</v>
      </c>
      <c r="M548" s="279">
        <v>663231146.91999996</v>
      </c>
      <c r="N548" s="257">
        <v>640207824.91999996</v>
      </c>
    </row>
    <row r="549" spans="1:14" s="143" customFormat="1" hidden="1" x14ac:dyDescent="0.25">
      <c r="A549" s="143" t="s">
        <v>714</v>
      </c>
      <c r="B549" s="143" t="s">
        <v>79</v>
      </c>
      <c r="C549" s="143" t="s">
        <v>80</v>
      </c>
      <c r="D549" s="143" t="s">
        <v>69</v>
      </c>
      <c r="E549" s="257">
        <v>322806400</v>
      </c>
      <c r="F549" s="257">
        <v>322806400</v>
      </c>
      <c r="G549" s="257">
        <v>311730487</v>
      </c>
      <c r="H549" s="257">
        <v>0</v>
      </c>
      <c r="I549" s="257">
        <v>0</v>
      </c>
      <c r="J549" s="257">
        <v>0</v>
      </c>
      <c r="K549" s="257">
        <v>70580691.469999999</v>
      </c>
      <c r="L549" s="257">
        <v>70580691.469999999</v>
      </c>
      <c r="M549" s="279">
        <v>252225708.53</v>
      </c>
      <c r="N549" s="257">
        <v>241149795.53</v>
      </c>
    </row>
    <row r="550" spans="1:14" s="143" customFormat="1" hidden="1" x14ac:dyDescent="0.25">
      <c r="A550" s="143" t="s">
        <v>714</v>
      </c>
      <c r="B550" s="143" t="s">
        <v>81</v>
      </c>
      <c r="C550" s="143" t="s">
        <v>82</v>
      </c>
      <c r="D550" s="143" t="s">
        <v>69</v>
      </c>
      <c r="E550" s="257">
        <v>234712205</v>
      </c>
      <c r="F550" s="257">
        <v>234712205</v>
      </c>
      <c r="G550" s="257">
        <v>227111190</v>
      </c>
      <c r="H550" s="257">
        <v>0</v>
      </c>
      <c r="I550" s="257">
        <v>0</v>
      </c>
      <c r="J550" s="257">
        <v>0</v>
      </c>
      <c r="K550" s="257">
        <v>58403645.729999997</v>
      </c>
      <c r="L550" s="257">
        <v>58403645.729999997</v>
      </c>
      <c r="M550" s="279">
        <v>176308559.27000001</v>
      </c>
      <c r="N550" s="257">
        <v>168707544.27000001</v>
      </c>
    </row>
    <row r="551" spans="1:14" s="143" customFormat="1" hidden="1" x14ac:dyDescent="0.25">
      <c r="A551" s="143" t="s">
        <v>714</v>
      </c>
      <c r="B551" s="143" t="s">
        <v>83</v>
      </c>
      <c r="C551" s="143" t="s">
        <v>84</v>
      </c>
      <c r="D551" s="143" t="s">
        <v>85</v>
      </c>
      <c r="E551" s="257">
        <v>124545654</v>
      </c>
      <c r="F551" s="257">
        <v>124545654</v>
      </c>
      <c r="G551" s="257">
        <v>121224024</v>
      </c>
      <c r="H551" s="257">
        <v>0</v>
      </c>
      <c r="I551" s="257">
        <v>0</v>
      </c>
      <c r="J551" s="257">
        <v>0</v>
      </c>
      <c r="K551" s="257">
        <v>0</v>
      </c>
      <c r="L551" s="257">
        <v>0</v>
      </c>
      <c r="M551" s="279">
        <v>124545654</v>
      </c>
      <c r="N551" s="257">
        <v>121224024</v>
      </c>
    </row>
    <row r="552" spans="1:14" s="143" customFormat="1" hidden="1" x14ac:dyDescent="0.25">
      <c r="A552" s="143" t="s">
        <v>714</v>
      </c>
      <c r="B552" s="143" t="s">
        <v>86</v>
      </c>
      <c r="C552" s="143" t="s">
        <v>87</v>
      </c>
      <c r="D552" s="143" t="s">
        <v>69</v>
      </c>
      <c r="E552" s="257">
        <v>114340800</v>
      </c>
      <c r="F552" s="257">
        <v>114340800</v>
      </c>
      <c r="G552" s="257">
        <v>114340800</v>
      </c>
      <c r="H552" s="257">
        <v>0</v>
      </c>
      <c r="I552" s="257">
        <v>0</v>
      </c>
      <c r="J552" s="257">
        <v>0</v>
      </c>
      <c r="K552" s="257">
        <v>100891549.97</v>
      </c>
      <c r="L552" s="257">
        <v>100891549.97</v>
      </c>
      <c r="M552" s="279">
        <v>13449250.029999999</v>
      </c>
      <c r="N552" s="257">
        <v>13449250.029999999</v>
      </c>
    </row>
    <row r="553" spans="1:14" s="143" customFormat="1" hidden="1" x14ac:dyDescent="0.25">
      <c r="A553" s="143" t="s">
        <v>714</v>
      </c>
      <c r="B553" s="143" t="s">
        <v>88</v>
      </c>
      <c r="C553" s="143" t="s">
        <v>89</v>
      </c>
      <c r="D553" s="143" t="s">
        <v>69</v>
      </c>
      <c r="E553" s="257">
        <v>127626300</v>
      </c>
      <c r="F553" s="257">
        <v>127626300</v>
      </c>
      <c r="G553" s="257">
        <v>126601536</v>
      </c>
      <c r="H553" s="257">
        <v>0</v>
      </c>
      <c r="I553" s="257">
        <v>0</v>
      </c>
      <c r="J553" s="257">
        <v>0</v>
      </c>
      <c r="K553" s="257">
        <v>30924324.91</v>
      </c>
      <c r="L553" s="257">
        <v>30924324.91</v>
      </c>
      <c r="M553" s="279">
        <v>96701975.090000004</v>
      </c>
      <c r="N553" s="257">
        <v>95677211.090000004</v>
      </c>
    </row>
    <row r="554" spans="1:14" s="143" customFormat="1" hidden="1" x14ac:dyDescent="0.25">
      <c r="A554" s="143" t="s">
        <v>714</v>
      </c>
      <c r="B554" s="143" t="s">
        <v>90</v>
      </c>
      <c r="C554" s="143" t="s">
        <v>91</v>
      </c>
      <c r="D554" s="143" t="s">
        <v>69</v>
      </c>
      <c r="E554" s="257">
        <v>145776815</v>
      </c>
      <c r="F554" s="257">
        <v>145776815</v>
      </c>
      <c r="G554" s="257">
        <v>141888953</v>
      </c>
      <c r="H554" s="257">
        <v>0</v>
      </c>
      <c r="I554" s="257">
        <v>113807458</v>
      </c>
      <c r="J554" s="257">
        <v>0</v>
      </c>
      <c r="K554" s="257">
        <v>31969357</v>
      </c>
      <c r="L554" s="257">
        <v>31969357</v>
      </c>
      <c r="M554" s="279">
        <v>0</v>
      </c>
      <c r="N554" s="275">
        <v>-3887862</v>
      </c>
    </row>
    <row r="555" spans="1:14" s="143" customFormat="1" hidden="1" x14ac:dyDescent="0.25">
      <c r="A555" s="143" t="s">
        <v>714</v>
      </c>
      <c r="B555" s="143" t="s">
        <v>424</v>
      </c>
      <c r="C555" s="143" t="s">
        <v>697</v>
      </c>
      <c r="D555" s="143" t="s">
        <v>69</v>
      </c>
      <c r="E555" s="257">
        <v>138301084</v>
      </c>
      <c r="F555" s="257">
        <v>138301084</v>
      </c>
      <c r="G555" s="257">
        <v>134612599</v>
      </c>
      <c r="H555" s="257">
        <v>0</v>
      </c>
      <c r="I555" s="257">
        <v>107971182</v>
      </c>
      <c r="J555" s="257">
        <v>0</v>
      </c>
      <c r="K555" s="257">
        <v>30329902</v>
      </c>
      <c r="L555" s="257">
        <v>30329902</v>
      </c>
      <c r="M555" s="279">
        <v>0</v>
      </c>
      <c r="N555" s="275">
        <v>-3688485</v>
      </c>
    </row>
    <row r="556" spans="1:14" s="143" customFormat="1" hidden="1" x14ac:dyDescent="0.25">
      <c r="A556" s="143" t="s">
        <v>714</v>
      </c>
      <c r="B556" s="143" t="s">
        <v>441</v>
      </c>
      <c r="C556" s="143" t="s">
        <v>95</v>
      </c>
      <c r="D556" s="143" t="s">
        <v>69</v>
      </c>
      <c r="E556" s="257">
        <v>7475731</v>
      </c>
      <c r="F556" s="257">
        <v>7475731</v>
      </c>
      <c r="G556" s="257">
        <v>7276354</v>
      </c>
      <c r="H556" s="257">
        <v>0</v>
      </c>
      <c r="I556" s="257">
        <v>5836276</v>
      </c>
      <c r="J556" s="257">
        <v>0</v>
      </c>
      <c r="K556" s="257">
        <v>1639455</v>
      </c>
      <c r="L556" s="257">
        <v>1639455</v>
      </c>
      <c r="M556" s="279">
        <v>0</v>
      </c>
      <c r="N556" s="275">
        <v>-199377</v>
      </c>
    </row>
    <row r="557" spans="1:14" s="143" customFormat="1" hidden="1" x14ac:dyDescent="0.25">
      <c r="A557" s="143" t="s">
        <v>714</v>
      </c>
      <c r="B557" s="143" t="s">
        <v>96</v>
      </c>
      <c r="C557" s="143" t="s">
        <v>97</v>
      </c>
      <c r="D557" s="143" t="s">
        <v>69</v>
      </c>
      <c r="E557" s="257">
        <v>145776714</v>
      </c>
      <c r="F557" s="257">
        <v>145776714</v>
      </c>
      <c r="G557" s="257">
        <v>141888853</v>
      </c>
      <c r="H557" s="257">
        <v>0</v>
      </c>
      <c r="I557" s="257">
        <v>113994459</v>
      </c>
      <c r="J557" s="257">
        <v>0</v>
      </c>
      <c r="K557" s="257">
        <v>31782255</v>
      </c>
      <c r="L557" s="257">
        <v>31782255</v>
      </c>
      <c r="M557" s="279">
        <v>0</v>
      </c>
      <c r="N557" s="275">
        <v>-3887861</v>
      </c>
    </row>
    <row r="558" spans="1:14" s="143" customFormat="1" hidden="1" x14ac:dyDescent="0.25">
      <c r="A558" s="143" t="s">
        <v>714</v>
      </c>
      <c r="B558" s="143" t="s">
        <v>459</v>
      </c>
      <c r="C558" s="143" t="s">
        <v>698</v>
      </c>
      <c r="D558" s="143" t="s">
        <v>69</v>
      </c>
      <c r="E558" s="257">
        <v>78495131</v>
      </c>
      <c r="F558" s="257">
        <v>78495131</v>
      </c>
      <c r="G558" s="257">
        <v>76401667</v>
      </c>
      <c r="H558" s="257">
        <v>0</v>
      </c>
      <c r="I558" s="257">
        <v>61467964</v>
      </c>
      <c r="J558" s="257">
        <v>0</v>
      </c>
      <c r="K558" s="257">
        <v>17027167</v>
      </c>
      <c r="L558" s="257">
        <v>17027167</v>
      </c>
      <c r="M558" s="279">
        <v>0</v>
      </c>
      <c r="N558" s="275">
        <v>-2093464</v>
      </c>
    </row>
    <row r="559" spans="1:14" s="143" customFormat="1" hidden="1" x14ac:dyDescent="0.25">
      <c r="A559" s="143" t="s">
        <v>714</v>
      </c>
      <c r="B559" s="143" t="s">
        <v>476</v>
      </c>
      <c r="C559" s="143" t="s">
        <v>699</v>
      </c>
      <c r="D559" s="143" t="s">
        <v>69</v>
      </c>
      <c r="E559" s="257">
        <v>22427194</v>
      </c>
      <c r="F559" s="257">
        <v>22427194</v>
      </c>
      <c r="G559" s="257">
        <v>21829062</v>
      </c>
      <c r="H559" s="257">
        <v>0</v>
      </c>
      <c r="I559" s="257">
        <v>17508831</v>
      </c>
      <c r="J559" s="257">
        <v>0</v>
      </c>
      <c r="K559" s="257">
        <v>4918363</v>
      </c>
      <c r="L559" s="257">
        <v>4918363</v>
      </c>
      <c r="M559" s="279">
        <v>0</v>
      </c>
      <c r="N559" s="275">
        <v>-598132</v>
      </c>
    </row>
    <row r="560" spans="1:14" s="143" customFormat="1" hidden="1" x14ac:dyDescent="0.25">
      <c r="A560" s="143" t="s">
        <v>714</v>
      </c>
      <c r="B560" s="143" t="s">
        <v>493</v>
      </c>
      <c r="C560" s="143" t="s">
        <v>700</v>
      </c>
      <c r="D560" s="143" t="s">
        <v>69</v>
      </c>
      <c r="E560" s="257">
        <v>44854389</v>
      </c>
      <c r="F560" s="257">
        <v>44854389</v>
      </c>
      <c r="G560" s="257">
        <v>43658124</v>
      </c>
      <c r="H560" s="257">
        <v>0</v>
      </c>
      <c r="I560" s="257">
        <v>35017664</v>
      </c>
      <c r="J560" s="257">
        <v>0</v>
      </c>
      <c r="K560" s="257">
        <v>9836725</v>
      </c>
      <c r="L560" s="257">
        <v>9836725</v>
      </c>
      <c r="M560" s="279">
        <v>0</v>
      </c>
      <c r="N560" s="275">
        <v>-1196265</v>
      </c>
    </row>
    <row r="561" spans="1:14" s="143" customFormat="1" hidden="1" x14ac:dyDescent="0.25">
      <c r="A561" s="143" t="s">
        <v>714</v>
      </c>
      <c r="B561" s="143" t="s">
        <v>104</v>
      </c>
      <c r="C561" s="143" t="s">
        <v>105</v>
      </c>
      <c r="D561" s="143" t="s">
        <v>69</v>
      </c>
      <c r="E561" s="257">
        <v>93714000</v>
      </c>
      <c r="F561" s="257">
        <v>93714000</v>
      </c>
      <c r="G561" s="257">
        <v>47357000</v>
      </c>
      <c r="H561" s="257">
        <v>0</v>
      </c>
      <c r="I561" s="257">
        <v>10041057.76</v>
      </c>
      <c r="J561" s="257">
        <v>0</v>
      </c>
      <c r="K561" s="257">
        <v>9560708.7699999996</v>
      </c>
      <c r="L561" s="257">
        <v>3247991.34</v>
      </c>
      <c r="M561" s="279">
        <v>74112233.469999999</v>
      </c>
      <c r="N561" s="257">
        <v>27755233.469999999</v>
      </c>
    </row>
    <row r="562" spans="1:14" s="143" customFormat="1" hidden="1" x14ac:dyDescent="0.25">
      <c r="A562" s="143" t="s">
        <v>714</v>
      </c>
      <c r="B562" s="143" t="s">
        <v>112</v>
      </c>
      <c r="C562" s="143" t="s">
        <v>113</v>
      </c>
      <c r="D562" s="143" t="s">
        <v>69</v>
      </c>
      <c r="E562" s="257">
        <v>92804000</v>
      </c>
      <c r="F562" s="257">
        <v>92804000</v>
      </c>
      <c r="G562" s="257">
        <v>46447000</v>
      </c>
      <c r="H562" s="257">
        <v>0</v>
      </c>
      <c r="I562" s="257">
        <v>10041057.76</v>
      </c>
      <c r="J562" s="257">
        <v>0</v>
      </c>
      <c r="K562" s="257">
        <v>9560708.7699999996</v>
      </c>
      <c r="L562" s="257">
        <v>3247991.34</v>
      </c>
      <c r="M562" s="279">
        <v>73202233.469999999</v>
      </c>
      <c r="N562" s="257">
        <v>26845233.469999999</v>
      </c>
    </row>
    <row r="563" spans="1:14" s="143" customFormat="1" hidden="1" x14ac:dyDescent="0.25">
      <c r="A563" s="143" t="s">
        <v>714</v>
      </c>
      <c r="B563" s="143" t="s">
        <v>114</v>
      </c>
      <c r="C563" s="143" t="s">
        <v>115</v>
      </c>
      <c r="D563" s="143" t="s">
        <v>69</v>
      </c>
      <c r="E563" s="257">
        <v>36754000</v>
      </c>
      <c r="F563" s="257">
        <v>36754000</v>
      </c>
      <c r="G563" s="257">
        <v>18127000</v>
      </c>
      <c r="H563" s="257">
        <v>0</v>
      </c>
      <c r="I563" s="257">
        <v>2746585.99</v>
      </c>
      <c r="J563" s="257">
        <v>0</v>
      </c>
      <c r="K563" s="257">
        <v>6066914.0099999998</v>
      </c>
      <c r="L563" s="257">
        <v>971862.01</v>
      </c>
      <c r="M563" s="279">
        <v>27940500</v>
      </c>
      <c r="N563" s="257">
        <v>9313500</v>
      </c>
    </row>
    <row r="564" spans="1:14" s="143" customFormat="1" hidden="1" x14ac:dyDescent="0.25">
      <c r="A564" s="143" t="s">
        <v>714</v>
      </c>
      <c r="B564" s="143" t="s">
        <v>116</v>
      </c>
      <c r="C564" s="143" t="s">
        <v>117</v>
      </c>
      <c r="D564" s="143" t="s">
        <v>69</v>
      </c>
      <c r="E564" s="257">
        <v>43500000</v>
      </c>
      <c r="F564" s="257">
        <v>43500000</v>
      </c>
      <c r="G564" s="257">
        <v>21545000</v>
      </c>
      <c r="H564" s="257">
        <v>0</v>
      </c>
      <c r="I564" s="257">
        <v>7294471.7699999996</v>
      </c>
      <c r="J564" s="257">
        <v>0</v>
      </c>
      <c r="K564" s="257">
        <v>3273028.23</v>
      </c>
      <c r="L564" s="257">
        <v>2071049.33</v>
      </c>
      <c r="M564" s="279">
        <v>32932500</v>
      </c>
      <c r="N564" s="257">
        <v>10977500</v>
      </c>
    </row>
    <row r="565" spans="1:14" s="143" customFormat="1" hidden="1" x14ac:dyDescent="0.25">
      <c r="A565" s="143" t="s">
        <v>714</v>
      </c>
      <c r="B565" s="143" t="s">
        <v>120</v>
      </c>
      <c r="C565" s="143" t="s">
        <v>121</v>
      </c>
      <c r="D565" s="143" t="s">
        <v>69</v>
      </c>
      <c r="E565" s="257">
        <v>11550000</v>
      </c>
      <c r="F565" s="257">
        <v>11550000</v>
      </c>
      <c r="G565" s="257">
        <v>5775000</v>
      </c>
      <c r="H565" s="257">
        <v>0</v>
      </c>
      <c r="I565" s="257">
        <v>0</v>
      </c>
      <c r="J565" s="257">
        <v>0</v>
      </c>
      <c r="K565" s="257">
        <v>0</v>
      </c>
      <c r="L565" s="257">
        <v>0</v>
      </c>
      <c r="M565" s="279">
        <v>11550000</v>
      </c>
      <c r="N565" s="257">
        <v>5775000</v>
      </c>
    </row>
    <row r="566" spans="1:14" s="143" customFormat="1" hidden="1" x14ac:dyDescent="0.25">
      <c r="A566" s="143" t="s">
        <v>714</v>
      </c>
      <c r="B566" s="143" t="s">
        <v>122</v>
      </c>
      <c r="C566" s="143" t="s">
        <v>123</v>
      </c>
      <c r="D566" s="143" t="s">
        <v>69</v>
      </c>
      <c r="E566" s="257">
        <v>1000000</v>
      </c>
      <c r="F566" s="257">
        <v>1000000</v>
      </c>
      <c r="G566" s="257">
        <v>1000000</v>
      </c>
      <c r="H566" s="257">
        <v>0</v>
      </c>
      <c r="I566" s="257">
        <v>0</v>
      </c>
      <c r="J566" s="257">
        <v>0</v>
      </c>
      <c r="K566" s="257">
        <v>220766.53</v>
      </c>
      <c r="L566" s="257">
        <v>205080</v>
      </c>
      <c r="M566" s="279">
        <v>779233.47</v>
      </c>
      <c r="N566" s="257">
        <v>779233.47</v>
      </c>
    </row>
    <row r="567" spans="1:14" s="143" customFormat="1" hidden="1" x14ac:dyDescent="0.25">
      <c r="A567" s="143" t="s">
        <v>714</v>
      </c>
      <c r="B567" s="143" t="s">
        <v>134</v>
      </c>
      <c r="C567" s="143" t="s">
        <v>135</v>
      </c>
      <c r="D567" s="143" t="s">
        <v>69</v>
      </c>
      <c r="E567" s="257">
        <v>410000</v>
      </c>
      <c r="F567" s="257">
        <v>410000</v>
      </c>
      <c r="G567" s="257">
        <v>410000</v>
      </c>
      <c r="H567" s="257">
        <v>0</v>
      </c>
      <c r="I567" s="257">
        <v>0</v>
      </c>
      <c r="J567" s="257">
        <v>0</v>
      </c>
      <c r="K567" s="257">
        <v>0</v>
      </c>
      <c r="L567" s="257">
        <v>0</v>
      </c>
      <c r="M567" s="279">
        <v>410000</v>
      </c>
      <c r="N567" s="257">
        <v>410000</v>
      </c>
    </row>
    <row r="568" spans="1:14" s="143" customFormat="1" hidden="1" x14ac:dyDescent="0.25">
      <c r="A568" s="143" t="s">
        <v>714</v>
      </c>
      <c r="B568" s="143" t="s">
        <v>346</v>
      </c>
      <c r="C568" s="143" t="s">
        <v>347</v>
      </c>
      <c r="D568" s="143" t="s">
        <v>69</v>
      </c>
      <c r="E568" s="257">
        <v>20000</v>
      </c>
      <c r="F568" s="257">
        <v>20000</v>
      </c>
      <c r="G568" s="257">
        <v>20000</v>
      </c>
      <c r="H568" s="257">
        <v>0</v>
      </c>
      <c r="I568" s="257">
        <v>0</v>
      </c>
      <c r="J568" s="257">
        <v>0</v>
      </c>
      <c r="K568" s="257">
        <v>0</v>
      </c>
      <c r="L568" s="257">
        <v>0</v>
      </c>
      <c r="M568" s="279">
        <v>20000</v>
      </c>
      <c r="N568" s="257">
        <v>20000</v>
      </c>
    </row>
    <row r="569" spans="1:14" s="143" customFormat="1" hidden="1" x14ac:dyDescent="0.25">
      <c r="A569" s="143" t="s">
        <v>714</v>
      </c>
      <c r="B569" s="143" t="s">
        <v>136</v>
      </c>
      <c r="C569" s="143" t="s">
        <v>137</v>
      </c>
      <c r="D569" s="143" t="s">
        <v>69</v>
      </c>
      <c r="E569" s="257">
        <v>350000</v>
      </c>
      <c r="F569" s="257">
        <v>350000</v>
      </c>
      <c r="G569" s="257">
        <v>350000</v>
      </c>
      <c r="H569" s="257">
        <v>0</v>
      </c>
      <c r="I569" s="257">
        <v>0</v>
      </c>
      <c r="J569" s="257">
        <v>0</v>
      </c>
      <c r="K569" s="257">
        <v>0</v>
      </c>
      <c r="L569" s="257">
        <v>0</v>
      </c>
      <c r="M569" s="279">
        <v>350000</v>
      </c>
      <c r="N569" s="257">
        <v>350000</v>
      </c>
    </row>
    <row r="570" spans="1:14" s="143" customFormat="1" hidden="1" x14ac:dyDescent="0.25">
      <c r="A570" s="143" t="s">
        <v>714</v>
      </c>
      <c r="B570" s="143" t="s">
        <v>138</v>
      </c>
      <c r="C570" s="143" t="s">
        <v>139</v>
      </c>
      <c r="D570" s="143" t="s">
        <v>69</v>
      </c>
      <c r="E570" s="257">
        <v>40000</v>
      </c>
      <c r="F570" s="257">
        <v>40000</v>
      </c>
      <c r="G570" s="257">
        <v>40000</v>
      </c>
      <c r="H570" s="257">
        <v>0</v>
      </c>
      <c r="I570" s="257">
        <v>0</v>
      </c>
      <c r="J570" s="257">
        <v>0</v>
      </c>
      <c r="K570" s="257">
        <v>0</v>
      </c>
      <c r="L570" s="257">
        <v>0</v>
      </c>
      <c r="M570" s="279">
        <v>40000</v>
      </c>
      <c r="N570" s="257">
        <v>40000</v>
      </c>
    </row>
    <row r="571" spans="1:14" s="143" customFormat="1" hidden="1" x14ac:dyDescent="0.25">
      <c r="A571" s="143" t="s">
        <v>714</v>
      </c>
      <c r="B571" s="143" t="s">
        <v>162</v>
      </c>
      <c r="C571" s="143" t="s">
        <v>163</v>
      </c>
      <c r="D571" s="143" t="s">
        <v>69</v>
      </c>
      <c r="E571" s="257">
        <v>500000</v>
      </c>
      <c r="F571" s="257">
        <v>500000</v>
      </c>
      <c r="G571" s="257">
        <v>500000</v>
      </c>
      <c r="H571" s="257">
        <v>0</v>
      </c>
      <c r="I571" s="257">
        <v>0</v>
      </c>
      <c r="J571" s="257">
        <v>0</v>
      </c>
      <c r="K571" s="257">
        <v>0</v>
      </c>
      <c r="L571" s="257">
        <v>0</v>
      </c>
      <c r="M571" s="279">
        <v>500000</v>
      </c>
      <c r="N571" s="257">
        <v>500000</v>
      </c>
    </row>
    <row r="572" spans="1:14" s="143" customFormat="1" hidden="1" x14ac:dyDescent="0.25">
      <c r="A572" s="143" t="s">
        <v>714</v>
      </c>
      <c r="B572" s="143" t="s">
        <v>164</v>
      </c>
      <c r="C572" s="143" t="s">
        <v>165</v>
      </c>
      <c r="D572" s="143" t="s">
        <v>69</v>
      </c>
      <c r="E572" s="257">
        <v>100000</v>
      </c>
      <c r="F572" s="257">
        <v>100000</v>
      </c>
      <c r="G572" s="257">
        <v>100000</v>
      </c>
      <c r="H572" s="257">
        <v>0</v>
      </c>
      <c r="I572" s="257">
        <v>0</v>
      </c>
      <c r="J572" s="257">
        <v>0</v>
      </c>
      <c r="K572" s="257">
        <v>0</v>
      </c>
      <c r="L572" s="257">
        <v>0</v>
      </c>
      <c r="M572" s="279">
        <v>100000</v>
      </c>
      <c r="N572" s="257">
        <v>100000</v>
      </c>
    </row>
    <row r="573" spans="1:14" s="143" customFormat="1" hidden="1" x14ac:dyDescent="0.25">
      <c r="A573" s="143" t="s">
        <v>714</v>
      </c>
      <c r="B573" s="143" t="s">
        <v>172</v>
      </c>
      <c r="C573" s="143" t="s">
        <v>173</v>
      </c>
      <c r="D573" s="143" t="s">
        <v>69</v>
      </c>
      <c r="E573" s="257">
        <v>400000</v>
      </c>
      <c r="F573" s="257">
        <v>400000</v>
      </c>
      <c r="G573" s="257">
        <v>400000</v>
      </c>
      <c r="H573" s="257">
        <v>0</v>
      </c>
      <c r="I573" s="257">
        <v>0</v>
      </c>
      <c r="J573" s="257">
        <v>0</v>
      </c>
      <c r="K573" s="257">
        <v>0</v>
      </c>
      <c r="L573" s="257">
        <v>0</v>
      </c>
      <c r="M573" s="279">
        <v>400000</v>
      </c>
      <c r="N573" s="257">
        <v>400000</v>
      </c>
    </row>
    <row r="574" spans="1:14" s="143" customFormat="1" hidden="1" x14ac:dyDescent="0.25">
      <c r="A574" s="143" t="s">
        <v>714</v>
      </c>
      <c r="B574" s="143" t="s">
        <v>184</v>
      </c>
      <c r="C574" s="143" t="s">
        <v>185</v>
      </c>
      <c r="D574" s="143" t="s">
        <v>69</v>
      </c>
      <c r="E574" s="257">
        <v>301595100</v>
      </c>
      <c r="F574" s="257">
        <v>301595100</v>
      </c>
      <c r="G574" s="257">
        <v>147266375</v>
      </c>
      <c r="H574" s="257">
        <v>17727554.359999999</v>
      </c>
      <c r="I574" s="257">
        <v>4244790.93</v>
      </c>
      <c r="J574" s="257">
        <v>12693564.869999999</v>
      </c>
      <c r="K574" s="257">
        <v>19337465.399999999</v>
      </c>
      <c r="L574" s="257">
        <v>19190725.399999999</v>
      </c>
      <c r="M574" s="279">
        <v>247591724.44</v>
      </c>
      <c r="N574" s="257">
        <v>93262999.439999998</v>
      </c>
    </row>
    <row r="575" spans="1:14" s="143" customFormat="1" hidden="1" x14ac:dyDescent="0.25">
      <c r="A575" s="143" t="s">
        <v>714</v>
      </c>
      <c r="B575" s="143" t="s">
        <v>186</v>
      </c>
      <c r="C575" s="143" t="s">
        <v>187</v>
      </c>
      <c r="D575" s="143" t="s">
        <v>69</v>
      </c>
      <c r="E575" s="257">
        <v>6620568</v>
      </c>
      <c r="F575" s="257">
        <v>6620568</v>
      </c>
      <c r="G575" s="257">
        <v>3382426</v>
      </c>
      <c r="H575" s="257">
        <v>0</v>
      </c>
      <c r="I575" s="257">
        <v>0</v>
      </c>
      <c r="J575" s="257">
        <v>0</v>
      </c>
      <c r="K575" s="257">
        <v>0</v>
      </c>
      <c r="L575" s="257">
        <v>0</v>
      </c>
      <c r="M575" s="279">
        <v>6620568</v>
      </c>
      <c r="N575" s="257">
        <v>3382426</v>
      </c>
    </row>
    <row r="576" spans="1:14" s="143" customFormat="1" hidden="1" x14ac:dyDescent="0.25">
      <c r="A576" s="143" t="s">
        <v>714</v>
      </c>
      <c r="B576" s="143" t="s">
        <v>188</v>
      </c>
      <c r="C576" s="143" t="s">
        <v>189</v>
      </c>
      <c r="D576" s="143" t="s">
        <v>69</v>
      </c>
      <c r="E576" s="257">
        <v>2413000</v>
      </c>
      <c r="F576" s="257">
        <v>2413000</v>
      </c>
      <c r="G576" s="257">
        <v>1174858</v>
      </c>
      <c r="H576" s="257">
        <v>0</v>
      </c>
      <c r="I576" s="257">
        <v>0</v>
      </c>
      <c r="J576" s="257">
        <v>0</v>
      </c>
      <c r="K576" s="257">
        <v>0</v>
      </c>
      <c r="L576" s="257">
        <v>0</v>
      </c>
      <c r="M576" s="279">
        <v>2413000</v>
      </c>
      <c r="N576" s="257">
        <v>1174858</v>
      </c>
    </row>
    <row r="577" spans="1:14" s="143" customFormat="1" hidden="1" x14ac:dyDescent="0.25">
      <c r="A577" s="143" t="s">
        <v>714</v>
      </c>
      <c r="B577" s="143" t="s">
        <v>350</v>
      </c>
      <c r="C577" s="143" t="s">
        <v>351</v>
      </c>
      <c r="D577" s="143" t="s">
        <v>69</v>
      </c>
      <c r="E577" s="257">
        <v>63287</v>
      </c>
      <c r="F577" s="257">
        <v>63287</v>
      </c>
      <c r="G577" s="257">
        <v>63287</v>
      </c>
      <c r="H577" s="257">
        <v>0</v>
      </c>
      <c r="I577" s="257">
        <v>0</v>
      </c>
      <c r="J577" s="257">
        <v>0</v>
      </c>
      <c r="K577" s="257">
        <v>0</v>
      </c>
      <c r="L577" s="257">
        <v>0</v>
      </c>
      <c r="M577" s="279">
        <v>63287</v>
      </c>
      <c r="N577" s="257">
        <v>63287</v>
      </c>
    </row>
    <row r="578" spans="1:14" s="143" customFormat="1" hidden="1" x14ac:dyDescent="0.25">
      <c r="A578" s="143" t="s">
        <v>714</v>
      </c>
      <c r="B578" s="143" t="s">
        <v>194</v>
      </c>
      <c r="C578" s="143" t="s">
        <v>195</v>
      </c>
      <c r="D578" s="143" t="s">
        <v>69</v>
      </c>
      <c r="E578" s="257">
        <v>4144281</v>
      </c>
      <c r="F578" s="257">
        <v>4144281</v>
      </c>
      <c r="G578" s="257">
        <v>2144281</v>
      </c>
      <c r="H578" s="257">
        <v>0</v>
      </c>
      <c r="I578" s="257">
        <v>0</v>
      </c>
      <c r="J578" s="257">
        <v>0</v>
      </c>
      <c r="K578" s="257">
        <v>0</v>
      </c>
      <c r="L578" s="257">
        <v>0</v>
      </c>
      <c r="M578" s="279">
        <v>4144281</v>
      </c>
      <c r="N578" s="257">
        <v>2144281</v>
      </c>
    </row>
    <row r="579" spans="1:14" s="143" customFormat="1" hidden="1" x14ac:dyDescent="0.25">
      <c r="A579" s="143" t="s">
        <v>714</v>
      </c>
      <c r="B579" s="143" t="s">
        <v>196</v>
      </c>
      <c r="C579" s="143" t="s">
        <v>197</v>
      </c>
      <c r="D579" s="143" t="s">
        <v>69</v>
      </c>
      <c r="E579" s="257">
        <v>280709986</v>
      </c>
      <c r="F579" s="257">
        <v>280709986</v>
      </c>
      <c r="G579" s="257">
        <v>139119403</v>
      </c>
      <c r="H579" s="257">
        <v>17727554.359999999</v>
      </c>
      <c r="I579" s="257">
        <v>4244790.93</v>
      </c>
      <c r="J579" s="257">
        <v>12693564.869999999</v>
      </c>
      <c r="K579" s="257">
        <v>19337465.399999999</v>
      </c>
      <c r="L579" s="257">
        <v>19190725.399999999</v>
      </c>
      <c r="M579" s="279">
        <v>226706610.44</v>
      </c>
      <c r="N579" s="257">
        <v>85116027.439999998</v>
      </c>
    </row>
    <row r="580" spans="1:14" s="143" customFormat="1" hidden="1" x14ac:dyDescent="0.25">
      <c r="A580" s="143" t="s">
        <v>714</v>
      </c>
      <c r="B580" s="143" t="s">
        <v>579</v>
      </c>
      <c r="C580" s="143" t="s">
        <v>580</v>
      </c>
      <c r="D580" s="143" t="s">
        <v>69</v>
      </c>
      <c r="E580" s="257">
        <v>1988520</v>
      </c>
      <c r="F580" s="257">
        <v>1988520</v>
      </c>
      <c r="G580" s="257">
        <v>1988520</v>
      </c>
      <c r="H580" s="257">
        <v>1872200</v>
      </c>
      <c r="I580" s="257">
        <v>0</v>
      </c>
      <c r="J580" s="257">
        <v>0</v>
      </c>
      <c r="K580" s="257">
        <v>0</v>
      </c>
      <c r="L580" s="257">
        <v>0</v>
      </c>
      <c r="M580" s="279">
        <v>116320</v>
      </c>
      <c r="N580" s="257">
        <v>116320</v>
      </c>
    </row>
    <row r="581" spans="1:14" s="143" customFormat="1" hidden="1" x14ac:dyDescent="0.25">
      <c r="A581" s="143" t="s">
        <v>714</v>
      </c>
      <c r="B581" s="143" t="s">
        <v>198</v>
      </c>
      <c r="C581" s="143" t="s">
        <v>199</v>
      </c>
      <c r="D581" s="143" t="s">
        <v>69</v>
      </c>
      <c r="E581" s="257">
        <v>278273098</v>
      </c>
      <c r="F581" s="257">
        <v>278273098</v>
      </c>
      <c r="G581" s="257">
        <v>136682515</v>
      </c>
      <c r="H581" s="257">
        <v>15855354.359999999</v>
      </c>
      <c r="I581" s="257">
        <v>4244790.93</v>
      </c>
      <c r="J581" s="257">
        <v>12693564.869999999</v>
      </c>
      <c r="K581" s="257">
        <v>19337465.399999999</v>
      </c>
      <c r="L581" s="257">
        <v>19190725.399999999</v>
      </c>
      <c r="M581" s="279">
        <v>226141922.44</v>
      </c>
      <c r="N581" s="257">
        <v>84551339.439999998</v>
      </c>
    </row>
    <row r="582" spans="1:14" s="143" customFormat="1" hidden="1" x14ac:dyDescent="0.25">
      <c r="A582" s="143" t="s">
        <v>714</v>
      </c>
      <c r="B582" s="143" t="s">
        <v>352</v>
      </c>
      <c r="C582" s="143" t="s">
        <v>353</v>
      </c>
      <c r="D582" s="143" t="s">
        <v>69</v>
      </c>
      <c r="E582" s="257">
        <v>448368</v>
      </c>
      <c r="F582" s="257">
        <v>448368</v>
      </c>
      <c r="G582" s="257">
        <v>448368</v>
      </c>
      <c r="H582" s="257">
        <v>0</v>
      </c>
      <c r="I582" s="257">
        <v>0</v>
      </c>
      <c r="J582" s="257">
        <v>0</v>
      </c>
      <c r="K582" s="257">
        <v>0</v>
      </c>
      <c r="L582" s="257">
        <v>0</v>
      </c>
      <c r="M582" s="279">
        <v>448368</v>
      </c>
      <c r="N582" s="257">
        <v>448368</v>
      </c>
    </row>
    <row r="583" spans="1:14" s="143" customFormat="1" hidden="1" x14ac:dyDescent="0.25">
      <c r="A583" s="143" t="s">
        <v>714</v>
      </c>
      <c r="B583" s="143" t="s">
        <v>200</v>
      </c>
      <c r="C583" s="143" t="s">
        <v>201</v>
      </c>
      <c r="D583" s="143" t="s">
        <v>69</v>
      </c>
      <c r="E583" s="257">
        <v>8117062</v>
      </c>
      <c r="F583" s="257">
        <v>8117062</v>
      </c>
      <c r="G583" s="257">
        <v>1817062</v>
      </c>
      <c r="H583" s="257">
        <v>0</v>
      </c>
      <c r="I583" s="257">
        <v>0</v>
      </c>
      <c r="J583" s="257">
        <v>0</v>
      </c>
      <c r="K583" s="257">
        <v>0</v>
      </c>
      <c r="L583" s="257">
        <v>0</v>
      </c>
      <c r="M583" s="279">
        <v>8117062</v>
      </c>
      <c r="N583" s="257">
        <v>1817062</v>
      </c>
    </row>
    <row r="584" spans="1:14" s="143" customFormat="1" hidden="1" x14ac:dyDescent="0.25">
      <c r="A584" s="143" t="s">
        <v>714</v>
      </c>
      <c r="B584" s="143" t="s">
        <v>314</v>
      </c>
      <c r="C584" s="143" t="s">
        <v>315</v>
      </c>
      <c r="D584" s="143" t="s">
        <v>69</v>
      </c>
      <c r="E584" s="257">
        <v>2959825</v>
      </c>
      <c r="F584" s="257">
        <v>2959825</v>
      </c>
      <c r="G584" s="257">
        <v>159825</v>
      </c>
      <c r="H584" s="257">
        <v>0</v>
      </c>
      <c r="I584" s="257">
        <v>0</v>
      </c>
      <c r="J584" s="257">
        <v>0</v>
      </c>
      <c r="K584" s="257">
        <v>0</v>
      </c>
      <c r="L584" s="257">
        <v>0</v>
      </c>
      <c r="M584" s="279">
        <v>2959825</v>
      </c>
      <c r="N584" s="257">
        <v>159825</v>
      </c>
    </row>
    <row r="585" spans="1:14" s="143" customFormat="1" hidden="1" x14ac:dyDescent="0.25">
      <c r="A585" s="143" t="s">
        <v>714</v>
      </c>
      <c r="B585" s="143" t="s">
        <v>202</v>
      </c>
      <c r="C585" s="143" t="s">
        <v>203</v>
      </c>
      <c r="D585" s="143" t="s">
        <v>69</v>
      </c>
      <c r="E585" s="257">
        <v>1322500</v>
      </c>
      <c r="F585" s="257">
        <v>1322500</v>
      </c>
      <c r="G585" s="257">
        <v>22500</v>
      </c>
      <c r="H585" s="257">
        <v>0</v>
      </c>
      <c r="I585" s="257">
        <v>0</v>
      </c>
      <c r="J585" s="257">
        <v>0</v>
      </c>
      <c r="K585" s="257">
        <v>0</v>
      </c>
      <c r="L585" s="257">
        <v>0</v>
      </c>
      <c r="M585" s="279">
        <v>1322500</v>
      </c>
      <c r="N585" s="257">
        <v>22500</v>
      </c>
    </row>
    <row r="586" spans="1:14" s="143" customFormat="1" hidden="1" x14ac:dyDescent="0.25">
      <c r="A586" s="143" t="s">
        <v>714</v>
      </c>
      <c r="B586" s="143" t="s">
        <v>320</v>
      </c>
      <c r="C586" s="143" t="s">
        <v>321</v>
      </c>
      <c r="D586" s="143" t="s">
        <v>69</v>
      </c>
      <c r="E586" s="257">
        <v>220000</v>
      </c>
      <c r="F586" s="257">
        <v>220000</v>
      </c>
      <c r="G586" s="257">
        <v>20000</v>
      </c>
      <c r="H586" s="257">
        <v>0</v>
      </c>
      <c r="I586" s="257">
        <v>0</v>
      </c>
      <c r="J586" s="257">
        <v>0</v>
      </c>
      <c r="K586" s="257">
        <v>0</v>
      </c>
      <c r="L586" s="257">
        <v>0</v>
      </c>
      <c r="M586" s="279">
        <v>220000</v>
      </c>
      <c r="N586" s="257">
        <v>20000</v>
      </c>
    </row>
    <row r="587" spans="1:14" s="143" customFormat="1" hidden="1" x14ac:dyDescent="0.25">
      <c r="A587" s="143" t="s">
        <v>714</v>
      </c>
      <c r="B587" s="143" t="s">
        <v>204</v>
      </c>
      <c r="C587" s="143" t="s">
        <v>205</v>
      </c>
      <c r="D587" s="143" t="s">
        <v>69</v>
      </c>
      <c r="E587" s="257">
        <v>1532505</v>
      </c>
      <c r="F587" s="257">
        <v>1532505</v>
      </c>
      <c r="G587" s="257">
        <v>1532505</v>
      </c>
      <c r="H587" s="257">
        <v>0</v>
      </c>
      <c r="I587" s="257">
        <v>0</v>
      </c>
      <c r="J587" s="257">
        <v>0</v>
      </c>
      <c r="K587" s="257">
        <v>0</v>
      </c>
      <c r="L587" s="257">
        <v>0</v>
      </c>
      <c r="M587" s="279">
        <v>1532505</v>
      </c>
      <c r="N587" s="257">
        <v>1532505</v>
      </c>
    </row>
    <row r="588" spans="1:14" s="143" customFormat="1" hidden="1" x14ac:dyDescent="0.25">
      <c r="A588" s="143" t="s">
        <v>714</v>
      </c>
      <c r="B588" s="143" t="s">
        <v>322</v>
      </c>
      <c r="C588" s="143" t="s">
        <v>323</v>
      </c>
      <c r="D588" s="143" t="s">
        <v>69</v>
      </c>
      <c r="E588" s="257">
        <v>2082232</v>
      </c>
      <c r="F588" s="257">
        <v>2082232</v>
      </c>
      <c r="G588" s="257">
        <v>82232</v>
      </c>
      <c r="H588" s="257">
        <v>0</v>
      </c>
      <c r="I588" s="257">
        <v>0</v>
      </c>
      <c r="J588" s="257">
        <v>0</v>
      </c>
      <c r="K588" s="257">
        <v>0</v>
      </c>
      <c r="L588" s="257">
        <v>0</v>
      </c>
      <c r="M588" s="279">
        <v>2082232</v>
      </c>
      <c r="N588" s="257">
        <v>82232</v>
      </c>
    </row>
    <row r="589" spans="1:14" s="143" customFormat="1" hidden="1" x14ac:dyDescent="0.25">
      <c r="A589" s="143" t="s">
        <v>714</v>
      </c>
      <c r="B589" s="143" t="s">
        <v>206</v>
      </c>
      <c r="C589" s="143" t="s">
        <v>207</v>
      </c>
      <c r="D589" s="143" t="s">
        <v>69</v>
      </c>
      <c r="E589" s="257">
        <v>1362914</v>
      </c>
      <c r="F589" s="257">
        <v>1362914</v>
      </c>
      <c r="G589" s="257">
        <v>662914</v>
      </c>
      <c r="H589" s="257">
        <v>0</v>
      </c>
      <c r="I589" s="257">
        <v>0</v>
      </c>
      <c r="J589" s="257">
        <v>0</v>
      </c>
      <c r="K589" s="257">
        <v>0</v>
      </c>
      <c r="L589" s="257">
        <v>0</v>
      </c>
      <c r="M589" s="279">
        <v>1362914</v>
      </c>
      <c r="N589" s="257">
        <v>662914</v>
      </c>
    </row>
    <row r="590" spans="1:14" s="143" customFormat="1" hidden="1" x14ac:dyDescent="0.25">
      <c r="A590" s="143" t="s">
        <v>714</v>
      </c>
      <c r="B590" s="143" t="s">
        <v>208</v>
      </c>
      <c r="C590" s="143" t="s">
        <v>209</v>
      </c>
      <c r="D590" s="143" t="s">
        <v>69</v>
      </c>
      <c r="E590" s="257">
        <v>571414</v>
      </c>
      <c r="F590" s="257">
        <v>571414</v>
      </c>
      <c r="G590" s="257">
        <v>571414</v>
      </c>
      <c r="H590" s="257">
        <v>0</v>
      </c>
      <c r="I590" s="257">
        <v>0</v>
      </c>
      <c r="J590" s="257">
        <v>0</v>
      </c>
      <c r="K590" s="257">
        <v>0</v>
      </c>
      <c r="L590" s="257">
        <v>0</v>
      </c>
      <c r="M590" s="279">
        <v>571414</v>
      </c>
      <c r="N590" s="257">
        <v>571414</v>
      </c>
    </row>
    <row r="591" spans="1:14" s="143" customFormat="1" hidden="1" x14ac:dyDescent="0.25">
      <c r="A591" s="143" t="s">
        <v>714</v>
      </c>
      <c r="B591" s="143" t="s">
        <v>210</v>
      </c>
      <c r="C591" s="143" t="s">
        <v>211</v>
      </c>
      <c r="D591" s="143" t="s">
        <v>69</v>
      </c>
      <c r="E591" s="257">
        <v>791500</v>
      </c>
      <c r="F591" s="257">
        <v>791500</v>
      </c>
      <c r="G591" s="257">
        <v>91500</v>
      </c>
      <c r="H591" s="257">
        <v>0</v>
      </c>
      <c r="I591" s="257">
        <v>0</v>
      </c>
      <c r="J591" s="257">
        <v>0</v>
      </c>
      <c r="K591" s="257">
        <v>0</v>
      </c>
      <c r="L591" s="257">
        <v>0</v>
      </c>
      <c r="M591" s="279">
        <v>791500</v>
      </c>
      <c r="N591" s="257">
        <v>91500</v>
      </c>
    </row>
    <row r="592" spans="1:14" s="143" customFormat="1" hidden="1" x14ac:dyDescent="0.25">
      <c r="A592" s="143" t="s">
        <v>714</v>
      </c>
      <c r="B592" s="143" t="s">
        <v>354</v>
      </c>
      <c r="C592" s="143" t="s">
        <v>355</v>
      </c>
      <c r="D592" s="143" t="s">
        <v>69</v>
      </c>
      <c r="E592" s="257">
        <v>585840</v>
      </c>
      <c r="F592" s="257">
        <v>585840</v>
      </c>
      <c r="G592" s="257">
        <v>585840</v>
      </c>
      <c r="H592" s="257">
        <v>0</v>
      </c>
      <c r="I592" s="257">
        <v>0</v>
      </c>
      <c r="J592" s="257">
        <v>0</v>
      </c>
      <c r="K592" s="257">
        <v>0</v>
      </c>
      <c r="L592" s="257">
        <v>0</v>
      </c>
      <c r="M592" s="279">
        <v>585840</v>
      </c>
      <c r="N592" s="257">
        <v>585840</v>
      </c>
    </row>
    <row r="593" spans="1:14" s="143" customFormat="1" hidden="1" x14ac:dyDescent="0.25">
      <c r="A593" s="143" t="s">
        <v>714</v>
      </c>
      <c r="B593" s="143" t="s">
        <v>356</v>
      </c>
      <c r="C593" s="143" t="s">
        <v>357</v>
      </c>
      <c r="D593" s="143" t="s">
        <v>69</v>
      </c>
      <c r="E593" s="257">
        <v>585840</v>
      </c>
      <c r="F593" s="257">
        <v>585840</v>
      </c>
      <c r="G593" s="257">
        <v>585840</v>
      </c>
      <c r="H593" s="257">
        <v>0</v>
      </c>
      <c r="I593" s="257">
        <v>0</v>
      </c>
      <c r="J593" s="257">
        <v>0</v>
      </c>
      <c r="K593" s="257">
        <v>0</v>
      </c>
      <c r="L593" s="257">
        <v>0</v>
      </c>
      <c r="M593" s="279">
        <v>585840</v>
      </c>
      <c r="N593" s="257">
        <v>585840</v>
      </c>
    </row>
    <row r="594" spans="1:14" s="143" customFormat="1" hidden="1" x14ac:dyDescent="0.25">
      <c r="A594" s="143" t="s">
        <v>714</v>
      </c>
      <c r="B594" s="143" t="s">
        <v>212</v>
      </c>
      <c r="C594" s="143" t="s">
        <v>213</v>
      </c>
      <c r="D594" s="143" t="s">
        <v>69</v>
      </c>
      <c r="E594" s="257">
        <v>4198730</v>
      </c>
      <c r="F594" s="257">
        <v>4198730</v>
      </c>
      <c r="G594" s="257">
        <v>1698730</v>
      </c>
      <c r="H594" s="257">
        <v>0</v>
      </c>
      <c r="I594" s="257">
        <v>0</v>
      </c>
      <c r="J594" s="257">
        <v>0</v>
      </c>
      <c r="K594" s="257">
        <v>0</v>
      </c>
      <c r="L594" s="257">
        <v>0</v>
      </c>
      <c r="M594" s="279">
        <v>4198730</v>
      </c>
      <c r="N594" s="257">
        <v>1698730</v>
      </c>
    </row>
    <row r="595" spans="1:14" s="143" customFormat="1" hidden="1" x14ac:dyDescent="0.25">
      <c r="A595" s="143" t="s">
        <v>714</v>
      </c>
      <c r="B595" s="143" t="s">
        <v>220</v>
      </c>
      <c r="C595" s="143" t="s">
        <v>221</v>
      </c>
      <c r="D595" s="143" t="s">
        <v>69</v>
      </c>
      <c r="E595" s="257">
        <v>1076090</v>
      </c>
      <c r="F595" s="257">
        <v>1076090</v>
      </c>
      <c r="G595" s="257">
        <v>1076090</v>
      </c>
      <c r="H595" s="257">
        <v>0</v>
      </c>
      <c r="I595" s="257">
        <v>0</v>
      </c>
      <c r="J595" s="257">
        <v>0</v>
      </c>
      <c r="K595" s="257">
        <v>0</v>
      </c>
      <c r="L595" s="257">
        <v>0</v>
      </c>
      <c r="M595" s="279">
        <v>1076090</v>
      </c>
      <c r="N595" s="257">
        <v>1076090</v>
      </c>
    </row>
    <row r="596" spans="1:14" s="143" customFormat="1" hidden="1" x14ac:dyDescent="0.25">
      <c r="A596" s="143" t="s">
        <v>714</v>
      </c>
      <c r="B596" s="143" t="s">
        <v>222</v>
      </c>
      <c r="C596" s="143" t="s">
        <v>223</v>
      </c>
      <c r="D596" s="143" t="s">
        <v>69</v>
      </c>
      <c r="E596" s="257">
        <v>35760</v>
      </c>
      <c r="F596" s="257">
        <v>35760</v>
      </c>
      <c r="G596" s="257">
        <v>35760</v>
      </c>
      <c r="H596" s="257">
        <v>0</v>
      </c>
      <c r="I596" s="257">
        <v>0</v>
      </c>
      <c r="J596" s="257">
        <v>0</v>
      </c>
      <c r="K596" s="257">
        <v>0</v>
      </c>
      <c r="L596" s="257">
        <v>0</v>
      </c>
      <c r="M596" s="279">
        <v>35760</v>
      </c>
      <c r="N596" s="257">
        <v>35760</v>
      </c>
    </row>
    <row r="597" spans="1:14" s="143" customFormat="1" hidden="1" x14ac:dyDescent="0.25">
      <c r="A597" s="143" t="s">
        <v>714</v>
      </c>
      <c r="B597" s="143" t="s">
        <v>224</v>
      </c>
      <c r="C597" s="143" t="s">
        <v>225</v>
      </c>
      <c r="D597" s="143" t="s">
        <v>69</v>
      </c>
      <c r="E597" s="257">
        <v>2587400</v>
      </c>
      <c r="F597" s="257">
        <v>2587400</v>
      </c>
      <c r="G597" s="257">
        <v>87400</v>
      </c>
      <c r="H597" s="257">
        <v>0</v>
      </c>
      <c r="I597" s="257">
        <v>0</v>
      </c>
      <c r="J597" s="257">
        <v>0</v>
      </c>
      <c r="K597" s="257">
        <v>0</v>
      </c>
      <c r="L597" s="257">
        <v>0</v>
      </c>
      <c r="M597" s="279">
        <v>2587400</v>
      </c>
      <c r="N597" s="257">
        <v>87400</v>
      </c>
    </row>
    <row r="598" spans="1:14" s="143" customFormat="1" hidden="1" x14ac:dyDescent="0.25">
      <c r="A598" s="143" t="s">
        <v>714</v>
      </c>
      <c r="B598" s="143" t="s">
        <v>228</v>
      </c>
      <c r="C598" s="143" t="s">
        <v>229</v>
      </c>
      <c r="D598" s="143" t="s">
        <v>69</v>
      </c>
      <c r="E598" s="257">
        <v>499480</v>
      </c>
      <c r="F598" s="257">
        <v>499480</v>
      </c>
      <c r="G598" s="257">
        <v>499480</v>
      </c>
      <c r="H598" s="257">
        <v>0</v>
      </c>
      <c r="I598" s="257">
        <v>0</v>
      </c>
      <c r="J598" s="257">
        <v>0</v>
      </c>
      <c r="K598" s="257">
        <v>0</v>
      </c>
      <c r="L598" s="257">
        <v>0</v>
      </c>
      <c r="M598" s="279">
        <v>499480</v>
      </c>
      <c r="N598" s="257">
        <v>499480</v>
      </c>
    </row>
    <row r="599" spans="1:14" s="143" customFormat="1" hidden="1" x14ac:dyDescent="0.25">
      <c r="A599" s="143" t="s">
        <v>714</v>
      </c>
      <c r="B599" s="143" t="s">
        <v>230</v>
      </c>
      <c r="C599" s="143" t="s">
        <v>231</v>
      </c>
      <c r="D599" s="143" t="s">
        <v>85</v>
      </c>
      <c r="E599" s="257">
        <v>5038000</v>
      </c>
      <c r="F599" s="257">
        <v>5038000</v>
      </c>
      <c r="G599" s="257">
        <v>738000</v>
      </c>
      <c r="H599" s="257">
        <v>0</v>
      </c>
      <c r="I599" s="257">
        <v>0</v>
      </c>
      <c r="J599" s="257">
        <v>0</v>
      </c>
      <c r="K599" s="257">
        <v>0</v>
      </c>
      <c r="L599" s="257">
        <v>0</v>
      </c>
      <c r="M599" s="279">
        <v>5038000</v>
      </c>
      <c r="N599" s="257">
        <v>738000</v>
      </c>
    </row>
    <row r="600" spans="1:14" s="143" customFormat="1" hidden="1" x14ac:dyDescent="0.25">
      <c r="A600" s="143" t="s">
        <v>714</v>
      </c>
      <c r="B600" s="143" t="s">
        <v>232</v>
      </c>
      <c r="C600" s="143" t="s">
        <v>233</v>
      </c>
      <c r="D600" s="143" t="s">
        <v>85</v>
      </c>
      <c r="E600" s="257">
        <v>4954000</v>
      </c>
      <c r="F600" s="257">
        <v>4954000</v>
      </c>
      <c r="G600" s="257">
        <v>654000</v>
      </c>
      <c r="H600" s="257">
        <v>0</v>
      </c>
      <c r="I600" s="257">
        <v>0</v>
      </c>
      <c r="J600" s="257">
        <v>0</v>
      </c>
      <c r="K600" s="257">
        <v>0</v>
      </c>
      <c r="L600" s="257">
        <v>0</v>
      </c>
      <c r="M600" s="279">
        <v>4954000</v>
      </c>
      <c r="N600" s="257">
        <v>654000</v>
      </c>
    </row>
    <row r="601" spans="1:14" s="143" customFormat="1" hidden="1" x14ac:dyDescent="0.25">
      <c r="A601" s="143" t="s">
        <v>714</v>
      </c>
      <c r="B601" s="143" t="s">
        <v>234</v>
      </c>
      <c r="C601" s="143" t="s">
        <v>235</v>
      </c>
      <c r="D601" s="143" t="s">
        <v>85</v>
      </c>
      <c r="E601" s="257">
        <v>3565000</v>
      </c>
      <c r="F601" s="257">
        <v>3565000</v>
      </c>
      <c r="G601" s="257">
        <v>565000</v>
      </c>
      <c r="H601" s="257">
        <v>0</v>
      </c>
      <c r="I601" s="257">
        <v>0</v>
      </c>
      <c r="J601" s="257">
        <v>0</v>
      </c>
      <c r="K601" s="257">
        <v>0</v>
      </c>
      <c r="L601" s="257">
        <v>0</v>
      </c>
      <c r="M601" s="279">
        <v>3565000</v>
      </c>
      <c r="N601" s="257">
        <v>565000</v>
      </c>
    </row>
    <row r="602" spans="1:14" s="143" customFormat="1" hidden="1" x14ac:dyDescent="0.25">
      <c r="A602" s="143" t="s">
        <v>714</v>
      </c>
      <c r="B602" s="143" t="s">
        <v>242</v>
      </c>
      <c r="C602" s="143" t="s">
        <v>243</v>
      </c>
      <c r="D602" s="143" t="s">
        <v>85</v>
      </c>
      <c r="E602" s="257">
        <v>1389000</v>
      </c>
      <c r="F602" s="257">
        <v>1389000</v>
      </c>
      <c r="G602" s="257">
        <v>89000</v>
      </c>
      <c r="H602" s="257">
        <v>0</v>
      </c>
      <c r="I602" s="257">
        <v>0</v>
      </c>
      <c r="J602" s="257">
        <v>0</v>
      </c>
      <c r="K602" s="257">
        <v>0</v>
      </c>
      <c r="L602" s="257">
        <v>0</v>
      </c>
      <c r="M602" s="279">
        <v>1389000</v>
      </c>
      <c r="N602" s="257">
        <v>89000</v>
      </c>
    </row>
    <row r="603" spans="1:14" s="143" customFormat="1" hidden="1" x14ac:dyDescent="0.25">
      <c r="A603" s="143" t="s">
        <v>714</v>
      </c>
      <c r="B603" s="143" t="s">
        <v>244</v>
      </c>
      <c r="C603" s="143" t="s">
        <v>245</v>
      </c>
      <c r="D603" s="143" t="s">
        <v>85</v>
      </c>
      <c r="E603" s="257">
        <v>84000</v>
      </c>
      <c r="F603" s="257">
        <v>84000</v>
      </c>
      <c r="G603" s="257">
        <v>84000</v>
      </c>
      <c r="H603" s="257">
        <v>0</v>
      </c>
      <c r="I603" s="257">
        <v>0</v>
      </c>
      <c r="J603" s="257">
        <v>0</v>
      </c>
      <c r="K603" s="257">
        <v>0</v>
      </c>
      <c r="L603" s="257">
        <v>0</v>
      </c>
      <c r="M603" s="279">
        <v>84000</v>
      </c>
      <c r="N603" s="257">
        <v>84000</v>
      </c>
    </row>
    <row r="604" spans="1:14" s="143" customFormat="1" hidden="1" x14ac:dyDescent="0.25">
      <c r="A604" s="143" t="s">
        <v>714</v>
      </c>
      <c r="B604" s="143" t="s">
        <v>611</v>
      </c>
      <c r="C604" s="143" t="s">
        <v>612</v>
      </c>
      <c r="D604" s="143" t="s">
        <v>85</v>
      </c>
      <c r="E604" s="257">
        <v>84000</v>
      </c>
      <c r="F604" s="257">
        <v>84000</v>
      </c>
      <c r="G604" s="257">
        <v>84000</v>
      </c>
      <c r="H604" s="257">
        <v>0</v>
      </c>
      <c r="I604" s="257">
        <v>0</v>
      </c>
      <c r="J604" s="257">
        <v>0</v>
      </c>
      <c r="K604" s="257">
        <v>0</v>
      </c>
      <c r="L604" s="257">
        <v>0</v>
      </c>
      <c r="M604" s="279">
        <v>84000</v>
      </c>
      <c r="N604" s="257">
        <v>84000</v>
      </c>
    </row>
    <row r="605" spans="1:14" s="143" customFormat="1" hidden="1" x14ac:dyDescent="0.25">
      <c r="A605" s="143" t="s">
        <v>714</v>
      </c>
      <c r="B605" s="143" t="s">
        <v>248</v>
      </c>
      <c r="C605" s="143" t="s">
        <v>249</v>
      </c>
      <c r="D605" s="143" t="s">
        <v>69</v>
      </c>
      <c r="E605" s="257">
        <v>32319360</v>
      </c>
      <c r="F605" s="257">
        <v>32319360</v>
      </c>
      <c r="G605" s="257">
        <v>31657427</v>
      </c>
      <c r="H605" s="257">
        <v>0</v>
      </c>
      <c r="I605" s="257">
        <v>19563474</v>
      </c>
      <c r="J605" s="257">
        <v>0</v>
      </c>
      <c r="K605" s="257">
        <v>5860592</v>
      </c>
      <c r="L605" s="257">
        <v>5860592</v>
      </c>
      <c r="M605" s="279">
        <v>6895294</v>
      </c>
      <c r="N605" s="257">
        <v>6233361</v>
      </c>
    </row>
    <row r="606" spans="1:14" s="143" customFormat="1" hidden="1" x14ac:dyDescent="0.25">
      <c r="A606" s="143" t="s">
        <v>714</v>
      </c>
      <c r="B606" s="143" t="s">
        <v>250</v>
      </c>
      <c r="C606" s="143" t="s">
        <v>251</v>
      </c>
      <c r="D606" s="143" t="s">
        <v>69</v>
      </c>
      <c r="E606" s="257">
        <v>24819360</v>
      </c>
      <c r="F606" s="257">
        <v>24819360</v>
      </c>
      <c r="G606" s="257">
        <v>24157427</v>
      </c>
      <c r="H606" s="257">
        <v>0</v>
      </c>
      <c r="I606" s="257">
        <v>19563474</v>
      </c>
      <c r="J606" s="257">
        <v>0</v>
      </c>
      <c r="K606" s="257">
        <v>5255886</v>
      </c>
      <c r="L606" s="257">
        <v>5255886</v>
      </c>
      <c r="M606" s="279">
        <v>0</v>
      </c>
      <c r="N606" s="275">
        <v>-661933</v>
      </c>
    </row>
    <row r="607" spans="1:14" s="143" customFormat="1" hidden="1" x14ac:dyDescent="0.25">
      <c r="A607" s="143" t="s">
        <v>714</v>
      </c>
      <c r="B607" s="143" t="s">
        <v>633</v>
      </c>
      <c r="C607" s="143" t="s">
        <v>702</v>
      </c>
      <c r="D607" s="143" t="s">
        <v>69</v>
      </c>
      <c r="E607" s="257">
        <v>21081545</v>
      </c>
      <c r="F607" s="257">
        <v>21081545</v>
      </c>
      <c r="G607" s="257">
        <v>20519300</v>
      </c>
      <c r="H607" s="257">
        <v>0</v>
      </c>
      <c r="I607" s="257">
        <v>16645385</v>
      </c>
      <c r="J607" s="257">
        <v>0</v>
      </c>
      <c r="K607" s="257">
        <v>4436160</v>
      </c>
      <c r="L607" s="257">
        <v>4436160</v>
      </c>
      <c r="M607" s="279">
        <v>0</v>
      </c>
      <c r="N607" s="275">
        <v>-562245</v>
      </c>
    </row>
    <row r="608" spans="1:14" s="143" customFormat="1" hidden="1" x14ac:dyDescent="0.25">
      <c r="A608" s="143" t="s">
        <v>714</v>
      </c>
      <c r="B608" s="143" t="s">
        <v>648</v>
      </c>
      <c r="C608" s="143" t="s">
        <v>703</v>
      </c>
      <c r="D608" s="143" t="s">
        <v>69</v>
      </c>
      <c r="E608" s="257">
        <v>3737815</v>
      </c>
      <c r="F608" s="257">
        <v>3737815</v>
      </c>
      <c r="G608" s="257">
        <v>3638127</v>
      </c>
      <c r="H608" s="257">
        <v>0</v>
      </c>
      <c r="I608" s="257">
        <v>2918089</v>
      </c>
      <c r="J608" s="257">
        <v>0</v>
      </c>
      <c r="K608" s="257">
        <v>819726</v>
      </c>
      <c r="L608" s="257">
        <v>819726</v>
      </c>
      <c r="M608" s="279">
        <v>0</v>
      </c>
      <c r="N608" s="275">
        <v>-99688</v>
      </c>
    </row>
    <row r="609" spans="1:14" s="143" customFormat="1" hidden="1" x14ac:dyDescent="0.25">
      <c r="A609" s="143" t="s">
        <v>714</v>
      </c>
      <c r="B609" s="143" t="s">
        <v>260</v>
      </c>
      <c r="C609" s="143" t="s">
        <v>261</v>
      </c>
      <c r="D609" s="143" t="s">
        <v>69</v>
      </c>
      <c r="E609" s="257">
        <v>7500000</v>
      </c>
      <c r="F609" s="257">
        <v>7500000</v>
      </c>
      <c r="G609" s="257">
        <v>7500000</v>
      </c>
      <c r="H609" s="257">
        <v>0</v>
      </c>
      <c r="I609" s="257">
        <v>0</v>
      </c>
      <c r="J609" s="257">
        <v>0</v>
      </c>
      <c r="K609" s="257">
        <v>604706</v>
      </c>
      <c r="L609" s="257">
        <v>604706</v>
      </c>
      <c r="M609" s="279">
        <v>6895294</v>
      </c>
      <c r="N609" s="257">
        <v>6895294</v>
      </c>
    </row>
    <row r="610" spans="1:14" s="143" customFormat="1" hidden="1" x14ac:dyDescent="0.25">
      <c r="A610" s="143" t="s">
        <v>714</v>
      </c>
      <c r="B610" s="143" t="s">
        <v>264</v>
      </c>
      <c r="C610" s="143" t="s">
        <v>265</v>
      </c>
      <c r="D610" s="143" t="s">
        <v>69</v>
      </c>
      <c r="E610" s="257">
        <v>7500000</v>
      </c>
      <c r="F610" s="257">
        <v>7500000</v>
      </c>
      <c r="G610" s="257">
        <v>7500000</v>
      </c>
      <c r="H610" s="257">
        <v>0</v>
      </c>
      <c r="I610" s="257">
        <v>0</v>
      </c>
      <c r="J610" s="257">
        <v>0</v>
      </c>
      <c r="K610" s="257">
        <v>604706</v>
      </c>
      <c r="L610" s="257">
        <v>604706</v>
      </c>
      <c r="M610" s="279">
        <v>6895294</v>
      </c>
      <c r="N610" s="257">
        <v>6895294</v>
      </c>
    </row>
    <row r="611" spans="1:14" s="143" customFormat="1" x14ac:dyDescent="0.25">
      <c r="A611" s="454">
        <v>214789005</v>
      </c>
      <c r="D611" s="454" t="s">
        <v>69</v>
      </c>
      <c r="E611" s="257">
        <v>1188120522</v>
      </c>
      <c r="F611" s="272">
        <v>1188120522</v>
      </c>
      <c r="G611" s="257">
        <v>1141407532</v>
      </c>
      <c r="H611" s="269">
        <v>0</v>
      </c>
      <c r="I611" s="274">
        <v>155671922.37</v>
      </c>
      <c r="J611" s="274">
        <v>0</v>
      </c>
      <c r="K611" s="274">
        <v>280030694.12</v>
      </c>
      <c r="L611" s="274">
        <v>279948778.56999999</v>
      </c>
      <c r="M611" s="273">
        <v>752417905.50999999</v>
      </c>
      <c r="N611" s="257">
        <v>705704915.50999999</v>
      </c>
    </row>
    <row r="612" spans="1:14" s="143" customFormat="1" hidden="1" x14ac:dyDescent="0.25">
      <c r="A612" s="143" t="s">
        <v>715</v>
      </c>
      <c r="B612" s="143" t="s">
        <v>71</v>
      </c>
      <c r="C612" s="143" t="s">
        <v>72</v>
      </c>
      <c r="D612" s="143" t="s">
        <v>69</v>
      </c>
      <c r="E612" s="257">
        <v>1139557000</v>
      </c>
      <c r="F612" s="257">
        <v>1139557000</v>
      </c>
      <c r="G612" s="257">
        <v>1107863284</v>
      </c>
      <c r="H612" s="257">
        <v>0</v>
      </c>
      <c r="I612" s="257">
        <v>137707294</v>
      </c>
      <c r="J612" s="257">
        <v>0</v>
      </c>
      <c r="K612" s="257">
        <v>275928943.49000001</v>
      </c>
      <c r="L612" s="257">
        <v>275928943.49000001</v>
      </c>
      <c r="M612" s="279">
        <v>725920762.50999999</v>
      </c>
      <c r="N612" s="257">
        <v>694227046.50999999</v>
      </c>
    </row>
    <row r="613" spans="1:14" s="143" customFormat="1" hidden="1" x14ac:dyDescent="0.25">
      <c r="A613" s="143" t="s">
        <v>715</v>
      </c>
      <c r="B613" s="143" t="s">
        <v>73</v>
      </c>
      <c r="C613" s="143" t="s">
        <v>74</v>
      </c>
      <c r="D613" s="143" t="s">
        <v>69</v>
      </c>
      <c r="E613" s="257">
        <v>400867000</v>
      </c>
      <c r="F613" s="257">
        <v>400867000</v>
      </c>
      <c r="G613" s="257">
        <v>388692700</v>
      </c>
      <c r="H613" s="257">
        <v>0</v>
      </c>
      <c r="I613" s="257">
        <v>0</v>
      </c>
      <c r="J613" s="257">
        <v>0</v>
      </c>
      <c r="K613" s="257">
        <v>89998069.719999999</v>
      </c>
      <c r="L613" s="257">
        <v>89998069.719999999</v>
      </c>
      <c r="M613" s="279">
        <v>310868930.27999997</v>
      </c>
      <c r="N613" s="257">
        <v>298694630.27999997</v>
      </c>
    </row>
    <row r="614" spans="1:14" s="143" customFormat="1" hidden="1" x14ac:dyDescent="0.25">
      <c r="A614" s="143" t="s">
        <v>715</v>
      </c>
      <c r="B614" s="143" t="s">
        <v>75</v>
      </c>
      <c r="C614" s="143" t="s">
        <v>76</v>
      </c>
      <c r="D614" s="143" t="s">
        <v>69</v>
      </c>
      <c r="E614" s="257">
        <v>400867000</v>
      </c>
      <c r="F614" s="257">
        <v>400867000</v>
      </c>
      <c r="G614" s="257">
        <v>388692700</v>
      </c>
      <c r="H614" s="257">
        <v>0</v>
      </c>
      <c r="I614" s="257">
        <v>0</v>
      </c>
      <c r="J614" s="257">
        <v>0</v>
      </c>
      <c r="K614" s="257">
        <v>89998069.719999999</v>
      </c>
      <c r="L614" s="257">
        <v>89998069.719999999</v>
      </c>
      <c r="M614" s="279">
        <v>310868930.27999997</v>
      </c>
      <c r="N614" s="257">
        <v>298694630.27999997</v>
      </c>
    </row>
    <row r="615" spans="1:14" s="143" customFormat="1" hidden="1" x14ac:dyDescent="0.25">
      <c r="A615" s="143" t="s">
        <v>715</v>
      </c>
      <c r="B615" s="143" t="s">
        <v>77</v>
      </c>
      <c r="C615" s="143" t="s">
        <v>78</v>
      </c>
      <c r="D615" s="143" t="s">
        <v>69</v>
      </c>
      <c r="E615" s="257">
        <v>564855020</v>
      </c>
      <c r="F615" s="257">
        <v>564855020</v>
      </c>
      <c r="G615" s="257">
        <v>550170363</v>
      </c>
      <c r="H615" s="257">
        <v>0</v>
      </c>
      <c r="I615" s="257">
        <v>0</v>
      </c>
      <c r="J615" s="257">
        <v>0</v>
      </c>
      <c r="K615" s="257">
        <v>149803187.77000001</v>
      </c>
      <c r="L615" s="257">
        <v>149803187.77000001</v>
      </c>
      <c r="M615" s="279">
        <v>415051832.23000002</v>
      </c>
      <c r="N615" s="257">
        <v>400367175.23000002</v>
      </c>
    </row>
    <row r="616" spans="1:14" s="143" customFormat="1" hidden="1" x14ac:dyDescent="0.25">
      <c r="A616" s="143" t="s">
        <v>715</v>
      </c>
      <c r="B616" s="143" t="s">
        <v>79</v>
      </c>
      <c r="C616" s="143" t="s">
        <v>80</v>
      </c>
      <c r="D616" s="143" t="s">
        <v>69</v>
      </c>
      <c r="E616" s="257">
        <v>153608900</v>
      </c>
      <c r="F616" s="257">
        <v>153608900</v>
      </c>
      <c r="G616" s="257">
        <v>147384303</v>
      </c>
      <c r="H616" s="257">
        <v>0</v>
      </c>
      <c r="I616" s="257">
        <v>0</v>
      </c>
      <c r="J616" s="257">
        <v>0</v>
      </c>
      <c r="K616" s="257">
        <v>29816359.969999999</v>
      </c>
      <c r="L616" s="257">
        <v>29816359.969999999</v>
      </c>
      <c r="M616" s="279">
        <v>123792540.03</v>
      </c>
      <c r="N616" s="257">
        <v>117567943.03</v>
      </c>
    </row>
    <row r="617" spans="1:14" s="143" customFormat="1" hidden="1" x14ac:dyDescent="0.25">
      <c r="A617" s="143" t="s">
        <v>715</v>
      </c>
      <c r="B617" s="143" t="s">
        <v>81</v>
      </c>
      <c r="C617" s="143" t="s">
        <v>82</v>
      </c>
      <c r="D617" s="143" t="s">
        <v>69</v>
      </c>
      <c r="E617" s="257">
        <v>194052109</v>
      </c>
      <c r="F617" s="257">
        <v>194052109</v>
      </c>
      <c r="G617" s="257">
        <v>188799681</v>
      </c>
      <c r="H617" s="257">
        <v>0</v>
      </c>
      <c r="I617" s="257">
        <v>0</v>
      </c>
      <c r="J617" s="257">
        <v>0</v>
      </c>
      <c r="K617" s="257">
        <v>42773740.380000003</v>
      </c>
      <c r="L617" s="257">
        <v>42773740.380000003</v>
      </c>
      <c r="M617" s="279">
        <v>151278368.62</v>
      </c>
      <c r="N617" s="257">
        <v>146025940.62</v>
      </c>
    </row>
    <row r="618" spans="1:14" s="143" customFormat="1" hidden="1" x14ac:dyDescent="0.25">
      <c r="A618" s="143" t="s">
        <v>715</v>
      </c>
      <c r="B618" s="143" t="s">
        <v>83</v>
      </c>
      <c r="C618" s="143" t="s">
        <v>84</v>
      </c>
      <c r="D618" s="143" t="s">
        <v>85</v>
      </c>
      <c r="E618" s="257">
        <v>74258811</v>
      </c>
      <c r="F618" s="257">
        <v>74258811</v>
      </c>
      <c r="G618" s="257">
        <v>72193501</v>
      </c>
      <c r="H618" s="257">
        <v>0</v>
      </c>
      <c r="I618" s="257">
        <v>0</v>
      </c>
      <c r="J618" s="257">
        <v>0</v>
      </c>
      <c r="K618" s="257">
        <v>0</v>
      </c>
      <c r="L618" s="257">
        <v>0</v>
      </c>
      <c r="M618" s="279">
        <v>74258811</v>
      </c>
      <c r="N618" s="257">
        <v>72193501</v>
      </c>
    </row>
    <row r="619" spans="1:14" s="143" customFormat="1" hidden="1" x14ac:dyDescent="0.25">
      <c r="A619" s="143" t="s">
        <v>715</v>
      </c>
      <c r="B619" s="143" t="s">
        <v>86</v>
      </c>
      <c r="C619" s="143" t="s">
        <v>87</v>
      </c>
      <c r="D619" s="143" t="s">
        <v>69</v>
      </c>
      <c r="E619" s="257">
        <v>68267000</v>
      </c>
      <c r="F619" s="257">
        <v>68267000</v>
      </c>
      <c r="G619" s="257">
        <v>68267000</v>
      </c>
      <c r="H619" s="257">
        <v>0</v>
      </c>
      <c r="I619" s="257">
        <v>0</v>
      </c>
      <c r="J619" s="257">
        <v>0</v>
      </c>
      <c r="K619" s="257">
        <v>61310698.509999998</v>
      </c>
      <c r="L619" s="257">
        <v>61310698.509999998</v>
      </c>
      <c r="M619" s="279">
        <v>6956301.4900000002</v>
      </c>
      <c r="N619" s="257">
        <v>6956301.4900000002</v>
      </c>
    </row>
    <row r="620" spans="1:14" s="143" customFormat="1" hidden="1" x14ac:dyDescent="0.25">
      <c r="A620" s="143" t="s">
        <v>715</v>
      </c>
      <c r="B620" s="143" t="s">
        <v>88</v>
      </c>
      <c r="C620" s="143" t="s">
        <v>89</v>
      </c>
      <c r="D620" s="143" t="s">
        <v>69</v>
      </c>
      <c r="E620" s="257">
        <v>74668200</v>
      </c>
      <c r="F620" s="257">
        <v>74668200</v>
      </c>
      <c r="G620" s="257">
        <v>73525878</v>
      </c>
      <c r="H620" s="257">
        <v>0</v>
      </c>
      <c r="I620" s="257">
        <v>0</v>
      </c>
      <c r="J620" s="257">
        <v>0</v>
      </c>
      <c r="K620" s="257">
        <v>15902388.91</v>
      </c>
      <c r="L620" s="257">
        <v>15902388.91</v>
      </c>
      <c r="M620" s="279">
        <v>58765811.090000004</v>
      </c>
      <c r="N620" s="257">
        <v>57623489.090000004</v>
      </c>
    </row>
    <row r="621" spans="1:14" s="143" customFormat="1" hidden="1" x14ac:dyDescent="0.25">
      <c r="A621" s="143" t="s">
        <v>715</v>
      </c>
      <c r="B621" s="143" t="s">
        <v>90</v>
      </c>
      <c r="C621" s="143" t="s">
        <v>91</v>
      </c>
      <c r="D621" s="143" t="s">
        <v>69</v>
      </c>
      <c r="E621" s="257">
        <v>86917540</v>
      </c>
      <c r="F621" s="257">
        <v>86917540</v>
      </c>
      <c r="G621" s="257">
        <v>84500160</v>
      </c>
      <c r="H621" s="257">
        <v>0</v>
      </c>
      <c r="I621" s="257">
        <v>68798346</v>
      </c>
      <c r="J621" s="257">
        <v>0</v>
      </c>
      <c r="K621" s="257">
        <v>18119194</v>
      </c>
      <c r="L621" s="257">
        <v>18119194</v>
      </c>
      <c r="M621" s="279">
        <v>0</v>
      </c>
      <c r="N621" s="275">
        <v>-2417380</v>
      </c>
    </row>
    <row r="622" spans="1:14" s="143" customFormat="1" hidden="1" x14ac:dyDescent="0.25">
      <c r="A622" s="143" t="s">
        <v>715</v>
      </c>
      <c r="B622" s="143" t="s">
        <v>425</v>
      </c>
      <c r="C622" s="143" t="s">
        <v>697</v>
      </c>
      <c r="D622" s="143" t="s">
        <v>69</v>
      </c>
      <c r="E622" s="257">
        <v>82460320</v>
      </c>
      <c r="F622" s="257">
        <v>82460320</v>
      </c>
      <c r="G622" s="257">
        <v>80166908</v>
      </c>
      <c r="H622" s="257">
        <v>0</v>
      </c>
      <c r="I622" s="257">
        <v>65270316</v>
      </c>
      <c r="J622" s="257">
        <v>0</v>
      </c>
      <c r="K622" s="257">
        <v>17190004</v>
      </c>
      <c r="L622" s="257">
        <v>17190004</v>
      </c>
      <c r="M622" s="279">
        <v>0</v>
      </c>
      <c r="N622" s="275">
        <v>-2293412</v>
      </c>
    </row>
    <row r="623" spans="1:14" s="143" customFormat="1" hidden="1" x14ac:dyDescent="0.25">
      <c r="A623" s="143" t="s">
        <v>715</v>
      </c>
      <c r="B623" s="143" t="s">
        <v>442</v>
      </c>
      <c r="C623" s="143" t="s">
        <v>95</v>
      </c>
      <c r="D623" s="143" t="s">
        <v>69</v>
      </c>
      <c r="E623" s="257">
        <v>4457220</v>
      </c>
      <c r="F623" s="257">
        <v>4457220</v>
      </c>
      <c r="G623" s="257">
        <v>4333252</v>
      </c>
      <c r="H623" s="257">
        <v>0</v>
      </c>
      <c r="I623" s="257">
        <v>3528030</v>
      </c>
      <c r="J623" s="257">
        <v>0</v>
      </c>
      <c r="K623" s="257">
        <v>929190</v>
      </c>
      <c r="L623" s="257">
        <v>929190</v>
      </c>
      <c r="M623" s="279">
        <v>0</v>
      </c>
      <c r="N623" s="275">
        <v>-123968</v>
      </c>
    </row>
    <row r="624" spans="1:14" s="143" customFormat="1" hidden="1" x14ac:dyDescent="0.25">
      <c r="A624" s="143" t="s">
        <v>715</v>
      </c>
      <c r="B624" s="143" t="s">
        <v>96</v>
      </c>
      <c r="C624" s="143" t="s">
        <v>97</v>
      </c>
      <c r="D624" s="143" t="s">
        <v>69</v>
      </c>
      <c r="E624" s="257">
        <v>86917440</v>
      </c>
      <c r="F624" s="257">
        <v>86917440</v>
      </c>
      <c r="G624" s="257">
        <v>84500061</v>
      </c>
      <c r="H624" s="257">
        <v>0</v>
      </c>
      <c r="I624" s="257">
        <v>68908948</v>
      </c>
      <c r="J624" s="257">
        <v>0</v>
      </c>
      <c r="K624" s="257">
        <v>18008492</v>
      </c>
      <c r="L624" s="257">
        <v>18008492</v>
      </c>
      <c r="M624" s="279">
        <v>0</v>
      </c>
      <c r="N624" s="275">
        <v>-2417379</v>
      </c>
    </row>
    <row r="625" spans="1:14" s="143" customFormat="1" hidden="1" x14ac:dyDescent="0.25">
      <c r="A625" s="143" t="s">
        <v>715</v>
      </c>
      <c r="B625" s="143" t="s">
        <v>460</v>
      </c>
      <c r="C625" s="143" t="s">
        <v>698</v>
      </c>
      <c r="D625" s="143" t="s">
        <v>69</v>
      </c>
      <c r="E625" s="257">
        <v>46801760</v>
      </c>
      <c r="F625" s="257">
        <v>46801760</v>
      </c>
      <c r="G625" s="257">
        <v>45500094</v>
      </c>
      <c r="H625" s="257">
        <v>0</v>
      </c>
      <c r="I625" s="257">
        <v>37155974</v>
      </c>
      <c r="J625" s="257">
        <v>0</v>
      </c>
      <c r="K625" s="257">
        <v>9645786</v>
      </c>
      <c r="L625" s="257">
        <v>9645786</v>
      </c>
      <c r="M625" s="279">
        <v>0</v>
      </c>
      <c r="N625" s="275">
        <v>-1301666</v>
      </c>
    </row>
    <row r="626" spans="1:14" s="143" customFormat="1" hidden="1" x14ac:dyDescent="0.25">
      <c r="A626" s="143" t="s">
        <v>715</v>
      </c>
      <c r="B626" s="143" t="s">
        <v>477</v>
      </c>
      <c r="C626" s="143" t="s">
        <v>699</v>
      </c>
      <c r="D626" s="143" t="s">
        <v>69</v>
      </c>
      <c r="E626" s="257">
        <v>13371860</v>
      </c>
      <c r="F626" s="257">
        <v>13371860</v>
      </c>
      <c r="G626" s="257">
        <v>12999956</v>
      </c>
      <c r="H626" s="257">
        <v>0</v>
      </c>
      <c r="I626" s="257">
        <v>10584291</v>
      </c>
      <c r="J626" s="257">
        <v>0</v>
      </c>
      <c r="K626" s="257">
        <v>2787569</v>
      </c>
      <c r="L626" s="257">
        <v>2787569</v>
      </c>
      <c r="M626" s="279">
        <v>0</v>
      </c>
      <c r="N626" s="275">
        <v>-371904</v>
      </c>
    </row>
    <row r="627" spans="1:14" s="143" customFormat="1" hidden="1" x14ac:dyDescent="0.25">
      <c r="A627" s="143" t="s">
        <v>715</v>
      </c>
      <c r="B627" s="143" t="s">
        <v>494</v>
      </c>
      <c r="C627" s="143" t="s">
        <v>700</v>
      </c>
      <c r="D627" s="143" t="s">
        <v>69</v>
      </c>
      <c r="E627" s="257">
        <v>26743820</v>
      </c>
      <c r="F627" s="257">
        <v>26743820</v>
      </c>
      <c r="G627" s="257">
        <v>26000011</v>
      </c>
      <c r="H627" s="257">
        <v>0</v>
      </c>
      <c r="I627" s="257">
        <v>21168683</v>
      </c>
      <c r="J627" s="257">
        <v>0</v>
      </c>
      <c r="K627" s="257">
        <v>5575137</v>
      </c>
      <c r="L627" s="257">
        <v>5575137</v>
      </c>
      <c r="M627" s="279">
        <v>0</v>
      </c>
      <c r="N627" s="275">
        <v>-743809</v>
      </c>
    </row>
    <row r="628" spans="1:14" s="143" customFormat="1" hidden="1" x14ac:dyDescent="0.25">
      <c r="A628" s="143" t="s">
        <v>715</v>
      </c>
      <c r="B628" s="143" t="s">
        <v>104</v>
      </c>
      <c r="C628" s="143" t="s">
        <v>105</v>
      </c>
      <c r="D628" s="143" t="s">
        <v>69</v>
      </c>
      <c r="E628" s="257">
        <v>30265400</v>
      </c>
      <c r="F628" s="257">
        <v>30265400</v>
      </c>
      <c r="G628" s="257">
        <v>15657700</v>
      </c>
      <c r="H628" s="257">
        <v>0</v>
      </c>
      <c r="I628" s="257">
        <v>6140712.3700000001</v>
      </c>
      <c r="J628" s="257">
        <v>0</v>
      </c>
      <c r="K628" s="257">
        <v>455597.63</v>
      </c>
      <c r="L628" s="257">
        <v>373682.08</v>
      </c>
      <c r="M628" s="279">
        <v>23669090</v>
      </c>
      <c r="N628" s="257">
        <v>9061390</v>
      </c>
    </row>
    <row r="629" spans="1:14" s="143" customFormat="1" hidden="1" x14ac:dyDescent="0.25">
      <c r="A629" s="143" t="s">
        <v>715</v>
      </c>
      <c r="B629" s="143" t="s">
        <v>112</v>
      </c>
      <c r="C629" s="143" t="s">
        <v>113</v>
      </c>
      <c r="D629" s="143" t="s">
        <v>69</v>
      </c>
      <c r="E629" s="257">
        <v>30265400</v>
      </c>
      <c r="F629" s="257">
        <v>30265400</v>
      </c>
      <c r="G629" s="257">
        <v>15657700</v>
      </c>
      <c r="H629" s="257">
        <v>0</v>
      </c>
      <c r="I629" s="257">
        <v>6140712.3700000001</v>
      </c>
      <c r="J629" s="257">
        <v>0</v>
      </c>
      <c r="K629" s="257">
        <v>455597.63</v>
      </c>
      <c r="L629" s="257">
        <v>373682.08</v>
      </c>
      <c r="M629" s="279">
        <v>23669090</v>
      </c>
      <c r="N629" s="257">
        <v>9061390</v>
      </c>
    </row>
    <row r="630" spans="1:14" s="143" customFormat="1" hidden="1" x14ac:dyDescent="0.25">
      <c r="A630" s="143" t="s">
        <v>715</v>
      </c>
      <c r="B630" s="143" t="s">
        <v>114</v>
      </c>
      <c r="C630" s="143" t="s">
        <v>115</v>
      </c>
      <c r="D630" s="143" t="s">
        <v>69</v>
      </c>
      <c r="E630" s="257">
        <v>3196000</v>
      </c>
      <c r="F630" s="257">
        <v>3196000</v>
      </c>
      <c r="G630" s="257">
        <v>1598000</v>
      </c>
      <c r="H630" s="257">
        <v>0</v>
      </c>
      <c r="I630" s="257">
        <v>778596</v>
      </c>
      <c r="J630" s="257">
        <v>0</v>
      </c>
      <c r="K630" s="257">
        <v>20404</v>
      </c>
      <c r="L630" s="257">
        <v>20404</v>
      </c>
      <c r="M630" s="279">
        <v>2397000</v>
      </c>
      <c r="N630" s="257">
        <v>799000</v>
      </c>
    </row>
    <row r="631" spans="1:14" s="143" customFormat="1" hidden="1" x14ac:dyDescent="0.25">
      <c r="A631" s="143" t="s">
        <v>715</v>
      </c>
      <c r="B631" s="143" t="s">
        <v>116</v>
      </c>
      <c r="C631" s="143" t="s">
        <v>117</v>
      </c>
      <c r="D631" s="143" t="s">
        <v>69</v>
      </c>
      <c r="E631" s="257">
        <v>21749400</v>
      </c>
      <c r="F631" s="257">
        <v>21749400</v>
      </c>
      <c r="G631" s="257">
        <v>11049700</v>
      </c>
      <c r="H631" s="257">
        <v>0</v>
      </c>
      <c r="I631" s="257">
        <v>5059497.8499999996</v>
      </c>
      <c r="J631" s="257">
        <v>0</v>
      </c>
      <c r="K631" s="257">
        <v>377812.15</v>
      </c>
      <c r="L631" s="257">
        <v>295896.59999999998</v>
      </c>
      <c r="M631" s="279">
        <v>16312090</v>
      </c>
      <c r="N631" s="257">
        <v>5612390</v>
      </c>
    </row>
    <row r="632" spans="1:14" s="143" customFormat="1" hidden="1" x14ac:dyDescent="0.25">
      <c r="A632" s="143" t="s">
        <v>715</v>
      </c>
      <c r="B632" s="143" t="s">
        <v>120</v>
      </c>
      <c r="C632" s="143" t="s">
        <v>121</v>
      </c>
      <c r="D632" s="143" t="s">
        <v>69</v>
      </c>
      <c r="E632" s="257">
        <v>4620000</v>
      </c>
      <c r="F632" s="257">
        <v>4620000</v>
      </c>
      <c r="G632" s="257">
        <v>2310000</v>
      </c>
      <c r="H632" s="257">
        <v>0</v>
      </c>
      <c r="I632" s="257">
        <v>0</v>
      </c>
      <c r="J632" s="257">
        <v>0</v>
      </c>
      <c r="K632" s="257">
        <v>0</v>
      </c>
      <c r="L632" s="257">
        <v>0</v>
      </c>
      <c r="M632" s="279">
        <v>4620000</v>
      </c>
      <c r="N632" s="257">
        <v>2310000</v>
      </c>
    </row>
    <row r="633" spans="1:14" s="143" customFormat="1" hidden="1" x14ac:dyDescent="0.25">
      <c r="A633" s="143" t="s">
        <v>715</v>
      </c>
      <c r="B633" s="143" t="s">
        <v>122</v>
      </c>
      <c r="C633" s="143" t="s">
        <v>123</v>
      </c>
      <c r="D633" s="143" t="s">
        <v>69</v>
      </c>
      <c r="E633" s="257">
        <v>700000</v>
      </c>
      <c r="F633" s="257">
        <v>700000</v>
      </c>
      <c r="G633" s="257">
        <v>700000</v>
      </c>
      <c r="H633" s="257">
        <v>0</v>
      </c>
      <c r="I633" s="257">
        <v>302618.52</v>
      </c>
      <c r="J633" s="257">
        <v>0</v>
      </c>
      <c r="K633" s="257">
        <v>57381.48</v>
      </c>
      <c r="L633" s="257">
        <v>57381.48</v>
      </c>
      <c r="M633" s="279">
        <v>340000</v>
      </c>
      <c r="N633" s="257">
        <v>340000</v>
      </c>
    </row>
    <row r="634" spans="1:14" s="143" customFormat="1" hidden="1" x14ac:dyDescent="0.25">
      <c r="A634" s="143" t="s">
        <v>715</v>
      </c>
      <c r="B634" s="143" t="s">
        <v>248</v>
      </c>
      <c r="C634" s="143" t="s">
        <v>249</v>
      </c>
      <c r="D634" s="143" t="s">
        <v>69</v>
      </c>
      <c r="E634" s="257">
        <v>18298122</v>
      </c>
      <c r="F634" s="257">
        <v>18298122</v>
      </c>
      <c r="G634" s="257">
        <v>17886548</v>
      </c>
      <c r="H634" s="257">
        <v>0</v>
      </c>
      <c r="I634" s="257">
        <v>11823916</v>
      </c>
      <c r="J634" s="257">
        <v>0</v>
      </c>
      <c r="K634" s="257">
        <v>3646153</v>
      </c>
      <c r="L634" s="257">
        <v>3646153</v>
      </c>
      <c r="M634" s="279">
        <v>2828053</v>
      </c>
      <c r="N634" s="257">
        <v>2416479</v>
      </c>
    </row>
    <row r="635" spans="1:14" s="143" customFormat="1" hidden="1" x14ac:dyDescent="0.25">
      <c r="A635" s="143" t="s">
        <v>715</v>
      </c>
      <c r="B635" s="143" t="s">
        <v>250</v>
      </c>
      <c r="C635" s="143" t="s">
        <v>251</v>
      </c>
      <c r="D635" s="143" t="s">
        <v>69</v>
      </c>
      <c r="E635" s="257">
        <v>14798122</v>
      </c>
      <c r="F635" s="257">
        <v>14798122</v>
      </c>
      <c r="G635" s="257">
        <v>14386548</v>
      </c>
      <c r="H635" s="257">
        <v>0</v>
      </c>
      <c r="I635" s="257">
        <v>11823916</v>
      </c>
      <c r="J635" s="257">
        <v>0</v>
      </c>
      <c r="K635" s="257">
        <v>2974206</v>
      </c>
      <c r="L635" s="257">
        <v>2974206</v>
      </c>
      <c r="M635" s="279">
        <v>0</v>
      </c>
      <c r="N635" s="275">
        <v>-411574</v>
      </c>
    </row>
    <row r="636" spans="1:14" s="143" customFormat="1" hidden="1" x14ac:dyDescent="0.25">
      <c r="A636" s="143" t="s">
        <v>715</v>
      </c>
      <c r="B636" s="143" t="s">
        <v>634</v>
      </c>
      <c r="C636" s="143" t="s">
        <v>702</v>
      </c>
      <c r="D636" s="143" t="s">
        <v>69</v>
      </c>
      <c r="E636" s="257">
        <v>12569562</v>
      </c>
      <c r="F636" s="257">
        <v>12569562</v>
      </c>
      <c r="G636" s="257">
        <v>12219972</v>
      </c>
      <c r="H636" s="257">
        <v>0</v>
      </c>
      <c r="I636" s="257">
        <v>10059950</v>
      </c>
      <c r="J636" s="257">
        <v>0</v>
      </c>
      <c r="K636" s="257">
        <v>2509612</v>
      </c>
      <c r="L636" s="257">
        <v>2509612</v>
      </c>
      <c r="M636" s="279">
        <v>0</v>
      </c>
      <c r="N636" s="275">
        <v>-349590</v>
      </c>
    </row>
    <row r="637" spans="1:14" s="143" customFormat="1" hidden="1" x14ac:dyDescent="0.25">
      <c r="A637" s="143" t="s">
        <v>715</v>
      </c>
      <c r="B637" s="143" t="s">
        <v>649</v>
      </c>
      <c r="C637" s="143" t="s">
        <v>703</v>
      </c>
      <c r="D637" s="143" t="s">
        <v>69</v>
      </c>
      <c r="E637" s="257">
        <v>2228560</v>
      </c>
      <c r="F637" s="257">
        <v>2228560</v>
      </c>
      <c r="G637" s="257">
        <v>2166576</v>
      </c>
      <c r="H637" s="257">
        <v>0</v>
      </c>
      <c r="I637" s="257">
        <v>1763966</v>
      </c>
      <c r="J637" s="257">
        <v>0</v>
      </c>
      <c r="K637" s="257">
        <v>464594</v>
      </c>
      <c r="L637" s="257">
        <v>464594</v>
      </c>
      <c r="M637" s="279">
        <v>0</v>
      </c>
      <c r="N637" s="275">
        <v>-61984</v>
      </c>
    </row>
    <row r="638" spans="1:14" s="143" customFormat="1" hidden="1" x14ac:dyDescent="0.25">
      <c r="A638" s="143" t="s">
        <v>715</v>
      </c>
      <c r="B638" s="143" t="s">
        <v>260</v>
      </c>
      <c r="C638" s="143" t="s">
        <v>261</v>
      </c>
      <c r="D638" s="143" t="s">
        <v>69</v>
      </c>
      <c r="E638" s="257">
        <v>3500000</v>
      </c>
      <c r="F638" s="257">
        <v>3500000</v>
      </c>
      <c r="G638" s="257">
        <v>3500000</v>
      </c>
      <c r="H638" s="257">
        <v>0</v>
      </c>
      <c r="I638" s="257">
        <v>0</v>
      </c>
      <c r="J638" s="257">
        <v>0</v>
      </c>
      <c r="K638" s="257">
        <v>671947</v>
      </c>
      <c r="L638" s="257">
        <v>671947</v>
      </c>
      <c r="M638" s="279">
        <v>2828053</v>
      </c>
      <c r="N638" s="257">
        <v>2828053</v>
      </c>
    </row>
    <row r="639" spans="1:14" s="143" customFormat="1" hidden="1" x14ac:dyDescent="0.25">
      <c r="A639" s="143" t="s">
        <v>715</v>
      </c>
      <c r="B639" s="143" t="s">
        <v>264</v>
      </c>
      <c r="C639" s="143" t="s">
        <v>265</v>
      </c>
      <c r="D639" s="143" t="s">
        <v>69</v>
      </c>
      <c r="E639" s="257">
        <v>3500000</v>
      </c>
      <c r="F639" s="257">
        <v>3500000</v>
      </c>
      <c r="G639" s="257">
        <v>3500000</v>
      </c>
      <c r="H639" s="257">
        <v>0</v>
      </c>
      <c r="I639" s="257">
        <v>0</v>
      </c>
      <c r="J639" s="257">
        <v>0</v>
      </c>
      <c r="K639" s="257">
        <v>671947</v>
      </c>
      <c r="L639" s="257">
        <v>671947</v>
      </c>
      <c r="M639" s="279">
        <v>2828053</v>
      </c>
      <c r="N639" s="257">
        <v>2828053</v>
      </c>
    </row>
    <row r="640" spans="1:14" s="143" customFormat="1" x14ac:dyDescent="0.25">
      <c r="A640" s="454">
        <v>214789006</v>
      </c>
      <c r="D640" s="454" t="s">
        <v>69</v>
      </c>
      <c r="E640" s="257">
        <v>7207746597</v>
      </c>
      <c r="F640" s="272">
        <v>7207746597</v>
      </c>
      <c r="G640" s="257">
        <v>3739550939</v>
      </c>
      <c r="H640" s="269">
        <v>0</v>
      </c>
      <c r="I640" s="274">
        <v>1201568876.01</v>
      </c>
      <c r="J640" s="274">
        <v>0</v>
      </c>
      <c r="K640" s="274">
        <v>66598108.119999997</v>
      </c>
      <c r="L640" s="274">
        <v>66598108.119999997</v>
      </c>
      <c r="M640" s="273">
        <v>5939579612.8699999</v>
      </c>
      <c r="N640" s="257">
        <v>2471383954.8699999</v>
      </c>
    </row>
    <row r="641" spans="1:14" s="143" customFormat="1" hidden="1" x14ac:dyDescent="0.25">
      <c r="A641" s="143" t="s">
        <v>716</v>
      </c>
      <c r="B641" s="143" t="s">
        <v>71</v>
      </c>
      <c r="C641" s="143" t="s">
        <v>72</v>
      </c>
      <c r="D641" s="143" t="s">
        <v>69</v>
      </c>
      <c r="E641" s="257">
        <v>273249937</v>
      </c>
      <c r="F641" s="257">
        <v>273249937</v>
      </c>
      <c r="G641" s="257">
        <v>269822981</v>
      </c>
      <c r="H641" s="257">
        <v>0</v>
      </c>
      <c r="I641" s="257">
        <v>32509239</v>
      </c>
      <c r="J641" s="257">
        <v>0</v>
      </c>
      <c r="K641" s="257">
        <v>65841703.119999997</v>
      </c>
      <c r="L641" s="257">
        <v>65841703.119999997</v>
      </c>
      <c r="M641" s="279">
        <v>174898994.88</v>
      </c>
      <c r="N641" s="257">
        <v>171472038.88</v>
      </c>
    </row>
    <row r="642" spans="1:14" s="143" customFormat="1" hidden="1" x14ac:dyDescent="0.25">
      <c r="A642" s="143" t="s">
        <v>716</v>
      </c>
      <c r="B642" s="143" t="s">
        <v>73</v>
      </c>
      <c r="C642" s="143" t="s">
        <v>74</v>
      </c>
      <c r="D642" s="143" t="s">
        <v>69</v>
      </c>
      <c r="E642" s="257">
        <v>97637632</v>
      </c>
      <c r="F642" s="257">
        <v>97637632</v>
      </c>
      <c r="G642" s="257">
        <v>96661384</v>
      </c>
      <c r="H642" s="257">
        <v>0</v>
      </c>
      <c r="I642" s="257">
        <v>0</v>
      </c>
      <c r="J642" s="257">
        <v>0</v>
      </c>
      <c r="K642" s="257">
        <v>23437372.829999998</v>
      </c>
      <c r="L642" s="257">
        <v>23437372.829999998</v>
      </c>
      <c r="M642" s="279">
        <v>74200259.170000002</v>
      </c>
      <c r="N642" s="257">
        <v>73224011.170000002</v>
      </c>
    </row>
    <row r="643" spans="1:14" s="143" customFormat="1" hidden="1" x14ac:dyDescent="0.25">
      <c r="A643" s="143" t="s">
        <v>716</v>
      </c>
      <c r="B643" s="143" t="s">
        <v>75</v>
      </c>
      <c r="C643" s="143" t="s">
        <v>76</v>
      </c>
      <c r="D643" s="143" t="s">
        <v>69</v>
      </c>
      <c r="E643" s="257">
        <v>97637632</v>
      </c>
      <c r="F643" s="257">
        <v>97637632</v>
      </c>
      <c r="G643" s="257">
        <v>96661384</v>
      </c>
      <c r="H643" s="257">
        <v>0</v>
      </c>
      <c r="I643" s="257">
        <v>0</v>
      </c>
      <c r="J643" s="257">
        <v>0</v>
      </c>
      <c r="K643" s="257">
        <v>23437372.829999998</v>
      </c>
      <c r="L643" s="257">
        <v>23437372.829999998</v>
      </c>
      <c r="M643" s="279">
        <v>74200259.170000002</v>
      </c>
      <c r="N643" s="257">
        <v>73224011.170000002</v>
      </c>
    </row>
    <row r="644" spans="1:14" s="143" customFormat="1" hidden="1" x14ac:dyDescent="0.25">
      <c r="A644" s="143" t="s">
        <v>716</v>
      </c>
      <c r="B644" s="143" t="s">
        <v>77</v>
      </c>
      <c r="C644" s="143" t="s">
        <v>78</v>
      </c>
      <c r="D644" s="143" t="s">
        <v>69</v>
      </c>
      <c r="E644" s="257">
        <v>133929275</v>
      </c>
      <c r="F644" s="257">
        <v>133929275</v>
      </c>
      <c r="G644" s="257">
        <v>132001335</v>
      </c>
      <c r="H644" s="257">
        <v>0</v>
      </c>
      <c r="I644" s="257">
        <v>0</v>
      </c>
      <c r="J644" s="257">
        <v>0</v>
      </c>
      <c r="K644" s="257">
        <v>33230539.289999999</v>
      </c>
      <c r="L644" s="257">
        <v>33230539.289999999</v>
      </c>
      <c r="M644" s="279">
        <v>100698735.70999999</v>
      </c>
      <c r="N644" s="257">
        <v>98770795.709999993</v>
      </c>
    </row>
    <row r="645" spans="1:14" s="143" customFormat="1" hidden="1" x14ac:dyDescent="0.25">
      <c r="A645" s="143" t="s">
        <v>716</v>
      </c>
      <c r="B645" s="143" t="s">
        <v>79</v>
      </c>
      <c r="C645" s="143" t="s">
        <v>80</v>
      </c>
      <c r="D645" s="143" t="s">
        <v>69</v>
      </c>
      <c r="E645" s="257">
        <v>34862400</v>
      </c>
      <c r="F645" s="257">
        <v>34862400</v>
      </c>
      <c r="G645" s="257">
        <v>33521255</v>
      </c>
      <c r="H645" s="257">
        <v>0</v>
      </c>
      <c r="I645" s="257">
        <v>0</v>
      </c>
      <c r="J645" s="257">
        <v>0</v>
      </c>
      <c r="K645" s="257">
        <v>8177204.7300000004</v>
      </c>
      <c r="L645" s="257">
        <v>8177204.7300000004</v>
      </c>
      <c r="M645" s="279">
        <v>26685195.27</v>
      </c>
      <c r="N645" s="257">
        <v>25344050.27</v>
      </c>
    </row>
    <row r="646" spans="1:14" s="143" customFormat="1" hidden="1" x14ac:dyDescent="0.25">
      <c r="A646" s="143" t="s">
        <v>716</v>
      </c>
      <c r="B646" s="143" t="s">
        <v>81</v>
      </c>
      <c r="C646" s="143" t="s">
        <v>82</v>
      </c>
      <c r="D646" s="143" t="s">
        <v>69</v>
      </c>
      <c r="E646" s="257">
        <v>32733979</v>
      </c>
      <c r="F646" s="257">
        <v>32733979</v>
      </c>
      <c r="G646" s="257">
        <v>32370500</v>
      </c>
      <c r="H646" s="257">
        <v>0</v>
      </c>
      <c r="I646" s="257">
        <v>0</v>
      </c>
      <c r="J646" s="257">
        <v>0</v>
      </c>
      <c r="K646" s="257">
        <v>7701131.25</v>
      </c>
      <c r="L646" s="257">
        <v>7701131.25</v>
      </c>
      <c r="M646" s="279">
        <v>25032847.75</v>
      </c>
      <c r="N646" s="257">
        <v>24669368.75</v>
      </c>
    </row>
    <row r="647" spans="1:14" s="143" customFormat="1" hidden="1" x14ac:dyDescent="0.25">
      <c r="A647" s="143" t="s">
        <v>716</v>
      </c>
      <c r="B647" s="143" t="s">
        <v>83</v>
      </c>
      <c r="C647" s="143" t="s">
        <v>84</v>
      </c>
      <c r="D647" s="143" t="s">
        <v>85</v>
      </c>
      <c r="E647" s="257">
        <v>17806196</v>
      </c>
      <c r="F647" s="257">
        <v>17806196</v>
      </c>
      <c r="G647" s="257">
        <v>17582880</v>
      </c>
      <c r="H647" s="257">
        <v>0</v>
      </c>
      <c r="I647" s="257">
        <v>0</v>
      </c>
      <c r="J647" s="257">
        <v>0</v>
      </c>
      <c r="K647" s="257">
        <v>0</v>
      </c>
      <c r="L647" s="257">
        <v>0</v>
      </c>
      <c r="M647" s="279">
        <v>17806196</v>
      </c>
      <c r="N647" s="257">
        <v>17582880</v>
      </c>
    </row>
    <row r="648" spans="1:14" s="143" customFormat="1" hidden="1" x14ac:dyDescent="0.25">
      <c r="A648" s="143" t="s">
        <v>716</v>
      </c>
      <c r="B648" s="143" t="s">
        <v>86</v>
      </c>
      <c r="C648" s="143" t="s">
        <v>87</v>
      </c>
      <c r="D648" s="143" t="s">
        <v>69</v>
      </c>
      <c r="E648" s="257">
        <v>16387600</v>
      </c>
      <c r="F648" s="257">
        <v>16387600</v>
      </c>
      <c r="G648" s="257">
        <v>16387600</v>
      </c>
      <c r="H648" s="257">
        <v>0</v>
      </c>
      <c r="I648" s="257">
        <v>0</v>
      </c>
      <c r="J648" s="257">
        <v>0</v>
      </c>
      <c r="K648" s="257">
        <v>9494365.5</v>
      </c>
      <c r="L648" s="257">
        <v>9494365.5</v>
      </c>
      <c r="M648" s="279">
        <v>6893234.5</v>
      </c>
      <c r="N648" s="257">
        <v>6893234.5</v>
      </c>
    </row>
    <row r="649" spans="1:14" s="143" customFormat="1" hidden="1" x14ac:dyDescent="0.25">
      <c r="A649" s="143" t="s">
        <v>716</v>
      </c>
      <c r="B649" s="143" t="s">
        <v>88</v>
      </c>
      <c r="C649" s="143" t="s">
        <v>89</v>
      </c>
      <c r="D649" s="143" t="s">
        <v>69</v>
      </c>
      <c r="E649" s="257">
        <v>32139100</v>
      </c>
      <c r="F649" s="257">
        <v>32139100</v>
      </c>
      <c r="G649" s="257">
        <v>32139100</v>
      </c>
      <c r="H649" s="257">
        <v>0</v>
      </c>
      <c r="I649" s="257">
        <v>0</v>
      </c>
      <c r="J649" s="257">
        <v>0</v>
      </c>
      <c r="K649" s="257">
        <v>7857837.8099999996</v>
      </c>
      <c r="L649" s="257">
        <v>7857837.8099999996</v>
      </c>
      <c r="M649" s="279">
        <v>24281262.190000001</v>
      </c>
      <c r="N649" s="257">
        <v>24281262.190000001</v>
      </c>
    </row>
    <row r="650" spans="1:14" s="143" customFormat="1" hidden="1" x14ac:dyDescent="0.25">
      <c r="A650" s="143" t="s">
        <v>716</v>
      </c>
      <c r="B650" s="143" t="s">
        <v>90</v>
      </c>
      <c r="C650" s="143" t="s">
        <v>91</v>
      </c>
      <c r="D650" s="143" t="s">
        <v>69</v>
      </c>
      <c r="E650" s="257">
        <v>20841515</v>
      </c>
      <c r="F650" s="257">
        <v>20841515</v>
      </c>
      <c r="G650" s="257">
        <v>20580131</v>
      </c>
      <c r="H650" s="257">
        <v>0</v>
      </c>
      <c r="I650" s="257">
        <v>16241207</v>
      </c>
      <c r="J650" s="257">
        <v>0</v>
      </c>
      <c r="K650" s="257">
        <v>4600308</v>
      </c>
      <c r="L650" s="257">
        <v>4600308</v>
      </c>
      <c r="M650" s="279">
        <v>0</v>
      </c>
      <c r="N650" s="275">
        <v>-261384</v>
      </c>
    </row>
    <row r="651" spans="1:14" s="143" customFormat="1" hidden="1" x14ac:dyDescent="0.25">
      <c r="A651" s="143" t="s">
        <v>716</v>
      </c>
      <c r="B651" s="143" t="s">
        <v>426</v>
      </c>
      <c r="C651" s="143" t="s">
        <v>697</v>
      </c>
      <c r="D651" s="143" t="s">
        <v>69</v>
      </c>
      <c r="E651" s="257">
        <v>19772804</v>
      </c>
      <c r="F651" s="257">
        <v>19772804</v>
      </c>
      <c r="G651" s="257">
        <v>19524824</v>
      </c>
      <c r="H651" s="257">
        <v>0</v>
      </c>
      <c r="I651" s="257">
        <v>15408409</v>
      </c>
      <c r="J651" s="257">
        <v>0</v>
      </c>
      <c r="K651" s="257">
        <v>4364395</v>
      </c>
      <c r="L651" s="257">
        <v>4364395</v>
      </c>
      <c r="M651" s="279">
        <v>0</v>
      </c>
      <c r="N651" s="275">
        <v>-247980</v>
      </c>
    </row>
    <row r="652" spans="1:14" s="143" customFormat="1" hidden="1" x14ac:dyDescent="0.25">
      <c r="A652" s="143" t="s">
        <v>716</v>
      </c>
      <c r="B652" s="143" t="s">
        <v>443</v>
      </c>
      <c r="C652" s="143" t="s">
        <v>95</v>
      </c>
      <c r="D652" s="143" t="s">
        <v>69</v>
      </c>
      <c r="E652" s="257">
        <v>1068711</v>
      </c>
      <c r="F652" s="257">
        <v>1068711</v>
      </c>
      <c r="G652" s="257">
        <v>1055307</v>
      </c>
      <c r="H652" s="257">
        <v>0</v>
      </c>
      <c r="I652" s="257">
        <v>832798</v>
      </c>
      <c r="J652" s="257">
        <v>0</v>
      </c>
      <c r="K652" s="257">
        <v>235913</v>
      </c>
      <c r="L652" s="257">
        <v>235913</v>
      </c>
      <c r="M652" s="279">
        <v>0</v>
      </c>
      <c r="N652" s="275">
        <v>-13404</v>
      </c>
    </row>
    <row r="653" spans="1:14" s="143" customFormat="1" hidden="1" x14ac:dyDescent="0.25">
      <c r="A653" s="143" t="s">
        <v>716</v>
      </c>
      <c r="B653" s="143" t="s">
        <v>96</v>
      </c>
      <c r="C653" s="143" t="s">
        <v>97</v>
      </c>
      <c r="D653" s="143" t="s">
        <v>69</v>
      </c>
      <c r="E653" s="257">
        <v>20841515</v>
      </c>
      <c r="F653" s="257">
        <v>20841515</v>
      </c>
      <c r="G653" s="257">
        <v>20580131</v>
      </c>
      <c r="H653" s="257">
        <v>0</v>
      </c>
      <c r="I653" s="257">
        <v>16268032</v>
      </c>
      <c r="J653" s="257">
        <v>0</v>
      </c>
      <c r="K653" s="257">
        <v>4573483</v>
      </c>
      <c r="L653" s="257">
        <v>4573483</v>
      </c>
      <c r="M653" s="279">
        <v>0</v>
      </c>
      <c r="N653" s="275">
        <v>-261384</v>
      </c>
    </row>
    <row r="654" spans="1:14" s="143" customFormat="1" hidden="1" x14ac:dyDescent="0.25">
      <c r="A654" s="143" t="s">
        <v>716</v>
      </c>
      <c r="B654" s="143" t="s">
        <v>461</v>
      </c>
      <c r="C654" s="143" t="s">
        <v>698</v>
      </c>
      <c r="D654" s="143" t="s">
        <v>69</v>
      </c>
      <c r="E654" s="257">
        <v>11222416</v>
      </c>
      <c r="F654" s="257">
        <v>11222416</v>
      </c>
      <c r="G654" s="257">
        <v>11081671</v>
      </c>
      <c r="H654" s="257">
        <v>0</v>
      </c>
      <c r="I654" s="257">
        <v>8772153</v>
      </c>
      <c r="J654" s="257">
        <v>0</v>
      </c>
      <c r="K654" s="257">
        <v>2450263</v>
      </c>
      <c r="L654" s="257">
        <v>2450263</v>
      </c>
      <c r="M654" s="279">
        <v>0</v>
      </c>
      <c r="N654" s="275">
        <v>-140745</v>
      </c>
    </row>
    <row r="655" spans="1:14" s="143" customFormat="1" hidden="1" x14ac:dyDescent="0.25">
      <c r="A655" s="143" t="s">
        <v>716</v>
      </c>
      <c r="B655" s="143" t="s">
        <v>478</v>
      </c>
      <c r="C655" s="143" t="s">
        <v>699</v>
      </c>
      <c r="D655" s="143" t="s">
        <v>69</v>
      </c>
      <c r="E655" s="257">
        <v>3206333</v>
      </c>
      <c r="F655" s="257">
        <v>3206333</v>
      </c>
      <c r="G655" s="257">
        <v>3166120</v>
      </c>
      <c r="H655" s="257">
        <v>0</v>
      </c>
      <c r="I655" s="257">
        <v>2498593</v>
      </c>
      <c r="J655" s="257">
        <v>0</v>
      </c>
      <c r="K655" s="257">
        <v>707740</v>
      </c>
      <c r="L655" s="257">
        <v>707740</v>
      </c>
      <c r="M655" s="279">
        <v>0</v>
      </c>
      <c r="N655" s="275">
        <v>-40213</v>
      </c>
    </row>
    <row r="656" spans="1:14" s="143" customFormat="1" hidden="1" x14ac:dyDescent="0.25">
      <c r="A656" s="143" t="s">
        <v>716</v>
      </c>
      <c r="B656" s="143" t="s">
        <v>495</v>
      </c>
      <c r="C656" s="143" t="s">
        <v>700</v>
      </c>
      <c r="D656" s="143" t="s">
        <v>69</v>
      </c>
      <c r="E656" s="257">
        <v>6412766</v>
      </c>
      <c r="F656" s="257">
        <v>6412766</v>
      </c>
      <c r="G656" s="257">
        <v>6332340</v>
      </c>
      <c r="H656" s="257">
        <v>0</v>
      </c>
      <c r="I656" s="257">
        <v>4997286</v>
      </c>
      <c r="J656" s="257">
        <v>0</v>
      </c>
      <c r="K656" s="257">
        <v>1415480</v>
      </c>
      <c r="L656" s="257">
        <v>1415480</v>
      </c>
      <c r="M656" s="279">
        <v>0</v>
      </c>
      <c r="N656" s="275">
        <v>-80426</v>
      </c>
    </row>
    <row r="657" spans="1:14" s="143" customFormat="1" hidden="1" x14ac:dyDescent="0.25">
      <c r="A657" s="143" t="s">
        <v>716</v>
      </c>
      <c r="B657" s="143" t="s">
        <v>104</v>
      </c>
      <c r="C657" s="143" t="s">
        <v>105</v>
      </c>
      <c r="D657" s="143" t="s">
        <v>69</v>
      </c>
      <c r="E657" s="257">
        <v>6929448400</v>
      </c>
      <c r="F657" s="257">
        <v>6929448400</v>
      </c>
      <c r="G657" s="257">
        <v>3464724200</v>
      </c>
      <c r="H657" s="257">
        <v>0</v>
      </c>
      <c r="I657" s="257">
        <v>1166267782.01</v>
      </c>
      <c r="J657" s="257">
        <v>0</v>
      </c>
      <c r="K657" s="257">
        <v>0</v>
      </c>
      <c r="L657" s="257">
        <v>0</v>
      </c>
      <c r="M657" s="279">
        <v>5763180617.9899998</v>
      </c>
      <c r="N657" s="257">
        <v>2298456417.9899998</v>
      </c>
    </row>
    <row r="658" spans="1:14" s="143" customFormat="1" hidden="1" x14ac:dyDescent="0.25">
      <c r="A658" s="143" t="s">
        <v>716</v>
      </c>
      <c r="B658" s="143" t="s">
        <v>106</v>
      </c>
      <c r="C658" s="143" t="s">
        <v>107</v>
      </c>
      <c r="D658" s="143" t="s">
        <v>69</v>
      </c>
      <c r="E658" s="257">
        <v>6927908871</v>
      </c>
      <c r="F658" s="257">
        <v>6927908871</v>
      </c>
      <c r="G658" s="257">
        <v>3463954436</v>
      </c>
      <c r="H658" s="257">
        <v>0</v>
      </c>
      <c r="I658" s="257">
        <v>1166267782.01</v>
      </c>
      <c r="J658" s="257">
        <v>0</v>
      </c>
      <c r="K658" s="257">
        <v>0</v>
      </c>
      <c r="L658" s="257">
        <v>0</v>
      </c>
      <c r="M658" s="279">
        <v>5761641088.9899998</v>
      </c>
      <c r="N658" s="257">
        <v>2297686653.9899998</v>
      </c>
    </row>
    <row r="659" spans="1:14" s="143" customFormat="1" hidden="1" x14ac:dyDescent="0.25">
      <c r="A659" s="143" t="s">
        <v>716</v>
      </c>
      <c r="B659" s="143" t="s">
        <v>110</v>
      </c>
      <c r="C659" s="143" t="s">
        <v>111</v>
      </c>
      <c r="D659" s="143" t="s">
        <v>69</v>
      </c>
      <c r="E659" s="257">
        <v>6927908871</v>
      </c>
      <c r="F659" s="257">
        <v>6927908871</v>
      </c>
      <c r="G659" s="257">
        <v>3463954436</v>
      </c>
      <c r="H659" s="257">
        <v>0</v>
      </c>
      <c r="I659" s="257">
        <v>1166267782.01</v>
      </c>
      <c r="J659" s="257">
        <v>0</v>
      </c>
      <c r="K659" s="257">
        <v>0</v>
      </c>
      <c r="L659" s="257">
        <v>0</v>
      </c>
      <c r="M659" s="279">
        <v>5761641088.9899998</v>
      </c>
      <c r="N659" s="257">
        <v>2297686653.9899998</v>
      </c>
    </row>
    <row r="660" spans="1:14" s="143" customFormat="1" hidden="1" x14ac:dyDescent="0.25">
      <c r="A660" s="143" t="s">
        <v>716</v>
      </c>
      <c r="B660" s="143" t="s">
        <v>112</v>
      </c>
      <c r="C660" s="143" t="s">
        <v>113</v>
      </c>
      <c r="D660" s="143" t="s">
        <v>69</v>
      </c>
      <c r="E660" s="257">
        <v>1539529</v>
      </c>
      <c r="F660" s="257">
        <v>1539529</v>
      </c>
      <c r="G660" s="257">
        <v>769764</v>
      </c>
      <c r="H660" s="257">
        <v>0</v>
      </c>
      <c r="I660" s="257">
        <v>0</v>
      </c>
      <c r="J660" s="257">
        <v>0</v>
      </c>
      <c r="K660" s="257">
        <v>0</v>
      </c>
      <c r="L660" s="257">
        <v>0</v>
      </c>
      <c r="M660" s="279">
        <v>1539529</v>
      </c>
      <c r="N660" s="257">
        <v>769764</v>
      </c>
    </row>
    <row r="661" spans="1:14" s="143" customFormat="1" hidden="1" x14ac:dyDescent="0.25">
      <c r="A661" s="143" t="s">
        <v>716</v>
      </c>
      <c r="B661" s="143" t="s">
        <v>120</v>
      </c>
      <c r="C661" s="143" t="s">
        <v>121</v>
      </c>
      <c r="D661" s="143" t="s">
        <v>69</v>
      </c>
      <c r="E661" s="257">
        <v>1539529</v>
      </c>
      <c r="F661" s="257">
        <v>1539529</v>
      </c>
      <c r="G661" s="257">
        <v>769764</v>
      </c>
      <c r="H661" s="257">
        <v>0</v>
      </c>
      <c r="I661" s="257">
        <v>0</v>
      </c>
      <c r="J661" s="257">
        <v>0</v>
      </c>
      <c r="K661" s="257">
        <v>0</v>
      </c>
      <c r="L661" s="257">
        <v>0</v>
      </c>
      <c r="M661" s="279">
        <v>1539529</v>
      </c>
      <c r="N661" s="257">
        <v>769764</v>
      </c>
    </row>
    <row r="662" spans="1:14" s="143" customFormat="1" hidden="1" x14ac:dyDescent="0.25">
      <c r="A662" s="143" t="s">
        <v>716</v>
      </c>
      <c r="B662" s="143" t="s">
        <v>248</v>
      </c>
      <c r="C662" s="143" t="s">
        <v>249</v>
      </c>
      <c r="D662" s="143" t="s">
        <v>69</v>
      </c>
      <c r="E662" s="257">
        <v>5048260</v>
      </c>
      <c r="F662" s="257">
        <v>5048260</v>
      </c>
      <c r="G662" s="257">
        <v>5003758</v>
      </c>
      <c r="H662" s="257">
        <v>0</v>
      </c>
      <c r="I662" s="257">
        <v>2791855</v>
      </c>
      <c r="J662" s="257">
        <v>0</v>
      </c>
      <c r="K662" s="257">
        <v>756405</v>
      </c>
      <c r="L662" s="257">
        <v>756405</v>
      </c>
      <c r="M662" s="279">
        <v>1500000</v>
      </c>
      <c r="N662" s="257">
        <v>1455498</v>
      </c>
    </row>
    <row r="663" spans="1:14" s="143" customFormat="1" hidden="1" x14ac:dyDescent="0.25">
      <c r="A663" s="143" t="s">
        <v>716</v>
      </c>
      <c r="B663" s="143" t="s">
        <v>250</v>
      </c>
      <c r="C663" s="143" t="s">
        <v>251</v>
      </c>
      <c r="D663" s="143" t="s">
        <v>69</v>
      </c>
      <c r="E663" s="257">
        <v>3548260</v>
      </c>
      <c r="F663" s="257">
        <v>3548260</v>
      </c>
      <c r="G663" s="257">
        <v>3503758</v>
      </c>
      <c r="H663" s="257">
        <v>0</v>
      </c>
      <c r="I663" s="257">
        <v>2791855</v>
      </c>
      <c r="J663" s="257">
        <v>0</v>
      </c>
      <c r="K663" s="257">
        <v>756405</v>
      </c>
      <c r="L663" s="257">
        <v>756405</v>
      </c>
      <c r="M663" s="279">
        <v>0</v>
      </c>
      <c r="N663" s="275">
        <v>-44502</v>
      </c>
    </row>
    <row r="664" spans="1:14" s="143" customFormat="1" hidden="1" x14ac:dyDescent="0.25">
      <c r="A664" s="143" t="s">
        <v>716</v>
      </c>
      <c r="B664" s="143" t="s">
        <v>635</v>
      </c>
      <c r="C664" s="143" t="s">
        <v>702</v>
      </c>
      <c r="D664" s="143" t="s">
        <v>69</v>
      </c>
      <c r="E664" s="257">
        <v>3013955</v>
      </c>
      <c r="F664" s="257">
        <v>3013955</v>
      </c>
      <c r="G664" s="257">
        <v>2976155</v>
      </c>
      <c r="H664" s="257">
        <v>0</v>
      </c>
      <c r="I664" s="257">
        <v>2375506</v>
      </c>
      <c r="J664" s="257">
        <v>0</v>
      </c>
      <c r="K664" s="257">
        <v>638449</v>
      </c>
      <c r="L664" s="257">
        <v>638449</v>
      </c>
      <c r="M664" s="279">
        <v>0</v>
      </c>
      <c r="N664" s="275">
        <v>-37800</v>
      </c>
    </row>
    <row r="665" spans="1:14" s="143" customFormat="1" hidden="1" x14ac:dyDescent="0.25">
      <c r="A665" s="143" t="s">
        <v>716</v>
      </c>
      <c r="B665" s="143" t="s">
        <v>650</v>
      </c>
      <c r="C665" s="143" t="s">
        <v>703</v>
      </c>
      <c r="D665" s="143" t="s">
        <v>69</v>
      </c>
      <c r="E665" s="257">
        <v>534305</v>
      </c>
      <c r="F665" s="257">
        <v>534305</v>
      </c>
      <c r="G665" s="257">
        <v>527603</v>
      </c>
      <c r="H665" s="257">
        <v>0</v>
      </c>
      <c r="I665" s="257">
        <v>416349</v>
      </c>
      <c r="J665" s="257">
        <v>0</v>
      </c>
      <c r="K665" s="257">
        <v>117956</v>
      </c>
      <c r="L665" s="257">
        <v>117956</v>
      </c>
      <c r="M665" s="279">
        <v>0</v>
      </c>
      <c r="N665" s="275">
        <v>-6702</v>
      </c>
    </row>
    <row r="666" spans="1:14" s="143" customFormat="1" hidden="1" x14ac:dyDescent="0.25">
      <c r="A666" s="143" t="s">
        <v>716</v>
      </c>
      <c r="B666" s="143" t="s">
        <v>260</v>
      </c>
      <c r="C666" s="143" t="s">
        <v>261</v>
      </c>
      <c r="D666" s="143" t="s">
        <v>69</v>
      </c>
      <c r="E666" s="257">
        <v>1500000</v>
      </c>
      <c r="F666" s="257">
        <v>1500000</v>
      </c>
      <c r="G666" s="257">
        <v>1500000</v>
      </c>
      <c r="H666" s="257">
        <v>0</v>
      </c>
      <c r="I666" s="257">
        <v>0</v>
      </c>
      <c r="J666" s="257">
        <v>0</v>
      </c>
      <c r="K666" s="257">
        <v>0</v>
      </c>
      <c r="L666" s="257">
        <v>0</v>
      </c>
      <c r="M666" s="279">
        <v>1500000</v>
      </c>
      <c r="N666" s="257">
        <v>1500000</v>
      </c>
    </row>
    <row r="667" spans="1:14" s="143" customFormat="1" hidden="1" x14ac:dyDescent="0.25">
      <c r="A667" s="143" t="s">
        <v>716</v>
      </c>
      <c r="B667" s="143" t="s">
        <v>264</v>
      </c>
      <c r="C667" s="143" t="s">
        <v>265</v>
      </c>
      <c r="D667" s="143" t="s">
        <v>69</v>
      </c>
      <c r="E667" s="257">
        <v>1500000</v>
      </c>
      <c r="F667" s="257">
        <v>1500000</v>
      </c>
      <c r="G667" s="257">
        <v>1500000</v>
      </c>
      <c r="H667" s="257">
        <v>0</v>
      </c>
      <c r="I667" s="257">
        <v>0</v>
      </c>
      <c r="J667" s="257">
        <v>0</v>
      </c>
      <c r="K667" s="257">
        <v>0</v>
      </c>
      <c r="L667" s="257">
        <v>0</v>
      </c>
      <c r="M667" s="279">
        <v>1500000</v>
      </c>
      <c r="N667" s="257">
        <v>1500000</v>
      </c>
    </row>
    <row r="668" spans="1:14" s="143" customFormat="1" x14ac:dyDescent="0.25">
      <c r="A668" s="454">
        <v>214790</v>
      </c>
      <c r="D668" s="454" t="s">
        <v>69</v>
      </c>
      <c r="E668" s="257">
        <v>1417740073</v>
      </c>
      <c r="F668" s="272">
        <v>1417740073</v>
      </c>
      <c r="G668" s="257">
        <v>1177747871.0799999</v>
      </c>
      <c r="H668" s="269">
        <v>1306200</v>
      </c>
      <c r="I668" s="274">
        <v>164032578.21000001</v>
      </c>
      <c r="J668" s="274">
        <v>612394.21</v>
      </c>
      <c r="K668" s="274">
        <v>291539142.27999997</v>
      </c>
      <c r="L668" s="274">
        <v>291381463.74000001</v>
      </c>
      <c r="M668" s="273">
        <v>960249758.29999995</v>
      </c>
      <c r="N668" s="257">
        <v>720257556.38</v>
      </c>
    </row>
    <row r="669" spans="1:14" s="143" customFormat="1" hidden="1" x14ac:dyDescent="0.25">
      <c r="A669" s="143" t="s">
        <v>717</v>
      </c>
      <c r="B669" s="143" t="s">
        <v>71</v>
      </c>
      <c r="C669" s="143" t="s">
        <v>72</v>
      </c>
      <c r="D669" s="143" t="s">
        <v>69</v>
      </c>
      <c r="E669" s="257">
        <v>1125132721</v>
      </c>
      <c r="F669" s="257">
        <v>1125132721</v>
      </c>
      <c r="G669" s="257">
        <v>1089706735</v>
      </c>
      <c r="H669" s="257">
        <v>0</v>
      </c>
      <c r="I669" s="257">
        <v>126657285</v>
      </c>
      <c r="J669" s="257">
        <v>0</v>
      </c>
      <c r="K669" s="257">
        <v>276670844.50999999</v>
      </c>
      <c r="L669" s="257">
        <v>276670844.50999999</v>
      </c>
      <c r="M669" s="279">
        <v>721804591.49000001</v>
      </c>
      <c r="N669" s="257">
        <v>686378605.49000001</v>
      </c>
    </row>
    <row r="670" spans="1:14" s="143" customFormat="1" hidden="1" x14ac:dyDescent="0.25">
      <c r="A670" s="143" t="s">
        <v>717</v>
      </c>
      <c r="B670" s="143" t="s">
        <v>73</v>
      </c>
      <c r="C670" s="143" t="s">
        <v>74</v>
      </c>
      <c r="D670" s="143" t="s">
        <v>69</v>
      </c>
      <c r="E670" s="257">
        <v>456307400</v>
      </c>
      <c r="F670" s="257">
        <v>456307400</v>
      </c>
      <c r="G670" s="257">
        <v>441766100</v>
      </c>
      <c r="H670" s="257">
        <v>0</v>
      </c>
      <c r="I670" s="257">
        <v>0</v>
      </c>
      <c r="J670" s="257">
        <v>0</v>
      </c>
      <c r="K670" s="257">
        <v>103105141.89</v>
      </c>
      <c r="L670" s="257">
        <v>103105141.89</v>
      </c>
      <c r="M670" s="279">
        <v>353202258.11000001</v>
      </c>
      <c r="N670" s="257">
        <v>338660958.11000001</v>
      </c>
    </row>
    <row r="671" spans="1:14" s="143" customFormat="1" hidden="1" x14ac:dyDescent="0.25">
      <c r="A671" s="143" t="s">
        <v>717</v>
      </c>
      <c r="B671" s="143" t="s">
        <v>75</v>
      </c>
      <c r="C671" s="143" t="s">
        <v>76</v>
      </c>
      <c r="D671" s="143" t="s">
        <v>69</v>
      </c>
      <c r="E671" s="257">
        <v>456307400</v>
      </c>
      <c r="F671" s="257">
        <v>456307400</v>
      </c>
      <c r="G671" s="257">
        <v>441766100</v>
      </c>
      <c r="H671" s="257">
        <v>0</v>
      </c>
      <c r="I671" s="257">
        <v>0</v>
      </c>
      <c r="J671" s="257">
        <v>0</v>
      </c>
      <c r="K671" s="257">
        <v>103105141.89</v>
      </c>
      <c r="L671" s="257">
        <v>103105141.89</v>
      </c>
      <c r="M671" s="279">
        <v>353202258.11000001</v>
      </c>
      <c r="N671" s="257">
        <v>338660958.11000001</v>
      </c>
    </row>
    <row r="672" spans="1:14" s="143" customFormat="1" hidden="1" x14ac:dyDescent="0.25">
      <c r="A672" s="143" t="s">
        <v>717</v>
      </c>
      <c r="B672" s="143" t="s">
        <v>77</v>
      </c>
      <c r="C672" s="143" t="s">
        <v>78</v>
      </c>
      <c r="D672" s="143" t="s">
        <v>69</v>
      </c>
      <c r="E672" s="257">
        <v>497190642</v>
      </c>
      <c r="F672" s="257">
        <v>497190642</v>
      </c>
      <c r="G672" s="257">
        <v>481710060</v>
      </c>
      <c r="H672" s="257">
        <v>0</v>
      </c>
      <c r="I672" s="257">
        <v>0</v>
      </c>
      <c r="J672" s="257">
        <v>0</v>
      </c>
      <c r="K672" s="257">
        <v>128588308.62</v>
      </c>
      <c r="L672" s="257">
        <v>128588308.62</v>
      </c>
      <c r="M672" s="279">
        <v>368602333.38</v>
      </c>
      <c r="N672" s="257">
        <v>353121751.38</v>
      </c>
    </row>
    <row r="673" spans="1:14" s="143" customFormat="1" hidden="1" x14ac:dyDescent="0.25">
      <c r="A673" s="143" t="s">
        <v>717</v>
      </c>
      <c r="B673" s="143" t="s">
        <v>79</v>
      </c>
      <c r="C673" s="143" t="s">
        <v>80</v>
      </c>
      <c r="D673" s="143" t="s">
        <v>69</v>
      </c>
      <c r="E673" s="257">
        <v>91313600</v>
      </c>
      <c r="F673" s="257">
        <v>91313600</v>
      </c>
      <c r="G673" s="257">
        <v>84507129</v>
      </c>
      <c r="H673" s="257">
        <v>0</v>
      </c>
      <c r="I673" s="257">
        <v>0</v>
      </c>
      <c r="J673" s="257">
        <v>0</v>
      </c>
      <c r="K673" s="257">
        <v>20951398.379999999</v>
      </c>
      <c r="L673" s="257">
        <v>20951398.379999999</v>
      </c>
      <c r="M673" s="279">
        <v>70362201.620000005</v>
      </c>
      <c r="N673" s="257">
        <v>63555730.619999997</v>
      </c>
    </row>
    <row r="674" spans="1:14" s="143" customFormat="1" hidden="1" x14ac:dyDescent="0.25">
      <c r="A674" s="143" t="s">
        <v>717</v>
      </c>
      <c r="B674" s="143" t="s">
        <v>81</v>
      </c>
      <c r="C674" s="143" t="s">
        <v>82</v>
      </c>
      <c r="D674" s="143" t="s">
        <v>69</v>
      </c>
      <c r="E674" s="257">
        <v>214869984</v>
      </c>
      <c r="F674" s="257">
        <v>214869984</v>
      </c>
      <c r="G674" s="257">
        <v>209049915</v>
      </c>
      <c r="H674" s="257">
        <v>0</v>
      </c>
      <c r="I674" s="257">
        <v>0</v>
      </c>
      <c r="J674" s="257">
        <v>0</v>
      </c>
      <c r="K674" s="257">
        <v>47557841.850000001</v>
      </c>
      <c r="L674" s="257">
        <v>47557841.850000001</v>
      </c>
      <c r="M674" s="279">
        <v>167312142.15000001</v>
      </c>
      <c r="N674" s="257">
        <v>161492073.15000001</v>
      </c>
    </row>
    <row r="675" spans="1:14" s="143" customFormat="1" hidden="1" x14ac:dyDescent="0.25">
      <c r="A675" s="143" t="s">
        <v>717</v>
      </c>
      <c r="B675" s="143" t="s">
        <v>83</v>
      </c>
      <c r="C675" s="143" t="s">
        <v>84</v>
      </c>
      <c r="D675" s="143" t="s">
        <v>85</v>
      </c>
      <c r="E675" s="257">
        <v>73318858</v>
      </c>
      <c r="F675" s="257">
        <v>73318858</v>
      </c>
      <c r="G675" s="257">
        <v>71010336</v>
      </c>
      <c r="H675" s="257">
        <v>0</v>
      </c>
      <c r="I675" s="257">
        <v>0</v>
      </c>
      <c r="J675" s="257">
        <v>0</v>
      </c>
      <c r="K675" s="257">
        <v>33397.65</v>
      </c>
      <c r="L675" s="257">
        <v>33397.65</v>
      </c>
      <c r="M675" s="279">
        <v>73285460.349999994</v>
      </c>
      <c r="N675" s="257">
        <v>70976938.349999994</v>
      </c>
    </row>
    <row r="676" spans="1:14" s="143" customFormat="1" hidden="1" x14ac:dyDescent="0.25">
      <c r="A676" s="143" t="s">
        <v>717</v>
      </c>
      <c r="B676" s="143" t="s">
        <v>86</v>
      </c>
      <c r="C676" s="143" t="s">
        <v>87</v>
      </c>
      <c r="D676" s="143" t="s">
        <v>69</v>
      </c>
      <c r="E676" s="257">
        <v>67452900</v>
      </c>
      <c r="F676" s="257">
        <v>67452900</v>
      </c>
      <c r="G676" s="257">
        <v>67452900</v>
      </c>
      <c r="H676" s="257">
        <v>0</v>
      </c>
      <c r="I676" s="257">
        <v>0</v>
      </c>
      <c r="J676" s="257">
        <v>0</v>
      </c>
      <c r="K676" s="257">
        <v>49770797.770000003</v>
      </c>
      <c r="L676" s="257">
        <v>49770797.770000003</v>
      </c>
      <c r="M676" s="279">
        <v>17682102.23</v>
      </c>
      <c r="N676" s="257">
        <v>17682102.23</v>
      </c>
    </row>
    <row r="677" spans="1:14" s="143" customFormat="1" hidden="1" x14ac:dyDescent="0.25">
      <c r="A677" s="143" t="s">
        <v>717</v>
      </c>
      <c r="B677" s="143" t="s">
        <v>88</v>
      </c>
      <c r="C677" s="143" t="s">
        <v>89</v>
      </c>
      <c r="D677" s="143" t="s">
        <v>69</v>
      </c>
      <c r="E677" s="257">
        <v>50235300</v>
      </c>
      <c r="F677" s="257">
        <v>50235300</v>
      </c>
      <c r="G677" s="257">
        <v>49689780</v>
      </c>
      <c r="H677" s="257">
        <v>0</v>
      </c>
      <c r="I677" s="257">
        <v>0</v>
      </c>
      <c r="J677" s="257">
        <v>0</v>
      </c>
      <c r="K677" s="257">
        <v>10274872.970000001</v>
      </c>
      <c r="L677" s="257">
        <v>10274872.970000001</v>
      </c>
      <c r="M677" s="279">
        <v>39960427.030000001</v>
      </c>
      <c r="N677" s="257">
        <v>39414907.030000001</v>
      </c>
    </row>
    <row r="678" spans="1:14" s="143" customFormat="1" hidden="1" x14ac:dyDescent="0.25">
      <c r="A678" s="143" t="s">
        <v>717</v>
      </c>
      <c r="B678" s="143" t="s">
        <v>90</v>
      </c>
      <c r="C678" s="143" t="s">
        <v>91</v>
      </c>
      <c r="D678" s="143" t="s">
        <v>69</v>
      </c>
      <c r="E678" s="257">
        <v>85817390</v>
      </c>
      <c r="F678" s="257">
        <v>85817390</v>
      </c>
      <c r="G678" s="257">
        <v>83115337</v>
      </c>
      <c r="H678" s="257">
        <v>0</v>
      </c>
      <c r="I678" s="257">
        <v>63236246</v>
      </c>
      <c r="J678" s="257">
        <v>0</v>
      </c>
      <c r="K678" s="257">
        <v>22581144</v>
      </c>
      <c r="L678" s="257">
        <v>22581144</v>
      </c>
      <c r="M678" s="279">
        <v>0</v>
      </c>
      <c r="N678" s="275">
        <v>-2702053</v>
      </c>
    </row>
    <row r="679" spans="1:14" s="143" customFormat="1" hidden="1" x14ac:dyDescent="0.25">
      <c r="A679" s="143" t="s">
        <v>717</v>
      </c>
      <c r="B679" s="143" t="s">
        <v>427</v>
      </c>
      <c r="C679" s="143" t="s">
        <v>697</v>
      </c>
      <c r="D679" s="143" t="s">
        <v>69</v>
      </c>
      <c r="E679" s="257">
        <v>81416555</v>
      </c>
      <c r="F679" s="257">
        <v>81416555</v>
      </c>
      <c r="G679" s="257">
        <v>78853069</v>
      </c>
      <c r="H679" s="257">
        <v>0</v>
      </c>
      <c r="I679" s="257">
        <v>59993430</v>
      </c>
      <c r="J679" s="257">
        <v>0</v>
      </c>
      <c r="K679" s="257">
        <v>21423125</v>
      </c>
      <c r="L679" s="257">
        <v>21423125</v>
      </c>
      <c r="M679" s="279">
        <v>0</v>
      </c>
      <c r="N679" s="275">
        <v>-2563486</v>
      </c>
    </row>
    <row r="680" spans="1:14" s="143" customFormat="1" hidden="1" x14ac:dyDescent="0.25">
      <c r="A680" s="143" t="s">
        <v>717</v>
      </c>
      <c r="B680" s="143" t="s">
        <v>444</v>
      </c>
      <c r="C680" s="143" t="s">
        <v>95</v>
      </c>
      <c r="D680" s="143" t="s">
        <v>69</v>
      </c>
      <c r="E680" s="257">
        <v>4400835</v>
      </c>
      <c r="F680" s="257">
        <v>4400835</v>
      </c>
      <c r="G680" s="257">
        <v>4262268</v>
      </c>
      <c r="H680" s="257">
        <v>0</v>
      </c>
      <c r="I680" s="257">
        <v>3242816</v>
      </c>
      <c r="J680" s="257">
        <v>0</v>
      </c>
      <c r="K680" s="257">
        <v>1158019</v>
      </c>
      <c r="L680" s="257">
        <v>1158019</v>
      </c>
      <c r="M680" s="279">
        <v>0</v>
      </c>
      <c r="N680" s="275">
        <v>-138567</v>
      </c>
    </row>
    <row r="681" spans="1:14" s="143" customFormat="1" hidden="1" x14ac:dyDescent="0.25">
      <c r="A681" s="143" t="s">
        <v>717</v>
      </c>
      <c r="B681" s="143" t="s">
        <v>96</v>
      </c>
      <c r="C681" s="143" t="s">
        <v>97</v>
      </c>
      <c r="D681" s="143" t="s">
        <v>69</v>
      </c>
      <c r="E681" s="257">
        <v>85817289</v>
      </c>
      <c r="F681" s="257">
        <v>85817289</v>
      </c>
      <c r="G681" s="257">
        <v>83115238</v>
      </c>
      <c r="H681" s="257">
        <v>0</v>
      </c>
      <c r="I681" s="257">
        <v>63421039</v>
      </c>
      <c r="J681" s="257">
        <v>0</v>
      </c>
      <c r="K681" s="257">
        <v>22396250</v>
      </c>
      <c r="L681" s="257">
        <v>22396250</v>
      </c>
      <c r="M681" s="279">
        <v>0</v>
      </c>
      <c r="N681" s="275">
        <v>-2702051</v>
      </c>
    </row>
    <row r="682" spans="1:14" s="143" customFormat="1" hidden="1" x14ac:dyDescent="0.25">
      <c r="A682" s="143" t="s">
        <v>717</v>
      </c>
      <c r="B682" s="143" t="s">
        <v>462</v>
      </c>
      <c r="C682" s="143" t="s">
        <v>698</v>
      </c>
      <c r="D682" s="143" t="s">
        <v>69</v>
      </c>
      <c r="E682" s="257">
        <v>46209371</v>
      </c>
      <c r="F682" s="257">
        <v>46209371</v>
      </c>
      <c r="G682" s="257">
        <v>44754420</v>
      </c>
      <c r="H682" s="257">
        <v>0</v>
      </c>
      <c r="I682" s="257">
        <v>34235176</v>
      </c>
      <c r="J682" s="257">
        <v>0</v>
      </c>
      <c r="K682" s="257">
        <v>11974195</v>
      </c>
      <c r="L682" s="257">
        <v>11974195</v>
      </c>
      <c r="M682" s="279">
        <v>0</v>
      </c>
      <c r="N682" s="275">
        <v>-1454951</v>
      </c>
    </row>
    <row r="683" spans="1:14" s="143" customFormat="1" hidden="1" x14ac:dyDescent="0.25">
      <c r="A683" s="143" t="s">
        <v>717</v>
      </c>
      <c r="B683" s="143" t="s">
        <v>479</v>
      </c>
      <c r="C683" s="143" t="s">
        <v>699</v>
      </c>
      <c r="D683" s="143" t="s">
        <v>69</v>
      </c>
      <c r="E683" s="257">
        <v>13202606</v>
      </c>
      <c r="F683" s="257">
        <v>13202606</v>
      </c>
      <c r="G683" s="257">
        <v>12786906</v>
      </c>
      <c r="H683" s="257">
        <v>0</v>
      </c>
      <c r="I683" s="257">
        <v>9728592</v>
      </c>
      <c r="J683" s="257">
        <v>0</v>
      </c>
      <c r="K683" s="257">
        <v>3474014</v>
      </c>
      <c r="L683" s="257">
        <v>3474014</v>
      </c>
      <c r="M683" s="279">
        <v>0</v>
      </c>
      <c r="N683" s="275">
        <v>-415700</v>
      </c>
    </row>
    <row r="684" spans="1:14" s="143" customFormat="1" hidden="1" x14ac:dyDescent="0.25">
      <c r="A684" s="143" t="s">
        <v>717</v>
      </c>
      <c r="B684" s="143" t="s">
        <v>496</v>
      </c>
      <c r="C684" s="143" t="s">
        <v>700</v>
      </c>
      <c r="D684" s="143" t="s">
        <v>69</v>
      </c>
      <c r="E684" s="257">
        <v>26405312</v>
      </c>
      <c r="F684" s="257">
        <v>26405312</v>
      </c>
      <c r="G684" s="257">
        <v>25573912</v>
      </c>
      <c r="H684" s="257">
        <v>0</v>
      </c>
      <c r="I684" s="257">
        <v>19457271</v>
      </c>
      <c r="J684" s="257">
        <v>0</v>
      </c>
      <c r="K684" s="257">
        <v>6948041</v>
      </c>
      <c r="L684" s="257">
        <v>6948041</v>
      </c>
      <c r="M684" s="279">
        <v>0</v>
      </c>
      <c r="N684" s="275">
        <v>-831400</v>
      </c>
    </row>
    <row r="685" spans="1:14" s="143" customFormat="1" hidden="1" x14ac:dyDescent="0.25">
      <c r="A685" s="143" t="s">
        <v>717</v>
      </c>
      <c r="B685" s="143" t="s">
        <v>104</v>
      </c>
      <c r="C685" s="143" t="s">
        <v>105</v>
      </c>
      <c r="D685" s="143" t="s">
        <v>69</v>
      </c>
      <c r="E685" s="257">
        <v>143937951</v>
      </c>
      <c r="F685" s="257">
        <v>143937951</v>
      </c>
      <c r="G685" s="257">
        <v>50910556</v>
      </c>
      <c r="H685" s="257">
        <v>924000</v>
      </c>
      <c r="I685" s="257">
        <v>22269676.52</v>
      </c>
      <c r="J685" s="257">
        <v>612394.21</v>
      </c>
      <c r="K685" s="257">
        <v>3633295.99</v>
      </c>
      <c r="L685" s="257">
        <v>3475617.45</v>
      </c>
      <c r="M685" s="279">
        <v>116498584.28</v>
      </c>
      <c r="N685" s="257">
        <v>23471189.280000001</v>
      </c>
    </row>
    <row r="686" spans="1:14" s="143" customFormat="1" hidden="1" x14ac:dyDescent="0.25">
      <c r="A686" s="143" t="s">
        <v>717</v>
      </c>
      <c r="B686" s="143" t="s">
        <v>106</v>
      </c>
      <c r="C686" s="143" t="s">
        <v>107</v>
      </c>
      <c r="D686" s="143" t="s">
        <v>69</v>
      </c>
      <c r="E686" s="257">
        <v>60469231</v>
      </c>
      <c r="F686" s="257">
        <v>60315823</v>
      </c>
      <c r="G686" s="257">
        <v>21882467</v>
      </c>
      <c r="H686" s="257">
        <v>0</v>
      </c>
      <c r="I686" s="257">
        <v>7206901.2599999998</v>
      </c>
      <c r="J686" s="257">
        <v>288394.21000000002</v>
      </c>
      <c r="K686" s="257">
        <v>533670.32999999996</v>
      </c>
      <c r="L686" s="257">
        <v>383991.79</v>
      </c>
      <c r="M686" s="279">
        <v>52286857.200000003</v>
      </c>
      <c r="N686" s="257">
        <v>13853501.199999999</v>
      </c>
    </row>
    <row r="687" spans="1:14" s="143" customFormat="1" hidden="1" x14ac:dyDescent="0.25">
      <c r="A687" s="143" t="s">
        <v>717</v>
      </c>
      <c r="B687" s="143" t="s">
        <v>108</v>
      </c>
      <c r="C687" s="143" t="s">
        <v>109</v>
      </c>
      <c r="D687" s="143" t="s">
        <v>69</v>
      </c>
      <c r="E687" s="257">
        <v>60469231</v>
      </c>
      <c r="F687" s="257">
        <v>60315823</v>
      </c>
      <c r="G687" s="257">
        <v>21882467</v>
      </c>
      <c r="H687" s="257">
        <v>0</v>
      </c>
      <c r="I687" s="257">
        <v>7206901.2599999998</v>
      </c>
      <c r="J687" s="257">
        <v>288394.21000000002</v>
      </c>
      <c r="K687" s="257">
        <v>533670.32999999996</v>
      </c>
      <c r="L687" s="257">
        <v>383991.79</v>
      </c>
      <c r="M687" s="279">
        <v>52286857.200000003</v>
      </c>
      <c r="N687" s="257">
        <v>13853501.199999999</v>
      </c>
    </row>
    <row r="688" spans="1:14" s="143" customFormat="1" hidden="1" x14ac:dyDescent="0.25">
      <c r="A688" s="143" t="s">
        <v>717</v>
      </c>
      <c r="B688" s="143" t="s">
        <v>112</v>
      </c>
      <c r="C688" s="143" t="s">
        <v>113</v>
      </c>
      <c r="D688" s="143" t="s">
        <v>69</v>
      </c>
      <c r="E688" s="257">
        <v>12862800</v>
      </c>
      <c r="F688" s="257">
        <v>13016208</v>
      </c>
      <c r="G688" s="257">
        <v>7171108</v>
      </c>
      <c r="H688" s="257">
        <v>0</v>
      </c>
      <c r="I688" s="257">
        <v>1910875.06</v>
      </c>
      <c r="J688" s="257">
        <v>0</v>
      </c>
      <c r="K688" s="257">
        <v>1513090.66</v>
      </c>
      <c r="L688" s="257">
        <v>1513090.66</v>
      </c>
      <c r="M688" s="279">
        <v>9592242.2799999993</v>
      </c>
      <c r="N688" s="257">
        <v>3747142.28</v>
      </c>
    </row>
    <row r="689" spans="1:14" s="143" customFormat="1" hidden="1" x14ac:dyDescent="0.25">
      <c r="A689" s="143" t="s">
        <v>717</v>
      </c>
      <c r="B689" s="143" t="s">
        <v>114</v>
      </c>
      <c r="C689" s="143" t="s">
        <v>115</v>
      </c>
      <c r="D689" s="143" t="s">
        <v>69</v>
      </c>
      <c r="E689" s="257">
        <v>0</v>
      </c>
      <c r="F689" s="257">
        <v>153408</v>
      </c>
      <c r="G689" s="257">
        <v>153408</v>
      </c>
      <c r="H689" s="257">
        <v>0</v>
      </c>
      <c r="I689" s="257">
        <v>153408</v>
      </c>
      <c r="J689" s="257">
        <v>0</v>
      </c>
      <c r="K689" s="257">
        <v>0</v>
      </c>
      <c r="L689" s="257">
        <v>0</v>
      </c>
      <c r="M689" s="279">
        <v>0</v>
      </c>
      <c r="N689" s="257">
        <v>0</v>
      </c>
    </row>
    <row r="690" spans="1:14" s="143" customFormat="1" hidden="1" x14ac:dyDescent="0.25">
      <c r="A690" s="143" t="s">
        <v>717</v>
      </c>
      <c r="B690" s="143" t="s">
        <v>116</v>
      </c>
      <c r="C690" s="143" t="s">
        <v>117</v>
      </c>
      <c r="D690" s="143" t="s">
        <v>69</v>
      </c>
      <c r="E690" s="257">
        <v>500000</v>
      </c>
      <c r="F690" s="257">
        <v>500000</v>
      </c>
      <c r="G690" s="257">
        <v>427000</v>
      </c>
      <c r="H690" s="257">
        <v>0</v>
      </c>
      <c r="I690" s="257">
        <v>31590</v>
      </c>
      <c r="J690" s="257">
        <v>0</v>
      </c>
      <c r="K690" s="257">
        <v>311142</v>
      </c>
      <c r="L690" s="257">
        <v>311142</v>
      </c>
      <c r="M690" s="279">
        <v>157268</v>
      </c>
      <c r="N690" s="257">
        <v>84268</v>
      </c>
    </row>
    <row r="691" spans="1:14" s="143" customFormat="1" hidden="1" x14ac:dyDescent="0.25">
      <c r="A691" s="143" t="s">
        <v>717</v>
      </c>
      <c r="B691" s="143" t="s">
        <v>120</v>
      </c>
      <c r="C691" s="143" t="s">
        <v>121</v>
      </c>
      <c r="D691" s="143" t="s">
        <v>69</v>
      </c>
      <c r="E691" s="257">
        <v>12362800</v>
      </c>
      <c r="F691" s="257">
        <v>12362800</v>
      </c>
      <c r="G691" s="257">
        <v>6590700</v>
      </c>
      <c r="H691" s="257">
        <v>0</v>
      </c>
      <c r="I691" s="257">
        <v>1725877.06</v>
      </c>
      <c r="J691" s="257">
        <v>0</v>
      </c>
      <c r="K691" s="257">
        <v>1201948.6599999999</v>
      </c>
      <c r="L691" s="257">
        <v>1201948.6599999999</v>
      </c>
      <c r="M691" s="279">
        <v>9434974.2799999993</v>
      </c>
      <c r="N691" s="257">
        <v>3662874.28</v>
      </c>
    </row>
    <row r="692" spans="1:14" s="143" customFormat="1" hidden="1" x14ac:dyDescent="0.25">
      <c r="A692" s="143" t="s">
        <v>717</v>
      </c>
      <c r="B692" s="143" t="s">
        <v>124</v>
      </c>
      <c r="C692" s="143" t="s">
        <v>125</v>
      </c>
      <c r="D692" s="143" t="s">
        <v>69</v>
      </c>
      <c r="E692" s="257">
        <v>4286000</v>
      </c>
      <c r="F692" s="257">
        <v>4286000</v>
      </c>
      <c r="G692" s="257">
        <v>1037500</v>
      </c>
      <c r="H692" s="257">
        <v>924000</v>
      </c>
      <c r="I692" s="257">
        <v>78600</v>
      </c>
      <c r="J692" s="257">
        <v>0</v>
      </c>
      <c r="K692" s="257">
        <v>0</v>
      </c>
      <c r="L692" s="257">
        <v>0</v>
      </c>
      <c r="M692" s="279">
        <v>3283400</v>
      </c>
      <c r="N692" s="257">
        <v>34900</v>
      </c>
    </row>
    <row r="693" spans="1:14" s="143" customFormat="1" hidden="1" x14ac:dyDescent="0.25">
      <c r="A693" s="143" t="s">
        <v>717</v>
      </c>
      <c r="B693" s="143" t="s">
        <v>126</v>
      </c>
      <c r="C693" s="143" t="s">
        <v>127</v>
      </c>
      <c r="D693" s="143" t="s">
        <v>69</v>
      </c>
      <c r="E693" s="257">
        <v>450000</v>
      </c>
      <c r="F693" s="257">
        <v>450000</v>
      </c>
      <c r="G693" s="257">
        <v>112500</v>
      </c>
      <c r="H693" s="257">
        <v>0</v>
      </c>
      <c r="I693" s="257">
        <v>78600</v>
      </c>
      <c r="J693" s="257">
        <v>0</v>
      </c>
      <c r="K693" s="257">
        <v>0</v>
      </c>
      <c r="L693" s="257">
        <v>0</v>
      </c>
      <c r="M693" s="279">
        <v>371400</v>
      </c>
      <c r="N693" s="257">
        <v>33900</v>
      </c>
    </row>
    <row r="694" spans="1:14" s="143" customFormat="1" hidden="1" x14ac:dyDescent="0.25">
      <c r="A694" s="143" t="s">
        <v>717</v>
      </c>
      <c r="B694" s="143" t="s">
        <v>532</v>
      </c>
      <c r="C694" s="143" t="s">
        <v>718</v>
      </c>
      <c r="D694" s="143" t="s">
        <v>69</v>
      </c>
      <c r="E694" s="257">
        <v>1336000</v>
      </c>
      <c r="F694" s="257">
        <v>1336000</v>
      </c>
      <c r="G694" s="257">
        <v>0</v>
      </c>
      <c r="H694" s="257">
        <v>0</v>
      </c>
      <c r="I694" s="257">
        <v>0</v>
      </c>
      <c r="J694" s="257">
        <v>0</v>
      </c>
      <c r="K694" s="257">
        <v>0</v>
      </c>
      <c r="L694" s="257">
        <v>0</v>
      </c>
      <c r="M694" s="279">
        <v>1336000</v>
      </c>
      <c r="N694" s="257">
        <v>0</v>
      </c>
    </row>
    <row r="695" spans="1:14" s="143" customFormat="1" hidden="1" x14ac:dyDescent="0.25">
      <c r="A695" s="143" t="s">
        <v>717</v>
      </c>
      <c r="B695" s="143" t="s">
        <v>128</v>
      </c>
      <c r="C695" s="143" t="s">
        <v>129</v>
      </c>
      <c r="D695" s="143" t="s">
        <v>69</v>
      </c>
      <c r="E695" s="257">
        <v>2500000</v>
      </c>
      <c r="F695" s="257">
        <v>2500000</v>
      </c>
      <c r="G695" s="257">
        <v>925000</v>
      </c>
      <c r="H695" s="257">
        <v>924000</v>
      </c>
      <c r="I695" s="257">
        <v>0</v>
      </c>
      <c r="J695" s="257">
        <v>0</v>
      </c>
      <c r="K695" s="257">
        <v>0</v>
      </c>
      <c r="L695" s="257">
        <v>0</v>
      </c>
      <c r="M695" s="279">
        <v>1576000</v>
      </c>
      <c r="N695" s="257">
        <v>1000</v>
      </c>
    </row>
    <row r="696" spans="1:14" s="143" customFormat="1" hidden="1" x14ac:dyDescent="0.25">
      <c r="A696" s="143" t="s">
        <v>717</v>
      </c>
      <c r="B696" s="143" t="s">
        <v>134</v>
      </c>
      <c r="C696" s="143" t="s">
        <v>135</v>
      </c>
      <c r="D696" s="143" t="s">
        <v>69</v>
      </c>
      <c r="E696" s="257">
        <v>3625200</v>
      </c>
      <c r="F696" s="257">
        <v>3625200</v>
      </c>
      <c r="G696" s="257">
        <v>66300</v>
      </c>
      <c r="H696" s="257">
        <v>0</v>
      </c>
      <c r="I696" s="257">
        <v>0</v>
      </c>
      <c r="J696" s="257">
        <v>0</v>
      </c>
      <c r="K696" s="257">
        <v>0</v>
      </c>
      <c r="L696" s="257">
        <v>0</v>
      </c>
      <c r="M696" s="279">
        <v>3625200</v>
      </c>
      <c r="N696" s="257">
        <v>66300</v>
      </c>
    </row>
    <row r="697" spans="1:14" s="143" customFormat="1" hidden="1" x14ac:dyDescent="0.25">
      <c r="A697" s="143" t="s">
        <v>717</v>
      </c>
      <c r="B697" s="143" t="s">
        <v>138</v>
      </c>
      <c r="C697" s="143" t="s">
        <v>139</v>
      </c>
      <c r="D697" s="143" t="s">
        <v>69</v>
      </c>
      <c r="E697" s="257">
        <v>3625200</v>
      </c>
      <c r="F697" s="257">
        <v>3625200</v>
      </c>
      <c r="G697" s="257">
        <v>66300</v>
      </c>
      <c r="H697" s="257">
        <v>0</v>
      </c>
      <c r="I697" s="257">
        <v>0</v>
      </c>
      <c r="J697" s="257">
        <v>0</v>
      </c>
      <c r="K697" s="257">
        <v>0</v>
      </c>
      <c r="L697" s="257">
        <v>0</v>
      </c>
      <c r="M697" s="279">
        <v>3625200</v>
      </c>
      <c r="N697" s="257">
        <v>66300</v>
      </c>
    </row>
    <row r="698" spans="1:14" s="143" customFormat="1" hidden="1" x14ac:dyDescent="0.25">
      <c r="A698" s="143" t="s">
        <v>717</v>
      </c>
      <c r="B698" s="143" t="s">
        <v>140</v>
      </c>
      <c r="C698" s="143" t="s">
        <v>141</v>
      </c>
      <c r="D698" s="143" t="s">
        <v>69</v>
      </c>
      <c r="E698" s="257">
        <v>18004720</v>
      </c>
      <c r="F698" s="257">
        <v>18004720</v>
      </c>
      <c r="G698" s="257">
        <v>4451180</v>
      </c>
      <c r="H698" s="257">
        <v>0</v>
      </c>
      <c r="I698" s="257">
        <v>2470570</v>
      </c>
      <c r="J698" s="257">
        <v>0</v>
      </c>
      <c r="K698" s="257">
        <v>1540450</v>
      </c>
      <c r="L698" s="257">
        <v>1532450</v>
      </c>
      <c r="M698" s="279">
        <v>13993700</v>
      </c>
      <c r="N698" s="257">
        <v>440160</v>
      </c>
    </row>
    <row r="699" spans="1:14" s="143" customFormat="1" hidden="1" x14ac:dyDescent="0.25">
      <c r="A699" s="143" t="s">
        <v>717</v>
      </c>
      <c r="B699" s="143" t="s">
        <v>142</v>
      </c>
      <c r="C699" s="143" t="s">
        <v>143</v>
      </c>
      <c r="D699" s="143" t="s">
        <v>69</v>
      </c>
      <c r="E699" s="257">
        <v>1560220</v>
      </c>
      <c r="F699" s="257">
        <v>1560220</v>
      </c>
      <c r="G699" s="257">
        <v>340055</v>
      </c>
      <c r="H699" s="257">
        <v>0</v>
      </c>
      <c r="I699" s="257">
        <v>155670</v>
      </c>
      <c r="J699" s="257">
        <v>0</v>
      </c>
      <c r="K699" s="257">
        <v>155850</v>
      </c>
      <c r="L699" s="257">
        <v>155850</v>
      </c>
      <c r="M699" s="279">
        <v>1248700</v>
      </c>
      <c r="N699" s="257">
        <v>28535</v>
      </c>
    </row>
    <row r="700" spans="1:14" s="143" customFormat="1" hidden="1" x14ac:dyDescent="0.25">
      <c r="A700" s="143" t="s">
        <v>717</v>
      </c>
      <c r="B700" s="143" t="s">
        <v>144</v>
      </c>
      <c r="C700" s="143" t="s">
        <v>145</v>
      </c>
      <c r="D700" s="143" t="s">
        <v>69</v>
      </c>
      <c r="E700" s="257">
        <v>16444500</v>
      </c>
      <c r="F700" s="257">
        <v>16444500</v>
      </c>
      <c r="G700" s="257">
        <v>4111125</v>
      </c>
      <c r="H700" s="257">
        <v>0</v>
      </c>
      <c r="I700" s="257">
        <v>2314900</v>
      </c>
      <c r="J700" s="257">
        <v>0</v>
      </c>
      <c r="K700" s="257">
        <v>1384600</v>
      </c>
      <c r="L700" s="257">
        <v>1376600</v>
      </c>
      <c r="M700" s="279">
        <v>12745000</v>
      </c>
      <c r="N700" s="257">
        <v>411625</v>
      </c>
    </row>
    <row r="701" spans="1:14" s="143" customFormat="1" hidden="1" x14ac:dyDescent="0.25">
      <c r="A701" s="143" t="s">
        <v>717</v>
      </c>
      <c r="B701" s="143" t="s">
        <v>150</v>
      </c>
      <c r="C701" s="143" t="s">
        <v>151</v>
      </c>
      <c r="D701" s="143" t="s">
        <v>69</v>
      </c>
      <c r="E701" s="257">
        <v>6000000</v>
      </c>
      <c r="F701" s="257">
        <v>6000000</v>
      </c>
      <c r="G701" s="257">
        <v>3400000</v>
      </c>
      <c r="H701" s="257">
        <v>0</v>
      </c>
      <c r="I701" s="257">
        <v>1100000</v>
      </c>
      <c r="J701" s="257">
        <v>0</v>
      </c>
      <c r="K701" s="257">
        <v>0</v>
      </c>
      <c r="L701" s="257">
        <v>0</v>
      </c>
      <c r="M701" s="279">
        <v>4900000</v>
      </c>
      <c r="N701" s="257">
        <v>2300000</v>
      </c>
    </row>
    <row r="702" spans="1:14" s="143" customFormat="1" hidden="1" x14ac:dyDescent="0.25">
      <c r="A702" s="143" t="s">
        <v>717</v>
      </c>
      <c r="B702" s="143" t="s">
        <v>152</v>
      </c>
      <c r="C702" s="143" t="s">
        <v>153</v>
      </c>
      <c r="D702" s="143" t="s">
        <v>69</v>
      </c>
      <c r="E702" s="257">
        <v>6000000</v>
      </c>
      <c r="F702" s="257">
        <v>6000000</v>
      </c>
      <c r="G702" s="257">
        <v>3400000</v>
      </c>
      <c r="H702" s="257">
        <v>0</v>
      </c>
      <c r="I702" s="257">
        <v>1100000</v>
      </c>
      <c r="J702" s="257">
        <v>0</v>
      </c>
      <c r="K702" s="257">
        <v>0</v>
      </c>
      <c r="L702" s="257">
        <v>0</v>
      </c>
      <c r="M702" s="279">
        <v>4900000</v>
      </c>
      <c r="N702" s="257">
        <v>2300000</v>
      </c>
    </row>
    <row r="703" spans="1:14" s="143" customFormat="1" hidden="1" x14ac:dyDescent="0.25">
      <c r="A703" s="143" t="s">
        <v>717</v>
      </c>
      <c r="B703" s="143" t="s">
        <v>154</v>
      </c>
      <c r="C703" s="143" t="s">
        <v>155</v>
      </c>
      <c r="D703" s="143" t="s">
        <v>69</v>
      </c>
      <c r="E703" s="257">
        <v>27190000</v>
      </c>
      <c r="F703" s="257">
        <v>27190000</v>
      </c>
      <c r="G703" s="257">
        <v>7097500</v>
      </c>
      <c r="H703" s="257">
        <v>0</v>
      </c>
      <c r="I703" s="257">
        <v>5926450.2000000002</v>
      </c>
      <c r="J703" s="257">
        <v>324000</v>
      </c>
      <c r="K703" s="257">
        <v>0</v>
      </c>
      <c r="L703" s="257">
        <v>0</v>
      </c>
      <c r="M703" s="279">
        <v>20939549.800000001</v>
      </c>
      <c r="N703" s="257">
        <v>847049.8</v>
      </c>
    </row>
    <row r="704" spans="1:14" s="143" customFormat="1" hidden="1" x14ac:dyDescent="0.25">
      <c r="A704" s="143" t="s">
        <v>717</v>
      </c>
      <c r="B704" s="143" t="s">
        <v>156</v>
      </c>
      <c r="C704" s="143" t="s">
        <v>157</v>
      </c>
      <c r="D704" s="143" t="s">
        <v>69</v>
      </c>
      <c r="E704" s="257">
        <v>27190000</v>
      </c>
      <c r="F704" s="257">
        <v>27190000</v>
      </c>
      <c r="G704" s="257">
        <v>7097500</v>
      </c>
      <c r="H704" s="257">
        <v>0</v>
      </c>
      <c r="I704" s="257">
        <v>5926450.2000000002</v>
      </c>
      <c r="J704" s="257">
        <v>324000</v>
      </c>
      <c r="K704" s="257">
        <v>0</v>
      </c>
      <c r="L704" s="257">
        <v>0</v>
      </c>
      <c r="M704" s="279">
        <v>20939549.800000001</v>
      </c>
      <c r="N704" s="257">
        <v>847049.8</v>
      </c>
    </row>
    <row r="705" spans="1:14" s="143" customFormat="1" hidden="1" x14ac:dyDescent="0.25">
      <c r="A705" s="143" t="s">
        <v>717</v>
      </c>
      <c r="B705" s="143" t="s">
        <v>162</v>
      </c>
      <c r="C705" s="143" t="s">
        <v>163</v>
      </c>
      <c r="D705" s="143" t="s">
        <v>69</v>
      </c>
      <c r="E705" s="257">
        <v>9500000</v>
      </c>
      <c r="F705" s="257">
        <v>9500000</v>
      </c>
      <c r="G705" s="257">
        <v>5724501</v>
      </c>
      <c r="H705" s="257">
        <v>0</v>
      </c>
      <c r="I705" s="257">
        <v>3576280</v>
      </c>
      <c r="J705" s="257">
        <v>0</v>
      </c>
      <c r="K705" s="257">
        <v>0</v>
      </c>
      <c r="L705" s="257">
        <v>0</v>
      </c>
      <c r="M705" s="279">
        <v>5923720</v>
      </c>
      <c r="N705" s="257">
        <v>2148221</v>
      </c>
    </row>
    <row r="706" spans="1:14" s="143" customFormat="1" hidden="1" x14ac:dyDescent="0.25">
      <c r="A706" s="143" t="s">
        <v>717</v>
      </c>
      <c r="B706" s="143" t="s">
        <v>166</v>
      </c>
      <c r="C706" s="143" t="s">
        <v>167</v>
      </c>
      <c r="D706" s="143" t="s">
        <v>69</v>
      </c>
      <c r="E706" s="257">
        <v>4500000</v>
      </c>
      <c r="F706" s="257">
        <v>4500000</v>
      </c>
      <c r="G706" s="257">
        <v>2329501</v>
      </c>
      <c r="H706" s="257">
        <v>0</v>
      </c>
      <c r="I706" s="257">
        <v>2329500</v>
      </c>
      <c r="J706" s="257">
        <v>0</v>
      </c>
      <c r="K706" s="257">
        <v>0</v>
      </c>
      <c r="L706" s="257">
        <v>0</v>
      </c>
      <c r="M706" s="279">
        <v>2170500</v>
      </c>
      <c r="N706" s="257">
        <v>1</v>
      </c>
    </row>
    <row r="707" spans="1:14" s="143" customFormat="1" hidden="1" x14ac:dyDescent="0.25">
      <c r="A707" s="143" t="s">
        <v>717</v>
      </c>
      <c r="B707" s="143" t="s">
        <v>170</v>
      </c>
      <c r="C707" s="143" t="s">
        <v>171</v>
      </c>
      <c r="D707" s="143" t="s">
        <v>69</v>
      </c>
      <c r="E707" s="257">
        <v>5000000</v>
      </c>
      <c r="F707" s="257">
        <v>5000000</v>
      </c>
      <c r="G707" s="257">
        <v>3395000</v>
      </c>
      <c r="H707" s="257">
        <v>0</v>
      </c>
      <c r="I707" s="257">
        <v>1246780</v>
      </c>
      <c r="J707" s="257">
        <v>0</v>
      </c>
      <c r="K707" s="257">
        <v>0</v>
      </c>
      <c r="L707" s="257">
        <v>0</v>
      </c>
      <c r="M707" s="279">
        <v>3753220</v>
      </c>
      <c r="N707" s="257">
        <v>2148220</v>
      </c>
    </row>
    <row r="708" spans="1:14" s="143" customFormat="1" hidden="1" x14ac:dyDescent="0.25">
      <c r="A708" s="143" t="s">
        <v>717</v>
      </c>
      <c r="B708" s="143" t="s">
        <v>174</v>
      </c>
      <c r="C708" s="143" t="s">
        <v>175</v>
      </c>
      <c r="D708" s="143" t="s">
        <v>69</v>
      </c>
      <c r="E708" s="257">
        <v>500000</v>
      </c>
      <c r="F708" s="257">
        <v>500000</v>
      </c>
      <c r="G708" s="257">
        <v>55000</v>
      </c>
      <c r="H708" s="257">
        <v>0</v>
      </c>
      <c r="I708" s="257">
        <v>0</v>
      </c>
      <c r="J708" s="257">
        <v>0</v>
      </c>
      <c r="K708" s="257">
        <v>46085</v>
      </c>
      <c r="L708" s="257">
        <v>46085</v>
      </c>
      <c r="M708" s="279">
        <v>453915</v>
      </c>
      <c r="N708" s="257">
        <v>8915</v>
      </c>
    </row>
    <row r="709" spans="1:14" s="143" customFormat="1" hidden="1" x14ac:dyDescent="0.25">
      <c r="A709" s="143" t="s">
        <v>717</v>
      </c>
      <c r="B709" s="143" t="s">
        <v>176</v>
      </c>
      <c r="C709" s="143" t="s">
        <v>177</v>
      </c>
      <c r="D709" s="143" t="s">
        <v>69</v>
      </c>
      <c r="E709" s="257">
        <v>500000</v>
      </c>
      <c r="F709" s="257">
        <v>500000</v>
      </c>
      <c r="G709" s="257">
        <v>55000</v>
      </c>
      <c r="H709" s="257">
        <v>0</v>
      </c>
      <c r="I709" s="257">
        <v>0</v>
      </c>
      <c r="J709" s="257">
        <v>0</v>
      </c>
      <c r="K709" s="257">
        <v>46085</v>
      </c>
      <c r="L709" s="257">
        <v>46085</v>
      </c>
      <c r="M709" s="279">
        <v>453915</v>
      </c>
      <c r="N709" s="257">
        <v>8915</v>
      </c>
    </row>
    <row r="710" spans="1:14" s="143" customFormat="1" hidden="1" x14ac:dyDescent="0.25">
      <c r="A710" s="143" t="s">
        <v>717</v>
      </c>
      <c r="B710" s="143" t="s">
        <v>178</v>
      </c>
      <c r="C710" s="143" t="s">
        <v>179</v>
      </c>
      <c r="D710" s="143" t="s">
        <v>69</v>
      </c>
      <c r="E710" s="257">
        <v>1500000</v>
      </c>
      <c r="F710" s="257">
        <v>1500000</v>
      </c>
      <c r="G710" s="257">
        <v>25000</v>
      </c>
      <c r="H710" s="257">
        <v>0</v>
      </c>
      <c r="I710" s="257">
        <v>0</v>
      </c>
      <c r="J710" s="257">
        <v>0</v>
      </c>
      <c r="K710" s="257">
        <v>0</v>
      </c>
      <c r="L710" s="257">
        <v>0</v>
      </c>
      <c r="M710" s="279">
        <v>1500000</v>
      </c>
      <c r="N710" s="257">
        <v>25000</v>
      </c>
    </row>
    <row r="711" spans="1:14" s="143" customFormat="1" hidden="1" x14ac:dyDescent="0.25">
      <c r="A711" s="143" t="s">
        <v>717</v>
      </c>
      <c r="B711" s="143" t="s">
        <v>182</v>
      </c>
      <c r="C711" s="143" t="s">
        <v>183</v>
      </c>
      <c r="D711" s="143" t="s">
        <v>69</v>
      </c>
      <c r="E711" s="257">
        <v>1500000</v>
      </c>
      <c r="F711" s="257">
        <v>1500000</v>
      </c>
      <c r="G711" s="257">
        <v>25000</v>
      </c>
      <c r="H711" s="257">
        <v>0</v>
      </c>
      <c r="I711" s="257">
        <v>0</v>
      </c>
      <c r="J711" s="257">
        <v>0</v>
      </c>
      <c r="K711" s="257">
        <v>0</v>
      </c>
      <c r="L711" s="257">
        <v>0</v>
      </c>
      <c r="M711" s="279">
        <v>1500000</v>
      </c>
      <c r="N711" s="257">
        <v>25000</v>
      </c>
    </row>
    <row r="712" spans="1:14" s="143" customFormat="1" hidden="1" x14ac:dyDescent="0.25">
      <c r="A712" s="143" t="s">
        <v>717</v>
      </c>
      <c r="B712" s="143" t="s">
        <v>184</v>
      </c>
      <c r="C712" s="143" t="s">
        <v>185</v>
      </c>
      <c r="D712" s="143" t="s">
        <v>69</v>
      </c>
      <c r="E712" s="257">
        <v>52884335</v>
      </c>
      <c r="F712" s="257">
        <v>52884335</v>
      </c>
      <c r="G712" s="257">
        <v>12906661.08</v>
      </c>
      <c r="H712" s="257">
        <v>382200</v>
      </c>
      <c r="I712" s="257">
        <v>4091993.69</v>
      </c>
      <c r="J712" s="257">
        <v>0</v>
      </c>
      <c r="K712" s="257">
        <v>5360935.38</v>
      </c>
      <c r="L712" s="257">
        <v>5360935.38</v>
      </c>
      <c r="M712" s="279">
        <v>43049205.93</v>
      </c>
      <c r="N712" s="257">
        <v>3071532.01</v>
      </c>
    </row>
    <row r="713" spans="1:14" s="143" customFormat="1" hidden="1" x14ac:dyDescent="0.25">
      <c r="A713" s="143" t="s">
        <v>717</v>
      </c>
      <c r="B713" s="143" t="s">
        <v>186</v>
      </c>
      <c r="C713" s="143" t="s">
        <v>187</v>
      </c>
      <c r="D713" s="143" t="s">
        <v>69</v>
      </c>
      <c r="E713" s="257">
        <v>21308004</v>
      </c>
      <c r="F713" s="257">
        <v>21308004</v>
      </c>
      <c r="G713" s="257">
        <v>5637970</v>
      </c>
      <c r="H713" s="257">
        <v>0</v>
      </c>
      <c r="I713" s="257">
        <v>2510377.12</v>
      </c>
      <c r="J713" s="257">
        <v>0</v>
      </c>
      <c r="K713" s="257">
        <v>3125961.28</v>
      </c>
      <c r="L713" s="257">
        <v>3125961.28</v>
      </c>
      <c r="M713" s="279">
        <v>15671665.6</v>
      </c>
      <c r="N713" s="257">
        <v>1631.6</v>
      </c>
    </row>
    <row r="714" spans="1:14" s="143" customFormat="1" hidden="1" x14ac:dyDescent="0.25">
      <c r="A714" s="143" t="s">
        <v>717</v>
      </c>
      <c r="B714" s="143" t="s">
        <v>188</v>
      </c>
      <c r="C714" s="143" t="s">
        <v>189</v>
      </c>
      <c r="D714" s="143" t="s">
        <v>69</v>
      </c>
      <c r="E714" s="257">
        <v>9500000</v>
      </c>
      <c r="F714" s="257">
        <v>9500000</v>
      </c>
      <c r="G714" s="257">
        <v>1701631</v>
      </c>
      <c r="H714" s="257">
        <v>0</v>
      </c>
      <c r="I714" s="257">
        <v>868132</v>
      </c>
      <c r="J714" s="257">
        <v>0</v>
      </c>
      <c r="K714" s="257">
        <v>831868</v>
      </c>
      <c r="L714" s="257">
        <v>831868</v>
      </c>
      <c r="M714" s="279">
        <v>7800000</v>
      </c>
      <c r="N714" s="257">
        <v>1631</v>
      </c>
    </row>
    <row r="715" spans="1:14" s="143" customFormat="1" hidden="1" x14ac:dyDescent="0.25">
      <c r="A715" s="143" t="s">
        <v>717</v>
      </c>
      <c r="B715" s="143" t="s">
        <v>192</v>
      </c>
      <c r="C715" s="143" t="s">
        <v>193</v>
      </c>
      <c r="D715" s="143" t="s">
        <v>69</v>
      </c>
      <c r="E715" s="257">
        <v>11808004</v>
      </c>
      <c r="F715" s="257">
        <v>11808004</v>
      </c>
      <c r="G715" s="257">
        <v>3936339</v>
      </c>
      <c r="H715" s="257">
        <v>0</v>
      </c>
      <c r="I715" s="257">
        <v>1642245.1200000001</v>
      </c>
      <c r="J715" s="257">
        <v>0</v>
      </c>
      <c r="K715" s="257">
        <v>2294093.2799999998</v>
      </c>
      <c r="L715" s="257">
        <v>2294093.2799999998</v>
      </c>
      <c r="M715" s="279">
        <v>7871665.5999999996</v>
      </c>
      <c r="N715" s="257">
        <v>0.60000000000000009</v>
      </c>
    </row>
    <row r="716" spans="1:14" s="143" customFormat="1" hidden="1" x14ac:dyDescent="0.25">
      <c r="A716" s="143" t="s">
        <v>717</v>
      </c>
      <c r="B716" s="143" t="s">
        <v>196</v>
      </c>
      <c r="C716" s="143" t="s">
        <v>197</v>
      </c>
      <c r="D716" s="143" t="s">
        <v>69</v>
      </c>
      <c r="E716" s="257">
        <v>7008325</v>
      </c>
      <c r="F716" s="257">
        <v>7008325</v>
      </c>
      <c r="G716" s="257">
        <v>2502082</v>
      </c>
      <c r="H716" s="257">
        <v>0</v>
      </c>
      <c r="I716" s="257">
        <v>599367.69999999995</v>
      </c>
      <c r="J716" s="257">
        <v>0</v>
      </c>
      <c r="K716" s="257">
        <v>0</v>
      </c>
      <c r="L716" s="257">
        <v>0</v>
      </c>
      <c r="M716" s="279">
        <v>6408957.2999999998</v>
      </c>
      <c r="N716" s="257">
        <v>1902714.3</v>
      </c>
    </row>
    <row r="717" spans="1:14" s="143" customFormat="1" hidden="1" x14ac:dyDescent="0.25">
      <c r="A717" s="143" t="s">
        <v>717</v>
      </c>
      <c r="B717" s="143" t="s">
        <v>198</v>
      </c>
      <c r="C717" s="143" t="s">
        <v>199</v>
      </c>
      <c r="D717" s="143" t="s">
        <v>69</v>
      </c>
      <c r="E717" s="257">
        <v>7008325</v>
      </c>
      <c r="F717" s="257">
        <v>7008325</v>
      </c>
      <c r="G717" s="257">
        <v>2502082</v>
      </c>
      <c r="H717" s="257">
        <v>0</v>
      </c>
      <c r="I717" s="257">
        <v>599367.69999999995</v>
      </c>
      <c r="J717" s="257">
        <v>0</v>
      </c>
      <c r="K717" s="257">
        <v>0</v>
      </c>
      <c r="L717" s="257">
        <v>0</v>
      </c>
      <c r="M717" s="279">
        <v>6408957.2999999998</v>
      </c>
      <c r="N717" s="257">
        <v>1902714.3</v>
      </c>
    </row>
    <row r="718" spans="1:14" s="143" customFormat="1" hidden="1" x14ac:dyDescent="0.25">
      <c r="A718" s="143" t="s">
        <v>717</v>
      </c>
      <c r="B718" s="143" t="s">
        <v>200</v>
      </c>
      <c r="C718" s="143" t="s">
        <v>201</v>
      </c>
      <c r="D718" s="143" t="s">
        <v>69</v>
      </c>
      <c r="E718" s="257">
        <v>900000</v>
      </c>
      <c r="F718" s="257">
        <v>900000</v>
      </c>
      <c r="G718" s="257">
        <v>159000.01</v>
      </c>
      <c r="H718" s="257">
        <v>0</v>
      </c>
      <c r="I718" s="257">
        <v>132953.99</v>
      </c>
      <c r="J718" s="257">
        <v>0</v>
      </c>
      <c r="K718" s="257">
        <v>0</v>
      </c>
      <c r="L718" s="257">
        <v>0</v>
      </c>
      <c r="M718" s="279">
        <v>767046.01</v>
      </c>
      <c r="N718" s="257">
        <v>26046.02</v>
      </c>
    </row>
    <row r="719" spans="1:14" s="143" customFormat="1" hidden="1" x14ac:dyDescent="0.25">
      <c r="A719" s="143" t="s">
        <v>717</v>
      </c>
      <c r="B719" s="143" t="s">
        <v>316</v>
      </c>
      <c r="C719" s="143" t="s">
        <v>317</v>
      </c>
      <c r="D719" s="143" t="s">
        <v>69</v>
      </c>
      <c r="E719" s="257">
        <v>420000</v>
      </c>
      <c r="F719" s="257">
        <v>420000</v>
      </c>
      <c r="G719" s="257">
        <v>19046.009999999998</v>
      </c>
      <c r="H719" s="257">
        <v>0</v>
      </c>
      <c r="I719" s="257">
        <v>0</v>
      </c>
      <c r="J719" s="257">
        <v>0</v>
      </c>
      <c r="K719" s="257">
        <v>0</v>
      </c>
      <c r="L719" s="257">
        <v>0</v>
      </c>
      <c r="M719" s="279">
        <v>420000</v>
      </c>
      <c r="N719" s="257">
        <v>19046.009999999998</v>
      </c>
    </row>
    <row r="720" spans="1:14" s="143" customFormat="1" hidden="1" x14ac:dyDescent="0.25">
      <c r="A720" s="143" t="s">
        <v>717</v>
      </c>
      <c r="B720" s="143" t="s">
        <v>202</v>
      </c>
      <c r="C720" s="143" t="s">
        <v>203</v>
      </c>
      <c r="D720" s="143" t="s">
        <v>69</v>
      </c>
      <c r="E720" s="257">
        <v>480000</v>
      </c>
      <c r="F720" s="257">
        <v>480000</v>
      </c>
      <c r="G720" s="257">
        <v>139954</v>
      </c>
      <c r="H720" s="257">
        <v>0</v>
      </c>
      <c r="I720" s="257">
        <v>132953.99</v>
      </c>
      <c r="J720" s="257">
        <v>0</v>
      </c>
      <c r="K720" s="257">
        <v>0</v>
      </c>
      <c r="L720" s="257">
        <v>0</v>
      </c>
      <c r="M720" s="279">
        <v>347046.01</v>
      </c>
      <c r="N720" s="257">
        <v>7000.01</v>
      </c>
    </row>
    <row r="721" spans="1:14" s="143" customFormat="1" hidden="1" x14ac:dyDescent="0.25">
      <c r="A721" s="143" t="s">
        <v>717</v>
      </c>
      <c r="B721" s="143" t="s">
        <v>206</v>
      </c>
      <c r="C721" s="143" t="s">
        <v>207</v>
      </c>
      <c r="D721" s="143" t="s">
        <v>69</v>
      </c>
      <c r="E721" s="257">
        <v>3052196</v>
      </c>
      <c r="F721" s="257">
        <v>3052196</v>
      </c>
      <c r="G721" s="257">
        <v>3052</v>
      </c>
      <c r="H721" s="257">
        <v>0</v>
      </c>
      <c r="I721" s="257">
        <v>0</v>
      </c>
      <c r="J721" s="257">
        <v>0</v>
      </c>
      <c r="K721" s="257">
        <v>0</v>
      </c>
      <c r="L721" s="257">
        <v>0</v>
      </c>
      <c r="M721" s="279">
        <v>3052196</v>
      </c>
      <c r="N721" s="257">
        <v>3052</v>
      </c>
    </row>
    <row r="722" spans="1:14" s="143" customFormat="1" hidden="1" x14ac:dyDescent="0.25">
      <c r="A722" s="143" t="s">
        <v>717</v>
      </c>
      <c r="B722" s="143" t="s">
        <v>208</v>
      </c>
      <c r="C722" s="143" t="s">
        <v>209</v>
      </c>
      <c r="D722" s="143" t="s">
        <v>69</v>
      </c>
      <c r="E722" s="257">
        <v>885321</v>
      </c>
      <c r="F722" s="257">
        <v>885321</v>
      </c>
      <c r="G722" s="257">
        <v>1331</v>
      </c>
      <c r="H722" s="257">
        <v>0</v>
      </c>
      <c r="I722" s="257">
        <v>0</v>
      </c>
      <c r="J722" s="257">
        <v>0</v>
      </c>
      <c r="K722" s="257">
        <v>0</v>
      </c>
      <c r="L722" s="257">
        <v>0</v>
      </c>
      <c r="M722" s="279">
        <v>885321</v>
      </c>
      <c r="N722" s="257">
        <v>1331</v>
      </c>
    </row>
    <row r="723" spans="1:14" s="143" customFormat="1" hidden="1" x14ac:dyDescent="0.25">
      <c r="A723" s="143" t="s">
        <v>717</v>
      </c>
      <c r="B723" s="143" t="s">
        <v>210</v>
      </c>
      <c r="C723" s="143" t="s">
        <v>211</v>
      </c>
      <c r="D723" s="143" t="s">
        <v>69</v>
      </c>
      <c r="E723" s="257">
        <v>2166875</v>
      </c>
      <c r="F723" s="257">
        <v>2166875</v>
      </c>
      <c r="G723" s="257">
        <v>1721</v>
      </c>
      <c r="H723" s="257">
        <v>0</v>
      </c>
      <c r="I723" s="257">
        <v>0</v>
      </c>
      <c r="J723" s="257">
        <v>0</v>
      </c>
      <c r="K723" s="257">
        <v>0</v>
      </c>
      <c r="L723" s="257">
        <v>0</v>
      </c>
      <c r="M723" s="279">
        <v>2166875</v>
      </c>
      <c r="N723" s="257">
        <v>1721</v>
      </c>
    </row>
    <row r="724" spans="1:14" s="143" customFormat="1" hidden="1" x14ac:dyDescent="0.25">
      <c r="A724" s="143" t="s">
        <v>717</v>
      </c>
      <c r="B724" s="143" t="s">
        <v>212</v>
      </c>
      <c r="C724" s="143" t="s">
        <v>213</v>
      </c>
      <c r="D724" s="143" t="s">
        <v>69</v>
      </c>
      <c r="E724" s="257">
        <v>20615810</v>
      </c>
      <c r="F724" s="257">
        <v>20615810</v>
      </c>
      <c r="G724" s="257">
        <v>4604557.07</v>
      </c>
      <c r="H724" s="257">
        <v>382200</v>
      </c>
      <c r="I724" s="257">
        <v>849294.88</v>
      </c>
      <c r="J724" s="257">
        <v>0</v>
      </c>
      <c r="K724" s="257">
        <v>2234974.1</v>
      </c>
      <c r="L724" s="257">
        <v>2234974.1</v>
      </c>
      <c r="M724" s="279">
        <v>17149341.02</v>
      </c>
      <c r="N724" s="257">
        <v>1138088.0900000001</v>
      </c>
    </row>
    <row r="725" spans="1:14" s="143" customFormat="1" hidden="1" x14ac:dyDescent="0.25">
      <c r="A725" s="143" t="s">
        <v>717</v>
      </c>
      <c r="B725" s="143" t="s">
        <v>214</v>
      </c>
      <c r="C725" s="143" t="s">
        <v>215</v>
      </c>
      <c r="D725" s="143" t="s">
        <v>69</v>
      </c>
      <c r="E725" s="257">
        <v>8014742</v>
      </c>
      <c r="F725" s="257">
        <v>8014742</v>
      </c>
      <c r="G725" s="257">
        <v>993687</v>
      </c>
      <c r="H725" s="257">
        <v>0</v>
      </c>
      <c r="I725" s="257">
        <v>0</v>
      </c>
      <c r="J725" s="257">
        <v>0</v>
      </c>
      <c r="K725" s="257">
        <v>493107</v>
      </c>
      <c r="L725" s="257">
        <v>493107</v>
      </c>
      <c r="M725" s="279">
        <v>7521635</v>
      </c>
      <c r="N725" s="257">
        <v>500580</v>
      </c>
    </row>
    <row r="726" spans="1:14" s="143" customFormat="1" hidden="1" x14ac:dyDescent="0.25">
      <c r="A726" s="143" t="s">
        <v>717</v>
      </c>
      <c r="B726" s="143" t="s">
        <v>218</v>
      </c>
      <c r="C726" s="143" t="s">
        <v>219</v>
      </c>
      <c r="D726" s="143" t="s">
        <v>69</v>
      </c>
      <c r="E726" s="257">
        <v>5268045</v>
      </c>
      <c r="F726" s="257">
        <v>5268045</v>
      </c>
      <c r="G726" s="257">
        <v>887866.47</v>
      </c>
      <c r="H726" s="257">
        <v>0</v>
      </c>
      <c r="I726" s="257">
        <v>125100</v>
      </c>
      <c r="J726" s="257">
        <v>0</v>
      </c>
      <c r="K726" s="257">
        <v>259408.45</v>
      </c>
      <c r="L726" s="257">
        <v>259408.45</v>
      </c>
      <c r="M726" s="279">
        <v>4883536.55</v>
      </c>
      <c r="N726" s="257">
        <v>503358.02</v>
      </c>
    </row>
    <row r="727" spans="1:14" s="143" customFormat="1" hidden="1" x14ac:dyDescent="0.25">
      <c r="A727" s="143" t="s">
        <v>717</v>
      </c>
      <c r="B727" s="143" t="s">
        <v>220</v>
      </c>
      <c r="C727" s="143" t="s">
        <v>221</v>
      </c>
      <c r="D727" s="143" t="s">
        <v>69</v>
      </c>
      <c r="E727" s="257">
        <v>3038980</v>
      </c>
      <c r="F727" s="257">
        <v>3038980</v>
      </c>
      <c r="G727" s="257">
        <v>407.6</v>
      </c>
      <c r="H727" s="257">
        <v>0</v>
      </c>
      <c r="I727" s="257">
        <v>0</v>
      </c>
      <c r="J727" s="257">
        <v>0</v>
      </c>
      <c r="K727" s="257">
        <v>0</v>
      </c>
      <c r="L727" s="257">
        <v>0</v>
      </c>
      <c r="M727" s="279">
        <v>3038980</v>
      </c>
      <c r="N727" s="257">
        <v>407.6</v>
      </c>
    </row>
    <row r="728" spans="1:14" s="143" customFormat="1" hidden="1" x14ac:dyDescent="0.25">
      <c r="A728" s="143" t="s">
        <v>717</v>
      </c>
      <c r="B728" s="143" t="s">
        <v>222</v>
      </c>
      <c r="C728" s="143" t="s">
        <v>223</v>
      </c>
      <c r="D728" s="143" t="s">
        <v>69</v>
      </c>
      <c r="E728" s="257">
        <v>2590023</v>
      </c>
      <c r="F728" s="257">
        <v>2590023</v>
      </c>
      <c r="G728" s="257">
        <v>2590023</v>
      </c>
      <c r="H728" s="257">
        <v>382200</v>
      </c>
      <c r="I728" s="257">
        <v>724194.88</v>
      </c>
      <c r="J728" s="257">
        <v>0</v>
      </c>
      <c r="K728" s="257">
        <v>1482458.65</v>
      </c>
      <c r="L728" s="257">
        <v>1482458.65</v>
      </c>
      <c r="M728" s="279">
        <v>1169.47</v>
      </c>
      <c r="N728" s="257">
        <v>1169.47</v>
      </c>
    </row>
    <row r="729" spans="1:14" s="143" customFormat="1" hidden="1" x14ac:dyDescent="0.25">
      <c r="A729" s="143" t="s">
        <v>717</v>
      </c>
      <c r="B729" s="143" t="s">
        <v>226</v>
      </c>
      <c r="C729" s="143" t="s">
        <v>227</v>
      </c>
      <c r="D729" s="143" t="s">
        <v>69</v>
      </c>
      <c r="E729" s="257">
        <v>774300</v>
      </c>
      <c r="F729" s="257">
        <v>774300</v>
      </c>
      <c r="G729" s="257">
        <v>128143</v>
      </c>
      <c r="H729" s="257">
        <v>0</v>
      </c>
      <c r="I729" s="257">
        <v>0</v>
      </c>
      <c r="J729" s="257">
        <v>0</v>
      </c>
      <c r="K729" s="257">
        <v>0</v>
      </c>
      <c r="L729" s="257">
        <v>0</v>
      </c>
      <c r="M729" s="279">
        <v>774300</v>
      </c>
      <c r="N729" s="257">
        <v>128143</v>
      </c>
    </row>
    <row r="730" spans="1:14" s="143" customFormat="1" hidden="1" x14ac:dyDescent="0.25">
      <c r="A730" s="143" t="s">
        <v>717</v>
      </c>
      <c r="B730" s="143" t="s">
        <v>228</v>
      </c>
      <c r="C730" s="143" t="s">
        <v>229</v>
      </c>
      <c r="D730" s="143" t="s">
        <v>69</v>
      </c>
      <c r="E730" s="257">
        <v>929720</v>
      </c>
      <c r="F730" s="257">
        <v>929720</v>
      </c>
      <c r="G730" s="257">
        <v>4430</v>
      </c>
      <c r="H730" s="257">
        <v>0</v>
      </c>
      <c r="I730" s="257">
        <v>0</v>
      </c>
      <c r="J730" s="257">
        <v>0</v>
      </c>
      <c r="K730" s="257">
        <v>0</v>
      </c>
      <c r="L730" s="257">
        <v>0</v>
      </c>
      <c r="M730" s="279">
        <v>929720</v>
      </c>
      <c r="N730" s="257">
        <v>4430</v>
      </c>
    </row>
    <row r="731" spans="1:14" s="143" customFormat="1" hidden="1" x14ac:dyDescent="0.25">
      <c r="A731" s="143" t="s">
        <v>717</v>
      </c>
      <c r="B731" s="143" t="s">
        <v>230</v>
      </c>
      <c r="C731" s="143" t="s">
        <v>231</v>
      </c>
      <c r="D731" s="143" t="s">
        <v>85</v>
      </c>
      <c r="E731" s="257">
        <v>45174214</v>
      </c>
      <c r="F731" s="257">
        <v>45174214</v>
      </c>
      <c r="G731" s="257">
        <v>2073108</v>
      </c>
      <c r="H731" s="257">
        <v>0</v>
      </c>
      <c r="I731" s="257">
        <v>62400</v>
      </c>
      <c r="J731" s="257">
        <v>0</v>
      </c>
      <c r="K731" s="257">
        <v>1010183.4</v>
      </c>
      <c r="L731" s="257">
        <v>1010183.4</v>
      </c>
      <c r="M731" s="279">
        <v>44101630.600000001</v>
      </c>
      <c r="N731" s="257">
        <v>1000524.6</v>
      </c>
    </row>
    <row r="732" spans="1:14" s="143" customFormat="1" hidden="1" x14ac:dyDescent="0.25">
      <c r="A732" s="143" t="s">
        <v>717</v>
      </c>
      <c r="B732" s="143" t="s">
        <v>232</v>
      </c>
      <c r="C732" s="143" t="s">
        <v>233</v>
      </c>
      <c r="D732" s="143" t="s">
        <v>85</v>
      </c>
      <c r="E732" s="257">
        <v>45174214</v>
      </c>
      <c r="F732" s="257">
        <v>45174214</v>
      </c>
      <c r="G732" s="257">
        <v>2073108</v>
      </c>
      <c r="H732" s="257">
        <v>0</v>
      </c>
      <c r="I732" s="257">
        <v>62400</v>
      </c>
      <c r="J732" s="257">
        <v>0</v>
      </c>
      <c r="K732" s="257">
        <v>1010183.4</v>
      </c>
      <c r="L732" s="257">
        <v>1010183.4</v>
      </c>
      <c r="M732" s="279">
        <v>44101630.600000001</v>
      </c>
      <c r="N732" s="257">
        <v>1000524.6</v>
      </c>
    </row>
    <row r="733" spans="1:14" s="143" customFormat="1" hidden="1" x14ac:dyDescent="0.25">
      <c r="A733" s="143" t="s">
        <v>717</v>
      </c>
      <c r="B733" s="143" t="s">
        <v>324</v>
      </c>
      <c r="C733" s="143" t="s">
        <v>325</v>
      </c>
      <c r="D733" s="143" t="s">
        <v>85</v>
      </c>
      <c r="E733" s="257">
        <v>400000</v>
      </c>
      <c r="F733" s="257">
        <v>400000</v>
      </c>
      <c r="G733" s="257">
        <v>200000</v>
      </c>
      <c r="H733" s="257">
        <v>0</v>
      </c>
      <c r="I733" s="257">
        <v>0</v>
      </c>
      <c r="J733" s="257">
        <v>0</v>
      </c>
      <c r="K733" s="257">
        <v>0</v>
      </c>
      <c r="L733" s="257">
        <v>0</v>
      </c>
      <c r="M733" s="279">
        <v>400000</v>
      </c>
      <c r="N733" s="257">
        <v>200000</v>
      </c>
    </row>
    <row r="734" spans="1:14" s="143" customFormat="1" hidden="1" x14ac:dyDescent="0.25">
      <c r="A734" s="143" t="s">
        <v>717</v>
      </c>
      <c r="B734" s="143" t="s">
        <v>236</v>
      </c>
      <c r="C734" s="143" t="s">
        <v>237</v>
      </c>
      <c r="D734" s="143" t="s">
        <v>85</v>
      </c>
      <c r="E734" s="257">
        <v>10235014</v>
      </c>
      <c r="F734" s="257">
        <v>10235014</v>
      </c>
      <c r="G734" s="257">
        <v>1058755</v>
      </c>
      <c r="H734" s="257">
        <v>0</v>
      </c>
      <c r="I734" s="257">
        <v>0</v>
      </c>
      <c r="J734" s="257">
        <v>0</v>
      </c>
      <c r="K734" s="257">
        <v>1010183.4</v>
      </c>
      <c r="L734" s="257">
        <v>1010183.4</v>
      </c>
      <c r="M734" s="279">
        <v>9224830.5999999996</v>
      </c>
      <c r="N734" s="257">
        <v>48571.6</v>
      </c>
    </row>
    <row r="735" spans="1:14" s="143" customFormat="1" hidden="1" x14ac:dyDescent="0.25">
      <c r="A735" s="143" t="s">
        <v>717</v>
      </c>
      <c r="B735" s="143" t="s">
        <v>238</v>
      </c>
      <c r="C735" s="143" t="s">
        <v>239</v>
      </c>
      <c r="D735" s="143" t="s">
        <v>85</v>
      </c>
      <c r="E735" s="257">
        <v>3243620</v>
      </c>
      <c r="F735" s="257">
        <v>3243620</v>
      </c>
      <c r="G735" s="257">
        <v>243620</v>
      </c>
      <c r="H735" s="257">
        <v>0</v>
      </c>
      <c r="I735" s="257">
        <v>0</v>
      </c>
      <c r="J735" s="257">
        <v>0</v>
      </c>
      <c r="K735" s="257">
        <v>0</v>
      </c>
      <c r="L735" s="257">
        <v>0</v>
      </c>
      <c r="M735" s="279">
        <v>3243620</v>
      </c>
      <c r="N735" s="257">
        <v>243620</v>
      </c>
    </row>
    <row r="736" spans="1:14" s="143" customFormat="1" hidden="1" x14ac:dyDescent="0.25">
      <c r="A736" s="143" t="s">
        <v>717</v>
      </c>
      <c r="B736" s="143" t="s">
        <v>282</v>
      </c>
      <c r="C736" s="143" t="s">
        <v>283</v>
      </c>
      <c r="D736" s="143" t="s">
        <v>85</v>
      </c>
      <c r="E736" s="257">
        <v>414480</v>
      </c>
      <c r="F736" s="257">
        <v>414480</v>
      </c>
      <c r="G736" s="257">
        <v>480</v>
      </c>
      <c r="H736" s="257">
        <v>0</v>
      </c>
      <c r="I736" s="257">
        <v>0</v>
      </c>
      <c r="J736" s="257">
        <v>0</v>
      </c>
      <c r="K736" s="257">
        <v>0</v>
      </c>
      <c r="L736" s="257">
        <v>0</v>
      </c>
      <c r="M736" s="279">
        <v>414480</v>
      </c>
      <c r="N736" s="257">
        <v>480</v>
      </c>
    </row>
    <row r="737" spans="1:14" s="143" customFormat="1" hidden="1" x14ac:dyDescent="0.25">
      <c r="A737" s="143" t="s">
        <v>717</v>
      </c>
      <c r="B737" s="143" t="s">
        <v>240</v>
      </c>
      <c r="C737" s="143" t="s">
        <v>241</v>
      </c>
      <c r="D737" s="143" t="s">
        <v>85</v>
      </c>
      <c r="E737" s="257">
        <v>27531100</v>
      </c>
      <c r="F737" s="257">
        <v>27531100</v>
      </c>
      <c r="G737" s="257">
        <v>467753</v>
      </c>
      <c r="H737" s="257">
        <v>0</v>
      </c>
      <c r="I737" s="257">
        <v>0</v>
      </c>
      <c r="J737" s="257">
        <v>0</v>
      </c>
      <c r="K737" s="257">
        <v>0</v>
      </c>
      <c r="L737" s="257">
        <v>0</v>
      </c>
      <c r="M737" s="279">
        <v>27531100</v>
      </c>
      <c r="N737" s="257">
        <v>467753</v>
      </c>
    </row>
    <row r="738" spans="1:14" s="143" customFormat="1" hidden="1" x14ac:dyDescent="0.25">
      <c r="A738" s="143" t="s">
        <v>717</v>
      </c>
      <c r="B738" s="143" t="s">
        <v>242</v>
      </c>
      <c r="C738" s="143" t="s">
        <v>243</v>
      </c>
      <c r="D738" s="143" t="s">
        <v>85</v>
      </c>
      <c r="E738" s="257">
        <v>3350000</v>
      </c>
      <c r="F738" s="257">
        <v>3350000</v>
      </c>
      <c r="G738" s="257">
        <v>102500</v>
      </c>
      <c r="H738" s="257">
        <v>0</v>
      </c>
      <c r="I738" s="257">
        <v>62400</v>
      </c>
      <c r="J738" s="257">
        <v>0</v>
      </c>
      <c r="K738" s="257">
        <v>0</v>
      </c>
      <c r="L738" s="257">
        <v>0</v>
      </c>
      <c r="M738" s="279">
        <v>3287600</v>
      </c>
      <c r="N738" s="257">
        <v>40100</v>
      </c>
    </row>
    <row r="739" spans="1:14" s="143" customFormat="1" hidden="1" x14ac:dyDescent="0.25">
      <c r="A739" s="143" t="s">
        <v>717</v>
      </c>
      <c r="B739" s="143" t="s">
        <v>248</v>
      </c>
      <c r="C739" s="143" t="s">
        <v>249</v>
      </c>
      <c r="D739" s="143" t="s">
        <v>69</v>
      </c>
      <c r="E739" s="257">
        <v>50610852</v>
      </c>
      <c r="F739" s="257">
        <v>50610852</v>
      </c>
      <c r="G739" s="257">
        <v>22150811</v>
      </c>
      <c r="H739" s="257">
        <v>0</v>
      </c>
      <c r="I739" s="257">
        <v>10951223</v>
      </c>
      <c r="J739" s="257">
        <v>0</v>
      </c>
      <c r="K739" s="257">
        <v>4863883</v>
      </c>
      <c r="L739" s="257">
        <v>4863883</v>
      </c>
      <c r="M739" s="279">
        <v>34795746</v>
      </c>
      <c r="N739" s="257">
        <v>6335705</v>
      </c>
    </row>
    <row r="740" spans="1:14" s="143" customFormat="1" hidden="1" x14ac:dyDescent="0.25">
      <c r="A740" s="143" t="s">
        <v>717</v>
      </c>
      <c r="B740" s="143" t="s">
        <v>250</v>
      </c>
      <c r="C740" s="143" t="s">
        <v>251</v>
      </c>
      <c r="D740" s="143" t="s">
        <v>69</v>
      </c>
      <c r="E740" s="257">
        <v>14610852</v>
      </c>
      <c r="F740" s="257">
        <v>14610852</v>
      </c>
      <c r="G740" s="257">
        <v>14150811</v>
      </c>
      <c r="H740" s="257">
        <v>0</v>
      </c>
      <c r="I740" s="257">
        <v>10951223</v>
      </c>
      <c r="J740" s="257">
        <v>0</v>
      </c>
      <c r="K740" s="257">
        <v>3659629</v>
      </c>
      <c r="L740" s="257">
        <v>3659629</v>
      </c>
      <c r="M740" s="279">
        <v>0</v>
      </c>
      <c r="N740" s="275">
        <v>-460041</v>
      </c>
    </row>
    <row r="741" spans="1:14" s="143" customFormat="1" hidden="1" x14ac:dyDescent="0.25">
      <c r="A741" s="143" t="s">
        <v>717</v>
      </c>
      <c r="B741" s="143" t="s">
        <v>636</v>
      </c>
      <c r="C741" s="143" t="s">
        <v>702</v>
      </c>
      <c r="D741" s="143" t="s">
        <v>69</v>
      </c>
      <c r="E741" s="257">
        <v>12410435</v>
      </c>
      <c r="F741" s="257">
        <v>12410435</v>
      </c>
      <c r="G741" s="257">
        <v>12019677</v>
      </c>
      <c r="H741" s="257">
        <v>0</v>
      </c>
      <c r="I741" s="257">
        <v>9329811</v>
      </c>
      <c r="J741" s="257">
        <v>0</v>
      </c>
      <c r="K741" s="257">
        <v>3080624</v>
      </c>
      <c r="L741" s="257">
        <v>3080624</v>
      </c>
      <c r="M741" s="279">
        <v>0</v>
      </c>
      <c r="N741" s="275">
        <v>-390758</v>
      </c>
    </row>
    <row r="742" spans="1:14" s="143" customFormat="1" hidden="1" x14ac:dyDescent="0.25">
      <c r="A742" s="143" t="s">
        <v>717</v>
      </c>
      <c r="B742" s="143" t="s">
        <v>651</v>
      </c>
      <c r="C742" s="143" t="s">
        <v>703</v>
      </c>
      <c r="D742" s="143" t="s">
        <v>69</v>
      </c>
      <c r="E742" s="257">
        <v>2200417</v>
      </c>
      <c r="F742" s="257">
        <v>2200417</v>
      </c>
      <c r="G742" s="257">
        <v>2131134</v>
      </c>
      <c r="H742" s="257">
        <v>0</v>
      </c>
      <c r="I742" s="257">
        <v>1621412</v>
      </c>
      <c r="J742" s="257">
        <v>0</v>
      </c>
      <c r="K742" s="257">
        <v>579005</v>
      </c>
      <c r="L742" s="257">
        <v>579005</v>
      </c>
      <c r="M742" s="279">
        <v>0</v>
      </c>
      <c r="N742" s="275">
        <v>-69283</v>
      </c>
    </row>
    <row r="743" spans="1:14" s="143" customFormat="1" hidden="1" x14ac:dyDescent="0.25">
      <c r="A743" s="143" t="s">
        <v>717</v>
      </c>
      <c r="B743" s="143" t="s">
        <v>260</v>
      </c>
      <c r="C743" s="143" t="s">
        <v>261</v>
      </c>
      <c r="D743" s="143" t="s">
        <v>69</v>
      </c>
      <c r="E743" s="257">
        <v>26000000</v>
      </c>
      <c r="F743" s="257">
        <v>26000000</v>
      </c>
      <c r="G743" s="257">
        <v>8000000</v>
      </c>
      <c r="H743" s="257">
        <v>0</v>
      </c>
      <c r="I743" s="257">
        <v>0</v>
      </c>
      <c r="J743" s="257">
        <v>0</v>
      </c>
      <c r="K743" s="257">
        <v>1204254</v>
      </c>
      <c r="L743" s="257">
        <v>1204254</v>
      </c>
      <c r="M743" s="279">
        <v>24795746</v>
      </c>
      <c r="N743" s="257">
        <v>6795746</v>
      </c>
    </row>
    <row r="744" spans="1:14" s="143" customFormat="1" hidden="1" x14ac:dyDescent="0.25">
      <c r="A744" s="143" t="s">
        <v>717</v>
      </c>
      <c r="B744" s="143" t="s">
        <v>262</v>
      </c>
      <c r="C744" s="143" t="s">
        <v>263</v>
      </c>
      <c r="D744" s="143" t="s">
        <v>69</v>
      </c>
      <c r="E744" s="257">
        <v>18000000</v>
      </c>
      <c r="F744" s="257">
        <v>18000000</v>
      </c>
      <c r="G744" s="257">
        <v>0</v>
      </c>
      <c r="H744" s="257">
        <v>0</v>
      </c>
      <c r="I744" s="257">
        <v>0</v>
      </c>
      <c r="J744" s="257">
        <v>0</v>
      </c>
      <c r="K744" s="257">
        <v>0</v>
      </c>
      <c r="L744" s="257">
        <v>0</v>
      </c>
      <c r="M744" s="279">
        <v>18000000</v>
      </c>
      <c r="N744" s="257">
        <v>0</v>
      </c>
    </row>
    <row r="745" spans="1:14" s="143" customFormat="1" hidden="1" x14ac:dyDescent="0.25">
      <c r="A745" s="143" t="s">
        <v>717</v>
      </c>
      <c r="B745" s="143" t="s">
        <v>264</v>
      </c>
      <c r="C745" s="143" t="s">
        <v>265</v>
      </c>
      <c r="D745" s="143" t="s">
        <v>69</v>
      </c>
      <c r="E745" s="257">
        <v>8000000</v>
      </c>
      <c r="F745" s="257">
        <v>8000000</v>
      </c>
      <c r="G745" s="257">
        <v>8000000</v>
      </c>
      <c r="H745" s="257">
        <v>0</v>
      </c>
      <c r="I745" s="257">
        <v>0</v>
      </c>
      <c r="J745" s="257">
        <v>0</v>
      </c>
      <c r="K745" s="257">
        <v>1204254</v>
      </c>
      <c r="L745" s="257">
        <v>1204254</v>
      </c>
      <c r="M745" s="279">
        <v>6795746</v>
      </c>
      <c r="N745" s="257">
        <v>6795746</v>
      </c>
    </row>
    <row r="746" spans="1:14" s="143" customFormat="1" hidden="1" x14ac:dyDescent="0.25">
      <c r="A746" s="143" t="s">
        <v>717</v>
      </c>
      <c r="B746" s="143" t="s">
        <v>286</v>
      </c>
      <c r="C746" s="143" t="s">
        <v>287</v>
      </c>
      <c r="D746" s="143" t="s">
        <v>69</v>
      </c>
      <c r="E746" s="257">
        <v>10000000</v>
      </c>
      <c r="F746" s="257">
        <v>10000000</v>
      </c>
      <c r="G746" s="257">
        <v>0</v>
      </c>
      <c r="H746" s="257">
        <v>0</v>
      </c>
      <c r="I746" s="257">
        <v>0</v>
      </c>
      <c r="J746" s="257">
        <v>0</v>
      </c>
      <c r="K746" s="257">
        <v>0</v>
      </c>
      <c r="L746" s="257">
        <v>0</v>
      </c>
      <c r="M746" s="279">
        <v>10000000</v>
      </c>
      <c r="N746" s="257">
        <v>0</v>
      </c>
    </row>
    <row r="747" spans="1:14" s="143" customFormat="1" hidden="1" x14ac:dyDescent="0.25">
      <c r="A747" s="143" t="s">
        <v>717</v>
      </c>
      <c r="B747" s="143" t="s">
        <v>288</v>
      </c>
      <c r="C747" s="143" t="s">
        <v>289</v>
      </c>
      <c r="D747" s="143" t="s">
        <v>69</v>
      </c>
      <c r="E747" s="257">
        <v>10000000</v>
      </c>
      <c r="F747" s="257">
        <v>10000000</v>
      </c>
      <c r="G747" s="257">
        <v>0</v>
      </c>
      <c r="H747" s="257">
        <v>0</v>
      </c>
      <c r="I747" s="257">
        <v>0</v>
      </c>
      <c r="J747" s="257">
        <v>0</v>
      </c>
      <c r="K747" s="257">
        <v>0</v>
      </c>
      <c r="L747" s="257">
        <v>0</v>
      </c>
      <c r="M747" s="279">
        <v>10000000</v>
      </c>
      <c r="N747" s="257">
        <v>0</v>
      </c>
    </row>
    <row r="748" spans="1:14" s="143" customFormat="1" x14ac:dyDescent="0.25">
      <c r="A748" s="454">
        <v>214791</v>
      </c>
      <c r="D748" s="454" t="s">
        <v>69</v>
      </c>
      <c r="E748" s="257">
        <v>7826709762</v>
      </c>
      <c r="F748" s="272">
        <v>7826709762</v>
      </c>
      <c r="G748" s="257">
        <v>7580676047</v>
      </c>
      <c r="H748" s="269">
        <v>0</v>
      </c>
      <c r="I748" s="274">
        <v>929274094.96000004</v>
      </c>
      <c r="J748" s="274">
        <v>0</v>
      </c>
      <c r="K748" s="274">
        <v>2033438013.3900001</v>
      </c>
      <c r="L748" s="274">
        <v>2033438013.3900001</v>
      </c>
      <c r="M748" s="273">
        <v>4863997653.6499996</v>
      </c>
      <c r="N748" s="257">
        <v>4617963938.6499996</v>
      </c>
    </row>
    <row r="749" spans="1:14" s="143" customFormat="1" hidden="1" x14ac:dyDescent="0.25">
      <c r="A749" s="143" t="s">
        <v>719</v>
      </c>
      <c r="B749" s="143" t="s">
        <v>71</v>
      </c>
      <c r="C749" s="143" t="s">
        <v>72</v>
      </c>
      <c r="D749" s="143" t="s">
        <v>69</v>
      </c>
      <c r="E749" s="257">
        <v>7726375169</v>
      </c>
      <c r="F749" s="257">
        <v>7726375169</v>
      </c>
      <c r="G749" s="257">
        <v>7483123722</v>
      </c>
      <c r="H749" s="257">
        <v>0</v>
      </c>
      <c r="I749" s="257">
        <v>855363171.38999999</v>
      </c>
      <c r="J749" s="257">
        <v>0</v>
      </c>
      <c r="K749" s="257">
        <v>2007014343.96</v>
      </c>
      <c r="L749" s="257">
        <v>2007014343.96</v>
      </c>
      <c r="M749" s="279">
        <v>4863997653.6499996</v>
      </c>
      <c r="N749" s="257">
        <v>4620746206.6499996</v>
      </c>
    </row>
    <row r="750" spans="1:14" s="143" customFormat="1" hidden="1" x14ac:dyDescent="0.25">
      <c r="A750" s="143" t="s">
        <v>719</v>
      </c>
      <c r="B750" s="143" t="s">
        <v>73</v>
      </c>
      <c r="C750" s="143" t="s">
        <v>74</v>
      </c>
      <c r="D750" s="143" t="s">
        <v>69</v>
      </c>
      <c r="E750" s="257">
        <v>2598911346</v>
      </c>
      <c r="F750" s="257">
        <v>2598911346</v>
      </c>
      <c r="G750" s="257">
        <v>2513033928</v>
      </c>
      <c r="H750" s="257">
        <v>0</v>
      </c>
      <c r="I750" s="257">
        <v>0</v>
      </c>
      <c r="J750" s="257">
        <v>0</v>
      </c>
      <c r="K750" s="257">
        <v>603769766.25</v>
      </c>
      <c r="L750" s="257">
        <v>603769766.25</v>
      </c>
      <c r="M750" s="279">
        <v>1995141579.75</v>
      </c>
      <c r="N750" s="257">
        <v>1909264161.75</v>
      </c>
    </row>
    <row r="751" spans="1:14" s="143" customFormat="1" hidden="1" x14ac:dyDescent="0.25">
      <c r="A751" s="143" t="s">
        <v>719</v>
      </c>
      <c r="B751" s="143" t="s">
        <v>75</v>
      </c>
      <c r="C751" s="143" t="s">
        <v>76</v>
      </c>
      <c r="D751" s="143" t="s">
        <v>69</v>
      </c>
      <c r="E751" s="257">
        <v>2598911346</v>
      </c>
      <c r="F751" s="257">
        <v>2598911346</v>
      </c>
      <c r="G751" s="257">
        <v>2513033928</v>
      </c>
      <c r="H751" s="257">
        <v>0</v>
      </c>
      <c r="I751" s="257">
        <v>0</v>
      </c>
      <c r="J751" s="257">
        <v>0</v>
      </c>
      <c r="K751" s="257">
        <v>603769766.25</v>
      </c>
      <c r="L751" s="257">
        <v>603769766.25</v>
      </c>
      <c r="M751" s="279">
        <v>1995141579.75</v>
      </c>
      <c r="N751" s="257">
        <v>1909264161.75</v>
      </c>
    </row>
    <row r="752" spans="1:14" s="143" customFormat="1" hidden="1" x14ac:dyDescent="0.25">
      <c r="A752" s="143" t="s">
        <v>719</v>
      </c>
      <c r="B752" s="143" t="s">
        <v>77</v>
      </c>
      <c r="C752" s="143" t="s">
        <v>78</v>
      </c>
      <c r="D752" s="143" t="s">
        <v>69</v>
      </c>
      <c r="E752" s="257">
        <v>3948833757</v>
      </c>
      <c r="F752" s="257">
        <v>3948833757</v>
      </c>
      <c r="G752" s="257">
        <v>3824143001</v>
      </c>
      <c r="H752" s="257">
        <v>0</v>
      </c>
      <c r="I752" s="257">
        <v>0</v>
      </c>
      <c r="J752" s="257">
        <v>0</v>
      </c>
      <c r="K752" s="257">
        <v>1079977683.0999999</v>
      </c>
      <c r="L752" s="257">
        <v>1079977683.0999999</v>
      </c>
      <c r="M752" s="279">
        <v>2868856073.9000001</v>
      </c>
      <c r="N752" s="257">
        <v>2744165317.9000001</v>
      </c>
    </row>
    <row r="753" spans="1:14" s="143" customFormat="1" hidden="1" x14ac:dyDescent="0.25">
      <c r="A753" s="143" t="s">
        <v>719</v>
      </c>
      <c r="B753" s="143" t="s">
        <v>79</v>
      </c>
      <c r="C753" s="143" t="s">
        <v>80</v>
      </c>
      <c r="D753" s="143" t="s">
        <v>69</v>
      </c>
      <c r="E753" s="257">
        <v>655368000</v>
      </c>
      <c r="F753" s="257">
        <v>655368000</v>
      </c>
      <c r="G753" s="257">
        <v>628349621</v>
      </c>
      <c r="H753" s="257">
        <v>0</v>
      </c>
      <c r="I753" s="257">
        <v>0</v>
      </c>
      <c r="J753" s="257">
        <v>0</v>
      </c>
      <c r="K753" s="257">
        <v>144327673.84999999</v>
      </c>
      <c r="L753" s="257">
        <v>144327673.84999999</v>
      </c>
      <c r="M753" s="279">
        <v>511040326.14999998</v>
      </c>
      <c r="N753" s="257">
        <v>484021947.14999998</v>
      </c>
    </row>
    <row r="754" spans="1:14" s="143" customFormat="1" hidden="1" x14ac:dyDescent="0.25">
      <c r="A754" s="143" t="s">
        <v>719</v>
      </c>
      <c r="B754" s="143" t="s">
        <v>81</v>
      </c>
      <c r="C754" s="143" t="s">
        <v>82</v>
      </c>
      <c r="D754" s="143" t="s">
        <v>69</v>
      </c>
      <c r="E754" s="257">
        <v>1818533000</v>
      </c>
      <c r="F754" s="257">
        <v>1818533000</v>
      </c>
      <c r="G754" s="257">
        <v>1771965067</v>
      </c>
      <c r="H754" s="257">
        <v>0</v>
      </c>
      <c r="I754" s="257">
        <v>0</v>
      </c>
      <c r="J754" s="257">
        <v>0</v>
      </c>
      <c r="K754" s="257">
        <v>413166546.50999999</v>
      </c>
      <c r="L754" s="257">
        <v>413166546.50999999</v>
      </c>
      <c r="M754" s="279">
        <v>1405366453.49</v>
      </c>
      <c r="N754" s="257">
        <v>1358798520.49</v>
      </c>
    </row>
    <row r="755" spans="1:14" s="143" customFormat="1" hidden="1" x14ac:dyDescent="0.25">
      <c r="A755" s="143" t="s">
        <v>719</v>
      </c>
      <c r="B755" s="143" t="s">
        <v>83</v>
      </c>
      <c r="C755" s="143" t="s">
        <v>84</v>
      </c>
      <c r="D755" s="143" t="s">
        <v>85</v>
      </c>
      <c r="E755" s="257">
        <v>503486357</v>
      </c>
      <c r="F755" s="257">
        <v>503486357</v>
      </c>
      <c r="G755" s="257">
        <v>489524732</v>
      </c>
      <c r="H755" s="257">
        <v>0</v>
      </c>
      <c r="I755" s="257">
        <v>0</v>
      </c>
      <c r="J755" s="257">
        <v>0</v>
      </c>
      <c r="K755" s="257">
        <v>0</v>
      </c>
      <c r="L755" s="257">
        <v>0</v>
      </c>
      <c r="M755" s="279">
        <v>503486357</v>
      </c>
      <c r="N755" s="257">
        <v>489524732</v>
      </c>
    </row>
    <row r="756" spans="1:14" s="143" customFormat="1" hidden="1" x14ac:dyDescent="0.25">
      <c r="A756" s="143" t="s">
        <v>719</v>
      </c>
      <c r="B756" s="143" t="s">
        <v>86</v>
      </c>
      <c r="C756" s="143" t="s">
        <v>87</v>
      </c>
      <c r="D756" s="143" t="s">
        <v>69</v>
      </c>
      <c r="E756" s="257">
        <v>463338500</v>
      </c>
      <c r="F756" s="257">
        <v>463338500</v>
      </c>
      <c r="G756" s="257">
        <v>434338500</v>
      </c>
      <c r="H756" s="257">
        <v>0</v>
      </c>
      <c r="I756" s="257">
        <v>0</v>
      </c>
      <c r="J756" s="257">
        <v>0</v>
      </c>
      <c r="K756" s="257">
        <v>407415356.12</v>
      </c>
      <c r="L756" s="257">
        <v>407415356.12</v>
      </c>
      <c r="M756" s="279">
        <v>55923143.880000003</v>
      </c>
      <c r="N756" s="257">
        <v>26923143.879999999</v>
      </c>
    </row>
    <row r="757" spans="1:14" s="143" customFormat="1" hidden="1" x14ac:dyDescent="0.25">
      <c r="A757" s="143" t="s">
        <v>719</v>
      </c>
      <c r="B757" s="143" t="s">
        <v>88</v>
      </c>
      <c r="C757" s="143" t="s">
        <v>89</v>
      </c>
      <c r="D757" s="143" t="s">
        <v>69</v>
      </c>
      <c r="E757" s="257">
        <v>508107900</v>
      </c>
      <c r="F757" s="257">
        <v>508107900</v>
      </c>
      <c r="G757" s="257">
        <v>499965081</v>
      </c>
      <c r="H757" s="257">
        <v>0</v>
      </c>
      <c r="I757" s="257">
        <v>0</v>
      </c>
      <c r="J757" s="257">
        <v>0</v>
      </c>
      <c r="K757" s="257">
        <v>115068106.62</v>
      </c>
      <c r="L757" s="257">
        <v>115068106.62</v>
      </c>
      <c r="M757" s="279">
        <v>393039793.38</v>
      </c>
      <c r="N757" s="257">
        <v>384896974.38</v>
      </c>
    </row>
    <row r="758" spans="1:14" s="143" customFormat="1" hidden="1" x14ac:dyDescent="0.25">
      <c r="A758" s="143" t="s">
        <v>719</v>
      </c>
      <c r="B758" s="143" t="s">
        <v>90</v>
      </c>
      <c r="C758" s="143" t="s">
        <v>91</v>
      </c>
      <c r="D758" s="143" t="s">
        <v>69</v>
      </c>
      <c r="E758" s="257">
        <v>589315133</v>
      </c>
      <c r="F758" s="257">
        <v>589315133</v>
      </c>
      <c r="G758" s="257">
        <v>572973497</v>
      </c>
      <c r="H758" s="257">
        <v>0</v>
      </c>
      <c r="I758" s="257">
        <v>425909715.81</v>
      </c>
      <c r="J758" s="257">
        <v>0</v>
      </c>
      <c r="K758" s="257">
        <v>163405417.19</v>
      </c>
      <c r="L758" s="257">
        <v>163405417.19</v>
      </c>
      <c r="M758" s="279">
        <v>0</v>
      </c>
      <c r="N758" s="275">
        <v>-16341636</v>
      </c>
    </row>
    <row r="759" spans="1:14" s="143" customFormat="1" hidden="1" x14ac:dyDescent="0.25">
      <c r="A759" s="143" t="s">
        <v>719</v>
      </c>
      <c r="B759" s="143" t="s">
        <v>428</v>
      </c>
      <c r="C759" s="143" t="s">
        <v>697</v>
      </c>
      <c r="D759" s="143" t="s">
        <v>69</v>
      </c>
      <c r="E759" s="257">
        <v>559093873</v>
      </c>
      <c r="F759" s="257">
        <v>559093873</v>
      </c>
      <c r="G759" s="257">
        <v>543590268</v>
      </c>
      <c r="H759" s="257">
        <v>0</v>
      </c>
      <c r="I759" s="257">
        <v>404067673.25</v>
      </c>
      <c r="J759" s="257">
        <v>0</v>
      </c>
      <c r="K759" s="257">
        <v>155026199.75</v>
      </c>
      <c r="L759" s="257">
        <v>155026199.75</v>
      </c>
      <c r="M759" s="279">
        <v>0</v>
      </c>
      <c r="N759" s="275">
        <v>-15503605</v>
      </c>
    </row>
    <row r="760" spans="1:14" s="143" customFormat="1" hidden="1" x14ac:dyDescent="0.25">
      <c r="A760" s="143" t="s">
        <v>719</v>
      </c>
      <c r="B760" s="143" t="s">
        <v>445</v>
      </c>
      <c r="C760" s="143" t="s">
        <v>95</v>
      </c>
      <c r="D760" s="143" t="s">
        <v>69</v>
      </c>
      <c r="E760" s="257">
        <v>30221260</v>
      </c>
      <c r="F760" s="257">
        <v>30221260</v>
      </c>
      <c r="G760" s="257">
        <v>29383229</v>
      </c>
      <c r="H760" s="257">
        <v>0</v>
      </c>
      <c r="I760" s="257">
        <v>21842042.559999999</v>
      </c>
      <c r="J760" s="257">
        <v>0</v>
      </c>
      <c r="K760" s="257">
        <v>8379217.4400000004</v>
      </c>
      <c r="L760" s="257">
        <v>8379217.4400000004</v>
      </c>
      <c r="M760" s="279">
        <v>0</v>
      </c>
      <c r="N760" s="275">
        <v>-838031</v>
      </c>
    </row>
    <row r="761" spans="1:14" s="143" customFormat="1" hidden="1" x14ac:dyDescent="0.25">
      <c r="A761" s="143" t="s">
        <v>719</v>
      </c>
      <c r="B761" s="143" t="s">
        <v>96</v>
      </c>
      <c r="C761" s="143" t="s">
        <v>97</v>
      </c>
      <c r="D761" s="143" t="s">
        <v>69</v>
      </c>
      <c r="E761" s="257">
        <v>589314933</v>
      </c>
      <c r="F761" s="257">
        <v>589314933</v>
      </c>
      <c r="G761" s="257">
        <v>572973296</v>
      </c>
      <c r="H761" s="257">
        <v>0</v>
      </c>
      <c r="I761" s="257">
        <v>429453455.57999998</v>
      </c>
      <c r="J761" s="257">
        <v>0</v>
      </c>
      <c r="K761" s="257">
        <v>159861477.41999999</v>
      </c>
      <c r="L761" s="257">
        <v>159861477.41999999</v>
      </c>
      <c r="M761" s="279">
        <v>0</v>
      </c>
      <c r="N761" s="275">
        <v>-16341637</v>
      </c>
    </row>
    <row r="762" spans="1:14" s="143" customFormat="1" hidden="1" x14ac:dyDescent="0.25">
      <c r="A762" s="143" t="s">
        <v>719</v>
      </c>
      <c r="B762" s="143" t="s">
        <v>463</v>
      </c>
      <c r="C762" s="143" t="s">
        <v>698</v>
      </c>
      <c r="D762" s="143" t="s">
        <v>69</v>
      </c>
      <c r="E762" s="257">
        <v>317323487</v>
      </c>
      <c r="F762" s="257">
        <v>317323487</v>
      </c>
      <c r="G762" s="257">
        <v>308524144</v>
      </c>
      <c r="H762" s="257">
        <v>0</v>
      </c>
      <c r="I762" s="257">
        <v>232875125.75</v>
      </c>
      <c r="J762" s="257">
        <v>0</v>
      </c>
      <c r="K762" s="257">
        <v>84448361.25</v>
      </c>
      <c r="L762" s="257">
        <v>84448361.25</v>
      </c>
      <c r="M762" s="279">
        <v>0</v>
      </c>
      <c r="N762" s="275">
        <v>-8799343</v>
      </c>
    </row>
    <row r="763" spans="1:14" s="143" customFormat="1" hidden="1" x14ac:dyDescent="0.25">
      <c r="A763" s="143" t="s">
        <v>719</v>
      </c>
      <c r="B763" s="143" t="s">
        <v>480</v>
      </c>
      <c r="C763" s="143" t="s">
        <v>699</v>
      </c>
      <c r="D763" s="143" t="s">
        <v>69</v>
      </c>
      <c r="E763" s="257">
        <v>90663782</v>
      </c>
      <c r="F763" s="257">
        <v>90663782</v>
      </c>
      <c r="G763" s="257">
        <v>88149684</v>
      </c>
      <c r="H763" s="257">
        <v>0</v>
      </c>
      <c r="I763" s="257">
        <v>65526056.32</v>
      </c>
      <c r="J763" s="257">
        <v>0</v>
      </c>
      <c r="K763" s="257">
        <v>25137725.68</v>
      </c>
      <c r="L763" s="257">
        <v>25137725.68</v>
      </c>
      <c r="M763" s="279">
        <v>0</v>
      </c>
      <c r="N763" s="275">
        <v>-2514098</v>
      </c>
    </row>
    <row r="764" spans="1:14" s="143" customFormat="1" hidden="1" x14ac:dyDescent="0.25">
      <c r="A764" s="143" t="s">
        <v>719</v>
      </c>
      <c r="B764" s="143" t="s">
        <v>497</v>
      </c>
      <c r="C764" s="143" t="s">
        <v>700</v>
      </c>
      <c r="D764" s="143" t="s">
        <v>69</v>
      </c>
      <c r="E764" s="257">
        <v>181327664</v>
      </c>
      <c r="F764" s="257">
        <v>181327664</v>
      </c>
      <c r="G764" s="257">
        <v>176299468</v>
      </c>
      <c r="H764" s="257">
        <v>0</v>
      </c>
      <c r="I764" s="257">
        <v>131052273.51000001</v>
      </c>
      <c r="J764" s="257">
        <v>0</v>
      </c>
      <c r="K764" s="257">
        <v>50275390.490000002</v>
      </c>
      <c r="L764" s="257">
        <v>50275390.490000002</v>
      </c>
      <c r="M764" s="279">
        <v>0</v>
      </c>
      <c r="N764" s="275">
        <v>-5028196</v>
      </c>
    </row>
    <row r="765" spans="1:14" s="143" customFormat="1" hidden="1" x14ac:dyDescent="0.25">
      <c r="A765" s="143" t="s">
        <v>719</v>
      </c>
      <c r="B765" s="143" t="s">
        <v>248</v>
      </c>
      <c r="C765" s="143" t="s">
        <v>249</v>
      </c>
      <c r="D765" s="143" t="s">
        <v>69</v>
      </c>
      <c r="E765" s="257">
        <v>100334593</v>
      </c>
      <c r="F765" s="257">
        <v>100334593</v>
      </c>
      <c r="G765" s="257">
        <v>97552325</v>
      </c>
      <c r="H765" s="257">
        <v>0</v>
      </c>
      <c r="I765" s="257">
        <v>73910923.569999993</v>
      </c>
      <c r="J765" s="257">
        <v>0</v>
      </c>
      <c r="K765" s="257">
        <v>26423669.43</v>
      </c>
      <c r="L765" s="257">
        <v>26423669.43</v>
      </c>
      <c r="M765" s="279">
        <v>0</v>
      </c>
      <c r="N765" s="275">
        <v>-2782268</v>
      </c>
    </row>
    <row r="766" spans="1:14" s="143" customFormat="1" hidden="1" x14ac:dyDescent="0.25">
      <c r="A766" s="143" t="s">
        <v>719</v>
      </c>
      <c r="B766" s="143" t="s">
        <v>250</v>
      </c>
      <c r="C766" s="143" t="s">
        <v>251</v>
      </c>
      <c r="D766" s="143" t="s">
        <v>69</v>
      </c>
      <c r="E766" s="257">
        <v>100334593</v>
      </c>
      <c r="F766" s="257">
        <v>100334593</v>
      </c>
      <c r="G766" s="257">
        <v>97552325</v>
      </c>
      <c r="H766" s="257">
        <v>0</v>
      </c>
      <c r="I766" s="257">
        <v>73910923.569999993</v>
      </c>
      <c r="J766" s="257">
        <v>0</v>
      </c>
      <c r="K766" s="257">
        <v>26423669.43</v>
      </c>
      <c r="L766" s="257">
        <v>26423669.43</v>
      </c>
      <c r="M766" s="279">
        <v>0</v>
      </c>
      <c r="N766" s="275">
        <v>-2782268</v>
      </c>
    </row>
    <row r="767" spans="1:14" s="143" customFormat="1" hidden="1" x14ac:dyDescent="0.25">
      <c r="A767" s="143" t="s">
        <v>719</v>
      </c>
      <c r="B767" s="143" t="s">
        <v>637</v>
      </c>
      <c r="C767" s="143" t="s">
        <v>702</v>
      </c>
      <c r="D767" s="143" t="s">
        <v>69</v>
      </c>
      <c r="E767" s="257">
        <v>85224013</v>
      </c>
      <c r="F767" s="257">
        <v>85224013</v>
      </c>
      <c r="G767" s="257">
        <v>82860761</v>
      </c>
      <c r="H767" s="257">
        <v>0</v>
      </c>
      <c r="I767" s="257">
        <v>62992111.640000001</v>
      </c>
      <c r="J767" s="257">
        <v>0</v>
      </c>
      <c r="K767" s="257">
        <v>22231901.359999999</v>
      </c>
      <c r="L767" s="257">
        <v>22231901.359999999</v>
      </c>
      <c r="M767" s="279">
        <v>0</v>
      </c>
      <c r="N767" s="275">
        <v>-2363252</v>
      </c>
    </row>
    <row r="768" spans="1:14" s="143" customFormat="1" hidden="1" x14ac:dyDescent="0.25">
      <c r="A768" s="143" t="s">
        <v>719</v>
      </c>
      <c r="B768" s="143" t="s">
        <v>652</v>
      </c>
      <c r="C768" s="143" t="s">
        <v>703</v>
      </c>
      <c r="D768" s="143" t="s">
        <v>69</v>
      </c>
      <c r="E768" s="257">
        <v>15110580</v>
      </c>
      <c r="F768" s="257">
        <v>15110580</v>
      </c>
      <c r="G768" s="257">
        <v>14691564</v>
      </c>
      <c r="H768" s="257">
        <v>0</v>
      </c>
      <c r="I768" s="257">
        <v>10918811.93</v>
      </c>
      <c r="J768" s="257">
        <v>0</v>
      </c>
      <c r="K768" s="257">
        <v>4191768.07</v>
      </c>
      <c r="L768" s="257">
        <v>4191768.07</v>
      </c>
      <c r="M768" s="279">
        <v>0</v>
      </c>
      <c r="N768" s="275">
        <v>-419016</v>
      </c>
    </row>
    <row r="769" spans="1:14" s="143" customFormat="1" x14ac:dyDescent="0.25">
      <c r="A769" s="454">
        <v>214793</v>
      </c>
      <c r="D769" s="454" t="s">
        <v>69</v>
      </c>
      <c r="E769" s="257">
        <v>918243709</v>
      </c>
      <c r="F769" s="272">
        <v>918243709</v>
      </c>
      <c r="G769" s="257">
        <v>889212768</v>
      </c>
      <c r="H769" s="269">
        <v>0</v>
      </c>
      <c r="I769" s="274">
        <v>109834669.45999999</v>
      </c>
      <c r="J769" s="274">
        <v>0</v>
      </c>
      <c r="K769" s="274">
        <v>251380701.75</v>
      </c>
      <c r="L769" s="274">
        <v>250946316.12</v>
      </c>
      <c r="M769" s="273">
        <v>557028337.78999996</v>
      </c>
      <c r="N769" s="257">
        <v>527997396.79000002</v>
      </c>
    </row>
    <row r="770" spans="1:14" s="143" customFormat="1" hidden="1" x14ac:dyDescent="0.25">
      <c r="A770" s="143" t="s">
        <v>720</v>
      </c>
      <c r="B770" s="143" t="s">
        <v>71</v>
      </c>
      <c r="C770" s="143" t="s">
        <v>72</v>
      </c>
      <c r="D770" s="143" t="s">
        <v>69</v>
      </c>
      <c r="E770" s="257">
        <v>899027714</v>
      </c>
      <c r="F770" s="257">
        <v>899027714</v>
      </c>
      <c r="G770" s="257">
        <v>875548918</v>
      </c>
      <c r="H770" s="257">
        <v>0</v>
      </c>
      <c r="I770" s="257">
        <v>96150954.329999998</v>
      </c>
      <c r="J770" s="257">
        <v>0</v>
      </c>
      <c r="K770" s="257">
        <v>246728120.40000001</v>
      </c>
      <c r="L770" s="257">
        <v>246728120.40000001</v>
      </c>
      <c r="M770" s="279">
        <v>556148639.26999998</v>
      </c>
      <c r="N770" s="257">
        <v>532669843.26999998</v>
      </c>
    </row>
    <row r="771" spans="1:14" s="143" customFormat="1" hidden="1" x14ac:dyDescent="0.25">
      <c r="A771" s="143" t="s">
        <v>720</v>
      </c>
      <c r="B771" s="143" t="s">
        <v>73</v>
      </c>
      <c r="C771" s="143" t="s">
        <v>74</v>
      </c>
      <c r="D771" s="143" t="s">
        <v>69</v>
      </c>
      <c r="E771" s="257">
        <v>305726500</v>
      </c>
      <c r="F771" s="257">
        <v>305726500</v>
      </c>
      <c r="G771" s="257">
        <v>298895500</v>
      </c>
      <c r="H771" s="257">
        <v>0</v>
      </c>
      <c r="I771" s="257">
        <v>0</v>
      </c>
      <c r="J771" s="257">
        <v>0</v>
      </c>
      <c r="K771" s="257">
        <v>74690418.840000004</v>
      </c>
      <c r="L771" s="257">
        <v>74690418.840000004</v>
      </c>
      <c r="M771" s="279">
        <v>231036081.16</v>
      </c>
      <c r="N771" s="257">
        <v>224205081.16</v>
      </c>
    </row>
    <row r="772" spans="1:14" s="143" customFormat="1" hidden="1" x14ac:dyDescent="0.25">
      <c r="A772" s="143" t="s">
        <v>720</v>
      </c>
      <c r="B772" s="143" t="s">
        <v>75</v>
      </c>
      <c r="C772" s="143" t="s">
        <v>76</v>
      </c>
      <c r="D772" s="143" t="s">
        <v>69</v>
      </c>
      <c r="E772" s="257">
        <v>305726500</v>
      </c>
      <c r="F772" s="257">
        <v>305726500</v>
      </c>
      <c r="G772" s="257">
        <v>298895500</v>
      </c>
      <c r="H772" s="257">
        <v>0</v>
      </c>
      <c r="I772" s="257">
        <v>0</v>
      </c>
      <c r="J772" s="257">
        <v>0</v>
      </c>
      <c r="K772" s="257">
        <v>74690418.840000004</v>
      </c>
      <c r="L772" s="257">
        <v>74690418.840000004</v>
      </c>
      <c r="M772" s="279">
        <v>231036081.16</v>
      </c>
      <c r="N772" s="257">
        <v>224205081.16</v>
      </c>
    </row>
    <row r="773" spans="1:14" s="143" customFormat="1" hidden="1" x14ac:dyDescent="0.25">
      <c r="A773" s="143" t="s">
        <v>720</v>
      </c>
      <c r="B773" s="143" t="s">
        <v>77</v>
      </c>
      <c r="C773" s="143" t="s">
        <v>78</v>
      </c>
      <c r="D773" s="143" t="s">
        <v>69</v>
      </c>
      <c r="E773" s="257">
        <v>456157950</v>
      </c>
      <c r="F773" s="257">
        <v>456157950</v>
      </c>
      <c r="G773" s="257">
        <v>442252749</v>
      </c>
      <c r="H773" s="257">
        <v>0</v>
      </c>
      <c r="I773" s="257">
        <v>0</v>
      </c>
      <c r="J773" s="257">
        <v>0</v>
      </c>
      <c r="K773" s="257">
        <v>131045391.89</v>
      </c>
      <c r="L773" s="257">
        <v>131045391.89</v>
      </c>
      <c r="M773" s="279">
        <v>325112558.11000001</v>
      </c>
      <c r="N773" s="257">
        <v>311207357.11000001</v>
      </c>
    </row>
    <row r="774" spans="1:14" s="143" customFormat="1" hidden="1" x14ac:dyDescent="0.25">
      <c r="A774" s="143" t="s">
        <v>720</v>
      </c>
      <c r="B774" s="143" t="s">
        <v>79</v>
      </c>
      <c r="C774" s="143" t="s">
        <v>80</v>
      </c>
      <c r="D774" s="143" t="s">
        <v>69</v>
      </c>
      <c r="E774" s="257">
        <v>79360300</v>
      </c>
      <c r="F774" s="257">
        <v>79360300</v>
      </c>
      <c r="G774" s="257">
        <v>75866543</v>
      </c>
      <c r="H774" s="257">
        <v>0</v>
      </c>
      <c r="I774" s="257">
        <v>0</v>
      </c>
      <c r="J774" s="257">
        <v>0</v>
      </c>
      <c r="K774" s="257">
        <v>18319559.98</v>
      </c>
      <c r="L774" s="257">
        <v>18319559.98</v>
      </c>
      <c r="M774" s="279">
        <v>61040740.020000003</v>
      </c>
      <c r="N774" s="257">
        <v>57546983.020000003</v>
      </c>
    </row>
    <row r="775" spans="1:14" s="143" customFormat="1" hidden="1" x14ac:dyDescent="0.25">
      <c r="A775" s="143" t="s">
        <v>720</v>
      </c>
      <c r="B775" s="143" t="s">
        <v>81</v>
      </c>
      <c r="C775" s="143" t="s">
        <v>82</v>
      </c>
      <c r="D775" s="143" t="s">
        <v>69</v>
      </c>
      <c r="E775" s="257">
        <v>203715000</v>
      </c>
      <c r="F775" s="257">
        <v>203715000</v>
      </c>
      <c r="G775" s="257">
        <v>200338818</v>
      </c>
      <c r="H775" s="257">
        <v>0</v>
      </c>
      <c r="I775" s="257">
        <v>0</v>
      </c>
      <c r="J775" s="257">
        <v>0</v>
      </c>
      <c r="K775" s="257">
        <v>50686253</v>
      </c>
      <c r="L775" s="257">
        <v>50686253</v>
      </c>
      <c r="M775" s="279">
        <v>153028747</v>
      </c>
      <c r="N775" s="257">
        <v>149652565</v>
      </c>
    </row>
    <row r="776" spans="1:14" s="143" customFormat="1" hidden="1" x14ac:dyDescent="0.25">
      <c r="A776" s="143" t="s">
        <v>720</v>
      </c>
      <c r="B776" s="143" t="s">
        <v>83</v>
      </c>
      <c r="C776" s="143" t="s">
        <v>84</v>
      </c>
      <c r="D776" s="143" t="s">
        <v>85</v>
      </c>
      <c r="E776" s="257">
        <v>58584550</v>
      </c>
      <c r="F776" s="257">
        <v>58584550</v>
      </c>
      <c r="G776" s="257">
        <v>57412968</v>
      </c>
      <c r="H776" s="257">
        <v>0</v>
      </c>
      <c r="I776" s="257">
        <v>0</v>
      </c>
      <c r="J776" s="257">
        <v>0</v>
      </c>
      <c r="K776" s="257">
        <v>0</v>
      </c>
      <c r="L776" s="257">
        <v>0</v>
      </c>
      <c r="M776" s="279">
        <v>58584550</v>
      </c>
      <c r="N776" s="257">
        <v>57412968</v>
      </c>
    </row>
    <row r="777" spans="1:14" s="143" customFormat="1" hidden="1" x14ac:dyDescent="0.25">
      <c r="A777" s="143" t="s">
        <v>720</v>
      </c>
      <c r="B777" s="143" t="s">
        <v>86</v>
      </c>
      <c r="C777" s="143" t="s">
        <v>87</v>
      </c>
      <c r="D777" s="143" t="s">
        <v>69</v>
      </c>
      <c r="E777" s="257">
        <v>53908100</v>
      </c>
      <c r="F777" s="257">
        <v>53908100</v>
      </c>
      <c r="G777" s="257">
        <v>48408100</v>
      </c>
      <c r="H777" s="257">
        <v>0</v>
      </c>
      <c r="I777" s="257">
        <v>0</v>
      </c>
      <c r="J777" s="257">
        <v>0</v>
      </c>
      <c r="K777" s="257">
        <v>47507997.909999996</v>
      </c>
      <c r="L777" s="257">
        <v>47507997.909999996</v>
      </c>
      <c r="M777" s="279">
        <v>6400102.0899999999</v>
      </c>
      <c r="N777" s="257">
        <v>900102.09</v>
      </c>
    </row>
    <row r="778" spans="1:14" s="143" customFormat="1" hidden="1" x14ac:dyDescent="0.25">
      <c r="A778" s="143" t="s">
        <v>720</v>
      </c>
      <c r="B778" s="143" t="s">
        <v>88</v>
      </c>
      <c r="C778" s="143" t="s">
        <v>89</v>
      </c>
      <c r="D778" s="143" t="s">
        <v>69</v>
      </c>
      <c r="E778" s="257">
        <v>60590000</v>
      </c>
      <c r="F778" s="257">
        <v>60590000</v>
      </c>
      <c r="G778" s="257">
        <v>60226320</v>
      </c>
      <c r="H778" s="257">
        <v>0</v>
      </c>
      <c r="I778" s="257">
        <v>0</v>
      </c>
      <c r="J778" s="257">
        <v>0</v>
      </c>
      <c r="K778" s="257">
        <v>14531581</v>
      </c>
      <c r="L778" s="257">
        <v>14531581</v>
      </c>
      <c r="M778" s="279">
        <v>46058419</v>
      </c>
      <c r="N778" s="257">
        <v>45694739</v>
      </c>
    </row>
    <row r="779" spans="1:14" s="143" customFormat="1" hidden="1" x14ac:dyDescent="0.25">
      <c r="A779" s="143" t="s">
        <v>720</v>
      </c>
      <c r="B779" s="143" t="s">
        <v>90</v>
      </c>
      <c r="C779" s="143" t="s">
        <v>91</v>
      </c>
      <c r="D779" s="143" t="s">
        <v>69</v>
      </c>
      <c r="E779" s="257">
        <v>68571682</v>
      </c>
      <c r="F779" s="257">
        <v>68571682</v>
      </c>
      <c r="G779" s="257">
        <v>67200384</v>
      </c>
      <c r="H779" s="257">
        <v>0</v>
      </c>
      <c r="I779" s="257">
        <v>47850335.539999999</v>
      </c>
      <c r="J779" s="257">
        <v>0</v>
      </c>
      <c r="K779" s="257">
        <v>20721346.460000001</v>
      </c>
      <c r="L779" s="257">
        <v>20721346.460000001</v>
      </c>
      <c r="M779" s="279">
        <v>0</v>
      </c>
      <c r="N779" s="275">
        <v>-1371298</v>
      </c>
    </row>
    <row r="780" spans="1:14" s="143" customFormat="1" hidden="1" x14ac:dyDescent="0.25">
      <c r="A780" s="143" t="s">
        <v>720</v>
      </c>
      <c r="B780" s="143" t="s">
        <v>429</v>
      </c>
      <c r="C780" s="143" t="s">
        <v>697</v>
      </c>
      <c r="D780" s="143" t="s">
        <v>69</v>
      </c>
      <c r="E780" s="257">
        <v>65055209</v>
      </c>
      <c r="F780" s="257">
        <v>65055209</v>
      </c>
      <c r="G780" s="257">
        <v>63754233</v>
      </c>
      <c r="H780" s="257">
        <v>0</v>
      </c>
      <c r="I780" s="257">
        <v>45397374.979999997</v>
      </c>
      <c r="J780" s="257">
        <v>0</v>
      </c>
      <c r="K780" s="257">
        <v>19657834.02</v>
      </c>
      <c r="L780" s="257">
        <v>19657834.02</v>
      </c>
      <c r="M780" s="279">
        <v>0</v>
      </c>
      <c r="N780" s="275">
        <v>-1300976</v>
      </c>
    </row>
    <row r="781" spans="1:14" s="143" customFormat="1" hidden="1" x14ac:dyDescent="0.25">
      <c r="A781" s="143" t="s">
        <v>720</v>
      </c>
      <c r="B781" s="143" t="s">
        <v>446</v>
      </c>
      <c r="C781" s="143" t="s">
        <v>95</v>
      </c>
      <c r="D781" s="143" t="s">
        <v>69</v>
      </c>
      <c r="E781" s="257">
        <v>3516473</v>
      </c>
      <c r="F781" s="257">
        <v>3516473</v>
      </c>
      <c r="G781" s="257">
        <v>3446151</v>
      </c>
      <c r="H781" s="257">
        <v>0</v>
      </c>
      <c r="I781" s="257">
        <v>2452960.56</v>
      </c>
      <c r="J781" s="257">
        <v>0</v>
      </c>
      <c r="K781" s="257">
        <v>1063512.44</v>
      </c>
      <c r="L781" s="257">
        <v>1063512.44</v>
      </c>
      <c r="M781" s="279">
        <v>0</v>
      </c>
      <c r="N781" s="275">
        <v>-70322</v>
      </c>
    </row>
    <row r="782" spans="1:14" s="143" customFormat="1" hidden="1" x14ac:dyDescent="0.25">
      <c r="A782" s="143" t="s">
        <v>720</v>
      </c>
      <c r="B782" s="143" t="s">
        <v>96</v>
      </c>
      <c r="C782" s="143" t="s">
        <v>97</v>
      </c>
      <c r="D782" s="143" t="s">
        <v>69</v>
      </c>
      <c r="E782" s="257">
        <v>68571582</v>
      </c>
      <c r="F782" s="257">
        <v>68571582</v>
      </c>
      <c r="G782" s="257">
        <v>67200285</v>
      </c>
      <c r="H782" s="257">
        <v>0</v>
      </c>
      <c r="I782" s="257">
        <v>48300618.789999999</v>
      </c>
      <c r="J782" s="257">
        <v>0</v>
      </c>
      <c r="K782" s="257">
        <v>20270963.210000001</v>
      </c>
      <c r="L782" s="257">
        <v>20270963.210000001</v>
      </c>
      <c r="M782" s="279">
        <v>0</v>
      </c>
      <c r="N782" s="275">
        <v>-1371297</v>
      </c>
    </row>
    <row r="783" spans="1:14" s="143" customFormat="1" hidden="1" x14ac:dyDescent="0.25">
      <c r="A783" s="143" t="s">
        <v>720</v>
      </c>
      <c r="B783" s="143" t="s">
        <v>464</v>
      </c>
      <c r="C783" s="143" t="s">
        <v>698</v>
      </c>
      <c r="D783" s="143" t="s">
        <v>69</v>
      </c>
      <c r="E783" s="257">
        <v>36923221</v>
      </c>
      <c r="F783" s="257">
        <v>36923221</v>
      </c>
      <c r="G783" s="257">
        <v>36184829</v>
      </c>
      <c r="H783" s="257">
        <v>0</v>
      </c>
      <c r="I783" s="257">
        <v>26214889.940000001</v>
      </c>
      <c r="J783" s="257">
        <v>0</v>
      </c>
      <c r="K783" s="257">
        <v>10708331.060000001</v>
      </c>
      <c r="L783" s="257">
        <v>10708331.060000001</v>
      </c>
      <c r="M783" s="279">
        <v>0</v>
      </c>
      <c r="N783" s="275">
        <v>-738392</v>
      </c>
    </row>
    <row r="784" spans="1:14" s="143" customFormat="1" hidden="1" x14ac:dyDescent="0.25">
      <c r="A784" s="143" t="s">
        <v>720</v>
      </c>
      <c r="B784" s="143" t="s">
        <v>481</v>
      </c>
      <c r="C784" s="143" t="s">
        <v>699</v>
      </c>
      <c r="D784" s="143" t="s">
        <v>69</v>
      </c>
      <c r="E784" s="257">
        <v>10549420</v>
      </c>
      <c r="F784" s="257">
        <v>10549420</v>
      </c>
      <c r="G784" s="257">
        <v>10338452</v>
      </c>
      <c r="H784" s="257">
        <v>0</v>
      </c>
      <c r="I784" s="257">
        <v>7361873.3799999999</v>
      </c>
      <c r="J784" s="257">
        <v>0</v>
      </c>
      <c r="K784" s="257">
        <v>3187546.62</v>
      </c>
      <c r="L784" s="257">
        <v>3187546.62</v>
      </c>
      <c r="M784" s="279">
        <v>0</v>
      </c>
      <c r="N784" s="275">
        <v>-210968</v>
      </c>
    </row>
    <row r="785" spans="1:14" s="143" customFormat="1" hidden="1" x14ac:dyDescent="0.25">
      <c r="A785" s="143" t="s">
        <v>720</v>
      </c>
      <c r="B785" s="143" t="s">
        <v>498</v>
      </c>
      <c r="C785" s="143" t="s">
        <v>700</v>
      </c>
      <c r="D785" s="143" t="s">
        <v>69</v>
      </c>
      <c r="E785" s="257">
        <v>21098941</v>
      </c>
      <c r="F785" s="257">
        <v>21098941</v>
      </c>
      <c r="G785" s="257">
        <v>20677004</v>
      </c>
      <c r="H785" s="257">
        <v>0</v>
      </c>
      <c r="I785" s="257">
        <v>14723855.470000001</v>
      </c>
      <c r="J785" s="257">
        <v>0</v>
      </c>
      <c r="K785" s="257">
        <v>6375085.5300000003</v>
      </c>
      <c r="L785" s="257">
        <v>6375085.5300000003</v>
      </c>
      <c r="M785" s="279">
        <v>0</v>
      </c>
      <c r="N785" s="275">
        <v>-421937</v>
      </c>
    </row>
    <row r="786" spans="1:14" s="143" customFormat="1" hidden="1" x14ac:dyDescent="0.25">
      <c r="A786" s="143" t="s">
        <v>720</v>
      </c>
      <c r="B786" s="143" t="s">
        <v>104</v>
      </c>
      <c r="C786" s="143" t="s">
        <v>105</v>
      </c>
      <c r="D786" s="143" t="s">
        <v>69</v>
      </c>
      <c r="E786" s="257">
        <v>7541300</v>
      </c>
      <c r="F786" s="257">
        <v>7541300</v>
      </c>
      <c r="G786" s="257">
        <v>2222626</v>
      </c>
      <c r="H786" s="257">
        <v>0</v>
      </c>
      <c r="I786" s="257">
        <v>5318674.76</v>
      </c>
      <c r="J786" s="257">
        <v>0</v>
      </c>
      <c r="K786" s="257">
        <v>1342926.72</v>
      </c>
      <c r="L786" s="257">
        <v>908541.09</v>
      </c>
      <c r="M786" s="279">
        <v>879698.52</v>
      </c>
      <c r="N786" s="257">
        <v>-4438975.4800000004</v>
      </c>
    </row>
    <row r="787" spans="1:14" s="143" customFormat="1" hidden="1" x14ac:dyDescent="0.25">
      <c r="A787" s="143" t="s">
        <v>720</v>
      </c>
      <c r="B787" s="143" t="s">
        <v>140</v>
      </c>
      <c r="C787" s="143" t="s">
        <v>141</v>
      </c>
      <c r="D787" s="143" t="s">
        <v>69</v>
      </c>
      <c r="E787" s="257">
        <v>7541300</v>
      </c>
      <c r="F787" s="257">
        <v>7541300</v>
      </c>
      <c r="G787" s="257">
        <v>2222626</v>
      </c>
      <c r="H787" s="257">
        <v>0</v>
      </c>
      <c r="I787" s="257">
        <v>5318674.76</v>
      </c>
      <c r="J787" s="257">
        <v>0</v>
      </c>
      <c r="K787" s="257">
        <v>1342926.72</v>
      </c>
      <c r="L787" s="257">
        <v>908541.09</v>
      </c>
      <c r="M787" s="279">
        <v>879698.52</v>
      </c>
      <c r="N787" s="257">
        <v>-4438975.4800000004</v>
      </c>
    </row>
    <row r="788" spans="1:14" s="143" customFormat="1" hidden="1" x14ac:dyDescent="0.25">
      <c r="A788" s="143" t="s">
        <v>720</v>
      </c>
      <c r="B788" s="143" t="s">
        <v>146</v>
      </c>
      <c r="C788" s="143" t="s">
        <v>147</v>
      </c>
      <c r="D788" s="143" t="s">
        <v>69</v>
      </c>
      <c r="E788" s="257">
        <v>2513800</v>
      </c>
      <c r="F788" s="257">
        <v>2513800</v>
      </c>
      <c r="G788" s="257">
        <v>434386</v>
      </c>
      <c r="H788" s="257">
        <v>0</v>
      </c>
      <c r="I788" s="257">
        <v>2079414.37</v>
      </c>
      <c r="J788" s="257">
        <v>0</v>
      </c>
      <c r="K788" s="257">
        <v>434385.63</v>
      </c>
      <c r="L788" s="257">
        <v>0</v>
      </c>
      <c r="M788" s="279">
        <v>0</v>
      </c>
      <c r="N788" s="275">
        <v>-2079414</v>
      </c>
    </row>
    <row r="789" spans="1:14" s="143" customFormat="1" hidden="1" x14ac:dyDescent="0.25">
      <c r="A789" s="143" t="s">
        <v>720</v>
      </c>
      <c r="B789" s="143" t="s">
        <v>148</v>
      </c>
      <c r="C789" s="143" t="s">
        <v>149</v>
      </c>
      <c r="D789" s="143" t="s">
        <v>69</v>
      </c>
      <c r="E789" s="257">
        <v>5027500</v>
      </c>
      <c r="F789" s="257">
        <v>5027500</v>
      </c>
      <c r="G789" s="257">
        <v>1788240</v>
      </c>
      <c r="H789" s="257">
        <v>0</v>
      </c>
      <c r="I789" s="257">
        <v>3239260.39</v>
      </c>
      <c r="J789" s="257">
        <v>0</v>
      </c>
      <c r="K789" s="257">
        <v>908541.09</v>
      </c>
      <c r="L789" s="257">
        <v>908541.09</v>
      </c>
      <c r="M789" s="279">
        <v>879698.52</v>
      </c>
      <c r="N789" s="257">
        <v>-2359561.48</v>
      </c>
    </row>
    <row r="790" spans="1:14" s="143" customFormat="1" hidden="1" x14ac:dyDescent="0.25">
      <c r="A790" s="143" t="s">
        <v>720</v>
      </c>
      <c r="B790" s="143" t="s">
        <v>248</v>
      </c>
      <c r="C790" s="143" t="s">
        <v>249</v>
      </c>
      <c r="D790" s="143" t="s">
        <v>69</v>
      </c>
      <c r="E790" s="257">
        <v>11674695</v>
      </c>
      <c r="F790" s="257">
        <v>11674695</v>
      </c>
      <c r="G790" s="257">
        <v>11441224</v>
      </c>
      <c r="H790" s="257">
        <v>0</v>
      </c>
      <c r="I790" s="257">
        <v>8365040.3700000001</v>
      </c>
      <c r="J790" s="257">
        <v>0</v>
      </c>
      <c r="K790" s="257">
        <v>3309654.63</v>
      </c>
      <c r="L790" s="257">
        <v>3309654.63</v>
      </c>
      <c r="M790" s="279">
        <v>0</v>
      </c>
      <c r="N790" s="275">
        <v>-233471</v>
      </c>
    </row>
    <row r="791" spans="1:14" s="143" customFormat="1" hidden="1" x14ac:dyDescent="0.25">
      <c r="A791" s="143" t="s">
        <v>720</v>
      </c>
      <c r="B791" s="143" t="s">
        <v>250</v>
      </c>
      <c r="C791" s="143" t="s">
        <v>251</v>
      </c>
      <c r="D791" s="143" t="s">
        <v>69</v>
      </c>
      <c r="E791" s="257">
        <v>11674695</v>
      </c>
      <c r="F791" s="257">
        <v>11674695</v>
      </c>
      <c r="G791" s="257">
        <v>11441224</v>
      </c>
      <c r="H791" s="257">
        <v>0</v>
      </c>
      <c r="I791" s="257">
        <v>8365040.3700000001</v>
      </c>
      <c r="J791" s="257">
        <v>0</v>
      </c>
      <c r="K791" s="257">
        <v>3309654.63</v>
      </c>
      <c r="L791" s="257">
        <v>3309654.63</v>
      </c>
      <c r="M791" s="279">
        <v>0</v>
      </c>
      <c r="N791" s="275">
        <v>-233471</v>
      </c>
    </row>
    <row r="792" spans="1:14" s="143" customFormat="1" hidden="1" x14ac:dyDescent="0.25">
      <c r="A792" s="143" t="s">
        <v>720</v>
      </c>
      <c r="B792" s="143" t="s">
        <v>638</v>
      </c>
      <c r="C792" s="143" t="s">
        <v>702</v>
      </c>
      <c r="D792" s="143" t="s">
        <v>69</v>
      </c>
      <c r="E792" s="257">
        <v>9916509</v>
      </c>
      <c r="F792" s="257">
        <v>9916509</v>
      </c>
      <c r="G792" s="257">
        <v>9718198</v>
      </c>
      <c r="H792" s="257">
        <v>0</v>
      </c>
      <c r="I792" s="257">
        <v>7132216.71</v>
      </c>
      <c r="J792" s="257">
        <v>0</v>
      </c>
      <c r="K792" s="257">
        <v>2784292.29</v>
      </c>
      <c r="L792" s="257">
        <v>2784292.29</v>
      </c>
      <c r="M792" s="279">
        <v>0</v>
      </c>
      <c r="N792" s="275">
        <v>-198311</v>
      </c>
    </row>
    <row r="793" spans="1:14" s="143" customFormat="1" hidden="1" x14ac:dyDescent="0.25">
      <c r="A793" s="143" t="s">
        <v>720</v>
      </c>
      <c r="B793" s="143" t="s">
        <v>653</v>
      </c>
      <c r="C793" s="143" t="s">
        <v>703</v>
      </c>
      <c r="D793" s="143" t="s">
        <v>69</v>
      </c>
      <c r="E793" s="257">
        <v>1758186</v>
      </c>
      <c r="F793" s="257">
        <v>1758186</v>
      </c>
      <c r="G793" s="257">
        <v>1723026</v>
      </c>
      <c r="H793" s="257">
        <v>0</v>
      </c>
      <c r="I793" s="257">
        <v>1232823.6599999999</v>
      </c>
      <c r="J793" s="257">
        <v>0</v>
      </c>
      <c r="K793" s="257">
        <v>525362.34</v>
      </c>
      <c r="L793" s="257">
        <v>525362.34</v>
      </c>
      <c r="M793" s="279">
        <v>0</v>
      </c>
      <c r="N793" s="275">
        <v>-35160</v>
      </c>
    </row>
    <row r="794" spans="1:14" s="143" customFormat="1" x14ac:dyDescent="0.25">
      <c r="A794" s="454">
        <v>214794</v>
      </c>
      <c r="D794" s="454" t="s">
        <v>69</v>
      </c>
      <c r="E794" s="257">
        <v>13895221022</v>
      </c>
      <c r="F794" s="272">
        <v>13895221022</v>
      </c>
      <c r="G794" s="257">
        <v>13152973179</v>
      </c>
      <c r="H794" s="269">
        <v>0</v>
      </c>
      <c r="I794" s="274">
        <v>1686498102.4200001</v>
      </c>
      <c r="J794" s="274">
        <v>0</v>
      </c>
      <c r="K794" s="274">
        <v>3435151724.0300002</v>
      </c>
      <c r="L794" s="274">
        <v>3435151724.0300002</v>
      </c>
      <c r="M794" s="273">
        <v>8773571195.5499992</v>
      </c>
      <c r="N794" s="257">
        <v>8031323352.5500002</v>
      </c>
    </row>
    <row r="795" spans="1:14" s="143" customFormat="1" hidden="1" x14ac:dyDescent="0.25">
      <c r="A795" s="143" t="s">
        <v>721</v>
      </c>
      <c r="B795" s="143" t="s">
        <v>71</v>
      </c>
      <c r="C795" s="143" t="s">
        <v>72</v>
      </c>
      <c r="D795" s="143" t="s">
        <v>69</v>
      </c>
      <c r="E795" s="257">
        <v>13427888280</v>
      </c>
      <c r="F795" s="257">
        <v>13427888280</v>
      </c>
      <c r="G795" s="257">
        <v>12804348017</v>
      </c>
      <c r="H795" s="257">
        <v>0</v>
      </c>
      <c r="I795" s="257">
        <v>1553201457.04</v>
      </c>
      <c r="J795" s="257">
        <v>0</v>
      </c>
      <c r="K795" s="257">
        <v>3319759881.9099998</v>
      </c>
      <c r="L795" s="257">
        <v>3319759881.9099998</v>
      </c>
      <c r="M795" s="279">
        <v>8554926941.0500002</v>
      </c>
      <c r="N795" s="257">
        <v>7931386678.0500002</v>
      </c>
    </row>
    <row r="796" spans="1:14" s="143" customFormat="1" hidden="1" x14ac:dyDescent="0.25">
      <c r="A796" s="143" t="s">
        <v>721</v>
      </c>
      <c r="B796" s="143" t="s">
        <v>73</v>
      </c>
      <c r="C796" s="143" t="s">
        <v>74</v>
      </c>
      <c r="D796" s="143" t="s">
        <v>69</v>
      </c>
      <c r="E796" s="257">
        <v>4501527400</v>
      </c>
      <c r="F796" s="257">
        <v>4501527400</v>
      </c>
      <c r="G796" s="257">
        <v>4221913200</v>
      </c>
      <c r="H796" s="257">
        <v>0</v>
      </c>
      <c r="I796" s="257">
        <v>0</v>
      </c>
      <c r="J796" s="257">
        <v>0</v>
      </c>
      <c r="K796" s="257">
        <v>936902015.58000004</v>
      </c>
      <c r="L796" s="257">
        <v>936902015.58000004</v>
      </c>
      <c r="M796" s="279">
        <v>3564625384.4200001</v>
      </c>
      <c r="N796" s="257">
        <v>3285011184.4200001</v>
      </c>
    </row>
    <row r="797" spans="1:14" s="143" customFormat="1" hidden="1" x14ac:dyDescent="0.25">
      <c r="A797" s="143" t="s">
        <v>721</v>
      </c>
      <c r="B797" s="143" t="s">
        <v>75</v>
      </c>
      <c r="C797" s="143" t="s">
        <v>76</v>
      </c>
      <c r="D797" s="143" t="s">
        <v>69</v>
      </c>
      <c r="E797" s="257">
        <v>4501527400</v>
      </c>
      <c r="F797" s="257">
        <v>4501527400</v>
      </c>
      <c r="G797" s="257">
        <v>4221913200</v>
      </c>
      <c r="H797" s="257">
        <v>0</v>
      </c>
      <c r="I797" s="257">
        <v>0</v>
      </c>
      <c r="J797" s="257">
        <v>0</v>
      </c>
      <c r="K797" s="257">
        <v>936902015.58000004</v>
      </c>
      <c r="L797" s="257">
        <v>936902015.58000004</v>
      </c>
      <c r="M797" s="279">
        <v>3564625384.4200001</v>
      </c>
      <c r="N797" s="257">
        <v>3285011184.4200001</v>
      </c>
    </row>
    <row r="798" spans="1:14" s="143" customFormat="1" hidden="1" x14ac:dyDescent="0.25">
      <c r="A798" s="143" t="s">
        <v>721</v>
      </c>
      <c r="B798" s="143" t="s">
        <v>77</v>
      </c>
      <c r="C798" s="143" t="s">
        <v>78</v>
      </c>
      <c r="D798" s="143" t="s">
        <v>69</v>
      </c>
      <c r="E798" s="257">
        <v>6803353044</v>
      </c>
      <c r="F798" s="257">
        <v>6803353044</v>
      </c>
      <c r="G798" s="257">
        <v>6550076334</v>
      </c>
      <c r="H798" s="257">
        <v>0</v>
      </c>
      <c r="I798" s="257">
        <v>0</v>
      </c>
      <c r="J798" s="257">
        <v>0</v>
      </c>
      <c r="K798" s="257">
        <v>1829438527.3699999</v>
      </c>
      <c r="L798" s="257">
        <v>1829438527.3699999</v>
      </c>
      <c r="M798" s="279">
        <v>4973914516.6300001</v>
      </c>
      <c r="N798" s="257">
        <v>4720637806.6300001</v>
      </c>
    </row>
    <row r="799" spans="1:14" s="143" customFormat="1" hidden="1" x14ac:dyDescent="0.25">
      <c r="A799" s="143" t="s">
        <v>721</v>
      </c>
      <c r="B799" s="143" t="s">
        <v>79</v>
      </c>
      <c r="C799" s="143" t="s">
        <v>80</v>
      </c>
      <c r="D799" s="143" t="s">
        <v>69</v>
      </c>
      <c r="E799" s="257">
        <v>1381150100</v>
      </c>
      <c r="F799" s="257">
        <v>1381150100</v>
      </c>
      <c r="G799" s="257">
        <v>1310223380</v>
      </c>
      <c r="H799" s="257">
        <v>0</v>
      </c>
      <c r="I799" s="257">
        <v>0</v>
      </c>
      <c r="J799" s="257">
        <v>0</v>
      </c>
      <c r="K799" s="257">
        <v>302324219.68000001</v>
      </c>
      <c r="L799" s="257">
        <v>302324219.68000001</v>
      </c>
      <c r="M799" s="279">
        <v>1078825880.3199999</v>
      </c>
      <c r="N799" s="257">
        <v>1007899160.3200001</v>
      </c>
    </row>
    <row r="800" spans="1:14" s="143" customFormat="1" hidden="1" x14ac:dyDescent="0.25">
      <c r="A800" s="143" t="s">
        <v>721</v>
      </c>
      <c r="B800" s="143" t="s">
        <v>81</v>
      </c>
      <c r="C800" s="143" t="s">
        <v>82</v>
      </c>
      <c r="D800" s="143" t="s">
        <v>69</v>
      </c>
      <c r="E800" s="257">
        <v>2537511300</v>
      </c>
      <c r="F800" s="257">
        <v>2537511300</v>
      </c>
      <c r="G800" s="257">
        <v>2434403475</v>
      </c>
      <c r="H800" s="257">
        <v>0</v>
      </c>
      <c r="I800" s="257">
        <v>0</v>
      </c>
      <c r="J800" s="257">
        <v>0</v>
      </c>
      <c r="K800" s="257">
        <v>545854506.23000002</v>
      </c>
      <c r="L800" s="257">
        <v>545854506.23000002</v>
      </c>
      <c r="M800" s="279">
        <v>1991656793.77</v>
      </c>
      <c r="N800" s="257">
        <v>1888548968.77</v>
      </c>
    </row>
    <row r="801" spans="1:14" s="143" customFormat="1" hidden="1" x14ac:dyDescent="0.25">
      <c r="A801" s="143" t="s">
        <v>721</v>
      </c>
      <c r="B801" s="143" t="s">
        <v>83</v>
      </c>
      <c r="C801" s="143" t="s">
        <v>84</v>
      </c>
      <c r="D801" s="143" t="s">
        <v>85</v>
      </c>
      <c r="E801" s="257">
        <v>869285044</v>
      </c>
      <c r="F801" s="257">
        <v>869285044</v>
      </c>
      <c r="G801" s="257">
        <v>826833696</v>
      </c>
      <c r="H801" s="257">
        <v>0</v>
      </c>
      <c r="I801" s="257">
        <v>0</v>
      </c>
      <c r="J801" s="257">
        <v>0</v>
      </c>
      <c r="K801" s="257">
        <v>0</v>
      </c>
      <c r="L801" s="257">
        <v>0</v>
      </c>
      <c r="M801" s="279">
        <v>869285044</v>
      </c>
      <c r="N801" s="257">
        <v>826833696</v>
      </c>
    </row>
    <row r="802" spans="1:14" s="143" customFormat="1" hidden="1" x14ac:dyDescent="0.25">
      <c r="A802" s="143" t="s">
        <v>721</v>
      </c>
      <c r="B802" s="143" t="s">
        <v>86</v>
      </c>
      <c r="C802" s="143" t="s">
        <v>87</v>
      </c>
      <c r="D802" s="143" t="s">
        <v>69</v>
      </c>
      <c r="E802" s="257">
        <v>799025700</v>
      </c>
      <c r="F802" s="257">
        <v>799025700</v>
      </c>
      <c r="G802" s="257">
        <v>799025700</v>
      </c>
      <c r="H802" s="257">
        <v>0</v>
      </c>
      <c r="I802" s="257">
        <v>0</v>
      </c>
      <c r="J802" s="257">
        <v>0</v>
      </c>
      <c r="K802" s="257">
        <v>720602684.51999998</v>
      </c>
      <c r="L802" s="257">
        <v>720602684.51999998</v>
      </c>
      <c r="M802" s="279">
        <v>78423015.480000004</v>
      </c>
      <c r="N802" s="257">
        <v>78423015.480000004</v>
      </c>
    </row>
    <row r="803" spans="1:14" s="143" customFormat="1" hidden="1" x14ac:dyDescent="0.25">
      <c r="A803" s="143" t="s">
        <v>721</v>
      </c>
      <c r="B803" s="143" t="s">
        <v>88</v>
      </c>
      <c r="C803" s="143" t="s">
        <v>89</v>
      </c>
      <c r="D803" s="143" t="s">
        <v>69</v>
      </c>
      <c r="E803" s="257">
        <v>1216380900</v>
      </c>
      <c r="F803" s="257">
        <v>1216380900</v>
      </c>
      <c r="G803" s="257">
        <v>1179590083</v>
      </c>
      <c r="H803" s="257">
        <v>0</v>
      </c>
      <c r="I803" s="257">
        <v>0</v>
      </c>
      <c r="J803" s="257">
        <v>0</v>
      </c>
      <c r="K803" s="257">
        <v>260657116.94</v>
      </c>
      <c r="L803" s="257">
        <v>260657116.94</v>
      </c>
      <c r="M803" s="279">
        <v>955723783.05999994</v>
      </c>
      <c r="N803" s="257">
        <v>918932966.05999994</v>
      </c>
    </row>
    <row r="804" spans="1:14" s="143" customFormat="1" hidden="1" x14ac:dyDescent="0.25">
      <c r="A804" s="143" t="s">
        <v>721</v>
      </c>
      <c r="B804" s="143" t="s">
        <v>90</v>
      </c>
      <c r="C804" s="143" t="s">
        <v>91</v>
      </c>
      <c r="D804" s="143" t="s">
        <v>69</v>
      </c>
      <c r="E804" s="257">
        <v>1017470468</v>
      </c>
      <c r="F804" s="257">
        <v>1017470468</v>
      </c>
      <c r="G804" s="257">
        <v>972145791</v>
      </c>
      <c r="H804" s="257">
        <v>0</v>
      </c>
      <c r="I804" s="257">
        <v>736987496</v>
      </c>
      <c r="J804" s="257">
        <v>0</v>
      </c>
      <c r="K804" s="257">
        <v>272289452</v>
      </c>
      <c r="L804" s="257">
        <v>272289452</v>
      </c>
      <c r="M804" s="279">
        <v>8193520</v>
      </c>
      <c r="N804" s="275">
        <v>-37131157</v>
      </c>
    </row>
    <row r="805" spans="1:14" s="143" customFormat="1" hidden="1" x14ac:dyDescent="0.25">
      <c r="A805" s="143" t="s">
        <v>721</v>
      </c>
      <c r="B805" s="143" t="s">
        <v>430</v>
      </c>
      <c r="C805" s="143" t="s">
        <v>697</v>
      </c>
      <c r="D805" s="143" t="s">
        <v>69</v>
      </c>
      <c r="E805" s="257">
        <v>965292547</v>
      </c>
      <c r="F805" s="257">
        <v>965292547</v>
      </c>
      <c r="G805" s="257">
        <v>922292212</v>
      </c>
      <c r="H805" s="257">
        <v>0</v>
      </c>
      <c r="I805" s="257">
        <v>699193331</v>
      </c>
      <c r="J805" s="257">
        <v>0</v>
      </c>
      <c r="K805" s="257">
        <v>258325886</v>
      </c>
      <c r="L805" s="257">
        <v>258325886</v>
      </c>
      <c r="M805" s="279">
        <v>7773330</v>
      </c>
      <c r="N805" s="275">
        <v>-35227005</v>
      </c>
    </row>
    <row r="806" spans="1:14" s="143" customFormat="1" hidden="1" x14ac:dyDescent="0.25">
      <c r="A806" s="143" t="s">
        <v>721</v>
      </c>
      <c r="B806" s="143" t="s">
        <v>447</v>
      </c>
      <c r="C806" s="143" t="s">
        <v>95</v>
      </c>
      <c r="D806" s="143" t="s">
        <v>69</v>
      </c>
      <c r="E806" s="257">
        <v>52177921</v>
      </c>
      <c r="F806" s="257">
        <v>52177921</v>
      </c>
      <c r="G806" s="257">
        <v>49853579</v>
      </c>
      <c r="H806" s="257">
        <v>0</v>
      </c>
      <c r="I806" s="257">
        <v>37794165</v>
      </c>
      <c r="J806" s="257">
        <v>0</v>
      </c>
      <c r="K806" s="257">
        <v>13963566</v>
      </c>
      <c r="L806" s="257">
        <v>13963566</v>
      </c>
      <c r="M806" s="279">
        <v>420190</v>
      </c>
      <c r="N806" s="275">
        <v>-1904152</v>
      </c>
    </row>
    <row r="807" spans="1:14" s="143" customFormat="1" hidden="1" x14ac:dyDescent="0.25">
      <c r="A807" s="143" t="s">
        <v>721</v>
      </c>
      <c r="B807" s="143" t="s">
        <v>96</v>
      </c>
      <c r="C807" s="143" t="s">
        <v>97</v>
      </c>
      <c r="D807" s="143" t="s">
        <v>69</v>
      </c>
      <c r="E807" s="257">
        <v>1105537368</v>
      </c>
      <c r="F807" s="257">
        <v>1105537368</v>
      </c>
      <c r="G807" s="257">
        <v>1060212692</v>
      </c>
      <c r="H807" s="257">
        <v>0</v>
      </c>
      <c r="I807" s="257">
        <v>816213961.03999996</v>
      </c>
      <c r="J807" s="257">
        <v>0</v>
      </c>
      <c r="K807" s="257">
        <v>281129886.95999998</v>
      </c>
      <c r="L807" s="257">
        <v>281129886.95999998</v>
      </c>
      <c r="M807" s="279">
        <v>8193520</v>
      </c>
      <c r="N807" s="275">
        <v>-37131156</v>
      </c>
    </row>
    <row r="808" spans="1:14" s="143" customFormat="1" hidden="1" x14ac:dyDescent="0.25">
      <c r="A808" s="143" t="s">
        <v>721</v>
      </c>
      <c r="B808" s="143" t="s">
        <v>465</v>
      </c>
      <c r="C808" s="143" t="s">
        <v>698</v>
      </c>
      <c r="D808" s="143" t="s">
        <v>69</v>
      </c>
      <c r="E808" s="257">
        <v>547868675</v>
      </c>
      <c r="F808" s="257">
        <v>547868675</v>
      </c>
      <c r="G808" s="257">
        <v>523463080</v>
      </c>
      <c r="H808" s="257">
        <v>0</v>
      </c>
      <c r="I808" s="257">
        <v>412655242</v>
      </c>
      <c r="J808" s="257">
        <v>0</v>
      </c>
      <c r="K808" s="257">
        <v>130801543</v>
      </c>
      <c r="L808" s="257">
        <v>130801543</v>
      </c>
      <c r="M808" s="279">
        <v>4411890</v>
      </c>
      <c r="N808" s="275">
        <v>-19993705</v>
      </c>
    </row>
    <row r="809" spans="1:14" s="143" customFormat="1" hidden="1" x14ac:dyDescent="0.25">
      <c r="A809" s="143" t="s">
        <v>721</v>
      </c>
      <c r="B809" s="143" t="s">
        <v>482</v>
      </c>
      <c r="C809" s="143" t="s">
        <v>699</v>
      </c>
      <c r="D809" s="143" t="s">
        <v>69</v>
      </c>
      <c r="E809" s="257">
        <v>156533864</v>
      </c>
      <c r="F809" s="257">
        <v>156533864</v>
      </c>
      <c r="G809" s="257">
        <v>149560837</v>
      </c>
      <c r="H809" s="257">
        <v>0</v>
      </c>
      <c r="I809" s="257">
        <v>113382629</v>
      </c>
      <c r="J809" s="257">
        <v>0</v>
      </c>
      <c r="K809" s="257">
        <v>41890685</v>
      </c>
      <c r="L809" s="257">
        <v>41890685</v>
      </c>
      <c r="M809" s="279">
        <v>1260550</v>
      </c>
      <c r="N809" s="275">
        <v>-5712477</v>
      </c>
    </row>
    <row r="810" spans="1:14" s="143" customFormat="1" hidden="1" x14ac:dyDescent="0.25">
      <c r="A810" s="143" t="s">
        <v>721</v>
      </c>
      <c r="B810" s="143" t="s">
        <v>499</v>
      </c>
      <c r="C810" s="143" t="s">
        <v>700</v>
      </c>
      <c r="D810" s="143" t="s">
        <v>69</v>
      </c>
      <c r="E810" s="257">
        <v>313067829</v>
      </c>
      <c r="F810" s="257">
        <v>313067829</v>
      </c>
      <c r="G810" s="257">
        <v>299121775</v>
      </c>
      <c r="H810" s="257">
        <v>0</v>
      </c>
      <c r="I810" s="257">
        <v>226765359</v>
      </c>
      <c r="J810" s="257">
        <v>0</v>
      </c>
      <c r="K810" s="257">
        <v>83781390</v>
      </c>
      <c r="L810" s="257">
        <v>83781390</v>
      </c>
      <c r="M810" s="279">
        <v>2521080</v>
      </c>
      <c r="N810" s="275">
        <v>-11424974</v>
      </c>
    </row>
    <row r="811" spans="1:14" s="143" customFormat="1" hidden="1" x14ac:dyDescent="0.25">
      <c r="A811" s="143" t="s">
        <v>721</v>
      </c>
      <c r="B811" s="143" t="s">
        <v>516</v>
      </c>
      <c r="C811" s="143" t="s">
        <v>722</v>
      </c>
      <c r="D811" s="143" t="s">
        <v>69</v>
      </c>
      <c r="E811" s="257">
        <v>88067000</v>
      </c>
      <c r="F811" s="257">
        <v>88067000</v>
      </c>
      <c r="G811" s="257">
        <v>88067000</v>
      </c>
      <c r="H811" s="257">
        <v>0</v>
      </c>
      <c r="I811" s="257">
        <v>63410731.039999999</v>
      </c>
      <c r="J811" s="257">
        <v>0</v>
      </c>
      <c r="K811" s="257">
        <v>24656268.960000001</v>
      </c>
      <c r="L811" s="257">
        <v>24656268.960000001</v>
      </c>
      <c r="M811" s="279">
        <v>0</v>
      </c>
      <c r="N811" s="257">
        <v>0</v>
      </c>
    </row>
    <row r="812" spans="1:14" s="143" customFormat="1" hidden="1" x14ac:dyDescent="0.25">
      <c r="A812" s="143" t="s">
        <v>721</v>
      </c>
      <c r="B812" s="143" t="s">
        <v>104</v>
      </c>
      <c r="C812" s="143" t="s">
        <v>105</v>
      </c>
      <c r="D812" s="143" t="s">
        <v>69</v>
      </c>
      <c r="E812" s="257">
        <v>45500000</v>
      </c>
      <c r="F812" s="257">
        <v>45500000</v>
      </c>
      <c r="G812" s="257">
        <v>44866179</v>
      </c>
      <c r="H812" s="257">
        <v>0</v>
      </c>
      <c r="I812" s="257">
        <v>0</v>
      </c>
      <c r="J812" s="257">
        <v>0</v>
      </c>
      <c r="K812" s="257">
        <v>0</v>
      </c>
      <c r="L812" s="257">
        <v>0</v>
      </c>
      <c r="M812" s="279">
        <v>45500000</v>
      </c>
      <c r="N812" s="257">
        <v>44866179</v>
      </c>
    </row>
    <row r="813" spans="1:14" s="143" customFormat="1" hidden="1" x14ac:dyDescent="0.25">
      <c r="A813" s="143" t="s">
        <v>721</v>
      </c>
      <c r="B813" s="143" t="s">
        <v>150</v>
      </c>
      <c r="C813" s="143" t="s">
        <v>151</v>
      </c>
      <c r="D813" s="143" t="s">
        <v>69</v>
      </c>
      <c r="E813" s="257">
        <v>45500000</v>
      </c>
      <c r="F813" s="257">
        <v>45500000</v>
      </c>
      <c r="G813" s="257">
        <v>44866179</v>
      </c>
      <c r="H813" s="257">
        <v>0</v>
      </c>
      <c r="I813" s="257">
        <v>0</v>
      </c>
      <c r="J813" s="257">
        <v>0</v>
      </c>
      <c r="K813" s="257">
        <v>0</v>
      </c>
      <c r="L813" s="257">
        <v>0</v>
      </c>
      <c r="M813" s="279">
        <v>45500000</v>
      </c>
      <c r="N813" s="257">
        <v>44866179</v>
      </c>
    </row>
    <row r="814" spans="1:14" s="143" customFormat="1" hidden="1" x14ac:dyDescent="0.25">
      <c r="A814" s="143" t="s">
        <v>721</v>
      </c>
      <c r="B814" s="143" t="s">
        <v>152</v>
      </c>
      <c r="C814" s="143" t="s">
        <v>153</v>
      </c>
      <c r="D814" s="143" t="s">
        <v>69</v>
      </c>
      <c r="E814" s="257">
        <v>45500000</v>
      </c>
      <c r="F814" s="257">
        <v>45500000</v>
      </c>
      <c r="G814" s="257">
        <v>44866179</v>
      </c>
      <c r="H814" s="257">
        <v>0</v>
      </c>
      <c r="I814" s="257">
        <v>0</v>
      </c>
      <c r="J814" s="257">
        <v>0</v>
      </c>
      <c r="K814" s="257">
        <v>0</v>
      </c>
      <c r="L814" s="257">
        <v>0</v>
      </c>
      <c r="M814" s="279">
        <v>45500000</v>
      </c>
      <c r="N814" s="257">
        <v>44866179</v>
      </c>
    </row>
    <row r="815" spans="1:14" s="143" customFormat="1" hidden="1" x14ac:dyDescent="0.25">
      <c r="A815" s="143" t="s">
        <v>721</v>
      </c>
      <c r="B815" s="143" t="s">
        <v>248</v>
      </c>
      <c r="C815" s="143" t="s">
        <v>249</v>
      </c>
      <c r="D815" s="143" t="s">
        <v>69</v>
      </c>
      <c r="E815" s="257">
        <v>421832742</v>
      </c>
      <c r="F815" s="257">
        <v>421832742</v>
      </c>
      <c r="G815" s="257">
        <v>303758983</v>
      </c>
      <c r="H815" s="257">
        <v>0</v>
      </c>
      <c r="I815" s="257">
        <v>133296645.38</v>
      </c>
      <c r="J815" s="257">
        <v>0</v>
      </c>
      <c r="K815" s="257">
        <v>115391842.12</v>
      </c>
      <c r="L815" s="257">
        <v>115391842.12</v>
      </c>
      <c r="M815" s="279">
        <v>173144254.5</v>
      </c>
      <c r="N815" s="257">
        <v>55070495.5</v>
      </c>
    </row>
    <row r="816" spans="1:14" s="143" customFormat="1" hidden="1" x14ac:dyDescent="0.25">
      <c r="A816" s="143" t="s">
        <v>721</v>
      </c>
      <c r="B816" s="143" t="s">
        <v>250</v>
      </c>
      <c r="C816" s="143" t="s">
        <v>251</v>
      </c>
      <c r="D816" s="143" t="s">
        <v>69</v>
      </c>
      <c r="E816" s="257">
        <v>173230842</v>
      </c>
      <c r="F816" s="257">
        <v>173230842</v>
      </c>
      <c r="G816" s="257">
        <v>165514033</v>
      </c>
      <c r="H816" s="257">
        <v>0</v>
      </c>
      <c r="I816" s="257">
        <v>127899248.06999999</v>
      </c>
      <c r="J816" s="257">
        <v>0</v>
      </c>
      <c r="K816" s="257">
        <v>43936603.93</v>
      </c>
      <c r="L816" s="257">
        <v>43936603.93</v>
      </c>
      <c r="M816" s="279">
        <v>1394990</v>
      </c>
      <c r="N816" s="275">
        <v>-6321819</v>
      </c>
    </row>
    <row r="817" spans="1:14" s="143" customFormat="1" hidden="1" x14ac:dyDescent="0.25">
      <c r="A817" s="143" t="s">
        <v>721</v>
      </c>
      <c r="B817" s="143" t="s">
        <v>639</v>
      </c>
      <c r="C817" s="143" t="s">
        <v>702</v>
      </c>
      <c r="D817" s="143" t="s">
        <v>69</v>
      </c>
      <c r="E817" s="257">
        <v>147141882</v>
      </c>
      <c r="F817" s="257">
        <v>147141882</v>
      </c>
      <c r="G817" s="257">
        <v>140587244</v>
      </c>
      <c r="H817" s="257">
        <v>0</v>
      </c>
      <c r="I817" s="257">
        <v>109002158.77</v>
      </c>
      <c r="J817" s="257">
        <v>0</v>
      </c>
      <c r="K817" s="257">
        <v>36954823.229999997</v>
      </c>
      <c r="L817" s="257">
        <v>36954823.229999997</v>
      </c>
      <c r="M817" s="279">
        <v>1184900</v>
      </c>
      <c r="N817" s="275">
        <v>-5369738</v>
      </c>
    </row>
    <row r="818" spans="1:14" s="143" customFormat="1" hidden="1" x14ac:dyDescent="0.25">
      <c r="A818" s="143" t="s">
        <v>721</v>
      </c>
      <c r="B818" s="143" t="s">
        <v>654</v>
      </c>
      <c r="C818" s="143" t="s">
        <v>703</v>
      </c>
      <c r="D818" s="143" t="s">
        <v>69</v>
      </c>
      <c r="E818" s="257">
        <v>26088960</v>
      </c>
      <c r="F818" s="257">
        <v>26088960</v>
      </c>
      <c r="G818" s="257">
        <v>24926789</v>
      </c>
      <c r="H818" s="257">
        <v>0</v>
      </c>
      <c r="I818" s="257">
        <v>18897089.300000001</v>
      </c>
      <c r="J818" s="257">
        <v>0</v>
      </c>
      <c r="K818" s="257">
        <v>6981780.7000000002</v>
      </c>
      <c r="L818" s="257">
        <v>6981780.7000000002</v>
      </c>
      <c r="M818" s="279">
        <v>210090</v>
      </c>
      <c r="N818" s="275">
        <v>-952081</v>
      </c>
    </row>
    <row r="819" spans="1:14" s="143" customFormat="1" hidden="1" x14ac:dyDescent="0.25">
      <c r="A819" s="143" t="s">
        <v>721</v>
      </c>
      <c r="B819" s="143" t="s">
        <v>260</v>
      </c>
      <c r="C819" s="143" t="s">
        <v>261</v>
      </c>
      <c r="D819" s="143" t="s">
        <v>69</v>
      </c>
      <c r="E819" s="257">
        <v>223601900</v>
      </c>
      <c r="F819" s="257">
        <v>223601900</v>
      </c>
      <c r="G819" s="257">
        <v>134244950</v>
      </c>
      <c r="H819" s="257">
        <v>0</v>
      </c>
      <c r="I819" s="257">
        <v>5242588.38</v>
      </c>
      <c r="J819" s="257">
        <v>0</v>
      </c>
      <c r="K819" s="257">
        <v>67610047.120000005</v>
      </c>
      <c r="L819" s="257">
        <v>67610047.120000005</v>
      </c>
      <c r="M819" s="279">
        <v>150749264.5</v>
      </c>
      <c r="N819" s="257">
        <v>61392314.5</v>
      </c>
    </row>
    <row r="820" spans="1:14" s="143" customFormat="1" hidden="1" x14ac:dyDescent="0.25">
      <c r="A820" s="143" t="s">
        <v>721</v>
      </c>
      <c r="B820" s="143" t="s">
        <v>262</v>
      </c>
      <c r="C820" s="143" t="s">
        <v>263</v>
      </c>
      <c r="D820" s="143" t="s">
        <v>69</v>
      </c>
      <c r="E820" s="257">
        <v>150213900</v>
      </c>
      <c r="F820" s="257">
        <v>150213900</v>
      </c>
      <c r="G820" s="257">
        <v>60856950</v>
      </c>
      <c r="H820" s="257">
        <v>0</v>
      </c>
      <c r="I820" s="257">
        <v>5242588.38</v>
      </c>
      <c r="J820" s="257">
        <v>0</v>
      </c>
      <c r="K820" s="257">
        <v>45935886.619999997</v>
      </c>
      <c r="L820" s="257">
        <v>45935886.619999997</v>
      </c>
      <c r="M820" s="279">
        <v>99035425</v>
      </c>
      <c r="N820" s="257">
        <v>9678475</v>
      </c>
    </row>
    <row r="821" spans="1:14" s="143" customFormat="1" hidden="1" x14ac:dyDescent="0.25">
      <c r="A821" s="143" t="s">
        <v>721</v>
      </c>
      <c r="B821" s="143" t="s">
        <v>264</v>
      </c>
      <c r="C821" s="143" t="s">
        <v>265</v>
      </c>
      <c r="D821" s="143" t="s">
        <v>69</v>
      </c>
      <c r="E821" s="257">
        <v>73388000</v>
      </c>
      <c r="F821" s="257">
        <v>73388000</v>
      </c>
      <c r="G821" s="257">
        <v>73388000</v>
      </c>
      <c r="H821" s="257">
        <v>0</v>
      </c>
      <c r="I821" s="257">
        <v>0</v>
      </c>
      <c r="J821" s="257">
        <v>0</v>
      </c>
      <c r="K821" s="257">
        <v>21674160.5</v>
      </c>
      <c r="L821" s="257">
        <v>21674160.5</v>
      </c>
      <c r="M821" s="279">
        <v>51713839.5</v>
      </c>
      <c r="N821" s="257">
        <v>51713839.5</v>
      </c>
    </row>
    <row r="822" spans="1:14" s="143" customFormat="1" hidden="1" x14ac:dyDescent="0.25">
      <c r="A822" s="143" t="s">
        <v>721</v>
      </c>
      <c r="B822" s="143" t="s">
        <v>286</v>
      </c>
      <c r="C822" s="143" t="s">
        <v>287</v>
      </c>
      <c r="D822" s="143" t="s">
        <v>69</v>
      </c>
      <c r="E822" s="257">
        <v>25000000</v>
      </c>
      <c r="F822" s="257">
        <v>25000000</v>
      </c>
      <c r="G822" s="257">
        <v>4000000</v>
      </c>
      <c r="H822" s="257">
        <v>0</v>
      </c>
      <c r="I822" s="257">
        <v>154808.93</v>
      </c>
      <c r="J822" s="257">
        <v>0</v>
      </c>
      <c r="K822" s="257">
        <v>3845191.07</v>
      </c>
      <c r="L822" s="257">
        <v>3845191.07</v>
      </c>
      <c r="M822" s="279">
        <v>21000000</v>
      </c>
      <c r="N822" s="257">
        <v>0</v>
      </c>
    </row>
    <row r="823" spans="1:14" s="143" customFormat="1" hidden="1" x14ac:dyDescent="0.25">
      <c r="A823" s="143" t="s">
        <v>721</v>
      </c>
      <c r="B823" s="143" t="s">
        <v>288</v>
      </c>
      <c r="C823" s="143" t="s">
        <v>289</v>
      </c>
      <c r="D823" s="143" t="s">
        <v>69</v>
      </c>
      <c r="E823" s="257">
        <v>10000000</v>
      </c>
      <c r="F823" s="257">
        <v>10000000</v>
      </c>
      <c r="G823" s="257">
        <v>4000000</v>
      </c>
      <c r="H823" s="257">
        <v>0</v>
      </c>
      <c r="I823" s="257">
        <v>154808.93</v>
      </c>
      <c r="J823" s="257">
        <v>0</v>
      </c>
      <c r="K823" s="257">
        <v>3845191.07</v>
      </c>
      <c r="L823" s="257">
        <v>3845191.07</v>
      </c>
      <c r="M823" s="279">
        <v>6000000</v>
      </c>
      <c r="N823" s="257">
        <v>0</v>
      </c>
    </row>
    <row r="824" spans="1:14" s="143" customFormat="1" hidden="1" x14ac:dyDescent="0.25">
      <c r="A824" s="143" t="s">
        <v>721</v>
      </c>
      <c r="B824" s="143" t="s">
        <v>370</v>
      </c>
      <c r="C824" s="143" t="s">
        <v>371</v>
      </c>
      <c r="D824" s="143" t="s">
        <v>69</v>
      </c>
      <c r="E824" s="257">
        <v>15000000</v>
      </c>
      <c r="F824" s="257">
        <v>15000000</v>
      </c>
      <c r="G824" s="257">
        <v>0</v>
      </c>
      <c r="H824" s="257">
        <v>0</v>
      </c>
      <c r="I824" s="257">
        <v>0</v>
      </c>
      <c r="J824" s="257">
        <v>0</v>
      </c>
      <c r="K824" s="257">
        <v>0</v>
      </c>
      <c r="L824" s="257">
        <v>0</v>
      </c>
      <c r="M824" s="279">
        <v>15000000</v>
      </c>
      <c r="N824" s="257">
        <v>0</v>
      </c>
    </row>
    <row r="825" spans="1:14" s="143" customFormat="1" hidden="1" x14ac:dyDescent="0.25">
      <c r="A825" s="53"/>
      <c r="B825" s="53"/>
      <c r="C825" s="53"/>
      <c r="D825" s="53"/>
      <c r="E825" s="54">
        <v>765104920000</v>
      </c>
      <c r="F825" s="54">
        <v>765104920000</v>
      </c>
      <c r="G825" s="54">
        <v>639953135160.40002</v>
      </c>
      <c r="H825" s="50">
        <v>4545038757.8999996</v>
      </c>
      <c r="I825" s="50">
        <v>115992765645.10001</v>
      </c>
      <c r="J825" s="54">
        <v>1520171729.75</v>
      </c>
      <c r="K825" s="50">
        <v>162553196158.89999</v>
      </c>
      <c r="L825" s="54">
        <v>151697700030.70001</v>
      </c>
      <c r="M825" s="54">
        <v>480493747708.34998</v>
      </c>
      <c r="N825" s="54">
        <v>355341962868.75</v>
      </c>
    </row>
    <row r="826" spans="1:14" s="143" customFormat="1" x14ac:dyDescent="0.25"/>
    <row r="827" spans="1:14" s="143" customFormat="1" x14ac:dyDescent="0.25"/>
    <row r="828" spans="1:14" s="143" customFormat="1" x14ac:dyDescent="0.25"/>
    <row r="829" spans="1:14" s="143" customFormat="1" x14ac:dyDescent="0.25"/>
    <row r="830" spans="1:14" s="143" customFormat="1" x14ac:dyDescent="0.25"/>
    <row r="831" spans="1:14" s="143" customFormat="1" x14ac:dyDescent="0.25"/>
    <row r="832" spans="1:14" s="143" customFormat="1" x14ac:dyDescent="0.25"/>
    <row r="833" s="143" customFormat="1" x14ac:dyDescent="0.25"/>
  </sheetData>
  <sheetProtection selectLockedCells="1" selectUnlockedCells="1"/>
  <autoFilter ref="A1:N825"/>
  <conditionalFormatting sqref="K2:K451">
    <cfRule type="cellIs" dxfId="20" priority="1" stopIfTrue="1" operator="lessThan">
      <formula>0</formula>
    </cfRule>
  </conditionalFormatting>
  <pageMargins left="0" right="0" top="0.74791666666666667" bottom="0.74791666666666667" header="0.51180555555555551" footer="0.51180555555555551"/>
  <pageSetup scale="80" firstPageNumber="0" orientation="landscape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50"/>
  <sheetViews>
    <sheetView zoomScaleNormal="100" workbookViewId="0"/>
  </sheetViews>
  <sheetFormatPr baseColWidth="10" defaultColWidth="9.140625" defaultRowHeight="15" x14ac:dyDescent="0.25"/>
  <cols>
    <col min="1" max="1" width="15" style="143" customWidth="1"/>
    <col min="2" max="2" width="16" style="143" hidden="1" customWidth="1"/>
    <col min="3" max="3" width="63.140625" style="143" hidden="1" customWidth="1"/>
    <col min="4" max="4" width="7" style="143" customWidth="1"/>
    <col min="5" max="5" width="20" style="143" hidden="1" customWidth="1"/>
    <col min="6" max="6" width="20" style="143" customWidth="1"/>
    <col min="7" max="7" width="18" style="143" hidden="1" customWidth="1"/>
    <col min="8" max="8" width="20.42578125" style="143" customWidth="1"/>
    <col min="9" max="9" width="23.7109375" style="143" customWidth="1"/>
    <col min="10" max="10" width="21" style="143" customWidth="1"/>
    <col min="11" max="12" width="20.28515625" style="143" customWidth="1"/>
    <col min="13" max="14" width="17" style="143" customWidth="1"/>
    <col min="15" max="16" width="24" style="143" customWidth="1"/>
    <col min="17" max="17" width="21" style="143" hidden="1" customWidth="1"/>
    <col min="18" max="18" width="14.85546875" style="143" customWidth="1"/>
    <col min="19" max="16384" width="9.140625" style="143"/>
  </cols>
  <sheetData>
    <row r="1" spans="1:18" x14ac:dyDescent="0.25">
      <c r="A1" s="144" t="s">
        <v>52</v>
      </c>
      <c r="B1" s="144" t="s">
        <v>691</v>
      </c>
      <c r="C1" s="144" t="s">
        <v>54</v>
      </c>
      <c r="D1" s="144" t="s">
        <v>55</v>
      </c>
      <c r="E1" s="144" t="s">
        <v>56</v>
      </c>
      <c r="F1" s="144" t="s">
        <v>57</v>
      </c>
      <c r="G1" s="144" t="s">
        <v>58</v>
      </c>
      <c r="H1" s="144" t="s">
        <v>59</v>
      </c>
      <c r="I1" s="144" t="s">
        <v>60</v>
      </c>
      <c r="J1" s="144" t="s">
        <v>61</v>
      </c>
      <c r="K1" s="144" t="s">
        <v>12</v>
      </c>
      <c r="L1" s="144" t="s">
        <v>62</v>
      </c>
      <c r="M1" s="144" t="s">
        <v>63</v>
      </c>
      <c r="N1" s="144" t="s">
        <v>64</v>
      </c>
      <c r="O1" s="144" t="s">
        <v>65</v>
      </c>
      <c r="P1" s="144" t="s">
        <v>66</v>
      </c>
      <c r="Q1" s="144" t="s">
        <v>67</v>
      </c>
      <c r="R1" s="144"/>
    </row>
    <row r="2" spans="1:18" x14ac:dyDescent="0.25">
      <c r="A2" s="49" t="s">
        <v>68</v>
      </c>
      <c r="B2" s="49"/>
      <c r="C2" s="49"/>
      <c r="D2" s="49" t="s">
        <v>69</v>
      </c>
      <c r="E2" s="50">
        <v>153020984000</v>
      </c>
      <c r="F2" s="50">
        <v>148398411720</v>
      </c>
      <c r="G2" s="50">
        <v>148398411720</v>
      </c>
      <c r="H2" s="50">
        <v>0</v>
      </c>
      <c r="I2" s="50">
        <v>2231171633.8499999</v>
      </c>
      <c r="J2" s="50">
        <v>0</v>
      </c>
      <c r="K2" s="50">
        <v>136630086152.53</v>
      </c>
      <c r="L2" s="152">
        <f t="shared" ref="L2:L849" si="0">+K2/F2</f>
        <v>0.92069776602680475</v>
      </c>
      <c r="M2" s="50">
        <v>132483980382.73</v>
      </c>
      <c r="N2" s="152">
        <f t="shared" ref="N2:N849" si="1">+M2/F2</f>
        <v>0.89275874887867701</v>
      </c>
      <c r="O2" s="50">
        <v>9537153933.6200008</v>
      </c>
      <c r="P2" s="152">
        <f t="shared" ref="P2:P849" si="2">+O2/F2</f>
        <v>6.4267223773356974E-2</v>
      </c>
      <c r="Q2" s="50">
        <v>9537153933.6200008</v>
      </c>
      <c r="R2" s="257"/>
    </row>
    <row r="3" spans="1:18" x14ac:dyDescent="0.25">
      <c r="A3" s="49">
        <v>214786</v>
      </c>
      <c r="B3" s="49"/>
      <c r="C3" s="49"/>
      <c r="D3" s="49" t="s">
        <v>69</v>
      </c>
      <c r="E3" s="50">
        <v>2252563898</v>
      </c>
      <c r="F3" s="50">
        <v>2081037982</v>
      </c>
      <c r="G3" s="50">
        <v>2081037982</v>
      </c>
      <c r="H3" s="50">
        <v>0</v>
      </c>
      <c r="I3" s="50">
        <v>2427295.7400000002</v>
      </c>
      <c r="J3" s="50">
        <v>0</v>
      </c>
      <c r="K3" s="50">
        <v>1801767250</v>
      </c>
      <c r="L3" s="152">
        <f t="shared" si="0"/>
        <v>0.86580219370546785</v>
      </c>
      <c r="M3" s="50">
        <v>1796467439.1099999</v>
      </c>
      <c r="N3" s="152">
        <f t="shared" si="1"/>
        <v>0.8632554785874158</v>
      </c>
      <c r="O3" s="50">
        <v>276843436.25999999</v>
      </c>
      <c r="P3" s="152">
        <f t="shared" si="2"/>
        <v>0.13303141925066508</v>
      </c>
      <c r="Q3" s="50">
        <v>276843436.25999999</v>
      </c>
      <c r="R3" s="257"/>
    </row>
    <row r="4" spans="1:18" hidden="1" x14ac:dyDescent="0.25">
      <c r="A4" s="49" t="s">
        <v>696</v>
      </c>
      <c r="B4" s="49" t="s">
        <v>71</v>
      </c>
      <c r="C4" s="49" t="s">
        <v>72</v>
      </c>
      <c r="D4" s="49" t="s">
        <v>69</v>
      </c>
      <c r="E4" s="50">
        <v>1845529688</v>
      </c>
      <c r="F4" s="50">
        <v>1685713432</v>
      </c>
      <c r="G4" s="50">
        <v>1685713432</v>
      </c>
      <c r="H4" s="50">
        <v>0</v>
      </c>
      <c r="I4" s="50">
        <v>0</v>
      </c>
      <c r="J4" s="50">
        <v>0</v>
      </c>
      <c r="K4" s="50">
        <v>1437662083.1300001</v>
      </c>
      <c r="L4" s="152">
        <f t="shared" si="0"/>
        <v>0.85285082021580527</v>
      </c>
      <c r="M4" s="50">
        <v>1437662083.1300001</v>
      </c>
      <c r="N4" s="152">
        <f t="shared" si="1"/>
        <v>0.85285082021580527</v>
      </c>
      <c r="O4" s="50">
        <v>248051348.87</v>
      </c>
      <c r="P4" s="152">
        <f t="shared" si="2"/>
        <v>0.14714917978419478</v>
      </c>
      <c r="Q4" s="50">
        <v>248051348.87</v>
      </c>
      <c r="R4" s="257"/>
    </row>
    <row r="5" spans="1:18" hidden="1" x14ac:dyDescent="0.25">
      <c r="A5" s="49" t="s">
        <v>696</v>
      </c>
      <c r="B5" s="49" t="s">
        <v>73</v>
      </c>
      <c r="C5" s="49" t="s">
        <v>74</v>
      </c>
      <c r="D5" s="49" t="s">
        <v>69</v>
      </c>
      <c r="E5" s="50">
        <v>712211400</v>
      </c>
      <c r="F5" s="50">
        <v>676833600</v>
      </c>
      <c r="G5" s="50">
        <v>676833600</v>
      </c>
      <c r="H5" s="50">
        <v>0</v>
      </c>
      <c r="I5" s="50">
        <v>0</v>
      </c>
      <c r="J5" s="50">
        <v>0</v>
      </c>
      <c r="K5" s="50">
        <v>601608326.17999995</v>
      </c>
      <c r="L5" s="152">
        <f t="shared" si="0"/>
        <v>0.88885706350866733</v>
      </c>
      <c r="M5" s="50">
        <v>601608326.17999995</v>
      </c>
      <c r="N5" s="152">
        <f t="shared" si="1"/>
        <v>0.88885706350866733</v>
      </c>
      <c r="O5" s="50">
        <v>75225273.819999993</v>
      </c>
      <c r="P5" s="152">
        <f t="shared" si="2"/>
        <v>0.11114293649133257</v>
      </c>
      <c r="Q5" s="50">
        <v>75225273.819999993</v>
      </c>
      <c r="R5" s="257"/>
    </row>
    <row r="6" spans="1:18" hidden="1" x14ac:dyDescent="0.25">
      <c r="A6" s="49" t="s">
        <v>696</v>
      </c>
      <c r="B6" s="49" t="s">
        <v>75</v>
      </c>
      <c r="C6" s="49" t="s">
        <v>76</v>
      </c>
      <c r="D6" s="49" t="s">
        <v>69</v>
      </c>
      <c r="E6" s="50">
        <v>712211400</v>
      </c>
      <c r="F6" s="50">
        <v>676833600</v>
      </c>
      <c r="G6" s="50">
        <v>676833600</v>
      </c>
      <c r="H6" s="50">
        <v>0</v>
      </c>
      <c r="I6" s="50">
        <v>0</v>
      </c>
      <c r="J6" s="50">
        <v>0</v>
      </c>
      <c r="K6" s="50">
        <v>601608326.17999995</v>
      </c>
      <c r="L6" s="152">
        <f t="shared" si="0"/>
        <v>0.88885706350866733</v>
      </c>
      <c r="M6" s="50">
        <v>601608326.17999995</v>
      </c>
      <c r="N6" s="152">
        <f t="shared" si="1"/>
        <v>0.88885706350866733</v>
      </c>
      <c r="O6" s="50">
        <v>75225273.819999993</v>
      </c>
      <c r="P6" s="152">
        <f t="shared" si="2"/>
        <v>0.11114293649133257</v>
      </c>
      <c r="Q6" s="50">
        <v>75225273.819999993</v>
      </c>
      <c r="R6" s="257"/>
    </row>
    <row r="7" spans="1:18" hidden="1" x14ac:dyDescent="0.25">
      <c r="A7" s="49" t="s">
        <v>696</v>
      </c>
      <c r="B7" s="49" t="s">
        <v>77</v>
      </c>
      <c r="C7" s="49" t="s">
        <v>78</v>
      </c>
      <c r="D7" s="49" t="s">
        <v>69</v>
      </c>
      <c r="E7" s="50">
        <v>851789535</v>
      </c>
      <c r="F7" s="50">
        <v>741062753</v>
      </c>
      <c r="G7" s="50">
        <v>741062753</v>
      </c>
      <c r="H7" s="50">
        <v>0</v>
      </c>
      <c r="I7" s="50">
        <v>0</v>
      </c>
      <c r="J7" s="50">
        <v>0</v>
      </c>
      <c r="K7" s="50">
        <v>621649184.95000005</v>
      </c>
      <c r="L7" s="152">
        <f t="shared" si="0"/>
        <v>0.8388617326041754</v>
      </c>
      <c r="M7" s="50">
        <v>621649184.95000005</v>
      </c>
      <c r="N7" s="152">
        <f t="shared" si="1"/>
        <v>0.8388617326041754</v>
      </c>
      <c r="O7" s="50">
        <v>119413568.05</v>
      </c>
      <c r="P7" s="152">
        <f t="shared" si="2"/>
        <v>0.16113826739582471</v>
      </c>
      <c r="Q7" s="50">
        <v>119413568.05</v>
      </c>
      <c r="R7" s="257"/>
    </row>
    <row r="8" spans="1:18" hidden="1" x14ac:dyDescent="0.25">
      <c r="A8" s="49" t="s">
        <v>696</v>
      </c>
      <c r="B8" s="49" t="s">
        <v>79</v>
      </c>
      <c r="C8" s="49" t="s">
        <v>80</v>
      </c>
      <c r="D8" s="49" t="s">
        <v>69</v>
      </c>
      <c r="E8" s="50">
        <v>171630900</v>
      </c>
      <c r="F8" s="50">
        <v>166370155</v>
      </c>
      <c r="G8" s="50">
        <v>166370155</v>
      </c>
      <c r="H8" s="50">
        <v>0</v>
      </c>
      <c r="I8" s="50">
        <v>0</v>
      </c>
      <c r="J8" s="50">
        <v>0</v>
      </c>
      <c r="K8" s="50">
        <v>146366643.22999999</v>
      </c>
      <c r="L8" s="152">
        <f t="shared" si="0"/>
        <v>0.87976502293936065</v>
      </c>
      <c r="M8" s="50">
        <v>146366643.22999999</v>
      </c>
      <c r="N8" s="152">
        <f t="shared" si="1"/>
        <v>0.87976502293936065</v>
      </c>
      <c r="O8" s="50">
        <v>20003511.77</v>
      </c>
      <c r="P8" s="152">
        <f t="shared" si="2"/>
        <v>0.12023497706063926</v>
      </c>
      <c r="Q8" s="50">
        <v>20003511.77</v>
      </c>
      <c r="R8" s="257"/>
    </row>
    <row r="9" spans="1:18" hidden="1" x14ac:dyDescent="0.25">
      <c r="A9" s="49" t="s">
        <v>696</v>
      </c>
      <c r="B9" s="49" t="s">
        <v>81</v>
      </c>
      <c r="C9" s="49" t="s">
        <v>82</v>
      </c>
      <c r="D9" s="49" t="s">
        <v>69</v>
      </c>
      <c r="E9" s="50">
        <v>362005040</v>
      </c>
      <c r="F9" s="50">
        <v>338637370</v>
      </c>
      <c r="G9" s="50">
        <v>338637370</v>
      </c>
      <c r="H9" s="50">
        <v>0</v>
      </c>
      <c r="I9" s="50">
        <v>0</v>
      </c>
      <c r="J9" s="50">
        <v>0</v>
      </c>
      <c r="K9" s="50">
        <v>281226237.57999998</v>
      </c>
      <c r="L9" s="152">
        <f t="shared" si="0"/>
        <v>0.83046427386321831</v>
      </c>
      <c r="M9" s="50">
        <v>281226237.57999998</v>
      </c>
      <c r="N9" s="152">
        <f t="shared" si="1"/>
        <v>0.83046427386321831</v>
      </c>
      <c r="O9" s="50">
        <v>57411132.420000002</v>
      </c>
      <c r="P9" s="152">
        <f t="shared" si="2"/>
        <v>0.16953572613678167</v>
      </c>
      <c r="Q9" s="50">
        <v>57411132.420000002</v>
      </c>
      <c r="R9" s="257"/>
    </row>
    <row r="10" spans="1:18" hidden="1" x14ac:dyDescent="0.25">
      <c r="A10" s="49" t="s">
        <v>696</v>
      </c>
      <c r="B10" s="49" t="s">
        <v>86</v>
      </c>
      <c r="C10" s="49" t="s">
        <v>87</v>
      </c>
      <c r="D10" s="49" t="s">
        <v>69</v>
      </c>
      <c r="E10" s="50">
        <v>110671900</v>
      </c>
      <c r="F10" s="50">
        <v>36177498</v>
      </c>
      <c r="G10" s="50">
        <v>36177498</v>
      </c>
      <c r="H10" s="50">
        <v>0</v>
      </c>
      <c r="I10" s="50">
        <v>0</v>
      </c>
      <c r="J10" s="50">
        <v>0</v>
      </c>
      <c r="K10" s="50">
        <v>27110411.350000001</v>
      </c>
      <c r="L10" s="152">
        <f t="shared" si="0"/>
        <v>0.74937220230099943</v>
      </c>
      <c r="M10" s="50">
        <v>27110411.350000001</v>
      </c>
      <c r="N10" s="152">
        <f t="shared" si="1"/>
        <v>0.74937220230099943</v>
      </c>
      <c r="O10" s="50">
        <v>9067086.6500000004</v>
      </c>
      <c r="P10" s="152">
        <f t="shared" si="2"/>
        <v>0.25062779769900062</v>
      </c>
      <c r="Q10" s="50">
        <v>9067086.6500000004</v>
      </c>
      <c r="R10" s="257"/>
    </row>
    <row r="11" spans="1:18" hidden="1" x14ac:dyDescent="0.25">
      <c r="A11" s="49" t="s">
        <v>696</v>
      </c>
      <c r="B11" s="49" t="s">
        <v>88</v>
      </c>
      <c r="C11" s="49" t="s">
        <v>89</v>
      </c>
      <c r="D11" s="49" t="s">
        <v>69</v>
      </c>
      <c r="E11" s="50">
        <v>87218400</v>
      </c>
      <c r="F11" s="50">
        <v>85471779</v>
      </c>
      <c r="G11" s="50">
        <v>85471779</v>
      </c>
      <c r="H11" s="50">
        <v>0</v>
      </c>
      <c r="I11" s="50">
        <v>0</v>
      </c>
      <c r="J11" s="50">
        <v>0</v>
      </c>
      <c r="K11" s="50">
        <v>68787564.25</v>
      </c>
      <c r="L11" s="152">
        <f t="shared" si="0"/>
        <v>0.80479855520498755</v>
      </c>
      <c r="M11" s="50">
        <v>68787564.25</v>
      </c>
      <c r="N11" s="152">
        <f t="shared" si="1"/>
        <v>0.80479855520498755</v>
      </c>
      <c r="O11" s="50">
        <v>16684214.75</v>
      </c>
      <c r="P11" s="152">
        <f t="shared" si="2"/>
        <v>0.19520144479501239</v>
      </c>
      <c r="Q11" s="50">
        <v>16684214.75</v>
      </c>
      <c r="R11" s="257"/>
    </row>
    <row r="12" spans="1:18" hidden="1" x14ac:dyDescent="0.25">
      <c r="A12" s="49" t="s">
        <v>696</v>
      </c>
      <c r="B12" s="49" t="s">
        <v>83</v>
      </c>
      <c r="C12" s="49" t="s">
        <v>84</v>
      </c>
      <c r="D12" s="49" t="s">
        <v>85</v>
      </c>
      <c r="E12" s="50">
        <v>120263295</v>
      </c>
      <c r="F12" s="50">
        <v>114405951</v>
      </c>
      <c r="G12" s="50">
        <v>114405951</v>
      </c>
      <c r="H12" s="50">
        <v>0</v>
      </c>
      <c r="I12" s="50">
        <v>0</v>
      </c>
      <c r="J12" s="50">
        <v>0</v>
      </c>
      <c r="K12" s="50">
        <v>98158328.540000007</v>
      </c>
      <c r="L12" s="152">
        <f t="shared" si="0"/>
        <v>0.85798271577673446</v>
      </c>
      <c r="M12" s="50">
        <v>98158328.540000007</v>
      </c>
      <c r="N12" s="152">
        <f t="shared" si="1"/>
        <v>0.85798271577673446</v>
      </c>
      <c r="O12" s="50">
        <v>16247622.460000001</v>
      </c>
      <c r="P12" s="152">
        <f t="shared" si="2"/>
        <v>0.14201728422326562</v>
      </c>
      <c r="Q12" s="50">
        <v>16247622.460000001</v>
      </c>
      <c r="R12" s="257"/>
    </row>
    <row r="13" spans="1:18" hidden="1" x14ac:dyDescent="0.25">
      <c r="A13" s="49" t="s">
        <v>696</v>
      </c>
      <c r="B13" s="49" t="s">
        <v>90</v>
      </c>
      <c r="C13" s="49" t="s">
        <v>91</v>
      </c>
      <c r="D13" s="49" t="s">
        <v>69</v>
      </c>
      <c r="E13" s="50">
        <v>140764376</v>
      </c>
      <c r="F13" s="50">
        <v>133908533</v>
      </c>
      <c r="G13" s="50">
        <v>133908533</v>
      </c>
      <c r="H13" s="50">
        <v>0</v>
      </c>
      <c r="I13" s="50">
        <v>0</v>
      </c>
      <c r="J13" s="50">
        <v>0</v>
      </c>
      <c r="K13" s="50">
        <v>107282943</v>
      </c>
      <c r="L13" s="152">
        <f t="shared" si="0"/>
        <v>0.8011658450473802</v>
      </c>
      <c r="M13" s="50">
        <v>107282943</v>
      </c>
      <c r="N13" s="152">
        <f t="shared" si="1"/>
        <v>0.8011658450473802</v>
      </c>
      <c r="O13" s="50">
        <v>26625590</v>
      </c>
      <c r="P13" s="152">
        <f t="shared" si="2"/>
        <v>0.19883415495261977</v>
      </c>
      <c r="Q13" s="50">
        <v>26625590</v>
      </c>
      <c r="R13" s="257"/>
    </row>
    <row r="14" spans="1:18" hidden="1" x14ac:dyDescent="0.25">
      <c r="A14" s="49" t="s">
        <v>696</v>
      </c>
      <c r="B14" s="49" t="s">
        <v>416</v>
      </c>
      <c r="C14" s="49" t="s">
        <v>697</v>
      </c>
      <c r="D14" s="49" t="s">
        <v>69</v>
      </c>
      <c r="E14" s="50">
        <v>133545724</v>
      </c>
      <c r="F14" s="50">
        <v>127041476</v>
      </c>
      <c r="G14" s="50">
        <v>127041476</v>
      </c>
      <c r="H14" s="50">
        <v>0</v>
      </c>
      <c r="I14" s="50">
        <v>0</v>
      </c>
      <c r="J14" s="50">
        <v>0</v>
      </c>
      <c r="K14" s="50">
        <v>101781285</v>
      </c>
      <c r="L14" s="152">
        <f t="shared" si="0"/>
        <v>0.80116579407499955</v>
      </c>
      <c r="M14" s="50">
        <v>101781285</v>
      </c>
      <c r="N14" s="152">
        <f t="shared" si="1"/>
        <v>0.80116579407499955</v>
      </c>
      <c r="O14" s="50">
        <v>25260191</v>
      </c>
      <c r="P14" s="152">
        <f t="shared" si="2"/>
        <v>0.19883420592500042</v>
      </c>
      <c r="Q14" s="50">
        <v>25260191</v>
      </c>
      <c r="R14" s="257"/>
    </row>
    <row r="15" spans="1:18" hidden="1" x14ac:dyDescent="0.25">
      <c r="A15" s="49" t="s">
        <v>696</v>
      </c>
      <c r="B15" s="49" t="s">
        <v>433</v>
      </c>
      <c r="C15" s="49" t="s">
        <v>95</v>
      </c>
      <c r="D15" s="49" t="s">
        <v>69</v>
      </c>
      <c r="E15" s="50">
        <v>7218652</v>
      </c>
      <c r="F15" s="50">
        <v>6867057</v>
      </c>
      <c r="G15" s="50">
        <v>6867057</v>
      </c>
      <c r="H15" s="50">
        <v>0</v>
      </c>
      <c r="I15" s="50">
        <v>0</v>
      </c>
      <c r="J15" s="50">
        <v>0</v>
      </c>
      <c r="K15" s="50">
        <v>5501658</v>
      </c>
      <c r="L15" s="152">
        <f t="shared" si="0"/>
        <v>0.80116678804326225</v>
      </c>
      <c r="M15" s="50">
        <v>5501658</v>
      </c>
      <c r="N15" s="152">
        <f t="shared" si="1"/>
        <v>0.80116678804326225</v>
      </c>
      <c r="O15" s="50">
        <v>1365399</v>
      </c>
      <c r="P15" s="152">
        <f t="shared" si="2"/>
        <v>0.19883321195673781</v>
      </c>
      <c r="Q15" s="50">
        <v>1365399</v>
      </c>
      <c r="R15" s="257"/>
    </row>
    <row r="16" spans="1:18" hidden="1" x14ac:dyDescent="0.25">
      <c r="A16" s="49" t="s">
        <v>696</v>
      </c>
      <c r="B16" s="49" t="s">
        <v>96</v>
      </c>
      <c r="C16" s="49" t="s">
        <v>97</v>
      </c>
      <c r="D16" s="49" t="s">
        <v>69</v>
      </c>
      <c r="E16" s="50">
        <v>140764377</v>
      </c>
      <c r="F16" s="50">
        <v>133908546</v>
      </c>
      <c r="G16" s="50">
        <v>133908546</v>
      </c>
      <c r="H16" s="50">
        <v>0</v>
      </c>
      <c r="I16" s="50">
        <v>0</v>
      </c>
      <c r="J16" s="50">
        <v>0</v>
      </c>
      <c r="K16" s="50">
        <v>107121629</v>
      </c>
      <c r="L16" s="152">
        <f t="shared" si="0"/>
        <v>0.79996110927826813</v>
      </c>
      <c r="M16" s="50">
        <v>107121629</v>
      </c>
      <c r="N16" s="152">
        <f t="shared" si="1"/>
        <v>0.79996110927826813</v>
      </c>
      <c r="O16" s="50">
        <v>26786917</v>
      </c>
      <c r="P16" s="152">
        <f t="shared" si="2"/>
        <v>0.20003889072173184</v>
      </c>
      <c r="Q16" s="50">
        <v>26786917</v>
      </c>
      <c r="R16" s="257"/>
    </row>
    <row r="17" spans="1:18" hidden="1" x14ac:dyDescent="0.25">
      <c r="A17" s="49" t="s">
        <v>696</v>
      </c>
      <c r="B17" s="49" t="s">
        <v>451</v>
      </c>
      <c r="C17" s="49" t="s">
        <v>698</v>
      </c>
      <c r="D17" s="49" t="s">
        <v>69</v>
      </c>
      <c r="E17" s="50">
        <v>75796203</v>
      </c>
      <c r="F17" s="50">
        <v>72104601</v>
      </c>
      <c r="G17" s="50">
        <v>72104601</v>
      </c>
      <c r="H17" s="50">
        <v>0</v>
      </c>
      <c r="I17" s="50">
        <v>0</v>
      </c>
      <c r="J17" s="50">
        <v>0</v>
      </c>
      <c r="K17" s="50">
        <v>57606396</v>
      </c>
      <c r="L17" s="152">
        <f t="shared" si="0"/>
        <v>0.79892815716433963</v>
      </c>
      <c r="M17" s="50">
        <v>57606396</v>
      </c>
      <c r="N17" s="152">
        <f t="shared" si="1"/>
        <v>0.79892815716433963</v>
      </c>
      <c r="O17" s="50">
        <v>14498205</v>
      </c>
      <c r="P17" s="152">
        <f t="shared" si="2"/>
        <v>0.20107184283566037</v>
      </c>
      <c r="Q17" s="50">
        <v>14498205</v>
      </c>
      <c r="R17" s="257"/>
    </row>
    <row r="18" spans="1:18" hidden="1" x14ac:dyDescent="0.25">
      <c r="A18" s="49" t="s">
        <v>696</v>
      </c>
      <c r="B18" s="49" t="s">
        <v>468</v>
      </c>
      <c r="C18" s="49" t="s">
        <v>699</v>
      </c>
      <c r="D18" s="49" t="s">
        <v>69</v>
      </c>
      <c r="E18" s="50">
        <v>21656058</v>
      </c>
      <c r="F18" s="50">
        <v>24201312</v>
      </c>
      <c r="G18" s="50">
        <v>24201312</v>
      </c>
      <c r="H18" s="50">
        <v>0</v>
      </c>
      <c r="I18" s="50">
        <v>0</v>
      </c>
      <c r="J18" s="50">
        <v>0</v>
      </c>
      <c r="K18" s="50">
        <v>19235760</v>
      </c>
      <c r="L18" s="152">
        <f t="shared" si="0"/>
        <v>0.79482302447073949</v>
      </c>
      <c r="M18" s="50">
        <v>19235760</v>
      </c>
      <c r="N18" s="152">
        <f t="shared" si="1"/>
        <v>0.79482302447073949</v>
      </c>
      <c r="O18" s="50">
        <v>4965552</v>
      </c>
      <c r="P18" s="152">
        <f t="shared" si="2"/>
        <v>0.20517697552926056</v>
      </c>
      <c r="Q18" s="50">
        <v>4965552</v>
      </c>
      <c r="R18" s="257"/>
    </row>
    <row r="19" spans="1:18" hidden="1" x14ac:dyDescent="0.25">
      <c r="A19" s="49" t="s">
        <v>696</v>
      </c>
      <c r="B19" s="49" t="s">
        <v>485</v>
      </c>
      <c r="C19" s="49" t="s">
        <v>700</v>
      </c>
      <c r="D19" s="49" t="s">
        <v>69</v>
      </c>
      <c r="E19" s="50">
        <v>43312116</v>
      </c>
      <c r="F19" s="50">
        <v>37602633</v>
      </c>
      <c r="G19" s="50">
        <v>37602633</v>
      </c>
      <c r="H19" s="50">
        <v>0</v>
      </c>
      <c r="I19" s="50">
        <v>0</v>
      </c>
      <c r="J19" s="50">
        <v>0</v>
      </c>
      <c r="K19" s="50">
        <v>30279473</v>
      </c>
      <c r="L19" s="152">
        <f t="shared" si="0"/>
        <v>0.8052487441504429</v>
      </c>
      <c r="M19" s="50">
        <v>30279473</v>
      </c>
      <c r="N19" s="152">
        <f t="shared" si="1"/>
        <v>0.8052487441504429</v>
      </c>
      <c r="O19" s="50">
        <v>7323160</v>
      </c>
      <c r="P19" s="152">
        <f t="shared" si="2"/>
        <v>0.19475125584955713</v>
      </c>
      <c r="Q19" s="50">
        <v>7323160</v>
      </c>
      <c r="R19" s="257"/>
    </row>
    <row r="20" spans="1:18" hidden="1" x14ac:dyDescent="0.25">
      <c r="A20" s="49" t="s">
        <v>696</v>
      </c>
      <c r="B20" s="49" t="s">
        <v>104</v>
      </c>
      <c r="C20" s="49" t="s">
        <v>105</v>
      </c>
      <c r="D20" s="49" t="s">
        <v>69</v>
      </c>
      <c r="E20" s="50">
        <v>83371900</v>
      </c>
      <c r="F20" s="50">
        <v>66099608</v>
      </c>
      <c r="G20" s="50">
        <v>66099608</v>
      </c>
      <c r="H20" s="50">
        <v>0</v>
      </c>
      <c r="I20" s="50">
        <v>2250261.73</v>
      </c>
      <c r="J20" s="50">
        <v>0</v>
      </c>
      <c r="K20" s="50">
        <v>50470332.799999997</v>
      </c>
      <c r="L20" s="152">
        <f t="shared" si="0"/>
        <v>0.76354965372865746</v>
      </c>
      <c r="M20" s="50">
        <v>45170521.909999996</v>
      </c>
      <c r="N20" s="152">
        <f t="shared" si="1"/>
        <v>0.68337049608524147</v>
      </c>
      <c r="O20" s="50">
        <v>13379013.470000001</v>
      </c>
      <c r="P20" s="152">
        <f t="shared" si="2"/>
        <v>0.20240685043094356</v>
      </c>
      <c r="Q20" s="50">
        <v>13379013.470000001</v>
      </c>
      <c r="R20" s="257"/>
    </row>
    <row r="21" spans="1:18" hidden="1" x14ac:dyDescent="0.25">
      <c r="A21" s="49" t="s">
        <v>696</v>
      </c>
      <c r="B21" s="49" t="s">
        <v>106</v>
      </c>
      <c r="C21" s="49" t="s">
        <v>107</v>
      </c>
      <c r="D21" s="49" t="s">
        <v>69</v>
      </c>
      <c r="E21" s="50">
        <v>55749325</v>
      </c>
      <c r="F21" s="50">
        <v>54664325</v>
      </c>
      <c r="G21" s="50">
        <v>54664325</v>
      </c>
      <c r="H21" s="50">
        <v>0</v>
      </c>
      <c r="I21" s="50">
        <v>1453333.89</v>
      </c>
      <c r="J21" s="50">
        <v>0</v>
      </c>
      <c r="K21" s="50">
        <v>43087279.969999999</v>
      </c>
      <c r="L21" s="152">
        <f t="shared" si="0"/>
        <v>0.78821571417922021</v>
      </c>
      <c r="M21" s="50">
        <v>38152326.869999997</v>
      </c>
      <c r="N21" s="152">
        <f t="shared" si="1"/>
        <v>0.69793831479671609</v>
      </c>
      <c r="O21" s="50">
        <v>10123711.140000001</v>
      </c>
      <c r="P21" s="152">
        <f t="shared" si="2"/>
        <v>0.18519777094110282</v>
      </c>
      <c r="Q21" s="50">
        <v>10123711.140000001</v>
      </c>
      <c r="R21" s="257"/>
    </row>
    <row r="22" spans="1:18" hidden="1" x14ac:dyDescent="0.25">
      <c r="A22" s="49" t="s">
        <v>696</v>
      </c>
      <c r="B22" s="49" t="s">
        <v>108</v>
      </c>
      <c r="C22" s="49" t="s">
        <v>109</v>
      </c>
      <c r="D22" s="49" t="s">
        <v>69</v>
      </c>
      <c r="E22" s="50">
        <v>55664325</v>
      </c>
      <c r="F22" s="50">
        <v>54664325</v>
      </c>
      <c r="G22" s="50">
        <v>54664325</v>
      </c>
      <c r="H22" s="50">
        <v>0</v>
      </c>
      <c r="I22" s="50">
        <v>1453333.89</v>
      </c>
      <c r="J22" s="50">
        <v>0</v>
      </c>
      <c r="K22" s="50">
        <v>43087279.969999999</v>
      </c>
      <c r="L22" s="152">
        <f t="shared" si="0"/>
        <v>0.78821571417922021</v>
      </c>
      <c r="M22" s="50">
        <v>38152326.869999997</v>
      </c>
      <c r="N22" s="152">
        <f t="shared" si="1"/>
        <v>0.69793831479671609</v>
      </c>
      <c r="O22" s="50">
        <v>10123711.140000001</v>
      </c>
      <c r="P22" s="152">
        <f t="shared" si="2"/>
        <v>0.18519777094110282</v>
      </c>
      <c r="Q22" s="50">
        <v>10123711.140000001</v>
      </c>
      <c r="R22" s="257"/>
    </row>
    <row r="23" spans="1:18" hidden="1" x14ac:dyDescent="0.25">
      <c r="A23" s="49" t="s">
        <v>696</v>
      </c>
      <c r="B23" s="49" t="s">
        <v>110</v>
      </c>
      <c r="C23" s="49" t="s">
        <v>111</v>
      </c>
      <c r="D23" s="49" t="s">
        <v>69</v>
      </c>
      <c r="E23" s="50">
        <v>85000</v>
      </c>
      <c r="F23" s="50">
        <v>0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152" t="e">
        <f t="shared" si="0"/>
        <v>#DIV/0!</v>
      </c>
      <c r="M23" s="50">
        <v>0</v>
      </c>
      <c r="N23" s="152" t="e">
        <f t="shared" si="1"/>
        <v>#DIV/0!</v>
      </c>
      <c r="O23" s="50">
        <v>0</v>
      </c>
      <c r="P23" s="152" t="e">
        <f t="shared" si="2"/>
        <v>#DIV/0!</v>
      </c>
      <c r="Q23" s="50">
        <v>0</v>
      </c>
      <c r="R23" s="257"/>
    </row>
    <row r="24" spans="1:18" hidden="1" x14ac:dyDescent="0.25">
      <c r="A24" s="49" t="s">
        <v>696</v>
      </c>
      <c r="B24" s="49" t="s">
        <v>124</v>
      </c>
      <c r="C24" s="49" t="s">
        <v>125</v>
      </c>
      <c r="D24" s="49" t="s">
        <v>69</v>
      </c>
      <c r="E24" s="50">
        <v>1900000</v>
      </c>
      <c r="F24" s="50">
        <v>680000</v>
      </c>
      <c r="G24" s="50">
        <v>680000</v>
      </c>
      <c r="H24" s="50">
        <v>0</v>
      </c>
      <c r="I24" s="50">
        <v>296927.84000000003</v>
      </c>
      <c r="J24" s="50">
        <v>0</v>
      </c>
      <c r="K24" s="50">
        <v>196882.16</v>
      </c>
      <c r="L24" s="152">
        <f t="shared" si="0"/>
        <v>0.2895325882352941</v>
      </c>
      <c r="M24" s="50">
        <v>196534.12</v>
      </c>
      <c r="N24" s="152">
        <f t="shared" si="1"/>
        <v>0.28902076470588234</v>
      </c>
      <c r="O24" s="50">
        <v>186190</v>
      </c>
      <c r="P24" s="152">
        <f t="shared" si="2"/>
        <v>0.27380882352941177</v>
      </c>
      <c r="Q24" s="50">
        <v>186190</v>
      </c>
      <c r="R24" s="257"/>
    </row>
    <row r="25" spans="1:18" hidden="1" x14ac:dyDescent="0.25">
      <c r="A25" s="49" t="s">
        <v>696</v>
      </c>
      <c r="B25" s="49" t="s">
        <v>128</v>
      </c>
      <c r="C25" s="49" t="s">
        <v>129</v>
      </c>
      <c r="D25" s="49" t="s">
        <v>69</v>
      </c>
      <c r="E25" s="50">
        <v>1250000</v>
      </c>
      <c r="F25" s="50">
        <v>380000</v>
      </c>
      <c r="G25" s="50">
        <v>380000</v>
      </c>
      <c r="H25" s="50">
        <v>0</v>
      </c>
      <c r="I25" s="50">
        <v>0</v>
      </c>
      <c r="J25" s="50">
        <v>0</v>
      </c>
      <c r="K25" s="50">
        <v>195490</v>
      </c>
      <c r="L25" s="152">
        <f t="shared" si="0"/>
        <v>0.51444736842105265</v>
      </c>
      <c r="M25" s="50">
        <v>195490</v>
      </c>
      <c r="N25" s="152">
        <f t="shared" si="1"/>
        <v>0.51444736842105265</v>
      </c>
      <c r="O25" s="50">
        <v>184510</v>
      </c>
      <c r="P25" s="152">
        <f t="shared" si="2"/>
        <v>0.48555263157894735</v>
      </c>
      <c r="Q25" s="50">
        <v>184510</v>
      </c>
      <c r="R25" s="257"/>
    </row>
    <row r="26" spans="1:18" hidden="1" x14ac:dyDescent="0.25">
      <c r="A26" s="49" t="s">
        <v>696</v>
      </c>
      <c r="B26" s="49" t="s">
        <v>130</v>
      </c>
      <c r="C26" s="49" t="s">
        <v>131</v>
      </c>
      <c r="D26" s="49" t="s">
        <v>69</v>
      </c>
      <c r="E26" s="50">
        <v>50000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0</v>
      </c>
      <c r="L26" s="152" t="e">
        <f t="shared" si="0"/>
        <v>#DIV/0!</v>
      </c>
      <c r="M26" s="50">
        <v>0</v>
      </c>
      <c r="N26" s="152" t="e">
        <f t="shared" si="1"/>
        <v>#DIV/0!</v>
      </c>
      <c r="O26" s="50">
        <v>0</v>
      </c>
      <c r="P26" s="152" t="e">
        <f t="shared" si="2"/>
        <v>#DIV/0!</v>
      </c>
      <c r="Q26" s="50">
        <v>0</v>
      </c>
      <c r="R26" s="257"/>
    </row>
    <row r="27" spans="1:18" hidden="1" x14ac:dyDescent="0.25">
      <c r="A27" s="49" t="s">
        <v>696</v>
      </c>
      <c r="B27" s="49" t="s">
        <v>132</v>
      </c>
      <c r="C27" s="49" t="s">
        <v>133</v>
      </c>
      <c r="D27" s="49" t="s">
        <v>69</v>
      </c>
      <c r="E27" s="50">
        <v>600000</v>
      </c>
      <c r="F27" s="50">
        <v>300000</v>
      </c>
      <c r="G27" s="50">
        <v>300000</v>
      </c>
      <c r="H27" s="50">
        <v>0</v>
      </c>
      <c r="I27" s="50">
        <v>296927.84000000003</v>
      </c>
      <c r="J27" s="50">
        <v>0</v>
      </c>
      <c r="K27" s="50">
        <v>1392.16</v>
      </c>
      <c r="L27" s="152">
        <f t="shared" si="0"/>
        <v>4.6405333333333337E-3</v>
      </c>
      <c r="M27" s="50">
        <v>1044.1199999999999</v>
      </c>
      <c r="N27" s="152">
        <f t="shared" si="1"/>
        <v>3.4803999999999998E-3</v>
      </c>
      <c r="O27" s="50">
        <v>1680</v>
      </c>
      <c r="P27" s="152">
        <f t="shared" si="2"/>
        <v>5.5999999999999999E-3</v>
      </c>
      <c r="Q27" s="50">
        <v>1680</v>
      </c>
      <c r="R27" s="257"/>
    </row>
    <row r="28" spans="1:18" hidden="1" x14ac:dyDescent="0.25">
      <c r="A28" s="49" t="s">
        <v>696</v>
      </c>
      <c r="B28" s="49" t="s">
        <v>140</v>
      </c>
      <c r="C28" s="49" t="s">
        <v>141</v>
      </c>
      <c r="D28" s="49" t="s">
        <v>69</v>
      </c>
      <c r="E28" s="50">
        <v>25000000</v>
      </c>
      <c r="F28" s="50">
        <v>10387708</v>
      </c>
      <c r="G28" s="50">
        <v>10387708</v>
      </c>
      <c r="H28" s="50">
        <v>0</v>
      </c>
      <c r="I28" s="50">
        <v>500000</v>
      </c>
      <c r="J28" s="50">
        <v>0</v>
      </c>
      <c r="K28" s="50">
        <v>6821660.9199999999</v>
      </c>
      <c r="L28" s="152">
        <f t="shared" si="0"/>
        <v>0.65670510953908212</v>
      </c>
      <c r="M28" s="50">
        <v>6821660.9199999999</v>
      </c>
      <c r="N28" s="152">
        <f t="shared" si="1"/>
        <v>0.65670510953908212</v>
      </c>
      <c r="O28" s="50">
        <v>3066047.08</v>
      </c>
      <c r="P28" s="152">
        <f t="shared" si="2"/>
        <v>0.29516107691898924</v>
      </c>
      <c r="Q28" s="50">
        <v>3066047.08</v>
      </c>
      <c r="R28" s="257"/>
    </row>
    <row r="29" spans="1:18" hidden="1" x14ac:dyDescent="0.25">
      <c r="A29" s="49" t="s">
        <v>696</v>
      </c>
      <c r="B29" s="49" t="s">
        <v>142</v>
      </c>
      <c r="C29" s="49" t="s">
        <v>143</v>
      </c>
      <c r="D29" s="49" t="s">
        <v>69</v>
      </c>
      <c r="E29" s="50">
        <v>100000</v>
      </c>
      <c r="F29" s="50">
        <v>65000</v>
      </c>
      <c r="G29" s="50">
        <v>65000</v>
      </c>
      <c r="H29" s="50">
        <v>0</v>
      </c>
      <c r="I29" s="50">
        <v>0</v>
      </c>
      <c r="J29" s="50">
        <v>0</v>
      </c>
      <c r="K29" s="50">
        <v>35660</v>
      </c>
      <c r="L29" s="152">
        <f t="shared" si="0"/>
        <v>0.54861538461538462</v>
      </c>
      <c r="M29" s="50">
        <v>35660</v>
      </c>
      <c r="N29" s="152">
        <f t="shared" si="1"/>
        <v>0.54861538461538462</v>
      </c>
      <c r="O29" s="50">
        <v>29340</v>
      </c>
      <c r="P29" s="152">
        <f t="shared" si="2"/>
        <v>0.45138461538461538</v>
      </c>
      <c r="Q29" s="50">
        <v>29340</v>
      </c>
      <c r="R29" s="257"/>
    </row>
    <row r="30" spans="1:18" hidden="1" x14ac:dyDescent="0.25">
      <c r="A30" s="49" t="s">
        <v>696</v>
      </c>
      <c r="B30" s="49" t="s">
        <v>144</v>
      </c>
      <c r="C30" s="49" t="s">
        <v>145</v>
      </c>
      <c r="D30" s="49" t="s">
        <v>69</v>
      </c>
      <c r="E30" s="50">
        <v>8085000</v>
      </c>
      <c r="F30" s="50">
        <v>4853850</v>
      </c>
      <c r="G30" s="50">
        <v>4853850</v>
      </c>
      <c r="H30" s="50">
        <v>0</v>
      </c>
      <c r="I30" s="50">
        <v>500000</v>
      </c>
      <c r="J30" s="50">
        <v>0</v>
      </c>
      <c r="K30" s="50">
        <v>1323800</v>
      </c>
      <c r="L30" s="152">
        <f t="shared" si="0"/>
        <v>0.2727319550459944</v>
      </c>
      <c r="M30" s="50">
        <v>1323800</v>
      </c>
      <c r="N30" s="152">
        <f t="shared" si="1"/>
        <v>0.2727319550459944</v>
      </c>
      <c r="O30" s="50">
        <v>3030050</v>
      </c>
      <c r="P30" s="152">
        <f t="shared" si="2"/>
        <v>0.62425703307683589</v>
      </c>
      <c r="Q30" s="50">
        <v>3030050</v>
      </c>
      <c r="R30" s="257"/>
    </row>
    <row r="31" spans="1:18" hidden="1" x14ac:dyDescent="0.25">
      <c r="A31" s="49" t="s">
        <v>696</v>
      </c>
      <c r="B31" s="49" t="s">
        <v>146</v>
      </c>
      <c r="C31" s="49" t="s">
        <v>147</v>
      </c>
      <c r="D31" s="49" t="s">
        <v>69</v>
      </c>
      <c r="E31" s="50">
        <v>8295000</v>
      </c>
      <c r="F31" s="50">
        <v>1585000</v>
      </c>
      <c r="G31" s="50">
        <v>1585000</v>
      </c>
      <c r="H31" s="50">
        <v>0</v>
      </c>
      <c r="I31" s="50">
        <v>0</v>
      </c>
      <c r="J31" s="50">
        <v>0</v>
      </c>
      <c r="K31" s="50">
        <v>1578343.2</v>
      </c>
      <c r="L31" s="152">
        <f t="shared" si="0"/>
        <v>0.99580012618296532</v>
      </c>
      <c r="M31" s="50">
        <v>1578343.2</v>
      </c>
      <c r="N31" s="152">
        <f t="shared" si="1"/>
        <v>0.99580012618296532</v>
      </c>
      <c r="O31" s="50">
        <v>6656.8</v>
      </c>
      <c r="P31" s="152">
        <f t="shared" si="2"/>
        <v>4.1998738170347001E-3</v>
      </c>
      <c r="Q31" s="50">
        <v>6656.8</v>
      </c>
      <c r="R31" s="257"/>
    </row>
    <row r="32" spans="1:18" hidden="1" x14ac:dyDescent="0.25">
      <c r="A32" s="49" t="s">
        <v>696</v>
      </c>
      <c r="B32" s="49" t="s">
        <v>148</v>
      </c>
      <c r="C32" s="49" t="s">
        <v>149</v>
      </c>
      <c r="D32" s="49" t="s">
        <v>69</v>
      </c>
      <c r="E32" s="50">
        <v>8520000</v>
      </c>
      <c r="F32" s="50">
        <v>3883858</v>
      </c>
      <c r="G32" s="50">
        <v>3883858</v>
      </c>
      <c r="H32" s="50">
        <v>0</v>
      </c>
      <c r="I32" s="50">
        <v>0</v>
      </c>
      <c r="J32" s="50">
        <v>0</v>
      </c>
      <c r="K32" s="50">
        <v>3883857.72</v>
      </c>
      <c r="L32" s="152">
        <f t="shared" si="0"/>
        <v>0.99999992790673609</v>
      </c>
      <c r="M32" s="50">
        <v>3883857.72</v>
      </c>
      <c r="N32" s="152">
        <f t="shared" si="1"/>
        <v>0.99999992790673609</v>
      </c>
      <c r="O32" s="50">
        <v>0.28000000000000003</v>
      </c>
      <c r="P32" s="152">
        <f t="shared" si="2"/>
        <v>7.2093263965881355E-8</v>
      </c>
      <c r="Q32" s="50">
        <v>0.28000000000000003</v>
      </c>
      <c r="R32" s="257"/>
    </row>
    <row r="33" spans="1:18" hidden="1" x14ac:dyDescent="0.25">
      <c r="A33" s="49" t="s">
        <v>696</v>
      </c>
      <c r="B33" s="49" t="s">
        <v>154</v>
      </c>
      <c r="C33" s="49" t="s">
        <v>155</v>
      </c>
      <c r="D33" s="49" t="s">
        <v>69</v>
      </c>
      <c r="E33" s="50">
        <v>400000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152" t="e">
        <f t="shared" si="0"/>
        <v>#DIV/0!</v>
      </c>
      <c r="M33" s="50">
        <v>0</v>
      </c>
      <c r="N33" s="152" t="e">
        <f t="shared" si="1"/>
        <v>#DIV/0!</v>
      </c>
      <c r="O33" s="50">
        <v>0</v>
      </c>
      <c r="P33" s="152" t="e">
        <f t="shared" si="2"/>
        <v>#DIV/0!</v>
      </c>
      <c r="Q33" s="50">
        <v>0</v>
      </c>
      <c r="R33" s="257"/>
    </row>
    <row r="34" spans="1:18" hidden="1" x14ac:dyDescent="0.25">
      <c r="A34" s="49" t="s">
        <v>696</v>
      </c>
      <c r="B34" s="49" t="s">
        <v>160</v>
      </c>
      <c r="C34" s="49" t="s">
        <v>161</v>
      </c>
      <c r="D34" s="49" t="s">
        <v>69</v>
      </c>
      <c r="E34" s="50">
        <v>400000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152" t="e">
        <f t="shared" si="0"/>
        <v>#DIV/0!</v>
      </c>
      <c r="M34" s="50">
        <v>0</v>
      </c>
      <c r="N34" s="152" t="e">
        <f t="shared" si="1"/>
        <v>#DIV/0!</v>
      </c>
      <c r="O34" s="50">
        <v>0</v>
      </c>
      <c r="P34" s="152" t="e">
        <f t="shared" si="2"/>
        <v>#DIV/0!</v>
      </c>
      <c r="Q34" s="50">
        <v>0</v>
      </c>
      <c r="R34" s="257"/>
    </row>
    <row r="35" spans="1:18" hidden="1" x14ac:dyDescent="0.25">
      <c r="A35" s="49" t="s">
        <v>696</v>
      </c>
      <c r="B35" s="49" t="s">
        <v>162</v>
      </c>
      <c r="C35" s="49" t="s">
        <v>163</v>
      </c>
      <c r="D35" s="49" t="s">
        <v>69</v>
      </c>
      <c r="E35" s="50">
        <v>322575</v>
      </c>
      <c r="F35" s="50">
        <v>367575</v>
      </c>
      <c r="G35" s="50">
        <v>367575</v>
      </c>
      <c r="H35" s="50">
        <v>0</v>
      </c>
      <c r="I35" s="50">
        <v>0</v>
      </c>
      <c r="J35" s="50">
        <v>0</v>
      </c>
      <c r="K35" s="50">
        <v>364509.75</v>
      </c>
      <c r="L35" s="152">
        <f t="shared" si="0"/>
        <v>0.99166088553356457</v>
      </c>
      <c r="M35" s="50">
        <v>0</v>
      </c>
      <c r="N35" s="152">
        <f t="shared" si="1"/>
        <v>0</v>
      </c>
      <c r="O35" s="50">
        <v>3065.25</v>
      </c>
      <c r="P35" s="152">
        <f t="shared" si="2"/>
        <v>8.3391144664354214E-3</v>
      </c>
      <c r="Q35" s="50">
        <v>3065.25</v>
      </c>
      <c r="R35" s="257"/>
    </row>
    <row r="36" spans="1:18" hidden="1" x14ac:dyDescent="0.25">
      <c r="A36" s="49" t="s">
        <v>696</v>
      </c>
      <c r="B36" s="49" t="s">
        <v>170</v>
      </c>
      <c r="C36" s="49" t="s">
        <v>171</v>
      </c>
      <c r="D36" s="49" t="s">
        <v>69</v>
      </c>
      <c r="E36" s="50">
        <v>322575</v>
      </c>
      <c r="F36" s="50">
        <v>367575</v>
      </c>
      <c r="G36" s="50">
        <v>367575</v>
      </c>
      <c r="H36" s="50">
        <v>0</v>
      </c>
      <c r="I36" s="50">
        <v>0</v>
      </c>
      <c r="J36" s="50">
        <v>0</v>
      </c>
      <c r="K36" s="50">
        <v>364509.75</v>
      </c>
      <c r="L36" s="152">
        <f t="shared" si="0"/>
        <v>0.99166088553356457</v>
      </c>
      <c r="M36" s="50">
        <v>0</v>
      </c>
      <c r="N36" s="152">
        <f t="shared" si="1"/>
        <v>0</v>
      </c>
      <c r="O36" s="50">
        <v>3065.25</v>
      </c>
      <c r="P36" s="152">
        <f t="shared" si="2"/>
        <v>8.3391144664354214E-3</v>
      </c>
      <c r="Q36" s="50">
        <v>3065.25</v>
      </c>
      <c r="R36" s="257"/>
    </row>
    <row r="37" spans="1:18" hidden="1" x14ac:dyDescent="0.25">
      <c r="A37" s="49" t="s">
        <v>696</v>
      </c>
      <c r="B37" s="49" t="s">
        <v>184</v>
      </c>
      <c r="C37" s="49" t="s">
        <v>185</v>
      </c>
      <c r="D37" s="49" t="s">
        <v>69</v>
      </c>
      <c r="E37" s="50">
        <v>4976400</v>
      </c>
      <c r="F37" s="50">
        <v>3876300</v>
      </c>
      <c r="G37" s="50">
        <v>3876300</v>
      </c>
      <c r="H37" s="50">
        <v>0</v>
      </c>
      <c r="I37" s="50">
        <v>177034.01</v>
      </c>
      <c r="J37" s="50">
        <v>0</v>
      </c>
      <c r="K37" s="50">
        <v>3305057.3</v>
      </c>
      <c r="L37" s="152">
        <f t="shared" si="0"/>
        <v>0.852631968629879</v>
      </c>
      <c r="M37" s="50">
        <v>3305057.3</v>
      </c>
      <c r="N37" s="152">
        <f t="shared" si="1"/>
        <v>0.852631968629879</v>
      </c>
      <c r="O37" s="50">
        <v>394208.69</v>
      </c>
      <c r="P37" s="152">
        <f t="shared" si="2"/>
        <v>0.10169715708278514</v>
      </c>
      <c r="Q37" s="50">
        <v>394208.69</v>
      </c>
      <c r="R37" s="257"/>
    </row>
    <row r="38" spans="1:18" hidden="1" x14ac:dyDescent="0.25">
      <c r="A38" s="49" t="s">
        <v>696</v>
      </c>
      <c r="B38" s="49" t="s">
        <v>186</v>
      </c>
      <c r="C38" s="49" t="s">
        <v>187</v>
      </c>
      <c r="D38" s="49" t="s">
        <v>69</v>
      </c>
      <c r="E38" s="50">
        <v>43000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152" t="e">
        <f t="shared" si="0"/>
        <v>#DIV/0!</v>
      </c>
      <c r="M38" s="50">
        <v>0</v>
      </c>
      <c r="N38" s="152" t="e">
        <f t="shared" si="1"/>
        <v>#DIV/0!</v>
      </c>
      <c r="O38" s="50">
        <v>0</v>
      </c>
      <c r="P38" s="152" t="e">
        <f t="shared" si="2"/>
        <v>#DIV/0!</v>
      </c>
      <c r="Q38" s="50">
        <v>0</v>
      </c>
      <c r="R38" s="257"/>
    </row>
    <row r="39" spans="1:18" hidden="1" x14ac:dyDescent="0.25">
      <c r="A39" s="49" t="s">
        <v>696</v>
      </c>
      <c r="B39" s="49" t="s">
        <v>192</v>
      </c>
      <c r="C39" s="49" t="s">
        <v>193</v>
      </c>
      <c r="D39" s="49" t="s">
        <v>69</v>
      </c>
      <c r="E39" s="50">
        <v>43000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152" t="e">
        <f t="shared" si="0"/>
        <v>#DIV/0!</v>
      </c>
      <c r="M39" s="50">
        <v>0</v>
      </c>
      <c r="N39" s="152" t="e">
        <f t="shared" si="1"/>
        <v>#DIV/0!</v>
      </c>
      <c r="O39" s="50">
        <v>0</v>
      </c>
      <c r="P39" s="152" t="e">
        <f t="shared" si="2"/>
        <v>#DIV/0!</v>
      </c>
      <c r="Q39" s="50">
        <v>0</v>
      </c>
      <c r="R39" s="257"/>
    </row>
    <row r="40" spans="1:18" hidden="1" x14ac:dyDescent="0.25">
      <c r="A40" s="49" t="s">
        <v>696</v>
      </c>
      <c r="B40" s="49" t="s">
        <v>206</v>
      </c>
      <c r="C40" s="49" t="s">
        <v>207</v>
      </c>
      <c r="D40" s="49" t="s">
        <v>69</v>
      </c>
      <c r="E40" s="50">
        <v>49000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152" t="e">
        <f t="shared" si="0"/>
        <v>#DIV/0!</v>
      </c>
      <c r="M40" s="50">
        <v>0</v>
      </c>
      <c r="N40" s="152" t="e">
        <f t="shared" si="1"/>
        <v>#DIV/0!</v>
      </c>
      <c r="O40" s="50">
        <v>0</v>
      </c>
      <c r="P40" s="152" t="e">
        <f t="shared" si="2"/>
        <v>#DIV/0!</v>
      </c>
      <c r="Q40" s="50">
        <v>0</v>
      </c>
      <c r="R40" s="257"/>
    </row>
    <row r="41" spans="1:18" hidden="1" x14ac:dyDescent="0.25">
      <c r="A41" s="49" t="s">
        <v>696</v>
      </c>
      <c r="B41" s="49" t="s">
        <v>208</v>
      </c>
      <c r="C41" s="49" t="s">
        <v>209</v>
      </c>
      <c r="D41" s="49" t="s">
        <v>69</v>
      </c>
      <c r="E41" s="50">
        <v>49000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152" t="e">
        <f t="shared" si="0"/>
        <v>#DIV/0!</v>
      </c>
      <c r="M41" s="50">
        <v>0</v>
      </c>
      <c r="N41" s="152" t="e">
        <f t="shared" si="1"/>
        <v>#DIV/0!</v>
      </c>
      <c r="O41" s="50">
        <v>0</v>
      </c>
      <c r="P41" s="152" t="e">
        <f t="shared" si="2"/>
        <v>#DIV/0!</v>
      </c>
      <c r="Q41" s="50">
        <v>0</v>
      </c>
      <c r="R41" s="257"/>
    </row>
    <row r="42" spans="1:18" hidden="1" x14ac:dyDescent="0.25">
      <c r="A42" s="49" t="s">
        <v>696</v>
      </c>
      <c r="B42" s="49" t="s">
        <v>212</v>
      </c>
      <c r="C42" s="49" t="s">
        <v>213</v>
      </c>
      <c r="D42" s="49" t="s">
        <v>69</v>
      </c>
      <c r="E42" s="50">
        <v>4884400</v>
      </c>
      <c r="F42" s="50">
        <v>3876300</v>
      </c>
      <c r="G42" s="50">
        <v>3876300</v>
      </c>
      <c r="H42" s="50">
        <v>0</v>
      </c>
      <c r="I42" s="50">
        <v>177034.01</v>
      </c>
      <c r="J42" s="50">
        <v>0</v>
      </c>
      <c r="K42" s="50">
        <v>3305057.3</v>
      </c>
      <c r="L42" s="152">
        <f t="shared" si="0"/>
        <v>0.852631968629879</v>
      </c>
      <c r="M42" s="50">
        <v>3305057.3</v>
      </c>
      <c r="N42" s="152">
        <f t="shared" si="1"/>
        <v>0.852631968629879</v>
      </c>
      <c r="O42" s="50">
        <v>394208.69</v>
      </c>
      <c r="P42" s="152">
        <f t="shared" si="2"/>
        <v>0.10169715708278514</v>
      </c>
      <c r="Q42" s="50">
        <v>394208.69</v>
      </c>
      <c r="R42" s="257"/>
    </row>
    <row r="43" spans="1:18" hidden="1" x14ac:dyDescent="0.25">
      <c r="A43" s="49" t="s">
        <v>696</v>
      </c>
      <c r="B43" s="49" t="s">
        <v>214</v>
      </c>
      <c r="C43" s="49" t="s">
        <v>215</v>
      </c>
      <c r="D43" s="49" t="s">
        <v>69</v>
      </c>
      <c r="E43" s="50">
        <v>2500000</v>
      </c>
      <c r="F43" s="50">
        <v>1950000</v>
      </c>
      <c r="G43" s="50">
        <v>1950000</v>
      </c>
      <c r="H43" s="50">
        <v>0</v>
      </c>
      <c r="I43" s="50">
        <v>177034.01</v>
      </c>
      <c r="J43" s="50">
        <v>0</v>
      </c>
      <c r="K43" s="50">
        <v>1561704.51</v>
      </c>
      <c r="L43" s="152">
        <f t="shared" si="0"/>
        <v>0.80087410769230771</v>
      </c>
      <c r="M43" s="50">
        <v>1561704.51</v>
      </c>
      <c r="N43" s="152">
        <f t="shared" si="1"/>
        <v>0.80087410769230771</v>
      </c>
      <c r="O43" s="50">
        <v>211261.48</v>
      </c>
      <c r="P43" s="152">
        <f t="shared" si="2"/>
        <v>0.10833922051282052</v>
      </c>
      <c r="Q43" s="50">
        <v>211261.48</v>
      </c>
      <c r="R43" s="257"/>
    </row>
    <row r="44" spans="1:18" hidden="1" x14ac:dyDescent="0.25">
      <c r="A44" s="49" t="s">
        <v>696</v>
      </c>
      <c r="B44" s="49" t="s">
        <v>218</v>
      </c>
      <c r="C44" s="49" t="s">
        <v>219</v>
      </c>
      <c r="D44" s="49" t="s">
        <v>69</v>
      </c>
      <c r="E44" s="50">
        <v>1800000</v>
      </c>
      <c r="F44" s="50">
        <v>1476300</v>
      </c>
      <c r="G44" s="50">
        <v>1476300</v>
      </c>
      <c r="H44" s="50">
        <v>0</v>
      </c>
      <c r="I44" s="50">
        <v>0</v>
      </c>
      <c r="J44" s="50">
        <v>0</v>
      </c>
      <c r="K44" s="50">
        <v>1430237.18</v>
      </c>
      <c r="L44" s="152">
        <f t="shared" si="0"/>
        <v>0.96879846914583756</v>
      </c>
      <c r="M44" s="50">
        <v>1430237.18</v>
      </c>
      <c r="N44" s="152">
        <f t="shared" si="1"/>
        <v>0.96879846914583756</v>
      </c>
      <c r="O44" s="50">
        <v>46062.82</v>
      </c>
      <c r="P44" s="152">
        <f t="shared" si="2"/>
        <v>3.1201530854162433E-2</v>
      </c>
      <c r="Q44" s="50">
        <v>46062.82</v>
      </c>
      <c r="R44" s="257"/>
    </row>
    <row r="45" spans="1:18" hidden="1" x14ac:dyDescent="0.25">
      <c r="A45" s="49" t="s">
        <v>696</v>
      </c>
      <c r="B45" s="49" t="s">
        <v>222</v>
      </c>
      <c r="C45" s="49" t="s">
        <v>223</v>
      </c>
      <c r="D45" s="49" t="s">
        <v>69</v>
      </c>
      <c r="E45" s="50">
        <v>500000</v>
      </c>
      <c r="F45" s="50">
        <v>450000</v>
      </c>
      <c r="G45" s="50">
        <v>450000</v>
      </c>
      <c r="H45" s="50">
        <v>0</v>
      </c>
      <c r="I45" s="50">
        <v>0</v>
      </c>
      <c r="J45" s="50">
        <v>0</v>
      </c>
      <c r="K45" s="50">
        <v>313115.61</v>
      </c>
      <c r="L45" s="152">
        <f t="shared" si="0"/>
        <v>0.69581246666666663</v>
      </c>
      <c r="M45" s="50">
        <v>313115.61</v>
      </c>
      <c r="N45" s="152">
        <f t="shared" si="1"/>
        <v>0.69581246666666663</v>
      </c>
      <c r="O45" s="50">
        <v>136884.39000000001</v>
      </c>
      <c r="P45" s="152">
        <f t="shared" si="2"/>
        <v>0.30418753333333337</v>
      </c>
      <c r="Q45" s="50">
        <v>136884.39000000001</v>
      </c>
      <c r="R45" s="257"/>
    </row>
    <row r="46" spans="1:18" hidden="1" x14ac:dyDescent="0.25">
      <c r="A46" s="49" t="s">
        <v>696</v>
      </c>
      <c r="B46" s="49" t="s">
        <v>226</v>
      </c>
      <c r="C46" s="49" t="s">
        <v>227</v>
      </c>
      <c r="D46" s="49" t="s">
        <v>69</v>
      </c>
      <c r="E46" s="50">
        <v>37400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152" t="e">
        <f t="shared" si="0"/>
        <v>#DIV/0!</v>
      </c>
      <c r="M46" s="50">
        <v>0</v>
      </c>
      <c r="N46" s="152" t="e">
        <f t="shared" si="1"/>
        <v>#DIV/0!</v>
      </c>
      <c r="O46" s="50">
        <v>0</v>
      </c>
      <c r="P46" s="152" t="e">
        <f t="shared" si="2"/>
        <v>#DIV/0!</v>
      </c>
      <c r="Q46" s="50">
        <v>0</v>
      </c>
      <c r="R46" s="257"/>
    </row>
    <row r="47" spans="1:18" hidden="1" x14ac:dyDescent="0.25">
      <c r="A47" s="49" t="s">
        <v>696</v>
      </c>
      <c r="B47" s="49" t="s">
        <v>228</v>
      </c>
      <c r="C47" s="49" t="s">
        <v>229</v>
      </c>
      <c r="D47" s="49" t="s">
        <v>69</v>
      </c>
      <c r="E47" s="50">
        <v>47000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152" t="e">
        <f t="shared" si="0"/>
        <v>#DIV/0!</v>
      </c>
      <c r="M47" s="50">
        <v>0</v>
      </c>
      <c r="N47" s="152" t="e">
        <f t="shared" si="1"/>
        <v>#DIV/0!</v>
      </c>
      <c r="O47" s="50">
        <v>0</v>
      </c>
      <c r="P47" s="152" t="e">
        <f t="shared" si="2"/>
        <v>#DIV/0!</v>
      </c>
      <c r="Q47" s="50">
        <v>0</v>
      </c>
      <c r="R47" s="257"/>
    </row>
    <row r="48" spans="1:18" hidden="1" x14ac:dyDescent="0.25">
      <c r="A48" s="49" t="s">
        <v>696</v>
      </c>
      <c r="B48" s="49" t="s">
        <v>248</v>
      </c>
      <c r="C48" s="49" t="s">
        <v>249</v>
      </c>
      <c r="D48" s="49" t="s">
        <v>69</v>
      </c>
      <c r="E48" s="50">
        <v>314465910</v>
      </c>
      <c r="F48" s="50">
        <v>322298642</v>
      </c>
      <c r="G48" s="50">
        <v>322298642</v>
      </c>
      <c r="H48" s="50">
        <v>0</v>
      </c>
      <c r="I48" s="50">
        <v>0</v>
      </c>
      <c r="J48" s="50">
        <v>0</v>
      </c>
      <c r="K48" s="50">
        <v>307985784.74000001</v>
      </c>
      <c r="L48" s="152">
        <f t="shared" si="0"/>
        <v>0.95559131999073088</v>
      </c>
      <c r="M48" s="50">
        <v>307985784.74000001</v>
      </c>
      <c r="N48" s="152">
        <f t="shared" si="1"/>
        <v>0.95559131999073088</v>
      </c>
      <c r="O48" s="50">
        <v>14312857.26</v>
      </c>
      <c r="P48" s="152">
        <f t="shared" si="2"/>
        <v>4.4408680009269168E-2</v>
      </c>
      <c r="Q48" s="50">
        <v>14312857.26</v>
      </c>
      <c r="R48" s="257"/>
    </row>
    <row r="49" spans="1:18" hidden="1" x14ac:dyDescent="0.25">
      <c r="A49" s="49" t="s">
        <v>696</v>
      </c>
      <c r="B49" s="49" t="s">
        <v>250</v>
      </c>
      <c r="C49" s="49" t="s">
        <v>251</v>
      </c>
      <c r="D49" s="49" t="s">
        <v>69</v>
      </c>
      <c r="E49" s="50">
        <v>281465910</v>
      </c>
      <c r="F49" s="50">
        <v>280298642</v>
      </c>
      <c r="G49" s="50">
        <v>280298642</v>
      </c>
      <c r="H49" s="50">
        <v>0</v>
      </c>
      <c r="I49" s="50">
        <v>0</v>
      </c>
      <c r="J49" s="50">
        <v>0</v>
      </c>
      <c r="K49" s="50">
        <v>274613391.94</v>
      </c>
      <c r="L49" s="152">
        <f t="shared" si="0"/>
        <v>0.97971716873319703</v>
      </c>
      <c r="M49" s="50">
        <v>274613391.94</v>
      </c>
      <c r="N49" s="152">
        <f t="shared" si="1"/>
        <v>0.97971716873319703</v>
      </c>
      <c r="O49" s="50">
        <v>5685250.0599999996</v>
      </c>
      <c r="P49" s="152">
        <f t="shared" si="2"/>
        <v>2.0282831266802925E-2</v>
      </c>
      <c r="Q49" s="50">
        <v>5685250.0599999996</v>
      </c>
      <c r="R49" s="257"/>
    </row>
    <row r="50" spans="1:18" hidden="1" x14ac:dyDescent="0.25">
      <c r="A50" s="49" t="s">
        <v>696</v>
      </c>
      <c r="B50" s="49" t="s">
        <v>619</v>
      </c>
      <c r="C50" s="49" t="s">
        <v>701</v>
      </c>
      <c r="D50" s="49" t="s">
        <v>69</v>
      </c>
      <c r="E50" s="50">
        <v>257500000</v>
      </c>
      <c r="F50" s="50">
        <v>257500000</v>
      </c>
      <c r="G50" s="50">
        <v>257500000</v>
      </c>
      <c r="H50" s="50">
        <v>0</v>
      </c>
      <c r="I50" s="50">
        <v>0</v>
      </c>
      <c r="J50" s="50">
        <v>0</v>
      </c>
      <c r="K50" s="50">
        <v>256509137.94</v>
      </c>
      <c r="L50" s="152">
        <f t="shared" si="0"/>
        <v>0.99615199200000004</v>
      </c>
      <c r="M50" s="50">
        <v>256509137.94</v>
      </c>
      <c r="N50" s="152">
        <f t="shared" si="1"/>
        <v>0.99615199200000004</v>
      </c>
      <c r="O50" s="50">
        <v>990862.06</v>
      </c>
      <c r="P50" s="152">
        <f t="shared" si="2"/>
        <v>3.8480080000000004E-3</v>
      </c>
      <c r="Q50" s="50">
        <v>990862.06</v>
      </c>
      <c r="R50" s="257"/>
    </row>
    <row r="51" spans="1:18" hidden="1" x14ac:dyDescent="0.25">
      <c r="A51" s="49" t="s">
        <v>696</v>
      </c>
      <c r="B51" s="49" t="s">
        <v>625</v>
      </c>
      <c r="C51" s="49" t="s">
        <v>702</v>
      </c>
      <c r="D51" s="49" t="s">
        <v>69</v>
      </c>
      <c r="E51" s="50">
        <v>20356634</v>
      </c>
      <c r="F51" s="50">
        <v>19365163</v>
      </c>
      <c r="G51" s="50">
        <v>19365163</v>
      </c>
      <c r="H51" s="50">
        <v>0</v>
      </c>
      <c r="I51" s="50">
        <v>0</v>
      </c>
      <c r="J51" s="50">
        <v>0</v>
      </c>
      <c r="K51" s="50">
        <v>15353408</v>
      </c>
      <c r="L51" s="152">
        <f t="shared" si="0"/>
        <v>0.79283649716762006</v>
      </c>
      <c r="M51" s="50">
        <v>15353408</v>
      </c>
      <c r="N51" s="152">
        <f t="shared" si="1"/>
        <v>0.79283649716762006</v>
      </c>
      <c r="O51" s="50">
        <v>4011755</v>
      </c>
      <c r="P51" s="152">
        <f t="shared" si="2"/>
        <v>0.20716350283237997</v>
      </c>
      <c r="Q51" s="50">
        <v>4011755</v>
      </c>
      <c r="R51" s="257"/>
    </row>
    <row r="52" spans="1:18" hidden="1" x14ac:dyDescent="0.25">
      <c r="A52" s="49" t="s">
        <v>696</v>
      </c>
      <c r="B52" s="49" t="s">
        <v>640</v>
      </c>
      <c r="C52" s="49" t="s">
        <v>703</v>
      </c>
      <c r="D52" s="49" t="s">
        <v>69</v>
      </c>
      <c r="E52" s="50">
        <v>3609276</v>
      </c>
      <c r="F52" s="50">
        <v>3433479</v>
      </c>
      <c r="G52" s="50">
        <v>3433479</v>
      </c>
      <c r="H52" s="50">
        <v>0</v>
      </c>
      <c r="I52" s="50">
        <v>0</v>
      </c>
      <c r="J52" s="50">
        <v>0</v>
      </c>
      <c r="K52" s="50">
        <v>2750846</v>
      </c>
      <c r="L52" s="152">
        <f t="shared" si="0"/>
        <v>0.80118328960217899</v>
      </c>
      <c r="M52" s="50">
        <v>2750846</v>
      </c>
      <c r="N52" s="152">
        <f t="shared" si="1"/>
        <v>0.80118328960217899</v>
      </c>
      <c r="O52" s="50">
        <v>682633</v>
      </c>
      <c r="P52" s="152">
        <f t="shared" si="2"/>
        <v>0.19881671039782098</v>
      </c>
      <c r="Q52" s="50">
        <v>682633</v>
      </c>
      <c r="R52" s="257"/>
    </row>
    <row r="53" spans="1:18" hidden="1" x14ac:dyDescent="0.25">
      <c r="A53" s="49" t="s">
        <v>696</v>
      </c>
      <c r="B53" s="49" t="s">
        <v>260</v>
      </c>
      <c r="C53" s="49" t="s">
        <v>261</v>
      </c>
      <c r="D53" s="49" t="s">
        <v>69</v>
      </c>
      <c r="E53" s="50">
        <v>33000000</v>
      </c>
      <c r="F53" s="50">
        <v>42000000</v>
      </c>
      <c r="G53" s="50">
        <v>42000000</v>
      </c>
      <c r="H53" s="50">
        <v>0</v>
      </c>
      <c r="I53" s="50">
        <v>0</v>
      </c>
      <c r="J53" s="50">
        <v>0</v>
      </c>
      <c r="K53" s="50">
        <v>33372392.800000001</v>
      </c>
      <c r="L53" s="152">
        <f t="shared" si="0"/>
        <v>0.79458078095238094</v>
      </c>
      <c r="M53" s="50">
        <v>33372392.800000001</v>
      </c>
      <c r="N53" s="152">
        <f t="shared" si="1"/>
        <v>0.79458078095238094</v>
      </c>
      <c r="O53" s="50">
        <v>8627607.1999999993</v>
      </c>
      <c r="P53" s="152">
        <f t="shared" si="2"/>
        <v>0.20541921904761903</v>
      </c>
      <c r="Q53" s="50">
        <v>8627607.1999999993</v>
      </c>
      <c r="R53" s="257"/>
    </row>
    <row r="54" spans="1:18" hidden="1" x14ac:dyDescent="0.25">
      <c r="A54" s="49" t="s">
        <v>696</v>
      </c>
      <c r="B54" s="49" t="s">
        <v>262</v>
      </c>
      <c r="C54" s="49" t="s">
        <v>263</v>
      </c>
      <c r="D54" s="49" t="s">
        <v>69</v>
      </c>
      <c r="E54" s="50">
        <v>23000000</v>
      </c>
      <c r="F54" s="50">
        <v>23000000</v>
      </c>
      <c r="G54" s="50">
        <v>23000000</v>
      </c>
      <c r="H54" s="50">
        <v>0</v>
      </c>
      <c r="I54" s="50">
        <v>0</v>
      </c>
      <c r="J54" s="50">
        <v>0</v>
      </c>
      <c r="K54" s="50">
        <v>17919703.300000001</v>
      </c>
      <c r="L54" s="152">
        <f t="shared" si="0"/>
        <v>0.7791175347826087</v>
      </c>
      <c r="M54" s="50">
        <v>17919703.300000001</v>
      </c>
      <c r="N54" s="152">
        <f t="shared" si="1"/>
        <v>0.7791175347826087</v>
      </c>
      <c r="O54" s="50">
        <v>5080296.7</v>
      </c>
      <c r="P54" s="152">
        <f t="shared" si="2"/>
        <v>0.2208824652173913</v>
      </c>
      <c r="Q54" s="50">
        <v>5080296.7</v>
      </c>
      <c r="R54" s="257"/>
    </row>
    <row r="55" spans="1:18" hidden="1" x14ac:dyDescent="0.25">
      <c r="A55" s="49" t="s">
        <v>696</v>
      </c>
      <c r="B55" s="49" t="s">
        <v>264</v>
      </c>
      <c r="C55" s="49" t="s">
        <v>265</v>
      </c>
      <c r="D55" s="49" t="s">
        <v>69</v>
      </c>
      <c r="E55" s="50">
        <v>10000000</v>
      </c>
      <c r="F55" s="50">
        <v>19000000</v>
      </c>
      <c r="G55" s="50">
        <v>19000000</v>
      </c>
      <c r="H55" s="50">
        <v>0</v>
      </c>
      <c r="I55" s="50">
        <v>0</v>
      </c>
      <c r="J55" s="50">
        <v>0</v>
      </c>
      <c r="K55" s="50">
        <v>15452689.5</v>
      </c>
      <c r="L55" s="152">
        <f t="shared" si="0"/>
        <v>0.81329944736842108</v>
      </c>
      <c r="M55" s="50">
        <v>15452689.5</v>
      </c>
      <c r="N55" s="152">
        <f t="shared" si="1"/>
        <v>0.81329944736842108</v>
      </c>
      <c r="O55" s="50">
        <v>3547310.5</v>
      </c>
      <c r="P55" s="152">
        <f t="shared" si="2"/>
        <v>0.18670055263157895</v>
      </c>
      <c r="Q55" s="50">
        <v>3547310.5</v>
      </c>
      <c r="R55" s="257"/>
    </row>
    <row r="56" spans="1:18" hidden="1" x14ac:dyDescent="0.25">
      <c r="A56" s="49" t="s">
        <v>696</v>
      </c>
      <c r="B56" s="49" t="s">
        <v>230</v>
      </c>
      <c r="C56" s="49" t="s">
        <v>231</v>
      </c>
      <c r="D56" s="49" t="s">
        <v>85</v>
      </c>
      <c r="E56" s="50">
        <v>4220000</v>
      </c>
      <c r="F56" s="50">
        <v>3050000</v>
      </c>
      <c r="G56" s="50">
        <v>3050000</v>
      </c>
      <c r="H56" s="50">
        <v>0</v>
      </c>
      <c r="I56" s="50">
        <v>0</v>
      </c>
      <c r="J56" s="50">
        <v>0</v>
      </c>
      <c r="K56" s="50">
        <v>2343992.0299999998</v>
      </c>
      <c r="L56" s="152">
        <f t="shared" si="0"/>
        <v>0.76852197704918024</v>
      </c>
      <c r="M56" s="50">
        <v>2343992.0299999998</v>
      </c>
      <c r="N56" s="152">
        <f t="shared" si="1"/>
        <v>0.76852197704918024</v>
      </c>
      <c r="O56" s="50">
        <v>706007.97</v>
      </c>
      <c r="P56" s="152">
        <f t="shared" si="2"/>
        <v>0.23147802295081965</v>
      </c>
      <c r="Q56" s="50">
        <v>706007.97</v>
      </c>
      <c r="R56" s="257"/>
    </row>
    <row r="57" spans="1:18" hidden="1" x14ac:dyDescent="0.25">
      <c r="A57" s="49" t="s">
        <v>696</v>
      </c>
      <c r="B57" s="49" t="s">
        <v>232</v>
      </c>
      <c r="C57" s="49" t="s">
        <v>233</v>
      </c>
      <c r="D57" s="49" t="s">
        <v>85</v>
      </c>
      <c r="E57" s="50">
        <v>3320000</v>
      </c>
      <c r="F57" s="50">
        <v>3050000</v>
      </c>
      <c r="G57" s="50">
        <v>3050000</v>
      </c>
      <c r="H57" s="50">
        <v>0</v>
      </c>
      <c r="I57" s="50">
        <v>0</v>
      </c>
      <c r="J57" s="50">
        <v>0</v>
      </c>
      <c r="K57" s="50">
        <v>2343992.0299999998</v>
      </c>
      <c r="L57" s="152">
        <f t="shared" si="0"/>
        <v>0.76852197704918024</v>
      </c>
      <c r="M57" s="50">
        <v>2343992.0299999998</v>
      </c>
      <c r="N57" s="152">
        <f t="shared" si="1"/>
        <v>0.76852197704918024</v>
      </c>
      <c r="O57" s="50">
        <v>706007.97</v>
      </c>
      <c r="P57" s="152">
        <f t="shared" si="2"/>
        <v>0.23147802295081965</v>
      </c>
      <c r="Q57" s="50">
        <v>706007.97</v>
      </c>
      <c r="R57" s="257"/>
    </row>
    <row r="58" spans="1:18" hidden="1" x14ac:dyDescent="0.25">
      <c r="A58" s="49" t="s">
        <v>696</v>
      </c>
      <c r="B58" s="49" t="s">
        <v>236</v>
      </c>
      <c r="C58" s="49" t="s">
        <v>237</v>
      </c>
      <c r="D58" s="49" t="s">
        <v>85</v>
      </c>
      <c r="E58" s="50">
        <v>120000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152" t="e">
        <f t="shared" si="0"/>
        <v>#DIV/0!</v>
      </c>
      <c r="M58" s="50">
        <v>0</v>
      </c>
      <c r="N58" s="152" t="e">
        <f t="shared" si="1"/>
        <v>#DIV/0!</v>
      </c>
      <c r="O58" s="50">
        <v>0</v>
      </c>
      <c r="P58" s="152" t="e">
        <f t="shared" si="2"/>
        <v>#DIV/0!</v>
      </c>
      <c r="Q58" s="50">
        <v>0</v>
      </c>
      <c r="R58" s="257"/>
    </row>
    <row r="59" spans="1:18" hidden="1" x14ac:dyDescent="0.25">
      <c r="A59" s="49" t="s">
        <v>696</v>
      </c>
      <c r="B59" s="49" t="s">
        <v>238</v>
      </c>
      <c r="C59" s="49" t="s">
        <v>239</v>
      </c>
      <c r="D59" s="49" t="s">
        <v>85</v>
      </c>
      <c r="E59" s="50">
        <v>3200000</v>
      </c>
      <c r="F59" s="50">
        <v>3050000</v>
      </c>
      <c r="G59" s="50">
        <v>3050000</v>
      </c>
      <c r="H59" s="50">
        <v>0</v>
      </c>
      <c r="I59" s="50">
        <v>0</v>
      </c>
      <c r="J59" s="50">
        <v>0</v>
      </c>
      <c r="K59" s="50">
        <v>2343992.0299999998</v>
      </c>
      <c r="L59" s="152">
        <f t="shared" si="0"/>
        <v>0.76852197704918024</v>
      </c>
      <c r="M59" s="50">
        <v>2343992.0299999998</v>
      </c>
      <c r="N59" s="152">
        <f t="shared" si="1"/>
        <v>0.76852197704918024</v>
      </c>
      <c r="O59" s="50">
        <v>706007.97</v>
      </c>
      <c r="P59" s="152">
        <f t="shared" si="2"/>
        <v>0.23147802295081965</v>
      </c>
      <c r="Q59" s="50">
        <v>706007.97</v>
      </c>
      <c r="R59" s="257"/>
    </row>
    <row r="60" spans="1:18" hidden="1" x14ac:dyDescent="0.25">
      <c r="A60" s="49" t="s">
        <v>696</v>
      </c>
      <c r="B60" s="49" t="s">
        <v>244</v>
      </c>
      <c r="C60" s="49" t="s">
        <v>245</v>
      </c>
      <c r="D60" s="49" t="s">
        <v>85</v>
      </c>
      <c r="E60" s="50">
        <v>900000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152" t="e">
        <f t="shared" si="0"/>
        <v>#DIV/0!</v>
      </c>
      <c r="M60" s="50">
        <v>0</v>
      </c>
      <c r="N60" s="152" t="e">
        <f t="shared" si="1"/>
        <v>#DIV/0!</v>
      </c>
      <c r="O60" s="50">
        <v>0</v>
      </c>
      <c r="P60" s="152" t="e">
        <f t="shared" si="2"/>
        <v>#DIV/0!</v>
      </c>
      <c r="Q60" s="50">
        <v>0</v>
      </c>
      <c r="R60" s="257"/>
    </row>
    <row r="61" spans="1:18" hidden="1" x14ac:dyDescent="0.25">
      <c r="A61" s="49" t="s">
        <v>696</v>
      </c>
      <c r="B61" s="49" t="s">
        <v>246</v>
      </c>
      <c r="C61" s="49" t="s">
        <v>247</v>
      </c>
      <c r="D61" s="49" t="s">
        <v>85</v>
      </c>
      <c r="E61" s="50">
        <v>900000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152" t="e">
        <f t="shared" si="0"/>
        <v>#DIV/0!</v>
      </c>
      <c r="M61" s="50">
        <v>0</v>
      </c>
      <c r="N61" s="152" t="e">
        <f t="shared" si="1"/>
        <v>#DIV/0!</v>
      </c>
      <c r="O61" s="50">
        <v>0</v>
      </c>
      <c r="P61" s="152" t="e">
        <f t="shared" si="2"/>
        <v>#DIV/0!</v>
      </c>
      <c r="Q61" s="50">
        <v>0</v>
      </c>
      <c r="R61" s="257"/>
    </row>
    <row r="62" spans="1:18" x14ac:dyDescent="0.25">
      <c r="A62" s="49">
        <v>214787</v>
      </c>
      <c r="B62" s="49"/>
      <c r="C62" s="49"/>
      <c r="D62" s="49" t="s">
        <v>69</v>
      </c>
      <c r="E62" s="50">
        <v>3672713874</v>
      </c>
      <c r="F62" s="50">
        <v>3467509456</v>
      </c>
      <c r="G62" s="50">
        <v>3467509456</v>
      </c>
      <c r="H62" s="50">
        <v>0</v>
      </c>
      <c r="I62" s="50">
        <v>26742682.59</v>
      </c>
      <c r="J62" s="50">
        <v>0</v>
      </c>
      <c r="K62" s="50">
        <v>3222776445.5100002</v>
      </c>
      <c r="L62" s="152">
        <f t="shared" si="0"/>
        <v>0.92942109788149929</v>
      </c>
      <c r="M62" s="50">
        <v>3198209481.3499999</v>
      </c>
      <c r="N62" s="152">
        <f t="shared" si="1"/>
        <v>0.92233619603141459</v>
      </c>
      <c r="O62" s="50">
        <v>217990327.90000001</v>
      </c>
      <c r="P62" s="152">
        <f t="shared" si="2"/>
        <v>6.2866541725733652E-2</v>
      </c>
      <c r="Q62" s="50">
        <v>217990327.90000001</v>
      </c>
      <c r="R62" s="257"/>
    </row>
    <row r="63" spans="1:18" hidden="1" x14ac:dyDescent="0.25">
      <c r="A63" s="49" t="s">
        <v>704</v>
      </c>
      <c r="B63" s="49" t="s">
        <v>71</v>
      </c>
      <c r="C63" s="49" t="s">
        <v>72</v>
      </c>
      <c r="D63" s="49" t="s">
        <v>69</v>
      </c>
      <c r="E63" s="50">
        <v>2848782596</v>
      </c>
      <c r="F63" s="50">
        <v>2664967424</v>
      </c>
      <c r="G63" s="50">
        <v>2664967424</v>
      </c>
      <c r="H63" s="50">
        <v>0</v>
      </c>
      <c r="I63" s="50">
        <v>1404.6</v>
      </c>
      <c r="J63" s="50">
        <v>0</v>
      </c>
      <c r="K63" s="50">
        <v>2481779239.6599998</v>
      </c>
      <c r="L63" s="152">
        <f t="shared" si="0"/>
        <v>0.93126062904549778</v>
      </c>
      <c r="M63" s="50">
        <v>2481779239.6599998</v>
      </c>
      <c r="N63" s="152">
        <f t="shared" si="1"/>
        <v>0.93126062904549778</v>
      </c>
      <c r="O63" s="50">
        <v>183186779.74000001</v>
      </c>
      <c r="P63" s="152">
        <f t="shared" si="2"/>
        <v>6.8738843893650536E-2</v>
      </c>
      <c r="Q63" s="50">
        <v>183186779.74000001</v>
      </c>
      <c r="R63" s="257"/>
    </row>
    <row r="64" spans="1:18" hidden="1" x14ac:dyDescent="0.25">
      <c r="A64" s="49" t="s">
        <v>704</v>
      </c>
      <c r="B64" s="49" t="s">
        <v>73</v>
      </c>
      <c r="C64" s="49" t="s">
        <v>74</v>
      </c>
      <c r="D64" s="49" t="s">
        <v>69</v>
      </c>
      <c r="E64" s="50">
        <v>1118901696</v>
      </c>
      <c r="F64" s="50">
        <v>1085616270</v>
      </c>
      <c r="G64" s="50">
        <v>1085616270</v>
      </c>
      <c r="H64" s="50">
        <v>0</v>
      </c>
      <c r="I64" s="50">
        <v>0</v>
      </c>
      <c r="J64" s="50">
        <v>0</v>
      </c>
      <c r="K64" s="50">
        <v>1025229752.76</v>
      </c>
      <c r="L64" s="152">
        <f t="shared" si="0"/>
        <v>0.94437581776477986</v>
      </c>
      <c r="M64" s="50">
        <v>1025229752.76</v>
      </c>
      <c r="N64" s="152">
        <f t="shared" si="1"/>
        <v>0.94437581776477986</v>
      </c>
      <c r="O64" s="50">
        <v>60386517.240000002</v>
      </c>
      <c r="P64" s="152">
        <f t="shared" si="2"/>
        <v>5.5624182235220185E-2</v>
      </c>
      <c r="Q64" s="50">
        <v>60386517.240000002</v>
      </c>
      <c r="R64" s="257"/>
    </row>
    <row r="65" spans="1:18" hidden="1" x14ac:dyDescent="0.25">
      <c r="A65" s="49" t="s">
        <v>704</v>
      </c>
      <c r="B65" s="49" t="s">
        <v>75</v>
      </c>
      <c r="C65" s="49" t="s">
        <v>76</v>
      </c>
      <c r="D65" s="49" t="s">
        <v>69</v>
      </c>
      <c r="E65" s="50">
        <v>1118901696</v>
      </c>
      <c r="F65" s="50">
        <v>1085616270</v>
      </c>
      <c r="G65" s="50">
        <v>1085616270</v>
      </c>
      <c r="H65" s="50">
        <v>0</v>
      </c>
      <c r="I65" s="50">
        <v>0</v>
      </c>
      <c r="J65" s="50">
        <v>0</v>
      </c>
      <c r="K65" s="50">
        <v>1025229752.76</v>
      </c>
      <c r="L65" s="152">
        <f t="shared" si="0"/>
        <v>0.94437581776477986</v>
      </c>
      <c r="M65" s="50">
        <v>1025229752.76</v>
      </c>
      <c r="N65" s="152">
        <f t="shared" si="1"/>
        <v>0.94437581776477986</v>
      </c>
      <c r="O65" s="50">
        <v>60386517.240000002</v>
      </c>
      <c r="P65" s="152">
        <f t="shared" si="2"/>
        <v>5.5624182235220185E-2</v>
      </c>
      <c r="Q65" s="50">
        <v>60386517.240000002</v>
      </c>
      <c r="R65" s="257"/>
    </row>
    <row r="66" spans="1:18" hidden="1" x14ac:dyDescent="0.25">
      <c r="A66" s="49" t="s">
        <v>704</v>
      </c>
      <c r="B66" s="49" t="s">
        <v>77</v>
      </c>
      <c r="C66" s="49" t="s">
        <v>78</v>
      </c>
      <c r="D66" s="49" t="s">
        <v>69</v>
      </c>
      <c r="E66" s="50">
        <v>1295309720</v>
      </c>
      <c r="F66" s="50">
        <v>1157356394</v>
      </c>
      <c r="G66" s="50">
        <v>1157356394</v>
      </c>
      <c r="H66" s="50">
        <v>0</v>
      </c>
      <c r="I66" s="50">
        <v>1404.6</v>
      </c>
      <c r="J66" s="50">
        <v>0</v>
      </c>
      <c r="K66" s="50">
        <v>1075906120.9000001</v>
      </c>
      <c r="L66" s="152">
        <f t="shared" si="0"/>
        <v>0.9296238621722257</v>
      </c>
      <c r="M66" s="50">
        <v>1075906120.9000001</v>
      </c>
      <c r="N66" s="152">
        <f t="shared" si="1"/>
        <v>0.9296238621722257</v>
      </c>
      <c r="O66" s="50">
        <v>81448868.5</v>
      </c>
      <c r="P66" s="152">
        <f t="shared" si="2"/>
        <v>7.037492419988306E-2</v>
      </c>
      <c r="Q66" s="50">
        <v>81448868.5</v>
      </c>
      <c r="R66" s="257"/>
    </row>
    <row r="67" spans="1:18" hidden="1" x14ac:dyDescent="0.25">
      <c r="A67" s="49" t="s">
        <v>704</v>
      </c>
      <c r="B67" s="49" t="s">
        <v>79</v>
      </c>
      <c r="C67" s="49" t="s">
        <v>80</v>
      </c>
      <c r="D67" s="49" t="s">
        <v>69</v>
      </c>
      <c r="E67" s="50">
        <v>329734600</v>
      </c>
      <c r="F67" s="50">
        <v>328933600</v>
      </c>
      <c r="G67" s="50">
        <v>328933600</v>
      </c>
      <c r="H67" s="50">
        <v>0</v>
      </c>
      <c r="I67" s="50">
        <v>0</v>
      </c>
      <c r="J67" s="50">
        <v>0</v>
      </c>
      <c r="K67" s="50">
        <v>313405494.18000001</v>
      </c>
      <c r="L67" s="152">
        <f t="shared" si="0"/>
        <v>0.95279258239352871</v>
      </c>
      <c r="M67" s="50">
        <v>313405494.18000001</v>
      </c>
      <c r="N67" s="152">
        <f t="shared" si="1"/>
        <v>0.95279258239352871</v>
      </c>
      <c r="O67" s="50">
        <v>15528105.82</v>
      </c>
      <c r="P67" s="152">
        <f t="shared" si="2"/>
        <v>4.720741760647134E-2</v>
      </c>
      <c r="Q67" s="50">
        <v>15528105.82</v>
      </c>
      <c r="R67" s="257"/>
    </row>
    <row r="68" spans="1:18" hidden="1" x14ac:dyDescent="0.25">
      <c r="A68" s="49" t="s">
        <v>704</v>
      </c>
      <c r="B68" s="49" t="s">
        <v>81</v>
      </c>
      <c r="C68" s="49" t="s">
        <v>82</v>
      </c>
      <c r="D68" s="49" t="s">
        <v>69</v>
      </c>
      <c r="E68" s="50">
        <v>442514922</v>
      </c>
      <c r="F68" s="50">
        <v>428653782</v>
      </c>
      <c r="G68" s="50">
        <v>428653782</v>
      </c>
      <c r="H68" s="50">
        <v>0</v>
      </c>
      <c r="I68" s="50">
        <v>0</v>
      </c>
      <c r="J68" s="50">
        <v>0</v>
      </c>
      <c r="K68" s="50">
        <v>398914896.32999998</v>
      </c>
      <c r="L68" s="152">
        <f t="shared" si="0"/>
        <v>0.93062259819277648</v>
      </c>
      <c r="M68" s="50">
        <v>398914896.32999998</v>
      </c>
      <c r="N68" s="152">
        <f t="shared" si="1"/>
        <v>0.93062259819277648</v>
      </c>
      <c r="O68" s="50">
        <v>29738885.670000002</v>
      </c>
      <c r="P68" s="152">
        <f t="shared" si="2"/>
        <v>6.9377401807223529E-2</v>
      </c>
      <c r="Q68" s="50">
        <v>29738885.670000002</v>
      </c>
      <c r="R68" s="257"/>
    </row>
    <row r="69" spans="1:18" hidden="1" x14ac:dyDescent="0.25">
      <c r="A69" s="49" t="s">
        <v>704</v>
      </c>
      <c r="B69" s="49" t="s">
        <v>86</v>
      </c>
      <c r="C69" s="49" t="s">
        <v>87</v>
      </c>
      <c r="D69" s="49" t="s">
        <v>69</v>
      </c>
      <c r="E69" s="50">
        <v>170646400</v>
      </c>
      <c r="F69" s="50">
        <v>55646400</v>
      </c>
      <c r="G69" s="50">
        <v>55646400</v>
      </c>
      <c r="H69" s="50">
        <v>0</v>
      </c>
      <c r="I69" s="50">
        <v>1404.6</v>
      </c>
      <c r="J69" s="50">
        <v>0</v>
      </c>
      <c r="K69" s="50">
        <v>45161024.82</v>
      </c>
      <c r="L69" s="152">
        <f t="shared" si="0"/>
        <v>0.81157136526352114</v>
      </c>
      <c r="M69" s="50">
        <v>45161024.82</v>
      </c>
      <c r="N69" s="152">
        <f t="shared" si="1"/>
        <v>0.81157136526352114</v>
      </c>
      <c r="O69" s="50">
        <v>10483970.58</v>
      </c>
      <c r="P69" s="152">
        <f t="shared" si="2"/>
        <v>0.18840339321142069</v>
      </c>
      <c r="Q69" s="50">
        <v>10483970.58</v>
      </c>
      <c r="R69" s="257"/>
    </row>
    <row r="70" spans="1:18" hidden="1" x14ac:dyDescent="0.25">
      <c r="A70" s="49" t="s">
        <v>704</v>
      </c>
      <c r="B70" s="49" t="s">
        <v>88</v>
      </c>
      <c r="C70" s="49" t="s">
        <v>89</v>
      </c>
      <c r="D70" s="49" t="s">
        <v>69</v>
      </c>
      <c r="E70" s="50">
        <v>166773800</v>
      </c>
      <c r="F70" s="50">
        <v>163855000</v>
      </c>
      <c r="G70" s="50">
        <v>163855000</v>
      </c>
      <c r="H70" s="50">
        <v>0</v>
      </c>
      <c r="I70" s="50">
        <v>0</v>
      </c>
      <c r="J70" s="50">
        <v>0</v>
      </c>
      <c r="K70" s="50">
        <v>153200726.34999999</v>
      </c>
      <c r="L70" s="152">
        <f t="shared" si="0"/>
        <v>0.93497742729852606</v>
      </c>
      <c r="M70" s="50">
        <v>153200726.34999999</v>
      </c>
      <c r="N70" s="152">
        <f t="shared" si="1"/>
        <v>0.93497742729852606</v>
      </c>
      <c r="O70" s="50">
        <v>10654273.65</v>
      </c>
      <c r="P70" s="152">
        <f t="shared" si="2"/>
        <v>6.5022572701473866E-2</v>
      </c>
      <c r="Q70" s="50">
        <v>10654273.65</v>
      </c>
      <c r="R70" s="257"/>
    </row>
    <row r="71" spans="1:18" hidden="1" x14ac:dyDescent="0.25">
      <c r="A71" s="49" t="s">
        <v>704</v>
      </c>
      <c r="B71" s="49" t="s">
        <v>83</v>
      </c>
      <c r="C71" s="49" t="s">
        <v>84</v>
      </c>
      <c r="D71" s="49" t="s">
        <v>85</v>
      </c>
      <c r="E71" s="50">
        <v>185639998</v>
      </c>
      <c r="F71" s="50">
        <v>180267612</v>
      </c>
      <c r="G71" s="50">
        <v>180267612</v>
      </c>
      <c r="H71" s="50">
        <v>0</v>
      </c>
      <c r="I71" s="50">
        <v>0</v>
      </c>
      <c r="J71" s="50">
        <v>0</v>
      </c>
      <c r="K71" s="50">
        <v>165223979.22</v>
      </c>
      <c r="L71" s="152">
        <f t="shared" si="0"/>
        <v>0.91654833270881741</v>
      </c>
      <c r="M71" s="50">
        <v>165223979.22</v>
      </c>
      <c r="N71" s="152">
        <f t="shared" si="1"/>
        <v>0.91654833270881741</v>
      </c>
      <c r="O71" s="50">
        <v>15043632.779999999</v>
      </c>
      <c r="P71" s="152">
        <f t="shared" si="2"/>
        <v>8.3451667291182613E-2</v>
      </c>
      <c r="Q71" s="50">
        <v>15043632.779999999</v>
      </c>
      <c r="R71" s="257"/>
    </row>
    <row r="72" spans="1:18" hidden="1" x14ac:dyDescent="0.25">
      <c r="A72" s="49" t="s">
        <v>704</v>
      </c>
      <c r="B72" s="49" t="s">
        <v>90</v>
      </c>
      <c r="C72" s="49" t="s">
        <v>91</v>
      </c>
      <c r="D72" s="49" t="s">
        <v>69</v>
      </c>
      <c r="E72" s="50">
        <v>217285640</v>
      </c>
      <c r="F72" s="50">
        <v>210997433</v>
      </c>
      <c r="G72" s="50">
        <v>210997433</v>
      </c>
      <c r="H72" s="50">
        <v>0</v>
      </c>
      <c r="I72" s="50">
        <v>0</v>
      </c>
      <c r="J72" s="50">
        <v>0</v>
      </c>
      <c r="K72" s="50">
        <v>190510766</v>
      </c>
      <c r="L72" s="152">
        <f t="shared" si="0"/>
        <v>0.90290561023081262</v>
      </c>
      <c r="M72" s="50">
        <v>190510766</v>
      </c>
      <c r="N72" s="152">
        <f t="shared" si="1"/>
        <v>0.90290561023081262</v>
      </c>
      <c r="O72" s="50">
        <v>20486667</v>
      </c>
      <c r="P72" s="152">
        <f t="shared" si="2"/>
        <v>9.7094389769187384E-2</v>
      </c>
      <c r="Q72" s="50">
        <v>20486667</v>
      </c>
      <c r="R72" s="257"/>
    </row>
    <row r="73" spans="1:18" hidden="1" x14ac:dyDescent="0.25">
      <c r="A73" s="49" t="s">
        <v>704</v>
      </c>
      <c r="B73" s="49" t="s">
        <v>418</v>
      </c>
      <c r="C73" s="49" t="s">
        <v>697</v>
      </c>
      <c r="D73" s="49" t="s">
        <v>69</v>
      </c>
      <c r="E73" s="50">
        <v>206142800</v>
      </c>
      <c r="F73" s="50">
        <v>200177066</v>
      </c>
      <c r="G73" s="50">
        <v>200177066</v>
      </c>
      <c r="H73" s="50">
        <v>0</v>
      </c>
      <c r="I73" s="50">
        <v>0</v>
      </c>
      <c r="J73" s="50">
        <v>0</v>
      </c>
      <c r="K73" s="50">
        <v>180741199</v>
      </c>
      <c r="L73" s="152">
        <f t="shared" si="0"/>
        <v>0.90290662467797389</v>
      </c>
      <c r="M73" s="50">
        <v>180741199</v>
      </c>
      <c r="N73" s="152">
        <f t="shared" si="1"/>
        <v>0.90290662467797389</v>
      </c>
      <c r="O73" s="50">
        <v>19435867</v>
      </c>
      <c r="P73" s="152">
        <f t="shared" si="2"/>
        <v>9.7093375322026151E-2</v>
      </c>
      <c r="Q73" s="50">
        <v>19435867</v>
      </c>
      <c r="R73" s="257"/>
    </row>
    <row r="74" spans="1:18" hidden="1" x14ac:dyDescent="0.25">
      <c r="A74" s="49" t="s">
        <v>704</v>
      </c>
      <c r="B74" s="49" t="s">
        <v>435</v>
      </c>
      <c r="C74" s="49" t="s">
        <v>95</v>
      </c>
      <c r="D74" s="49" t="s">
        <v>69</v>
      </c>
      <c r="E74" s="50">
        <v>11142840</v>
      </c>
      <c r="F74" s="50">
        <v>10820367</v>
      </c>
      <c r="G74" s="50">
        <v>10820367</v>
      </c>
      <c r="H74" s="50">
        <v>0</v>
      </c>
      <c r="I74" s="50">
        <v>0</v>
      </c>
      <c r="J74" s="50">
        <v>0</v>
      </c>
      <c r="K74" s="50">
        <v>9769567</v>
      </c>
      <c r="L74" s="152">
        <f t="shared" si="0"/>
        <v>0.90288684293240695</v>
      </c>
      <c r="M74" s="50">
        <v>9769567</v>
      </c>
      <c r="N74" s="152">
        <f t="shared" si="1"/>
        <v>0.90288684293240695</v>
      </c>
      <c r="O74" s="50">
        <v>1050800</v>
      </c>
      <c r="P74" s="152">
        <f t="shared" si="2"/>
        <v>9.7113157067592992E-2</v>
      </c>
      <c r="Q74" s="50">
        <v>1050800</v>
      </c>
      <c r="R74" s="257"/>
    </row>
    <row r="75" spans="1:18" hidden="1" x14ac:dyDescent="0.25">
      <c r="A75" s="49" t="s">
        <v>704</v>
      </c>
      <c r="B75" s="49" t="s">
        <v>96</v>
      </c>
      <c r="C75" s="49" t="s">
        <v>97</v>
      </c>
      <c r="D75" s="49" t="s">
        <v>69</v>
      </c>
      <c r="E75" s="50">
        <v>217285540</v>
      </c>
      <c r="F75" s="50">
        <v>210997327</v>
      </c>
      <c r="G75" s="50">
        <v>210997327</v>
      </c>
      <c r="H75" s="50">
        <v>0</v>
      </c>
      <c r="I75" s="50">
        <v>0</v>
      </c>
      <c r="J75" s="50">
        <v>0</v>
      </c>
      <c r="K75" s="50">
        <v>190132600</v>
      </c>
      <c r="L75" s="152">
        <f t="shared" si="0"/>
        <v>0.90111378519975283</v>
      </c>
      <c r="M75" s="50">
        <v>190132600</v>
      </c>
      <c r="N75" s="152">
        <f t="shared" si="1"/>
        <v>0.90111378519975283</v>
      </c>
      <c r="O75" s="50">
        <v>20864727</v>
      </c>
      <c r="P75" s="152">
        <f t="shared" si="2"/>
        <v>9.8886214800247202E-2</v>
      </c>
      <c r="Q75" s="50">
        <v>20864727</v>
      </c>
      <c r="R75" s="257"/>
    </row>
    <row r="76" spans="1:18" hidden="1" x14ac:dyDescent="0.25">
      <c r="A76" s="49" t="s">
        <v>704</v>
      </c>
      <c r="B76" s="49" t="s">
        <v>453</v>
      </c>
      <c r="C76" s="49" t="s">
        <v>698</v>
      </c>
      <c r="D76" s="49" t="s">
        <v>69</v>
      </c>
      <c r="E76" s="50">
        <v>116999976</v>
      </c>
      <c r="F76" s="50">
        <v>113614017</v>
      </c>
      <c r="G76" s="50">
        <v>113614017</v>
      </c>
      <c r="H76" s="50">
        <v>0</v>
      </c>
      <c r="I76" s="50">
        <v>0</v>
      </c>
      <c r="J76" s="50">
        <v>0</v>
      </c>
      <c r="K76" s="50">
        <v>102206275</v>
      </c>
      <c r="L76" s="152">
        <f t="shared" si="0"/>
        <v>0.89959212515124787</v>
      </c>
      <c r="M76" s="50">
        <v>102206275</v>
      </c>
      <c r="N76" s="152">
        <f t="shared" si="1"/>
        <v>0.89959212515124787</v>
      </c>
      <c r="O76" s="50">
        <v>11407742</v>
      </c>
      <c r="P76" s="152">
        <f t="shared" si="2"/>
        <v>0.10040787484875216</v>
      </c>
      <c r="Q76" s="50">
        <v>11407742</v>
      </c>
      <c r="R76" s="257"/>
    </row>
    <row r="77" spans="1:18" hidden="1" x14ac:dyDescent="0.25">
      <c r="A77" s="49" t="s">
        <v>704</v>
      </c>
      <c r="B77" s="49" t="s">
        <v>470</v>
      </c>
      <c r="C77" s="49" t="s">
        <v>699</v>
      </c>
      <c r="D77" s="49" t="s">
        <v>69</v>
      </c>
      <c r="E77" s="50">
        <v>33428521</v>
      </c>
      <c r="F77" s="50">
        <v>37661103</v>
      </c>
      <c r="G77" s="50">
        <v>37661103</v>
      </c>
      <c r="H77" s="50">
        <v>0</v>
      </c>
      <c r="I77" s="50">
        <v>0</v>
      </c>
      <c r="J77" s="50">
        <v>0</v>
      </c>
      <c r="K77" s="50">
        <v>34060283</v>
      </c>
      <c r="L77" s="152">
        <f t="shared" si="0"/>
        <v>0.90438888632656356</v>
      </c>
      <c r="M77" s="50">
        <v>34060283</v>
      </c>
      <c r="N77" s="152">
        <f t="shared" si="1"/>
        <v>0.90438888632656356</v>
      </c>
      <c r="O77" s="50">
        <v>3600820</v>
      </c>
      <c r="P77" s="152">
        <f t="shared" si="2"/>
        <v>9.5611113673436485E-2</v>
      </c>
      <c r="Q77" s="50">
        <v>3600820</v>
      </c>
      <c r="R77" s="257"/>
    </row>
    <row r="78" spans="1:18" hidden="1" x14ac:dyDescent="0.25">
      <c r="A78" s="49" t="s">
        <v>704</v>
      </c>
      <c r="B78" s="49" t="s">
        <v>487</v>
      </c>
      <c r="C78" s="49" t="s">
        <v>700</v>
      </c>
      <c r="D78" s="49" t="s">
        <v>69</v>
      </c>
      <c r="E78" s="50">
        <v>66857043</v>
      </c>
      <c r="F78" s="50">
        <v>59722207</v>
      </c>
      <c r="G78" s="50">
        <v>59722207</v>
      </c>
      <c r="H78" s="50">
        <v>0</v>
      </c>
      <c r="I78" s="50">
        <v>0</v>
      </c>
      <c r="J78" s="50">
        <v>0</v>
      </c>
      <c r="K78" s="50">
        <v>53866042</v>
      </c>
      <c r="L78" s="152">
        <f t="shared" si="0"/>
        <v>0.90194325872786318</v>
      </c>
      <c r="M78" s="50">
        <v>53866042</v>
      </c>
      <c r="N78" s="152">
        <f t="shared" si="1"/>
        <v>0.90194325872786318</v>
      </c>
      <c r="O78" s="50">
        <v>5856165</v>
      </c>
      <c r="P78" s="152">
        <f t="shared" si="2"/>
        <v>9.8056741272136844E-2</v>
      </c>
      <c r="Q78" s="50">
        <v>5856165</v>
      </c>
      <c r="R78" s="257"/>
    </row>
    <row r="79" spans="1:18" hidden="1" x14ac:dyDescent="0.25">
      <c r="A79" s="49" t="s">
        <v>704</v>
      </c>
      <c r="B79" s="49" t="s">
        <v>104</v>
      </c>
      <c r="C79" s="49" t="s">
        <v>105</v>
      </c>
      <c r="D79" s="49" t="s">
        <v>69</v>
      </c>
      <c r="E79" s="50">
        <v>261541565</v>
      </c>
      <c r="F79" s="50">
        <v>249886315</v>
      </c>
      <c r="G79" s="50">
        <v>249886315</v>
      </c>
      <c r="H79" s="50">
        <v>0</v>
      </c>
      <c r="I79" s="50">
        <v>21546564.91</v>
      </c>
      <c r="J79" s="50">
        <v>0</v>
      </c>
      <c r="K79" s="50">
        <v>211377413.59</v>
      </c>
      <c r="L79" s="152">
        <f t="shared" si="0"/>
        <v>0.8458943163414131</v>
      </c>
      <c r="M79" s="50">
        <v>186967519.43000001</v>
      </c>
      <c r="N79" s="152">
        <f t="shared" si="1"/>
        <v>0.74821031888040768</v>
      </c>
      <c r="O79" s="50">
        <v>16962336.5</v>
      </c>
      <c r="P79" s="152">
        <f t="shared" si="2"/>
        <v>6.7880213848445448E-2</v>
      </c>
      <c r="Q79" s="50">
        <v>16962336.5</v>
      </c>
      <c r="R79" s="257"/>
    </row>
    <row r="80" spans="1:18" hidden="1" x14ac:dyDescent="0.25">
      <c r="A80" s="49" t="s">
        <v>704</v>
      </c>
      <c r="B80" s="49" t="s">
        <v>106</v>
      </c>
      <c r="C80" s="49" t="s">
        <v>107</v>
      </c>
      <c r="D80" s="49" t="s">
        <v>69</v>
      </c>
      <c r="E80" s="50">
        <v>90013380</v>
      </c>
      <c r="F80" s="50">
        <v>90013380</v>
      </c>
      <c r="G80" s="50">
        <v>90013380</v>
      </c>
      <c r="H80" s="50">
        <v>0</v>
      </c>
      <c r="I80" s="50">
        <v>593437.46</v>
      </c>
      <c r="J80" s="50">
        <v>0</v>
      </c>
      <c r="K80" s="50">
        <v>76251609.890000001</v>
      </c>
      <c r="L80" s="152">
        <f t="shared" si="0"/>
        <v>0.84711417224861463</v>
      </c>
      <c r="M80" s="50">
        <v>66788454.259999998</v>
      </c>
      <c r="N80" s="152">
        <f t="shared" si="1"/>
        <v>0.74198362798952777</v>
      </c>
      <c r="O80" s="50">
        <v>13168332.65</v>
      </c>
      <c r="P80" s="152">
        <f t="shared" si="2"/>
        <v>0.14629305832088518</v>
      </c>
      <c r="Q80" s="50">
        <v>13168332.65</v>
      </c>
      <c r="R80" s="257"/>
    </row>
    <row r="81" spans="1:18" hidden="1" x14ac:dyDescent="0.25">
      <c r="A81" s="49" t="s">
        <v>704</v>
      </c>
      <c r="B81" s="49" t="s">
        <v>108</v>
      </c>
      <c r="C81" s="49" t="s">
        <v>109</v>
      </c>
      <c r="D81" s="49" t="s">
        <v>69</v>
      </c>
      <c r="E81" s="50">
        <v>0</v>
      </c>
      <c r="F81" s="50">
        <v>90013379.840000004</v>
      </c>
      <c r="G81" s="50">
        <v>90013379.840000004</v>
      </c>
      <c r="H81" s="50">
        <v>0</v>
      </c>
      <c r="I81" s="50">
        <v>593437.46</v>
      </c>
      <c r="J81" s="50">
        <v>0</v>
      </c>
      <c r="K81" s="50">
        <v>76251609.890000001</v>
      </c>
      <c r="L81" s="152">
        <f t="shared" si="0"/>
        <v>0.84711417375437148</v>
      </c>
      <c r="M81" s="50">
        <v>66788454.259999998</v>
      </c>
      <c r="N81" s="152">
        <f t="shared" si="1"/>
        <v>0.74198362930841366</v>
      </c>
      <c r="O81" s="50">
        <v>13168332.49</v>
      </c>
      <c r="P81" s="152">
        <f t="shared" si="2"/>
        <v>0.14629305680340954</v>
      </c>
      <c r="Q81" s="50">
        <v>13168332.49</v>
      </c>
      <c r="R81" s="257"/>
    </row>
    <row r="82" spans="1:18" hidden="1" x14ac:dyDescent="0.25">
      <c r="A82" s="49" t="s">
        <v>704</v>
      </c>
      <c r="B82" s="49" t="s">
        <v>304</v>
      </c>
      <c r="C82" s="49" t="s">
        <v>305</v>
      </c>
      <c r="D82" s="49" t="s">
        <v>69</v>
      </c>
      <c r="E82" s="50">
        <v>90013380</v>
      </c>
      <c r="F82" s="50">
        <v>0.16</v>
      </c>
      <c r="G82" s="50">
        <v>0.16</v>
      </c>
      <c r="H82" s="50">
        <v>0</v>
      </c>
      <c r="I82" s="50">
        <v>0</v>
      </c>
      <c r="J82" s="50">
        <v>0</v>
      </c>
      <c r="K82" s="50">
        <v>0</v>
      </c>
      <c r="L82" s="152">
        <f t="shared" si="0"/>
        <v>0</v>
      </c>
      <c r="M82" s="50">
        <v>0</v>
      </c>
      <c r="N82" s="152">
        <f t="shared" si="1"/>
        <v>0</v>
      </c>
      <c r="O82" s="50">
        <v>0.16</v>
      </c>
      <c r="P82" s="152">
        <f t="shared" si="2"/>
        <v>1</v>
      </c>
      <c r="Q82" s="50">
        <v>0.16</v>
      </c>
      <c r="R82" s="257"/>
    </row>
    <row r="83" spans="1:18" hidden="1" x14ac:dyDescent="0.25">
      <c r="A83" s="49" t="s">
        <v>704</v>
      </c>
      <c r="B83" s="49" t="s">
        <v>112</v>
      </c>
      <c r="C83" s="49" t="s">
        <v>113</v>
      </c>
      <c r="D83" s="49" t="s">
        <v>69</v>
      </c>
      <c r="E83" s="50">
        <v>105953785</v>
      </c>
      <c r="F83" s="50">
        <v>102953785</v>
      </c>
      <c r="G83" s="50">
        <v>102953785</v>
      </c>
      <c r="H83" s="50">
        <v>0</v>
      </c>
      <c r="I83" s="50">
        <v>14988040.550000001</v>
      </c>
      <c r="J83" s="50">
        <v>0</v>
      </c>
      <c r="K83" s="50">
        <v>86781208.840000004</v>
      </c>
      <c r="L83" s="152">
        <f t="shared" si="0"/>
        <v>0.84291421476150685</v>
      </c>
      <c r="M83" s="50">
        <v>79741641.459999993</v>
      </c>
      <c r="N83" s="152">
        <f t="shared" si="1"/>
        <v>0.77453822081431967</v>
      </c>
      <c r="O83" s="50">
        <v>1184535.6100000001</v>
      </c>
      <c r="P83" s="152">
        <f t="shared" si="2"/>
        <v>1.1505508126777466E-2</v>
      </c>
      <c r="Q83" s="50">
        <v>1184535.6100000001</v>
      </c>
      <c r="R83" s="257"/>
    </row>
    <row r="84" spans="1:18" hidden="1" x14ac:dyDescent="0.25">
      <c r="A84" s="49" t="s">
        <v>704</v>
      </c>
      <c r="B84" s="49" t="s">
        <v>114</v>
      </c>
      <c r="C84" s="49" t="s">
        <v>115</v>
      </c>
      <c r="D84" s="49" t="s">
        <v>69</v>
      </c>
      <c r="E84" s="50">
        <v>8169861</v>
      </c>
      <c r="F84" s="50">
        <v>6169861</v>
      </c>
      <c r="G84" s="50">
        <v>6169861</v>
      </c>
      <c r="H84" s="50">
        <v>0</v>
      </c>
      <c r="I84" s="50">
        <v>1002697</v>
      </c>
      <c r="J84" s="50">
        <v>0</v>
      </c>
      <c r="K84" s="50">
        <v>4012758</v>
      </c>
      <c r="L84" s="152">
        <f t="shared" si="0"/>
        <v>0.65038061635424205</v>
      </c>
      <c r="M84" s="50">
        <v>4012758</v>
      </c>
      <c r="N84" s="152">
        <f t="shared" si="1"/>
        <v>0.65038061635424205</v>
      </c>
      <c r="O84" s="50">
        <v>1154406</v>
      </c>
      <c r="P84" s="152">
        <f t="shared" si="2"/>
        <v>0.18710405307348091</v>
      </c>
      <c r="Q84" s="50">
        <v>1154406</v>
      </c>
      <c r="R84" s="257"/>
    </row>
    <row r="85" spans="1:18" hidden="1" x14ac:dyDescent="0.25">
      <c r="A85" s="49" t="s">
        <v>704</v>
      </c>
      <c r="B85" s="49" t="s">
        <v>116</v>
      </c>
      <c r="C85" s="49" t="s">
        <v>117</v>
      </c>
      <c r="D85" s="49" t="s">
        <v>69</v>
      </c>
      <c r="E85" s="50">
        <v>49884000</v>
      </c>
      <c r="F85" s="50">
        <v>49884000</v>
      </c>
      <c r="G85" s="50">
        <v>49884000</v>
      </c>
      <c r="H85" s="50">
        <v>0</v>
      </c>
      <c r="I85" s="50">
        <v>8032155.5999999996</v>
      </c>
      <c r="J85" s="50">
        <v>0</v>
      </c>
      <c r="K85" s="50">
        <v>41851844.399999999</v>
      </c>
      <c r="L85" s="152">
        <f t="shared" si="0"/>
        <v>0.83898332932403175</v>
      </c>
      <c r="M85" s="50">
        <v>41851844.399999999</v>
      </c>
      <c r="N85" s="152">
        <f t="shared" si="1"/>
        <v>0.83898332932403175</v>
      </c>
      <c r="O85" s="50">
        <v>0</v>
      </c>
      <c r="P85" s="152">
        <f t="shared" si="2"/>
        <v>0</v>
      </c>
      <c r="Q85" s="50">
        <v>0</v>
      </c>
      <c r="R85" s="257"/>
    </row>
    <row r="86" spans="1:18" hidden="1" x14ac:dyDescent="0.25">
      <c r="A86" s="49" t="s">
        <v>704</v>
      </c>
      <c r="B86" s="49" t="s">
        <v>118</v>
      </c>
      <c r="C86" s="49" t="s">
        <v>119</v>
      </c>
      <c r="D86" s="49" t="s">
        <v>69</v>
      </c>
      <c r="E86" s="50">
        <v>19924</v>
      </c>
      <c r="F86" s="50">
        <v>19924</v>
      </c>
      <c r="G86" s="50">
        <v>19924</v>
      </c>
      <c r="H86" s="50">
        <v>0</v>
      </c>
      <c r="I86" s="50">
        <v>0</v>
      </c>
      <c r="J86" s="50">
        <v>0</v>
      </c>
      <c r="K86" s="50">
        <v>18925</v>
      </c>
      <c r="L86" s="152">
        <f t="shared" si="0"/>
        <v>0.9498594659706886</v>
      </c>
      <c r="M86" s="50">
        <v>18925</v>
      </c>
      <c r="N86" s="152">
        <f t="shared" si="1"/>
        <v>0.9498594659706886</v>
      </c>
      <c r="O86" s="50">
        <v>999</v>
      </c>
      <c r="P86" s="152">
        <f t="shared" si="2"/>
        <v>5.014053402931138E-2</v>
      </c>
      <c r="Q86" s="50">
        <v>999</v>
      </c>
      <c r="R86" s="257"/>
    </row>
    <row r="87" spans="1:18" hidden="1" x14ac:dyDescent="0.25">
      <c r="A87" s="49" t="s">
        <v>704</v>
      </c>
      <c r="B87" s="49" t="s">
        <v>120</v>
      </c>
      <c r="C87" s="49" t="s">
        <v>121</v>
      </c>
      <c r="D87" s="49" t="s">
        <v>69</v>
      </c>
      <c r="E87" s="50">
        <v>47460000</v>
      </c>
      <c r="F87" s="50">
        <v>46460000</v>
      </c>
      <c r="G87" s="50">
        <v>46460000</v>
      </c>
      <c r="H87" s="50">
        <v>0</v>
      </c>
      <c r="I87" s="50">
        <v>5690123.9500000002</v>
      </c>
      <c r="J87" s="50">
        <v>0</v>
      </c>
      <c r="K87" s="50">
        <v>40769875.609999999</v>
      </c>
      <c r="L87" s="152">
        <f t="shared" si="0"/>
        <v>0.87752637989668536</v>
      </c>
      <c r="M87" s="50">
        <v>33752230.229999997</v>
      </c>
      <c r="N87" s="152">
        <f t="shared" si="1"/>
        <v>0.72647934201463615</v>
      </c>
      <c r="O87" s="50">
        <v>0.44</v>
      </c>
      <c r="P87" s="152">
        <f t="shared" si="2"/>
        <v>9.4705122686181664E-9</v>
      </c>
      <c r="Q87" s="50">
        <v>0.44</v>
      </c>
      <c r="R87" s="257"/>
    </row>
    <row r="88" spans="1:18" hidden="1" x14ac:dyDescent="0.25">
      <c r="A88" s="49" t="s">
        <v>704</v>
      </c>
      <c r="B88" s="49" t="s">
        <v>122</v>
      </c>
      <c r="C88" s="49" t="s">
        <v>123</v>
      </c>
      <c r="D88" s="49" t="s">
        <v>69</v>
      </c>
      <c r="E88" s="50">
        <v>420000</v>
      </c>
      <c r="F88" s="50">
        <v>420000</v>
      </c>
      <c r="G88" s="50">
        <v>420000</v>
      </c>
      <c r="H88" s="50">
        <v>0</v>
      </c>
      <c r="I88" s="50">
        <v>263064</v>
      </c>
      <c r="J88" s="50">
        <v>0</v>
      </c>
      <c r="K88" s="50">
        <v>127805.83</v>
      </c>
      <c r="L88" s="152">
        <f t="shared" si="0"/>
        <v>0.30429959523809524</v>
      </c>
      <c r="M88" s="50">
        <v>105883.83</v>
      </c>
      <c r="N88" s="152">
        <f t="shared" si="1"/>
        <v>0.25210435714285717</v>
      </c>
      <c r="O88" s="50">
        <v>29130.17</v>
      </c>
      <c r="P88" s="152">
        <f t="shared" si="2"/>
        <v>6.935754761904761E-2</v>
      </c>
      <c r="Q88" s="50">
        <v>29130.17</v>
      </c>
      <c r="R88" s="257"/>
    </row>
    <row r="89" spans="1:18" hidden="1" x14ac:dyDescent="0.25">
      <c r="A89" s="49" t="s">
        <v>704</v>
      </c>
      <c r="B89" s="49" t="s">
        <v>124</v>
      </c>
      <c r="C89" s="49" t="s">
        <v>125</v>
      </c>
      <c r="D89" s="49" t="s">
        <v>69</v>
      </c>
      <c r="E89" s="50">
        <v>8000000</v>
      </c>
      <c r="F89" s="50">
        <v>10750000</v>
      </c>
      <c r="G89" s="50">
        <v>10750000</v>
      </c>
      <c r="H89" s="50">
        <v>0</v>
      </c>
      <c r="I89" s="50">
        <v>1266744.5</v>
      </c>
      <c r="J89" s="50">
        <v>0</v>
      </c>
      <c r="K89" s="50">
        <v>9157455.9800000004</v>
      </c>
      <c r="L89" s="152">
        <f t="shared" si="0"/>
        <v>0.85185637023255822</v>
      </c>
      <c r="M89" s="50">
        <v>7854616</v>
      </c>
      <c r="N89" s="152">
        <f t="shared" si="1"/>
        <v>0.73066195348837204</v>
      </c>
      <c r="O89" s="50">
        <v>325799.52</v>
      </c>
      <c r="P89" s="152">
        <f t="shared" si="2"/>
        <v>3.0306932093023257E-2</v>
      </c>
      <c r="Q89" s="50">
        <v>325799.52</v>
      </c>
      <c r="R89" s="257"/>
    </row>
    <row r="90" spans="1:18" hidden="1" x14ac:dyDescent="0.25">
      <c r="A90" s="49" t="s">
        <v>704</v>
      </c>
      <c r="B90" s="49" t="s">
        <v>126</v>
      </c>
      <c r="C90" s="49" t="s">
        <v>127</v>
      </c>
      <c r="D90" s="49" t="s">
        <v>69</v>
      </c>
      <c r="E90" s="50">
        <v>7000000</v>
      </c>
      <c r="F90" s="50">
        <v>10450000</v>
      </c>
      <c r="G90" s="50">
        <v>10450000</v>
      </c>
      <c r="H90" s="50">
        <v>0</v>
      </c>
      <c r="I90" s="50">
        <v>1266744.5</v>
      </c>
      <c r="J90" s="50">
        <v>0</v>
      </c>
      <c r="K90" s="50">
        <v>9118809.9800000004</v>
      </c>
      <c r="L90" s="152">
        <f t="shared" si="0"/>
        <v>0.87261339521531101</v>
      </c>
      <c r="M90" s="50">
        <v>7815970</v>
      </c>
      <c r="N90" s="152">
        <f t="shared" si="1"/>
        <v>0.74793971291866024</v>
      </c>
      <c r="O90" s="50">
        <v>64445.52</v>
      </c>
      <c r="P90" s="152">
        <f t="shared" si="2"/>
        <v>6.1670354066985641E-3</v>
      </c>
      <c r="Q90" s="50">
        <v>64445.52</v>
      </c>
      <c r="R90" s="257"/>
    </row>
    <row r="91" spans="1:18" hidden="1" x14ac:dyDescent="0.25">
      <c r="A91" s="49" t="s">
        <v>704</v>
      </c>
      <c r="B91" s="49" t="s">
        <v>132</v>
      </c>
      <c r="C91" s="49" t="s">
        <v>133</v>
      </c>
      <c r="D91" s="49" t="s">
        <v>69</v>
      </c>
      <c r="E91" s="50">
        <v>1000000</v>
      </c>
      <c r="F91" s="50">
        <v>300000</v>
      </c>
      <c r="G91" s="50">
        <v>300000</v>
      </c>
      <c r="H91" s="50">
        <v>0</v>
      </c>
      <c r="I91" s="50">
        <v>0</v>
      </c>
      <c r="J91" s="50">
        <v>0</v>
      </c>
      <c r="K91" s="50">
        <v>38646</v>
      </c>
      <c r="L91" s="152">
        <f t="shared" si="0"/>
        <v>0.12881999999999999</v>
      </c>
      <c r="M91" s="50">
        <v>38646</v>
      </c>
      <c r="N91" s="152">
        <f t="shared" si="1"/>
        <v>0.12881999999999999</v>
      </c>
      <c r="O91" s="50">
        <v>261354</v>
      </c>
      <c r="P91" s="152">
        <f t="shared" si="2"/>
        <v>0.87117999999999995</v>
      </c>
      <c r="Q91" s="50">
        <v>261354</v>
      </c>
      <c r="R91" s="257"/>
    </row>
    <row r="92" spans="1:18" hidden="1" x14ac:dyDescent="0.25">
      <c r="A92" s="49" t="s">
        <v>704</v>
      </c>
      <c r="B92" s="49" t="s">
        <v>134</v>
      </c>
      <c r="C92" s="49" t="s">
        <v>135</v>
      </c>
      <c r="D92" s="49" t="s">
        <v>69</v>
      </c>
      <c r="E92" s="50">
        <v>3480000</v>
      </c>
      <c r="F92" s="50">
        <v>1480000</v>
      </c>
      <c r="G92" s="50">
        <v>1480000</v>
      </c>
      <c r="H92" s="50">
        <v>0</v>
      </c>
      <c r="I92" s="50">
        <v>130987.82</v>
      </c>
      <c r="J92" s="50">
        <v>0</v>
      </c>
      <c r="K92" s="50">
        <v>1348692.86</v>
      </c>
      <c r="L92" s="152">
        <f t="shared" si="0"/>
        <v>0.91127895945945958</v>
      </c>
      <c r="M92" s="50">
        <v>1030022.69</v>
      </c>
      <c r="N92" s="152">
        <f t="shared" si="1"/>
        <v>0.69596127702702704</v>
      </c>
      <c r="O92" s="50">
        <v>319.32</v>
      </c>
      <c r="P92" s="152">
        <f t="shared" si="2"/>
        <v>2.1575675675675676E-4</v>
      </c>
      <c r="Q92" s="50">
        <v>319.32</v>
      </c>
      <c r="R92" s="257"/>
    </row>
    <row r="93" spans="1:18" hidden="1" x14ac:dyDescent="0.25">
      <c r="A93" s="49" t="s">
        <v>704</v>
      </c>
      <c r="B93" s="49" t="s">
        <v>136</v>
      </c>
      <c r="C93" s="49" t="s">
        <v>137</v>
      </c>
      <c r="D93" s="49" t="s">
        <v>69</v>
      </c>
      <c r="E93" s="50">
        <v>2000000</v>
      </c>
      <c r="F93" s="50">
        <v>0</v>
      </c>
      <c r="G93" s="50">
        <v>0</v>
      </c>
      <c r="H93" s="50">
        <v>0</v>
      </c>
      <c r="I93" s="50">
        <v>0</v>
      </c>
      <c r="J93" s="50">
        <v>0</v>
      </c>
      <c r="K93" s="50">
        <v>0</v>
      </c>
      <c r="L93" s="152" t="e">
        <f t="shared" si="0"/>
        <v>#DIV/0!</v>
      </c>
      <c r="M93" s="50">
        <v>0</v>
      </c>
      <c r="N93" s="152" t="e">
        <f t="shared" si="1"/>
        <v>#DIV/0!</v>
      </c>
      <c r="O93" s="50">
        <v>0</v>
      </c>
      <c r="P93" s="152" t="e">
        <f t="shared" si="2"/>
        <v>#DIV/0!</v>
      </c>
      <c r="Q93" s="50">
        <v>0</v>
      </c>
      <c r="R93" s="257"/>
    </row>
    <row r="94" spans="1:18" hidden="1" x14ac:dyDescent="0.25">
      <c r="A94" s="49" t="s">
        <v>704</v>
      </c>
      <c r="B94" s="49" t="s">
        <v>138</v>
      </c>
      <c r="C94" s="49" t="s">
        <v>139</v>
      </c>
      <c r="D94" s="49" t="s">
        <v>69</v>
      </c>
      <c r="E94" s="50">
        <v>1480000</v>
      </c>
      <c r="F94" s="50">
        <v>1480000</v>
      </c>
      <c r="G94" s="50">
        <v>1480000</v>
      </c>
      <c r="H94" s="50">
        <v>0</v>
      </c>
      <c r="I94" s="50">
        <v>130987.82</v>
      </c>
      <c r="J94" s="50">
        <v>0</v>
      </c>
      <c r="K94" s="50">
        <v>1348692.86</v>
      </c>
      <c r="L94" s="152">
        <f t="shared" si="0"/>
        <v>0.91127895945945958</v>
      </c>
      <c r="M94" s="50">
        <v>1030022.69</v>
      </c>
      <c r="N94" s="152">
        <f t="shared" si="1"/>
        <v>0.69596127702702704</v>
      </c>
      <c r="O94" s="50">
        <v>319.32</v>
      </c>
      <c r="P94" s="152">
        <f t="shared" si="2"/>
        <v>2.1575675675675676E-4</v>
      </c>
      <c r="Q94" s="50">
        <v>319.32</v>
      </c>
      <c r="R94" s="257"/>
    </row>
    <row r="95" spans="1:18" hidden="1" x14ac:dyDescent="0.25">
      <c r="A95" s="49" t="s">
        <v>704</v>
      </c>
      <c r="B95" s="49" t="s">
        <v>140</v>
      </c>
      <c r="C95" s="49" t="s">
        <v>141</v>
      </c>
      <c r="D95" s="49" t="s">
        <v>69</v>
      </c>
      <c r="E95" s="50">
        <v>1500000</v>
      </c>
      <c r="F95" s="50">
        <v>791650</v>
      </c>
      <c r="G95" s="50">
        <v>791650</v>
      </c>
      <c r="H95" s="50">
        <v>0</v>
      </c>
      <c r="I95" s="50">
        <v>208350</v>
      </c>
      <c r="J95" s="50">
        <v>0</v>
      </c>
      <c r="K95" s="50">
        <v>389500</v>
      </c>
      <c r="L95" s="152">
        <f t="shared" si="0"/>
        <v>0.49201035811280236</v>
      </c>
      <c r="M95" s="50">
        <v>389500</v>
      </c>
      <c r="N95" s="152">
        <f t="shared" si="1"/>
        <v>0.49201035811280236</v>
      </c>
      <c r="O95" s="50">
        <v>193800</v>
      </c>
      <c r="P95" s="152">
        <f t="shared" si="2"/>
        <v>0.24480515379271142</v>
      </c>
      <c r="Q95" s="50">
        <v>193800</v>
      </c>
      <c r="R95" s="257"/>
    </row>
    <row r="96" spans="1:18" hidden="1" x14ac:dyDescent="0.25">
      <c r="A96" s="49" t="s">
        <v>704</v>
      </c>
      <c r="B96" s="49" t="s">
        <v>144</v>
      </c>
      <c r="C96" s="49" t="s">
        <v>145</v>
      </c>
      <c r="D96" s="49" t="s">
        <v>69</v>
      </c>
      <c r="E96" s="50">
        <v>1500000</v>
      </c>
      <c r="F96" s="50">
        <v>791650</v>
      </c>
      <c r="G96" s="50">
        <v>791650</v>
      </c>
      <c r="H96" s="50">
        <v>0</v>
      </c>
      <c r="I96" s="50">
        <v>208350</v>
      </c>
      <c r="J96" s="50">
        <v>0</v>
      </c>
      <c r="K96" s="50">
        <v>389500</v>
      </c>
      <c r="L96" s="152">
        <f t="shared" si="0"/>
        <v>0.49201035811280236</v>
      </c>
      <c r="M96" s="50">
        <v>389500</v>
      </c>
      <c r="N96" s="152">
        <f t="shared" si="1"/>
        <v>0.49201035811280236</v>
      </c>
      <c r="O96" s="50">
        <v>193800</v>
      </c>
      <c r="P96" s="152">
        <f t="shared" si="2"/>
        <v>0.24480515379271142</v>
      </c>
      <c r="Q96" s="50">
        <v>193800</v>
      </c>
      <c r="R96" s="257"/>
    </row>
    <row r="97" spans="1:18" hidden="1" x14ac:dyDescent="0.25">
      <c r="A97" s="49" t="s">
        <v>704</v>
      </c>
      <c r="B97" s="49" t="s">
        <v>150</v>
      </c>
      <c r="C97" s="49" t="s">
        <v>151</v>
      </c>
      <c r="D97" s="49" t="s">
        <v>69</v>
      </c>
      <c r="E97" s="50">
        <v>29000000</v>
      </c>
      <c r="F97" s="50">
        <v>24000000</v>
      </c>
      <c r="G97" s="50">
        <v>24000000</v>
      </c>
      <c r="H97" s="50">
        <v>0</v>
      </c>
      <c r="I97" s="50">
        <v>0</v>
      </c>
      <c r="J97" s="50">
        <v>0</v>
      </c>
      <c r="K97" s="50">
        <v>23906599</v>
      </c>
      <c r="L97" s="152">
        <f t="shared" si="0"/>
        <v>0.9961082916666667</v>
      </c>
      <c r="M97" s="50">
        <v>23906599</v>
      </c>
      <c r="N97" s="152">
        <f t="shared" si="1"/>
        <v>0.9961082916666667</v>
      </c>
      <c r="O97" s="50">
        <v>93401</v>
      </c>
      <c r="P97" s="152">
        <f t="shared" si="2"/>
        <v>3.8917083333333334E-3</v>
      </c>
      <c r="Q97" s="50">
        <v>93401</v>
      </c>
      <c r="R97" s="257"/>
    </row>
    <row r="98" spans="1:18" hidden="1" x14ac:dyDescent="0.25">
      <c r="A98" s="49" t="s">
        <v>704</v>
      </c>
      <c r="B98" s="49" t="s">
        <v>152</v>
      </c>
      <c r="C98" s="49" t="s">
        <v>153</v>
      </c>
      <c r="D98" s="49" t="s">
        <v>69</v>
      </c>
      <c r="E98" s="50">
        <v>29000000</v>
      </c>
      <c r="F98" s="50">
        <v>24000000</v>
      </c>
      <c r="G98" s="50">
        <v>24000000</v>
      </c>
      <c r="H98" s="50">
        <v>0</v>
      </c>
      <c r="I98" s="50">
        <v>0</v>
      </c>
      <c r="J98" s="50">
        <v>0</v>
      </c>
      <c r="K98" s="50">
        <v>23906599</v>
      </c>
      <c r="L98" s="152">
        <f t="shared" si="0"/>
        <v>0.9961082916666667</v>
      </c>
      <c r="M98" s="50">
        <v>23906599</v>
      </c>
      <c r="N98" s="152">
        <f t="shared" si="1"/>
        <v>0.9961082916666667</v>
      </c>
      <c r="O98" s="50">
        <v>93401</v>
      </c>
      <c r="P98" s="152">
        <f t="shared" si="2"/>
        <v>3.8917083333333334E-3</v>
      </c>
      <c r="Q98" s="50">
        <v>93401</v>
      </c>
      <c r="R98" s="257"/>
    </row>
    <row r="99" spans="1:18" hidden="1" x14ac:dyDescent="0.25">
      <c r="A99" s="49" t="s">
        <v>704</v>
      </c>
      <c r="B99" s="49" t="s">
        <v>154</v>
      </c>
      <c r="C99" s="49" t="s">
        <v>155</v>
      </c>
      <c r="D99" s="49" t="s">
        <v>69</v>
      </c>
      <c r="E99" s="50">
        <v>200000</v>
      </c>
      <c r="F99" s="50">
        <v>0</v>
      </c>
      <c r="G99" s="50">
        <v>0</v>
      </c>
      <c r="H99" s="50">
        <v>0</v>
      </c>
      <c r="I99" s="50">
        <v>0</v>
      </c>
      <c r="J99" s="50">
        <v>0</v>
      </c>
      <c r="K99" s="50">
        <v>0</v>
      </c>
      <c r="L99" s="152" t="e">
        <f t="shared" si="0"/>
        <v>#DIV/0!</v>
      </c>
      <c r="M99" s="50">
        <v>0</v>
      </c>
      <c r="N99" s="152" t="e">
        <f t="shared" si="1"/>
        <v>#DIV/0!</v>
      </c>
      <c r="O99" s="50">
        <v>0</v>
      </c>
      <c r="P99" s="152" t="e">
        <f t="shared" si="2"/>
        <v>#DIV/0!</v>
      </c>
      <c r="Q99" s="50">
        <v>0</v>
      </c>
      <c r="R99" s="257"/>
    </row>
    <row r="100" spans="1:18" hidden="1" x14ac:dyDescent="0.25">
      <c r="A100" s="49" t="s">
        <v>704</v>
      </c>
      <c r="B100" s="49" t="s">
        <v>160</v>
      </c>
      <c r="C100" s="49" t="s">
        <v>161</v>
      </c>
      <c r="D100" s="49" t="s">
        <v>69</v>
      </c>
      <c r="E100" s="50">
        <v>200000</v>
      </c>
      <c r="F100" s="50">
        <v>0</v>
      </c>
      <c r="G100" s="50">
        <v>0</v>
      </c>
      <c r="H100" s="50">
        <v>0</v>
      </c>
      <c r="I100" s="50">
        <v>0</v>
      </c>
      <c r="J100" s="50">
        <v>0</v>
      </c>
      <c r="K100" s="50">
        <v>0</v>
      </c>
      <c r="L100" s="152" t="e">
        <f t="shared" si="0"/>
        <v>#DIV/0!</v>
      </c>
      <c r="M100" s="50">
        <v>0</v>
      </c>
      <c r="N100" s="152" t="e">
        <f t="shared" si="1"/>
        <v>#DIV/0!</v>
      </c>
      <c r="O100" s="50">
        <v>0</v>
      </c>
      <c r="P100" s="152" t="e">
        <f t="shared" si="2"/>
        <v>#DIV/0!</v>
      </c>
      <c r="Q100" s="50">
        <v>0</v>
      </c>
      <c r="R100" s="257"/>
    </row>
    <row r="101" spans="1:18" hidden="1" x14ac:dyDescent="0.25">
      <c r="A101" s="49" t="s">
        <v>704</v>
      </c>
      <c r="B101" s="49" t="s">
        <v>162</v>
      </c>
      <c r="C101" s="49" t="s">
        <v>163</v>
      </c>
      <c r="D101" s="49" t="s">
        <v>69</v>
      </c>
      <c r="E101" s="50">
        <v>21394400</v>
      </c>
      <c r="F101" s="50">
        <v>17897500</v>
      </c>
      <c r="G101" s="50">
        <v>17897500</v>
      </c>
      <c r="H101" s="50">
        <v>0</v>
      </c>
      <c r="I101" s="50">
        <v>3334096.58</v>
      </c>
      <c r="J101" s="50">
        <v>0</v>
      </c>
      <c r="K101" s="50">
        <v>12567255.02</v>
      </c>
      <c r="L101" s="152">
        <f t="shared" si="0"/>
        <v>0.70217935577594637</v>
      </c>
      <c r="M101" s="50">
        <v>6928555.0199999996</v>
      </c>
      <c r="N101" s="152">
        <f t="shared" si="1"/>
        <v>0.38712418047213293</v>
      </c>
      <c r="O101" s="50">
        <v>1996148.4</v>
      </c>
      <c r="P101" s="152">
        <f t="shared" si="2"/>
        <v>0.11153224752060344</v>
      </c>
      <c r="Q101" s="50">
        <v>1996148.4</v>
      </c>
      <c r="R101" s="257"/>
    </row>
    <row r="102" spans="1:18" hidden="1" x14ac:dyDescent="0.25">
      <c r="A102" s="49" t="s">
        <v>704</v>
      </c>
      <c r="B102" s="49" t="s">
        <v>166</v>
      </c>
      <c r="C102" s="49" t="s">
        <v>167</v>
      </c>
      <c r="D102" s="49" t="s">
        <v>69</v>
      </c>
      <c r="E102" s="50">
        <v>13000000</v>
      </c>
      <c r="F102" s="50">
        <v>12988100</v>
      </c>
      <c r="G102" s="50">
        <v>12988100</v>
      </c>
      <c r="H102" s="50">
        <v>0</v>
      </c>
      <c r="I102" s="50">
        <v>2378281.2599999998</v>
      </c>
      <c r="J102" s="50">
        <v>0</v>
      </c>
      <c r="K102" s="50">
        <v>9948591.1899999995</v>
      </c>
      <c r="L102" s="152">
        <f t="shared" si="0"/>
        <v>0.7659774093208398</v>
      </c>
      <c r="M102" s="50">
        <v>4309891.1900000004</v>
      </c>
      <c r="N102" s="152">
        <f t="shared" si="1"/>
        <v>0.33183384713699465</v>
      </c>
      <c r="O102" s="50">
        <v>661227.55000000005</v>
      </c>
      <c r="P102" s="152">
        <f t="shared" si="2"/>
        <v>5.0910260161224512E-2</v>
      </c>
      <c r="Q102" s="50">
        <v>661227.55000000005</v>
      </c>
      <c r="R102" s="257"/>
    </row>
    <row r="103" spans="1:18" hidden="1" x14ac:dyDescent="0.25">
      <c r="A103" s="49" t="s">
        <v>704</v>
      </c>
      <c r="B103" s="49" t="s">
        <v>168</v>
      </c>
      <c r="C103" s="49" t="s">
        <v>169</v>
      </c>
      <c r="D103" s="49" t="s">
        <v>69</v>
      </c>
      <c r="E103" s="50">
        <v>6194400</v>
      </c>
      <c r="F103" s="50">
        <v>3194400</v>
      </c>
      <c r="G103" s="50">
        <v>3194400</v>
      </c>
      <c r="H103" s="50">
        <v>0</v>
      </c>
      <c r="I103" s="50">
        <v>272400</v>
      </c>
      <c r="J103" s="50">
        <v>0</v>
      </c>
      <c r="K103" s="50">
        <v>1708334</v>
      </c>
      <c r="L103" s="152">
        <f t="shared" si="0"/>
        <v>0.53479025795141499</v>
      </c>
      <c r="M103" s="50">
        <v>1708334</v>
      </c>
      <c r="N103" s="152">
        <f t="shared" si="1"/>
        <v>0.53479025795141499</v>
      </c>
      <c r="O103" s="50">
        <v>1213666</v>
      </c>
      <c r="P103" s="152">
        <f t="shared" si="2"/>
        <v>0.37993551214625593</v>
      </c>
      <c r="Q103" s="50">
        <v>1213666</v>
      </c>
      <c r="R103" s="257"/>
    </row>
    <row r="104" spans="1:18" hidden="1" x14ac:dyDescent="0.25">
      <c r="A104" s="49" t="s">
        <v>704</v>
      </c>
      <c r="B104" s="49" t="s">
        <v>172</v>
      </c>
      <c r="C104" s="49" t="s">
        <v>173</v>
      </c>
      <c r="D104" s="49" t="s">
        <v>69</v>
      </c>
      <c r="E104" s="50">
        <v>2200000</v>
      </c>
      <c r="F104" s="50">
        <v>1715000</v>
      </c>
      <c r="G104" s="50">
        <v>1715000</v>
      </c>
      <c r="H104" s="50">
        <v>0</v>
      </c>
      <c r="I104" s="50">
        <v>683415.32</v>
      </c>
      <c r="J104" s="50">
        <v>0</v>
      </c>
      <c r="K104" s="50">
        <v>910329.83</v>
      </c>
      <c r="L104" s="152">
        <f t="shared" si="0"/>
        <v>0.53080456559766764</v>
      </c>
      <c r="M104" s="50">
        <v>910329.83</v>
      </c>
      <c r="N104" s="152">
        <f t="shared" si="1"/>
        <v>0.53080456559766764</v>
      </c>
      <c r="O104" s="50">
        <v>121254.85</v>
      </c>
      <c r="P104" s="152">
        <f t="shared" si="2"/>
        <v>7.0702536443148695E-2</v>
      </c>
      <c r="Q104" s="50">
        <v>121254.85</v>
      </c>
      <c r="R104" s="257"/>
    </row>
    <row r="105" spans="1:18" hidden="1" x14ac:dyDescent="0.25">
      <c r="A105" s="49" t="s">
        <v>704</v>
      </c>
      <c r="B105" s="49" t="s">
        <v>174</v>
      </c>
      <c r="C105" s="49" t="s">
        <v>175</v>
      </c>
      <c r="D105" s="49" t="s">
        <v>69</v>
      </c>
      <c r="E105" s="50">
        <v>1000000</v>
      </c>
      <c r="F105" s="50">
        <v>1000000</v>
      </c>
      <c r="G105" s="50">
        <v>1000000</v>
      </c>
      <c r="H105" s="50">
        <v>0</v>
      </c>
      <c r="I105" s="50">
        <v>424908</v>
      </c>
      <c r="J105" s="50">
        <v>0</v>
      </c>
      <c r="K105" s="50">
        <v>575092</v>
      </c>
      <c r="L105" s="152">
        <f t="shared" si="0"/>
        <v>0.57509200000000005</v>
      </c>
      <c r="M105" s="50">
        <v>128131</v>
      </c>
      <c r="N105" s="152">
        <f t="shared" si="1"/>
        <v>0.12813099999999999</v>
      </c>
      <c r="O105" s="50">
        <v>0</v>
      </c>
      <c r="P105" s="152">
        <f t="shared" si="2"/>
        <v>0</v>
      </c>
      <c r="Q105" s="50">
        <v>0</v>
      </c>
      <c r="R105" s="257"/>
    </row>
    <row r="106" spans="1:18" hidden="1" x14ac:dyDescent="0.25">
      <c r="A106" s="49" t="s">
        <v>704</v>
      </c>
      <c r="B106" s="49" t="s">
        <v>176</v>
      </c>
      <c r="C106" s="49" t="s">
        <v>177</v>
      </c>
      <c r="D106" s="49" t="s">
        <v>69</v>
      </c>
      <c r="E106" s="50">
        <v>1000000</v>
      </c>
      <c r="F106" s="50">
        <v>1000000</v>
      </c>
      <c r="G106" s="50">
        <v>1000000</v>
      </c>
      <c r="H106" s="50">
        <v>0</v>
      </c>
      <c r="I106" s="50">
        <v>424908</v>
      </c>
      <c r="J106" s="50">
        <v>0</v>
      </c>
      <c r="K106" s="50">
        <v>575092</v>
      </c>
      <c r="L106" s="152">
        <f t="shared" si="0"/>
        <v>0.57509200000000005</v>
      </c>
      <c r="M106" s="50">
        <v>128131</v>
      </c>
      <c r="N106" s="152">
        <f t="shared" si="1"/>
        <v>0.12813099999999999</v>
      </c>
      <c r="O106" s="50">
        <v>0</v>
      </c>
      <c r="P106" s="152">
        <f t="shared" si="2"/>
        <v>0</v>
      </c>
      <c r="Q106" s="50">
        <v>0</v>
      </c>
      <c r="R106" s="257"/>
    </row>
    <row r="107" spans="1:18" hidden="1" x14ac:dyDescent="0.25">
      <c r="A107" s="49" t="s">
        <v>704</v>
      </c>
      <c r="B107" s="49" t="s">
        <v>178</v>
      </c>
      <c r="C107" s="49" t="s">
        <v>179</v>
      </c>
      <c r="D107" s="49" t="s">
        <v>69</v>
      </c>
      <c r="E107" s="50">
        <v>1000000</v>
      </c>
      <c r="F107" s="50">
        <v>1000000</v>
      </c>
      <c r="G107" s="50">
        <v>1000000</v>
      </c>
      <c r="H107" s="50">
        <v>0</v>
      </c>
      <c r="I107" s="50">
        <v>600000</v>
      </c>
      <c r="J107" s="50">
        <v>0</v>
      </c>
      <c r="K107" s="50">
        <v>400000</v>
      </c>
      <c r="L107" s="152">
        <f t="shared" si="0"/>
        <v>0.4</v>
      </c>
      <c r="M107" s="50">
        <v>200000</v>
      </c>
      <c r="N107" s="152">
        <f t="shared" si="1"/>
        <v>0.2</v>
      </c>
      <c r="O107" s="50">
        <v>0</v>
      </c>
      <c r="P107" s="152">
        <f t="shared" si="2"/>
        <v>0</v>
      </c>
      <c r="Q107" s="50">
        <v>0</v>
      </c>
      <c r="R107" s="257"/>
    </row>
    <row r="108" spans="1:18" hidden="1" x14ac:dyDescent="0.25">
      <c r="A108" s="49" t="s">
        <v>704</v>
      </c>
      <c r="B108" s="49" t="s">
        <v>182</v>
      </c>
      <c r="C108" s="49" t="s">
        <v>183</v>
      </c>
      <c r="D108" s="49" t="s">
        <v>69</v>
      </c>
      <c r="E108" s="50">
        <v>1000000</v>
      </c>
      <c r="F108" s="50">
        <v>1000000</v>
      </c>
      <c r="G108" s="50">
        <v>1000000</v>
      </c>
      <c r="H108" s="50">
        <v>0</v>
      </c>
      <c r="I108" s="50">
        <v>600000</v>
      </c>
      <c r="J108" s="50">
        <v>0</v>
      </c>
      <c r="K108" s="50">
        <v>400000</v>
      </c>
      <c r="L108" s="152">
        <f t="shared" si="0"/>
        <v>0.4</v>
      </c>
      <c r="M108" s="50">
        <v>200000</v>
      </c>
      <c r="N108" s="152">
        <f t="shared" si="1"/>
        <v>0.2</v>
      </c>
      <c r="O108" s="50">
        <v>0</v>
      </c>
      <c r="P108" s="152">
        <f t="shared" si="2"/>
        <v>0</v>
      </c>
      <c r="Q108" s="50">
        <v>0</v>
      </c>
      <c r="R108" s="257"/>
    </row>
    <row r="109" spans="1:18" hidden="1" x14ac:dyDescent="0.25">
      <c r="A109" s="49" t="s">
        <v>704</v>
      </c>
      <c r="B109" s="49" t="s">
        <v>184</v>
      </c>
      <c r="C109" s="49" t="s">
        <v>185</v>
      </c>
      <c r="D109" s="49" t="s">
        <v>69</v>
      </c>
      <c r="E109" s="50">
        <v>40981500</v>
      </c>
      <c r="F109" s="50">
        <v>33070115</v>
      </c>
      <c r="G109" s="50">
        <v>33070115</v>
      </c>
      <c r="H109" s="50">
        <v>0</v>
      </c>
      <c r="I109" s="50">
        <v>3090160.42</v>
      </c>
      <c r="J109" s="50">
        <v>0</v>
      </c>
      <c r="K109" s="50">
        <v>28552435.609999999</v>
      </c>
      <c r="L109" s="152">
        <f t="shared" si="0"/>
        <v>0.86339087753399102</v>
      </c>
      <c r="M109" s="50">
        <v>28395365.609999999</v>
      </c>
      <c r="N109" s="152">
        <f t="shared" si="1"/>
        <v>0.85864127203670138</v>
      </c>
      <c r="O109" s="50">
        <v>1427518.97</v>
      </c>
      <c r="P109" s="152">
        <f t="shared" si="2"/>
        <v>4.3166435012397142E-2</v>
      </c>
      <c r="Q109" s="50">
        <v>1427518.97</v>
      </c>
      <c r="R109" s="257"/>
    </row>
    <row r="110" spans="1:18" hidden="1" x14ac:dyDescent="0.25">
      <c r="A110" s="49" t="s">
        <v>704</v>
      </c>
      <c r="B110" s="49" t="s">
        <v>186</v>
      </c>
      <c r="C110" s="49" t="s">
        <v>187</v>
      </c>
      <c r="D110" s="49" t="s">
        <v>69</v>
      </c>
      <c r="E110" s="50">
        <v>14621000</v>
      </c>
      <c r="F110" s="50">
        <v>9600000</v>
      </c>
      <c r="G110" s="50">
        <v>9600000</v>
      </c>
      <c r="H110" s="50">
        <v>0</v>
      </c>
      <c r="I110" s="50">
        <v>2861072.6</v>
      </c>
      <c r="J110" s="50">
        <v>0</v>
      </c>
      <c r="K110" s="50">
        <v>6738927.4000000004</v>
      </c>
      <c r="L110" s="152">
        <f t="shared" si="0"/>
        <v>0.70197160416666671</v>
      </c>
      <c r="M110" s="50">
        <v>6738927.4000000004</v>
      </c>
      <c r="N110" s="152">
        <f t="shared" si="1"/>
        <v>0.70197160416666671</v>
      </c>
      <c r="O110" s="50">
        <v>0</v>
      </c>
      <c r="P110" s="152">
        <f t="shared" si="2"/>
        <v>0</v>
      </c>
      <c r="Q110" s="50">
        <v>0</v>
      </c>
      <c r="R110" s="257"/>
    </row>
    <row r="111" spans="1:18" hidden="1" x14ac:dyDescent="0.25">
      <c r="A111" s="49" t="s">
        <v>704</v>
      </c>
      <c r="B111" s="49" t="s">
        <v>188</v>
      </c>
      <c r="C111" s="49" t="s">
        <v>189</v>
      </c>
      <c r="D111" s="49" t="s">
        <v>69</v>
      </c>
      <c r="E111" s="50">
        <v>9600000</v>
      </c>
      <c r="F111" s="50">
        <v>9600000</v>
      </c>
      <c r="G111" s="50">
        <v>9600000</v>
      </c>
      <c r="H111" s="50">
        <v>0</v>
      </c>
      <c r="I111" s="50">
        <v>2861072.6</v>
      </c>
      <c r="J111" s="50">
        <v>0</v>
      </c>
      <c r="K111" s="50">
        <v>6738927.4000000004</v>
      </c>
      <c r="L111" s="152">
        <f t="shared" si="0"/>
        <v>0.70197160416666671</v>
      </c>
      <c r="M111" s="50">
        <v>6738927.4000000004</v>
      </c>
      <c r="N111" s="152">
        <f t="shared" si="1"/>
        <v>0.70197160416666671</v>
      </c>
      <c r="O111" s="50">
        <v>0</v>
      </c>
      <c r="P111" s="152">
        <f t="shared" si="2"/>
        <v>0</v>
      </c>
      <c r="Q111" s="50">
        <v>0</v>
      </c>
      <c r="R111" s="257"/>
    </row>
    <row r="112" spans="1:18" hidden="1" x14ac:dyDescent="0.25">
      <c r="A112" s="49" t="s">
        <v>704</v>
      </c>
      <c r="B112" s="49" t="s">
        <v>190</v>
      </c>
      <c r="C112" s="49" t="s">
        <v>191</v>
      </c>
      <c r="D112" s="49" t="s">
        <v>69</v>
      </c>
      <c r="E112" s="50">
        <v>5000000</v>
      </c>
      <c r="F112" s="50">
        <v>0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152" t="e">
        <f t="shared" si="0"/>
        <v>#DIV/0!</v>
      </c>
      <c r="M112" s="50">
        <v>0</v>
      </c>
      <c r="N112" s="152" t="e">
        <f t="shared" si="1"/>
        <v>#DIV/0!</v>
      </c>
      <c r="O112" s="50">
        <v>0</v>
      </c>
      <c r="P112" s="152" t="e">
        <f t="shared" si="2"/>
        <v>#DIV/0!</v>
      </c>
      <c r="Q112" s="50">
        <v>0</v>
      </c>
      <c r="R112" s="257"/>
    </row>
    <row r="113" spans="1:18" hidden="1" x14ac:dyDescent="0.25">
      <c r="A113" s="49" t="s">
        <v>704</v>
      </c>
      <c r="B113" s="49" t="s">
        <v>192</v>
      </c>
      <c r="C113" s="49" t="s">
        <v>193</v>
      </c>
      <c r="D113" s="49" t="s">
        <v>69</v>
      </c>
      <c r="E113" s="50">
        <v>21000</v>
      </c>
      <c r="F113" s="50">
        <v>0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152" t="e">
        <f t="shared" si="0"/>
        <v>#DIV/0!</v>
      </c>
      <c r="M113" s="50">
        <v>0</v>
      </c>
      <c r="N113" s="152" t="e">
        <f t="shared" si="1"/>
        <v>#DIV/0!</v>
      </c>
      <c r="O113" s="50">
        <v>0</v>
      </c>
      <c r="P113" s="152" t="e">
        <f t="shared" si="2"/>
        <v>#DIV/0!</v>
      </c>
      <c r="Q113" s="50">
        <v>0</v>
      </c>
      <c r="R113" s="257"/>
    </row>
    <row r="114" spans="1:18" hidden="1" x14ac:dyDescent="0.25">
      <c r="A114" s="49" t="s">
        <v>704</v>
      </c>
      <c r="B114" s="49" t="s">
        <v>196</v>
      </c>
      <c r="C114" s="49" t="s">
        <v>197</v>
      </c>
      <c r="D114" s="49" t="s">
        <v>69</v>
      </c>
      <c r="E114" s="50">
        <v>3000000</v>
      </c>
      <c r="F114" s="50">
        <v>2755000</v>
      </c>
      <c r="G114" s="50">
        <v>2755000</v>
      </c>
      <c r="H114" s="50">
        <v>0</v>
      </c>
      <c r="I114" s="50">
        <v>0</v>
      </c>
      <c r="J114" s="50">
        <v>0</v>
      </c>
      <c r="K114" s="50">
        <v>2210568</v>
      </c>
      <c r="L114" s="152">
        <f t="shared" si="0"/>
        <v>0.80238402903811257</v>
      </c>
      <c r="M114" s="50">
        <v>2210568</v>
      </c>
      <c r="N114" s="152">
        <f t="shared" si="1"/>
        <v>0.80238402903811257</v>
      </c>
      <c r="O114" s="50">
        <v>544432</v>
      </c>
      <c r="P114" s="152">
        <f t="shared" si="2"/>
        <v>0.19761597096188749</v>
      </c>
      <c r="Q114" s="50">
        <v>544432</v>
      </c>
      <c r="R114" s="257"/>
    </row>
    <row r="115" spans="1:18" hidden="1" x14ac:dyDescent="0.25">
      <c r="A115" s="49" t="s">
        <v>704</v>
      </c>
      <c r="B115" s="49" t="s">
        <v>198</v>
      </c>
      <c r="C115" s="49" t="s">
        <v>199</v>
      </c>
      <c r="D115" s="49" t="s">
        <v>69</v>
      </c>
      <c r="E115" s="50">
        <v>3000000</v>
      </c>
      <c r="F115" s="50">
        <v>2755000</v>
      </c>
      <c r="G115" s="50">
        <v>2755000</v>
      </c>
      <c r="H115" s="50">
        <v>0</v>
      </c>
      <c r="I115" s="50">
        <v>0</v>
      </c>
      <c r="J115" s="50">
        <v>0</v>
      </c>
      <c r="K115" s="50">
        <v>2210568</v>
      </c>
      <c r="L115" s="152">
        <f t="shared" si="0"/>
        <v>0.80238402903811257</v>
      </c>
      <c r="M115" s="50">
        <v>2210568</v>
      </c>
      <c r="N115" s="152">
        <f t="shared" si="1"/>
        <v>0.80238402903811257</v>
      </c>
      <c r="O115" s="50">
        <v>544432</v>
      </c>
      <c r="P115" s="152">
        <f t="shared" si="2"/>
        <v>0.19761597096188749</v>
      </c>
      <c r="Q115" s="50">
        <v>544432</v>
      </c>
      <c r="R115" s="257"/>
    </row>
    <row r="116" spans="1:18" hidden="1" x14ac:dyDescent="0.25">
      <c r="A116" s="49" t="s">
        <v>704</v>
      </c>
      <c r="B116" s="49" t="s">
        <v>206</v>
      </c>
      <c r="C116" s="49" t="s">
        <v>207</v>
      </c>
      <c r="D116" s="49" t="s">
        <v>69</v>
      </c>
      <c r="E116" s="50">
        <v>355000</v>
      </c>
      <c r="F116" s="50">
        <v>12615</v>
      </c>
      <c r="G116" s="50">
        <v>12615</v>
      </c>
      <c r="H116" s="50">
        <v>0</v>
      </c>
      <c r="I116" s="50">
        <v>0</v>
      </c>
      <c r="J116" s="50">
        <v>0</v>
      </c>
      <c r="K116" s="50">
        <v>12615</v>
      </c>
      <c r="L116" s="152">
        <f t="shared" si="0"/>
        <v>1</v>
      </c>
      <c r="M116" s="50">
        <v>12615</v>
      </c>
      <c r="N116" s="152">
        <f t="shared" si="1"/>
        <v>1</v>
      </c>
      <c r="O116" s="50">
        <v>0</v>
      </c>
      <c r="P116" s="152">
        <f t="shared" si="2"/>
        <v>0</v>
      </c>
      <c r="Q116" s="50">
        <v>0</v>
      </c>
      <c r="R116" s="257"/>
    </row>
    <row r="117" spans="1:18" hidden="1" x14ac:dyDescent="0.25">
      <c r="A117" s="49" t="s">
        <v>704</v>
      </c>
      <c r="B117" s="49" t="s">
        <v>208</v>
      </c>
      <c r="C117" s="49" t="s">
        <v>209</v>
      </c>
      <c r="D117" s="49" t="s">
        <v>69</v>
      </c>
      <c r="E117" s="50">
        <v>130000</v>
      </c>
      <c r="F117" s="50">
        <v>12615</v>
      </c>
      <c r="G117" s="50">
        <v>12615</v>
      </c>
      <c r="H117" s="50">
        <v>0</v>
      </c>
      <c r="I117" s="50">
        <v>0</v>
      </c>
      <c r="J117" s="50">
        <v>0</v>
      </c>
      <c r="K117" s="50">
        <v>12615</v>
      </c>
      <c r="L117" s="152">
        <f t="shared" si="0"/>
        <v>1</v>
      </c>
      <c r="M117" s="50">
        <v>12615</v>
      </c>
      <c r="N117" s="152">
        <f t="shared" si="1"/>
        <v>1</v>
      </c>
      <c r="O117" s="50">
        <v>0</v>
      </c>
      <c r="P117" s="152">
        <f t="shared" si="2"/>
        <v>0</v>
      </c>
      <c r="Q117" s="50">
        <v>0</v>
      </c>
      <c r="R117" s="257"/>
    </row>
    <row r="118" spans="1:18" hidden="1" x14ac:dyDescent="0.25">
      <c r="A118" s="49" t="s">
        <v>704</v>
      </c>
      <c r="B118" s="49" t="s">
        <v>210</v>
      </c>
      <c r="C118" s="49" t="s">
        <v>211</v>
      </c>
      <c r="D118" s="49" t="s">
        <v>69</v>
      </c>
      <c r="E118" s="50">
        <v>225000</v>
      </c>
      <c r="F118" s="50">
        <v>0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152" t="e">
        <f t="shared" si="0"/>
        <v>#DIV/0!</v>
      </c>
      <c r="M118" s="50">
        <v>0</v>
      </c>
      <c r="N118" s="152" t="e">
        <f t="shared" si="1"/>
        <v>#DIV/0!</v>
      </c>
      <c r="O118" s="50">
        <v>0</v>
      </c>
      <c r="P118" s="152" t="e">
        <f t="shared" si="2"/>
        <v>#DIV/0!</v>
      </c>
      <c r="Q118" s="50">
        <v>0</v>
      </c>
      <c r="R118" s="257"/>
    </row>
    <row r="119" spans="1:18" hidden="1" x14ac:dyDescent="0.25">
      <c r="A119" s="49" t="s">
        <v>704</v>
      </c>
      <c r="B119" s="49" t="s">
        <v>212</v>
      </c>
      <c r="C119" s="49" t="s">
        <v>213</v>
      </c>
      <c r="D119" s="49" t="s">
        <v>69</v>
      </c>
      <c r="E119" s="50">
        <v>23005500</v>
      </c>
      <c r="F119" s="50">
        <v>20702500</v>
      </c>
      <c r="G119" s="50">
        <v>20702500</v>
      </c>
      <c r="H119" s="50">
        <v>0</v>
      </c>
      <c r="I119" s="50">
        <v>229087.82</v>
      </c>
      <c r="J119" s="50">
        <v>0</v>
      </c>
      <c r="K119" s="50">
        <v>19590325.210000001</v>
      </c>
      <c r="L119" s="152">
        <f t="shared" si="0"/>
        <v>0.94627823741094075</v>
      </c>
      <c r="M119" s="50">
        <v>19433255.210000001</v>
      </c>
      <c r="N119" s="152">
        <f t="shared" si="1"/>
        <v>0.93869123101074758</v>
      </c>
      <c r="O119" s="50">
        <v>883086.97</v>
      </c>
      <c r="P119" s="152">
        <f t="shared" si="2"/>
        <v>4.2656054582779858E-2</v>
      </c>
      <c r="Q119" s="50">
        <v>883086.97</v>
      </c>
      <c r="R119" s="257"/>
    </row>
    <row r="120" spans="1:18" hidden="1" x14ac:dyDescent="0.25">
      <c r="A120" s="49" t="s">
        <v>704</v>
      </c>
      <c r="B120" s="49" t="s">
        <v>214</v>
      </c>
      <c r="C120" s="49" t="s">
        <v>215</v>
      </c>
      <c r="D120" s="49" t="s">
        <v>69</v>
      </c>
      <c r="E120" s="50">
        <v>2600000</v>
      </c>
      <c r="F120" s="50">
        <v>2050000</v>
      </c>
      <c r="G120" s="50">
        <v>2050000</v>
      </c>
      <c r="H120" s="50">
        <v>0</v>
      </c>
      <c r="I120" s="50">
        <v>229087.82</v>
      </c>
      <c r="J120" s="50">
        <v>0</v>
      </c>
      <c r="K120" s="50">
        <v>1516154.61</v>
      </c>
      <c r="L120" s="152">
        <f t="shared" si="0"/>
        <v>0.73958761463414635</v>
      </c>
      <c r="M120" s="50">
        <v>1516154.61</v>
      </c>
      <c r="N120" s="152">
        <f t="shared" si="1"/>
        <v>0.73958761463414635</v>
      </c>
      <c r="O120" s="50">
        <v>304757.57</v>
      </c>
      <c r="P120" s="152">
        <f t="shared" si="2"/>
        <v>0.14866222926829267</v>
      </c>
      <c r="Q120" s="50">
        <v>304757.57</v>
      </c>
      <c r="R120" s="257"/>
    </row>
    <row r="121" spans="1:18" hidden="1" x14ac:dyDescent="0.25">
      <c r="A121" s="49" t="s">
        <v>704</v>
      </c>
      <c r="B121" s="49" t="s">
        <v>216</v>
      </c>
      <c r="C121" s="49" t="s">
        <v>217</v>
      </c>
      <c r="D121" s="49" t="s">
        <v>69</v>
      </c>
      <c r="E121" s="50">
        <v>562500</v>
      </c>
      <c r="F121" s="50">
        <v>502500</v>
      </c>
      <c r="G121" s="50">
        <v>502500</v>
      </c>
      <c r="H121" s="50">
        <v>0</v>
      </c>
      <c r="I121" s="50">
        <v>0</v>
      </c>
      <c r="J121" s="50">
        <v>0</v>
      </c>
      <c r="K121" s="50">
        <v>495000</v>
      </c>
      <c r="L121" s="152">
        <f t="shared" si="0"/>
        <v>0.9850746268656716</v>
      </c>
      <c r="M121" s="50">
        <v>495000</v>
      </c>
      <c r="N121" s="152">
        <f t="shared" si="1"/>
        <v>0.9850746268656716</v>
      </c>
      <c r="O121" s="50">
        <v>7500</v>
      </c>
      <c r="P121" s="152">
        <f t="shared" si="2"/>
        <v>1.4925373134328358E-2</v>
      </c>
      <c r="Q121" s="50">
        <v>7500</v>
      </c>
      <c r="R121" s="257"/>
    </row>
    <row r="122" spans="1:18" hidden="1" x14ac:dyDescent="0.25">
      <c r="A122" s="49" t="s">
        <v>704</v>
      </c>
      <c r="B122" s="49" t="s">
        <v>218</v>
      </c>
      <c r="C122" s="49" t="s">
        <v>219</v>
      </c>
      <c r="D122" s="49" t="s">
        <v>69</v>
      </c>
      <c r="E122" s="50">
        <v>8000000</v>
      </c>
      <c r="F122" s="50">
        <v>6450000</v>
      </c>
      <c r="G122" s="50">
        <v>6450000</v>
      </c>
      <c r="H122" s="50">
        <v>0</v>
      </c>
      <c r="I122" s="50">
        <v>0</v>
      </c>
      <c r="J122" s="50">
        <v>0</v>
      </c>
      <c r="K122" s="50">
        <v>5910316</v>
      </c>
      <c r="L122" s="152">
        <f t="shared" si="0"/>
        <v>0.91632806201550387</v>
      </c>
      <c r="M122" s="50">
        <v>5753246</v>
      </c>
      <c r="N122" s="152">
        <f t="shared" si="1"/>
        <v>0.89197612403100779</v>
      </c>
      <c r="O122" s="50">
        <v>539684</v>
      </c>
      <c r="P122" s="152">
        <f t="shared" si="2"/>
        <v>8.3671937984496125E-2</v>
      </c>
      <c r="Q122" s="50">
        <v>539684</v>
      </c>
      <c r="R122" s="257"/>
    </row>
    <row r="123" spans="1:18" hidden="1" x14ac:dyDescent="0.25">
      <c r="A123" s="49" t="s">
        <v>704</v>
      </c>
      <c r="B123" s="49" t="s">
        <v>222</v>
      </c>
      <c r="C123" s="49" t="s">
        <v>223</v>
      </c>
      <c r="D123" s="49" t="s">
        <v>69</v>
      </c>
      <c r="E123" s="50">
        <v>11000000</v>
      </c>
      <c r="F123" s="50">
        <v>11000000</v>
      </c>
      <c r="G123" s="50">
        <v>11000000</v>
      </c>
      <c r="H123" s="50">
        <v>0</v>
      </c>
      <c r="I123" s="50">
        <v>0</v>
      </c>
      <c r="J123" s="50">
        <v>0</v>
      </c>
      <c r="K123" s="50">
        <v>10987125.6</v>
      </c>
      <c r="L123" s="152">
        <f t="shared" si="0"/>
        <v>0.99882959999999998</v>
      </c>
      <c r="M123" s="50">
        <v>10987125.6</v>
      </c>
      <c r="N123" s="152">
        <f t="shared" si="1"/>
        <v>0.99882959999999998</v>
      </c>
      <c r="O123" s="50">
        <v>12874.4</v>
      </c>
      <c r="P123" s="152">
        <f t="shared" si="2"/>
        <v>1.1704E-3</v>
      </c>
      <c r="Q123" s="50">
        <v>12874.4</v>
      </c>
      <c r="R123" s="257"/>
    </row>
    <row r="124" spans="1:18" hidden="1" x14ac:dyDescent="0.25">
      <c r="A124" s="49" t="s">
        <v>704</v>
      </c>
      <c r="B124" s="49" t="s">
        <v>224</v>
      </c>
      <c r="C124" s="49" t="s">
        <v>225</v>
      </c>
      <c r="D124" s="49" t="s">
        <v>69</v>
      </c>
      <c r="E124" s="50">
        <v>800000</v>
      </c>
      <c r="F124" s="50">
        <v>700000</v>
      </c>
      <c r="G124" s="50">
        <v>700000</v>
      </c>
      <c r="H124" s="50">
        <v>0</v>
      </c>
      <c r="I124" s="50">
        <v>0</v>
      </c>
      <c r="J124" s="50">
        <v>0</v>
      </c>
      <c r="K124" s="50">
        <v>681729</v>
      </c>
      <c r="L124" s="152">
        <f t="shared" si="0"/>
        <v>0.97389857142857139</v>
      </c>
      <c r="M124" s="50">
        <v>681729</v>
      </c>
      <c r="N124" s="152">
        <f t="shared" si="1"/>
        <v>0.97389857142857139</v>
      </c>
      <c r="O124" s="50">
        <v>18271</v>
      </c>
      <c r="P124" s="152">
        <f t="shared" si="2"/>
        <v>2.6101428571428571E-2</v>
      </c>
      <c r="Q124" s="50">
        <v>18271</v>
      </c>
      <c r="R124" s="257"/>
    </row>
    <row r="125" spans="1:18" hidden="1" x14ac:dyDescent="0.25">
      <c r="A125" s="49" t="s">
        <v>704</v>
      </c>
      <c r="B125" s="49" t="s">
        <v>226</v>
      </c>
      <c r="C125" s="49" t="s">
        <v>227</v>
      </c>
      <c r="D125" s="49" t="s">
        <v>69</v>
      </c>
      <c r="E125" s="50">
        <v>10000</v>
      </c>
      <c r="F125" s="50">
        <v>0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152" t="e">
        <f t="shared" si="0"/>
        <v>#DIV/0!</v>
      </c>
      <c r="M125" s="50">
        <v>0</v>
      </c>
      <c r="N125" s="152" t="e">
        <f t="shared" si="1"/>
        <v>#DIV/0!</v>
      </c>
      <c r="O125" s="50">
        <v>0</v>
      </c>
      <c r="P125" s="152" t="e">
        <f t="shared" si="2"/>
        <v>#DIV/0!</v>
      </c>
      <c r="Q125" s="50">
        <v>0</v>
      </c>
      <c r="R125" s="257"/>
    </row>
    <row r="126" spans="1:18" hidden="1" x14ac:dyDescent="0.25">
      <c r="A126" s="49" t="s">
        <v>704</v>
      </c>
      <c r="B126" s="49" t="s">
        <v>228</v>
      </c>
      <c r="C126" s="49" t="s">
        <v>229</v>
      </c>
      <c r="D126" s="49" t="s">
        <v>69</v>
      </c>
      <c r="E126" s="50">
        <v>33000</v>
      </c>
      <c r="F126" s="50">
        <v>0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152" t="e">
        <f t="shared" si="0"/>
        <v>#DIV/0!</v>
      </c>
      <c r="M126" s="50">
        <v>0</v>
      </c>
      <c r="N126" s="152" t="e">
        <f t="shared" si="1"/>
        <v>#DIV/0!</v>
      </c>
      <c r="O126" s="50">
        <v>0</v>
      </c>
      <c r="P126" s="152" t="e">
        <f t="shared" si="2"/>
        <v>#DIV/0!</v>
      </c>
      <c r="Q126" s="50">
        <v>0</v>
      </c>
      <c r="R126" s="257"/>
    </row>
    <row r="127" spans="1:18" hidden="1" x14ac:dyDescent="0.25">
      <c r="A127" s="49" t="s">
        <v>704</v>
      </c>
      <c r="B127" s="49" t="s">
        <v>248</v>
      </c>
      <c r="C127" s="49" t="s">
        <v>249</v>
      </c>
      <c r="D127" s="49" t="s">
        <v>69</v>
      </c>
      <c r="E127" s="50">
        <v>509299073</v>
      </c>
      <c r="F127" s="50">
        <v>511116462</v>
      </c>
      <c r="G127" s="50">
        <v>511116462</v>
      </c>
      <c r="H127" s="50">
        <v>0</v>
      </c>
      <c r="I127" s="50">
        <v>2104552.66</v>
      </c>
      <c r="J127" s="50">
        <v>0</v>
      </c>
      <c r="K127" s="50">
        <v>501067356.64999998</v>
      </c>
      <c r="L127" s="152">
        <f t="shared" si="0"/>
        <v>0.98033891275839979</v>
      </c>
      <c r="M127" s="50">
        <v>501067356.64999998</v>
      </c>
      <c r="N127" s="152">
        <f t="shared" si="1"/>
        <v>0.98033891275839979</v>
      </c>
      <c r="O127" s="50">
        <v>7944552.6900000004</v>
      </c>
      <c r="P127" s="152">
        <f t="shared" si="2"/>
        <v>1.5543527318437261E-2</v>
      </c>
      <c r="Q127" s="50">
        <v>7944552.6900000004</v>
      </c>
      <c r="R127" s="257"/>
    </row>
    <row r="128" spans="1:18" hidden="1" x14ac:dyDescent="0.25">
      <c r="A128" s="49" t="s">
        <v>704</v>
      </c>
      <c r="B128" s="49" t="s">
        <v>250</v>
      </c>
      <c r="C128" s="49" t="s">
        <v>251</v>
      </c>
      <c r="D128" s="49" t="s">
        <v>69</v>
      </c>
      <c r="E128" s="50">
        <v>38994178</v>
      </c>
      <c r="F128" s="50">
        <v>37923567</v>
      </c>
      <c r="G128" s="50">
        <v>37923567</v>
      </c>
      <c r="H128" s="50">
        <v>0</v>
      </c>
      <c r="I128" s="50">
        <v>0</v>
      </c>
      <c r="J128" s="50">
        <v>0</v>
      </c>
      <c r="K128" s="50">
        <v>34059460</v>
      </c>
      <c r="L128" s="152">
        <f t="shared" si="0"/>
        <v>0.89810802870943018</v>
      </c>
      <c r="M128" s="50">
        <v>34059460</v>
      </c>
      <c r="N128" s="152">
        <f t="shared" si="1"/>
        <v>0.89810802870943018</v>
      </c>
      <c r="O128" s="50">
        <v>3864107</v>
      </c>
      <c r="P128" s="152">
        <f t="shared" si="2"/>
        <v>0.10189197129056979</v>
      </c>
      <c r="Q128" s="50">
        <v>3864107</v>
      </c>
      <c r="R128" s="257"/>
    </row>
    <row r="129" spans="1:18" hidden="1" x14ac:dyDescent="0.25">
      <c r="A129" s="49" t="s">
        <v>704</v>
      </c>
      <c r="B129" s="49" t="s">
        <v>617</v>
      </c>
      <c r="C129" s="49" t="s">
        <v>253</v>
      </c>
      <c r="D129" s="49" t="s">
        <v>69</v>
      </c>
      <c r="E129" s="50">
        <v>2000000</v>
      </c>
      <c r="F129" s="50">
        <v>2000000</v>
      </c>
      <c r="G129" s="50">
        <v>2000000</v>
      </c>
      <c r="H129" s="50">
        <v>0</v>
      </c>
      <c r="I129" s="50">
        <v>0</v>
      </c>
      <c r="J129" s="50">
        <v>0</v>
      </c>
      <c r="K129" s="50">
        <v>2000000</v>
      </c>
      <c r="L129" s="152">
        <f t="shared" si="0"/>
        <v>1</v>
      </c>
      <c r="M129" s="50">
        <v>2000000</v>
      </c>
      <c r="N129" s="152">
        <f t="shared" si="1"/>
        <v>1</v>
      </c>
      <c r="O129" s="50">
        <v>0</v>
      </c>
      <c r="P129" s="152">
        <f t="shared" si="2"/>
        <v>0</v>
      </c>
      <c r="Q129" s="50">
        <v>0</v>
      </c>
      <c r="R129" s="257"/>
    </row>
    <row r="130" spans="1:18" hidden="1" x14ac:dyDescent="0.25">
      <c r="A130" s="49" t="s">
        <v>704</v>
      </c>
      <c r="B130" s="49" t="s">
        <v>627</v>
      </c>
      <c r="C130" s="49" t="s">
        <v>702</v>
      </c>
      <c r="D130" s="49" t="s">
        <v>69</v>
      </c>
      <c r="E130" s="50">
        <v>31422808</v>
      </c>
      <c r="F130" s="50">
        <v>30513436</v>
      </c>
      <c r="G130" s="50">
        <v>30513436</v>
      </c>
      <c r="H130" s="50">
        <v>0</v>
      </c>
      <c r="I130" s="50">
        <v>0</v>
      </c>
      <c r="J130" s="50">
        <v>0</v>
      </c>
      <c r="K130" s="50">
        <v>27174665</v>
      </c>
      <c r="L130" s="152">
        <f t="shared" si="0"/>
        <v>0.89058030042896508</v>
      </c>
      <c r="M130" s="50">
        <v>27174665</v>
      </c>
      <c r="N130" s="152">
        <f t="shared" si="1"/>
        <v>0.89058030042896508</v>
      </c>
      <c r="O130" s="50">
        <v>3338771</v>
      </c>
      <c r="P130" s="152">
        <f t="shared" si="2"/>
        <v>0.10941969957103487</v>
      </c>
      <c r="Q130" s="50">
        <v>3338771</v>
      </c>
      <c r="R130" s="257"/>
    </row>
    <row r="131" spans="1:18" hidden="1" x14ac:dyDescent="0.25">
      <c r="A131" s="49" t="s">
        <v>704</v>
      </c>
      <c r="B131" s="49" t="s">
        <v>642</v>
      </c>
      <c r="C131" s="49" t="s">
        <v>703</v>
      </c>
      <c r="D131" s="49" t="s">
        <v>69</v>
      </c>
      <c r="E131" s="50">
        <v>5571370</v>
      </c>
      <c r="F131" s="50">
        <v>5410131</v>
      </c>
      <c r="G131" s="50">
        <v>5410131</v>
      </c>
      <c r="H131" s="50">
        <v>0</v>
      </c>
      <c r="I131" s="50">
        <v>0</v>
      </c>
      <c r="J131" s="50">
        <v>0</v>
      </c>
      <c r="K131" s="50">
        <v>4884795</v>
      </c>
      <c r="L131" s="152">
        <f t="shared" si="0"/>
        <v>0.90289773020283615</v>
      </c>
      <c r="M131" s="50">
        <v>4884795</v>
      </c>
      <c r="N131" s="152">
        <f t="shared" si="1"/>
        <v>0.90289773020283615</v>
      </c>
      <c r="O131" s="50">
        <v>525336</v>
      </c>
      <c r="P131" s="152">
        <f t="shared" si="2"/>
        <v>9.7102269797163882E-2</v>
      </c>
      <c r="Q131" s="50">
        <v>525336</v>
      </c>
      <c r="R131" s="257"/>
    </row>
    <row r="132" spans="1:18" hidden="1" x14ac:dyDescent="0.25">
      <c r="A132" s="49" t="s">
        <v>704</v>
      </c>
      <c r="B132" s="49" t="s">
        <v>260</v>
      </c>
      <c r="C132" s="49" t="s">
        <v>261</v>
      </c>
      <c r="D132" s="49" t="s">
        <v>69</v>
      </c>
      <c r="E132" s="50">
        <v>47000000</v>
      </c>
      <c r="F132" s="50">
        <v>50498000</v>
      </c>
      <c r="G132" s="50">
        <v>50498000</v>
      </c>
      <c r="H132" s="50">
        <v>0</v>
      </c>
      <c r="I132" s="50">
        <v>1658649.9</v>
      </c>
      <c r="J132" s="50">
        <v>0</v>
      </c>
      <c r="K132" s="50">
        <v>44766324.310000002</v>
      </c>
      <c r="L132" s="152">
        <f t="shared" si="0"/>
        <v>0.88649697631589375</v>
      </c>
      <c r="M132" s="50">
        <v>44766324.310000002</v>
      </c>
      <c r="N132" s="152">
        <f t="shared" si="1"/>
        <v>0.88649697631589375</v>
      </c>
      <c r="O132" s="50">
        <v>4073025.79</v>
      </c>
      <c r="P132" s="152">
        <f t="shared" si="2"/>
        <v>8.0657170382985463E-2</v>
      </c>
      <c r="Q132" s="50">
        <v>4073025.79</v>
      </c>
      <c r="R132" s="257"/>
    </row>
    <row r="133" spans="1:18" hidden="1" x14ac:dyDescent="0.25">
      <c r="A133" s="49" t="s">
        <v>704</v>
      </c>
      <c r="B133" s="49" t="s">
        <v>262</v>
      </c>
      <c r="C133" s="49" t="s">
        <v>263</v>
      </c>
      <c r="D133" s="49" t="s">
        <v>69</v>
      </c>
      <c r="E133" s="50">
        <v>22000000</v>
      </c>
      <c r="F133" s="50">
        <v>43498000</v>
      </c>
      <c r="G133" s="50">
        <v>43498000</v>
      </c>
      <c r="H133" s="50">
        <v>0</v>
      </c>
      <c r="I133" s="50">
        <v>1658649.9</v>
      </c>
      <c r="J133" s="50">
        <v>0</v>
      </c>
      <c r="K133" s="50">
        <v>40798623.310000002</v>
      </c>
      <c r="L133" s="152">
        <f t="shared" si="0"/>
        <v>0.93794251023035546</v>
      </c>
      <c r="M133" s="50">
        <v>40798623.310000002</v>
      </c>
      <c r="N133" s="152">
        <f t="shared" si="1"/>
        <v>0.93794251023035546</v>
      </c>
      <c r="O133" s="50">
        <v>1040726.79</v>
      </c>
      <c r="P133" s="152">
        <f t="shared" si="2"/>
        <v>2.3925853832360108E-2</v>
      </c>
      <c r="Q133" s="50">
        <v>1040726.79</v>
      </c>
      <c r="R133" s="257"/>
    </row>
    <row r="134" spans="1:18" hidden="1" x14ac:dyDescent="0.25">
      <c r="A134" s="49" t="s">
        <v>704</v>
      </c>
      <c r="B134" s="49" t="s">
        <v>264</v>
      </c>
      <c r="C134" s="49" t="s">
        <v>265</v>
      </c>
      <c r="D134" s="49" t="s">
        <v>69</v>
      </c>
      <c r="E134" s="50">
        <v>25000000</v>
      </c>
      <c r="F134" s="50">
        <v>7000000</v>
      </c>
      <c r="G134" s="50">
        <v>7000000</v>
      </c>
      <c r="H134" s="50">
        <v>0</v>
      </c>
      <c r="I134" s="50">
        <v>0</v>
      </c>
      <c r="J134" s="50">
        <v>0</v>
      </c>
      <c r="K134" s="50">
        <v>3967701</v>
      </c>
      <c r="L134" s="152">
        <f t="shared" si="0"/>
        <v>0.56681442857142861</v>
      </c>
      <c r="M134" s="50">
        <v>3967701</v>
      </c>
      <c r="N134" s="152">
        <f t="shared" si="1"/>
        <v>0.56681442857142861</v>
      </c>
      <c r="O134" s="50">
        <v>3032299</v>
      </c>
      <c r="P134" s="152">
        <f t="shared" si="2"/>
        <v>0.43318557142857145</v>
      </c>
      <c r="Q134" s="50">
        <v>3032299</v>
      </c>
      <c r="R134" s="257"/>
    </row>
    <row r="135" spans="1:18" hidden="1" x14ac:dyDescent="0.25">
      <c r="A135" s="49" t="s">
        <v>704</v>
      </c>
      <c r="B135" s="49" t="s">
        <v>266</v>
      </c>
      <c r="C135" s="49" t="s">
        <v>267</v>
      </c>
      <c r="D135" s="49" t="s">
        <v>69</v>
      </c>
      <c r="E135" s="50">
        <v>423304895</v>
      </c>
      <c r="F135" s="50">
        <v>422694895</v>
      </c>
      <c r="G135" s="50">
        <v>422694895</v>
      </c>
      <c r="H135" s="50">
        <v>0</v>
      </c>
      <c r="I135" s="50">
        <v>445902.76</v>
      </c>
      <c r="J135" s="50">
        <v>0</v>
      </c>
      <c r="K135" s="50">
        <v>422241572.33999997</v>
      </c>
      <c r="L135" s="152">
        <f t="shared" si="0"/>
        <v>0.99892754167281805</v>
      </c>
      <c r="M135" s="50">
        <v>422241572.33999997</v>
      </c>
      <c r="N135" s="152">
        <f t="shared" si="1"/>
        <v>0.99892754167281805</v>
      </c>
      <c r="O135" s="50">
        <v>7419.9</v>
      </c>
      <c r="P135" s="152">
        <f t="shared" si="2"/>
        <v>1.7553796101559257E-5</v>
      </c>
      <c r="Q135" s="50">
        <v>7419.9</v>
      </c>
      <c r="R135" s="257"/>
    </row>
    <row r="136" spans="1:18" hidden="1" x14ac:dyDescent="0.25">
      <c r="A136" s="49" t="s">
        <v>704</v>
      </c>
      <c r="B136" s="49" t="s">
        <v>664</v>
      </c>
      <c r="C136" s="49" t="s">
        <v>269</v>
      </c>
      <c r="D136" s="49" t="s">
        <v>69</v>
      </c>
      <c r="E136" s="50">
        <v>406300000</v>
      </c>
      <c r="F136" s="50">
        <v>406300000</v>
      </c>
      <c r="G136" s="50">
        <v>406300000</v>
      </c>
      <c r="H136" s="50">
        <v>0</v>
      </c>
      <c r="I136" s="50">
        <v>0</v>
      </c>
      <c r="J136" s="50">
        <v>0</v>
      </c>
      <c r="K136" s="50">
        <v>406300000</v>
      </c>
      <c r="L136" s="152">
        <f t="shared" si="0"/>
        <v>1</v>
      </c>
      <c r="M136" s="50">
        <v>406300000</v>
      </c>
      <c r="N136" s="152">
        <f t="shared" si="1"/>
        <v>1</v>
      </c>
      <c r="O136" s="50">
        <v>0</v>
      </c>
      <c r="P136" s="152">
        <f t="shared" si="2"/>
        <v>0</v>
      </c>
      <c r="Q136" s="50">
        <v>0</v>
      </c>
      <c r="R136" s="257"/>
    </row>
    <row r="137" spans="1:18" hidden="1" x14ac:dyDescent="0.25">
      <c r="A137" s="49" t="s">
        <v>704</v>
      </c>
      <c r="B137" s="49" t="s">
        <v>666</v>
      </c>
      <c r="C137" s="49" t="s">
        <v>705</v>
      </c>
      <c r="D137" s="49" t="s">
        <v>69</v>
      </c>
      <c r="E137" s="50">
        <v>13007200</v>
      </c>
      <c r="F137" s="50">
        <v>13007200</v>
      </c>
      <c r="G137" s="50">
        <v>13007200</v>
      </c>
      <c r="H137" s="50">
        <v>0</v>
      </c>
      <c r="I137" s="50">
        <v>445902.76</v>
      </c>
      <c r="J137" s="50">
        <v>0</v>
      </c>
      <c r="K137" s="50">
        <v>12561297.24</v>
      </c>
      <c r="L137" s="152">
        <f t="shared" si="0"/>
        <v>0.96571877421735652</v>
      </c>
      <c r="M137" s="50">
        <v>12561297.24</v>
      </c>
      <c r="N137" s="152">
        <f t="shared" si="1"/>
        <v>0.96571877421735652</v>
      </c>
      <c r="O137" s="50">
        <v>0</v>
      </c>
      <c r="P137" s="152">
        <f t="shared" si="2"/>
        <v>0</v>
      </c>
      <c r="Q137" s="50">
        <v>0</v>
      </c>
      <c r="R137" s="257"/>
    </row>
    <row r="138" spans="1:18" hidden="1" x14ac:dyDescent="0.25">
      <c r="A138" s="49" t="s">
        <v>704</v>
      </c>
      <c r="B138" s="49" t="s">
        <v>668</v>
      </c>
      <c r="C138" s="49" t="s">
        <v>273</v>
      </c>
      <c r="D138" s="49" t="s">
        <v>69</v>
      </c>
      <c r="E138" s="50">
        <v>3997695</v>
      </c>
      <c r="F138" s="50">
        <v>3387695</v>
      </c>
      <c r="G138" s="50">
        <v>3387695</v>
      </c>
      <c r="H138" s="50">
        <v>0</v>
      </c>
      <c r="I138" s="50">
        <v>0</v>
      </c>
      <c r="J138" s="50">
        <v>0</v>
      </c>
      <c r="K138" s="50">
        <v>3380275.1</v>
      </c>
      <c r="L138" s="152">
        <f t="shared" si="0"/>
        <v>0.99780974969706548</v>
      </c>
      <c r="M138" s="50">
        <v>3380275.1</v>
      </c>
      <c r="N138" s="152">
        <f t="shared" si="1"/>
        <v>0.99780974969706548</v>
      </c>
      <c r="O138" s="50">
        <v>7419.9</v>
      </c>
      <c r="P138" s="152">
        <f t="shared" si="2"/>
        <v>2.190250302934591E-3</v>
      </c>
      <c r="Q138" s="50">
        <v>7419.9</v>
      </c>
      <c r="R138" s="257"/>
    </row>
    <row r="139" spans="1:18" hidden="1" x14ac:dyDescent="0.25">
      <c r="A139" s="49" t="s">
        <v>704</v>
      </c>
      <c r="B139" s="49" t="s">
        <v>230</v>
      </c>
      <c r="C139" s="49" t="s">
        <v>231</v>
      </c>
      <c r="D139" s="49" t="s">
        <v>85</v>
      </c>
      <c r="E139" s="50">
        <v>12109140</v>
      </c>
      <c r="F139" s="50">
        <v>8469140</v>
      </c>
      <c r="G139" s="50">
        <v>8469140</v>
      </c>
      <c r="H139" s="50">
        <v>0</v>
      </c>
      <c r="I139" s="50">
        <v>0</v>
      </c>
      <c r="J139" s="50">
        <v>0</v>
      </c>
      <c r="K139" s="50">
        <v>0</v>
      </c>
      <c r="L139" s="152">
        <f t="shared" si="0"/>
        <v>0</v>
      </c>
      <c r="M139" s="50">
        <v>0</v>
      </c>
      <c r="N139" s="152">
        <f t="shared" si="1"/>
        <v>0</v>
      </c>
      <c r="O139" s="50">
        <v>8469140</v>
      </c>
      <c r="P139" s="152">
        <f t="shared" si="2"/>
        <v>1</v>
      </c>
      <c r="Q139" s="50">
        <v>8469140</v>
      </c>
      <c r="R139" s="257"/>
    </row>
    <row r="140" spans="1:18" hidden="1" x14ac:dyDescent="0.25">
      <c r="A140" s="49" t="s">
        <v>704</v>
      </c>
      <c r="B140" s="49" t="s">
        <v>232</v>
      </c>
      <c r="C140" s="49" t="s">
        <v>233</v>
      </c>
      <c r="D140" s="49" t="s">
        <v>85</v>
      </c>
      <c r="E140" s="50">
        <v>12109140</v>
      </c>
      <c r="F140" s="50">
        <v>8469140</v>
      </c>
      <c r="G140" s="50">
        <v>8469140</v>
      </c>
      <c r="H140" s="50">
        <v>0</v>
      </c>
      <c r="I140" s="50">
        <v>0</v>
      </c>
      <c r="J140" s="50">
        <v>0</v>
      </c>
      <c r="K140" s="50">
        <v>0</v>
      </c>
      <c r="L140" s="152">
        <f t="shared" si="0"/>
        <v>0</v>
      </c>
      <c r="M140" s="50">
        <v>0</v>
      </c>
      <c r="N140" s="152">
        <f t="shared" si="1"/>
        <v>0</v>
      </c>
      <c r="O140" s="50">
        <v>8469140</v>
      </c>
      <c r="P140" s="152">
        <f t="shared" si="2"/>
        <v>1</v>
      </c>
      <c r="Q140" s="50">
        <v>8469140</v>
      </c>
      <c r="R140" s="257"/>
    </row>
    <row r="141" spans="1:18" hidden="1" x14ac:dyDescent="0.25">
      <c r="A141" s="49" t="s">
        <v>704</v>
      </c>
      <c r="B141" s="49" t="s">
        <v>234</v>
      </c>
      <c r="C141" s="49" t="s">
        <v>235</v>
      </c>
      <c r="D141" s="49" t="s">
        <v>85</v>
      </c>
      <c r="E141" s="50">
        <v>120000</v>
      </c>
      <c r="F141" s="50">
        <v>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152" t="e">
        <f t="shared" si="0"/>
        <v>#DIV/0!</v>
      </c>
      <c r="M141" s="50">
        <v>0</v>
      </c>
      <c r="N141" s="152" t="e">
        <f t="shared" si="1"/>
        <v>#DIV/0!</v>
      </c>
      <c r="O141" s="50">
        <v>0</v>
      </c>
      <c r="P141" s="152" t="e">
        <f t="shared" si="2"/>
        <v>#DIV/0!</v>
      </c>
      <c r="Q141" s="50">
        <v>0</v>
      </c>
      <c r="R141" s="257"/>
    </row>
    <row r="142" spans="1:18" hidden="1" x14ac:dyDescent="0.25">
      <c r="A142" s="49" t="s">
        <v>704</v>
      </c>
      <c r="B142" s="49" t="s">
        <v>236</v>
      </c>
      <c r="C142" s="49" t="s">
        <v>237</v>
      </c>
      <c r="D142" s="49" t="s">
        <v>85</v>
      </c>
      <c r="E142" s="50">
        <v>620000</v>
      </c>
      <c r="F142" s="50">
        <v>0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152" t="e">
        <f t="shared" si="0"/>
        <v>#DIV/0!</v>
      </c>
      <c r="M142" s="50">
        <v>0</v>
      </c>
      <c r="N142" s="152" t="e">
        <f t="shared" si="1"/>
        <v>#DIV/0!</v>
      </c>
      <c r="O142" s="50">
        <v>0</v>
      </c>
      <c r="P142" s="152" t="e">
        <f t="shared" si="2"/>
        <v>#DIV/0!</v>
      </c>
      <c r="Q142" s="50">
        <v>0</v>
      </c>
      <c r="R142" s="257"/>
    </row>
    <row r="143" spans="1:18" hidden="1" x14ac:dyDescent="0.25">
      <c r="A143" s="49" t="s">
        <v>704</v>
      </c>
      <c r="B143" s="49" t="s">
        <v>238</v>
      </c>
      <c r="C143" s="49" t="s">
        <v>239</v>
      </c>
      <c r="D143" s="49" t="s">
        <v>85</v>
      </c>
      <c r="E143" s="50">
        <v>11369140</v>
      </c>
      <c r="F143" s="50">
        <v>8469140</v>
      </c>
      <c r="G143" s="50">
        <v>8469140</v>
      </c>
      <c r="H143" s="50">
        <v>0</v>
      </c>
      <c r="I143" s="50">
        <v>0</v>
      </c>
      <c r="J143" s="50">
        <v>0</v>
      </c>
      <c r="K143" s="50">
        <v>0</v>
      </c>
      <c r="L143" s="152">
        <f t="shared" si="0"/>
        <v>0</v>
      </c>
      <c r="M143" s="50">
        <v>0</v>
      </c>
      <c r="N143" s="152">
        <f t="shared" si="1"/>
        <v>0</v>
      </c>
      <c r="O143" s="50">
        <v>8469140</v>
      </c>
      <c r="P143" s="152">
        <f t="shared" si="2"/>
        <v>1</v>
      </c>
      <c r="Q143" s="50">
        <v>8469140</v>
      </c>
      <c r="R143" s="257"/>
    </row>
    <row r="144" spans="1:18" x14ac:dyDescent="0.25">
      <c r="A144" s="49">
        <v>214788</v>
      </c>
      <c r="B144" s="49"/>
      <c r="C144" s="49"/>
      <c r="D144" s="49" t="s">
        <v>69</v>
      </c>
      <c r="E144" s="50">
        <v>3537393833</v>
      </c>
      <c r="F144" s="50">
        <v>2849531919</v>
      </c>
      <c r="G144" s="50">
        <v>2849531919</v>
      </c>
      <c r="H144" s="50">
        <v>0</v>
      </c>
      <c r="I144" s="50">
        <v>35732290.530000001</v>
      </c>
      <c r="J144" s="50">
        <v>0</v>
      </c>
      <c r="K144" s="50">
        <v>2376037696.3600001</v>
      </c>
      <c r="L144" s="152">
        <f t="shared" si="0"/>
        <v>0.83383438540103616</v>
      </c>
      <c r="M144" s="50">
        <v>2207078233.6900001</v>
      </c>
      <c r="N144" s="152">
        <f t="shared" si="1"/>
        <v>0.77454062506677968</v>
      </c>
      <c r="O144" s="50">
        <v>437761932.11000001</v>
      </c>
      <c r="P144" s="152">
        <f t="shared" si="2"/>
        <v>0.15362590929096381</v>
      </c>
      <c r="Q144" s="50">
        <v>437761932.11000001</v>
      </c>
      <c r="R144" s="257"/>
    </row>
    <row r="145" spans="1:18" hidden="1" x14ac:dyDescent="0.25">
      <c r="A145" s="49" t="s">
        <v>706</v>
      </c>
      <c r="B145" s="49" t="s">
        <v>71</v>
      </c>
      <c r="C145" s="49" t="s">
        <v>72</v>
      </c>
      <c r="D145" s="49" t="s">
        <v>69</v>
      </c>
      <c r="E145" s="50">
        <v>1329087181</v>
      </c>
      <c r="F145" s="50">
        <v>1295200816</v>
      </c>
      <c r="G145" s="50">
        <v>1295200816</v>
      </c>
      <c r="H145" s="50">
        <v>0</v>
      </c>
      <c r="I145" s="50">
        <v>0</v>
      </c>
      <c r="J145" s="50">
        <v>0</v>
      </c>
      <c r="K145" s="50">
        <v>1138225649.3399999</v>
      </c>
      <c r="L145" s="152">
        <f t="shared" si="0"/>
        <v>0.87880244922575768</v>
      </c>
      <c r="M145" s="50">
        <v>1138225649.3399999</v>
      </c>
      <c r="N145" s="152">
        <f t="shared" si="1"/>
        <v>0.87880244922575768</v>
      </c>
      <c r="O145" s="50">
        <v>156975166.66</v>
      </c>
      <c r="P145" s="152">
        <f t="shared" si="2"/>
        <v>0.12119755077424225</v>
      </c>
      <c r="Q145" s="50">
        <v>156975166.66</v>
      </c>
      <c r="R145" s="257"/>
    </row>
    <row r="146" spans="1:18" hidden="1" x14ac:dyDescent="0.25">
      <c r="A146" s="49" t="s">
        <v>706</v>
      </c>
      <c r="B146" s="49" t="s">
        <v>73</v>
      </c>
      <c r="C146" s="49" t="s">
        <v>74</v>
      </c>
      <c r="D146" s="49" t="s">
        <v>69</v>
      </c>
      <c r="E146" s="50">
        <v>512821400</v>
      </c>
      <c r="F146" s="50">
        <v>494422100</v>
      </c>
      <c r="G146" s="50">
        <v>494422100</v>
      </c>
      <c r="H146" s="50">
        <v>0</v>
      </c>
      <c r="I146" s="50">
        <v>0</v>
      </c>
      <c r="J146" s="50">
        <v>0</v>
      </c>
      <c r="K146" s="50">
        <v>457483205.43000001</v>
      </c>
      <c r="L146" s="152">
        <f t="shared" si="0"/>
        <v>0.92528874706450215</v>
      </c>
      <c r="M146" s="50">
        <v>457483205.43000001</v>
      </c>
      <c r="N146" s="152">
        <f t="shared" si="1"/>
        <v>0.92528874706450215</v>
      </c>
      <c r="O146" s="50">
        <v>36938894.57</v>
      </c>
      <c r="P146" s="152">
        <f t="shared" si="2"/>
        <v>7.4711252935497824E-2</v>
      </c>
      <c r="Q146" s="50">
        <v>36938894.57</v>
      </c>
      <c r="R146" s="257"/>
    </row>
    <row r="147" spans="1:18" hidden="1" x14ac:dyDescent="0.25">
      <c r="A147" s="49" t="s">
        <v>706</v>
      </c>
      <c r="B147" s="49" t="s">
        <v>75</v>
      </c>
      <c r="C147" s="49" t="s">
        <v>76</v>
      </c>
      <c r="D147" s="49" t="s">
        <v>69</v>
      </c>
      <c r="E147" s="50">
        <v>507821400</v>
      </c>
      <c r="F147" s="50">
        <v>493222100</v>
      </c>
      <c r="G147" s="50">
        <v>493222100</v>
      </c>
      <c r="H147" s="50">
        <v>0</v>
      </c>
      <c r="I147" s="50">
        <v>0</v>
      </c>
      <c r="J147" s="50">
        <v>0</v>
      </c>
      <c r="K147" s="50">
        <v>457483205.43000001</v>
      </c>
      <c r="L147" s="152">
        <f t="shared" si="0"/>
        <v>0.92753995700922565</v>
      </c>
      <c r="M147" s="50">
        <v>457483205.43000001</v>
      </c>
      <c r="N147" s="152">
        <f t="shared" si="1"/>
        <v>0.92753995700922565</v>
      </c>
      <c r="O147" s="50">
        <v>35738894.57</v>
      </c>
      <c r="P147" s="152">
        <f t="shared" si="2"/>
        <v>7.246004299077434E-2</v>
      </c>
      <c r="Q147" s="50">
        <v>35738894.57</v>
      </c>
      <c r="R147" s="257"/>
    </row>
    <row r="148" spans="1:18" hidden="1" x14ac:dyDescent="0.25">
      <c r="A148" s="49" t="s">
        <v>706</v>
      </c>
      <c r="B148" s="49" t="s">
        <v>291</v>
      </c>
      <c r="C148" s="49" t="s">
        <v>292</v>
      </c>
      <c r="D148" s="49" t="s">
        <v>69</v>
      </c>
      <c r="E148" s="50">
        <v>5000000</v>
      </c>
      <c r="F148" s="50">
        <v>1200000</v>
      </c>
      <c r="G148" s="50">
        <v>1200000</v>
      </c>
      <c r="H148" s="50">
        <v>0</v>
      </c>
      <c r="I148" s="50">
        <v>0</v>
      </c>
      <c r="J148" s="50">
        <v>0</v>
      </c>
      <c r="K148" s="50">
        <v>0</v>
      </c>
      <c r="L148" s="152">
        <f t="shared" si="0"/>
        <v>0</v>
      </c>
      <c r="M148" s="50">
        <v>0</v>
      </c>
      <c r="N148" s="152">
        <f t="shared" si="1"/>
        <v>0</v>
      </c>
      <c r="O148" s="50">
        <v>1200000</v>
      </c>
      <c r="P148" s="152">
        <f t="shared" si="2"/>
        <v>1</v>
      </c>
      <c r="Q148" s="50">
        <v>1200000</v>
      </c>
      <c r="R148" s="257"/>
    </row>
    <row r="149" spans="1:18" hidden="1" x14ac:dyDescent="0.25">
      <c r="A149" s="49" t="s">
        <v>706</v>
      </c>
      <c r="B149" s="49" t="s">
        <v>293</v>
      </c>
      <c r="C149" s="49" t="s">
        <v>294</v>
      </c>
      <c r="D149" s="49" t="s">
        <v>69</v>
      </c>
      <c r="E149" s="50">
        <v>11000000</v>
      </c>
      <c r="F149" s="50">
        <v>11000000</v>
      </c>
      <c r="G149" s="50">
        <v>11000000</v>
      </c>
      <c r="H149" s="50">
        <v>0</v>
      </c>
      <c r="I149" s="50">
        <v>0</v>
      </c>
      <c r="J149" s="50">
        <v>0</v>
      </c>
      <c r="K149" s="50">
        <v>3455720.24</v>
      </c>
      <c r="L149" s="152">
        <f t="shared" si="0"/>
        <v>0.31415638545454549</v>
      </c>
      <c r="M149" s="50">
        <v>3455720.24</v>
      </c>
      <c r="N149" s="152">
        <f t="shared" si="1"/>
        <v>0.31415638545454549</v>
      </c>
      <c r="O149" s="50">
        <v>7544279.7599999998</v>
      </c>
      <c r="P149" s="152">
        <f t="shared" si="2"/>
        <v>0.68584361454545451</v>
      </c>
      <c r="Q149" s="50">
        <v>7544279.7599999998</v>
      </c>
      <c r="R149" s="257"/>
    </row>
    <row r="150" spans="1:18" hidden="1" x14ac:dyDescent="0.25">
      <c r="A150" s="49" t="s">
        <v>706</v>
      </c>
      <c r="B150" s="49" t="s">
        <v>295</v>
      </c>
      <c r="C150" s="49" t="s">
        <v>296</v>
      </c>
      <c r="D150" s="49" t="s">
        <v>69</v>
      </c>
      <c r="E150" s="50">
        <v>11000000</v>
      </c>
      <c r="F150" s="50">
        <v>11000000</v>
      </c>
      <c r="G150" s="50">
        <v>11000000</v>
      </c>
      <c r="H150" s="50">
        <v>0</v>
      </c>
      <c r="I150" s="50">
        <v>0</v>
      </c>
      <c r="J150" s="50">
        <v>0</v>
      </c>
      <c r="K150" s="50">
        <v>3455720.24</v>
      </c>
      <c r="L150" s="152">
        <f t="shared" si="0"/>
        <v>0.31415638545454549</v>
      </c>
      <c r="M150" s="50">
        <v>3455720.24</v>
      </c>
      <c r="N150" s="152">
        <f t="shared" si="1"/>
        <v>0.31415638545454549</v>
      </c>
      <c r="O150" s="50">
        <v>7544279.7599999998</v>
      </c>
      <c r="P150" s="152">
        <f t="shared" si="2"/>
        <v>0.68584361454545451</v>
      </c>
      <c r="Q150" s="50">
        <v>7544279.7599999998</v>
      </c>
      <c r="R150" s="257"/>
    </row>
    <row r="151" spans="1:18" hidden="1" x14ac:dyDescent="0.25">
      <c r="A151" s="49" t="s">
        <v>706</v>
      </c>
      <c r="B151" s="49" t="s">
        <v>77</v>
      </c>
      <c r="C151" s="49" t="s">
        <v>78</v>
      </c>
      <c r="D151" s="49" t="s">
        <v>69</v>
      </c>
      <c r="E151" s="50">
        <v>602518513</v>
      </c>
      <c r="F151" s="50">
        <v>592617728</v>
      </c>
      <c r="G151" s="50">
        <v>592617728</v>
      </c>
      <c r="H151" s="50">
        <v>0</v>
      </c>
      <c r="I151" s="50">
        <v>0</v>
      </c>
      <c r="J151" s="50">
        <v>0</v>
      </c>
      <c r="K151" s="50">
        <v>507013931.48000002</v>
      </c>
      <c r="L151" s="152">
        <f t="shared" si="0"/>
        <v>0.85554972037556054</v>
      </c>
      <c r="M151" s="50">
        <v>507013931.48000002</v>
      </c>
      <c r="N151" s="152">
        <f t="shared" si="1"/>
        <v>0.85554972037556054</v>
      </c>
      <c r="O151" s="50">
        <v>85603796.519999996</v>
      </c>
      <c r="P151" s="152">
        <f t="shared" si="2"/>
        <v>0.14445027962443943</v>
      </c>
      <c r="Q151" s="50">
        <v>85603796.519999996</v>
      </c>
      <c r="R151" s="257"/>
    </row>
    <row r="152" spans="1:18" hidden="1" x14ac:dyDescent="0.25">
      <c r="A152" s="49" t="s">
        <v>706</v>
      </c>
      <c r="B152" s="49" t="s">
        <v>79</v>
      </c>
      <c r="C152" s="49" t="s">
        <v>80</v>
      </c>
      <c r="D152" s="49" t="s">
        <v>69</v>
      </c>
      <c r="E152" s="50">
        <v>160994500</v>
      </c>
      <c r="F152" s="50">
        <v>160412072</v>
      </c>
      <c r="G152" s="50">
        <v>160412072</v>
      </c>
      <c r="H152" s="50">
        <v>0</v>
      </c>
      <c r="I152" s="50">
        <v>0</v>
      </c>
      <c r="J152" s="50">
        <v>0</v>
      </c>
      <c r="K152" s="50">
        <v>136427403.59</v>
      </c>
      <c r="L152" s="152">
        <f t="shared" si="0"/>
        <v>0.85048090139998944</v>
      </c>
      <c r="M152" s="50">
        <v>136427403.59</v>
      </c>
      <c r="N152" s="152">
        <f t="shared" si="1"/>
        <v>0.85048090139998944</v>
      </c>
      <c r="O152" s="50">
        <v>23984668.41</v>
      </c>
      <c r="P152" s="152">
        <f t="shared" si="2"/>
        <v>0.14951909860001061</v>
      </c>
      <c r="Q152" s="50">
        <v>23984668.41</v>
      </c>
      <c r="R152" s="257"/>
    </row>
    <row r="153" spans="1:18" hidden="1" x14ac:dyDescent="0.25">
      <c r="A153" s="49" t="s">
        <v>706</v>
      </c>
      <c r="B153" s="49" t="s">
        <v>81</v>
      </c>
      <c r="C153" s="49" t="s">
        <v>82</v>
      </c>
      <c r="D153" s="49" t="s">
        <v>69</v>
      </c>
      <c r="E153" s="50">
        <v>218799248</v>
      </c>
      <c r="F153" s="50">
        <v>212368846</v>
      </c>
      <c r="G153" s="50">
        <v>212368846</v>
      </c>
      <c r="H153" s="50">
        <v>0</v>
      </c>
      <c r="I153" s="50">
        <v>0</v>
      </c>
      <c r="J153" s="50">
        <v>0</v>
      </c>
      <c r="K153" s="50">
        <v>177997963.12</v>
      </c>
      <c r="L153" s="152">
        <f t="shared" si="0"/>
        <v>0.83815477869103272</v>
      </c>
      <c r="M153" s="50">
        <v>177997963.12</v>
      </c>
      <c r="N153" s="152">
        <f t="shared" si="1"/>
        <v>0.83815477869103272</v>
      </c>
      <c r="O153" s="50">
        <v>34370882.880000003</v>
      </c>
      <c r="P153" s="152">
        <f t="shared" si="2"/>
        <v>0.16184522130896734</v>
      </c>
      <c r="Q153" s="50">
        <v>34370882.880000003</v>
      </c>
      <c r="R153" s="257"/>
    </row>
    <row r="154" spans="1:18" hidden="1" x14ac:dyDescent="0.25">
      <c r="A154" s="49" t="s">
        <v>706</v>
      </c>
      <c r="B154" s="49" t="s">
        <v>86</v>
      </c>
      <c r="C154" s="49" t="s">
        <v>87</v>
      </c>
      <c r="D154" s="49" t="s">
        <v>69</v>
      </c>
      <c r="E154" s="50">
        <v>79437600</v>
      </c>
      <c r="F154" s="50">
        <v>79437600</v>
      </c>
      <c r="G154" s="50">
        <v>79437600</v>
      </c>
      <c r="H154" s="50">
        <v>0</v>
      </c>
      <c r="I154" s="50">
        <v>0</v>
      </c>
      <c r="J154" s="50">
        <v>0</v>
      </c>
      <c r="K154" s="50">
        <v>71093754.890000001</v>
      </c>
      <c r="L154" s="152">
        <f t="shared" si="0"/>
        <v>0.89496352973906568</v>
      </c>
      <c r="M154" s="50">
        <v>71093754.890000001</v>
      </c>
      <c r="N154" s="152">
        <f t="shared" si="1"/>
        <v>0.89496352973906568</v>
      </c>
      <c r="O154" s="50">
        <v>8343845.1100000003</v>
      </c>
      <c r="P154" s="152">
        <f t="shared" si="2"/>
        <v>0.10503647026093438</v>
      </c>
      <c r="Q154" s="50">
        <v>8343845.1100000003</v>
      </c>
      <c r="R154" s="257"/>
    </row>
    <row r="155" spans="1:18" hidden="1" x14ac:dyDescent="0.25">
      <c r="A155" s="49" t="s">
        <v>706</v>
      </c>
      <c r="B155" s="49" t="s">
        <v>88</v>
      </c>
      <c r="C155" s="49" t="s">
        <v>89</v>
      </c>
      <c r="D155" s="49" t="s">
        <v>69</v>
      </c>
      <c r="E155" s="50">
        <v>56677700</v>
      </c>
      <c r="F155" s="50">
        <v>56181050</v>
      </c>
      <c r="G155" s="50">
        <v>56181050</v>
      </c>
      <c r="H155" s="50">
        <v>0</v>
      </c>
      <c r="I155" s="50">
        <v>0</v>
      </c>
      <c r="J155" s="50">
        <v>0</v>
      </c>
      <c r="K155" s="50">
        <v>48325446.439999998</v>
      </c>
      <c r="L155" s="152">
        <f t="shared" si="0"/>
        <v>0.86017342929688922</v>
      </c>
      <c r="M155" s="50">
        <v>48325446.439999998</v>
      </c>
      <c r="N155" s="152">
        <f t="shared" si="1"/>
        <v>0.86017342929688922</v>
      </c>
      <c r="O155" s="50">
        <v>7855603.5599999996</v>
      </c>
      <c r="P155" s="152">
        <f t="shared" si="2"/>
        <v>0.13982657070311075</v>
      </c>
      <c r="Q155" s="50">
        <v>7855603.5599999996</v>
      </c>
      <c r="R155" s="257"/>
    </row>
    <row r="156" spans="1:18" hidden="1" x14ac:dyDescent="0.25">
      <c r="A156" s="49" t="s">
        <v>706</v>
      </c>
      <c r="B156" s="49" t="s">
        <v>83</v>
      </c>
      <c r="C156" s="49" t="s">
        <v>84</v>
      </c>
      <c r="D156" s="49" t="s">
        <v>85</v>
      </c>
      <c r="E156" s="50">
        <v>86609465</v>
      </c>
      <c r="F156" s="50">
        <v>84218160</v>
      </c>
      <c r="G156" s="50">
        <v>84218160</v>
      </c>
      <c r="H156" s="50">
        <v>0</v>
      </c>
      <c r="I156" s="50">
        <v>0</v>
      </c>
      <c r="J156" s="50">
        <v>0</v>
      </c>
      <c r="K156" s="50">
        <v>73169363.439999998</v>
      </c>
      <c r="L156" s="152">
        <f t="shared" si="0"/>
        <v>0.86880743345615719</v>
      </c>
      <c r="M156" s="50">
        <v>73169363.439999998</v>
      </c>
      <c r="N156" s="152">
        <f t="shared" si="1"/>
        <v>0.86880743345615719</v>
      </c>
      <c r="O156" s="50">
        <v>11048796.560000001</v>
      </c>
      <c r="P156" s="152">
        <f t="shared" si="2"/>
        <v>0.13119256654384281</v>
      </c>
      <c r="Q156" s="50">
        <v>11048796.560000001</v>
      </c>
      <c r="R156" s="257"/>
    </row>
    <row r="157" spans="1:18" hidden="1" x14ac:dyDescent="0.25">
      <c r="A157" s="49" t="s">
        <v>706</v>
      </c>
      <c r="B157" s="49" t="s">
        <v>90</v>
      </c>
      <c r="C157" s="49" t="s">
        <v>91</v>
      </c>
      <c r="D157" s="49" t="s">
        <v>69</v>
      </c>
      <c r="E157" s="50">
        <v>101373634</v>
      </c>
      <c r="F157" s="50">
        <v>98580493</v>
      </c>
      <c r="G157" s="50">
        <v>98580493</v>
      </c>
      <c r="H157" s="50">
        <v>0</v>
      </c>
      <c r="I157" s="50">
        <v>0</v>
      </c>
      <c r="J157" s="50">
        <v>0</v>
      </c>
      <c r="K157" s="50">
        <v>85448994.060000002</v>
      </c>
      <c r="L157" s="152">
        <f t="shared" si="0"/>
        <v>0.86679414415182532</v>
      </c>
      <c r="M157" s="50">
        <v>85448994.060000002</v>
      </c>
      <c r="N157" s="152">
        <f t="shared" si="1"/>
        <v>0.86679414415182532</v>
      </c>
      <c r="O157" s="50">
        <v>13131498.939999999</v>
      </c>
      <c r="P157" s="152">
        <f t="shared" si="2"/>
        <v>0.13320585584817474</v>
      </c>
      <c r="Q157" s="50">
        <v>13131498.939999999</v>
      </c>
      <c r="R157" s="257"/>
    </row>
    <row r="158" spans="1:18" hidden="1" x14ac:dyDescent="0.25">
      <c r="A158" s="49" t="s">
        <v>706</v>
      </c>
      <c r="B158" s="49" t="s">
        <v>419</v>
      </c>
      <c r="C158" s="49" t="s">
        <v>697</v>
      </c>
      <c r="D158" s="49" t="s">
        <v>69</v>
      </c>
      <c r="E158" s="50">
        <v>96175035</v>
      </c>
      <c r="F158" s="50">
        <v>93525131</v>
      </c>
      <c r="G158" s="50">
        <v>93525131</v>
      </c>
      <c r="H158" s="50">
        <v>0</v>
      </c>
      <c r="I158" s="50">
        <v>0</v>
      </c>
      <c r="J158" s="50">
        <v>0</v>
      </c>
      <c r="K158" s="50">
        <v>81067356.950000003</v>
      </c>
      <c r="L158" s="152">
        <f t="shared" si="0"/>
        <v>0.86679757711325744</v>
      </c>
      <c r="M158" s="50">
        <v>81067356.950000003</v>
      </c>
      <c r="N158" s="152">
        <f t="shared" si="1"/>
        <v>0.86679757711325744</v>
      </c>
      <c r="O158" s="50">
        <v>12457774.050000001</v>
      </c>
      <c r="P158" s="152">
        <f t="shared" si="2"/>
        <v>0.13320242288674261</v>
      </c>
      <c r="Q158" s="50">
        <v>12457774.050000001</v>
      </c>
      <c r="R158" s="257"/>
    </row>
    <row r="159" spans="1:18" hidden="1" x14ac:dyDescent="0.25">
      <c r="A159" s="49" t="s">
        <v>706</v>
      </c>
      <c r="B159" s="49" t="s">
        <v>436</v>
      </c>
      <c r="C159" s="49" t="s">
        <v>95</v>
      </c>
      <c r="D159" s="49" t="s">
        <v>69</v>
      </c>
      <c r="E159" s="50">
        <v>5198599</v>
      </c>
      <c r="F159" s="50">
        <v>5055362</v>
      </c>
      <c r="G159" s="50">
        <v>5055362</v>
      </c>
      <c r="H159" s="50">
        <v>0</v>
      </c>
      <c r="I159" s="50">
        <v>0</v>
      </c>
      <c r="J159" s="50">
        <v>0</v>
      </c>
      <c r="K159" s="50">
        <v>4381637.1100000003</v>
      </c>
      <c r="L159" s="152">
        <f t="shared" si="0"/>
        <v>0.86673063373107606</v>
      </c>
      <c r="M159" s="50">
        <v>4381637.1100000003</v>
      </c>
      <c r="N159" s="152">
        <f t="shared" si="1"/>
        <v>0.86673063373107606</v>
      </c>
      <c r="O159" s="50">
        <v>673724.89</v>
      </c>
      <c r="P159" s="152">
        <f t="shared" si="2"/>
        <v>0.13326936626892397</v>
      </c>
      <c r="Q159" s="50">
        <v>673724.89</v>
      </c>
      <c r="R159" s="257"/>
    </row>
    <row r="160" spans="1:18" hidden="1" x14ac:dyDescent="0.25">
      <c r="A160" s="49" t="s">
        <v>706</v>
      </c>
      <c r="B160" s="49" t="s">
        <v>96</v>
      </c>
      <c r="C160" s="49" t="s">
        <v>97</v>
      </c>
      <c r="D160" s="49" t="s">
        <v>69</v>
      </c>
      <c r="E160" s="50">
        <v>101373634</v>
      </c>
      <c r="F160" s="50">
        <v>98580495</v>
      </c>
      <c r="G160" s="50">
        <v>98580495</v>
      </c>
      <c r="H160" s="50">
        <v>0</v>
      </c>
      <c r="I160" s="50">
        <v>0</v>
      </c>
      <c r="J160" s="50">
        <v>0</v>
      </c>
      <c r="K160" s="50">
        <v>84823798.129999995</v>
      </c>
      <c r="L160" s="152">
        <f t="shared" si="0"/>
        <v>0.86045214248518431</v>
      </c>
      <c r="M160" s="50">
        <v>84823798.129999995</v>
      </c>
      <c r="N160" s="152">
        <f t="shared" si="1"/>
        <v>0.86045214248518431</v>
      </c>
      <c r="O160" s="50">
        <v>13756696.869999999</v>
      </c>
      <c r="P160" s="152">
        <f t="shared" si="2"/>
        <v>0.13954785751481569</v>
      </c>
      <c r="Q160" s="50">
        <v>13756696.869999999</v>
      </c>
      <c r="R160" s="257"/>
    </row>
    <row r="161" spans="1:18" hidden="1" x14ac:dyDescent="0.25">
      <c r="A161" s="49" t="s">
        <v>706</v>
      </c>
      <c r="B161" s="49" t="s">
        <v>454</v>
      </c>
      <c r="C161" s="49" t="s">
        <v>698</v>
      </c>
      <c r="D161" s="49" t="s">
        <v>69</v>
      </c>
      <c r="E161" s="50">
        <v>54585842</v>
      </c>
      <c r="F161" s="50">
        <v>53081843</v>
      </c>
      <c r="G161" s="50">
        <v>53081843</v>
      </c>
      <c r="H161" s="50">
        <v>0</v>
      </c>
      <c r="I161" s="50">
        <v>0</v>
      </c>
      <c r="J161" s="50">
        <v>0</v>
      </c>
      <c r="K161" s="50">
        <v>45389041.450000003</v>
      </c>
      <c r="L161" s="152">
        <f t="shared" si="0"/>
        <v>0.85507659276261383</v>
      </c>
      <c r="M161" s="50">
        <v>45389041.450000003</v>
      </c>
      <c r="N161" s="152">
        <f t="shared" si="1"/>
        <v>0.85507659276261383</v>
      </c>
      <c r="O161" s="50">
        <v>7692801.5499999998</v>
      </c>
      <c r="P161" s="152">
        <f t="shared" si="2"/>
        <v>0.14492340723738623</v>
      </c>
      <c r="Q161" s="50">
        <v>7692801.5499999998</v>
      </c>
      <c r="R161" s="257"/>
    </row>
    <row r="162" spans="1:18" hidden="1" x14ac:dyDescent="0.25">
      <c r="A162" s="49" t="s">
        <v>706</v>
      </c>
      <c r="B162" s="49" t="s">
        <v>471</v>
      </c>
      <c r="C162" s="49" t="s">
        <v>699</v>
      </c>
      <c r="D162" s="49" t="s">
        <v>69</v>
      </c>
      <c r="E162" s="50">
        <v>15595897</v>
      </c>
      <c r="F162" s="50">
        <v>19276084</v>
      </c>
      <c r="G162" s="50">
        <v>19276084</v>
      </c>
      <c r="H162" s="50">
        <v>0</v>
      </c>
      <c r="I162" s="50">
        <v>0</v>
      </c>
      <c r="J162" s="50">
        <v>0</v>
      </c>
      <c r="K162" s="50">
        <v>15233565.4</v>
      </c>
      <c r="L162" s="152">
        <f t="shared" si="0"/>
        <v>0.79028320275010222</v>
      </c>
      <c r="M162" s="50">
        <v>15233565.4</v>
      </c>
      <c r="N162" s="152">
        <f t="shared" si="1"/>
        <v>0.79028320275010222</v>
      </c>
      <c r="O162" s="50">
        <v>4042518.6</v>
      </c>
      <c r="P162" s="152">
        <f t="shared" si="2"/>
        <v>0.20971679724989786</v>
      </c>
      <c r="Q162" s="50">
        <v>4042518.6</v>
      </c>
      <c r="R162" s="257"/>
    </row>
    <row r="163" spans="1:18" hidden="1" x14ac:dyDescent="0.25">
      <c r="A163" s="49" t="s">
        <v>706</v>
      </c>
      <c r="B163" s="49" t="s">
        <v>488</v>
      </c>
      <c r="C163" s="49" t="s">
        <v>700</v>
      </c>
      <c r="D163" s="49" t="s">
        <v>69</v>
      </c>
      <c r="E163" s="50">
        <v>31191895</v>
      </c>
      <c r="F163" s="50">
        <v>26222568</v>
      </c>
      <c r="G163" s="50">
        <v>26222568</v>
      </c>
      <c r="H163" s="50">
        <v>0</v>
      </c>
      <c r="I163" s="50">
        <v>0</v>
      </c>
      <c r="J163" s="50">
        <v>0</v>
      </c>
      <c r="K163" s="50">
        <v>24201191.280000001</v>
      </c>
      <c r="L163" s="152">
        <f t="shared" si="0"/>
        <v>0.92291461614285841</v>
      </c>
      <c r="M163" s="50">
        <v>24201191.280000001</v>
      </c>
      <c r="N163" s="152">
        <f t="shared" si="1"/>
        <v>0.92291461614285841</v>
      </c>
      <c r="O163" s="50">
        <v>2021376.72</v>
      </c>
      <c r="P163" s="152">
        <f t="shared" si="2"/>
        <v>7.7085383857141684E-2</v>
      </c>
      <c r="Q163" s="50">
        <v>2021376.72</v>
      </c>
      <c r="R163" s="257"/>
    </row>
    <row r="164" spans="1:18" hidden="1" x14ac:dyDescent="0.25">
      <c r="A164" s="49" t="s">
        <v>706</v>
      </c>
      <c r="B164" s="49" t="s">
        <v>104</v>
      </c>
      <c r="C164" s="49" t="s">
        <v>105</v>
      </c>
      <c r="D164" s="49" t="s">
        <v>69</v>
      </c>
      <c r="E164" s="50">
        <v>1188545520</v>
      </c>
      <c r="F164" s="50">
        <v>1240795520</v>
      </c>
      <c r="G164" s="50">
        <v>1240795520</v>
      </c>
      <c r="H164" s="50">
        <v>0</v>
      </c>
      <c r="I164" s="50">
        <v>34657616.369999997</v>
      </c>
      <c r="J164" s="50">
        <v>0</v>
      </c>
      <c r="K164" s="50">
        <v>1053322462.23</v>
      </c>
      <c r="L164" s="152">
        <f t="shared" si="0"/>
        <v>0.84890898238414014</v>
      </c>
      <c r="M164" s="50">
        <v>912273919.82000005</v>
      </c>
      <c r="N164" s="152">
        <f t="shared" si="1"/>
        <v>0.73523308644763652</v>
      </c>
      <c r="O164" s="50">
        <v>152815441.40000001</v>
      </c>
      <c r="P164" s="152">
        <f t="shared" si="2"/>
        <v>0.12315924657755051</v>
      </c>
      <c r="Q164" s="50">
        <v>152815441.40000001</v>
      </c>
      <c r="R164" s="257"/>
    </row>
    <row r="165" spans="1:18" hidden="1" x14ac:dyDescent="0.25">
      <c r="A165" s="49" t="s">
        <v>706</v>
      </c>
      <c r="B165" s="49" t="s">
        <v>106</v>
      </c>
      <c r="C165" s="49" t="s">
        <v>107</v>
      </c>
      <c r="D165" s="49" t="s">
        <v>69</v>
      </c>
      <c r="E165" s="50">
        <v>411755980</v>
      </c>
      <c r="F165" s="50">
        <v>429555497.89999998</v>
      </c>
      <c r="G165" s="50">
        <v>429555497.89999998</v>
      </c>
      <c r="H165" s="50">
        <v>0</v>
      </c>
      <c r="I165" s="50">
        <v>138286.91</v>
      </c>
      <c r="J165" s="50">
        <v>0</v>
      </c>
      <c r="K165" s="50">
        <v>382026412.48000002</v>
      </c>
      <c r="L165" s="152">
        <f t="shared" si="0"/>
        <v>0.88935286440900196</v>
      </c>
      <c r="M165" s="50">
        <v>347113180.13999999</v>
      </c>
      <c r="N165" s="152">
        <f t="shared" si="1"/>
        <v>0.80807528209267043</v>
      </c>
      <c r="O165" s="50">
        <v>47390798.509999998</v>
      </c>
      <c r="P165" s="152">
        <f t="shared" si="2"/>
        <v>0.11032520533826928</v>
      </c>
      <c r="Q165" s="50">
        <v>47390798.509999998</v>
      </c>
      <c r="R165" s="257"/>
    </row>
    <row r="166" spans="1:18" hidden="1" x14ac:dyDescent="0.25">
      <c r="A166" s="49" t="s">
        <v>706</v>
      </c>
      <c r="B166" s="49" t="s">
        <v>280</v>
      </c>
      <c r="C166" s="49" t="s">
        <v>281</v>
      </c>
      <c r="D166" s="49" t="s">
        <v>69</v>
      </c>
      <c r="E166" s="50">
        <v>168555500</v>
      </c>
      <c r="F166" s="50">
        <v>186505500</v>
      </c>
      <c r="G166" s="50">
        <v>186505500</v>
      </c>
      <c r="H166" s="50">
        <v>0</v>
      </c>
      <c r="I166" s="50">
        <v>0</v>
      </c>
      <c r="J166" s="50">
        <v>0</v>
      </c>
      <c r="K166" s="50">
        <v>180250163.13999999</v>
      </c>
      <c r="L166" s="152">
        <f t="shared" si="0"/>
        <v>0.96646030889169476</v>
      </c>
      <c r="M166" s="50">
        <v>180250163.13999999</v>
      </c>
      <c r="N166" s="152">
        <f t="shared" si="1"/>
        <v>0.96646030889169476</v>
      </c>
      <c r="O166" s="50">
        <v>6255336.8600000003</v>
      </c>
      <c r="P166" s="152">
        <f t="shared" si="2"/>
        <v>3.3539691108305118E-2</v>
      </c>
      <c r="Q166" s="50">
        <v>6255336.8600000003</v>
      </c>
      <c r="R166" s="257"/>
    </row>
    <row r="167" spans="1:18" hidden="1" x14ac:dyDescent="0.25">
      <c r="A167" s="49" t="s">
        <v>706</v>
      </c>
      <c r="B167" s="49" t="s">
        <v>302</v>
      </c>
      <c r="C167" s="49" t="s">
        <v>303</v>
      </c>
      <c r="D167" s="49" t="s">
        <v>69</v>
      </c>
      <c r="E167" s="50">
        <v>3869560</v>
      </c>
      <c r="F167" s="50">
        <v>3869560</v>
      </c>
      <c r="G167" s="50">
        <v>3869560</v>
      </c>
      <c r="H167" s="50">
        <v>0</v>
      </c>
      <c r="I167" s="50">
        <v>0</v>
      </c>
      <c r="J167" s="50">
        <v>0</v>
      </c>
      <c r="K167" s="50">
        <v>2450327.0699999998</v>
      </c>
      <c r="L167" s="152">
        <f t="shared" si="0"/>
        <v>0.63323144491880212</v>
      </c>
      <c r="M167" s="50">
        <v>1999233.69</v>
      </c>
      <c r="N167" s="152">
        <f t="shared" si="1"/>
        <v>0.51665659403136277</v>
      </c>
      <c r="O167" s="50">
        <v>1419232.93</v>
      </c>
      <c r="P167" s="152">
        <f t="shared" si="2"/>
        <v>0.36676855508119782</v>
      </c>
      <c r="Q167" s="50">
        <v>1419232.93</v>
      </c>
      <c r="R167" s="257"/>
    </row>
    <row r="168" spans="1:18" hidden="1" x14ac:dyDescent="0.25">
      <c r="A168" s="49" t="s">
        <v>706</v>
      </c>
      <c r="B168" s="49" t="s">
        <v>108</v>
      </c>
      <c r="C168" s="49" t="s">
        <v>109</v>
      </c>
      <c r="D168" s="49" t="s">
        <v>69</v>
      </c>
      <c r="E168" s="50">
        <v>194561670</v>
      </c>
      <c r="F168" s="50">
        <v>189561670</v>
      </c>
      <c r="G168" s="50">
        <v>189561670</v>
      </c>
      <c r="H168" s="50">
        <v>0</v>
      </c>
      <c r="I168" s="50">
        <v>0</v>
      </c>
      <c r="J168" s="50">
        <v>0</v>
      </c>
      <c r="K168" s="50">
        <v>154854117.68000001</v>
      </c>
      <c r="L168" s="152">
        <f t="shared" si="0"/>
        <v>0.81690627477590805</v>
      </c>
      <c r="M168" s="50">
        <v>125961712.38</v>
      </c>
      <c r="N168" s="152">
        <f t="shared" si="1"/>
        <v>0.66448935789603458</v>
      </c>
      <c r="O168" s="50">
        <v>34707552.32</v>
      </c>
      <c r="P168" s="152">
        <f t="shared" si="2"/>
        <v>0.18309372522409198</v>
      </c>
      <c r="Q168" s="50">
        <v>34707552.32</v>
      </c>
      <c r="R168" s="257"/>
    </row>
    <row r="169" spans="1:18" hidden="1" x14ac:dyDescent="0.25">
      <c r="A169" s="49" t="s">
        <v>706</v>
      </c>
      <c r="B169" s="49" t="s">
        <v>304</v>
      </c>
      <c r="C169" s="49" t="s">
        <v>305</v>
      </c>
      <c r="D169" s="49" t="s">
        <v>69</v>
      </c>
      <c r="E169" s="50">
        <v>1649720</v>
      </c>
      <c r="F169" s="50">
        <v>1999237.9</v>
      </c>
      <c r="G169" s="50">
        <v>1999237.9</v>
      </c>
      <c r="H169" s="50">
        <v>0</v>
      </c>
      <c r="I169" s="50">
        <v>138286.91</v>
      </c>
      <c r="J169" s="50">
        <v>0</v>
      </c>
      <c r="K169" s="50">
        <v>1622377.21</v>
      </c>
      <c r="L169" s="152">
        <f t="shared" si="0"/>
        <v>0.81149782624669131</v>
      </c>
      <c r="M169" s="50">
        <v>1622377.21</v>
      </c>
      <c r="N169" s="152">
        <f t="shared" si="1"/>
        <v>0.81149782624669131</v>
      </c>
      <c r="O169" s="50">
        <v>238573.78</v>
      </c>
      <c r="P169" s="152">
        <f t="shared" si="2"/>
        <v>0.11933236159638631</v>
      </c>
      <c r="Q169" s="50">
        <v>238573.78</v>
      </c>
      <c r="R169" s="257"/>
    </row>
    <row r="170" spans="1:18" hidden="1" x14ac:dyDescent="0.25">
      <c r="A170" s="49" t="s">
        <v>706</v>
      </c>
      <c r="B170" s="49" t="s">
        <v>110</v>
      </c>
      <c r="C170" s="49" t="s">
        <v>111</v>
      </c>
      <c r="D170" s="49" t="s">
        <v>69</v>
      </c>
      <c r="E170" s="50">
        <v>43119530</v>
      </c>
      <c r="F170" s="50">
        <v>47619530</v>
      </c>
      <c r="G170" s="50">
        <v>47619530</v>
      </c>
      <c r="H170" s="50">
        <v>0</v>
      </c>
      <c r="I170" s="50">
        <v>0</v>
      </c>
      <c r="J170" s="50">
        <v>0</v>
      </c>
      <c r="K170" s="50">
        <v>42849427.380000003</v>
      </c>
      <c r="L170" s="152">
        <f t="shared" si="0"/>
        <v>0.89982885971365112</v>
      </c>
      <c r="M170" s="50">
        <v>37279693.719999999</v>
      </c>
      <c r="N170" s="152">
        <f t="shared" si="1"/>
        <v>0.78286563769109019</v>
      </c>
      <c r="O170" s="50">
        <v>4770102.62</v>
      </c>
      <c r="P170" s="152">
        <f t="shared" si="2"/>
        <v>0.10017114028634889</v>
      </c>
      <c r="Q170" s="50">
        <v>4770102.62</v>
      </c>
      <c r="R170" s="257"/>
    </row>
    <row r="171" spans="1:18" hidden="1" x14ac:dyDescent="0.25">
      <c r="A171" s="49" t="s">
        <v>706</v>
      </c>
      <c r="B171" s="49" t="s">
        <v>112</v>
      </c>
      <c r="C171" s="49" t="s">
        <v>113</v>
      </c>
      <c r="D171" s="49" t="s">
        <v>69</v>
      </c>
      <c r="E171" s="50">
        <v>114662680</v>
      </c>
      <c r="F171" s="50">
        <v>130162680</v>
      </c>
      <c r="G171" s="50">
        <v>130162680</v>
      </c>
      <c r="H171" s="50">
        <v>0</v>
      </c>
      <c r="I171" s="50">
        <v>14244346.699999999</v>
      </c>
      <c r="J171" s="50">
        <v>0</v>
      </c>
      <c r="K171" s="50">
        <v>107577298.65000001</v>
      </c>
      <c r="L171" s="152">
        <f t="shared" si="0"/>
        <v>0.82648343326981288</v>
      </c>
      <c r="M171" s="50">
        <v>100638060.59999999</v>
      </c>
      <c r="N171" s="152">
        <f t="shared" si="1"/>
        <v>0.77317139290616932</v>
      </c>
      <c r="O171" s="50">
        <v>8341034.6500000004</v>
      </c>
      <c r="P171" s="152">
        <f t="shared" si="2"/>
        <v>6.40816142537938E-2</v>
      </c>
      <c r="Q171" s="50">
        <v>8341034.6500000004</v>
      </c>
      <c r="R171" s="257"/>
    </row>
    <row r="172" spans="1:18" hidden="1" x14ac:dyDescent="0.25">
      <c r="A172" s="49" t="s">
        <v>706</v>
      </c>
      <c r="B172" s="49" t="s">
        <v>114</v>
      </c>
      <c r="C172" s="49" t="s">
        <v>115</v>
      </c>
      <c r="D172" s="49" t="s">
        <v>69</v>
      </c>
      <c r="E172" s="50">
        <v>19200000</v>
      </c>
      <c r="F172" s="50">
        <v>23200000</v>
      </c>
      <c r="G172" s="50">
        <v>23200000</v>
      </c>
      <c r="H172" s="50">
        <v>0</v>
      </c>
      <c r="I172" s="50">
        <v>5806728.0099999998</v>
      </c>
      <c r="J172" s="50">
        <v>0</v>
      </c>
      <c r="K172" s="50">
        <v>17393271</v>
      </c>
      <c r="L172" s="152">
        <f t="shared" si="0"/>
        <v>0.74970995689655173</v>
      </c>
      <c r="M172" s="50">
        <v>17393271</v>
      </c>
      <c r="N172" s="152">
        <f t="shared" si="1"/>
        <v>0.74970995689655173</v>
      </c>
      <c r="O172" s="50">
        <v>0.99</v>
      </c>
      <c r="P172" s="152">
        <f t="shared" si="2"/>
        <v>4.2672413793103447E-8</v>
      </c>
      <c r="Q172" s="50">
        <v>0.99</v>
      </c>
      <c r="R172" s="257"/>
    </row>
    <row r="173" spans="1:18" hidden="1" x14ac:dyDescent="0.25">
      <c r="A173" s="49" t="s">
        <v>706</v>
      </c>
      <c r="B173" s="49" t="s">
        <v>116</v>
      </c>
      <c r="C173" s="49" t="s">
        <v>117</v>
      </c>
      <c r="D173" s="49" t="s">
        <v>69</v>
      </c>
      <c r="E173" s="50">
        <v>37800000</v>
      </c>
      <c r="F173" s="50">
        <v>41300000</v>
      </c>
      <c r="G173" s="50">
        <v>41300000</v>
      </c>
      <c r="H173" s="50">
        <v>0</v>
      </c>
      <c r="I173" s="50">
        <v>2687557</v>
      </c>
      <c r="J173" s="50">
        <v>0</v>
      </c>
      <c r="K173" s="50">
        <v>38612443</v>
      </c>
      <c r="L173" s="152">
        <f t="shared" si="0"/>
        <v>0.93492598062953991</v>
      </c>
      <c r="M173" s="50">
        <v>38612443</v>
      </c>
      <c r="N173" s="152">
        <f t="shared" si="1"/>
        <v>0.93492598062953991</v>
      </c>
      <c r="O173" s="50">
        <v>0</v>
      </c>
      <c r="P173" s="152">
        <f t="shared" si="2"/>
        <v>0</v>
      </c>
      <c r="Q173" s="50">
        <v>0</v>
      </c>
      <c r="R173" s="257"/>
    </row>
    <row r="174" spans="1:18" hidden="1" x14ac:dyDescent="0.25">
      <c r="A174" s="49" t="s">
        <v>706</v>
      </c>
      <c r="B174" s="49" t="s">
        <v>118</v>
      </c>
      <c r="C174" s="49" t="s">
        <v>119</v>
      </c>
      <c r="D174" s="49" t="s">
        <v>69</v>
      </c>
      <c r="E174" s="50">
        <v>7200000</v>
      </c>
      <c r="F174" s="50">
        <v>7200000</v>
      </c>
      <c r="G174" s="50">
        <v>7200000</v>
      </c>
      <c r="H174" s="50">
        <v>0</v>
      </c>
      <c r="I174" s="50">
        <v>651318.4</v>
      </c>
      <c r="J174" s="50">
        <v>0</v>
      </c>
      <c r="K174" s="50">
        <v>1398681.6000000001</v>
      </c>
      <c r="L174" s="152">
        <f t="shared" si="0"/>
        <v>0.19426133333333334</v>
      </c>
      <c r="M174" s="50">
        <v>1332237.6000000001</v>
      </c>
      <c r="N174" s="152">
        <f t="shared" si="1"/>
        <v>0.185033</v>
      </c>
      <c r="O174" s="50">
        <v>5150000</v>
      </c>
      <c r="P174" s="152">
        <f t="shared" si="2"/>
        <v>0.71527777777777779</v>
      </c>
      <c r="Q174" s="50">
        <v>5150000</v>
      </c>
      <c r="R174" s="257"/>
    </row>
    <row r="175" spans="1:18" hidden="1" x14ac:dyDescent="0.25">
      <c r="A175" s="49" t="s">
        <v>706</v>
      </c>
      <c r="B175" s="49" t="s">
        <v>120</v>
      </c>
      <c r="C175" s="49" t="s">
        <v>121</v>
      </c>
      <c r="D175" s="49" t="s">
        <v>69</v>
      </c>
      <c r="E175" s="50">
        <v>45662680</v>
      </c>
      <c r="F175" s="50">
        <v>53662680</v>
      </c>
      <c r="G175" s="50">
        <v>53662680</v>
      </c>
      <c r="H175" s="50">
        <v>0</v>
      </c>
      <c r="I175" s="50">
        <v>5098743.29</v>
      </c>
      <c r="J175" s="50">
        <v>0</v>
      </c>
      <c r="K175" s="50">
        <v>48430322.149999999</v>
      </c>
      <c r="L175" s="152">
        <f t="shared" si="0"/>
        <v>0.90249540555931973</v>
      </c>
      <c r="M175" s="50">
        <v>41557528.100000001</v>
      </c>
      <c r="N175" s="152">
        <f t="shared" si="1"/>
        <v>0.77442140608706089</v>
      </c>
      <c r="O175" s="50">
        <v>133614.56</v>
      </c>
      <c r="P175" s="152">
        <f t="shared" si="2"/>
        <v>2.4898972619332468E-3</v>
      </c>
      <c r="Q175" s="50">
        <v>133614.56</v>
      </c>
      <c r="R175" s="257"/>
    </row>
    <row r="176" spans="1:18" hidden="1" x14ac:dyDescent="0.25">
      <c r="A176" s="49" t="s">
        <v>706</v>
      </c>
      <c r="B176" s="49" t="s">
        <v>122</v>
      </c>
      <c r="C176" s="49" t="s">
        <v>123</v>
      </c>
      <c r="D176" s="49" t="s">
        <v>69</v>
      </c>
      <c r="E176" s="50">
        <v>4800000</v>
      </c>
      <c r="F176" s="50">
        <v>4800000</v>
      </c>
      <c r="G176" s="50">
        <v>4800000</v>
      </c>
      <c r="H176" s="50">
        <v>0</v>
      </c>
      <c r="I176" s="50">
        <v>0</v>
      </c>
      <c r="J176" s="50">
        <v>0</v>
      </c>
      <c r="K176" s="50">
        <v>1742580.9</v>
      </c>
      <c r="L176" s="152">
        <f t="shared" si="0"/>
        <v>0.36303768749999998</v>
      </c>
      <c r="M176" s="50">
        <v>1742580.9</v>
      </c>
      <c r="N176" s="152">
        <f t="shared" si="1"/>
        <v>0.36303768749999998</v>
      </c>
      <c r="O176" s="50">
        <v>3057419.1</v>
      </c>
      <c r="P176" s="152">
        <f t="shared" si="2"/>
        <v>0.63696231250000002</v>
      </c>
      <c r="Q176" s="50">
        <v>3057419.1</v>
      </c>
      <c r="R176" s="257"/>
    </row>
    <row r="177" spans="1:18" hidden="1" x14ac:dyDescent="0.25">
      <c r="A177" s="49" t="s">
        <v>706</v>
      </c>
      <c r="B177" s="49" t="s">
        <v>124</v>
      </c>
      <c r="C177" s="49" t="s">
        <v>125</v>
      </c>
      <c r="D177" s="49" t="s">
        <v>69</v>
      </c>
      <c r="E177" s="50">
        <v>5424230</v>
      </c>
      <c r="F177" s="50">
        <v>6924230</v>
      </c>
      <c r="G177" s="50">
        <v>6924230</v>
      </c>
      <c r="H177" s="50">
        <v>0</v>
      </c>
      <c r="I177" s="50">
        <v>115655.15</v>
      </c>
      <c r="J177" s="50">
        <v>0</v>
      </c>
      <c r="K177" s="50">
        <v>2645491.94</v>
      </c>
      <c r="L177" s="152">
        <f t="shared" si="0"/>
        <v>0.38206297884385698</v>
      </c>
      <c r="M177" s="50">
        <v>2116192.8199999998</v>
      </c>
      <c r="N177" s="152">
        <f t="shared" si="1"/>
        <v>0.30562139328127458</v>
      </c>
      <c r="O177" s="50">
        <v>4163082.91</v>
      </c>
      <c r="P177" s="152">
        <f t="shared" si="2"/>
        <v>0.60123405923835571</v>
      </c>
      <c r="Q177" s="50">
        <v>4163082.91</v>
      </c>
      <c r="R177" s="257"/>
    </row>
    <row r="178" spans="1:18" hidden="1" x14ac:dyDescent="0.25">
      <c r="A178" s="49" t="s">
        <v>706</v>
      </c>
      <c r="B178" s="49" t="s">
        <v>126</v>
      </c>
      <c r="C178" s="49" t="s">
        <v>127</v>
      </c>
      <c r="D178" s="49" t="s">
        <v>69</v>
      </c>
      <c r="E178" s="50">
        <v>500000</v>
      </c>
      <c r="F178" s="50">
        <v>2000000</v>
      </c>
      <c r="G178" s="50">
        <v>2000000</v>
      </c>
      <c r="H178" s="50">
        <v>0</v>
      </c>
      <c r="I178" s="50">
        <v>26475.9</v>
      </c>
      <c r="J178" s="50">
        <v>0</v>
      </c>
      <c r="K178" s="50">
        <v>855143.5</v>
      </c>
      <c r="L178" s="152">
        <f t="shared" si="0"/>
        <v>0.42757174999999997</v>
      </c>
      <c r="M178" s="50">
        <v>840227.5</v>
      </c>
      <c r="N178" s="152">
        <f t="shared" si="1"/>
        <v>0.42011375000000001</v>
      </c>
      <c r="O178" s="50">
        <v>1118380.6000000001</v>
      </c>
      <c r="P178" s="152">
        <f t="shared" si="2"/>
        <v>0.55919030000000003</v>
      </c>
      <c r="Q178" s="50">
        <v>1118380.6000000001</v>
      </c>
      <c r="R178" s="257"/>
    </row>
    <row r="179" spans="1:18" hidden="1" x14ac:dyDescent="0.25">
      <c r="A179" s="49" t="s">
        <v>706</v>
      </c>
      <c r="B179" s="49" t="s">
        <v>128</v>
      </c>
      <c r="C179" s="49" t="s">
        <v>129</v>
      </c>
      <c r="D179" s="49" t="s">
        <v>69</v>
      </c>
      <c r="E179" s="50">
        <v>1000000</v>
      </c>
      <c r="F179" s="50">
        <v>1000000</v>
      </c>
      <c r="G179" s="50">
        <v>1000000</v>
      </c>
      <c r="H179" s="50">
        <v>0</v>
      </c>
      <c r="I179" s="50">
        <v>50000</v>
      </c>
      <c r="J179" s="50">
        <v>0</v>
      </c>
      <c r="K179" s="50">
        <v>57415.61</v>
      </c>
      <c r="L179" s="152">
        <f t="shared" si="0"/>
        <v>5.7415609999999999E-2</v>
      </c>
      <c r="M179" s="50">
        <v>57415.61</v>
      </c>
      <c r="N179" s="152">
        <f t="shared" si="1"/>
        <v>5.7415609999999999E-2</v>
      </c>
      <c r="O179" s="50">
        <v>892584.39</v>
      </c>
      <c r="P179" s="152">
        <f t="shared" si="2"/>
        <v>0.89258439000000001</v>
      </c>
      <c r="Q179" s="50">
        <v>892584.39</v>
      </c>
      <c r="R179" s="257"/>
    </row>
    <row r="180" spans="1:18" hidden="1" x14ac:dyDescent="0.25">
      <c r="A180" s="49" t="s">
        <v>706</v>
      </c>
      <c r="B180" s="49" t="s">
        <v>130</v>
      </c>
      <c r="C180" s="49" t="s">
        <v>131</v>
      </c>
      <c r="D180" s="49" t="s">
        <v>69</v>
      </c>
      <c r="E180" s="50">
        <v>138100</v>
      </c>
      <c r="F180" s="50">
        <v>138100</v>
      </c>
      <c r="G180" s="50">
        <v>138100</v>
      </c>
      <c r="H180" s="50">
        <v>0</v>
      </c>
      <c r="I180" s="50">
        <v>17206.64</v>
      </c>
      <c r="J180" s="50">
        <v>0</v>
      </c>
      <c r="K180" s="50">
        <v>90793.36</v>
      </c>
      <c r="L180" s="152">
        <f t="shared" si="0"/>
        <v>0.65744648805213612</v>
      </c>
      <c r="M180" s="50">
        <v>90793.36</v>
      </c>
      <c r="N180" s="152">
        <f t="shared" si="1"/>
        <v>0.65744648805213612</v>
      </c>
      <c r="O180" s="50">
        <v>30100</v>
      </c>
      <c r="P180" s="152">
        <f t="shared" si="2"/>
        <v>0.21795800144822591</v>
      </c>
      <c r="Q180" s="50">
        <v>30100</v>
      </c>
      <c r="R180" s="257"/>
    </row>
    <row r="181" spans="1:18" hidden="1" x14ac:dyDescent="0.25">
      <c r="A181" s="49" t="s">
        <v>706</v>
      </c>
      <c r="B181" s="49" t="s">
        <v>132</v>
      </c>
      <c r="C181" s="49" t="s">
        <v>133</v>
      </c>
      <c r="D181" s="49" t="s">
        <v>69</v>
      </c>
      <c r="E181" s="50">
        <v>3786130</v>
      </c>
      <c r="F181" s="50">
        <v>3786130</v>
      </c>
      <c r="G181" s="50">
        <v>3786130</v>
      </c>
      <c r="H181" s="50">
        <v>0</v>
      </c>
      <c r="I181" s="50">
        <v>21972.61</v>
      </c>
      <c r="J181" s="50">
        <v>0</v>
      </c>
      <c r="K181" s="50">
        <v>1642139.47</v>
      </c>
      <c r="L181" s="152">
        <f t="shared" si="0"/>
        <v>0.43372506226674729</v>
      </c>
      <c r="M181" s="50">
        <v>1127756.3500000001</v>
      </c>
      <c r="N181" s="152">
        <f t="shared" si="1"/>
        <v>0.29786519480313672</v>
      </c>
      <c r="O181" s="50">
        <v>2122017.92</v>
      </c>
      <c r="P181" s="152">
        <f t="shared" si="2"/>
        <v>0.56047148935720636</v>
      </c>
      <c r="Q181" s="50">
        <v>2122017.92</v>
      </c>
      <c r="R181" s="257"/>
    </row>
    <row r="182" spans="1:18" hidden="1" x14ac:dyDescent="0.25">
      <c r="A182" s="49" t="s">
        <v>706</v>
      </c>
      <c r="B182" s="49" t="s">
        <v>134</v>
      </c>
      <c r="C182" s="49" t="s">
        <v>135</v>
      </c>
      <c r="D182" s="49" t="s">
        <v>69</v>
      </c>
      <c r="E182" s="50">
        <v>385113260</v>
      </c>
      <c r="F182" s="50">
        <v>425413260</v>
      </c>
      <c r="G182" s="50">
        <v>425413260</v>
      </c>
      <c r="H182" s="50">
        <v>0</v>
      </c>
      <c r="I182" s="50">
        <v>113000</v>
      </c>
      <c r="J182" s="50">
        <v>0</v>
      </c>
      <c r="K182" s="50">
        <v>403378651.38999999</v>
      </c>
      <c r="L182" s="152">
        <f t="shared" si="0"/>
        <v>0.94820422708497609</v>
      </c>
      <c r="M182" s="50">
        <v>342440945.89999998</v>
      </c>
      <c r="N182" s="152">
        <f t="shared" si="1"/>
        <v>0.8049606772952963</v>
      </c>
      <c r="O182" s="50">
        <v>21921608.609999999</v>
      </c>
      <c r="P182" s="152">
        <f t="shared" si="2"/>
        <v>5.1530148848674816E-2</v>
      </c>
      <c r="Q182" s="50">
        <v>21921608.609999999</v>
      </c>
      <c r="R182" s="257"/>
    </row>
    <row r="183" spans="1:18" hidden="1" x14ac:dyDescent="0.25">
      <c r="A183" s="49" t="s">
        <v>706</v>
      </c>
      <c r="B183" s="49" t="s">
        <v>306</v>
      </c>
      <c r="C183" s="49" t="s">
        <v>307</v>
      </c>
      <c r="D183" s="49" t="s">
        <v>69</v>
      </c>
      <c r="E183" s="50">
        <v>2000000</v>
      </c>
      <c r="F183" s="50">
        <v>2000000</v>
      </c>
      <c r="G183" s="50">
        <v>2000000</v>
      </c>
      <c r="H183" s="50">
        <v>0</v>
      </c>
      <c r="I183" s="50">
        <v>0</v>
      </c>
      <c r="J183" s="50">
        <v>0</v>
      </c>
      <c r="K183" s="50">
        <v>0</v>
      </c>
      <c r="L183" s="152">
        <f t="shared" si="0"/>
        <v>0</v>
      </c>
      <c r="M183" s="50">
        <v>0</v>
      </c>
      <c r="N183" s="152">
        <f t="shared" si="1"/>
        <v>0</v>
      </c>
      <c r="O183" s="50">
        <v>2000000</v>
      </c>
      <c r="P183" s="152">
        <f t="shared" si="2"/>
        <v>1</v>
      </c>
      <c r="Q183" s="50">
        <v>2000000</v>
      </c>
      <c r="R183" s="257"/>
    </row>
    <row r="184" spans="1:18" hidden="1" x14ac:dyDescent="0.25">
      <c r="A184" s="49" t="s">
        <v>706</v>
      </c>
      <c r="B184" s="49" t="s">
        <v>136</v>
      </c>
      <c r="C184" s="49" t="s">
        <v>137</v>
      </c>
      <c r="D184" s="49" t="s">
        <v>69</v>
      </c>
      <c r="E184" s="50">
        <v>373281100</v>
      </c>
      <c r="F184" s="50">
        <v>407581100</v>
      </c>
      <c r="G184" s="50">
        <v>407581100</v>
      </c>
      <c r="H184" s="50">
        <v>0</v>
      </c>
      <c r="I184" s="50">
        <v>113000</v>
      </c>
      <c r="J184" s="50">
        <v>0</v>
      </c>
      <c r="K184" s="50">
        <v>392905140.12</v>
      </c>
      <c r="L184" s="152">
        <f t="shared" si="0"/>
        <v>0.96399254067472706</v>
      </c>
      <c r="M184" s="50">
        <v>333453100.42000002</v>
      </c>
      <c r="N184" s="152">
        <f t="shared" si="1"/>
        <v>0.81812699465210736</v>
      </c>
      <c r="O184" s="50">
        <v>14562959.880000001</v>
      </c>
      <c r="P184" s="152">
        <f t="shared" si="2"/>
        <v>3.5730213888720552E-2</v>
      </c>
      <c r="Q184" s="50">
        <v>14562959.880000001</v>
      </c>
      <c r="R184" s="257"/>
    </row>
    <row r="185" spans="1:18" hidden="1" x14ac:dyDescent="0.25">
      <c r="A185" s="49" t="s">
        <v>706</v>
      </c>
      <c r="B185" s="49" t="s">
        <v>138</v>
      </c>
      <c r="C185" s="49" t="s">
        <v>139</v>
      </c>
      <c r="D185" s="49" t="s">
        <v>69</v>
      </c>
      <c r="E185" s="50">
        <v>9832160</v>
      </c>
      <c r="F185" s="50">
        <v>15832160</v>
      </c>
      <c r="G185" s="50">
        <v>15832160</v>
      </c>
      <c r="H185" s="50">
        <v>0</v>
      </c>
      <c r="I185" s="50">
        <v>0</v>
      </c>
      <c r="J185" s="50">
        <v>0</v>
      </c>
      <c r="K185" s="50">
        <v>10473511.27</v>
      </c>
      <c r="L185" s="152">
        <f t="shared" si="0"/>
        <v>0.66153394546290589</v>
      </c>
      <c r="M185" s="50">
        <v>8987845.4800000004</v>
      </c>
      <c r="N185" s="152">
        <f t="shared" si="1"/>
        <v>0.56769546795888881</v>
      </c>
      <c r="O185" s="50">
        <v>5358648.7300000004</v>
      </c>
      <c r="P185" s="152">
        <f t="shared" si="2"/>
        <v>0.33846605453709416</v>
      </c>
      <c r="Q185" s="50">
        <v>5358648.7300000004</v>
      </c>
      <c r="R185" s="257"/>
    </row>
    <row r="186" spans="1:18" hidden="1" x14ac:dyDescent="0.25">
      <c r="A186" s="49" t="s">
        <v>706</v>
      </c>
      <c r="B186" s="49" t="s">
        <v>140</v>
      </c>
      <c r="C186" s="49" t="s">
        <v>141</v>
      </c>
      <c r="D186" s="49" t="s">
        <v>69</v>
      </c>
      <c r="E186" s="50">
        <v>35800000</v>
      </c>
      <c r="F186" s="50">
        <v>35800000</v>
      </c>
      <c r="G186" s="50">
        <v>35800000</v>
      </c>
      <c r="H186" s="50">
        <v>0</v>
      </c>
      <c r="I186" s="50">
        <v>2432160</v>
      </c>
      <c r="J186" s="50">
        <v>0</v>
      </c>
      <c r="K186" s="50">
        <v>9370523.7300000004</v>
      </c>
      <c r="L186" s="152">
        <f t="shared" si="0"/>
        <v>0.26174647290502795</v>
      </c>
      <c r="M186" s="50">
        <v>9370523.7300000004</v>
      </c>
      <c r="N186" s="152">
        <f t="shared" si="1"/>
        <v>0.26174647290502795</v>
      </c>
      <c r="O186" s="50">
        <v>23997316.27</v>
      </c>
      <c r="P186" s="152">
        <f t="shared" si="2"/>
        <v>0.67031609692737426</v>
      </c>
      <c r="Q186" s="50">
        <v>23997316.27</v>
      </c>
      <c r="R186" s="257"/>
    </row>
    <row r="187" spans="1:18" hidden="1" x14ac:dyDescent="0.25">
      <c r="A187" s="49" t="s">
        <v>706</v>
      </c>
      <c r="B187" s="49" t="s">
        <v>142</v>
      </c>
      <c r="C187" s="49" t="s">
        <v>143</v>
      </c>
      <c r="D187" s="49" t="s">
        <v>69</v>
      </c>
      <c r="E187" s="50">
        <v>1800000</v>
      </c>
      <c r="F187" s="50">
        <v>1800000</v>
      </c>
      <c r="G187" s="50">
        <v>1800000</v>
      </c>
      <c r="H187" s="50">
        <v>0</v>
      </c>
      <c r="I187" s="50">
        <v>432160</v>
      </c>
      <c r="J187" s="50">
        <v>0</v>
      </c>
      <c r="K187" s="50">
        <v>534423.73</v>
      </c>
      <c r="L187" s="152">
        <f t="shared" si="0"/>
        <v>0.2969020722222222</v>
      </c>
      <c r="M187" s="50">
        <v>534423.73</v>
      </c>
      <c r="N187" s="152">
        <f t="shared" si="1"/>
        <v>0.2969020722222222</v>
      </c>
      <c r="O187" s="50">
        <v>833416.27</v>
      </c>
      <c r="P187" s="152">
        <f t="shared" si="2"/>
        <v>0.46300903888888889</v>
      </c>
      <c r="Q187" s="50">
        <v>833416.27</v>
      </c>
      <c r="R187" s="257"/>
    </row>
    <row r="188" spans="1:18" hidden="1" x14ac:dyDescent="0.25">
      <c r="A188" s="49" t="s">
        <v>706</v>
      </c>
      <c r="B188" s="49" t="s">
        <v>144</v>
      </c>
      <c r="C188" s="49" t="s">
        <v>145</v>
      </c>
      <c r="D188" s="49" t="s">
        <v>69</v>
      </c>
      <c r="E188" s="50">
        <v>34000000</v>
      </c>
      <c r="F188" s="50">
        <v>34000000</v>
      </c>
      <c r="G188" s="50">
        <v>34000000</v>
      </c>
      <c r="H188" s="50">
        <v>0</v>
      </c>
      <c r="I188" s="50">
        <v>2000000</v>
      </c>
      <c r="J188" s="50">
        <v>0</v>
      </c>
      <c r="K188" s="50">
        <v>8836100</v>
      </c>
      <c r="L188" s="152">
        <f t="shared" si="0"/>
        <v>0.25988529411764705</v>
      </c>
      <c r="M188" s="50">
        <v>8836100</v>
      </c>
      <c r="N188" s="152">
        <f t="shared" si="1"/>
        <v>0.25988529411764705</v>
      </c>
      <c r="O188" s="50">
        <v>23163900</v>
      </c>
      <c r="P188" s="152">
        <f t="shared" si="2"/>
        <v>0.68129117647058823</v>
      </c>
      <c r="Q188" s="50">
        <v>23163900</v>
      </c>
      <c r="R188" s="257"/>
    </row>
    <row r="189" spans="1:18" hidden="1" x14ac:dyDescent="0.25">
      <c r="A189" s="49" t="s">
        <v>706</v>
      </c>
      <c r="B189" s="49" t="s">
        <v>150</v>
      </c>
      <c r="C189" s="49" t="s">
        <v>151</v>
      </c>
      <c r="D189" s="49" t="s">
        <v>69</v>
      </c>
      <c r="E189" s="50">
        <v>113000000</v>
      </c>
      <c r="F189" s="50">
        <v>113000000</v>
      </c>
      <c r="G189" s="50">
        <v>113000000</v>
      </c>
      <c r="H189" s="50">
        <v>0</v>
      </c>
      <c r="I189" s="50">
        <v>15443550</v>
      </c>
      <c r="J189" s="50">
        <v>0</v>
      </c>
      <c r="K189" s="50">
        <v>84044686.819999993</v>
      </c>
      <c r="L189" s="152">
        <f t="shared" si="0"/>
        <v>0.74375829044247777</v>
      </c>
      <c r="M189" s="50">
        <v>70392536.819999993</v>
      </c>
      <c r="N189" s="152">
        <f t="shared" si="1"/>
        <v>0.6229428037168141</v>
      </c>
      <c r="O189" s="50">
        <v>13511763.18</v>
      </c>
      <c r="P189" s="152">
        <f t="shared" si="2"/>
        <v>0.11957312548672566</v>
      </c>
      <c r="Q189" s="50">
        <v>13511763.18</v>
      </c>
      <c r="R189" s="257"/>
    </row>
    <row r="190" spans="1:18" hidden="1" x14ac:dyDescent="0.25">
      <c r="A190" s="49" t="s">
        <v>706</v>
      </c>
      <c r="B190" s="49" t="s">
        <v>152</v>
      </c>
      <c r="C190" s="49" t="s">
        <v>153</v>
      </c>
      <c r="D190" s="49" t="s">
        <v>69</v>
      </c>
      <c r="E190" s="50">
        <v>113000000</v>
      </c>
      <c r="F190" s="50">
        <v>113000000</v>
      </c>
      <c r="G190" s="50">
        <v>113000000</v>
      </c>
      <c r="H190" s="50">
        <v>0</v>
      </c>
      <c r="I190" s="50">
        <v>15443550</v>
      </c>
      <c r="J190" s="50">
        <v>0</v>
      </c>
      <c r="K190" s="50">
        <v>84044686.819999993</v>
      </c>
      <c r="L190" s="152">
        <f t="shared" si="0"/>
        <v>0.74375829044247777</v>
      </c>
      <c r="M190" s="50">
        <v>70392536.819999993</v>
      </c>
      <c r="N190" s="152">
        <f t="shared" si="1"/>
        <v>0.6229428037168141</v>
      </c>
      <c r="O190" s="50">
        <v>13511763.18</v>
      </c>
      <c r="P190" s="152">
        <f t="shared" si="2"/>
        <v>0.11957312548672566</v>
      </c>
      <c r="Q190" s="50">
        <v>13511763.18</v>
      </c>
      <c r="R190" s="257"/>
    </row>
    <row r="191" spans="1:18" hidden="1" x14ac:dyDescent="0.25">
      <c r="A191" s="49" t="s">
        <v>706</v>
      </c>
      <c r="B191" s="49" t="s">
        <v>162</v>
      </c>
      <c r="C191" s="49" t="s">
        <v>163</v>
      </c>
      <c r="D191" s="49" t="s">
        <v>69</v>
      </c>
      <c r="E191" s="50">
        <v>119064370</v>
      </c>
      <c r="F191" s="50">
        <v>96214852.099999994</v>
      </c>
      <c r="G191" s="50">
        <v>96214852.099999994</v>
      </c>
      <c r="H191" s="50">
        <v>0</v>
      </c>
      <c r="I191" s="50">
        <v>2139867.61</v>
      </c>
      <c r="J191" s="50">
        <v>0</v>
      </c>
      <c r="K191" s="50">
        <v>63147215.219999999</v>
      </c>
      <c r="L191" s="152">
        <f t="shared" si="0"/>
        <v>0.65631463169915327</v>
      </c>
      <c r="M191" s="50">
        <v>40004554.810000002</v>
      </c>
      <c r="N191" s="152">
        <f t="shared" si="1"/>
        <v>0.4157835712143656</v>
      </c>
      <c r="O191" s="50">
        <v>30927769.27</v>
      </c>
      <c r="P191" s="152">
        <f t="shared" si="2"/>
        <v>0.32144485591325878</v>
      </c>
      <c r="Q191" s="50">
        <v>30927769.27</v>
      </c>
      <c r="R191" s="257"/>
    </row>
    <row r="192" spans="1:18" hidden="1" x14ac:dyDescent="0.25">
      <c r="A192" s="49" t="s">
        <v>706</v>
      </c>
      <c r="B192" s="49" t="s">
        <v>310</v>
      </c>
      <c r="C192" s="49" t="s">
        <v>311</v>
      </c>
      <c r="D192" s="49" t="s">
        <v>69</v>
      </c>
      <c r="E192" s="50">
        <v>25816590</v>
      </c>
      <c r="F192" s="50">
        <v>20816590</v>
      </c>
      <c r="G192" s="50">
        <v>20816590</v>
      </c>
      <c r="H192" s="50">
        <v>0</v>
      </c>
      <c r="I192" s="50">
        <v>0</v>
      </c>
      <c r="J192" s="50">
        <v>0</v>
      </c>
      <c r="K192" s="50">
        <v>19261577.300000001</v>
      </c>
      <c r="L192" s="152">
        <f t="shared" si="0"/>
        <v>0.92529935498561489</v>
      </c>
      <c r="M192" s="50">
        <v>5152476.0599999996</v>
      </c>
      <c r="N192" s="152">
        <f t="shared" si="1"/>
        <v>0.24751777596618849</v>
      </c>
      <c r="O192" s="50">
        <v>1555012.7</v>
      </c>
      <c r="P192" s="152">
        <f t="shared" si="2"/>
        <v>7.4700645014385156E-2</v>
      </c>
      <c r="Q192" s="50">
        <v>1555012.7</v>
      </c>
      <c r="R192" s="257"/>
    </row>
    <row r="193" spans="1:18" hidden="1" x14ac:dyDescent="0.25">
      <c r="A193" s="49" t="s">
        <v>706</v>
      </c>
      <c r="B193" s="49" t="s">
        <v>164</v>
      </c>
      <c r="C193" s="49" t="s">
        <v>165</v>
      </c>
      <c r="D193" s="49" t="s">
        <v>69</v>
      </c>
      <c r="E193" s="50">
        <v>4358000</v>
      </c>
      <c r="F193" s="50">
        <v>4358000</v>
      </c>
      <c r="G193" s="50">
        <v>4358000</v>
      </c>
      <c r="H193" s="50">
        <v>0</v>
      </c>
      <c r="I193" s="50">
        <v>0</v>
      </c>
      <c r="J193" s="50">
        <v>0</v>
      </c>
      <c r="K193" s="50">
        <v>1684667.57</v>
      </c>
      <c r="L193" s="152">
        <f t="shared" si="0"/>
        <v>0.38656896971087656</v>
      </c>
      <c r="M193" s="50">
        <v>1254490.69</v>
      </c>
      <c r="N193" s="152">
        <f t="shared" si="1"/>
        <v>0.28785926801284994</v>
      </c>
      <c r="O193" s="50">
        <v>2673332.4300000002</v>
      </c>
      <c r="P193" s="152">
        <f t="shared" si="2"/>
        <v>0.61343103028912349</v>
      </c>
      <c r="Q193" s="50">
        <v>2673332.4300000002</v>
      </c>
      <c r="R193" s="257"/>
    </row>
    <row r="194" spans="1:18" hidden="1" x14ac:dyDescent="0.25">
      <c r="A194" s="49" t="s">
        <v>706</v>
      </c>
      <c r="B194" s="49" t="s">
        <v>166</v>
      </c>
      <c r="C194" s="49" t="s">
        <v>167</v>
      </c>
      <c r="D194" s="49" t="s">
        <v>69</v>
      </c>
      <c r="E194" s="50">
        <v>28300000</v>
      </c>
      <c r="F194" s="50">
        <v>15150482.1</v>
      </c>
      <c r="G194" s="50">
        <v>15150482.1</v>
      </c>
      <c r="H194" s="50">
        <v>0</v>
      </c>
      <c r="I194" s="50">
        <v>2139867.61</v>
      </c>
      <c r="J194" s="50">
        <v>0</v>
      </c>
      <c r="K194" s="50">
        <v>7598027.8099999996</v>
      </c>
      <c r="L194" s="152">
        <f t="shared" si="0"/>
        <v>0.5015040287067829</v>
      </c>
      <c r="M194" s="50">
        <v>6956058.71</v>
      </c>
      <c r="N194" s="152">
        <f t="shared" si="1"/>
        <v>0.45913117906657241</v>
      </c>
      <c r="O194" s="50">
        <v>5412586.6799999997</v>
      </c>
      <c r="P194" s="152">
        <f t="shared" si="2"/>
        <v>0.35725507903144549</v>
      </c>
      <c r="Q194" s="50">
        <v>5412586.6799999997</v>
      </c>
      <c r="R194" s="257"/>
    </row>
    <row r="195" spans="1:18" hidden="1" x14ac:dyDescent="0.25">
      <c r="A195" s="49" t="s">
        <v>706</v>
      </c>
      <c r="B195" s="49" t="s">
        <v>312</v>
      </c>
      <c r="C195" s="49" t="s">
        <v>313</v>
      </c>
      <c r="D195" s="49" t="s">
        <v>69</v>
      </c>
      <c r="E195" s="50">
        <v>8695420</v>
      </c>
      <c r="F195" s="50">
        <v>8695420</v>
      </c>
      <c r="G195" s="50">
        <v>8695420</v>
      </c>
      <c r="H195" s="50">
        <v>0</v>
      </c>
      <c r="I195" s="50">
        <v>0</v>
      </c>
      <c r="J195" s="50">
        <v>0</v>
      </c>
      <c r="K195" s="50">
        <v>4118016.49</v>
      </c>
      <c r="L195" s="152">
        <f t="shared" si="0"/>
        <v>0.47358454105724623</v>
      </c>
      <c r="M195" s="50">
        <v>3787201.31</v>
      </c>
      <c r="N195" s="152">
        <f t="shared" si="1"/>
        <v>0.43553977956211432</v>
      </c>
      <c r="O195" s="50">
        <v>4577403.51</v>
      </c>
      <c r="P195" s="152">
        <f t="shared" si="2"/>
        <v>0.52641545894275377</v>
      </c>
      <c r="Q195" s="50">
        <v>4577403.51</v>
      </c>
      <c r="R195" s="257"/>
    </row>
    <row r="196" spans="1:18" hidden="1" x14ac:dyDescent="0.25">
      <c r="A196" s="49" t="s">
        <v>706</v>
      </c>
      <c r="B196" s="49" t="s">
        <v>168</v>
      </c>
      <c r="C196" s="49" t="s">
        <v>169</v>
      </c>
      <c r="D196" s="49" t="s">
        <v>69</v>
      </c>
      <c r="E196" s="50">
        <v>19689160</v>
      </c>
      <c r="F196" s="50">
        <v>16989160</v>
      </c>
      <c r="G196" s="50">
        <v>16989160</v>
      </c>
      <c r="H196" s="50">
        <v>0</v>
      </c>
      <c r="I196" s="50">
        <v>0</v>
      </c>
      <c r="J196" s="50">
        <v>0</v>
      </c>
      <c r="K196" s="50">
        <v>9054320.5</v>
      </c>
      <c r="L196" s="152">
        <f t="shared" si="0"/>
        <v>0.53294692027151436</v>
      </c>
      <c r="M196" s="50">
        <v>6486975.6399999997</v>
      </c>
      <c r="N196" s="152">
        <f t="shared" si="1"/>
        <v>0.38183027530495917</v>
      </c>
      <c r="O196" s="50">
        <v>7934839.5</v>
      </c>
      <c r="P196" s="152">
        <f t="shared" si="2"/>
        <v>0.4670530797284857</v>
      </c>
      <c r="Q196" s="50">
        <v>7934839.5</v>
      </c>
      <c r="R196" s="257"/>
    </row>
    <row r="197" spans="1:18" hidden="1" x14ac:dyDescent="0.25">
      <c r="A197" s="49" t="s">
        <v>706</v>
      </c>
      <c r="B197" s="49" t="s">
        <v>170</v>
      </c>
      <c r="C197" s="49" t="s">
        <v>171</v>
      </c>
      <c r="D197" s="49" t="s">
        <v>69</v>
      </c>
      <c r="E197" s="50">
        <v>26663380</v>
      </c>
      <c r="F197" s="50">
        <v>24663380</v>
      </c>
      <c r="G197" s="50">
        <v>24663380</v>
      </c>
      <c r="H197" s="50">
        <v>0</v>
      </c>
      <c r="I197" s="50">
        <v>0</v>
      </c>
      <c r="J197" s="50">
        <v>0</v>
      </c>
      <c r="K197" s="50">
        <v>18913423.489999998</v>
      </c>
      <c r="L197" s="152">
        <f t="shared" si="0"/>
        <v>0.76686259101550547</v>
      </c>
      <c r="M197" s="50">
        <v>14528527.689999999</v>
      </c>
      <c r="N197" s="152">
        <f t="shared" si="1"/>
        <v>0.58907285578862267</v>
      </c>
      <c r="O197" s="50">
        <v>5749956.5099999998</v>
      </c>
      <c r="P197" s="152">
        <f t="shared" si="2"/>
        <v>0.23313740898449442</v>
      </c>
      <c r="Q197" s="50">
        <v>5749956.5099999998</v>
      </c>
      <c r="R197" s="257"/>
    </row>
    <row r="198" spans="1:18" hidden="1" x14ac:dyDescent="0.25">
      <c r="A198" s="49" t="s">
        <v>706</v>
      </c>
      <c r="B198" s="49" t="s">
        <v>172</v>
      </c>
      <c r="C198" s="49" t="s">
        <v>173</v>
      </c>
      <c r="D198" s="49" t="s">
        <v>69</v>
      </c>
      <c r="E198" s="50">
        <v>5541820</v>
      </c>
      <c r="F198" s="50">
        <v>5541820</v>
      </c>
      <c r="G198" s="50">
        <v>5541820</v>
      </c>
      <c r="H198" s="50">
        <v>0</v>
      </c>
      <c r="I198" s="50">
        <v>0</v>
      </c>
      <c r="J198" s="50">
        <v>0</v>
      </c>
      <c r="K198" s="50">
        <v>2517182.06</v>
      </c>
      <c r="L198" s="152">
        <f t="shared" si="0"/>
        <v>0.45421577387933931</v>
      </c>
      <c r="M198" s="50">
        <v>1838824.71</v>
      </c>
      <c r="N198" s="152">
        <f t="shared" si="1"/>
        <v>0.33180881190655775</v>
      </c>
      <c r="O198" s="50">
        <v>3024637.94</v>
      </c>
      <c r="P198" s="152">
        <f t="shared" si="2"/>
        <v>0.54578422612066069</v>
      </c>
      <c r="Q198" s="50">
        <v>3024637.94</v>
      </c>
      <c r="R198" s="257"/>
    </row>
    <row r="199" spans="1:18" hidden="1" x14ac:dyDescent="0.25">
      <c r="A199" s="49" t="s">
        <v>706</v>
      </c>
      <c r="B199" s="49" t="s">
        <v>174</v>
      </c>
      <c r="C199" s="49" t="s">
        <v>175</v>
      </c>
      <c r="D199" s="49" t="s">
        <v>69</v>
      </c>
      <c r="E199" s="50">
        <v>1525000</v>
      </c>
      <c r="F199" s="50">
        <v>1525000</v>
      </c>
      <c r="G199" s="50">
        <v>1525000</v>
      </c>
      <c r="H199" s="50">
        <v>0</v>
      </c>
      <c r="I199" s="50">
        <v>30750</v>
      </c>
      <c r="J199" s="50">
        <v>0</v>
      </c>
      <c r="K199" s="50">
        <v>832182</v>
      </c>
      <c r="L199" s="152">
        <f t="shared" si="0"/>
        <v>0.54569311475409832</v>
      </c>
      <c r="M199" s="50">
        <v>47925</v>
      </c>
      <c r="N199" s="152">
        <f t="shared" si="1"/>
        <v>3.1426229508196721E-2</v>
      </c>
      <c r="O199" s="50">
        <v>662068</v>
      </c>
      <c r="P199" s="152">
        <f t="shared" si="2"/>
        <v>0.43414295081967214</v>
      </c>
      <c r="Q199" s="50">
        <v>662068</v>
      </c>
      <c r="R199" s="257"/>
    </row>
    <row r="200" spans="1:18" hidden="1" x14ac:dyDescent="0.25">
      <c r="A200" s="49" t="s">
        <v>706</v>
      </c>
      <c r="B200" s="49" t="s">
        <v>176</v>
      </c>
      <c r="C200" s="49" t="s">
        <v>177</v>
      </c>
      <c r="D200" s="49" t="s">
        <v>69</v>
      </c>
      <c r="E200" s="50">
        <v>1525000</v>
      </c>
      <c r="F200" s="50">
        <v>1525000</v>
      </c>
      <c r="G200" s="50">
        <v>1525000</v>
      </c>
      <c r="H200" s="50">
        <v>0</v>
      </c>
      <c r="I200" s="50">
        <v>30750</v>
      </c>
      <c r="J200" s="50">
        <v>0</v>
      </c>
      <c r="K200" s="50">
        <v>832182</v>
      </c>
      <c r="L200" s="152">
        <f t="shared" si="0"/>
        <v>0.54569311475409832</v>
      </c>
      <c r="M200" s="50">
        <v>47925</v>
      </c>
      <c r="N200" s="152">
        <f t="shared" si="1"/>
        <v>3.1426229508196721E-2</v>
      </c>
      <c r="O200" s="50">
        <v>662068</v>
      </c>
      <c r="P200" s="152">
        <f t="shared" si="2"/>
        <v>0.43414295081967214</v>
      </c>
      <c r="Q200" s="50">
        <v>662068</v>
      </c>
      <c r="R200" s="257"/>
    </row>
    <row r="201" spans="1:18" hidden="1" x14ac:dyDescent="0.25">
      <c r="A201" s="49" t="s">
        <v>706</v>
      </c>
      <c r="B201" s="49" t="s">
        <v>178</v>
      </c>
      <c r="C201" s="49" t="s">
        <v>179</v>
      </c>
      <c r="D201" s="49" t="s">
        <v>69</v>
      </c>
      <c r="E201" s="50">
        <v>2200000</v>
      </c>
      <c r="F201" s="50">
        <v>2200000</v>
      </c>
      <c r="G201" s="50">
        <v>2200000</v>
      </c>
      <c r="H201" s="50">
        <v>0</v>
      </c>
      <c r="I201" s="50">
        <v>0</v>
      </c>
      <c r="J201" s="50">
        <v>0</v>
      </c>
      <c r="K201" s="50">
        <v>300000</v>
      </c>
      <c r="L201" s="152">
        <f t="shared" si="0"/>
        <v>0.13636363636363635</v>
      </c>
      <c r="M201" s="50">
        <v>150000</v>
      </c>
      <c r="N201" s="152">
        <f t="shared" si="1"/>
        <v>6.8181818181818177E-2</v>
      </c>
      <c r="O201" s="50">
        <v>1900000</v>
      </c>
      <c r="P201" s="152">
        <f t="shared" si="2"/>
        <v>0.86363636363636365</v>
      </c>
      <c r="Q201" s="50">
        <v>1900000</v>
      </c>
      <c r="R201" s="257"/>
    </row>
    <row r="202" spans="1:18" hidden="1" x14ac:dyDescent="0.25">
      <c r="A202" s="49" t="s">
        <v>706</v>
      </c>
      <c r="B202" s="49" t="s">
        <v>180</v>
      </c>
      <c r="C202" s="49" t="s">
        <v>181</v>
      </c>
      <c r="D202" s="49" t="s">
        <v>69</v>
      </c>
      <c r="E202" s="50">
        <v>200000</v>
      </c>
      <c r="F202" s="50">
        <v>200000</v>
      </c>
      <c r="G202" s="50">
        <v>200000</v>
      </c>
      <c r="H202" s="50">
        <v>0</v>
      </c>
      <c r="I202" s="50">
        <v>0</v>
      </c>
      <c r="J202" s="50">
        <v>0</v>
      </c>
      <c r="K202" s="50">
        <v>0</v>
      </c>
      <c r="L202" s="152">
        <f t="shared" si="0"/>
        <v>0</v>
      </c>
      <c r="M202" s="50">
        <v>0</v>
      </c>
      <c r="N202" s="152">
        <f t="shared" si="1"/>
        <v>0</v>
      </c>
      <c r="O202" s="50">
        <v>200000</v>
      </c>
      <c r="P202" s="152">
        <f t="shared" si="2"/>
        <v>1</v>
      </c>
      <c r="Q202" s="50">
        <v>200000</v>
      </c>
      <c r="R202" s="257"/>
    </row>
    <row r="203" spans="1:18" hidden="1" x14ac:dyDescent="0.25">
      <c r="A203" s="49" t="s">
        <v>706</v>
      </c>
      <c r="B203" s="49" t="s">
        <v>182</v>
      </c>
      <c r="C203" s="49" t="s">
        <v>183</v>
      </c>
      <c r="D203" s="49" t="s">
        <v>69</v>
      </c>
      <c r="E203" s="50">
        <v>2000000</v>
      </c>
      <c r="F203" s="50">
        <v>2000000</v>
      </c>
      <c r="G203" s="50">
        <v>2000000</v>
      </c>
      <c r="H203" s="50">
        <v>0</v>
      </c>
      <c r="I203" s="50">
        <v>0</v>
      </c>
      <c r="J203" s="50">
        <v>0</v>
      </c>
      <c r="K203" s="50">
        <v>300000</v>
      </c>
      <c r="L203" s="152">
        <f t="shared" si="0"/>
        <v>0.15</v>
      </c>
      <c r="M203" s="50">
        <v>150000</v>
      </c>
      <c r="N203" s="152">
        <f t="shared" si="1"/>
        <v>7.4999999999999997E-2</v>
      </c>
      <c r="O203" s="50">
        <v>1700000</v>
      </c>
      <c r="P203" s="152">
        <f t="shared" si="2"/>
        <v>0.85</v>
      </c>
      <c r="Q203" s="50">
        <v>1700000</v>
      </c>
      <c r="R203" s="257"/>
    </row>
    <row r="204" spans="1:18" hidden="1" x14ac:dyDescent="0.25">
      <c r="A204" s="49" t="s">
        <v>706</v>
      </c>
      <c r="B204" s="49" t="s">
        <v>184</v>
      </c>
      <c r="C204" s="49" t="s">
        <v>185</v>
      </c>
      <c r="D204" s="49" t="s">
        <v>69</v>
      </c>
      <c r="E204" s="50">
        <v>56348380</v>
      </c>
      <c r="F204" s="50">
        <v>50848380</v>
      </c>
      <c r="G204" s="50">
        <v>50848380</v>
      </c>
      <c r="H204" s="50">
        <v>0</v>
      </c>
      <c r="I204" s="50">
        <v>1074674.1599999999</v>
      </c>
      <c r="J204" s="50">
        <v>0</v>
      </c>
      <c r="K204" s="50">
        <v>27257232.27</v>
      </c>
      <c r="L204" s="152">
        <f t="shared" si="0"/>
        <v>0.53604917737792235</v>
      </c>
      <c r="M204" s="50">
        <v>23600710.420000002</v>
      </c>
      <c r="N204" s="152">
        <f t="shared" si="1"/>
        <v>0.46413888544728471</v>
      </c>
      <c r="O204" s="50">
        <v>22516473.57</v>
      </c>
      <c r="P204" s="152">
        <f t="shared" si="2"/>
        <v>0.44281594752871184</v>
      </c>
      <c r="Q204" s="50">
        <v>22516473.57</v>
      </c>
      <c r="R204" s="257"/>
    </row>
    <row r="205" spans="1:18" hidden="1" x14ac:dyDescent="0.25">
      <c r="A205" s="49" t="s">
        <v>706</v>
      </c>
      <c r="B205" s="49" t="s">
        <v>186</v>
      </c>
      <c r="C205" s="49" t="s">
        <v>187</v>
      </c>
      <c r="D205" s="49" t="s">
        <v>69</v>
      </c>
      <c r="E205" s="50">
        <v>30858480</v>
      </c>
      <c r="F205" s="50">
        <v>29358480</v>
      </c>
      <c r="G205" s="50">
        <v>29358480</v>
      </c>
      <c r="H205" s="50">
        <v>0</v>
      </c>
      <c r="I205" s="50">
        <v>1074674.1599999999</v>
      </c>
      <c r="J205" s="50">
        <v>0</v>
      </c>
      <c r="K205" s="50">
        <v>9817598.9600000009</v>
      </c>
      <c r="L205" s="152">
        <f t="shared" si="0"/>
        <v>0.3344041980375006</v>
      </c>
      <c r="M205" s="50">
        <v>9602537.3599999994</v>
      </c>
      <c r="N205" s="152">
        <f t="shared" si="1"/>
        <v>0.32707883241911706</v>
      </c>
      <c r="O205" s="50">
        <v>18466206.879999999</v>
      </c>
      <c r="P205" s="152">
        <f t="shared" si="2"/>
        <v>0.62899056354416161</v>
      </c>
      <c r="Q205" s="50">
        <v>18466206.879999999</v>
      </c>
      <c r="R205" s="257"/>
    </row>
    <row r="206" spans="1:18" hidden="1" x14ac:dyDescent="0.25">
      <c r="A206" s="49" t="s">
        <v>706</v>
      </c>
      <c r="B206" s="49" t="s">
        <v>188</v>
      </c>
      <c r="C206" s="49" t="s">
        <v>189</v>
      </c>
      <c r="D206" s="49" t="s">
        <v>69</v>
      </c>
      <c r="E206" s="50">
        <v>25379000</v>
      </c>
      <c r="F206" s="50">
        <v>25379000</v>
      </c>
      <c r="G206" s="50">
        <v>25379000</v>
      </c>
      <c r="H206" s="50">
        <v>0</v>
      </c>
      <c r="I206" s="50">
        <v>1074674.1599999999</v>
      </c>
      <c r="J206" s="50">
        <v>0</v>
      </c>
      <c r="K206" s="50">
        <v>6986789.04</v>
      </c>
      <c r="L206" s="152">
        <f t="shared" si="0"/>
        <v>0.275298043264116</v>
      </c>
      <c r="M206" s="50">
        <v>6986789.04</v>
      </c>
      <c r="N206" s="152">
        <f t="shared" si="1"/>
        <v>0.275298043264116</v>
      </c>
      <c r="O206" s="50">
        <v>17317536.800000001</v>
      </c>
      <c r="P206" s="152">
        <f t="shared" si="2"/>
        <v>0.68235694077780851</v>
      </c>
      <c r="Q206" s="50">
        <v>17317536.800000001</v>
      </c>
      <c r="R206" s="257"/>
    </row>
    <row r="207" spans="1:18" hidden="1" x14ac:dyDescent="0.25">
      <c r="A207" s="49" t="s">
        <v>706</v>
      </c>
      <c r="B207" s="49" t="s">
        <v>190</v>
      </c>
      <c r="C207" s="49" t="s">
        <v>191</v>
      </c>
      <c r="D207" s="49" t="s">
        <v>69</v>
      </c>
      <c r="E207" s="50">
        <v>231600</v>
      </c>
      <c r="F207" s="50">
        <v>231600</v>
      </c>
      <c r="G207" s="50">
        <v>231600</v>
      </c>
      <c r="H207" s="50">
        <v>0</v>
      </c>
      <c r="I207" s="50">
        <v>0</v>
      </c>
      <c r="J207" s="50">
        <v>0</v>
      </c>
      <c r="K207" s="50">
        <v>167805</v>
      </c>
      <c r="L207" s="152">
        <f t="shared" si="0"/>
        <v>0.72454663212435233</v>
      </c>
      <c r="M207" s="50">
        <v>167805</v>
      </c>
      <c r="N207" s="152">
        <f t="shared" si="1"/>
        <v>0.72454663212435233</v>
      </c>
      <c r="O207" s="50">
        <v>63795</v>
      </c>
      <c r="P207" s="152">
        <f t="shared" si="2"/>
        <v>0.27545336787564767</v>
      </c>
      <c r="Q207" s="50">
        <v>63795</v>
      </c>
      <c r="R207" s="257"/>
    </row>
    <row r="208" spans="1:18" hidden="1" x14ac:dyDescent="0.25">
      <c r="A208" s="49" t="s">
        <v>706</v>
      </c>
      <c r="B208" s="49" t="s">
        <v>192</v>
      </c>
      <c r="C208" s="49" t="s">
        <v>193</v>
      </c>
      <c r="D208" s="49" t="s">
        <v>69</v>
      </c>
      <c r="E208" s="50">
        <v>4850880</v>
      </c>
      <c r="F208" s="50">
        <v>3350880</v>
      </c>
      <c r="G208" s="50">
        <v>3350880</v>
      </c>
      <c r="H208" s="50">
        <v>0</v>
      </c>
      <c r="I208" s="50">
        <v>0</v>
      </c>
      <c r="J208" s="50">
        <v>0</v>
      </c>
      <c r="K208" s="50">
        <v>2369589.12</v>
      </c>
      <c r="L208" s="152">
        <f t="shared" si="0"/>
        <v>0.7071542758917061</v>
      </c>
      <c r="M208" s="50">
        <v>2329858.3199999998</v>
      </c>
      <c r="N208" s="152">
        <f t="shared" si="1"/>
        <v>0.69529745022203115</v>
      </c>
      <c r="O208" s="50">
        <v>981290.88</v>
      </c>
      <c r="P208" s="152">
        <f t="shared" si="2"/>
        <v>0.29284572410829396</v>
      </c>
      <c r="Q208" s="50">
        <v>981290.88</v>
      </c>
      <c r="R208" s="257"/>
    </row>
    <row r="209" spans="1:18" hidden="1" x14ac:dyDescent="0.25">
      <c r="A209" s="49" t="s">
        <v>706</v>
      </c>
      <c r="B209" s="49" t="s">
        <v>194</v>
      </c>
      <c r="C209" s="49" t="s">
        <v>195</v>
      </c>
      <c r="D209" s="49" t="s">
        <v>69</v>
      </c>
      <c r="E209" s="50">
        <v>397000</v>
      </c>
      <c r="F209" s="50">
        <v>397000</v>
      </c>
      <c r="G209" s="50">
        <v>397000</v>
      </c>
      <c r="H209" s="50">
        <v>0</v>
      </c>
      <c r="I209" s="50">
        <v>0</v>
      </c>
      <c r="J209" s="50">
        <v>0</v>
      </c>
      <c r="K209" s="50">
        <v>293415.8</v>
      </c>
      <c r="L209" s="152">
        <f t="shared" si="0"/>
        <v>0.73908261964735511</v>
      </c>
      <c r="M209" s="50">
        <v>118085</v>
      </c>
      <c r="N209" s="152">
        <f t="shared" si="1"/>
        <v>0.29744332493702769</v>
      </c>
      <c r="O209" s="50">
        <v>103584.2</v>
      </c>
      <c r="P209" s="152">
        <f t="shared" si="2"/>
        <v>0.26091738035264483</v>
      </c>
      <c r="Q209" s="50">
        <v>103584.2</v>
      </c>
      <c r="R209" s="257"/>
    </row>
    <row r="210" spans="1:18" hidden="1" x14ac:dyDescent="0.25">
      <c r="A210" s="49" t="s">
        <v>706</v>
      </c>
      <c r="B210" s="49" t="s">
        <v>200</v>
      </c>
      <c r="C210" s="49" t="s">
        <v>201</v>
      </c>
      <c r="D210" s="49" t="s">
        <v>69</v>
      </c>
      <c r="E210" s="50">
        <v>5536500</v>
      </c>
      <c r="F210" s="50">
        <v>5536500</v>
      </c>
      <c r="G210" s="50">
        <v>5536500</v>
      </c>
      <c r="H210" s="50">
        <v>0</v>
      </c>
      <c r="I210" s="50">
        <v>0</v>
      </c>
      <c r="J210" s="50">
        <v>0</v>
      </c>
      <c r="K210" s="50">
        <v>4910466.1500000004</v>
      </c>
      <c r="L210" s="152">
        <f t="shared" si="0"/>
        <v>0.88692606339745328</v>
      </c>
      <c r="M210" s="50">
        <v>4495808.13</v>
      </c>
      <c r="N210" s="152">
        <f t="shared" si="1"/>
        <v>0.81203072879978322</v>
      </c>
      <c r="O210" s="50">
        <v>626033.85</v>
      </c>
      <c r="P210" s="152">
        <f t="shared" si="2"/>
        <v>0.11307393660254673</v>
      </c>
      <c r="Q210" s="50">
        <v>626033.85</v>
      </c>
      <c r="R210" s="257"/>
    </row>
    <row r="211" spans="1:18" hidden="1" x14ac:dyDescent="0.25">
      <c r="A211" s="49" t="s">
        <v>706</v>
      </c>
      <c r="B211" s="49" t="s">
        <v>314</v>
      </c>
      <c r="C211" s="49" t="s">
        <v>315</v>
      </c>
      <c r="D211" s="49" t="s">
        <v>69</v>
      </c>
      <c r="E211" s="50">
        <v>1274000</v>
      </c>
      <c r="F211" s="50">
        <v>1274000</v>
      </c>
      <c r="G211" s="50">
        <v>1274000</v>
      </c>
      <c r="H211" s="50">
        <v>0</v>
      </c>
      <c r="I211" s="50">
        <v>0</v>
      </c>
      <c r="J211" s="50">
        <v>0</v>
      </c>
      <c r="K211" s="50">
        <v>1248976.29</v>
      </c>
      <c r="L211" s="152">
        <f t="shared" si="0"/>
        <v>0.98035815541601257</v>
      </c>
      <c r="M211" s="50">
        <v>1248976.29</v>
      </c>
      <c r="N211" s="152">
        <f t="shared" si="1"/>
        <v>0.98035815541601257</v>
      </c>
      <c r="O211" s="50">
        <v>25023.71</v>
      </c>
      <c r="P211" s="152">
        <f t="shared" si="2"/>
        <v>1.964184458398744E-2</v>
      </c>
      <c r="Q211" s="50">
        <v>25023.71</v>
      </c>
      <c r="R211" s="257"/>
    </row>
    <row r="212" spans="1:18" hidden="1" x14ac:dyDescent="0.25">
      <c r="A212" s="49" t="s">
        <v>706</v>
      </c>
      <c r="B212" s="49" t="s">
        <v>316</v>
      </c>
      <c r="C212" s="49" t="s">
        <v>317</v>
      </c>
      <c r="D212" s="49" t="s">
        <v>69</v>
      </c>
      <c r="E212" s="50">
        <v>290000</v>
      </c>
      <c r="F212" s="50">
        <v>290000</v>
      </c>
      <c r="G212" s="50">
        <v>290000</v>
      </c>
      <c r="H212" s="50">
        <v>0</v>
      </c>
      <c r="I212" s="50">
        <v>0</v>
      </c>
      <c r="J212" s="50">
        <v>0</v>
      </c>
      <c r="K212" s="50">
        <v>137464.5</v>
      </c>
      <c r="L212" s="152">
        <f t="shared" si="0"/>
        <v>0.4740155172413793</v>
      </c>
      <c r="M212" s="50">
        <v>137464.5</v>
      </c>
      <c r="N212" s="152">
        <f t="shared" si="1"/>
        <v>0.4740155172413793</v>
      </c>
      <c r="O212" s="50">
        <v>152535.5</v>
      </c>
      <c r="P212" s="152">
        <f t="shared" si="2"/>
        <v>0.52598448275862064</v>
      </c>
      <c r="Q212" s="50">
        <v>152535.5</v>
      </c>
      <c r="R212" s="257"/>
    </row>
    <row r="213" spans="1:18" hidden="1" x14ac:dyDescent="0.25">
      <c r="A213" s="49" t="s">
        <v>706</v>
      </c>
      <c r="B213" s="49" t="s">
        <v>318</v>
      </c>
      <c r="C213" s="49" t="s">
        <v>319</v>
      </c>
      <c r="D213" s="49" t="s">
        <v>69</v>
      </c>
      <c r="E213" s="50">
        <v>100000</v>
      </c>
      <c r="F213" s="50">
        <v>100000</v>
      </c>
      <c r="G213" s="50">
        <v>100000</v>
      </c>
      <c r="H213" s="50">
        <v>0</v>
      </c>
      <c r="I213" s="50">
        <v>0</v>
      </c>
      <c r="J213" s="50">
        <v>0</v>
      </c>
      <c r="K213" s="50">
        <v>78619.070000000007</v>
      </c>
      <c r="L213" s="152">
        <f t="shared" si="0"/>
        <v>0.78619070000000002</v>
      </c>
      <c r="M213" s="50">
        <v>78619.070000000007</v>
      </c>
      <c r="N213" s="152">
        <f t="shared" si="1"/>
        <v>0.78619070000000002</v>
      </c>
      <c r="O213" s="50">
        <v>21380.93</v>
      </c>
      <c r="P213" s="152">
        <f t="shared" si="2"/>
        <v>0.21380930000000001</v>
      </c>
      <c r="Q213" s="50">
        <v>21380.93</v>
      </c>
      <c r="R213" s="257"/>
    </row>
    <row r="214" spans="1:18" hidden="1" x14ac:dyDescent="0.25">
      <c r="A214" s="49" t="s">
        <v>706</v>
      </c>
      <c r="B214" s="49" t="s">
        <v>202</v>
      </c>
      <c r="C214" s="49" t="s">
        <v>203</v>
      </c>
      <c r="D214" s="49" t="s">
        <v>69</v>
      </c>
      <c r="E214" s="50">
        <v>2782500</v>
      </c>
      <c r="F214" s="50">
        <v>2782500</v>
      </c>
      <c r="G214" s="50">
        <v>2782500</v>
      </c>
      <c r="H214" s="50">
        <v>0</v>
      </c>
      <c r="I214" s="50">
        <v>0</v>
      </c>
      <c r="J214" s="50">
        <v>0</v>
      </c>
      <c r="K214" s="50">
        <v>2546058.23</v>
      </c>
      <c r="L214" s="152">
        <f t="shared" si="0"/>
        <v>0.91502541958670258</v>
      </c>
      <c r="M214" s="50">
        <v>2546058.23</v>
      </c>
      <c r="N214" s="152">
        <f t="shared" si="1"/>
        <v>0.91502541958670258</v>
      </c>
      <c r="O214" s="50">
        <v>236441.77</v>
      </c>
      <c r="P214" s="152">
        <f t="shared" si="2"/>
        <v>8.497458041329739E-2</v>
      </c>
      <c r="Q214" s="50">
        <v>236441.77</v>
      </c>
      <c r="R214" s="257"/>
    </row>
    <row r="215" spans="1:18" hidden="1" x14ac:dyDescent="0.25">
      <c r="A215" s="49" t="s">
        <v>706</v>
      </c>
      <c r="B215" s="49" t="s">
        <v>204</v>
      </c>
      <c r="C215" s="49" t="s">
        <v>205</v>
      </c>
      <c r="D215" s="49" t="s">
        <v>69</v>
      </c>
      <c r="E215" s="50">
        <v>200000</v>
      </c>
      <c r="F215" s="50">
        <v>200000</v>
      </c>
      <c r="G215" s="50">
        <v>200000</v>
      </c>
      <c r="H215" s="50">
        <v>0</v>
      </c>
      <c r="I215" s="50">
        <v>0</v>
      </c>
      <c r="J215" s="50">
        <v>0</v>
      </c>
      <c r="K215" s="50">
        <v>58985.440000000002</v>
      </c>
      <c r="L215" s="152">
        <f t="shared" si="0"/>
        <v>0.2949272</v>
      </c>
      <c r="M215" s="50">
        <v>58985.440000000002</v>
      </c>
      <c r="N215" s="152">
        <f t="shared" si="1"/>
        <v>0.2949272</v>
      </c>
      <c r="O215" s="50">
        <v>141014.56</v>
      </c>
      <c r="P215" s="152">
        <f t="shared" si="2"/>
        <v>0.70507279999999994</v>
      </c>
      <c r="Q215" s="50">
        <v>141014.56</v>
      </c>
      <c r="R215" s="257"/>
    </row>
    <row r="216" spans="1:18" hidden="1" x14ac:dyDescent="0.25">
      <c r="A216" s="49" t="s">
        <v>706</v>
      </c>
      <c r="B216" s="49" t="s">
        <v>322</v>
      </c>
      <c r="C216" s="49" t="s">
        <v>323</v>
      </c>
      <c r="D216" s="49" t="s">
        <v>69</v>
      </c>
      <c r="E216" s="50">
        <v>890000</v>
      </c>
      <c r="F216" s="50">
        <v>890000</v>
      </c>
      <c r="G216" s="50">
        <v>890000</v>
      </c>
      <c r="H216" s="50">
        <v>0</v>
      </c>
      <c r="I216" s="50">
        <v>0</v>
      </c>
      <c r="J216" s="50">
        <v>0</v>
      </c>
      <c r="K216" s="50">
        <v>840362.62</v>
      </c>
      <c r="L216" s="152">
        <f t="shared" si="0"/>
        <v>0.9442276629213483</v>
      </c>
      <c r="M216" s="50">
        <v>425704.6</v>
      </c>
      <c r="N216" s="152">
        <f t="shared" si="1"/>
        <v>0.47831977528089886</v>
      </c>
      <c r="O216" s="50">
        <v>49637.38</v>
      </c>
      <c r="P216" s="152">
        <f t="shared" si="2"/>
        <v>5.5772337078651681E-2</v>
      </c>
      <c r="Q216" s="50">
        <v>49637.38</v>
      </c>
      <c r="R216" s="257"/>
    </row>
    <row r="217" spans="1:18" hidden="1" x14ac:dyDescent="0.25">
      <c r="A217" s="49" t="s">
        <v>706</v>
      </c>
      <c r="B217" s="49" t="s">
        <v>206</v>
      </c>
      <c r="C217" s="49" t="s">
        <v>207</v>
      </c>
      <c r="D217" s="49" t="s">
        <v>69</v>
      </c>
      <c r="E217" s="50">
        <v>3341900</v>
      </c>
      <c r="F217" s="50">
        <v>2341900</v>
      </c>
      <c r="G217" s="50">
        <v>2341900</v>
      </c>
      <c r="H217" s="50">
        <v>0</v>
      </c>
      <c r="I217" s="50">
        <v>0</v>
      </c>
      <c r="J217" s="50">
        <v>0</v>
      </c>
      <c r="K217" s="50">
        <v>780334.46</v>
      </c>
      <c r="L217" s="152">
        <f t="shared" si="0"/>
        <v>0.33320571330970578</v>
      </c>
      <c r="M217" s="50">
        <v>111538.33</v>
      </c>
      <c r="N217" s="152">
        <f t="shared" si="1"/>
        <v>4.7627281267347027E-2</v>
      </c>
      <c r="O217" s="50">
        <v>1561565.54</v>
      </c>
      <c r="P217" s="152">
        <f t="shared" si="2"/>
        <v>0.66679428669029417</v>
      </c>
      <c r="Q217" s="50">
        <v>1561565.54</v>
      </c>
      <c r="R217" s="257"/>
    </row>
    <row r="218" spans="1:18" hidden="1" x14ac:dyDescent="0.25">
      <c r="A218" s="49" t="s">
        <v>706</v>
      </c>
      <c r="B218" s="49" t="s">
        <v>208</v>
      </c>
      <c r="C218" s="49" t="s">
        <v>209</v>
      </c>
      <c r="D218" s="49" t="s">
        <v>69</v>
      </c>
      <c r="E218" s="50">
        <v>671900</v>
      </c>
      <c r="F218" s="50">
        <v>671900</v>
      </c>
      <c r="G218" s="50">
        <v>671900</v>
      </c>
      <c r="H218" s="50">
        <v>0</v>
      </c>
      <c r="I218" s="50">
        <v>0</v>
      </c>
      <c r="J218" s="50">
        <v>0</v>
      </c>
      <c r="K218" s="50">
        <v>537232.91</v>
      </c>
      <c r="L218" s="152">
        <f t="shared" si="0"/>
        <v>0.79957271915463612</v>
      </c>
      <c r="M218" s="50">
        <v>45250</v>
      </c>
      <c r="N218" s="152">
        <f t="shared" si="1"/>
        <v>6.7346331299300496E-2</v>
      </c>
      <c r="O218" s="50">
        <v>134667.09</v>
      </c>
      <c r="P218" s="152">
        <f t="shared" si="2"/>
        <v>0.20042728084536388</v>
      </c>
      <c r="Q218" s="50">
        <v>134667.09</v>
      </c>
      <c r="R218" s="257"/>
    </row>
    <row r="219" spans="1:18" hidden="1" x14ac:dyDescent="0.25">
      <c r="A219" s="49" t="s">
        <v>706</v>
      </c>
      <c r="B219" s="49" t="s">
        <v>210</v>
      </c>
      <c r="C219" s="49" t="s">
        <v>211</v>
      </c>
      <c r="D219" s="49" t="s">
        <v>69</v>
      </c>
      <c r="E219" s="50">
        <v>2670000</v>
      </c>
      <c r="F219" s="50">
        <v>1670000</v>
      </c>
      <c r="G219" s="50">
        <v>1670000</v>
      </c>
      <c r="H219" s="50">
        <v>0</v>
      </c>
      <c r="I219" s="50">
        <v>0</v>
      </c>
      <c r="J219" s="50">
        <v>0</v>
      </c>
      <c r="K219" s="50">
        <v>243101.55</v>
      </c>
      <c r="L219" s="152">
        <f t="shared" si="0"/>
        <v>0.14556979041916168</v>
      </c>
      <c r="M219" s="50">
        <v>66288.33</v>
      </c>
      <c r="N219" s="152">
        <f t="shared" si="1"/>
        <v>3.9693610778443113E-2</v>
      </c>
      <c r="O219" s="50">
        <v>1426898.45</v>
      </c>
      <c r="P219" s="152">
        <f t="shared" si="2"/>
        <v>0.85443020958083826</v>
      </c>
      <c r="Q219" s="50">
        <v>1426898.45</v>
      </c>
      <c r="R219" s="257"/>
    </row>
    <row r="220" spans="1:18" hidden="1" x14ac:dyDescent="0.25">
      <c r="A220" s="49" t="s">
        <v>706</v>
      </c>
      <c r="B220" s="49" t="s">
        <v>212</v>
      </c>
      <c r="C220" s="49" t="s">
        <v>213</v>
      </c>
      <c r="D220" s="49" t="s">
        <v>69</v>
      </c>
      <c r="E220" s="50">
        <v>16611500</v>
      </c>
      <c r="F220" s="50">
        <v>13611500</v>
      </c>
      <c r="G220" s="50">
        <v>13611500</v>
      </c>
      <c r="H220" s="50">
        <v>0</v>
      </c>
      <c r="I220" s="50">
        <v>0</v>
      </c>
      <c r="J220" s="50">
        <v>0</v>
      </c>
      <c r="K220" s="50">
        <v>11748832.699999999</v>
      </c>
      <c r="L220" s="152">
        <f t="shared" si="0"/>
        <v>0.86315488373801563</v>
      </c>
      <c r="M220" s="50">
        <v>9390826.5999999996</v>
      </c>
      <c r="N220" s="152">
        <f t="shared" si="1"/>
        <v>0.68991856885721625</v>
      </c>
      <c r="O220" s="50">
        <v>1862667.3</v>
      </c>
      <c r="P220" s="152">
        <f t="shared" si="2"/>
        <v>0.13684511626198437</v>
      </c>
      <c r="Q220" s="50">
        <v>1862667.3</v>
      </c>
      <c r="R220" s="257"/>
    </row>
    <row r="221" spans="1:18" hidden="1" x14ac:dyDescent="0.25">
      <c r="A221" s="49" t="s">
        <v>706</v>
      </c>
      <c r="B221" s="49" t="s">
        <v>214</v>
      </c>
      <c r="C221" s="49" t="s">
        <v>215</v>
      </c>
      <c r="D221" s="49" t="s">
        <v>69</v>
      </c>
      <c r="E221" s="50">
        <v>5232000</v>
      </c>
      <c r="F221" s="50">
        <v>2232000</v>
      </c>
      <c r="G221" s="50">
        <v>2232000</v>
      </c>
      <c r="H221" s="50">
        <v>0</v>
      </c>
      <c r="I221" s="50">
        <v>0</v>
      </c>
      <c r="J221" s="50">
        <v>0</v>
      </c>
      <c r="K221" s="50">
        <v>2152542.12</v>
      </c>
      <c r="L221" s="152">
        <f t="shared" si="0"/>
        <v>0.9644005913978495</v>
      </c>
      <c r="M221" s="50">
        <v>2152542.12</v>
      </c>
      <c r="N221" s="152">
        <f t="shared" si="1"/>
        <v>0.9644005913978495</v>
      </c>
      <c r="O221" s="50">
        <v>79457.88</v>
      </c>
      <c r="P221" s="152">
        <f t="shared" si="2"/>
        <v>3.5599408602150537E-2</v>
      </c>
      <c r="Q221" s="50">
        <v>79457.88</v>
      </c>
      <c r="R221" s="257"/>
    </row>
    <row r="222" spans="1:18" hidden="1" x14ac:dyDescent="0.25">
      <c r="A222" s="49" t="s">
        <v>706</v>
      </c>
      <c r="B222" s="49" t="s">
        <v>218</v>
      </c>
      <c r="C222" s="49" t="s">
        <v>219</v>
      </c>
      <c r="D222" s="49" t="s">
        <v>69</v>
      </c>
      <c r="E222" s="50">
        <v>6600000</v>
      </c>
      <c r="F222" s="50">
        <v>2600000</v>
      </c>
      <c r="G222" s="50">
        <v>2600000</v>
      </c>
      <c r="H222" s="50">
        <v>0</v>
      </c>
      <c r="I222" s="50">
        <v>0</v>
      </c>
      <c r="J222" s="50">
        <v>0</v>
      </c>
      <c r="K222" s="50">
        <v>2570664.7400000002</v>
      </c>
      <c r="L222" s="152">
        <f t="shared" si="0"/>
        <v>0.98871720769230775</v>
      </c>
      <c r="M222" s="50">
        <v>2192594.7000000002</v>
      </c>
      <c r="N222" s="152">
        <f t="shared" si="1"/>
        <v>0.84330565384615397</v>
      </c>
      <c r="O222" s="50">
        <v>29335.26</v>
      </c>
      <c r="P222" s="152">
        <f t="shared" si="2"/>
        <v>1.1282792307692307E-2</v>
      </c>
      <c r="Q222" s="50">
        <v>29335.26</v>
      </c>
      <c r="R222" s="257"/>
    </row>
    <row r="223" spans="1:18" hidden="1" x14ac:dyDescent="0.25">
      <c r="A223" s="49" t="s">
        <v>706</v>
      </c>
      <c r="B223" s="49" t="s">
        <v>220</v>
      </c>
      <c r="C223" s="49" t="s">
        <v>221</v>
      </c>
      <c r="D223" s="49" t="s">
        <v>69</v>
      </c>
      <c r="E223" s="50">
        <v>340000</v>
      </c>
      <c r="F223" s="50">
        <v>340000</v>
      </c>
      <c r="G223" s="50">
        <v>340000</v>
      </c>
      <c r="H223" s="50">
        <v>0</v>
      </c>
      <c r="I223" s="50">
        <v>0</v>
      </c>
      <c r="J223" s="50">
        <v>0</v>
      </c>
      <c r="K223" s="50">
        <v>334824.74</v>
      </c>
      <c r="L223" s="152">
        <f t="shared" si="0"/>
        <v>0.98477864705882345</v>
      </c>
      <c r="M223" s="50">
        <v>334824.74</v>
      </c>
      <c r="N223" s="152">
        <f t="shared" si="1"/>
        <v>0.98477864705882345</v>
      </c>
      <c r="O223" s="50">
        <v>5175.26</v>
      </c>
      <c r="P223" s="152">
        <f t="shared" si="2"/>
        <v>1.5221352941176471E-2</v>
      </c>
      <c r="Q223" s="50">
        <v>5175.26</v>
      </c>
      <c r="R223" s="257"/>
    </row>
    <row r="224" spans="1:18" hidden="1" x14ac:dyDescent="0.25">
      <c r="A224" s="49" t="s">
        <v>706</v>
      </c>
      <c r="B224" s="49" t="s">
        <v>222</v>
      </c>
      <c r="C224" s="49" t="s">
        <v>223</v>
      </c>
      <c r="D224" s="49" t="s">
        <v>69</v>
      </c>
      <c r="E224" s="50">
        <v>1393100</v>
      </c>
      <c r="F224" s="50">
        <v>5393100</v>
      </c>
      <c r="G224" s="50">
        <v>5393100</v>
      </c>
      <c r="H224" s="50">
        <v>0</v>
      </c>
      <c r="I224" s="50">
        <v>0</v>
      </c>
      <c r="J224" s="50">
        <v>0</v>
      </c>
      <c r="K224" s="50">
        <v>5047703.54</v>
      </c>
      <c r="L224" s="152">
        <f t="shared" si="0"/>
        <v>0.93595585841167417</v>
      </c>
      <c r="M224" s="50">
        <v>4267834.04</v>
      </c>
      <c r="N224" s="152">
        <f t="shared" si="1"/>
        <v>0.791350807513304</v>
      </c>
      <c r="O224" s="50">
        <v>345396.46</v>
      </c>
      <c r="P224" s="152">
        <f t="shared" si="2"/>
        <v>6.4044141588325831E-2</v>
      </c>
      <c r="Q224" s="50">
        <v>345396.46</v>
      </c>
      <c r="R224" s="257"/>
    </row>
    <row r="225" spans="1:18" hidden="1" x14ac:dyDescent="0.25">
      <c r="A225" s="49" t="s">
        <v>706</v>
      </c>
      <c r="B225" s="49" t="s">
        <v>224</v>
      </c>
      <c r="C225" s="49" t="s">
        <v>225</v>
      </c>
      <c r="D225" s="49" t="s">
        <v>69</v>
      </c>
      <c r="E225" s="50">
        <v>2296200</v>
      </c>
      <c r="F225" s="50">
        <v>2296200</v>
      </c>
      <c r="G225" s="50">
        <v>2296200</v>
      </c>
      <c r="H225" s="50">
        <v>0</v>
      </c>
      <c r="I225" s="50">
        <v>0</v>
      </c>
      <c r="J225" s="50">
        <v>0</v>
      </c>
      <c r="K225" s="50">
        <v>895926.31</v>
      </c>
      <c r="L225" s="152">
        <f t="shared" si="0"/>
        <v>0.39017781987631744</v>
      </c>
      <c r="M225" s="50">
        <v>101106</v>
      </c>
      <c r="N225" s="152">
        <f t="shared" si="1"/>
        <v>4.4031878756205907E-2</v>
      </c>
      <c r="O225" s="50">
        <v>1400273.69</v>
      </c>
      <c r="P225" s="152">
        <f t="shared" si="2"/>
        <v>0.60982218012368261</v>
      </c>
      <c r="Q225" s="50">
        <v>1400273.69</v>
      </c>
      <c r="R225" s="257"/>
    </row>
    <row r="226" spans="1:18" hidden="1" x14ac:dyDescent="0.25">
      <c r="A226" s="49" t="s">
        <v>706</v>
      </c>
      <c r="B226" s="49" t="s">
        <v>228</v>
      </c>
      <c r="C226" s="49" t="s">
        <v>229</v>
      </c>
      <c r="D226" s="49" t="s">
        <v>69</v>
      </c>
      <c r="E226" s="50">
        <v>750200</v>
      </c>
      <c r="F226" s="50">
        <v>750200</v>
      </c>
      <c r="G226" s="50">
        <v>750200</v>
      </c>
      <c r="H226" s="50">
        <v>0</v>
      </c>
      <c r="I226" s="50">
        <v>0</v>
      </c>
      <c r="J226" s="50">
        <v>0</v>
      </c>
      <c r="K226" s="50">
        <v>747171.25</v>
      </c>
      <c r="L226" s="152">
        <f t="shared" si="0"/>
        <v>0.99596274326846179</v>
      </c>
      <c r="M226" s="50">
        <v>341925</v>
      </c>
      <c r="N226" s="152">
        <f t="shared" si="1"/>
        <v>0.4557784590775793</v>
      </c>
      <c r="O226" s="50">
        <v>3028.75</v>
      </c>
      <c r="P226" s="152">
        <f t="shared" si="2"/>
        <v>4.0372567315382565E-3</v>
      </c>
      <c r="Q226" s="50">
        <v>3028.75</v>
      </c>
      <c r="R226" s="257"/>
    </row>
    <row r="227" spans="1:18" hidden="1" x14ac:dyDescent="0.25">
      <c r="A227" s="49" t="s">
        <v>706</v>
      </c>
      <c r="B227" s="49" t="s">
        <v>248</v>
      </c>
      <c r="C227" s="49" t="s">
        <v>249</v>
      </c>
      <c r="D227" s="49" t="s">
        <v>69</v>
      </c>
      <c r="E227" s="50">
        <v>218960452</v>
      </c>
      <c r="F227" s="50">
        <v>123234903</v>
      </c>
      <c r="G227" s="50">
        <v>123234903</v>
      </c>
      <c r="H227" s="50">
        <v>0</v>
      </c>
      <c r="I227" s="50">
        <v>0</v>
      </c>
      <c r="J227" s="50">
        <v>0</v>
      </c>
      <c r="K227" s="50">
        <v>33026716.629999999</v>
      </c>
      <c r="L227" s="152">
        <f t="shared" si="0"/>
        <v>0.2679980738086839</v>
      </c>
      <c r="M227" s="50">
        <v>33026716.629999999</v>
      </c>
      <c r="N227" s="152">
        <f t="shared" si="1"/>
        <v>0.2679980738086839</v>
      </c>
      <c r="O227" s="50">
        <v>90208186.370000005</v>
      </c>
      <c r="P227" s="152">
        <f t="shared" si="2"/>
        <v>0.7320019261913161</v>
      </c>
      <c r="Q227" s="50">
        <v>90208186.370000005</v>
      </c>
      <c r="R227" s="257"/>
    </row>
    <row r="228" spans="1:18" hidden="1" x14ac:dyDescent="0.25">
      <c r="A228" s="49" t="s">
        <v>706</v>
      </c>
      <c r="B228" s="49" t="s">
        <v>250</v>
      </c>
      <c r="C228" s="49" t="s">
        <v>251</v>
      </c>
      <c r="D228" s="49" t="s">
        <v>69</v>
      </c>
      <c r="E228" s="50">
        <v>17259352</v>
      </c>
      <c r="F228" s="50">
        <v>16783803</v>
      </c>
      <c r="G228" s="50">
        <v>16783803</v>
      </c>
      <c r="H228" s="50">
        <v>0</v>
      </c>
      <c r="I228" s="50">
        <v>0</v>
      </c>
      <c r="J228" s="50">
        <v>0</v>
      </c>
      <c r="K228" s="50">
        <v>14388186.07</v>
      </c>
      <c r="L228" s="152">
        <f t="shared" si="0"/>
        <v>0.85726614343602581</v>
      </c>
      <c r="M228" s="50">
        <v>14388186.07</v>
      </c>
      <c r="N228" s="152">
        <f t="shared" si="1"/>
        <v>0.85726614343602581</v>
      </c>
      <c r="O228" s="50">
        <v>2395616.9300000002</v>
      </c>
      <c r="P228" s="152">
        <f t="shared" si="2"/>
        <v>0.14273385656397422</v>
      </c>
      <c r="Q228" s="50">
        <v>2395616.9300000002</v>
      </c>
      <c r="R228" s="257"/>
    </row>
    <row r="229" spans="1:18" hidden="1" x14ac:dyDescent="0.25">
      <c r="A229" s="49" t="s">
        <v>706</v>
      </c>
      <c r="B229" s="49" t="s">
        <v>628</v>
      </c>
      <c r="C229" s="49" t="s">
        <v>702</v>
      </c>
      <c r="D229" s="49" t="s">
        <v>69</v>
      </c>
      <c r="E229" s="50">
        <v>14660103</v>
      </c>
      <c r="F229" s="50">
        <v>14256172</v>
      </c>
      <c r="G229" s="50">
        <v>14256172</v>
      </c>
      <c r="H229" s="50">
        <v>0</v>
      </c>
      <c r="I229" s="50">
        <v>0</v>
      </c>
      <c r="J229" s="50">
        <v>0</v>
      </c>
      <c r="K229" s="50">
        <v>12188462</v>
      </c>
      <c r="L229" s="152">
        <f t="shared" si="0"/>
        <v>0.8549603638339941</v>
      </c>
      <c r="M229" s="50">
        <v>12188462</v>
      </c>
      <c r="N229" s="152">
        <f t="shared" si="1"/>
        <v>0.8549603638339941</v>
      </c>
      <c r="O229" s="50">
        <v>2067710</v>
      </c>
      <c r="P229" s="152">
        <f t="shared" si="2"/>
        <v>0.14503963616600585</v>
      </c>
      <c r="Q229" s="50">
        <v>2067710</v>
      </c>
      <c r="R229" s="257"/>
    </row>
    <row r="230" spans="1:18" hidden="1" x14ac:dyDescent="0.25">
      <c r="A230" s="49" t="s">
        <v>706</v>
      </c>
      <c r="B230" s="49" t="s">
        <v>643</v>
      </c>
      <c r="C230" s="49" t="s">
        <v>703</v>
      </c>
      <c r="D230" s="49" t="s">
        <v>69</v>
      </c>
      <c r="E230" s="50">
        <v>2599249</v>
      </c>
      <c r="F230" s="50">
        <v>2527631</v>
      </c>
      <c r="G230" s="50">
        <v>2527631</v>
      </c>
      <c r="H230" s="50">
        <v>0</v>
      </c>
      <c r="I230" s="50">
        <v>0</v>
      </c>
      <c r="J230" s="50">
        <v>0</v>
      </c>
      <c r="K230" s="50">
        <v>2199724.0699999998</v>
      </c>
      <c r="L230" s="152">
        <f t="shared" si="0"/>
        <v>0.87027104430986957</v>
      </c>
      <c r="M230" s="50">
        <v>2199724.0699999998</v>
      </c>
      <c r="N230" s="152">
        <f t="shared" si="1"/>
        <v>0.87027104430986957</v>
      </c>
      <c r="O230" s="50">
        <v>327906.93</v>
      </c>
      <c r="P230" s="152">
        <f t="shared" si="2"/>
        <v>0.1297289556901304</v>
      </c>
      <c r="Q230" s="50">
        <v>327906.93</v>
      </c>
      <c r="R230" s="257"/>
    </row>
    <row r="231" spans="1:18" hidden="1" x14ac:dyDescent="0.25">
      <c r="A231" s="49" t="s">
        <v>706</v>
      </c>
      <c r="B231" s="49" t="s">
        <v>260</v>
      </c>
      <c r="C231" s="49" t="s">
        <v>261</v>
      </c>
      <c r="D231" s="49" t="s">
        <v>69</v>
      </c>
      <c r="E231" s="50">
        <v>195701100</v>
      </c>
      <c r="F231" s="50">
        <v>100451100</v>
      </c>
      <c r="G231" s="50">
        <v>100451100</v>
      </c>
      <c r="H231" s="50">
        <v>0</v>
      </c>
      <c r="I231" s="50">
        <v>0</v>
      </c>
      <c r="J231" s="50">
        <v>0</v>
      </c>
      <c r="K231" s="50">
        <v>18638530.559999999</v>
      </c>
      <c r="L231" s="152">
        <f t="shared" si="0"/>
        <v>0.1855482972311901</v>
      </c>
      <c r="M231" s="50">
        <v>18638530.559999999</v>
      </c>
      <c r="N231" s="152">
        <f t="shared" si="1"/>
        <v>0.1855482972311901</v>
      </c>
      <c r="O231" s="50">
        <v>81812569.439999998</v>
      </c>
      <c r="P231" s="152">
        <f t="shared" si="2"/>
        <v>0.81445170276880985</v>
      </c>
      <c r="Q231" s="50">
        <v>81812569.439999998</v>
      </c>
      <c r="R231" s="257"/>
    </row>
    <row r="232" spans="1:18" hidden="1" x14ac:dyDescent="0.25">
      <c r="A232" s="49" t="s">
        <v>706</v>
      </c>
      <c r="B232" s="49" t="s">
        <v>262</v>
      </c>
      <c r="C232" s="49" t="s">
        <v>263</v>
      </c>
      <c r="D232" s="49" t="s">
        <v>69</v>
      </c>
      <c r="E232" s="50">
        <v>165701100</v>
      </c>
      <c r="F232" s="50">
        <v>70451100</v>
      </c>
      <c r="G232" s="50">
        <v>70451100</v>
      </c>
      <c r="H232" s="50">
        <v>0</v>
      </c>
      <c r="I232" s="50">
        <v>0</v>
      </c>
      <c r="J232" s="50">
        <v>0</v>
      </c>
      <c r="K232" s="50">
        <v>16263087.560000001</v>
      </c>
      <c r="L232" s="152">
        <f t="shared" si="0"/>
        <v>0.23084220913513062</v>
      </c>
      <c r="M232" s="50">
        <v>16263087.560000001</v>
      </c>
      <c r="N232" s="152">
        <f t="shared" si="1"/>
        <v>0.23084220913513062</v>
      </c>
      <c r="O232" s="50">
        <v>54188012.439999998</v>
      </c>
      <c r="P232" s="152">
        <f t="shared" si="2"/>
        <v>0.76915779086486935</v>
      </c>
      <c r="Q232" s="50">
        <v>54188012.439999998</v>
      </c>
      <c r="R232" s="257"/>
    </row>
    <row r="233" spans="1:18" hidden="1" x14ac:dyDescent="0.25">
      <c r="A233" s="49" t="s">
        <v>706</v>
      </c>
      <c r="B233" s="49" t="s">
        <v>264</v>
      </c>
      <c r="C233" s="49" t="s">
        <v>265</v>
      </c>
      <c r="D233" s="49" t="s">
        <v>69</v>
      </c>
      <c r="E233" s="50">
        <v>30000000</v>
      </c>
      <c r="F233" s="50">
        <v>30000000</v>
      </c>
      <c r="G233" s="50">
        <v>30000000</v>
      </c>
      <c r="H233" s="50">
        <v>0</v>
      </c>
      <c r="I233" s="50">
        <v>0</v>
      </c>
      <c r="J233" s="50">
        <v>0</v>
      </c>
      <c r="K233" s="50">
        <v>2375443</v>
      </c>
      <c r="L233" s="152">
        <f t="shared" si="0"/>
        <v>7.9181433333333329E-2</v>
      </c>
      <c r="M233" s="50">
        <v>2375443</v>
      </c>
      <c r="N233" s="152">
        <f t="shared" si="1"/>
        <v>7.9181433333333329E-2</v>
      </c>
      <c r="O233" s="50">
        <v>27624557</v>
      </c>
      <c r="P233" s="152">
        <f t="shared" si="2"/>
        <v>0.92081856666666662</v>
      </c>
      <c r="Q233" s="50">
        <v>27624557</v>
      </c>
      <c r="R233" s="257"/>
    </row>
    <row r="234" spans="1:18" hidden="1" x14ac:dyDescent="0.25">
      <c r="A234" s="49" t="s">
        <v>706</v>
      </c>
      <c r="B234" s="49" t="s">
        <v>286</v>
      </c>
      <c r="C234" s="49" t="s">
        <v>287</v>
      </c>
      <c r="D234" s="49" t="s">
        <v>69</v>
      </c>
      <c r="E234" s="50">
        <v>6000000</v>
      </c>
      <c r="F234" s="50">
        <v>6000000</v>
      </c>
      <c r="G234" s="50">
        <v>6000000</v>
      </c>
      <c r="H234" s="50">
        <v>0</v>
      </c>
      <c r="I234" s="50">
        <v>0</v>
      </c>
      <c r="J234" s="50">
        <v>0</v>
      </c>
      <c r="K234" s="50">
        <v>0</v>
      </c>
      <c r="L234" s="152">
        <f t="shared" si="0"/>
        <v>0</v>
      </c>
      <c r="M234" s="50">
        <v>0</v>
      </c>
      <c r="N234" s="152">
        <f t="shared" si="1"/>
        <v>0</v>
      </c>
      <c r="O234" s="50">
        <v>6000000</v>
      </c>
      <c r="P234" s="152">
        <f t="shared" si="2"/>
        <v>1</v>
      </c>
      <c r="Q234" s="50">
        <v>6000000</v>
      </c>
      <c r="R234" s="257"/>
    </row>
    <row r="235" spans="1:18" hidden="1" x14ac:dyDescent="0.25">
      <c r="A235" s="49" t="s">
        <v>706</v>
      </c>
      <c r="B235" s="49" t="s">
        <v>288</v>
      </c>
      <c r="C235" s="49" t="s">
        <v>289</v>
      </c>
      <c r="D235" s="49" t="s">
        <v>69</v>
      </c>
      <c r="E235" s="50">
        <v>6000000</v>
      </c>
      <c r="F235" s="50">
        <v>6000000</v>
      </c>
      <c r="G235" s="50">
        <v>6000000</v>
      </c>
      <c r="H235" s="50">
        <v>0</v>
      </c>
      <c r="I235" s="50">
        <v>0</v>
      </c>
      <c r="J235" s="50">
        <v>0</v>
      </c>
      <c r="K235" s="50">
        <v>0</v>
      </c>
      <c r="L235" s="152">
        <f t="shared" si="0"/>
        <v>0</v>
      </c>
      <c r="M235" s="50">
        <v>0</v>
      </c>
      <c r="N235" s="152">
        <f t="shared" si="1"/>
        <v>0</v>
      </c>
      <c r="O235" s="50">
        <v>6000000</v>
      </c>
      <c r="P235" s="152">
        <f t="shared" si="2"/>
        <v>1</v>
      </c>
      <c r="Q235" s="50">
        <v>6000000</v>
      </c>
      <c r="R235" s="257"/>
    </row>
    <row r="236" spans="1:18" hidden="1" x14ac:dyDescent="0.25">
      <c r="A236" s="49" t="s">
        <v>706</v>
      </c>
      <c r="B236" s="49" t="s">
        <v>230</v>
      </c>
      <c r="C236" s="49" t="s">
        <v>231</v>
      </c>
      <c r="D236" s="49" t="s">
        <v>85</v>
      </c>
      <c r="E236" s="50">
        <v>744452300</v>
      </c>
      <c r="F236" s="50">
        <v>139452300</v>
      </c>
      <c r="G236" s="50">
        <v>139452300</v>
      </c>
      <c r="H236" s="50">
        <v>0</v>
      </c>
      <c r="I236" s="50">
        <v>0</v>
      </c>
      <c r="J236" s="50">
        <v>0</v>
      </c>
      <c r="K236" s="50">
        <v>124205635.89</v>
      </c>
      <c r="L236" s="152">
        <f t="shared" si="0"/>
        <v>0.8906675321238875</v>
      </c>
      <c r="M236" s="50">
        <v>99951237.480000004</v>
      </c>
      <c r="N236" s="152">
        <f t="shared" si="1"/>
        <v>0.71674140534075093</v>
      </c>
      <c r="O236" s="50">
        <v>15246664.109999999</v>
      </c>
      <c r="P236" s="152">
        <f t="shared" si="2"/>
        <v>0.10933246787611248</v>
      </c>
      <c r="Q236" s="50">
        <v>15246664.109999999</v>
      </c>
      <c r="R236" s="257"/>
    </row>
    <row r="237" spans="1:18" hidden="1" x14ac:dyDescent="0.25">
      <c r="A237" s="49" t="s">
        <v>706</v>
      </c>
      <c r="B237" s="49" t="s">
        <v>232</v>
      </c>
      <c r="C237" s="49" t="s">
        <v>233</v>
      </c>
      <c r="D237" s="49" t="s">
        <v>85</v>
      </c>
      <c r="E237" s="50">
        <v>67752300</v>
      </c>
      <c r="F237" s="50">
        <v>53252300</v>
      </c>
      <c r="G237" s="50">
        <v>53252300</v>
      </c>
      <c r="H237" s="50">
        <v>0</v>
      </c>
      <c r="I237" s="50">
        <v>0</v>
      </c>
      <c r="J237" s="50">
        <v>0</v>
      </c>
      <c r="K237" s="50">
        <v>49113947.18</v>
      </c>
      <c r="L237" s="152">
        <f t="shared" si="0"/>
        <v>0.92228781066733267</v>
      </c>
      <c r="M237" s="50">
        <v>33496875.609999999</v>
      </c>
      <c r="N237" s="152">
        <f t="shared" si="1"/>
        <v>0.62902213819872566</v>
      </c>
      <c r="O237" s="50">
        <v>4138352.82</v>
      </c>
      <c r="P237" s="152">
        <f t="shared" si="2"/>
        <v>7.7712189332667325E-2</v>
      </c>
      <c r="Q237" s="50">
        <v>4138352.82</v>
      </c>
      <c r="R237" s="257"/>
    </row>
    <row r="238" spans="1:18" hidden="1" x14ac:dyDescent="0.25">
      <c r="A238" s="49" t="s">
        <v>706</v>
      </c>
      <c r="B238" s="49" t="s">
        <v>234</v>
      </c>
      <c r="C238" s="49" t="s">
        <v>235</v>
      </c>
      <c r="D238" s="49" t="s">
        <v>85</v>
      </c>
      <c r="E238" s="50">
        <v>0</v>
      </c>
      <c r="F238" s="50">
        <v>700000</v>
      </c>
      <c r="G238" s="50">
        <v>700000</v>
      </c>
      <c r="H238" s="50">
        <v>0</v>
      </c>
      <c r="I238" s="50">
        <v>0</v>
      </c>
      <c r="J238" s="50">
        <v>0</v>
      </c>
      <c r="K238" s="50">
        <v>579751.02</v>
      </c>
      <c r="L238" s="152">
        <f t="shared" si="0"/>
        <v>0.82821574285714283</v>
      </c>
      <c r="M238" s="50">
        <v>0</v>
      </c>
      <c r="N238" s="152">
        <f t="shared" si="1"/>
        <v>0</v>
      </c>
      <c r="O238" s="50">
        <v>120248.98</v>
      </c>
      <c r="P238" s="152">
        <f t="shared" si="2"/>
        <v>0.17178425714285714</v>
      </c>
      <c r="Q238" s="50">
        <v>120248.98</v>
      </c>
      <c r="R238" s="257"/>
    </row>
    <row r="239" spans="1:18" hidden="1" x14ac:dyDescent="0.25">
      <c r="A239" s="49" t="s">
        <v>706</v>
      </c>
      <c r="B239" s="49" t="s">
        <v>238</v>
      </c>
      <c r="C239" s="49" t="s">
        <v>239</v>
      </c>
      <c r="D239" s="49" t="s">
        <v>85</v>
      </c>
      <c r="E239" s="50">
        <v>45252300</v>
      </c>
      <c r="F239" s="50">
        <v>16652300</v>
      </c>
      <c r="G239" s="50">
        <v>16652300</v>
      </c>
      <c r="H239" s="50">
        <v>0</v>
      </c>
      <c r="I239" s="50">
        <v>0</v>
      </c>
      <c r="J239" s="50">
        <v>0</v>
      </c>
      <c r="K239" s="50">
        <v>15935561.1</v>
      </c>
      <c r="L239" s="152">
        <f t="shared" si="0"/>
        <v>0.95695856428241144</v>
      </c>
      <c r="M239" s="50">
        <v>15935561.1</v>
      </c>
      <c r="N239" s="152">
        <f t="shared" si="1"/>
        <v>0.95695856428241144</v>
      </c>
      <c r="O239" s="50">
        <v>716738.9</v>
      </c>
      <c r="P239" s="152">
        <f t="shared" si="2"/>
        <v>4.3041435717588561E-2</v>
      </c>
      <c r="Q239" s="50">
        <v>716738.9</v>
      </c>
      <c r="R239" s="257"/>
    </row>
    <row r="240" spans="1:18" hidden="1" x14ac:dyDescent="0.25">
      <c r="A240" s="49" t="s">
        <v>706</v>
      </c>
      <c r="B240" s="49" t="s">
        <v>282</v>
      </c>
      <c r="C240" s="49" t="s">
        <v>283</v>
      </c>
      <c r="D240" s="49" t="s">
        <v>85</v>
      </c>
      <c r="E240" s="50">
        <v>22500000</v>
      </c>
      <c r="F240" s="50">
        <v>35500000</v>
      </c>
      <c r="G240" s="50">
        <v>35500000</v>
      </c>
      <c r="H240" s="50">
        <v>0</v>
      </c>
      <c r="I240" s="50">
        <v>0</v>
      </c>
      <c r="J240" s="50">
        <v>0</v>
      </c>
      <c r="K240" s="50">
        <v>32245792.559999999</v>
      </c>
      <c r="L240" s="152">
        <f t="shared" si="0"/>
        <v>0.90833218478873234</v>
      </c>
      <c r="M240" s="50">
        <v>17561314.510000002</v>
      </c>
      <c r="N240" s="152">
        <f t="shared" si="1"/>
        <v>0.49468491577464796</v>
      </c>
      <c r="O240" s="50">
        <v>3254207.44</v>
      </c>
      <c r="P240" s="152">
        <f t="shared" si="2"/>
        <v>9.16678152112676E-2</v>
      </c>
      <c r="Q240" s="50">
        <v>3254207.44</v>
      </c>
      <c r="R240" s="257"/>
    </row>
    <row r="241" spans="1:18" hidden="1" x14ac:dyDescent="0.25">
      <c r="A241" s="49" t="s">
        <v>706</v>
      </c>
      <c r="B241" s="49" t="s">
        <v>242</v>
      </c>
      <c r="C241" s="49" t="s">
        <v>243</v>
      </c>
      <c r="D241" s="49" t="s">
        <v>85</v>
      </c>
      <c r="E241" s="50">
        <v>0</v>
      </c>
      <c r="F241" s="50">
        <v>400000</v>
      </c>
      <c r="G241" s="50">
        <v>400000</v>
      </c>
      <c r="H241" s="50">
        <v>0</v>
      </c>
      <c r="I241" s="50">
        <v>0</v>
      </c>
      <c r="J241" s="50">
        <v>0</v>
      </c>
      <c r="K241" s="50">
        <v>352842.5</v>
      </c>
      <c r="L241" s="152">
        <f t="shared" si="0"/>
        <v>0.88210624999999998</v>
      </c>
      <c r="M241" s="50">
        <v>0</v>
      </c>
      <c r="N241" s="152">
        <f t="shared" si="1"/>
        <v>0</v>
      </c>
      <c r="O241" s="50">
        <v>47157.5</v>
      </c>
      <c r="P241" s="152">
        <f t="shared" si="2"/>
        <v>0.11789375000000001</v>
      </c>
      <c r="Q241" s="50">
        <v>47157.5</v>
      </c>
      <c r="R241" s="257"/>
    </row>
    <row r="242" spans="1:18" hidden="1" x14ac:dyDescent="0.25">
      <c r="A242" s="49" t="s">
        <v>706</v>
      </c>
      <c r="B242" s="49" t="s">
        <v>328</v>
      </c>
      <c r="C242" s="49" t="s">
        <v>329</v>
      </c>
      <c r="D242" s="49" t="s">
        <v>85</v>
      </c>
      <c r="E242" s="50">
        <v>630000000</v>
      </c>
      <c r="F242" s="50">
        <v>30000000</v>
      </c>
      <c r="G242" s="50">
        <v>30000000</v>
      </c>
      <c r="H242" s="50">
        <v>0</v>
      </c>
      <c r="I242" s="50">
        <v>0</v>
      </c>
      <c r="J242" s="50">
        <v>0</v>
      </c>
      <c r="K242" s="50">
        <v>24396400</v>
      </c>
      <c r="L242" s="152">
        <f t="shared" si="0"/>
        <v>0.81321333333333334</v>
      </c>
      <c r="M242" s="50">
        <v>24396400</v>
      </c>
      <c r="N242" s="152">
        <f t="shared" si="1"/>
        <v>0.81321333333333334</v>
      </c>
      <c r="O242" s="50">
        <v>5603600</v>
      </c>
      <c r="P242" s="152">
        <f t="shared" si="2"/>
        <v>0.18678666666666666</v>
      </c>
      <c r="Q242" s="50">
        <v>5603600</v>
      </c>
      <c r="R242" s="257"/>
    </row>
    <row r="243" spans="1:18" hidden="1" x14ac:dyDescent="0.25">
      <c r="A243" s="49" t="s">
        <v>706</v>
      </c>
      <c r="B243" s="49" t="s">
        <v>330</v>
      </c>
      <c r="C243" s="49" t="s">
        <v>331</v>
      </c>
      <c r="D243" s="49" t="s">
        <v>85</v>
      </c>
      <c r="E243" s="50">
        <v>630000000</v>
      </c>
      <c r="F243" s="50">
        <v>30000000</v>
      </c>
      <c r="G243" s="50">
        <v>30000000</v>
      </c>
      <c r="H243" s="50">
        <v>0</v>
      </c>
      <c r="I243" s="50">
        <v>0</v>
      </c>
      <c r="J243" s="50">
        <v>0</v>
      </c>
      <c r="K243" s="50">
        <v>24396400</v>
      </c>
      <c r="L243" s="152">
        <f t="shared" si="0"/>
        <v>0.81321333333333334</v>
      </c>
      <c r="M243" s="50">
        <v>24396400</v>
      </c>
      <c r="N243" s="152">
        <f t="shared" si="1"/>
        <v>0.81321333333333334</v>
      </c>
      <c r="O243" s="50">
        <v>5603600</v>
      </c>
      <c r="P243" s="152">
        <f t="shared" si="2"/>
        <v>0.18678666666666666</v>
      </c>
      <c r="Q243" s="50">
        <v>5603600</v>
      </c>
      <c r="R243" s="257"/>
    </row>
    <row r="244" spans="1:18" hidden="1" x14ac:dyDescent="0.25">
      <c r="A244" s="49" t="s">
        <v>706</v>
      </c>
      <c r="B244" s="49" t="s">
        <v>244</v>
      </c>
      <c r="C244" s="49" t="s">
        <v>245</v>
      </c>
      <c r="D244" s="49" t="s">
        <v>85</v>
      </c>
      <c r="E244" s="50">
        <v>46700000</v>
      </c>
      <c r="F244" s="50">
        <v>56200000</v>
      </c>
      <c r="G244" s="50">
        <v>56200000</v>
      </c>
      <c r="H244" s="50">
        <v>0</v>
      </c>
      <c r="I244" s="50">
        <v>0</v>
      </c>
      <c r="J244" s="50">
        <v>0</v>
      </c>
      <c r="K244" s="50">
        <v>50695288.710000001</v>
      </c>
      <c r="L244" s="152">
        <f t="shared" si="0"/>
        <v>0.90205140053380783</v>
      </c>
      <c r="M244" s="50">
        <v>42057961.869999997</v>
      </c>
      <c r="N244" s="152">
        <f t="shared" si="1"/>
        <v>0.74836231085409244</v>
      </c>
      <c r="O244" s="50">
        <v>5504711.29</v>
      </c>
      <c r="P244" s="152">
        <f t="shared" si="2"/>
        <v>9.7948599466192166E-2</v>
      </c>
      <c r="Q244" s="50">
        <v>5504711.29</v>
      </c>
      <c r="R244" s="257"/>
    </row>
    <row r="245" spans="1:18" hidden="1" x14ac:dyDescent="0.25">
      <c r="A245" s="49" t="s">
        <v>706</v>
      </c>
      <c r="B245" s="49" t="s">
        <v>246</v>
      </c>
      <c r="C245" s="49" t="s">
        <v>247</v>
      </c>
      <c r="D245" s="49" t="s">
        <v>85</v>
      </c>
      <c r="E245" s="50">
        <v>46700000</v>
      </c>
      <c r="F245" s="50">
        <v>56200000</v>
      </c>
      <c r="G245" s="50">
        <v>56200000</v>
      </c>
      <c r="H245" s="50">
        <v>0</v>
      </c>
      <c r="I245" s="50">
        <v>0</v>
      </c>
      <c r="J245" s="50">
        <v>0</v>
      </c>
      <c r="K245" s="50">
        <v>50695288.710000001</v>
      </c>
      <c r="L245" s="152">
        <f t="shared" si="0"/>
        <v>0.90205140053380783</v>
      </c>
      <c r="M245" s="50">
        <v>42057961.869999997</v>
      </c>
      <c r="N245" s="152">
        <f t="shared" si="1"/>
        <v>0.74836231085409244</v>
      </c>
      <c r="O245" s="50">
        <v>5504711.29</v>
      </c>
      <c r="P245" s="152">
        <f t="shared" si="2"/>
        <v>9.7948599466192166E-2</v>
      </c>
      <c r="Q245" s="50">
        <v>5504711.29</v>
      </c>
      <c r="R245" s="257"/>
    </row>
    <row r="246" spans="1:18" x14ac:dyDescent="0.25">
      <c r="A246" s="49">
        <v>214789</v>
      </c>
      <c r="B246" s="49"/>
      <c r="C246" s="49"/>
      <c r="D246" s="49" t="s">
        <v>69</v>
      </c>
      <c r="E246" s="50">
        <v>77210852108</v>
      </c>
      <c r="F246" s="50">
        <v>75755327546</v>
      </c>
      <c r="G246" s="50">
        <v>75755327546</v>
      </c>
      <c r="H246" s="50">
        <v>0</v>
      </c>
      <c r="I246" s="50">
        <v>1104426827.1500001</v>
      </c>
      <c r="J246" s="50">
        <v>0</v>
      </c>
      <c r="K246" s="50">
        <v>70227882288.429993</v>
      </c>
      <c r="L246" s="152">
        <f t="shared" si="0"/>
        <v>0.92703555727861331</v>
      </c>
      <c r="M246" s="50">
        <v>68832925169.300003</v>
      </c>
      <c r="N246" s="152">
        <f t="shared" si="1"/>
        <v>0.90862157684558109</v>
      </c>
      <c r="O246" s="50">
        <v>4423018430.4200001</v>
      </c>
      <c r="P246" s="152">
        <f t="shared" si="2"/>
        <v>5.8385575954829891E-2</v>
      </c>
      <c r="Q246" s="50">
        <v>4423018430.4200001</v>
      </c>
      <c r="R246" s="257"/>
    </row>
    <row r="247" spans="1:18" hidden="1" x14ac:dyDescent="0.25">
      <c r="A247" s="49" t="s">
        <v>707</v>
      </c>
      <c r="B247" s="49" t="s">
        <v>71</v>
      </c>
      <c r="C247" s="49" t="s">
        <v>72</v>
      </c>
      <c r="D247" s="49" t="s">
        <v>69</v>
      </c>
      <c r="E247" s="50">
        <v>48966684366</v>
      </c>
      <c r="F247" s="50">
        <v>47996517096</v>
      </c>
      <c r="G247" s="50">
        <v>47996517096</v>
      </c>
      <c r="H247" s="50">
        <v>0</v>
      </c>
      <c r="I247" s="50">
        <v>32972841.59</v>
      </c>
      <c r="J247" s="50">
        <v>0</v>
      </c>
      <c r="K247" s="50">
        <v>46060606396.599998</v>
      </c>
      <c r="L247" s="152">
        <f t="shared" si="0"/>
        <v>0.95966560041163196</v>
      </c>
      <c r="M247" s="50">
        <v>46060606396.599998</v>
      </c>
      <c r="N247" s="152">
        <f t="shared" si="1"/>
        <v>0.95966560041163196</v>
      </c>
      <c r="O247" s="50">
        <v>1902937857.8099999</v>
      </c>
      <c r="P247" s="152">
        <f t="shared" si="2"/>
        <v>3.964741554067034E-2</v>
      </c>
      <c r="Q247" s="50">
        <v>1902937857.8099999</v>
      </c>
      <c r="R247" s="257"/>
    </row>
    <row r="248" spans="1:18" hidden="1" x14ac:dyDescent="0.25">
      <c r="A248" s="49" t="s">
        <v>707</v>
      </c>
      <c r="B248" s="49" t="s">
        <v>73</v>
      </c>
      <c r="C248" s="49" t="s">
        <v>74</v>
      </c>
      <c r="D248" s="49" t="s">
        <v>69</v>
      </c>
      <c r="E248" s="50">
        <v>17541843984</v>
      </c>
      <c r="F248" s="50">
        <v>16912582455</v>
      </c>
      <c r="G248" s="50">
        <v>16912582455</v>
      </c>
      <c r="H248" s="50">
        <v>0</v>
      </c>
      <c r="I248" s="50">
        <v>0</v>
      </c>
      <c r="J248" s="50">
        <v>0</v>
      </c>
      <c r="K248" s="50">
        <v>16139980710.17</v>
      </c>
      <c r="L248" s="152">
        <f t="shared" si="0"/>
        <v>0.95431793181876912</v>
      </c>
      <c r="M248" s="50">
        <v>16139980710.17</v>
      </c>
      <c r="N248" s="152">
        <f t="shared" si="1"/>
        <v>0.95431793181876912</v>
      </c>
      <c r="O248" s="50">
        <v>772601744.83000004</v>
      </c>
      <c r="P248" s="152">
        <f t="shared" si="2"/>
        <v>4.5682068181230932E-2</v>
      </c>
      <c r="Q248" s="50">
        <v>772601744.83000004</v>
      </c>
      <c r="R248" s="257"/>
    </row>
    <row r="249" spans="1:18" hidden="1" x14ac:dyDescent="0.25">
      <c r="A249" s="49" t="s">
        <v>707</v>
      </c>
      <c r="B249" s="49" t="s">
        <v>75</v>
      </c>
      <c r="C249" s="49" t="s">
        <v>76</v>
      </c>
      <c r="D249" s="49" t="s">
        <v>69</v>
      </c>
      <c r="E249" s="50">
        <v>17541843984</v>
      </c>
      <c r="F249" s="50">
        <v>16912582455</v>
      </c>
      <c r="G249" s="50">
        <v>16912582455</v>
      </c>
      <c r="H249" s="50">
        <v>0</v>
      </c>
      <c r="I249" s="50">
        <v>0</v>
      </c>
      <c r="J249" s="50">
        <v>0</v>
      </c>
      <c r="K249" s="50">
        <v>16139980710.17</v>
      </c>
      <c r="L249" s="152">
        <f t="shared" si="0"/>
        <v>0.95431793181876912</v>
      </c>
      <c r="M249" s="50">
        <v>16139980710.17</v>
      </c>
      <c r="N249" s="152">
        <f t="shared" si="1"/>
        <v>0.95431793181876912</v>
      </c>
      <c r="O249" s="50">
        <v>772601744.83000004</v>
      </c>
      <c r="P249" s="152">
        <f t="shared" si="2"/>
        <v>4.5682068181230932E-2</v>
      </c>
      <c r="Q249" s="50">
        <v>772601744.83000004</v>
      </c>
      <c r="R249" s="257"/>
    </row>
    <row r="250" spans="1:18" hidden="1" x14ac:dyDescent="0.25">
      <c r="A250" s="49" t="s">
        <v>707</v>
      </c>
      <c r="B250" s="49" t="s">
        <v>293</v>
      </c>
      <c r="C250" s="49" t="s">
        <v>294</v>
      </c>
      <c r="D250" s="49" t="s">
        <v>69</v>
      </c>
      <c r="E250" s="50">
        <v>3681614000</v>
      </c>
      <c r="F250" s="50">
        <v>3681614000</v>
      </c>
      <c r="G250" s="50">
        <v>3681614000</v>
      </c>
      <c r="H250" s="50">
        <v>0</v>
      </c>
      <c r="I250" s="50">
        <v>0</v>
      </c>
      <c r="J250" s="50">
        <v>0</v>
      </c>
      <c r="K250" s="50">
        <v>3617020779.0700002</v>
      </c>
      <c r="L250" s="152">
        <f t="shared" si="0"/>
        <v>0.98245518923765507</v>
      </c>
      <c r="M250" s="50">
        <v>3617020779.0700002</v>
      </c>
      <c r="N250" s="152">
        <f t="shared" si="1"/>
        <v>0.98245518923765507</v>
      </c>
      <c r="O250" s="50">
        <v>64593220.93</v>
      </c>
      <c r="P250" s="152">
        <f t="shared" si="2"/>
        <v>1.7544810762344994E-2</v>
      </c>
      <c r="Q250" s="50">
        <v>64593220.93</v>
      </c>
      <c r="R250" s="257"/>
    </row>
    <row r="251" spans="1:18" hidden="1" x14ac:dyDescent="0.25">
      <c r="A251" s="49" t="s">
        <v>707</v>
      </c>
      <c r="B251" s="49" t="s">
        <v>295</v>
      </c>
      <c r="C251" s="49" t="s">
        <v>296</v>
      </c>
      <c r="D251" s="49" t="s">
        <v>69</v>
      </c>
      <c r="E251" s="50">
        <v>8000000</v>
      </c>
      <c r="F251" s="50">
        <v>8000000</v>
      </c>
      <c r="G251" s="50">
        <v>8000000</v>
      </c>
      <c r="H251" s="50">
        <v>0</v>
      </c>
      <c r="I251" s="50">
        <v>0</v>
      </c>
      <c r="J251" s="50">
        <v>0</v>
      </c>
      <c r="K251" s="50">
        <v>5626368.1299999999</v>
      </c>
      <c r="L251" s="152">
        <f t="shared" si="0"/>
        <v>0.70329601624999993</v>
      </c>
      <c r="M251" s="50">
        <v>5626368.1299999999</v>
      </c>
      <c r="N251" s="152">
        <f t="shared" si="1"/>
        <v>0.70329601624999993</v>
      </c>
      <c r="O251" s="50">
        <v>2373631.87</v>
      </c>
      <c r="P251" s="152">
        <f t="shared" si="2"/>
        <v>0.29670398375000001</v>
      </c>
      <c r="Q251" s="50">
        <v>2373631.87</v>
      </c>
      <c r="R251" s="257"/>
    </row>
    <row r="252" spans="1:18" hidden="1" x14ac:dyDescent="0.25">
      <c r="A252" s="49" t="s">
        <v>707</v>
      </c>
      <c r="B252" s="49" t="s">
        <v>337</v>
      </c>
      <c r="C252" s="49" t="s">
        <v>338</v>
      </c>
      <c r="D252" s="49" t="s">
        <v>69</v>
      </c>
      <c r="E252" s="50">
        <v>25000000</v>
      </c>
      <c r="F252" s="50">
        <v>25000000</v>
      </c>
      <c r="G252" s="50">
        <v>25000000</v>
      </c>
      <c r="H252" s="50">
        <v>0</v>
      </c>
      <c r="I252" s="50">
        <v>0</v>
      </c>
      <c r="J252" s="50">
        <v>0</v>
      </c>
      <c r="K252" s="50">
        <v>2126940</v>
      </c>
      <c r="L252" s="152">
        <f t="shared" si="0"/>
        <v>8.5077600000000003E-2</v>
      </c>
      <c r="M252" s="50">
        <v>2126940</v>
      </c>
      <c r="N252" s="152">
        <f t="shared" si="1"/>
        <v>8.5077600000000003E-2</v>
      </c>
      <c r="O252" s="50">
        <v>22873060</v>
      </c>
      <c r="P252" s="152">
        <f t="shared" si="2"/>
        <v>0.91492240000000002</v>
      </c>
      <c r="Q252" s="50">
        <v>22873060</v>
      </c>
      <c r="R252" s="257"/>
    </row>
    <row r="253" spans="1:18" hidden="1" x14ac:dyDescent="0.25">
      <c r="A253" s="49" t="s">
        <v>707</v>
      </c>
      <c r="B253" s="49" t="s">
        <v>339</v>
      </c>
      <c r="C253" s="49" t="s">
        <v>340</v>
      </c>
      <c r="D253" s="49" t="s">
        <v>69</v>
      </c>
      <c r="E253" s="50">
        <v>3648614000</v>
      </c>
      <c r="F253" s="50">
        <v>3648614000</v>
      </c>
      <c r="G253" s="50">
        <v>3648614000</v>
      </c>
      <c r="H253" s="50">
        <v>0</v>
      </c>
      <c r="I253" s="50">
        <v>0</v>
      </c>
      <c r="J253" s="50">
        <v>0</v>
      </c>
      <c r="K253" s="50">
        <v>3609267470.9400001</v>
      </c>
      <c r="L253" s="152">
        <f t="shared" si="0"/>
        <v>0.98921603407211611</v>
      </c>
      <c r="M253" s="50">
        <v>3609267470.9400001</v>
      </c>
      <c r="N253" s="152">
        <f t="shared" si="1"/>
        <v>0.98921603407211611</v>
      </c>
      <c r="O253" s="50">
        <v>39346529.060000002</v>
      </c>
      <c r="P253" s="152">
        <f t="shared" si="2"/>
        <v>1.0783965927883849E-2</v>
      </c>
      <c r="Q253" s="50">
        <v>39346529.060000002</v>
      </c>
      <c r="R253" s="257"/>
    </row>
    <row r="254" spans="1:18" hidden="1" x14ac:dyDescent="0.25">
      <c r="A254" s="49" t="s">
        <v>707</v>
      </c>
      <c r="B254" s="49" t="s">
        <v>77</v>
      </c>
      <c r="C254" s="49" t="s">
        <v>78</v>
      </c>
      <c r="D254" s="49" t="s">
        <v>69</v>
      </c>
      <c r="E254" s="50">
        <v>20273537632</v>
      </c>
      <c r="F254" s="50">
        <v>20043354521</v>
      </c>
      <c r="G254" s="50">
        <v>20043354521</v>
      </c>
      <c r="H254" s="50">
        <v>0</v>
      </c>
      <c r="I254" s="50">
        <v>32972841.59</v>
      </c>
      <c r="J254" s="50">
        <v>0</v>
      </c>
      <c r="K254" s="50">
        <v>19107239810.360001</v>
      </c>
      <c r="L254" s="152">
        <f t="shared" si="0"/>
        <v>0.9532955070140976</v>
      </c>
      <c r="M254" s="50">
        <v>19107239810.360001</v>
      </c>
      <c r="N254" s="152">
        <f t="shared" si="1"/>
        <v>0.9532955070140976</v>
      </c>
      <c r="O254" s="50">
        <v>903141869.04999995</v>
      </c>
      <c r="P254" s="152">
        <f t="shared" si="2"/>
        <v>4.5059416980513529E-2</v>
      </c>
      <c r="Q254" s="50">
        <v>903141869.04999995</v>
      </c>
      <c r="R254" s="257"/>
    </row>
    <row r="255" spans="1:18" hidden="1" x14ac:dyDescent="0.25">
      <c r="A255" s="49" t="s">
        <v>707</v>
      </c>
      <c r="B255" s="49" t="s">
        <v>79</v>
      </c>
      <c r="C255" s="49" t="s">
        <v>80</v>
      </c>
      <c r="D255" s="49" t="s">
        <v>69</v>
      </c>
      <c r="E255" s="50">
        <v>7240363600</v>
      </c>
      <c r="F255" s="50">
        <v>7234363600</v>
      </c>
      <c r="G255" s="50">
        <v>7234363600</v>
      </c>
      <c r="H255" s="50">
        <v>0</v>
      </c>
      <c r="I255" s="50">
        <v>0</v>
      </c>
      <c r="J255" s="50">
        <v>0</v>
      </c>
      <c r="K255" s="50">
        <v>6869885785.9799995</v>
      </c>
      <c r="L255" s="152">
        <f t="shared" si="0"/>
        <v>0.94961853810886687</v>
      </c>
      <c r="M255" s="50">
        <v>6869885785.9799995</v>
      </c>
      <c r="N255" s="152">
        <f t="shared" si="1"/>
        <v>0.94961853810886687</v>
      </c>
      <c r="O255" s="50">
        <v>364477814.01999998</v>
      </c>
      <c r="P255" s="152">
        <f t="shared" si="2"/>
        <v>5.0381461891133031E-2</v>
      </c>
      <c r="Q255" s="50">
        <v>364477814.01999998</v>
      </c>
      <c r="R255" s="257"/>
    </row>
    <row r="256" spans="1:18" hidden="1" x14ac:dyDescent="0.25">
      <c r="A256" s="49" t="s">
        <v>707</v>
      </c>
      <c r="B256" s="49" t="s">
        <v>81</v>
      </c>
      <c r="C256" s="49" t="s">
        <v>82</v>
      </c>
      <c r="D256" s="49" t="s">
        <v>69</v>
      </c>
      <c r="E256" s="50">
        <v>646663149</v>
      </c>
      <c r="F256" s="50">
        <v>507159410</v>
      </c>
      <c r="G256" s="50">
        <v>507159410</v>
      </c>
      <c r="H256" s="50">
        <v>0</v>
      </c>
      <c r="I256" s="50">
        <v>0</v>
      </c>
      <c r="J256" s="50">
        <v>0</v>
      </c>
      <c r="K256" s="50">
        <v>456568210.89999998</v>
      </c>
      <c r="L256" s="152">
        <f t="shared" si="0"/>
        <v>0.90024596191560358</v>
      </c>
      <c r="M256" s="50">
        <v>456568210.89999998</v>
      </c>
      <c r="N256" s="152">
        <f t="shared" si="1"/>
        <v>0.90024596191560358</v>
      </c>
      <c r="O256" s="50">
        <v>50591199.100000001</v>
      </c>
      <c r="P256" s="152">
        <f t="shared" si="2"/>
        <v>9.9754038084396382E-2</v>
      </c>
      <c r="Q256" s="50">
        <v>50591199.100000001</v>
      </c>
      <c r="R256" s="257"/>
    </row>
    <row r="257" spans="1:18" hidden="1" x14ac:dyDescent="0.25">
      <c r="A257" s="49" t="s">
        <v>707</v>
      </c>
      <c r="B257" s="49" t="s">
        <v>86</v>
      </c>
      <c r="C257" s="49" t="s">
        <v>87</v>
      </c>
      <c r="D257" s="49" t="s">
        <v>69</v>
      </c>
      <c r="E257" s="50">
        <v>2924191700</v>
      </c>
      <c r="F257" s="50">
        <v>2924191700</v>
      </c>
      <c r="G257" s="50">
        <v>2924191700</v>
      </c>
      <c r="H257" s="50">
        <v>0</v>
      </c>
      <c r="I257" s="50">
        <v>32772841.59</v>
      </c>
      <c r="J257" s="50">
        <v>0</v>
      </c>
      <c r="K257" s="50">
        <v>2882563548.4499998</v>
      </c>
      <c r="L257" s="152">
        <f t="shared" si="0"/>
        <v>0.98576421937385283</v>
      </c>
      <c r="M257" s="50">
        <v>2882563548.4499998</v>
      </c>
      <c r="N257" s="152">
        <f t="shared" si="1"/>
        <v>0.98576421937385283</v>
      </c>
      <c r="O257" s="50">
        <v>8855309.9600000009</v>
      </c>
      <c r="P257" s="152">
        <f t="shared" si="2"/>
        <v>3.0282932408295942E-3</v>
      </c>
      <c r="Q257" s="50">
        <v>8855309.9600000009</v>
      </c>
      <c r="R257" s="257"/>
    </row>
    <row r="258" spans="1:18" hidden="1" x14ac:dyDescent="0.25">
      <c r="A258" s="49" t="s">
        <v>707</v>
      </c>
      <c r="B258" s="49" t="s">
        <v>88</v>
      </c>
      <c r="C258" s="49" t="s">
        <v>89</v>
      </c>
      <c r="D258" s="49" t="s">
        <v>69</v>
      </c>
      <c r="E258" s="50">
        <v>6271421300</v>
      </c>
      <c r="F258" s="50">
        <v>6239262627</v>
      </c>
      <c r="G258" s="50">
        <v>6239262627</v>
      </c>
      <c r="H258" s="50">
        <v>0</v>
      </c>
      <c r="I258" s="50">
        <v>200000</v>
      </c>
      <c r="J258" s="50">
        <v>0</v>
      </c>
      <c r="K258" s="50">
        <v>5901984597.4499998</v>
      </c>
      <c r="L258" s="152">
        <f t="shared" si="0"/>
        <v>0.94594264583599164</v>
      </c>
      <c r="M258" s="50">
        <v>5901984597.4499998</v>
      </c>
      <c r="N258" s="152">
        <f t="shared" si="1"/>
        <v>0.94594264583599164</v>
      </c>
      <c r="O258" s="50">
        <v>337078029.55000001</v>
      </c>
      <c r="P258" s="152">
        <f t="shared" si="2"/>
        <v>5.4025299094049503E-2</v>
      </c>
      <c r="Q258" s="50">
        <v>337078029.55000001</v>
      </c>
      <c r="R258" s="257"/>
    </row>
    <row r="259" spans="1:18" hidden="1" x14ac:dyDescent="0.25">
      <c r="A259" s="49" t="s">
        <v>707</v>
      </c>
      <c r="B259" s="49" t="s">
        <v>83</v>
      </c>
      <c r="C259" s="49" t="s">
        <v>84</v>
      </c>
      <c r="D259" s="49" t="s">
        <v>85</v>
      </c>
      <c r="E259" s="50">
        <v>3190897883</v>
      </c>
      <c r="F259" s="50">
        <v>3138377184</v>
      </c>
      <c r="G259" s="50">
        <v>3138377184</v>
      </c>
      <c r="H259" s="50">
        <v>0</v>
      </c>
      <c r="I259" s="50">
        <v>0</v>
      </c>
      <c r="J259" s="50">
        <v>0</v>
      </c>
      <c r="K259" s="50">
        <v>2996237667.5799999</v>
      </c>
      <c r="L259" s="152">
        <f t="shared" si="0"/>
        <v>0.95470923089020265</v>
      </c>
      <c r="M259" s="50">
        <v>2996237667.5799999</v>
      </c>
      <c r="N259" s="152">
        <f t="shared" si="1"/>
        <v>0.95470923089020265</v>
      </c>
      <c r="O259" s="50">
        <v>142139516.41999999</v>
      </c>
      <c r="P259" s="152">
        <f t="shared" si="2"/>
        <v>4.5290769109797346E-2</v>
      </c>
      <c r="Q259" s="50">
        <v>142139516.41999999</v>
      </c>
      <c r="R259" s="257"/>
    </row>
    <row r="260" spans="1:18" hidden="1" x14ac:dyDescent="0.25">
      <c r="A260" s="49" t="s">
        <v>707</v>
      </c>
      <c r="B260" s="49" t="s">
        <v>90</v>
      </c>
      <c r="C260" s="49" t="s">
        <v>91</v>
      </c>
      <c r="D260" s="49" t="s">
        <v>69</v>
      </c>
      <c r="E260" s="50">
        <v>3734844376</v>
      </c>
      <c r="F260" s="50">
        <v>3679483060</v>
      </c>
      <c r="G260" s="50">
        <v>3679483060</v>
      </c>
      <c r="H260" s="50">
        <v>0</v>
      </c>
      <c r="I260" s="50">
        <v>0</v>
      </c>
      <c r="J260" s="50">
        <v>0</v>
      </c>
      <c r="K260" s="50">
        <v>3604353734</v>
      </c>
      <c r="L260" s="152">
        <f t="shared" si="0"/>
        <v>0.97958155404580116</v>
      </c>
      <c r="M260" s="50">
        <v>3604353734</v>
      </c>
      <c r="N260" s="152">
        <f t="shared" si="1"/>
        <v>0.97958155404580116</v>
      </c>
      <c r="O260" s="50">
        <v>75129326</v>
      </c>
      <c r="P260" s="152">
        <f t="shared" si="2"/>
        <v>2.0418445954198793E-2</v>
      </c>
      <c r="Q260" s="50">
        <v>75129326</v>
      </c>
      <c r="R260" s="257"/>
    </row>
    <row r="261" spans="1:18" hidden="1" x14ac:dyDescent="0.25">
      <c r="A261" s="49" t="s">
        <v>707</v>
      </c>
      <c r="B261" s="49" t="s">
        <v>420</v>
      </c>
      <c r="C261" s="49" t="s">
        <v>697</v>
      </c>
      <c r="D261" s="49" t="s">
        <v>69</v>
      </c>
      <c r="E261" s="50">
        <v>3543313962</v>
      </c>
      <c r="F261" s="50">
        <v>3490791688</v>
      </c>
      <c r="G261" s="50">
        <v>3490791688</v>
      </c>
      <c r="H261" s="50">
        <v>0</v>
      </c>
      <c r="I261" s="50">
        <v>0</v>
      </c>
      <c r="J261" s="50">
        <v>0</v>
      </c>
      <c r="K261" s="50">
        <v>3419591618</v>
      </c>
      <c r="L261" s="152">
        <f t="shared" si="0"/>
        <v>0.97960346065771886</v>
      </c>
      <c r="M261" s="50">
        <v>3419591618</v>
      </c>
      <c r="N261" s="152">
        <f t="shared" si="1"/>
        <v>0.97960346065771886</v>
      </c>
      <c r="O261" s="50">
        <v>71200070</v>
      </c>
      <c r="P261" s="152">
        <f t="shared" si="2"/>
        <v>2.0396539342281143E-2</v>
      </c>
      <c r="Q261" s="50">
        <v>71200070</v>
      </c>
      <c r="R261" s="257"/>
    </row>
    <row r="262" spans="1:18" hidden="1" x14ac:dyDescent="0.25">
      <c r="A262" s="49" t="s">
        <v>707</v>
      </c>
      <c r="B262" s="49" t="s">
        <v>437</v>
      </c>
      <c r="C262" s="49" t="s">
        <v>95</v>
      </c>
      <c r="D262" s="49" t="s">
        <v>69</v>
      </c>
      <c r="E262" s="50">
        <v>191530414</v>
      </c>
      <c r="F262" s="50">
        <v>188691372</v>
      </c>
      <c r="G262" s="50">
        <v>188691372</v>
      </c>
      <c r="H262" s="50">
        <v>0</v>
      </c>
      <c r="I262" s="50">
        <v>0</v>
      </c>
      <c r="J262" s="50">
        <v>0</v>
      </c>
      <c r="K262" s="50">
        <v>184762116</v>
      </c>
      <c r="L262" s="152">
        <f t="shared" si="0"/>
        <v>0.97917628157370118</v>
      </c>
      <c r="M262" s="50">
        <v>184762116</v>
      </c>
      <c r="N262" s="152">
        <f t="shared" si="1"/>
        <v>0.97917628157370118</v>
      </c>
      <c r="O262" s="50">
        <v>3929256</v>
      </c>
      <c r="P262" s="152">
        <f t="shared" si="2"/>
        <v>2.0823718426298793E-2</v>
      </c>
      <c r="Q262" s="50">
        <v>3929256</v>
      </c>
      <c r="R262" s="257"/>
    </row>
    <row r="263" spans="1:18" hidden="1" x14ac:dyDescent="0.25">
      <c r="A263" s="49" t="s">
        <v>707</v>
      </c>
      <c r="B263" s="49" t="s">
        <v>96</v>
      </c>
      <c r="C263" s="49" t="s">
        <v>97</v>
      </c>
      <c r="D263" s="49" t="s">
        <v>69</v>
      </c>
      <c r="E263" s="50">
        <v>3734844374</v>
      </c>
      <c r="F263" s="50">
        <v>3679483060</v>
      </c>
      <c r="G263" s="50">
        <v>3679483060</v>
      </c>
      <c r="H263" s="50">
        <v>0</v>
      </c>
      <c r="I263" s="50">
        <v>0</v>
      </c>
      <c r="J263" s="50">
        <v>0</v>
      </c>
      <c r="K263" s="50">
        <v>3592011363</v>
      </c>
      <c r="L263" s="152">
        <f t="shared" si="0"/>
        <v>0.97622717768403044</v>
      </c>
      <c r="M263" s="50">
        <v>3592011363</v>
      </c>
      <c r="N263" s="152">
        <f t="shared" si="1"/>
        <v>0.97622717768403044</v>
      </c>
      <c r="O263" s="50">
        <v>87471697</v>
      </c>
      <c r="P263" s="152">
        <f t="shared" si="2"/>
        <v>2.3772822315969569E-2</v>
      </c>
      <c r="Q263" s="50">
        <v>87471697</v>
      </c>
      <c r="R263" s="257"/>
    </row>
    <row r="264" spans="1:18" hidden="1" x14ac:dyDescent="0.25">
      <c r="A264" s="49" t="s">
        <v>707</v>
      </c>
      <c r="B264" s="49" t="s">
        <v>455</v>
      </c>
      <c r="C264" s="49" t="s">
        <v>698</v>
      </c>
      <c r="D264" s="49" t="s">
        <v>69</v>
      </c>
      <c r="E264" s="50">
        <v>2011070048</v>
      </c>
      <c r="F264" s="50">
        <v>1981260109</v>
      </c>
      <c r="G264" s="50">
        <v>1981260109</v>
      </c>
      <c r="H264" s="50">
        <v>0</v>
      </c>
      <c r="I264" s="50">
        <v>0</v>
      </c>
      <c r="J264" s="50">
        <v>0</v>
      </c>
      <c r="K264" s="50">
        <v>1929148765</v>
      </c>
      <c r="L264" s="152">
        <f t="shared" si="0"/>
        <v>0.97369787855553092</v>
      </c>
      <c r="M264" s="50">
        <v>1929148765</v>
      </c>
      <c r="N264" s="152">
        <f t="shared" si="1"/>
        <v>0.97369787855553092</v>
      </c>
      <c r="O264" s="50">
        <v>52111344</v>
      </c>
      <c r="P264" s="152">
        <f t="shared" si="2"/>
        <v>2.6302121444469057E-2</v>
      </c>
      <c r="Q264" s="50">
        <v>52111344</v>
      </c>
      <c r="R264" s="257"/>
    </row>
    <row r="265" spans="1:18" hidden="1" x14ac:dyDescent="0.25">
      <c r="A265" s="49" t="s">
        <v>707</v>
      </c>
      <c r="B265" s="49" t="s">
        <v>472</v>
      </c>
      <c r="C265" s="49" t="s">
        <v>699</v>
      </c>
      <c r="D265" s="49" t="s">
        <v>69</v>
      </c>
      <c r="E265" s="50">
        <v>574591442</v>
      </c>
      <c r="F265" s="50">
        <v>652074317</v>
      </c>
      <c r="G265" s="50">
        <v>652074317</v>
      </c>
      <c r="H265" s="50">
        <v>0</v>
      </c>
      <c r="I265" s="50">
        <v>0</v>
      </c>
      <c r="J265" s="50">
        <v>0</v>
      </c>
      <c r="K265" s="50">
        <v>637662710</v>
      </c>
      <c r="L265" s="152">
        <f t="shared" si="0"/>
        <v>0.97789882744300749</v>
      </c>
      <c r="M265" s="50">
        <v>637662710</v>
      </c>
      <c r="N265" s="152">
        <f t="shared" si="1"/>
        <v>0.97789882744300749</v>
      </c>
      <c r="O265" s="50">
        <v>14411607</v>
      </c>
      <c r="P265" s="152">
        <f t="shared" si="2"/>
        <v>2.2101172556992458E-2</v>
      </c>
      <c r="Q265" s="50">
        <v>14411607</v>
      </c>
      <c r="R265" s="257"/>
    </row>
    <row r="266" spans="1:18" hidden="1" x14ac:dyDescent="0.25">
      <c r="A266" s="49" t="s">
        <v>707</v>
      </c>
      <c r="B266" s="49" t="s">
        <v>489</v>
      </c>
      <c r="C266" s="49" t="s">
        <v>700</v>
      </c>
      <c r="D266" s="49" t="s">
        <v>69</v>
      </c>
      <c r="E266" s="50">
        <v>1149182884</v>
      </c>
      <c r="F266" s="50">
        <v>1046148634</v>
      </c>
      <c r="G266" s="50">
        <v>1046148634</v>
      </c>
      <c r="H266" s="50">
        <v>0</v>
      </c>
      <c r="I266" s="50">
        <v>0</v>
      </c>
      <c r="J266" s="50">
        <v>0</v>
      </c>
      <c r="K266" s="50">
        <v>1025199888</v>
      </c>
      <c r="L266" s="152">
        <f t="shared" si="0"/>
        <v>0.97997536361549176</v>
      </c>
      <c r="M266" s="50">
        <v>1025199888</v>
      </c>
      <c r="N266" s="152">
        <f t="shared" si="1"/>
        <v>0.97997536361549176</v>
      </c>
      <c r="O266" s="50">
        <v>20948746</v>
      </c>
      <c r="P266" s="152">
        <f t="shared" si="2"/>
        <v>2.0024636384508247E-2</v>
      </c>
      <c r="Q266" s="50">
        <v>20948746</v>
      </c>
      <c r="R266" s="257"/>
    </row>
    <row r="267" spans="1:18" hidden="1" x14ac:dyDescent="0.25">
      <c r="A267" s="49" t="s">
        <v>707</v>
      </c>
      <c r="B267" s="49" t="s">
        <v>104</v>
      </c>
      <c r="C267" s="49" t="s">
        <v>105</v>
      </c>
      <c r="D267" s="49" t="s">
        <v>69</v>
      </c>
      <c r="E267" s="50">
        <v>6509291577</v>
      </c>
      <c r="F267" s="50">
        <v>6444218134</v>
      </c>
      <c r="G267" s="50">
        <v>6444218134</v>
      </c>
      <c r="H267" s="50">
        <v>0</v>
      </c>
      <c r="I267" s="50">
        <v>505416697.70999998</v>
      </c>
      <c r="J267" s="50">
        <v>0</v>
      </c>
      <c r="K267" s="50">
        <v>5496729752.3100004</v>
      </c>
      <c r="L267" s="152">
        <f t="shared" si="0"/>
        <v>0.85297077752675599</v>
      </c>
      <c r="M267" s="50">
        <v>4900434501.9200001</v>
      </c>
      <c r="N267" s="152">
        <f t="shared" si="1"/>
        <v>0.76043895473759271</v>
      </c>
      <c r="O267" s="50">
        <v>442071683.98000002</v>
      </c>
      <c r="P267" s="152">
        <f t="shared" si="2"/>
        <v>6.8599739299265633E-2</v>
      </c>
      <c r="Q267" s="50">
        <v>442071683.98000002</v>
      </c>
      <c r="R267" s="257"/>
    </row>
    <row r="268" spans="1:18" hidden="1" x14ac:dyDescent="0.25">
      <c r="A268" s="49" t="s">
        <v>707</v>
      </c>
      <c r="B268" s="49" t="s">
        <v>106</v>
      </c>
      <c r="C268" s="49" t="s">
        <v>107</v>
      </c>
      <c r="D268" s="49" t="s">
        <v>69</v>
      </c>
      <c r="E268" s="50">
        <v>3002893777</v>
      </c>
      <c r="F268" s="50">
        <v>2958042980</v>
      </c>
      <c r="G268" s="50">
        <v>2958042980</v>
      </c>
      <c r="H268" s="50">
        <v>0</v>
      </c>
      <c r="I268" s="50">
        <v>155409979.43000001</v>
      </c>
      <c r="J268" s="50">
        <v>0</v>
      </c>
      <c r="K268" s="50">
        <v>2559201937.73</v>
      </c>
      <c r="L268" s="152">
        <f t="shared" si="0"/>
        <v>0.86516725924313653</v>
      </c>
      <c r="M268" s="50">
        <v>2204313677.7399998</v>
      </c>
      <c r="N268" s="152">
        <f t="shared" si="1"/>
        <v>0.74519325535290215</v>
      </c>
      <c r="O268" s="50">
        <v>243431062.84</v>
      </c>
      <c r="P268" s="152">
        <f t="shared" si="2"/>
        <v>8.2294633474189749E-2</v>
      </c>
      <c r="Q268" s="50">
        <v>243431062.84</v>
      </c>
      <c r="R268" s="257"/>
    </row>
    <row r="269" spans="1:18" hidden="1" x14ac:dyDescent="0.25">
      <c r="A269" s="49" t="s">
        <v>707</v>
      </c>
      <c r="B269" s="49" t="s">
        <v>280</v>
      </c>
      <c r="C269" s="49" t="s">
        <v>281</v>
      </c>
      <c r="D269" s="49" t="s">
        <v>69</v>
      </c>
      <c r="E269" s="50">
        <v>540000000</v>
      </c>
      <c r="F269" s="50">
        <v>493566479</v>
      </c>
      <c r="G269" s="50">
        <v>493566479</v>
      </c>
      <c r="H269" s="50">
        <v>0</v>
      </c>
      <c r="I269" s="50">
        <v>907209.6</v>
      </c>
      <c r="J269" s="50">
        <v>0</v>
      </c>
      <c r="K269" s="50">
        <v>468902431.81</v>
      </c>
      <c r="L269" s="152">
        <f t="shared" si="0"/>
        <v>0.95002892570830366</v>
      </c>
      <c r="M269" s="50">
        <v>468832431.81</v>
      </c>
      <c r="N269" s="152">
        <f t="shared" si="1"/>
        <v>0.94988710084178951</v>
      </c>
      <c r="O269" s="50">
        <v>23756837.59</v>
      </c>
      <c r="P269" s="152">
        <f t="shared" si="2"/>
        <v>4.8133004571406478E-2</v>
      </c>
      <c r="Q269" s="50">
        <v>23756837.59</v>
      </c>
      <c r="R269" s="257"/>
    </row>
    <row r="270" spans="1:18" hidden="1" x14ac:dyDescent="0.25">
      <c r="A270" s="49" t="s">
        <v>707</v>
      </c>
      <c r="B270" s="49" t="s">
        <v>108</v>
      </c>
      <c r="C270" s="49" t="s">
        <v>109</v>
      </c>
      <c r="D270" s="49" t="s">
        <v>69</v>
      </c>
      <c r="E270" s="50">
        <v>974595134</v>
      </c>
      <c r="F270" s="50">
        <v>1010257828</v>
      </c>
      <c r="G270" s="50">
        <v>1010257828</v>
      </c>
      <c r="H270" s="50">
        <v>0</v>
      </c>
      <c r="I270" s="50">
        <v>96756422.209999993</v>
      </c>
      <c r="J270" s="50">
        <v>0</v>
      </c>
      <c r="K270" s="50">
        <v>734147313.15999997</v>
      </c>
      <c r="L270" s="152">
        <f t="shared" si="0"/>
        <v>0.72669302114034195</v>
      </c>
      <c r="M270" s="50">
        <v>612820839.42999995</v>
      </c>
      <c r="N270" s="152">
        <f t="shared" si="1"/>
        <v>0.60659845679513003</v>
      </c>
      <c r="O270" s="50">
        <v>179354092.63</v>
      </c>
      <c r="P270" s="152">
        <f t="shared" si="2"/>
        <v>0.1775329897567495</v>
      </c>
      <c r="Q270" s="50">
        <v>179354092.63</v>
      </c>
      <c r="R270" s="257"/>
    </row>
    <row r="271" spans="1:18" hidden="1" x14ac:dyDescent="0.25">
      <c r="A271" s="49" t="s">
        <v>707</v>
      </c>
      <c r="B271" s="49" t="s">
        <v>304</v>
      </c>
      <c r="C271" s="49" t="s">
        <v>305</v>
      </c>
      <c r="D271" s="49" t="s">
        <v>69</v>
      </c>
      <c r="E271" s="50">
        <v>114061860</v>
      </c>
      <c r="F271" s="50">
        <v>79981890</v>
      </c>
      <c r="G271" s="50">
        <v>79981890</v>
      </c>
      <c r="H271" s="50">
        <v>0</v>
      </c>
      <c r="I271" s="50">
        <v>7364263.25</v>
      </c>
      <c r="J271" s="50">
        <v>0</v>
      </c>
      <c r="K271" s="50">
        <v>66067419.399999999</v>
      </c>
      <c r="L271" s="152">
        <f t="shared" si="0"/>
        <v>0.82602973498125631</v>
      </c>
      <c r="M271" s="50">
        <v>55765683.5</v>
      </c>
      <c r="N271" s="152">
        <f t="shared" si="1"/>
        <v>0.69722887893746943</v>
      </c>
      <c r="O271" s="50">
        <v>6550207.3499999996</v>
      </c>
      <c r="P271" s="152">
        <f t="shared" si="2"/>
        <v>8.1896131111680398E-2</v>
      </c>
      <c r="Q271" s="50">
        <v>6550207.3499999996</v>
      </c>
      <c r="R271" s="257"/>
    </row>
    <row r="272" spans="1:18" hidden="1" x14ac:dyDescent="0.25">
      <c r="A272" s="49" t="s">
        <v>707</v>
      </c>
      <c r="B272" s="49" t="s">
        <v>110</v>
      </c>
      <c r="C272" s="49" t="s">
        <v>111</v>
      </c>
      <c r="D272" s="49" t="s">
        <v>69</v>
      </c>
      <c r="E272" s="50">
        <v>1374236783</v>
      </c>
      <c r="F272" s="50">
        <v>1374236783</v>
      </c>
      <c r="G272" s="50">
        <v>1374236783</v>
      </c>
      <c r="H272" s="50">
        <v>0</v>
      </c>
      <c r="I272" s="50">
        <v>50382084.369999997</v>
      </c>
      <c r="J272" s="50">
        <v>0</v>
      </c>
      <c r="K272" s="50">
        <v>1290084773.3599999</v>
      </c>
      <c r="L272" s="152">
        <f t="shared" si="0"/>
        <v>0.93876454867094028</v>
      </c>
      <c r="M272" s="50">
        <v>1066894723</v>
      </c>
      <c r="N272" s="152">
        <f t="shared" si="1"/>
        <v>0.7763543635260125</v>
      </c>
      <c r="O272" s="50">
        <v>33769925.270000003</v>
      </c>
      <c r="P272" s="152">
        <f t="shared" si="2"/>
        <v>2.4573585635132868E-2</v>
      </c>
      <c r="Q272" s="50">
        <v>33769925.270000003</v>
      </c>
      <c r="R272" s="257"/>
    </row>
    <row r="273" spans="1:18" hidden="1" x14ac:dyDescent="0.25">
      <c r="A273" s="49" t="s">
        <v>707</v>
      </c>
      <c r="B273" s="49" t="s">
        <v>112</v>
      </c>
      <c r="C273" s="49" t="s">
        <v>113</v>
      </c>
      <c r="D273" s="49" t="s">
        <v>69</v>
      </c>
      <c r="E273" s="50">
        <v>758051064</v>
      </c>
      <c r="F273" s="50">
        <v>758470736</v>
      </c>
      <c r="G273" s="50">
        <v>758470736</v>
      </c>
      <c r="H273" s="50">
        <v>0</v>
      </c>
      <c r="I273" s="50">
        <v>62231953.229999997</v>
      </c>
      <c r="J273" s="50">
        <v>0</v>
      </c>
      <c r="K273" s="50">
        <v>651801058.12</v>
      </c>
      <c r="L273" s="152">
        <f t="shared" si="0"/>
        <v>0.85936217072454069</v>
      </c>
      <c r="M273" s="50">
        <v>576095791.75999999</v>
      </c>
      <c r="N273" s="152">
        <f t="shared" si="1"/>
        <v>0.75954913540658997</v>
      </c>
      <c r="O273" s="50">
        <v>44437724.649999999</v>
      </c>
      <c r="P273" s="152">
        <f t="shared" si="2"/>
        <v>5.858858165623413E-2</v>
      </c>
      <c r="Q273" s="50">
        <v>44437724.649999999</v>
      </c>
      <c r="R273" s="257"/>
    </row>
    <row r="274" spans="1:18" hidden="1" x14ac:dyDescent="0.25">
      <c r="A274" s="49" t="s">
        <v>707</v>
      </c>
      <c r="B274" s="49" t="s">
        <v>114</v>
      </c>
      <c r="C274" s="49" t="s">
        <v>115</v>
      </c>
      <c r="D274" s="49" t="s">
        <v>69</v>
      </c>
      <c r="E274" s="50">
        <v>18001000</v>
      </c>
      <c r="F274" s="50">
        <v>19569568</v>
      </c>
      <c r="G274" s="50">
        <v>19569568</v>
      </c>
      <c r="H274" s="50">
        <v>0</v>
      </c>
      <c r="I274" s="50">
        <v>319547</v>
      </c>
      <c r="J274" s="50">
        <v>0</v>
      </c>
      <c r="K274" s="50">
        <v>19250021</v>
      </c>
      <c r="L274" s="152">
        <f t="shared" si="0"/>
        <v>0.98367122871593282</v>
      </c>
      <c r="M274" s="50">
        <v>17786078</v>
      </c>
      <c r="N274" s="152">
        <f t="shared" si="1"/>
        <v>0.90886410982603194</v>
      </c>
      <c r="O274" s="50">
        <v>0</v>
      </c>
      <c r="P274" s="152">
        <f t="shared" si="2"/>
        <v>0</v>
      </c>
      <c r="Q274" s="50">
        <v>0</v>
      </c>
      <c r="R274" s="257"/>
    </row>
    <row r="275" spans="1:18" hidden="1" x14ac:dyDescent="0.25">
      <c r="A275" s="49" t="s">
        <v>707</v>
      </c>
      <c r="B275" s="49" t="s">
        <v>116</v>
      </c>
      <c r="C275" s="49" t="s">
        <v>117</v>
      </c>
      <c r="D275" s="49" t="s">
        <v>69</v>
      </c>
      <c r="E275" s="50">
        <v>244470000</v>
      </c>
      <c r="F275" s="50">
        <v>190919900</v>
      </c>
      <c r="G275" s="50">
        <v>190919900</v>
      </c>
      <c r="H275" s="50">
        <v>0</v>
      </c>
      <c r="I275" s="50">
        <v>5448350.4000000004</v>
      </c>
      <c r="J275" s="50">
        <v>0</v>
      </c>
      <c r="K275" s="50">
        <v>184681202.41999999</v>
      </c>
      <c r="L275" s="152">
        <f t="shared" si="0"/>
        <v>0.96732295805727941</v>
      </c>
      <c r="M275" s="50">
        <v>184681202.41999999</v>
      </c>
      <c r="N275" s="152">
        <f t="shared" si="1"/>
        <v>0.96732295805727941</v>
      </c>
      <c r="O275" s="50">
        <v>790347.18</v>
      </c>
      <c r="P275" s="152">
        <f t="shared" si="2"/>
        <v>4.1396794152940581E-3</v>
      </c>
      <c r="Q275" s="50">
        <v>790347.18</v>
      </c>
      <c r="R275" s="257"/>
    </row>
    <row r="276" spans="1:18" hidden="1" x14ac:dyDescent="0.25">
      <c r="A276" s="49" t="s">
        <v>707</v>
      </c>
      <c r="B276" s="49" t="s">
        <v>118</v>
      </c>
      <c r="C276" s="49" t="s">
        <v>119</v>
      </c>
      <c r="D276" s="49" t="s">
        <v>69</v>
      </c>
      <c r="E276" s="50">
        <v>6000000</v>
      </c>
      <c r="F276" s="50">
        <v>4500000</v>
      </c>
      <c r="G276" s="50">
        <v>4500000</v>
      </c>
      <c r="H276" s="50">
        <v>0</v>
      </c>
      <c r="I276" s="50">
        <v>1288643.8500000001</v>
      </c>
      <c r="J276" s="50">
        <v>0</v>
      </c>
      <c r="K276" s="50">
        <v>1179754.8500000001</v>
      </c>
      <c r="L276" s="152">
        <f t="shared" si="0"/>
        <v>0.26216774444444446</v>
      </c>
      <c r="M276" s="50">
        <v>1179754.8500000001</v>
      </c>
      <c r="N276" s="152">
        <f t="shared" si="1"/>
        <v>0.26216774444444446</v>
      </c>
      <c r="O276" s="50">
        <v>2031601.3</v>
      </c>
      <c r="P276" s="152">
        <f t="shared" si="2"/>
        <v>0.45146695555555555</v>
      </c>
      <c r="Q276" s="50">
        <v>2031601.3</v>
      </c>
      <c r="R276" s="257"/>
    </row>
    <row r="277" spans="1:18" hidden="1" x14ac:dyDescent="0.25">
      <c r="A277" s="49" t="s">
        <v>707</v>
      </c>
      <c r="B277" s="49" t="s">
        <v>120</v>
      </c>
      <c r="C277" s="49" t="s">
        <v>121</v>
      </c>
      <c r="D277" s="49" t="s">
        <v>69</v>
      </c>
      <c r="E277" s="50">
        <v>411938379</v>
      </c>
      <c r="F277" s="50">
        <v>473039143</v>
      </c>
      <c r="G277" s="50">
        <v>473039143</v>
      </c>
      <c r="H277" s="50">
        <v>0</v>
      </c>
      <c r="I277" s="50">
        <v>39459129.479999997</v>
      </c>
      <c r="J277" s="50">
        <v>0</v>
      </c>
      <c r="K277" s="50">
        <v>409851686.56999999</v>
      </c>
      <c r="L277" s="152">
        <f t="shared" si="0"/>
        <v>0.86642235137399615</v>
      </c>
      <c r="M277" s="50">
        <v>337757080.70999998</v>
      </c>
      <c r="N277" s="152">
        <f t="shared" si="1"/>
        <v>0.71401507826171584</v>
      </c>
      <c r="O277" s="50">
        <v>23728326.949999999</v>
      </c>
      <c r="P277" s="152">
        <f t="shared" si="2"/>
        <v>5.0161444990610426E-2</v>
      </c>
      <c r="Q277" s="50">
        <v>23728326.949999999</v>
      </c>
      <c r="R277" s="257"/>
    </row>
    <row r="278" spans="1:18" hidden="1" x14ac:dyDescent="0.25">
      <c r="A278" s="49" t="s">
        <v>707</v>
      </c>
      <c r="B278" s="49" t="s">
        <v>122</v>
      </c>
      <c r="C278" s="49" t="s">
        <v>123</v>
      </c>
      <c r="D278" s="49" t="s">
        <v>69</v>
      </c>
      <c r="E278" s="50">
        <v>77641685</v>
      </c>
      <c r="F278" s="50">
        <v>70442125</v>
      </c>
      <c r="G278" s="50">
        <v>70442125</v>
      </c>
      <c r="H278" s="50">
        <v>0</v>
      </c>
      <c r="I278" s="50">
        <v>15716282.5</v>
      </c>
      <c r="J278" s="50">
        <v>0</v>
      </c>
      <c r="K278" s="50">
        <v>36838393.280000001</v>
      </c>
      <c r="L278" s="152">
        <f t="shared" si="0"/>
        <v>0.52295971025859889</v>
      </c>
      <c r="M278" s="50">
        <v>34691675.780000001</v>
      </c>
      <c r="N278" s="152">
        <f t="shared" si="1"/>
        <v>0.49248479911700566</v>
      </c>
      <c r="O278" s="50">
        <v>17887449.219999999</v>
      </c>
      <c r="P278" s="152">
        <f t="shared" si="2"/>
        <v>0.25393114162867741</v>
      </c>
      <c r="Q278" s="50">
        <v>17887449.219999999</v>
      </c>
      <c r="R278" s="257"/>
    </row>
    <row r="279" spans="1:18" hidden="1" x14ac:dyDescent="0.25">
      <c r="A279" s="49" t="s">
        <v>707</v>
      </c>
      <c r="B279" s="49" t="s">
        <v>116</v>
      </c>
      <c r="C279" s="49" t="s">
        <v>117</v>
      </c>
      <c r="D279" s="49" t="s">
        <v>85</v>
      </c>
      <c r="E279" s="50">
        <v>0</v>
      </c>
      <c r="F279" s="50">
        <v>0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152" t="e">
        <f t="shared" si="0"/>
        <v>#DIV/0!</v>
      </c>
      <c r="M279" s="50">
        <v>0</v>
      </c>
      <c r="N279" s="152" t="e">
        <f t="shared" si="1"/>
        <v>#DIV/0!</v>
      </c>
      <c r="O279" s="50">
        <v>0</v>
      </c>
      <c r="P279" s="152" t="e">
        <f t="shared" si="2"/>
        <v>#DIV/0!</v>
      </c>
      <c r="Q279" s="50">
        <v>0</v>
      </c>
      <c r="R279" s="257"/>
    </row>
    <row r="280" spans="1:18" hidden="1" x14ac:dyDescent="0.25">
      <c r="A280" s="49" t="s">
        <v>707</v>
      </c>
      <c r="B280" s="49" t="s">
        <v>124</v>
      </c>
      <c r="C280" s="49" t="s">
        <v>125</v>
      </c>
      <c r="D280" s="49" t="s">
        <v>69</v>
      </c>
      <c r="E280" s="50">
        <v>9633760</v>
      </c>
      <c r="F280" s="50">
        <v>9633760</v>
      </c>
      <c r="G280" s="50">
        <v>9633760</v>
      </c>
      <c r="H280" s="50">
        <v>0</v>
      </c>
      <c r="I280" s="50">
        <v>2592000</v>
      </c>
      <c r="J280" s="50">
        <v>0</v>
      </c>
      <c r="K280" s="50">
        <v>2487070.91</v>
      </c>
      <c r="L280" s="152">
        <f t="shared" si="0"/>
        <v>0.25816201669960642</v>
      </c>
      <c r="M280" s="50">
        <v>2487070.91</v>
      </c>
      <c r="N280" s="152">
        <f t="shared" si="1"/>
        <v>0.25816201669960642</v>
      </c>
      <c r="O280" s="50">
        <v>4554689.09</v>
      </c>
      <c r="P280" s="152">
        <f t="shared" si="2"/>
        <v>0.4727841559266579</v>
      </c>
      <c r="Q280" s="50">
        <v>4554689.09</v>
      </c>
      <c r="R280" s="257"/>
    </row>
    <row r="281" spans="1:18" hidden="1" x14ac:dyDescent="0.25">
      <c r="A281" s="49" t="s">
        <v>707</v>
      </c>
      <c r="B281" s="49" t="s">
        <v>126</v>
      </c>
      <c r="C281" s="49" t="s">
        <v>127</v>
      </c>
      <c r="D281" s="49" t="s">
        <v>69</v>
      </c>
      <c r="E281" s="50">
        <v>5513760</v>
      </c>
      <c r="F281" s="50">
        <v>5513760</v>
      </c>
      <c r="G281" s="50">
        <v>5513760</v>
      </c>
      <c r="H281" s="50">
        <v>0</v>
      </c>
      <c r="I281" s="50">
        <v>2592000</v>
      </c>
      <c r="J281" s="50">
        <v>0</v>
      </c>
      <c r="K281" s="50">
        <v>401200.01</v>
      </c>
      <c r="L281" s="152">
        <f t="shared" si="0"/>
        <v>7.276341552769798E-2</v>
      </c>
      <c r="M281" s="50">
        <v>401200.01</v>
      </c>
      <c r="N281" s="152">
        <f t="shared" si="1"/>
        <v>7.276341552769798E-2</v>
      </c>
      <c r="O281" s="50">
        <v>2520559.9900000002</v>
      </c>
      <c r="P281" s="152">
        <f t="shared" si="2"/>
        <v>0.45713995349815739</v>
      </c>
      <c r="Q281" s="50">
        <v>2520559.9900000002</v>
      </c>
      <c r="R281" s="257"/>
    </row>
    <row r="282" spans="1:18" hidden="1" x14ac:dyDescent="0.25">
      <c r="A282" s="49" t="s">
        <v>707</v>
      </c>
      <c r="B282" s="49" t="s">
        <v>128</v>
      </c>
      <c r="C282" s="49" t="s">
        <v>129</v>
      </c>
      <c r="D282" s="49" t="s">
        <v>69</v>
      </c>
      <c r="E282" s="50">
        <v>2620000</v>
      </c>
      <c r="F282" s="50">
        <v>2620000</v>
      </c>
      <c r="G282" s="50">
        <v>2620000</v>
      </c>
      <c r="H282" s="50">
        <v>0</v>
      </c>
      <c r="I282" s="50">
        <v>0</v>
      </c>
      <c r="J282" s="50">
        <v>0</v>
      </c>
      <c r="K282" s="50">
        <v>1941592.5</v>
      </c>
      <c r="L282" s="152">
        <f t="shared" si="0"/>
        <v>0.74106583969465645</v>
      </c>
      <c r="M282" s="50">
        <v>1941592.5</v>
      </c>
      <c r="N282" s="152">
        <f t="shared" si="1"/>
        <v>0.74106583969465645</v>
      </c>
      <c r="O282" s="50">
        <v>678407.5</v>
      </c>
      <c r="P282" s="152">
        <f t="shared" si="2"/>
        <v>0.2589341603053435</v>
      </c>
      <c r="Q282" s="50">
        <v>678407.5</v>
      </c>
      <c r="R282" s="257"/>
    </row>
    <row r="283" spans="1:18" hidden="1" x14ac:dyDescent="0.25">
      <c r="A283" s="49" t="s">
        <v>707</v>
      </c>
      <c r="B283" s="49" t="s">
        <v>132</v>
      </c>
      <c r="C283" s="49" t="s">
        <v>133</v>
      </c>
      <c r="D283" s="49" t="s">
        <v>69</v>
      </c>
      <c r="E283" s="50">
        <v>1500000</v>
      </c>
      <c r="F283" s="50">
        <v>1500000</v>
      </c>
      <c r="G283" s="50">
        <v>1500000</v>
      </c>
      <c r="H283" s="50">
        <v>0</v>
      </c>
      <c r="I283" s="50">
        <v>0</v>
      </c>
      <c r="J283" s="50">
        <v>0</v>
      </c>
      <c r="K283" s="50">
        <v>144278.39999999999</v>
      </c>
      <c r="L283" s="152">
        <f t="shared" si="0"/>
        <v>9.6185599999999996E-2</v>
      </c>
      <c r="M283" s="50">
        <v>144278.39999999999</v>
      </c>
      <c r="N283" s="152">
        <f t="shared" si="1"/>
        <v>9.6185599999999996E-2</v>
      </c>
      <c r="O283" s="50">
        <v>1355721.6</v>
      </c>
      <c r="P283" s="152">
        <f t="shared" si="2"/>
        <v>0.90381440000000002</v>
      </c>
      <c r="Q283" s="50">
        <v>1355721.6</v>
      </c>
      <c r="R283" s="257"/>
    </row>
    <row r="284" spans="1:18" hidden="1" x14ac:dyDescent="0.25">
      <c r="A284" s="49" t="s">
        <v>707</v>
      </c>
      <c r="B284" s="49" t="s">
        <v>134</v>
      </c>
      <c r="C284" s="49" t="s">
        <v>135</v>
      </c>
      <c r="D284" s="49" t="s">
        <v>69</v>
      </c>
      <c r="E284" s="50">
        <v>312558343</v>
      </c>
      <c r="F284" s="50">
        <v>280666873</v>
      </c>
      <c r="G284" s="50">
        <v>280666873</v>
      </c>
      <c r="H284" s="50">
        <v>0</v>
      </c>
      <c r="I284" s="50">
        <v>7018959.1200000001</v>
      </c>
      <c r="J284" s="50">
        <v>0</v>
      </c>
      <c r="K284" s="50">
        <v>245936444.18000001</v>
      </c>
      <c r="L284" s="152">
        <f t="shared" si="0"/>
        <v>0.87625747047105207</v>
      </c>
      <c r="M284" s="50">
        <v>236271992.91</v>
      </c>
      <c r="N284" s="152">
        <f t="shared" si="1"/>
        <v>0.84182358389691392</v>
      </c>
      <c r="O284" s="50">
        <v>27711469.699999999</v>
      </c>
      <c r="P284" s="152">
        <f t="shared" si="2"/>
        <v>9.8734380027813248E-2</v>
      </c>
      <c r="Q284" s="50">
        <v>27711469.699999999</v>
      </c>
      <c r="R284" s="257"/>
    </row>
    <row r="285" spans="1:18" hidden="1" x14ac:dyDescent="0.25">
      <c r="A285" s="49" t="s">
        <v>707</v>
      </c>
      <c r="B285" s="49" t="s">
        <v>346</v>
      </c>
      <c r="C285" s="49" t="s">
        <v>347</v>
      </c>
      <c r="D285" s="49" t="s">
        <v>69</v>
      </c>
      <c r="E285" s="50">
        <v>34001608</v>
      </c>
      <c r="F285" s="50">
        <v>13925550</v>
      </c>
      <c r="G285" s="50">
        <v>13925550</v>
      </c>
      <c r="H285" s="50">
        <v>0</v>
      </c>
      <c r="I285" s="50">
        <v>0</v>
      </c>
      <c r="J285" s="50">
        <v>0</v>
      </c>
      <c r="K285" s="50">
        <v>8897615.9900000002</v>
      </c>
      <c r="L285" s="152">
        <f t="shared" si="0"/>
        <v>0.63894180050339122</v>
      </c>
      <c r="M285" s="50">
        <v>5800895.9900000002</v>
      </c>
      <c r="N285" s="152">
        <f t="shared" si="1"/>
        <v>0.41656494644735759</v>
      </c>
      <c r="O285" s="50">
        <v>5027934.01</v>
      </c>
      <c r="P285" s="152">
        <f t="shared" si="2"/>
        <v>0.36105819949660872</v>
      </c>
      <c r="Q285" s="50">
        <v>5027934.01</v>
      </c>
      <c r="R285" s="257"/>
    </row>
    <row r="286" spans="1:18" hidden="1" x14ac:dyDescent="0.25">
      <c r="A286" s="49" t="s">
        <v>707</v>
      </c>
      <c r="B286" s="49" t="s">
        <v>308</v>
      </c>
      <c r="C286" s="49" t="s">
        <v>309</v>
      </c>
      <c r="D286" s="49" t="s">
        <v>69</v>
      </c>
      <c r="E286" s="50">
        <v>95000000</v>
      </c>
      <c r="F286" s="50">
        <v>73506483</v>
      </c>
      <c r="G286" s="50">
        <v>73506483</v>
      </c>
      <c r="H286" s="50">
        <v>0</v>
      </c>
      <c r="I286" s="50">
        <v>1481644.34</v>
      </c>
      <c r="J286" s="50">
        <v>0</v>
      </c>
      <c r="K286" s="50">
        <v>69280522.569999993</v>
      </c>
      <c r="L286" s="152">
        <f t="shared" si="0"/>
        <v>0.94250901066780723</v>
      </c>
      <c r="M286" s="50">
        <v>69280522.569999993</v>
      </c>
      <c r="N286" s="152">
        <f t="shared" si="1"/>
        <v>0.94250901066780723</v>
      </c>
      <c r="O286" s="50">
        <v>2744316.09</v>
      </c>
      <c r="P286" s="152">
        <f t="shared" si="2"/>
        <v>3.7334340836304193E-2</v>
      </c>
      <c r="Q286" s="50">
        <v>2744316.09</v>
      </c>
      <c r="R286" s="257"/>
    </row>
    <row r="287" spans="1:18" hidden="1" x14ac:dyDescent="0.25">
      <c r="A287" s="49" t="s">
        <v>707</v>
      </c>
      <c r="B287" s="49" t="s">
        <v>136</v>
      </c>
      <c r="C287" s="49" t="s">
        <v>137</v>
      </c>
      <c r="D287" s="49" t="s">
        <v>69</v>
      </c>
      <c r="E287" s="50">
        <v>131200000</v>
      </c>
      <c r="F287" s="50">
        <v>140878105</v>
      </c>
      <c r="G287" s="50">
        <v>140878105</v>
      </c>
      <c r="H287" s="50">
        <v>0</v>
      </c>
      <c r="I287" s="50">
        <v>16842.669999999998</v>
      </c>
      <c r="J287" s="50">
        <v>0</v>
      </c>
      <c r="K287" s="50">
        <v>122797802.15000001</v>
      </c>
      <c r="L287" s="152">
        <f t="shared" si="0"/>
        <v>0.8716599513458817</v>
      </c>
      <c r="M287" s="50">
        <v>122797802.15000001</v>
      </c>
      <c r="N287" s="152">
        <f t="shared" si="1"/>
        <v>0.8716599513458817</v>
      </c>
      <c r="O287" s="50">
        <v>18063460.18</v>
      </c>
      <c r="P287" s="152">
        <f t="shared" si="2"/>
        <v>0.12822049373818592</v>
      </c>
      <c r="Q287" s="50">
        <v>18063460.18</v>
      </c>
      <c r="R287" s="257"/>
    </row>
    <row r="288" spans="1:18" hidden="1" x14ac:dyDescent="0.25">
      <c r="A288" s="49" t="s">
        <v>707</v>
      </c>
      <c r="B288" s="49" t="s">
        <v>138</v>
      </c>
      <c r="C288" s="49" t="s">
        <v>139</v>
      </c>
      <c r="D288" s="49" t="s">
        <v>69</v>
      </c>
      <c r="E288" s="50">
        <v>52356735</v>
      </c>
      <c r="F288" s="50">
        <v>52356735</v>
      </c>
      <c r="G288" s="50">
        <v>52356735</v>
      </c>
      <c r="H288" s="50">
        <v>0</v>
      </c>
      <c r="I288" s="50">
        <v>5520472.1100000003</v>
      </c>
      <c r="J288" s="50">
        <v>0</v>
      </c>
      <c r="K288" s="50">
        <v>44960503.469999999</v>
      </c>
      <c r="L288" s="152">
        <f t="shared" si="0"/>
        <v>0.85873390443464437</v>
      </c>
      <c r="M288" s="50">
        <v>38392772.200000003</v>
      </c>
      <c r="N288" s="152">
        <f t="shared" si="1"/>
        <v>0.73329194801776698</v>
      </c>
      <c r="O288" s="50">
        <v>1875759.42</v>
      </c>
      <c r="P288" s="152">
        <f t="shared" si="2"/>
        <v>3.582651630205741E-2</v>
      </c>
      <c r="Q288" s="50">
        <v>1875759.42</v>
      </c>
      <c r="R288" s="257"/>
    </row>
    <row r="289" spans="1:18" hidden="1" x14ac:dyDescent="0.25">
      <c r="A289" s="49" t="s">
        <v>707</v>
      </c>
      <c r="B289" s="49" t="s">
        <v>140</v>
      </c>
      <c r="C289" s="49" t="s">
        <v>141</v>
      </c>
      <c r="D289" s="49" t="s">
        <v>69</v>
      </c>
      <c r="E289" s="50">
        <v>134000000</v>
      </c>
      <c r="F289" s="50">
        <v>92171529</v>
      </c>
      <c r="G289" s="50">
        <v>92171529</v>
      </c>
      <c r="H289" s="50">
        <v>0</v>
      </c>
      <c r="I289" s="50">
        <v>5561533</v>
      </c>
      <c r="J289" s="50">
        <v>0</v>
      </c>
      <c r="K289" s="50">
        <v>66895805</v>
      </c>
      <c r="L289" s="152">
        <f t="shared" si="0"/>
        <v>0.72577514690029721</v>
      </c>
      <c r="M289" s="50">
        <v>66895805</v>
      </c>
      <c r="N289" s="152">
        <f t="shared" si="1"/>
        <v>0.72577514690029721</v>
      </c>
      <c r="O289" s="50">
        <v>19714191</v>
      </c>
      <c r="P289" s="152">
        <f t="shared" si="2"/>
        <v>0.21388590613485428</v>
      </c>
      <c r="Q289" s="50">
        <v>19714191</v>
      </c>
      <c r="R289" s="257"/>
    </row>
    <row r="290" spans="1:18" hidden="1" x14ac:dyDescent="0.25">
      <c r="A290" s="49" t="s">
        <v>707</v>
      </c>
      <c r="B290" s="49" t="s">
        <v>142</v>
      </c>
      <c r="C290" s="49" t="s">
        <v>143</v>
      </c>
      <c r="D290" s="49" t="s">
        <v>69</v>
      </c>
      <c r="E290" s="50">
        <v>4000000</v>
      </c>
      <c r="F290" s="50">
        <v>2171529</v>
      </c>
      <c r="G290" s="50">
        <v>2171529</v>
      </c>
      <c r="H290" s="50">
        <v>0</v>
      </c>
      <c r="I290" s="50">
        <v>321533</v>
      </c>
      <c r="J290" s="50">
        <v>0</v>
      </c>
      <c r="K290" s="50">
        <v>1347741</v>
      </c>
      <c r="L290" s="152">
        <f t="shared" si="0"/>
        <v>0.62064149269938373</v>
      </c>
      <c r="M290" s="50">
        <v>1347741</v>
      </c>
      <c r="N290" s="152">
        <f t="shared" si="1"/>
        <v>0.62064149269938373</v>
      </c>
      <c r="O290" s="50">
        <v>502255</v>
      </c>
      <c r="P290" s="152">
        <f t="shared" si="2"/>
        <v>0.23129094753051882</v>
      </c>
      <c r="Q290" s="50">
        <v>502255</v>
      </c>
      <c r="R290" s="257"/>
    </row>
    <row r="291" spans="1:18" hidden="1" x14ac:dyDescent="0.25">
      <c r="A291" s="49" t="s">
        <v>707</v>
      </c>
      <c r="B291" s="49" t="s">
        <v>144</v>
      </c>
      <c r="C291" s="49" t="s">
        <v>145</v>
      </c>
      <c r="D291" s="49" t="s">
        <v>69</v>
      </c>
      <c r="E291" s="50">
        <v>130000000</v>
      </c>
      <c r="F291" s="50">
        <v>90000000</v>
      </c>
      <c r="G291" s="50">
        <v>90000000</v>
      </c>
      <c r="H291" s="50">
        <v>0</v>
      </c>
      <c r="I291" s="50">
        <v>5240000</v>
      </c>
      <c r="J291" s="50">
        <v>0</v>
      </c>
      <c r="K291" s="50">
        <v>65548064</v>
      </c>
      <c r="L291" s="152">
        <f t="shared" si="0"/>
        <v>0.72831182222222224</v>
      </c>
      <c r="M291" s="50">
        <v>65548064</v>
      </c>
      <c r="N291" s="152">
        <f t="shared" si="1"/>
        <v>0.72831182222222224</v>
      </c>
      <c r="O291" s="50">
        <v>19211936</v>
      </c>
      <c r="P291" s="152">
        <f t="shared" si="2"/>
        <v>0.21346595555555556</v>
      </c>
      <c r="Q291" s="50">
        <v>19211936</v>
      </c>
      <c r="R291" s="257"/>
    </row>
    <row r="292" spans="1:18" hidden="1" x14ac:dyDescent="0.25">
      <c r="A292" s="49" t="s">
        <v>707</v>
      </c>
      <c r="B292" s="49" t="s">
        <v>150</v>
      </c>
      <c r="C292" s="49" t="s">
        <v>151</v>
      </c>
      <c r="D292" s="49" t="s">
        <v>69</v>
      </c>
      <c r="E292" s="50">
        <v>1300000000</v>
      </c>
      <c r="F292" s="50">
        <v>1300000000</v>
      </c>
      <c r="G292" s="50">
        <v>1300000000</v>
      </c>
      <c r="H292" s="50">
        <v>0</v>
      </c>
      <c r="I292" s="50">
        <v>58873400</v>
      </c>
      <c r="J292" s="50">
        <v>0</v>
      </c>
      <c r="K292" s="50">
        <v>1204907748</v>
      </c>
      <c r="L292" s="152">
        <f t="shared" si="0"/>
        <v>0.92685211384615385</v>
      </c>
      <c r="M292" s="50">
        <v>1202693133</v>
      </c>
      <c r="N292" s="152">
        <f t="shared" si="1"/>
        <v>0.92514856384615385</v>
      </c>
      <c r="O292" s="50">
        <v>36218852</v>
      </c>
      <c r="P292" s="152">
        <f t="shared" si="2"/>
        <v>2.7860655384615386E-2</v>
      </c>
      <c r="Q292" s="50">
        <v>36218852</v>
      </c>
      <c r="R292" s="257"/>
    </row>
    <row r="293" spans="1:18" hidden="1" x14ac:dyDescent="0.25">
      <c r="A293" s="49" t="s">
        <v>707</v>
      </c>
      <c r="B293" s="49" t="s">
        <v>152</v>
      </c>
      <c r="C293" s="49" t="s">
        <v>153</v>
      </c>
      <c r="D293" s="49" t="s">
        <v>69</v>
      </c>
      <c r="E293" s="50">
        <v>1300000000</v>
      </c>
      <c r="F293" s="50">
        <v>1300000000</v>
      </c>
      <c r="G293" s="50">
        <v>1300000000</v>
      </c>
      <c r="H293" s="50">
        <v>0</v>
      </c>
      <c r="I293" s="50">
        <v>58873400</v>
      </c>
      <c r="J293" s="50">
        <v>0</v>
      </c>
      <c r="K293" s="50">
        <v>1204907748</v>
      </c>
      <c r="L293" s="152">
        <f t="shared" si="0"/>
        <v>0.92685211384615385</v>
      </c>
      <c r="M293" s="50">
        <v>1202693133</v>
      </c>
      <c r="N293" s="152">
        <f t="shared" si="1"/>
        <v>0.92514856384615385</v>
      </c>
      <c r="O293" s="50">
        <v>36218852</v>
      </c>
      <c r="P293" s="152">
        <f t="shared" si="2"/>
        <v>2.7860655384615386E-2</v>
      </c>
      <c r="Q293" s="50">
        <v>36218852</v>
      </c>
      <c r="R293" s="257"/>
    </row>
    <row r="294" spans="1:18" hidden="1" x14ac:dyDescent="0.25">
      <c r="A294" s="49" t="s">
        <v>707</v>
      </c>
      <c r="B294" s="49" t="s">
        <v>154</v>
      </c>
      <c r="C294" s="49" t="s">
        <v>155</v>
      </c>
      <c r="D294" s="49" t="s">
        <v>69</v>
      </c>
      <c r="E294" s="50">
        <v>5000000</v>
      </c>
      <c r="F294" s="50">
        <v>1303100</v>
      </c>
      <c r="G294" s="50">
        <v>1303100</v>
      </c>
      <c r="H294" s="50">
        <v>0</v>
      </c>
      <c r="I294" s="50">
        <v>295800</v>
      </c>
      <c r="J294" s="50">
        <v>0</v>
      </c>
      <c r="K294" s="50">
        <v>872100</v>
      </c>
      <c r="L294" s="152">
        <f t="shared" si="0"/>
        <v>0.66925024940526434</v>
      </c>
      <c r="M294" s="50">
        <v>555900</v>
      </c>
      <c r="N294" s="152">
        <f t="shared" si="1"/>
        <v>0.4265981121939989</v>
      </c>
      <c r="O294" s="50">
        <v>135200</v>
      </c>
      <c r="P294" s="152">
        <f t="shared" si="2"/>
        <v>0.10375258997774538</v>
      </c>
      <c r="Q294" s="50">
        <v>135200</v>
      </c>
      <c r="R294" s="257"/>
    </row>
    <row r="295" spans="1:18" hidden="1" x14ac:dyDescent="0.25">
      <c r="A295" s="49" t="s">
        <v>707</v>
      </c>
      <c r="B295" s="49" t="s">
        <v>156</v>
      </c>
      <c r="C295" s="49" t="s">
        <v>157</v>
      </c>
      <c r="D295" s="49" t="s">
        <v>69</v>
      </c>
      <c r="E295" s="50">
        <v>5000000</v>
      </c>
      <c r="F295" s="50">
        <v>1303100</v>
      </c>
      <c r="G295" s="50">
        <v>1303100</v>
      </c>
      <c r="H295" s="50">
        <v>0</v>
      </c>
      <c r="I295" s="50">
        <v>295800</v>
      </c>
      <c r="J295" s="50">
        <v>0</v>
      </c>
      <c r="K295" s="50">
        <v>872100</v>
      </c>
      <c r="L295" s="152">
        <f t="shared" si="0"/>
        <v>0.66925024940526434</v>
      </c>
      <c r="M295" s="50">
        <v>555900</v>
      </c>
      <c r="N295" s="152">
        <f t="shared" si="1"/>
        <v>0.4265981121939989</v>
      </c>
      <c r="O295" s="50">
        <v>135200</v>
      </c>
      <c r="P295" s="152">
        <f t="shared" si="2"/>
        <v>0.10375258997774538</v>
      </c>
      <c r="Q295" s="50">
        <v>135200</v>
      </c>
      <c r="R295" s="257"/>
    </row>
    <row r="296" spans="1:18" hidden="1" x14ac:dyDescent="0.25">
      <c r="A296" s="49" t="s">
        <v>707</v>
      </c>
      <c r="B296" s="49" t="s">
        <v>162</v>
      </c>
      <c r="C296" s="49" t="s">
        <v>163</v>
      </c>
      <c r="D296" s="49" t="s">
        <v>69</v>
      </c>
      <c r="E296" s="50">
        <v>932264008</v>
      </c>
      <c r="F296" s="50">
        <v>969780106</v>
      </c>
      <c r="G296" s="50">
        <v>969780106</v>
      </c>
      <c r="H296" s="50">
        <v>0</v>
      </c>
      <c r="I296" s="50">
        <v>165152827.66</v>
      </c>
      <c r="J296" s="50">
        <v>0</v>
      </c>
      <c r="K296" s="50">
        <v>750099769.51999998</v>
      </c>
      <c r="L296" s="152">
        <f t="shared" si="0"/>
        <v>0.77347407404952473</v>
      </c>
      <c r="M296" s="50">
        <v>607282657.75</v>
      </c>
      <c r="N296" s="152">
        <f t="shared" si="1"/>
        <v>0.62620655341634734</v>
      </c>
      <c r="O296" s="50">
        <v>54527508.82</v>
      </c>
      <c r="P296" s="152">
        <f t="shared" si="2"/>
        <v>5.6226672915478428E-2</v>
      </c>
      <c r="Q296" s="50">
        <v>54527508.82</v>
      </c>
      <c r="R296" s="257"/>
    </row>
    <row r="297" spans="1:18" hidden="1" x14ac:dyDescent="0.25">
      <c r="A297" s="49" t="s">
        <v>707</v>
      </c>
      <c r="B297" s="49" t="s">
        <v>310</v>
      </c>
      <c r="C297" s="49" t="s">
        <v>311</v>
      </c>
      <c r="D297" s="49" t="s">
        <v>69</v>
      </c>
      <c r="E297" s="50">
        <v>120656000</v>
      </c>
      <c r="F297" s="50">
        <v>117656000</v>
      </c>
      <c r="G297" s="50">
        <v>117656000</v>
      </c>
      <c r="H297" s="50">
        <v>0</v>
      </c>
      <c r="I297" s="50">
        <v>12685918.789999999</v>
      </c>
      <c r="J297" s="50">
        <v>0</v>
      </c>
      <c r="K297" s="50">
        <v>92660354.450000003</v>
      </c>
      <c r="L297" s="152">
        <f t="shared" si="0"/>
        <v>0.78755315878493237</v>
      </c>
      <c r="M297" s="50">
        <v>52357453.18</v>
      </c>
      <c r="N297" s="152">
        <f t="shared" si="1"/>
        <v>0.4450045316855919</v>
      </c>
      <c r="O297" s="50">
        <v>12309726.76</v>
      </c>
      <c r="P297" s="152">
        <f t="shared" si="2"/>
        <v>0.10462472598082545</v>
      </c>
      <c r="Q297" s="50">
        <v>12309726.76</v>
      </c>
      <c r="R297" s="257"/>
    </row>
    <row r="298" spans="1:18" hidden="1" x14ac:dyDescent="0.25">
      <c r="A298" s="49" t="s">
        <v>707</v>
      </c>
      <c r="B298" s="49" t="s">
        <v>164</v>
      </c>
      <c r="C298" s="49" t="s">
        <v>165</v>
      </c>
      <c r="D298" s="49" t="s">
        <v>69</v>
      </c>
      <c r="E298" s="50">
        <v>504520000</v>
      </c>
      <c r="F298" s="50">
        <v>526013517</v>
      </c>
      <c r="G298" s="50">
        <v>526013517</v>
      </c>
      <c r="H298" s="50">
        <v>0</v>
      </c>
      <c r="I298" s="50">
        <v>82351225.859999999</v>
      </c>
      <c r="J298" s="50">
        <v>0</v>
      </c>
      <c r="K298" s="50">
        <v>431790415.18000001</v>
      </c>
      <c r="L298" s="152">
        <f t="shared" si="0"/>
        <v>0.82087323086794362</v>
      </c>
      <c r="M298" s="50">
        <v>379879653.93000001</v>
      </c>
      <c r="N298" s="152">
        <f t="shared" si="1"/>
        <v>0.72218610673078965</v>
      </c>
      <c r="O298" s="50">
        <v>11871875.960000001</v>
      </c>
      <c r="P298" s="152">
        <f t="shared" si="2"/>
        <v>2.2569526402493573E-2</v>
      </c>
      <c r="Q298" s="50">
        <v>11871875.960000001</v>
      </c>
      <c r="R298" s="257"/>
    </row>
    <row r="299" spans="1:18" hidden="1" x14ac:dyDescent="0.25">
      <c r="A299" s="49" t="s">
        <v>707</v>
      </c>
      <c r="B299" s="49" t="s">
        <v>166</v>
      </c>
      <c r="C299" s="49" t="s">
        <v>167</v>
      </c>
      <c r="D299" s="49" t="s">
        <v>69</v>
      </c>
      <c r="E299" s="50">
        <v>95028648</v>
      </c>
      <c r="F299" s="50">
        <v>119990142</v>
      </c>
      <c r="G299" s="50">
        <v>119990142</v>
      </c>
      <c r="H299" s="50">
        <v>0</v>
      </c>
      <c r="I299" s="50">
        <v>17355737.050000001</v>
      </c>
      <c r="J299" s="50">
        <v>0</v>
      </c>
      <c r="K299" s="50">
        <v>101212925.56</v>
      </c>
      <c r="L299" s="152">
        <f t="shared" si="0"/>
        <v>0.84351034070782249</v>
      </c>
      <c r="M299" s="50">
        <v>71110292.260000005</v>
      </c>
      <c r="N299" s="152">
        <f t="shared" si="1"/>
        <v>0.59263445375370927</v>
      </c>
      <c r="O299" s="50">
        <v>1421479.39</v>
      </c>
      <c r="P299" s="152">
        <f t="shared" si="2"/>
        <v>1.1846634784380869E-2</v>
      </c>
      <c r="Q299" s="50">
        <v>1421479.39</v>
      </c>
      <c r="R299" s="257"/>
    </row>
    <row r="300" spans="1:18" hidden="1" x14ac:dyDescent="0.25">
      <c r="A300" s="49" t="s">
        <v>707</v>
      </c>
      <c r="B300" s="49" t="s">
        <v>312</v>
      </c>
      <c r="C300" s="49" t="s">
        <v>313</v>
      </c>
      <c r="D300" s="49" t="s">
        <v>69</v>
      </c>
      <c r="E300" s="50">
        <v>3000000</v>
      </c>
      <c r="F300" s="50">
        <v>3000000</v>
      </c>
      <c r="G300" s="50">
        <v>3000000</v>
      </c>
      <c r="H300" s="50">
        <v>0</v>
      </c>
      <c r="I300" s="50">
        <v>2800479</v>
      </c>
      <c r="J300" s="50">
        <v>0</v>
      </c>
      <c r="K300" s="50">
        <v>0</v>
      </c>
      <c r="L300" s="152">
        <f t="shared" si="0"/>
        <v>0</v>
      </c>
      <c r="M300" s="50">
        <v>0</v>
      </c>
      <c r="N300" s="152">
        <f t="shared" si="1"/>
        <v>0</v>
      </c>
      <c r="O300" s="50">
        <v>199521</v>
      </c>
      <c r="P300" s="152">
        <f t="shared" si="2"/>
        <v>6.6506999999999997E-2</v>
      </c>
      <c r="Q300" s="50">
        <v>199521</v>
      </c>
      <c r="R300" s="257"/>
    </row>
    <row r="301" spans="1:18" hidden="1" x14ac:dyDescent="0.25">
      <c r="A301" s="49" t="s">
        <v>707</v>
      </c>
      <c r="B301" s="49" t="s">
        <v>168</v>
      </c>
      <c r="C301" s="49" t="s">
        <v>169</v>
      </c>
      <c r="D301" s="49" t="s">
        <v>69</v>
      </c>
      <c r="E301" s="50">
        <v>16864852</v>
      </c>
      <c r="F301" s="50">
        <v>11257762</v>
      </c>
      <c r="G301" s="50">
        <v>11257762</v>
      </c>
      <c r="H301" s="50">
        <v>0</v>
      </c>
      <c r="I301" s="50">
        <v>2638239.3199999998</v>
      </c>
      <c r="J301" s="50">
        <v>0</v>
      </c>
      <c r="K301" s="50">
        <v>6507826.6299999999</v>
      </c>
      <c r="L301" s="152">
        <f t="shared" si="0"/>
        <v>0.57807463241805968</v>
      </c>
      <c r="M301" s="50">
        <v>6507826.6299999999</v>
      </c>
      <c r="N301" s="152">
        <f t="shared" si="1"/>
        <v>0.57807463241805968</v>
      </c>
      <c r="O301" s="50">
        <v>2111696.0499999998</v>
      </c>
      <c r="P301" s="152">
        <f t="shared" si="2"/>
        <v>0.18757689583418088</v>
      </c>
      <c r="Q301" s="50">
        <v>2111696.0499999998</v>
      </c>
      <c r="R301" s="257"/>
    </row>
    <row r="302" spans="1:18" hidden="1" x14ac:dyDescent="0.25">
      <c r="A302" s="49" t="s">
        <v>707</v>
      </c>
      <c r="B302" s="49" t="s">
        <v>170</v>
      </c>
      <c r="C302" s="49" t="s">
        <v>171</v>
      </c>
      <c r="D302" s="49" t="s">
        <v>69</v>
      </c>
      <c r="E302" s="50">
        <v>40562000</v>
      </c>
      <c r="F302" s="50">
        <v>24844258</v>
      </c>
      <c r="G302" s="50">
        <v>24844258</v>
      </c>
      <c r="H302" s="50">
        <v>0</v>
      </c>
      <c r="I302" s="50">
        <v>14506618.029999999</v>
      </c>
      <c r="J302" s="50">
        <v>0</v>
      </c>
      <c r="K302" s="50">
        <v>8117291.1900000004</v>
      </c>
      <c r="L302" s="152">
        <f t="shared" si="0"/>
        <v>0.32672705258494739</v>
      </c>
      <c r="M302" s="50">
        <v>3768024.01</v>
      </c>
      <c r="N302" s="152">
        <f t="shared" si="1"/>
        <v>0.15166578973700884</v>
      </c>
      <c r="O302" s="50">
        <v>2220348.7799999998</v>
      </c>
      <c r="P302" s="152">
        <f t="shared" si="2"/>
        <v>8.9370702075304481E-2</v>
      </c>
      <c r="Q302" s="50">
        <v>2220348.7799999998</v>
      </c>
      <c r="R302" s="257"/>
    </row>
    <row r="303" spans="1:18" hidden="1" x14ac:dyDescent="0.25">
      <c r="A303" s="49" t="s">
        <v>707</v>
      </c>
      <c r="B303" s="49" t="s">
        <v>172</v>
      </c>
      <c r="C303" s="49" t="s">
        <v>173</v>
      </c>
      <c r="D303" s="49" t="s">
        <v>69</v>
      </c>
      <c r="E303" s="50">
        <v>151632508</v>
      </c>
      <c r="F303" s="50">
        <v>167018427</v>
      </c>
      <c r="G303" s="50">
        <v>167018427</v>
      </c>
      <c r="H303" s="50">
        <v>0</v>
      </c>
      <c r="I303" s="50">
        <v>32814609.609999999</v>
      </c>
      <c r="J303" s="50">
        <v>0</v>
      </c>
      <c r="K303" s="50">
        <v>109810956.51000001</v>
      </c>
      <c r="L303" s="152">
        <f t="shared" si="0"/>
        <v>0.65747809078575503</v>
      </c>
      <c r="M303" s="50">
        <v>93659407.739999995</v>
      </c>
      <c r="N303" s="152">
        <f t="shared" si="1"/>
        <v>0.56077290046564743</v>
      </c>
      <c r="O303" s="50">
        <v>24392860.879999999</v>
      </c>
      <c r="P303" s="152">
        <f t="shared" si="2"/>
        <v>0.14604891997935054</v>
      </c>
      <c r="Q303" s="50">
        <v>24392860.879999999</v>
      </c>
      <c r="R303" s="257"/>
    </row>
    <row r="304" spans="1:18" hidden="1" x14ac:dyDescent="0.25">
      <c r="A304" s="49" t="s">
        <v>707</v>
      </c>
      <c r="B304" s="49" t="s">
        <v>164</v>
      </c>
      <c r="C304" s="49" t="s">
        <v>165</v>
      </c>
      <c r="D304" s="49" t="s">
        <v>85</v>
      </c>
      <c r="E304" s="50">
        <v>0</v>
      </c>
      <c r="F304" s="50">
        <v>0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152" t="e">
        <f t="shared" si="0"/>
        <v>#DIV/0!</v>
      </c>
      <c r="M304" s="50">
        <v>0</v>
      </c>
      <c r="N304" s="152" t="e">
        <f t="shared" si="1"/>
        <v>#DIV/0!</v>
      </c>
      <c r="O304" s="50">
        <v>0</v>
      </c>
      <c r="P304" s="152" t="e">
        <f t="shared" si="2"/>
        <v>#DIV/0!</v>
      </c>
      <c r="Q304" s="50">
        <v>0</v>
      </c>
      <c r="R304" s="257"/>
    </row>
    <row r="305" spans="1:18" hidden="1" x14ac:dyDescent="0.25">
      <c r="A305" s="49" t="s">
        <v>707</v>
      </c>
      <c r="B305" s="49" t="s">
        <v>174</v>
      </c>
      <c r="C305" s="49" t="s">
        <v>175</v>
      </c>
      <c r="D305" s="49" t="s">
        <v>69</v>
      </c>
      <c r="E305" s="50">
        <v>18000000</v>
      </c>
      <c r="F305" s="50">
        <v>18000000</v>
      </c>
      <c r="G305" s="50">
        <v>18000000</v>
      </c>
      <c r="H305" s="50">
        <v>0</v>
      </c>
      <c r="I305" s="50">
        <v>4115654</v>
      </c>
      <c r="J305" s="50">
        <v>0</v>
      </c>
      <c r="K305" s="50">
        <v>10910712</v>
      </c>
      <c r="L305" s="152">
        <f t="shared" si="0"/>
        <v>0.60615066666666662</v>
      </c>
      <c r="M305" s="50">
        <v>221366</v>
      </c>
      <c r="N305" s="152">
        <f t="shared" si="1"/>
        <v>1.229811111111111E-2</v>
      </c>
      <c r="O305" s="50">
        <v>2973634</v>
      </c>
      <c r="P305" s="152">
        <f t="shared" si="2"/>
        <v>0.1652018888888889</v>
      </c>
      <c r="Q305" s="50">
        <v>2973634</v>
      </c>
      <c r="R305" s="257"/>
    </row>
    <row r="306" spans="1:18" hidden="1" x14ac:dyDescent="0.25">
      <c r="A306" s="49" t="s">
        <v>707</v>
      </c>
      <c r="B306" s="49" t="s">
        <v>176</v>
      </c>
      <c r="C306" s="49" t="s">
        <v>177</v>
      </c>
      <c r="D306" s="49" t="s">
        <v>69</v>
      </c>
      <c r="E306" s="50">
        <v>18000000</v>
      </c>
      <c r="F306" s="50">
        <v>18000000</v>
      </c>
      <c r="G306" s="50">
        <v>18000000</v>
      </c>
      <c r="H306" s="50">
        <v>0</v>
      </c>
      <c r="I306" s="50">
        <v>4115654</v>
      </c>
      <c r="J306" s="50">
        <v>0</v>
      </c>
      <c r="K306" s="50">
        <v>10910712</v>
      </c>
      <c r="L306" s="152">
        <f t="shared" si="0"/>
        <v>0.60615066666666662</v>
      </c>
      <c r="M306" s="50">
        <v>221366</v>
      </c>
      <c r="N306" s="152">
        <f t="shared" si="1"/>
        <v>1.229811111111111E-2</v>
      </c>
      <c r="O306" s="50">
        <v>2973634</v>
      </c>
      <c r="P306" s="152">
        <f t="shared" si="2"/>
        <v>0.1652018888888889</v>
      </c>
      <c r="Q306" s="50">
        <v>2973634</v>
      </c>
      <c r="R306" s="257"/>
    </row>
    <row r="307" spans="1:18" hidden="1" x14ac:dyDescent="0.25">
      <c r="A307" s="49" t="s">
        <v>707</v>
      </c>
      <c r="B307" s="49" t="s">
        <v>178</v>
      </c>
      <c r="C307" s="49" t="s">
        <v>179</v>
      </c>
      <c r="D307" s="49" t="s">
        <v>69</v>
      </c>
      <c r="E307" s="50">
        <v>36890625</v>
      </c>
      <c r="F307" s="50">
        <v>56149050</v>
      </c>
      <c r="G307" s="50">
        <v>56149050</v>
      </c>
      <c r="H307" s="50">
        <v>0</v>
      </c>
      <c r="I307" s="50">
        <v>44164591.270000003</v>
      </c>
      <c r="J307" s="50">
        <v>0</v>
      </c>
      <c r="K307" s="50">
        <v>3617106.85</v>
      </c>
      <c r="L307" s="152">
        <f t="shared" si="0"/>
        <v>6.4419733726572406E-2</v>
      </c>
      <c r="M307" s="50">
        <v>3617106.85</v>
      </c>
      <c r="N307" s="152">
        <f t="shared" si="1"/>
        <v>6.4419733726572406E-2</v>
      </c>
      <c r="O307" s="50">
        <v>8367351.8799999999</v>
      </c>
      <c r="P307" s="152">
        <f t="shared" si="2"/>
        <v>0.1490203641913799</v>
      </c>
      <c r="Q307" s="50">
        <v>8367351.8799999999</v>
      </c>
      <c r="R307" s="257"/>
    </row>
    <row r="308" spans="1:18" hidden="1" x14ac:dyDescent="0.25">
      <c r="A308" s="49" t="s">
        <v>707</v>
      </c>
      <c r="B308" s="49" t="s">
        <v>348</v>
      </c>
      <c r="C308" s="49" t="s">
        <v>349</v>
      </c>
      <c r="D308" s="49" t="s">
        <v>69</v>
      </c>
      <c r="E308" s="50">
        <v>3000000</v>
      </c>
      <c r="F308" s="50">
        <v>5000000</v>
      </c>
      <c r="G308" s="50">
        <v>5000000</v>
      </c>
      <c r="H308" s="50">
        <v>0</v>
      </c>
      <c r="I308" s="50">
        <v>0</v>
      </c>
      <c r="J308" s="50">
        <v>0</v>
      </c>
      <c r="K308" s="50">
        <v>3617106.85</v>
      </c>
      <c r="L308" s="152">
        <f t="shared" si="0"/>
        <v>0.72342137000000006</v>
      </c>
      <c r="M308" s="50">
        <v>3617106.85</v>
      </c>
      <c r="N308" s="152">
        <f t="shared" si="1"/>
        <v>0.72342137000000006</v>
      </c>
      <c r="O308" s="50">
        <v>1382893.15</v>
      </c>
      <c r="P308" s="152">
        <f t="shared" si="2"/>
        <v>0.27657862999999999</v>
      </c>
      <c r="Q308" s="50">
        <v>1382893.15</v>
      </c>
      <c r="R308" s="257"/>
    </row>
    <row r="309" spans="1:18" hidden="1" x14ac:dyDescent="0.25">
      <c r="A309" s="49" t="s">
        <v>707</v>
      </c>
      <c r="B309" s="49" t="s">
        <v>180</v>
      </c>
      <c r="C309" s="49" t="s">
        <v>181</v>
      </c>
      <c r="D309" s="49" t="s">
        <v>69</v>
      </c>
      <c r="E309" s="50">
        <v>19500000</v>
      </c>
      <c r="F309" s="50">
        <v>2678455</v>
      </c>
      <c r="G309" s="50">
        <v>2678455</v>
      </c>
      <c r="H309" s="50">
        <v>0</v>
      </c>
      <c r="I309" s="50">
        <v>0</v>
      </c>
      <c r="J309" s="50">
        <v>0</v>
      </c>
      <c r="K309" s="50">
        <v>0</v>
      </c>
      <c r="L309" s="152">
        <f t="shared" si="0"/>
        <v>0</v>
      </c>
      <c r="M309" s="50">
        <v>0</v>
      </c>
      <c r="N309" s="152">
        <f t="shared" si="1"/>
        <v>0</v>
      </c>
      <c r="O309" s="50">
        <v>2678455</v>
      </c>
      <c r="P309" s="152">
        <f t="shared" si="2"/>
        <v>1</v>
      </c>
      <c r="Q309" s="50">
        <v>2678455</v>
      </c>
      <c r="R309" s="257"/>
    </row>
    <row r="310" spans="1:18" hidden="1" x14ac:dyDescent="0.25">
      <c r="A310" s="49" t="s">
        <v>707</v>
      </c>
      <c r="B310" s="49" t="s">
        <v>182</v>
      </c>
      <c r="C310" s="49" t="s">
        <v>183</v>
      </c>
      <c r="D310" s="49" t="s">
        <v>69</v>
      </c>
      <c r="E310" s="50">
        <v>14390625</v>
      </c>
      <c r="F310" s="50">
        <v>48470595</v>
      </c>
      <c r="G310" s="50">
        <v>48470595</v>
      </c>
      <c r="H310" s="50">
        <v>0</v>
      </c>
      <c r="I310" s="50">
        <v>44164591.270000003</v>
      </c>
      <c r="J310" s="50">
        <v>0</v>
      </c>
      <c r="K310" s="50">
        <v>0</v>
      </c>
      <c r="L310" s="152">
        <f t="shared" si="0"/>
        <v>0</v>
      </c>
      <c r="M310" s="50">
        <v>0</v>
      </c>
      <c r="N310" s="152">
        <f t="shared" si="1"/>
        <v>0</v>
      </c>
      <c r="O310" s="50">
        <v>4306003.7300000004</v>
      </c>
      <c r="P310" s="152">
        <f t="shared" si="2"/>
        <v>8.8837443196230631E-2</v>
      </c>
      <c r="Q310" s="50">
        <v>4306003.7300000004</v>
      </c>
      <c r="R310" s="257"/>
    </row>
    <row r="311" spans="1:18" hidden="1" x14ac:dyDescent="0.25">
      <c r="A311" s="49" t="s">
        <v>707</v>
      </c>
      <c r="B311" s="49" t="s">
        <v>184</v>
      </c>
      <c r="C311" s="49" t="s">
        <v>185</v>
      </c>
      <c r="D311" s="49" t="s">
        <v>69</v>
      </c>
      <c r="E311" s="50">
        <v>5938711949</v>
      </c>
      <c r="F311" s="50">
        <v>5528854538</v>
      </c>
      <c r="G311" s="50">
        <v>5528854538</v>
      </c>
      <c r="H311" s="50">
        <v>0</v>
      </c>
      <c r="I311" s="50">
        <v>253604651.86000001</v>
      </c>
      <c r="J311" s="50">
        <v>0</v>
      </c>
      <c r="K311" s="50">
        <v>4957805505.2200003</v>
      </c>
      <c r="L311" s="152">
        <f t="shared" si="0"/>
        <v>0.89671476634894975</v>
      </c>
      <c r="M311" s="50">
        <v>4241312800.8899999</v>
      </c>
      <c r="N311" s="152">
        <f t="shared" si="1"/>
        <v>0.76712323895290002</v>
      </c>
      <c r="O311" s="50">
        <v>317444380.92000002</v>
      </c>
      <c r="P311" s="152">
        <f t="shared" si="2"/>
        <v>5.7415940089976011E-2</v>
      </c>
      <c r="Q311" s="50">
        <v>317444380.92000002</v>
      </c>
      <c r="R311" s="257"/>
    </row>
    <row r="312" spans="1:18" hidden="1" x14ac:dyDescent="0.25">
      <c r="A312" s="49" t="s">
        <v>707</v>
      </c>
      <c r="B312" s="49" t="s">
        <v>186</v>
      </c>
      <c r="C312" s="49" t="s">
        <v>187</v>
      </c>
      <c r="D312" s="49" t="s">
        <v>69</v>
      </c>
      <c r="E312" s="50">
        <v>1018969461</v>
      </c>
      <c r="F312" s="50">
        <v>925936524</v>
      </c>
      <c r="G312" s="50">
        <v>925936524</v>
      </c>
      <c r="H312" s="50">
        <v>0</v>
      </c>
      <c r="I312" s="50">
        <v>66575408.93</v>
      </c>
      <c r="J312" s="50">
        <v>0</v>
      </c>
      <c r="K312" s="50">
        <v>742389738.72000003</v>
      </c>
      <c r="L312" s="152">
        <f t="shared" si="0"/>
        <v>0.80177174080239655</v>
      </c>
      <c r="M312" s="50">
        <v>694241462.08000004</v>
      </c>
      <c r="N312" s="152">
        <f t="shared" si="1"/>
        <v>0.7497721972138125</v>
      </c>
      <c r="O312" s="50">
        <v>116971376.34999999</v>
      </c>
      <c r="P312" s="152">
        <f t="shared" si="2"/>
        <v>0.12632764052193279</v>
      </c>
      <c r="Q312" s="50">
        <v>116971376.34999999</v>
      </c>
      <c r="R312" s="257"/>
    </row>
    <row r="313" spans="1:18" hidden="1" x14ac:dyDescent="0.25">
      <c r="A313" s="49" t="s">
        <v>707</v>
      </c>
      <c r="B313" s="49" t="s">
        <v>188</v>
      </c>
      <c r="C313" s="49" t="s">
        <v>189</v>
      </c>
      <c r="D313" s="49" t="s">
        <v>69</v>
      </c>
      <c r="E313" s="50">
        <v>735778133</v>
      </c>
      <c r="F313" s="50">
        <v>651012389</v>
      </c>
      <c r="G313" s="50">
        <v>651012389</v>
      </c>
      <c r="H313" s="50">
        <v>0</v>
      </c>
      <c r="I313" s="50">
        <v>56931512.509999998</v>
      </c>
      <c r="J313" s="50">
        <v>0</v>
      </c>
      <c r="K313" s="50">
        <v>481678801.13999999</v>
      </c>
      <c r="L313" s="152">
        <f t="shared" si="0"/>
        <v>0.73989191185730263</v>
      </c>
      <c r="M313" s="50">
        <v>467131615.30000001</v>
      </c>
      <c r="N313" s="152">
        <f t="shared" si="1"/>
        <v>0.71754642951963854</v>
      </c>
      <c r="O313" s="50">
        <v>112402075.34999999</v>
      </c>
      <c r="P313" s="152">
        <f t="shared" si="2"/>
        <v>0.17265735222436757</v>
      </c>
      <c r="Q313" s="50">
        <v>112402075.34999999</v>
      </c>
      <c r="R313" s="257"/>
    </row>
    <row r="314" spans="1:18" hidden="1" x14ac:dyDescent="0.25">
      <c r="A314" s="49" t="s">
        <v>707</v>
      </c>
      <c r="B314" s="49" t="s">
        <v>190</v>
      </c>
      <c r="C314" s="49" t="s">
        <v>191</v>
      </c>
      <c r="D314" s="49" t="s">
        <v>69</v>
      </c>
      <c r="E314" s="50">
        <v>224830540</v>
      </c>
      <c r="F314" s="50">
        <v>220146790</v>
      </c>
      <c r="G314" s="50">
        <v>220146790</v>
      </c>
      <c r="H314" s="50">
        <v>0</v>
      </c>
      <c r="I314" s="50">
        <v>0</v>
      </c>
      <c r="J314" s="50">
        <v>0</v>
      </c>
      <c r="K314" s="50">
        <v>219254814.38</v>
      </c>
      <c r="L314" s="152">
        <f t="shared" si="0"/>
        <v>0.99594826878920195</v>
      </c>
      <c r="M314" s="50">
        <v>186909564.38</v>
      </c>
      <c r="N314" s="152">
        <f t="shared" si="1"/>
        <v>0.84902243807415945</v>
      </c>
      <c r="O314" s="50">
        <v>891975.62</v>
      </c>
      <c r="P314" s="152">
        <f t="shared" si="2"/>
        <v>4.0517312107980312E-3</v>
      </c>
      <c r="Q314" s="50">
        <v>891975.62</v>
      </c>
      <c r="R314" s="257"/>
    </row>
    <row r="315" spans="1:18" hidden="1" x14ac:dyDescent="0.25">
      <c r="A315" s="49" t="s">
        <v>707</v>
      </c>
      <c r="B315" s="49" t="s">
        <v>350</v>
      </c>
      <c r="C315" s="49" t="s">
        <v>351</v>
      </c>
      <c r="D315" s="49" t="s">
        <v>69</v>
      </c>
      <c r="E315" s="50">
        <v>12909188</v>
      </c>
      <c r="F315" s="50">
        <v>12909188</v>
      </c>
      <c r="G315" s="50">
        <v>12909188</v>
      </c>
      <c r="H315" s="50">
        <v>0</v>
      </c>
      <c r="I315" s="50">
        <v>9454794.4199999999</v>
      </c>
      <c r="J315" s="50">
        <v>0</v>
      </c>
      <c r="K315" s="50">
        <v>2016114.92</v>
      </c>
      <c r="L315" s="152">
        <f t="shared" si="0"/>
        <v>0.1561767417129567</v>
      </c>
      <c r="M315" s="50">
        <v>2016114.92</v>
      </c>
      <c r="N315" s="152">
        <f t="shared" si="1"/>
        <v>0.1561767417129567</v>
      </c>
      <c r="O315" s="50">
        <v>1438278.66</v>
      </c>
      <c r="P315" s="152">
        <f t="shared" si="2"/>
        <v>0.11141511456801155</v>
      </c>
      <c r="Q315" s="50">
        <v>1438278.66</v>
      </c>
      <c r="R315" s="257"/>
    </row>
    <row r="316" spans="1:18" hidden="1" x14ac:dyDescent="0.25">
      <c r="A316" s="49" t="s">
        <v>707</v>
      </c>
      <c r="B316" s="49" t="s">
        <v>192</v>
      </c>
      <c r="C316" s="49" t="s">
        <v>193</v>
      </c>
      <c r="D316" s="49" t="s">
        <v>69</v>
      </c>
      <c r="E316" s="50">
        <v>40465200</v>
      </c>
      <c r="F316" s="50">
        <v>36881757</v>
      </c>
      <c r="G316" s="50">
        <v>36881757</v>
      </c>
      <c r="H316" s="50">
        <v>0</v>
      </c>
      <c r="I316" s="50">
        <v>189102</v>
      </c>
      <c r="J316" s="50">
        <v>0</v>
      </c>
      <c r="K316" s="50">
        <v>36440434.920000002</v>
      </c>
      <c r="L316" s="152">
        <f t="shared" si="0"/>
        <v>0.98803413622621072</v>
      </c>
      <c r="M316" s="50">
        <v>35184594.119999997</v>
      </c>
      <c r="N316" s="152">
        <f t="shared" si="1"/>
        <v>0.95398367599461154</v>
      </c>
      <c r="O316" s="50">
        <v>252220.08</v>
      </c>
      <c r="P316" s="152">
        <f t="shared" si="2"/>
        <v>6.838613464103676E-3</v>
      </c>
      <c r="Q316" s="50">
        <v>252220.08</v>
      </c>
      <c r="R316" s="257"/>
    </row>
    <row r="317" spans="1:18" hidden="1" x14ac:dyDescent="0.25">
      <c r="A317" s="49" t="s">
        <v>707</v>
      </c>
      <c r="B317" s="49" t="s">
        <v>194</v>
      </c>
      <c r="C317" s="49" t="s">
        <v>195</v>
      </c>
      <c r="D317" s="49" t="s">
        <v>69</v>
      </c>
      <c r="E317" s="50">
        <v>4986400</v>
      </c>
      <c r="F317" s="50">
        <v>4986400</v>
      </c>
      <c r="G317" s="50">
        <v>4986400</v>
      </c>
      <c r="H317" s="50">
        <v>0</v>
      </c>
      <c r="I317" s="50">
        <v>0</v>
      </c>
      <c r="J317" s="50">
        <v>0</v>
      </c>
      <c r="K317" s="50">
        <v>2999573.36</v>
      </c>
      <c r="L317" s="152">
        <f t="shared" si="0"/>
        <v>0.60155089042194765</v>
      </c>
      <c r="M317" s="50">
        <v>2999573.36</v>
      </c>
      <c r="N317" s="152">
        <f t="shared" si="1"/>
        <v>0.60155089042194765</v>
      </c>
      <c r="O317" s="50">
        <v>1986826.64</v>
      </c>
      <c r="P317" s="152">
        <f t="shared" si="2"/>
        <v>0.3984491095780523</v>
      </c>
      <c r="Q317" s="50">
        <v>1986826.64</v>
      </c>
      <c r="R317" s="257"/>
    </row>
    <row r="318" spans="1:18" hidden="1" x14ac:dyDescent="0.25">
      <c r="A318" s="49" t="s">
        <v>707</v>
      </c>
      <c r="B318" s="49" t="s">
        <v>196</v>
      </c>
      <c r="C318" s="49" t="s">
        <v>197</v>
      </c>
      <c r="D318" s="49" t="s">
        <v>69</v>
      </c>
      <c r="E318" s="50">
        <v>1012911000</v>
      </c>
      <c r="F318" s="50">
        <v>1027400893</v>
      </c>
      <c r="G318" s="50">
        <v>1027400893</v>
      </c>
      <c r="H318" s="50">
        <v>0</v>
      </c>
      <c r="I318" s="50">
        <v>65680156.229999997</v>
      </c>
      <c r="J318" s="50">
        <v>0</v>
      </c>
      <c r="K318" s="50">
        <v>917908227.13999999</v>
      </c>
      <c r="L318" s="152">
        <f t="shared" si="0"/>
        <v>0.89342751538760823</v>
      </c>
      <c r="M318" s="50">
        <v>882943615.79999995</v>
      </c>
      <c r="N318" s="152">
        <f t="shared" si="1"/>
        <v>0.85939541401586061</v>
      </c>
      <c r="O318" s="50">
        <v>43812509.630000003</v>
      </c>
      <c r="P318" s="152">
        <f t="shared" si="2"/>
        <v>4.2644025256847816E-2</v>
      </c>
      <c r="Q318" s="50">
        <v>43812509.630000003</v>
      </c>
      <c r="R318" s="257"/>
    </row>
    <row r="319" spans="1:18" hidden="1" x14ac:dyDescent="0.25">
      <c r="A319" s="49" t="s">
        <v>707</v>
      </c>
      <c r="B319" s="49" t="s">
        <v>198</v>
      </c>
      <c r="C319" s="49" t="s">
        <v>199</v>
      </c>
      <c r="D319" s="49" t="s">
        <v>69</v>
      </c>
      <c r="E319" s="50">
        <v>987000000</v>
      </c>
      <c r="F319" s="50">
        <v>1001500000</v>
      </c>
      <c r="G319" s="50">
        <v>1001500000</v>
      </c>
      <c r="H319" s="50">
        <v>0</v>
      </c>
      <c r="I319" s="50">
        <v>65680156.229999997</v>
      </c>
      <c r="J319" s="50">
        <v>0</v>
      </c>
      <c r="K319" s="50">
        <v>892008457.63999999</v>
      </c>
      <c r="L319" s="152">
        <f t="shared" si="0"/>
        <v>0.89067244896655018</v>
      </c>
      <c r="M319" s="50">
        <v>857043846.29999995</v>
      </c>
      <c r="N319" s="152">
        <f t="shared" si="1"/>
        <v>0.85576020599101343</v>
      </c>
      <c r="O319" s="50">
        <v>43811386.130000003</v>
      </c>
      <c r="P319" s="152">
        <f t="shared" si="2"/>
        <v>4.3745767478781832E-2</v>
      </c>
      <c r="Q319" s="50">
        <v>43811386.130000003</v>
      </c>
      <c r="R319" s="257"/>
    </row>
    <row r="320" spans="1:18" hidden="1" x14ac:dyDescent="0.25">
      <c r="A320" s="49" t="s">
        <v>707</v>
      </c>
      <c r="B320" s="49" t="s">
        <v>352</v>
      </c>
      <c r="C320" s="49" t="s">
        <v>353</v>
      </c>
      <c r="D320" s="49" t="s">
        <v>69</v>
      </c>
      <c r="E320" s="50">
        <v>25911000</v>
      </c>
      <c r="F320" s="50">
        <v>25900893</v>
      </c>
      <c r="G320" s="50">
        <v>25900893</v>
      </c>
      <c r="H320" s="50">
        <v>0</v>
      </c>
      <c r="I320" s="50">
        <v>0</v>
      </c>
      <c r="J320" s="50">
        <v>0</v>
      </c>
      <c r="K320" s="50">
        <v>25899769.5</v>
      </c>
      <c r="L320" s="152">
        <f t="shared" si="0"/>
        <v>0.9999566231172029</v>
      </c>
      <c r="M320" s="50">
        <v>25899769.5</v>
      </c>
      <c r="N320" s="152">
        <f t="shared" si="1"/>
        <v>0.9999566231172029</v>
      </c>
      <c r="O320" s="50">
        <v>1123.5</v>
      </c>
      <c r="P320" s="152">
        <f t="shared" si="2"/>
        <v>4.3376882797052595E-5</v>
      </c>
      <c r="Q320" s="50">
        <v>1123.5</v>
      </c>
      <c r="R320" s="257"/>
    </row>
    <row r="321" spans="1:18" hidden="1" x14ac:dyDescent="0.25">
      <c r="A321" s="49" t="s">
        <v>707</v>
      </c>
      <c r="B321" s="49" t="s">
        <v>200</v>
      </c>
      <c r="C321" s="49" t="s">
        <v>201</v>
      </c>
      <c r="D321" s="49" t="s">
        <v>69</v>
      </c>
      <c r="E321" s="50">
        <v>492133633</v>
      </c>
      <c r="F321" s="50">
        <v>532016676</v>
      </c>
      <c r="G321" s="50">
        <v>532016676</v>
      </c>
      <c r="H321" s="50">
        <v>0</v>
      </c>
      <c r="I321" s="50">
        <v>16901520.84</v>
      </c>
      <c r="J321" s="50">
        <v>0</v>
      </c>
      <c r="K321" s="50">
        <v>495277151.88999999</v>
      </c>
      <c r="L321" s="152">
        <f t="shared" si="0"/>
        <v>0.93094290880836972</v>
      </c>
      <c r="M321" s="50">
        <v>461620604.79000002</v>
      </c>
      <c r="N321" s="152">
        <f t="shared" si="1"/>
        <v>0.86768070553863619</v>
      </c>
      <c r="O321" s="50">
        <v>19838003.27</v>
      </c>
      <c r="P321" s="152">
        <f t="shared" si="2"/>
        <v>3.7288310996477107E-2</v>
      </c>
      <c r="Q321" s="50">
        <v>19838003.27</v>
      </c>
      <c r="R321" s="257"/>
    </row>
    <row r="322" spans="1:18" hidden="1" x14ac:dyDescent="0.25">
      <c r="A322" s="49" t="s">
        <v>707</v>
      </c>
      <c r="B322" s="49" t="s">
        <v>314</v>
      </c>
      <c r="C322" s="49" t="s">
        <v>315</v>
      </c>
      <c r="D322" s="49" t="s">
        <v>69</v>
      </c>
      <c r="E322" s="50">
        <v>116502163</v>
      </c>
      <c r="F322" s="50">
        <v>138638873</v>
      </c>
      <c r="G322" s="50">
        <v>138638873</v>
      </c>
      <c r="H322" s="50">
        <v>0</v>
      </c>
      <c r="I322" s="50">
        <v>1335339.69</v>
      </c>
      <c r="J322" s="50">
        <v>0</v>
      </c>
      <c r="K322" s="50">
        <v>128979332.95999999</v>
      </c>
      <c r="L322" s="152">
        <f t="shared" si="0"/>
        <v>0.93032589034390079</v>
      </c>
      <c r="M322" s="50">
        <v>120652033.06</v>
      </c>
      <c r="N322" s="152">
        <f t="shared" si="1"/>
        <v>0.87026120776385718</v>
      </c>
      <c r="O322" s="50">
        <v>8324200.3499999996</v>
      </c>
      <c r="P322" s="152">
        <f t="shared" si="2"/>
        <v>6.004232557487682E-2</v>
      </c>
      <c r="Q322" s="50">
        <v>8324200.3499999996</v>
      </c>
      <c r="R322" s="257"/>
    </row>
    <row r="323" spans="1:18" hidden="1" x14ac:dyDescent="0.25">
      <c r="A323" s="49" t="s">
        <v>707</v>
      </c>
      <c r="B323" s="49" t="s">
        <v>316</v>
      </c>
      <c r="C323" s="49" t="s">
        <v>317</v>
      </c>
      <c r="D323" s="49" t="s">
        <v>69</v>
      </c>
      <c r="E323" s="50">
        <v>100168000</v>
      </c>
      <c r="F323" s="50">
        <v>100168000</v>
      </c>
      <c r="G323" s="50">
        <v>100168000</v>
      </c>
      <c r="H323" s="50">
        <v>0</v>
      </c>
      <c r="I323" s="50">
        <v>9173543.4000000004</v>
      </c>
      <c r="J323" s="50">
        <v>0</v>
      </c>
      <c r="K323" s="50">
        <v>89180000.359999999</v>
      </c>
      <c r="L323" s="152">
        <f t="shared" si="0"/>
        <v>0.89030429238878683</v>
      </c>
      <c r="M323" s="50">
        <v>84113170.760000005</v>
      </c>
      <c r="N323" s="152">
        <f t="shared" si="1"/>
        <v>0.83972097635971577</v>
      </c>
      <c r="O323" s="50">
        <v>1814456.24</v>
      </c>
      <c r="P323" s="152">
        <f t="shared" si="2"/>
        <v>1.8114130660490377E-2</v>
      </c>
      <c r="Q323" s="50">
        <v>1814456.24</v>
      </c>
      <c r="R323" s="257"/>
    </row>
    <row r="324" spans="1:18" hidden="1" x14ac:dyDescent="0.25">
      <c r="A324" s="49" t="s">
        <v>707</v>
      </c>
      <c r="B324" s="49" t="s">
        <v>318</v>
      </c>
      <c r="C324" s="49" t="s">
        <v>319</v>
      </c>
      <c r="D324" s="49" t="s">
        <v>69</v>
      </c>
      <c r="E324" s="50">
        <v>88546837</v>
      </c>
      <c r="F324" s="50">
        <v>124611598</v>
      </c>
      <c r="G324" s="50">
        <v>124611598</v>
      </c>
      <c r="H324" s="50">
        <v>0</v>
      </c>
      <c r="I324" s="50">
        <v>0</v>
      </c>
      <c r="J324" s="50">
        <v>0</v>
      </c>
      <c r="K324" s="50">
        <v>124489230.95999999</v>
      </c>
      <c r="L324" s="152">
        <f t="shared" si="0"/>
        <v>0.99901801243251842</v>
      </c>
      <c r="M324" s="50">
        <v>106729563.36</v>
      </c>
      <c r="N324" s="152">
        <f t="shared" si="1"/>
        <v>0.85649783064334029</v>
      </c>
      <c r="O324" s="50">
        <v>122367.03999999999</v>
      </c>
      <c r="P324" s="152">
        <f t="shared" si="2"/>
        <v>9.8198756748147948E-4</v>
      </c>
      <c r="Q324" s="50">
        <v>122367.03999999999</v>
      </c>
      <c r="R324" s="257"/>
    </row>
    <row r="325" spans="1:18" hidden="1" x14ac:dyDescent="0.25">
      <c r="A325" s="49" t="s">
        <v>707</v>
      </c>
      <c r="B325" s="49" t="s">
        <v>202</v>
      </c>
      <c r="C325" s="49" t="s">
        <v>203</v>
      </c>
      <c r="D325" s="49" t="s">
        <v>69</v>
      </c>
      <c r="E325" s="50">
        <v>110456300</v>
      </c>
      <c r="F325" s="50">
        <v>105456300</v>
      </c>
      <c r="G325" s="50">
        <v>105456300</v>
      </c>
      <c r="H325" s="50">
        <v>0</v>
      </c>
      <c r="I325" s="50">
        <v>6392637.75</v>
      </c>
      <c r="J325" s="50">
        <v>0</v>
      </c>
      <c r="K325" s="50">
        <v>92692722.150000006</v>
      </c>
      <c r="L325" s="152">
        <f t="shared" si="0"/>
        <v>0.87896808583270991</v>
      </c>
      <c r="M325" s="50">
        <v>90189972.150000006</v>
      </c>
      <c r="N325" s="152">
        <f t="shared" si="1"/>
        <v>0.85523550655579617</v>
      </c>
      <c r="O325" s="50">
        <v>6370940.0999999996</v>
      </c>
      <c r="P325" s="152">
        <f t="shared" si="2"/>
        <v>6.0413082006480406E-2</v>
      </c>
      <c r="Q325" s="50">
        <v>6370940.0999999996</v>
      </c>
      <c r="R325" s="257"/>
    </row>
    <row r="326" spans="1:18" hidden="1" x14ac:dyDescent="0.25">
      <c r="A326" s="49" t="s">
        <v>707</v>
      </c>
      <c r="B326" s="49" t="s">
        <v>320</v>
      </c>
      <c r="C326" s="49" t="s">
        <v>321</v>
      </c>
      <c r="D326" s="49" t="s">
        <v>69</v>
      </c>
      <c r="E326" s="50">
        <v>2261183</v>
      </c>
      <c r="F326" s="50">
        <v>1091036</v>
      </c>
      <c r="G326" s="50">
        <v>1091036</v>
      </c>
      <c r="H326" s="50">
        <v>0</v>
      </c>
      <c r="I326" s="50">
        <v>0</v>
      </c>
      <c r="J326" s="50">
        <v>0</v>
      </c>
      <c r="K326" s="50">
        <v>1016898.3</v>
      </c>
      <c r="L326" s="152">
        <f t="shared" si="0"/>
        <v>0.93204834670899961</v>
      </c>
      <c r="M326" s="50">
        <v>1016898.3</v>
      </c>
      <c r="N326" s="152">
        <f t="shared" si="1"/>
        <v>0.93204834670899961</v>
      </c>
      <c r="O326" s="50">
        <v>74137.7</v>
      </c>
      <c r="P326" s="152">
        <f t="shared" si="2"/>
        <v>6.7951653291000474E-2</v>
      </c>
      <c r="Q326" s="50">
        <v>74137.7</v>
      </c>
      <c r="R326" s="257"/>
    </row>
    <row r="327" spans="1:18" hidden="1" x14ac:dyDescent="0.25">
      <c r="A327" s="49" t="s">
        <v>707</v>
      </c>
      <c r="B327" s="49" t="s">
        <v>204</v>
      </c>
      <c r="C327" s="49" t="s">
        <v>205</v>
      </c>
      <c r="D327" s="49" t="s">
        <v>69</v>
      </c>
      <c r="E327" s="50">
        <v>51120350</v>
      </c>
      <c r="F327" s="50">
        <v>39184922</v>
      </c>
      <c r="G327" s="50">
        <v>39184922</v>
      </c>
      <c r="H327" s="50">
        <v>0</v>
      </c>
      <c r="I327" s="50">
        <v>0</v>
      </c>
      <c r="J327" s="50">
        <v>0</v>
      </c>
      <c r="K327" s="50">
        <v>36666199.130000003</v>
      </c>
      <c r="L327" s="152">
        <f t="shared" si="0"/>
        <v>0.93572214154209632</v>
      </c>
      <c r="M327" s="50">
        <v>36666199.130000003</v>
      </c>
      <c r="N327" s="152">
        <f t="shared" si="1"/>
        <v>0.93572214154209632</v>
      </c>
      <c r="O327" s="50">
        <v>2518722.87</v>
      </c>
      <c r="P327" s="152">
        <f t="shared" si="2"/>
        <v>6.4277858457903791E-2</v>
      </c>
      <c r="Q327" s="50">
        <v>2518722.87</v>
      </c>
      <c r="R327" s="257"/>
    </row>
    <row r="328" spans="1:18" hidden="1" x14ac:dyDescent="0.25">
      <c r="A328" s="49" t="s">
        <v>707</v>
      </c>
      <c r="B328" s="49" t="s">
        <v>322</v>
      </c>
      <c r="C328" s="49" t="s">
        <v>323</v>
      </c>
      <c r="D328" s="49" t="s">
        <v>69</v>
      </c>
      <c r="E328" s="50">
        <v>23078800</v>
      </c>
      <c r="F328" s="50">
        <v>22865947</v>
      </c>
      <c r="G328" s="50">
        <v>22865947</v>
      </c>
      <c r="H328" s="50">
        <v>0</v>
      </c>
      <c r="I328" s="50">
        <v>0</v>
      </c>
      <c r="J328" s="50">
        <v>0</v>
      </c>
      <c r="K328" s="50">
        <v>22252768.030000001</v>
      </c>
      <c r="L328" s="152">
        <f t="shared" si="0"/>
        <v>0.97318374917951145</v>
      </c>
      <c r="M328" s="50">
        <v>22252768.030000001</v>
      </c>
      <c r="N328" s="152">
        <f t="shared" si="1"/>
        <v>0.97318374917951145</v>
      </c>
      <c r="O328" s="50">
        <v>613178.97</v>
      </c>
      <c r="P328" s="152">
        <f t="shared" si="2"/>
        <v>2.6816250820488649E-2</v>
      </c>
      <c r="Q328" s="50">
        <v>613178.97</v>
      </c>
      <c r="R328" s="257"/>
    </row>
    <row r="329" spans="1:18" hidden="1" x14ac:dyDescent="0.25">
      <c r="A329" s="49" t="s">
        <v>707</v>
      </c>
      <c r="B329" s="49" t="s">
        <v>206</v>
      </c>
      <c r="C329" s="49" t="s">
        <v>207</v>
      </c>
      <c r="D329" s="49" t="s">
        <v>69</v>
      </c>
      <c r="E329" s="50">
        <v>144803139</v>
      </c>
      <c r="F329" s="50">
        <v>147229775</v>
      </c>
      <c r="G329" s="50">
        <v>147229775</v>
      </c>
      <c r="H329" s="50">
        <v>0</v>
      </c>
      <c r="I329" s="50">
        <v>19732129.379999999</v>
      </c>
      <c r="J329" s="50">
        <v>0</v>
      </c>
      <c r="K329" s="50">
        <v>115946727.97</v>
      </c>
      <c r="L329" s="152">
        <f t="shared" si="0"/>
        <v>0.7875222791721308</v>
      </c>
      <c r="M329" s="50">
        <v>108258423.45999999</v>
      </c>
      <c r="N329" s="152">
        <f t="shared" si="1"/>
        <v>0.73530251241639122</v>
      </c>
      <c r="O329" s="50">
        <v>11550917.65</v>
      </c>
      <c r="P329" s="152">
        <f t="shared" si="2"/>
        <v>7.8455038391521015E-2</v>
      </c>
      <c r="Q329" s="50">
        <v>11550917.65</v>
      </c>
      <c r="R329" s="257"/>
    </row>
    <row r="330" spans="1:18" hidden="1" x14ac:dyDescent="0.25">
      <c r="A330" s="49" t="s">
        <v>707</v>
      </c>
      <c r="B330" s="49" t="s">
        <v>208</v>
      </c>
      <c r="C330" s="49" t="s">
        <v>209</v>
      </c>
      <c r="D330" s="49" t="s">
        <v>69</v>
      </c>
      <c r="E330" s="50">
        <v>17162500</v>
      </c>
      <c r="F330" s="50">
        <v>22413980</v>
      </c>
      <c r="G330" s="50">
        <v>22413980</v>
      </c>
      <c r="H330" s="50">
        <v>0</v>
      </c>
      <c r="I330" s="50">
        <v>0</v>
      </c>
      <c r="J330" s="50">
        <v>0</v>
      </c>
      <c r="K330" s="50">
        <v>16190004.48</v>
      </c>
      <c r="L330" s="152">
        <f t="shared" si="0"/>
        <v>0.72231725378536071</v>
      </c>
      <c r="M330" s="50">
        <v>16190004.48</v>
      </c>
      <c r="N330" s="152">
        <f t="shared" si="1"/>
        <v>0.72231725378536071</v>
      </c>
      <c r="O330" s="50">
        <v>6223975.5199999996</v>
      </c>
      <c r="P330" s="152">
        <f t="shared" si="2"/>
        <v>0.27768274621463923</v>
      </c>
      <c r="Q330" s="50">
        <v>6223975.5199999996</v>
      </c>
      <c r="R330" s="257"/>
    </row>
    <row r="331" spans="1:18" hidden="1" x14ac:dyDescent="0.25">
      <c r="A331" s="49" t="s">
        <v>707</v>
      </c>
      <c r="B331" s="49" t="s">
        <v>210</v>
      </c>
      <c r="C331" s="49" t="s">
        <v>211</v>
      </c>
      <c r="D331" s="49" t="s">
        <v>69</v>
      </c>
      <c r="E331" s="50">
        <v>127640639</v>
      </c>
      <c r="F331" s="50">
        <v>124815795</v>
      </c>
      <c r="G331" s="50">
        <v>124815795</v>
      </c>
      <c r="H331" s="50">
        <v>0</v>
      </c>
      <c r="I331" s="50">
        <v>19732129.379999999</v>
      </c>
      <c r="J331" s="50">
        <v>0</v>
      </c>
      <c r="K331" s="50">
        <v>99756723.489999995</v>
      </c>
      <c r="L331" s="152">
        <f t="shared" si="0"/>
        <v>0.79923156752717073</v>
      </c>
      <c r="M331" s="50">
        <v>92068418.980000004</v>
      </c>
      <c r="N331" s="152">
        <f t="shared" si="1"/>
        <v>0.73763435933729382</v>
      </c>
      <c r="O331" s="50">
        <v>5326942.13</v>
      </c>
      <c r="P331" s="152">
        <f t="shared" si="2"/>
        <v>4.2678429681115279E-2</v>
      </c>
      <c r="Q331" s="50">
        <v>5326942.13</v>
      </c>
      <c r="R331" s="257"/>
    </row>
    <row r="332" spans="1:18" hidden="1" x14ac:dyDescent="0.25">
      <c r="A332" s="49" t="s">
        <v>707</v>
      </c>
      <c r="B332" s="49" t="s">
        <v>212</v>
      </c>
      <c r="C332" s="49" t="s">
        <v>213</v>
      </c>
      <c r="D332" s="49" t="s">
        <v>69</v>
      </c>
      <c r="E332" s="50">
        <v>3269894716</v>
      </c>
      <c r="F332" s="50">
        <v>2896270670</v>
      </c>
      <c r="G332" s="50">
        <v>2896270670</v>
      </c>
      <c r="H332" s="50">
        <v>0</v>
      </c>
      <c r="I332" s="50">
        <v>84715436.480000004</v>
      </c>
      <c r="J332" s="50">
        <v>0</v>
      </c>
      <c r="K332" s="50">
        <v>2686283659.5</v>
      </c>
      <c r="L332" s="152">
        <f t="shared" si="0"/>
        <v>0.92749744950460722</v>
      </c>
      <c r="M332" s="50">
        <v>2094248694.76</v>
      </c>
      <c r="N332" s="152">
        <f t="shared" si="1"/>
        <v>0.723084591662146</v>
      </c>
      <c r="O332" s="50">
        <v>125271574.02</v>
      </c>
      <c r="P332" s="152">
        <f t="shared" si="2"/>
        <v>4.325271643896459E-2</v>
      </c>
      <c r="Q332" s="50">
        <v>125271574.02</v>
      </c>
      <c r="R332" s="257"/>
    </row>
    <row r="333" spans="1:18" hidden="1" x14ac:dyDescent="0.25">
      <c r="A333" s="49" t="s">
        <v>707</v>
      </c>
      <c r="B333" s="49" t="s">
        <v>214</v>
      </c>
      <c r="C333" s="49" t="s">
        <v>215</v>
      </c>
      <c r="D333" s="49" t="s">
        <v>69</v>
      </c>
      <c r="E333" s="50">
        <v>34070136</v>
      </c>
      <c r="F333" s="50">
        <v>14603063</v>
      </c>
      <c r="G333" s="50">
        <v>14603063</v>
      </c>
      <c r="H333" s="50">
        <v>0</v>
      </c>
      <c r="I333" s="50">
        <v>992114.9</v>
      </c>
      <c r="J333" s="50">
        <v>0</v>
      </c>
      <c r="K333" s="50">
        <v>13042579.710000001</v>
      </c>
      <c r="L333" s="152">
        <f t="shared" si="0"/>
        <v>0.89314000151885953</v>
      </c>
      <c r="M333" s="50">
        <v>13042579.710000001</v>
      </c>
      <c r="N333" s="152">
        <f t="shared" si="1"/>
        <v>0.89314000151885953</v>
      </c>
      <c r="O333" s="50">
        <v>568368.39</v>
      </c>
      <c r="P333" s="152">
        <f t="shared" si="2"/>
        <v>3.8921176331294334E-2</v>
      </c>
      <c r="Q333" s="50">
        <v>568368.39</v>
      </c>
      <c r="R333" s="257"/>
    </row>
    <row r="334" spans="1:18" hidden="1" x14ac:dyDescent="0.25">
      <c r="A334" s="49" t="s">
        <v>707</v>
      </c>
      <c r="B334" s="49" t="s">
        <v>216</v>
      </c>
      <c r="C334" s="49" t="s">
        <v>217</v>
      </c>
      <c r="D334" s="49" t="s">
        <v>69</v>
      </c>
      <c r="E334" s="50">
        <v>26479307</v>
      </c>
      <c r="F334" s="50">
        <v>26479307</v>
      </c>
      <c r="G334" s="50">
        <v>26479307</v>
      </c>
      <c r="H334" s="50">
        <v>0</v>
      </c>
      <c r="I334" s="50">
        <v>399999.95</v>
      </c>
      <c r="J334" s="50">
        <v>0</v>
      </c>
      <c r="K334" s="50">
        <v>18983516.399999999</v>
      </c>
      <c r="L334" s="152">
        <f t="shared" si="0"/>
        <v>0.7169189284296601</v>
      </c>
      <c r="M334" s="50">
        <v>18167293.219999999</v>
      </c>
      <c r="N334" s="152">
        <f t="shared" si="1"/>
        <v>0.68609398350190953</v>
      </c>
      <c r="O334" s="50">
        <v>7095790.6500000004</v>
      </c>
      <c r="P334" s="152">
        <f t="shared" si="2"/>
        <v>0.26797493793927463</v>
      </c>
      <c r="Q334" s="50">
        <v>7095790.6500000004</v>
      </c>
      <c r="R334" s="257"/>
    </row>
    <row r="335" spans="1:18" hidden="1" x14ac:dyDescent="0.25">
      <c r="A335" s="49" t="s">
        <v>707</v>
      </c>
      <c r="B335" s="49" t="s">
        <v>218</v>
      </c>
      <c r="C335" s="49" t="s">
        <v>219</v>
      </c>
      <c r="D335" s="49" t="s">
        <v>69</v>
      </c>
      <c r="E335" s="50">
        <v>140601000</v>
      </c>
      <c r="F335" s="50">
        <v>81947267</v>
      </c>
      <c r="G335" s="50">
        <v>81947267</v>
      </c>
      <c r="H335" s="50">
        <v>0</v>
      </c>
      <c r="I335" s="50">
        <v>0</v>
      </c>
      <c r="J335" s="50">
        <v>0</v>
      </c>
      <c r="K335" s="50">
        <v>58483260.600000001</v>
      </c>
      <c r="L335" s="152">
        <f t="shared" si="0"/>
        <v>0.71366944549840816</v>
      </c>
      <c r="M335" s="50">
        <v>58483260.600000001</v>
      </c>
      <c r="N335" s="152">
        <f t="shared" si="1"/>
        <v>0.71366944549840816</v>
      </c>
      <c r="O335" s="50">
        <v>23464006.399999999</v>
      </c>
      <c r="P335" s="152">
        <f t="shared" si="2"/>
        <v>0.28633055450159184</v>
      </c>
      <c r="Q335" s="50">
        <v>23464006.399999999</v>
      </c>
      <c r="R335" s="257"/>
    </row>
    <row r="336" spans="1:18" hidden="1" x14ac:dyDescent="0.25">
      <c r="A336" s="49" t="s">
        <v>707</v>
      </c>
      <c r="B336" s="49" t="s">
        <v>220</v>
      </c>
      <c r="C336" s="49" t="s">
        <v>221</v>
      </c>
      <c r="D336" s="49" t="s">
        <v>69</v>
      </c>
      <c r="E336" s="50">
        <v>1260371675</v>
      </c>
      <c r="F336" s="50">
        <v>1238685978</v>
      </c>
      <c r="G336" s="50">
        <v>1238685978</v>
      </c>
      <c r="H336" s="50">
        <v>0</v>
      </c>
      <c r="I336" s="50">
        <v>75492456.739999995</v>
      </c>
      <c r="J336" s="50">
        <v>0</v>
      </c>
      <c r="K336" s="50">
        <v>1107228365.5</v>
      </c>
      <c r="L336" s="152">
        <f t="shared" si="0"/>
        <v>0.89387333445700801</v>
      </c>
      <c r="M336" s="50">
        <v>620084792.25999999</v>
      </c>
      <c r="N336" s="152">
        <f t="shared" si="1"/>
        <v>0.5005988630477578</v>
      </c>
      <c r="O336" s="50">
        <v>55965155.759999998</v>
      </c>
      <c r="P336" s="152">
        <f t="shared" si="2"/>
        <v>4.5181068288479488E-2</v>
      </c>
      <c r="Q336" s="50">
        <v>55965155.759999998</v>
      </c>
      <c r="R336" s="257"/>
    </row>
    <row r="337" spans="1:18" hidden="1" x14ac:dyDescent="0.25">
      <c r="A337" s="49" t="s">
        <v>707</v>
      </c>
      <c r="B337" s="49" t="s">
        <v>222</v>
      </c>
      <c r="C337" s="49" t="s">
        <v>223</v>
      </c>
      <c r="D337" s="49" t="s">
        <v>69</v>
      </c>
      <c r="E337" s="50">
        <v>291010979</v>
      </c>
      <c r="F337" s="50">
        <v>357741122</v>
      </c>
      <c r="G337" s="50">
        <v>357741122</v>
      </c>
      <c r="H337" s="50">
        <v>0</v>
      </c>
      <c r="I337" s="50">
        <v>1316018.6599999999</v>
      </c>
      <c r="J337" s="50">
        <v>0</v>
      </c>
      <c r="K337" s="50">
        <v>356422722.57999998</v>
      </c>
      <c r="L337" s="152">
        <f t="shared" si="0"/>
        <v>0.99631465509855466</v>
      </c>
      <c r="M337" s="50">
        <v>290112886</v>
      </c>
      <c r="N337" s="152">
        <f t="shared" si="1"/>
        <v>0.81095761196835514</v>
      </c>
      <c r="O337" s="50">
        <v>2380.7600000000002</v>
      </c>
      <c r="P337" s="152">
        <f t="shared" si="2"/>
        <v>6.6549799662114332E-6</v>
      </c>
      <c r="Q337" s="50">
        <v>2380.7600000000002</v>
      </c>
      <c r="R337" s="257"/>
    </row>
    <row r="338" spans="1:18" hidden="1" x14ac:dyDescent="0.25">
      <c r="A338" s="49" t="s">
        <v>707</v>
      </c>
      <c r="B338" s="49" t="s">
        <v>224</v>
      </c>
      <c r="C338" s="49" t="s">
        <v>225</v>
      </c>
      <c r="D338" s="49" t="s">
        <v>69</v>
      </c>
      <c r="E338" s="50">
        <v>1243089320</v>
      </c>
      <c r="F338" s="50">
        <v>887095368</v>
      </c>
      <c r="G338" s="50">
        <v>887095368</v>
      </c>
      <c r="H338" s="50">
        <v>0</v>
      </c>
      <c r="I338" s="50">
        <v>0</v>
      </c>
      <c r="J338" s="50">
        <v>0</v>
      </c>
      <c r="K338" s="50">
        <v>855400304.54999995</v>
      </c>
      <c r="L338" s="152">
        <f t="shared" si="0"/>
        <v>0.96427096274726565</v>
      </c>
      <c r="M338" s="50">
        <v>855400304.54999995</v>
      </c>
      <c r="N338" s="152">
        <f t="shared" si="1"/>
        <v>0.96427096274726565</v>
      </c>
      <c r="O338" s="50">
        <v>31695063.449999999</v>
      </c>
      <c r="P338" s="152">
        <f t="shared" si="2"/>
        <v>3.5729037252734248E-2</v>
      </c>
      <c r="Q338" s="50">
        <v>31695063.449999999</v>
      </c>
      <c r="R338" s="257"/>
    </row>
    <row r="339" spans="1:18" hidden="1" x14ac:dyDescent="0.25">
      <c r="A339" s="49" t="s">
        <v>707</v>
      </c>
      <c r="B339" s="49" t="s">
        <v>226</v>
      </c>
      <c r="C339" s="49" t="s">
        <v>227</v>
      </c>
      <c r="D339" s="49" t="s">
        <v>69</v>
      </c>
      <c r="E339" s="50">
        <v>90632447</v>
      </c>
      <c r="F339" s="50">
        <v>106078713</v>
      </c>
      <c r="G339" s="50">
        <v>106078713</v>
      </c>
      <c r="H339" s="50">
        <v>0</v>
      </c>
      <c r="I339" s="50">
        <v>6514846.2300000004</v>
      </c>
      <c r="J339" s="50">
        <v>0</v>
      </c>
      <c r="K339" s="50">
        <v>99489930.629999995</v>
      </c>
      <c r="L339" s="152">
        <f t="shared" si="0"/>
        <v>0.93788779875185702</v>
      </c>
      <c r="M339" s="50">
        <v>90099658.560000002</v>
      </c>
      <c r="N339" s="152">
        <f t="shared" si="1"/>
        <v>0.84936606046493046</v>
      </c>
      <c r="O339" s="50">
        <v>73936.14</v>
      </c>
      <c r="P339" s="152">
        <f t="shared" si="2"/>
        <v>6.9699318467410134E-4</v>
      </c>
      <c r="Q339" s="50">
        <v>73936.14</v>
      </c>
      <c r="R339" s="257"/>
    </row>
    <row r="340" spans="1:18" hidden="1" x14ac:dyDescent="0.25">
      <c r="A340" s="49" t="s">
        <v>707</v>
      </c>
      <c r="B340" s="49" t="s">
        <v>228</v>
      </c>
      <c r="C340" s="49" t="s">
        <v>229</v>
      </c>
      <c r="D340" s="49" t="s">
        <v>69</v>
      </c>
      <c r="E340" s="50">
        <v>183639852</v>
      </c>
      <c r="F340" s="50">
        <v>183639852</v>
      </c>
      <c r="G340" s="50">
        <v>183639852</v>
      </c>
      <c r="H340" s="50">
        <v>0</v>
      </c>
      <c r="I340" s="50">
        <v>0</v>
      </c>
      <c r="J340" s="50">
        <v>0</v>
      </c>
      <c r="K340" s="50">
        <v>177232979.53</v>
      </c>
      <c r="L340" s="152">
        <f t="shared" si="0"/>
        <v>0.96511175324841803</v>
      </c>
      <c r="M340" s="50">
        <v>148857919.86000001</v>
      </c>
      <c r="N340" s="152">
        <f t="shared" si="1"/>
        <v>0.81059703674777528</v>
      </c>
      <c r="O340" s="50">
        <v>6406872.4699999997</v>
      </c>
      <c r="P340" s="152">
        <f t="shared" si="2"/>
        <v>3.4888246751582003E-2</v>
      </c>
      <c r="Q340" s="50">
        <v>6406872.4699999997</v>
      </c>
      <c r="R340" s="257"/>
    </row>
    <row r="341" spans="1:18" hidden="1" x14ac:dyDescent="0.25">
      <c r="A341" s="49" t="s">
        <v>707</v>
      </c>
      <c r="B341" s="49" t="s">
        <v>248</v>
      </c>
      <c r="C341" s="49" t="s">
        <v>249</v>
      </c>
      <c r="D341" s="49" t="s">
        <v>69</v>
      </c>
      <c r="E341" s="50">
        <v>13160774264</v>
      </c>
      <c r="F341" s="50">
        <v>13151348647</v>
      </c>
      <c r="G341" s="50">
        <v>13151348647</v>
      </c>
      <c r="H341" s="50">
        <v>0</v>
      </c>
      <c r="I341" s="50">
        <v>200077995.53999999</v>
      </c>
      <c r="J341" s="50">
        <v>0</v>
      </c>
      <c r="K341" s="50">
        <v>12226635549.41</v>
      </c>
      <c r="L341" s="152">
        <f t="shared" si="0"/>
        <v>0.92968682357904486</v>
      </c>
      <c r="M341" s="50">
        <v>12226635549.41</v>
      </c>
      <c r="N341" s="152">
        <f t="shared" si="1"/>
        <v>0.92968682357904486</v>
      </c>
      <c r="O341" s="50">
        <v>724635102.04999995</v>
      </c>
      <c r="P341" s="152">
        <f t="shared" si="2"/>
        <v>5.5099680002423095E-2</v>
      </c>
      <c r="Q341" s="50">
        <v>724635102.04999995</v>
      </c>
      <c r="R341" s="257"/>
    </row>
    <row r="342" spans="1:18" hidden="1" x14ac:dyDescent="0.25">
      <c r="A342" s="49" t="s">
        <v>707</v>
      </c>
      <c r="B342" s="49" t="s">
        <v>250</v>
      </c>
      <c r="C342" s="49" t="s">
        <v>251</v>
      </c>
      <c r="D342" s="49" t="s">
        <v>69</v>
      </c>
      <c r="E342" s="50">
        <v>11073271142</v>
      </c>
      <c r="F342" s="50">
        <v>11063845525</v>
      </c>
      <c r="G342" s="50">
        <v>11063845525</v>
      </c>
      <c r="H342" s="50">
        <v>0</v>
      </c>
      <c r="I342" s="50">
        <v>0</v>
      </c>
      <c r="J342" s="50">
        <v>0</v>
      </c>
      <c r="K342" s="50">
        <v>10649254028.07</v>
      </c>
      <c r="L342" s="152">
        <f t="shared" si="0"/>
        <v>0.96252736031127839</v>
      </c>
      <c r="M342" s="50">
        <v>10649254028.07</v>
      </c>
      <c r="N342" s="152">
        <f t="shared" si="1"/>
        <v>0.96252736031127839</v>
      </c>
      <c r="O342" s="50">
        <v>414591496.93000001</v>
      </c>
      <c r="P342" s="152">
        <f t="shared" si="2"/>
        <v>3.747263968872161E-2</v>
      </c>
      <c r="Q342" s="50">
        <v>414591496.93000001</v>
      </c>
      <c r="R342" s="257"/>
    </row>
    <row r="343" spans="1:18" hidden="1" x14ac:dyDescent="0.25">
      <c r="A343" s="49" t="s">
        <v>707</v>
      </c>
      <c r="B343" s="49" t="s">
        <v>621</v>
      </c>
      <c r="C343" s="49" t="s">
        <v>708</v>
      </c>
      <c r="D343" s="49" t="s">
        <v>69</v>
      </c>
      <c r="E343" s="50">
        <v>44000000</v>
      </c>
      <c r="F343" s="50">
        <v>44000000</v>
      </c>
      <c r="G343" s="50">
        <v>44000000</v>
      </c>
      <c r="H343" s="50">
        <v>0</v>
      </c>
      <c r="I343" s="50">
        <v>0</v>
      </c>
      <c r="J343" s="50">
        <v>0</v>
      </c>
      <c r="K343" s="50">
        <v>25000000</v>
      </c>
      <c r="L343" s="152">
        <f t="shared" si="0"/>
        <v>0.56818181818181823</v>
      </c>
      <c r="M343" s="50">
        <v>25000000</v>
      </c>
      <c r="N343" s="152">
        <f t="shared" si="1"/>
        <v>0.56818181818181823</v>
      </c>
      <c r="O343" s="50">
        <v>19000000</v>
      </c>
      <c r="P343" s="152">
        <f t="shared" si="2"/>
        <v>0.43181818181818182</v>
      </c>
      <c r="Q343" s="50">
        <v>19000000</v>
      </c>
      <c r="R343" s="257"/>
    </row>
    <row r="344" spans="1:18" hidden="1" x14ac:dyDescent="0.25">
      <c r="A344" s="49" t="s">
        <v>707</v>
      </c>
      <c r="B344" s="49" t="s">
        <v>629</v>
      </c>
      <c r="C344" s="49" t="s">
        <v>702</v>
      </c>
      <c r="D344" s="49" t="s">
        <v>69</v>
      </c>
      <c r="E344" s="50">
        <v>540115935</v>
      </c>
      <c r="F344" s="50">
        <v>532109838</v>
      </c>
      <c r="G344" s="50">
        <v>532109838</v>
      </c>
      <c r="H344" s="50">
        <v>0</v>
      </c>
      <c r="I344" s="50">
        <v>0</v>
      </c>
      <c r="J344" s="50">
        <v>0</v>
      </c>
      <c r="K344" s="50">
        <v>509647780</v>
      </c>
      <c r="L344" s="152">
        <f t="shared" si="0"/>
        <v>0.95778680190460974</v>
      </c>
      <c r="M344" s="50">
        <v>509647780</v>
      </c>
      <c r="N344" s="152">
        <f t="shared" si="1"/>
        <v>0.95778680190460974</v>
      </c>
      <c r="O344" s="50">
        <v>22462058</v>
      </c>
      <c r="P344" s="152">
        <f t="shared" si="2"/>
        <v>4.2213198095390224E-2</v>
      </c>
      <c r="Q344" s="50">
        <v>22462058</v>
      </c>
      <c r="R344" s="257"/>
    </row>
    <row r="345" spans="1:18" hidden="1" x14ac:dyDescent="0.25">
      <c r="A345" s="49" t="s">
        <v>707</v>
      </c>
      <c r="B345" s="49" t="s">
        <v>644</v>
      </c>
      <c r="C345" s="49" t="s">
        <v>703</v>
      </c>
      <c r="D345" s="49" t="s">
        <v>69</v>
      </c>
      <c r="E345" s="50">
        <v>95765207</v>
      </c>
      <c r="F345" s="50">
        <v>94345687</v>
      </c>
      <c r="G345" s="50">
        <v>94345687</v>
      </c>
      <c r="H345" s="50">
        <v>0</v>
      </c>
      <c r="I345" s="50">
        <v>0</v>
      </c>
      <c r="J345" s="50">
        <v>0</v>
      </c>
      <c r="K345" s="50">
        <v>92372387</v>
      </c>
      <c r="L345" s="152">
        <f t="shared" si="0"/>
        <v>0.97908436450306413</v>
      </c>
      <c r="M345" s="50">
        <v>92372387</v>
      </c>
      <c r="N345" s="152">
        <f t="shared" si="1"/>
        <v>0.97908436450306413</v>
      </c>
      <c r="O345" s="50">
        <v>1973300</v>
      </c>
      <c r="P345" s="152">
        <f t="shared" si="2"/>
        <v>2.0915635496935859E-2</v>
      </c>
      <c r="Q345" s="50">
        <v>1973300</v>
      </c>
      <c r="R345" s="257"/>
    </row>
    <row r="346" spans="1:18" hidden="1" x14ac:dyDescent="0.25">
      <c r="A346" s="49" t="s">
        <v>707</v>
      </c>
      <c r="B346" s="49" t="s">
        <v>655</v>
      </c>
      <c r="C346" s="49" t="s">
        <v>709</v>
      </c>
      <c r="D346" s="49" t="s">
        <v>69</v>
      </c>
      <c r="E346" s="50">
        <v>10393390000</v>
      </c>
      <c r="F346" s="50">
        <v>10393390000</v>
      </c>
      <c r="G346" s="50">
        <v>10393390000</v>
      </c>
      <c r="H346" s="50">
        <v>0</v>
      </c>
      <c r="I346" s="50">
        <v>0</v>
      </c>
      <c r="J346" s="50">
        <v>0</v>
      </c>
      <c r="K346" s="50">
        <v>10022233861.07</v>
      </c>
      <c r="L346" s="152">
        <f t="shared" si="0"/>
        <v>0.96428921276599833</v>
      </c>
      <c r="M346" s="50">
        <v>10022233861.07</v>
      </c>
      <c r="N346" s="152">
        <f t="shared" si="1"/>
        <v>0.96428921276599833</v>
      </c>
      <c r="O346" s="50">
        <v>371156138.93000001</v>
      </c>
      <c r="P346" s="152">
        <f t="shared" si="2"/>
        <v>3.5710787234001611E-2</v>
      </c>
      <c r="Q346" s="50">
        <v>371156138.93000001</v>
      </c>
      <c r="R346" s="257"/>
    </row>
    <row r="347" spans="1:18" hidden="1" x14ac:dyDescent="0.25">
      <c r="A347" s="49" t="s">
        <v>707</v>
      </c>
      <c r="B347" s="49" t="s">
        <v>366</v>
      </c>
      <c r="C347" s="49" t="s">
        <v>367</v>
      </c>
      <c r="D347" s="49" t="s">
        <v>69</v>
      </c>
      <c r="E347" s="50">
        <v>666000000</v>
      </c>
      <c r="F347" s="50">
        <v>666000000</v>
      </c>
      <c r="G347" s="50">
        <v>666000000</v>
      </c>
      <c r="H347" s="50">
        <v>0</v>
      </c>
      <c r="I347" s="50">
        <v>49950000</v>
      </c>
      <c r="J347" s="50">
        <v>0</v>
      </c>
      <c r="K347" s="50">
        <v>599400000</v>
      </c>
      <c r="L347" s="152">
        <f t="shared" si="0"/>
        <v>0.9</v>
      </c>
      <c r="M347" s="50">
        <v>599400000</v>
      </c>
      <c r="N347" s="152">
        <f t="shared" si="1"/>
        <v>0.9</v>
      </c>
      <c r="O347" s="50">
        <v>16650000</v>
      </c>
      <c r="P347" s="152">
        <f t="shared" si="2"/>
        <v>2.5000000000000001E-2</v>
      </c>
      <c r="Q347" s="50">
        <v>16650000</v>
      </c>
      <c r="R347" s="257"/>
    </row>
    <row r="348" spans="1:18" hidden="1" x14ac:dyDescent="0.25">
      <c r="A348" s="49" t="s">
        <v>707</v>
      </c>
      <c r="B348" s="49" t="s">
        <v>368</v>
      </c>
      <c r="C348" s="49" t="s">
        <v>369</v>
      </c>
      <c r="D348" s="49" t="s">
        <v>69</v>
      </c>
      <c r="E348" s="50">
        <v>666000000</v>
      </c>
      <c r="F348" s="50">
        <v>666000000</v>
      </c>
      <c r="G348" s="50">
        <v>666000000</v>
      </c>
      <c r="H348" s="50">
        <v>0</v>
      </c>
      <c r="I348" s="50">
        <v>49950000</v>
      </c>
      <c r="J348" s="50">
        <v>0</v>
      </c>
      <c r="K348" s="50">
        <v>599400000</v>
      </c>
      <c r="L348" s="152">
        <f t="shared" si="0"/>
        <v>0.9</v>
      </c>
      <c r="M348" s="50">
        <v>599400000</v>
      </c>
      <c r="N348" s="152">
        <f t="shared" si="1"/>
        <v>0.9</v>
      </c>
      <c r="O348" s="50">
        <v>16650000</v>
      </c>
      <c r="P348" s="152">
        <f t="shared" si="2"/>
        <v>2.5000000000000001E-2</v>
      </c>
      <c r="Q348" s="50">
        <v>16650000</v>
      </c>
      <c r="R348" s="257"/>
    </row>
    <row r="349" spans="1:18" hidden="1" x14ac:dyDescent="0.25">
      <c r="A349" s="49" t="s">
        <v>707</v>
      </c>
      <c r="B349" s="49" t="s">
        <v>260</v>
      </c>
      <c r="C349" s="49" t="s">
        <v>261</v>
      </c>
      <c r="D349" s="49" t="s">
        <v>69</v>
      </c>
      <c r="E349" s="50">
        <v>1271503122</v>
      </c>
      <c r="F349" s="50">
        <v>1271503122</v>
      </c>
      <c r="G349" s="50">
        <v>1271503122</v>
      </c>
      <c r="H349" s="50">
        <v>0</v>
      </c>
      <c r="I349" s="50">
        <v>150127995.53999999</v>
      </c>
      <c r="J349" s="50">
        <v>0</v>
      </c>
      <c r="K349" s="50">
        <v>954051041.12</v>
      </c>
      <c r="L349" s="152">
        <f t="shared" si="0"/>
        <v>0.75033322735325536</v>
      </c>
      <c r="M349" s="50">
        <v>954051041.12</v>
      </c>
      <c r="N349" s="152">
        <f t="shared" si="1"/>
        <v>0.75033322735325536</v>
      </c>
      <c r="O349" s="50">
        <v>167324085.34</v>
      </c>
      <c r="P349" s="152">
        <f t="shared" si="2"/>
        <v>0.13159549704982951</v>
      </c>
      <c r="Q349" s="50">
        <v>167324085.34</v>
      </c>
      <c r="R349" s="257"/>
    </row>
    <row r="350" spans="1:18" hidden="1" x14ac:dyDescent="0.25">
      <c r="A350" s="49" t="s">
        <v>707</v>
      </c>
      <c r="B350" s="49" t="s">
        <v>262</v>
      </c>
      <c r="C350" s="49" t="s">
        <v>263</v>
      </c>
      <c r="D350" s="49" t="s">
        <v>69</v>
      </c>
      <c r="E350" s="50">
        <v>1000003122</v>
      </c>
      <c r="F350" s="50">
        <v>1000003122</v>
      </c>
      <c r="G350" s="50">
        <v>1000003122</v>
      </c>
      <c r="H350" s="50">
        <v>0</v>
      </c>
      <c r="I350" s="50">
        <v>150127995.53999999</v>
      </c>
      <c r="J350" s="50">
        <v>0</v>
      </c>
      <c r="K350" s="50">
        <v>794874892.25999999</v>
      </c>
      <c r="L350" s="152">
        <f t="shared" si="0"/>
        <v>0.79487241066833392</v>
      </c>
      <c r="M350" s="50">
        <v>794874892.25999999</v>
      </c>
      <c r="N350" s="152">
        <f t="shared" si="1"/>
        <v>0.79487241066833392</v>
      </c>
      <c r="O350" s="50">
        <v>55000234.200000003</v>
      </c>
      <c r="P350" s="152">
        <f t="shared" si="2"/>
        <v>5.5000062489804907E-2</v>
      </c>
      <c r="Q350" s="50">
        <v>55000234.200000003</v>
      </c>
      <c r="R350" s="257"/>
    </row>
    <row r="351" spans="1:18" hidden="1" x14ac:dyDescent="0.25">
      <c r="A351" s="49" t="s">
        <v>707</v>
      </c>
      <c r="B351" s="49" t="s">
        <v>264</v>
      </c>
      <c r="C351" s="49" t="s">
        <v>265</v>
      </c>
      <c r="D351" s="49" t="s">
        <v>69</v>
      </c>
      <c r="E351" s="50">
        <v>271500000</v>
      </c>
      <c r="F351" s="50">
        <v>271500000</v>
      </c>
      <c r="G351" s="50">
        <v>271500000</v>
      </c>
      <c r="H351" s="50">
        <v>0</v>
      </c>
      <c r="I351" s="50">
        <v>0</v>
      </c>
      <c r="J351" s="50">
        <v>0</v>
      </c>
      <c r="K351" s="50">
        <v>159176148.86000001</v>
      </c>
      <c r="L351" s="152">
        <f t="shared" si="0"/>
        <v>0.58628415786372012</v>
      </c>
      <c r="M351" s="50">
        <v>159176148.86000001</v>
      </c>
      <c r="N351" s="152">
        <f t="shared" si="1"/>
        <v>0.58628415786372012</v>
      </c>
      <c r="O351" s="50">
        <v>112323851.14</v>
      </c>
      <c r="P351" s="152">
        <f t="shared" si="2"/>
        <v>0.41371584213627993</v>
      </c>
      <c r="Q351" s="50">
        <v>112323851.14</v>
      </c>
      <c r="R351" s="257"/>
    </row>
    <row r="352" spans="1:18" hidden="1" x14ac:dyDescent="0.25">
      <c r="A352" s="49" t="s">
        <v>707</v>
      </c>
      <c r="B352" s="49" t="s">
        <v>286</v>
      </c>
      <c r="C352" s="49" t="s">
        <v>287</v>
      </c>
      <c r="D352" s="49" t="s">
        <v>69</v>
      </c>
      <c r="E352" s="50">
        <v>150000000</v>
      </c>
      <c r="F352" s="50">
        <v>150000000</v>
      </c>
      <c r="G352" s="50">
        <v>150000000</v>
      </c>
      <c r="H352" s="50">
        <v>0</v>
      </c>
      <c r="I352" s="50">
        <v>0</v>
      </c>
      <c r="J352" s="50">
        <v>0</v>
      </c>
      <c r="K352" s="50">
        <v>23930480.219999999</v>
      </c>
      <c r="L352" s="152">
        <f t="shared" si="0"/>
        <v>0.15953653479999999</v>
      </c>
      <c r="M352" s="50">
        <v>23930480.219999999</v>
      </c>
      <c r="N352" s="152">
        <f t="shared" si="1"/>
        <v>0.15953653479999999</v>
      </c>
      <c r="O352" s="50">
        <v>126069519.78</v>
      </c>
      <c r="P352" s="152">
        <f t="shared" si="2"/>
        <v>0.84046346520000004</v>
      </c>
      <c r="Q352" s="50">
        <v>126069519.78</v>
      </c>
      <c r="R352" s="257"/>
    </row>
    <row r="353" spans="1:18" hidden="1" x14ac:dyDescent="0.25">
      <c r="A353" s="49" t="s">
        <v>707</v>
      </c>
      <c r="B353" s="49" t="s">
        <v>288</v>
      </c>
      <c r="C353" s="49" t="s">
        <v>289</v>
      </c>
      <c r="D353" s="49" t="s">
        <v>69</v>
      </c>
      <c r="E353" s="50">
        <v>100000000</v>
      </c>
      <c r="F353" s="50">
        <v>100000000</v>
      </c>
      <c r="G353" s="50">
        <v>100000000</v>
      </c>
      <c r="H353" s="50">
        <v>0</v>
      </c>
      <c r="I353" s="50">
        <v>0</v>
      </c>
      <c r="J353" s="50">
        <v>0</v>
      </c>
      <c r="K353" s="50">
        <v>3263845.68</v>
      </c>
      <c r="L353" s="152">
        <f t="shared" si="0"/>
        <v>3.26384568E-2</v>
      </c>
      <c r="M353" s="50">
        <v>3263845.68</v>
      </c>
      <c r="N353" s="152">
        <f t="shared" si="1"/>
        <v>3.26384568E-2</v>
      </c>
      <c r="O353" s="50">
        <v>96736154.319999993</v>
      </c>
      <c r="P353" s="152">
        <f t="shared" si="2"/>
        <v>0.9673615431999999</v>
      </c>
      <c r="Q353" s="50">
        <v>96736154.319999993</v>
      </c>
      <c r="R353" s="257"/>
    </row>
    <row r="354" spans="1:18" hidden="1" x14ac:dyDescent="0.25">
      <c r="A354" s="49" t="s">
        <v>707</v>
      </c>
      <c r="B354" s="49" t="s">
        <v>370</v>
      </c>
      <c r="C354" s="49" t="s">
        <v>371</v>
      </c>
      <c r="D354" s="49" t="s">
        <v>69</v>
      </c>
      <c r="E354" s="50">
        <v>50000000</v>
      </c>
      <c r="F354" s="50">
        <v>50000000</v>
      </c>
      <c r="G354" s="50">
        <v>50000000</v>
      </c>
      <c r="H354" s="50">
        <v>0</v>
      </c>
      <c r="I354" s="50">
        <v>0</v>
      </c>
      <c r="J354" s="50">
        <v>0</v>
      </c>
      <c r="K354" s="50">
        <v>20666634.539999999</v>
      </c>
      <c r="L354" s="152">
        <f t="shared" si="0"/>
        <v>0.41333269079999996</v>
      </c>
      <c r="M354" s="50">
        <v>20666634.539999999</v>
      </c>
      <c r="N354" s="152">
        <f t="shared" si="1"/>
        <v>0.41333269079999996</v>
      </c>
      <c r="O354" s="50">
        <v>29333365.460000001</v>
      </c>
      <c r="P354" s="152">
        <f t="shared" si="2"/>
        <v>0.58666730919999999</v>
      </c>
      <c r="Q354" s="50">
        <v>29333365.460000001</v>
      </c>
      <c r="R354" s="257"/>
    </row>
    <row r="355" spans="1:18" hidden="1" x14ac:dyDescent="0.25">
      <c r="A355" s="49" t="s">
        <v>707</v>
      </c>
      <c r="B355" s="49" t="s">
        <v>230</v>
      </c>
      <c r="C355" s="49" t="s">
        <v>231</v>
      </c>
      <c r="D355" s="49" t="s">
        <v>85</v>
      </c>
      <c r="E355" s="50">
        <v>2053989952</v>
      </c>
      <c r="F355" s="50">
        <v>2052989131</v>
      </c>
      <c r="G355" s="50">
        <v>2052989131</v>
      </c>
      <c r="H355" s="50">
        <v>0</v>
      </c>
      <c r="I355" s="50">
        <v>112354640.45</v>
      </c>
      <c r="J355" s="50">
        <v>0</v>
      </c>
      <c r="K355" s="50">
        <v>1360318349.21</v>
      </c>
      <c r="L355" s="152">
        <f t="shared" si="0"/>
        <v>0.66260377547512694</v>
      </c>
      <c r="M355" s="50">
        <v>1278149184.8</v>
      </c>
      <c r="N355" s="152">
        <f t="shared" si="1"/>
        <v>0.62257961598531231</v>
      </c>
      <c r="O355" s="50">
        <v>580316141.34000003</v>
      </c>
      <c r="P355" s="152">
        <f t="shared" si="2"/>
        <v>0.28266888147495023</v>
      </c>
      <c r="Q355" s="50">
        <v>580316141.34000003</v>
      </c>
      <c r="R355" s="257"/>
    </row>
    <row r="356" spans="1:18" hidden="1" x14ac:dyDescent="0.25">
      <c r="A356" s="49" t="s">
        <v>707</v>
      </c>
      <c r="B356" s="49" t="s">
        <v>232</v>
      </c>
      <c r="C356" s="49" t="s">
        <v>233</v>
      </c>
      <c r="D356" s="49" t="s">
        <v>85</v>
      </c>
      <c r="E356" s="50">
        <v>1511257014</v>
      </c>
      <c r="F356" s="50">
        <v>1463751731</v>
      </c>
      <c r="G356" s="50">
        <v>1463751731</v>
      </c>
      <c r="H356" s="50">
        <v>0</v>
      </c>
      <c r="I356" s="50">
        <v>34632915.990000002</v>
      </c>
      <c r="J356" s="50">
        <v>0</v>
      </c>
      <c r="K356" s="50">
        <v>1148570212.5899999</v>
      </c>
      <c r="L356" s="152">
        <f t="shared" si="0"/>
        <v>0.78467556229998403</v>
      </c>
      <c r="M356" s="50">
        <v>1103211414.4300001</v>
      </c>
      <c r="N356" s="152">
        <f t="shared" si="1"/>
        <v>0.75368752163750652</v>
      </c>
      <c r="O356" s="50">
        <v>280548602.42000002</v>
      </c>
      <c r="P356" s="152">
        <f t="shared" si="2"/>
        <v>0.19166406192963881</v>
      </c>
      <c r="Q356" s="50">
        <v>280548602.42000002</v>
      </c>
      <c r="R356" s="257"/>
    </row>
    <row r="357" spans="1:18" hidden="1" x14ac:dyDescent="0.25">
      <c r="A357" s="49" t="s">
        <v>707</v>
      </c>
      <c r="B357" s="49" t="s">
        <v>234</v>
      </c>
      <c r="C357" s="49" t="s">
        <v>235</v>
      </c>
      <c r="D357" s="49" t="s">
        <v>85</v>
      </c>
      <c r="E357" s="50">
        <v>46000000</v>
      </c>
      <c r="F357" s="50">
        <v>46000000</v>
      </c>
      <c r="G357" s="50">
        <v>46000000</v>
      </c>
      <c r="H357" s="50">
        <v>0</v>
      </c>
      <c r="I357" s="50">
        <v>0</v>
      </c>
      <c r="J357" s="50">
        <v>0</v>
      </c>
      <c r="K357" s="50">
        <v>36482844.340000004</v>
      </c>
      <c r="L357" s="152">
        <f t="shared" si="0"/>
        <v>0.79310531173913046</v>
      </c>
      <c r="M357" s="50">
        <v>36482844.340000004</v>
      </c>
      <c r="N357" s="152">
        <f t="shared" si="1"/>
        <v>0.79310531173913046</v>
      </c>
      <c r="O357" s="50">
        <v>9517155.6600000001</v>
      </c>
      <c r="P357" s="152">
        <f t="shared" si="2"/>
        <v>0.20689468826086957</v>
      </c>
      <c r="Q357" s="50">
        <v>9517155.6600000001</v>
      </c>
      <c r="R357" s="257"/>
    </row>
    <row r="358" spans="1:18" hidden="1" x14ac:dyDescent="0.25">
      <c r="A358" s="49" t="s">
        <v>707</v>
      </c>
      <c r="B358" s="49" t="s">
        <v>324</v>
      </c>
      <c r="C358" s="49" t="s">
        <v>325</v>
      </c>
      <c r="D358" s="49" t="s">
        <v>85</v>
      </c>
      <c r="E358" s="50">
        <v>0</v>
      </c>
      <c r="F358" s="50">
        <v>815400</v>
      </c>
      <c r="G358" s="50">
        <v>815400</v>
      </c>
      <c r="H358" s="50">
        <v>0</v>
      </c>
      <c r="I358" s="50">
        <v>0</v>
      </c>
      <c r="J358" s="50">
        <v>0</v>
      </c>
      <c r="K358" s="50">
        <v>0</v>
      </c>
      <c r="L358" s="152">
        <f t="shared" si="0"/>
        <v>0</v>
      </c>
      <c r="M358" s="50">
        <v>0</v>
      </c>
      <c r="N358" s="152">
        <f t="shared" si="1"/>
        <v>0</v>
      </c>
      <c r="O358" s="50">
        <v>815400</v>
      </c>
      <c r="P358" s="152">
        <f t="shared" si="2"/>
        <v>1</v>
      </c>
      <c r="Q358" s="50">
        <v>815400</v>
      </c>
      <c r="R358" s="257"/>
    </row>
    <row r="359" spans="1:18" hidden="1" x14ac:dyDescent="0.25">
      <c r="A359" s="49" t="s">
        <v>707</v>
      </c>
      <c r="B359" s="49" t="s">
        <v>236</v>
      </c>
      <c r="C359" s="49" t="s">
        <v>237</v>
      </c>
      <c r="D359" s="49" t="s">
        <v>85</v>
      </c>
      <c r="E359" s="50">
        <v>302703422</v>
      </c>
      <c r="F359" s="50">
        <v>287003422</v>
      </c>
      <c r="G359" s="50">
        <v>287003422</v>
      </c>
      <c r="H359" s="50">
        <v>0</v>
      </c>
      <c r="I359" s="50">
        <v>0</v>
      </c>
      <c r="J359" s="50">
        <v>0</v>
      </c>
      <c r="K359" s="50">
        <v>260975675.61000001</v>
      </c>
      <c r="L359" s="152">
        <f t="shared" si="0"/>
        <v>0.90931206949163146</v>
      </c>
      <c r="M359" s="50">
        <v>260975675.61000001</v>
      </c>
      <c r="N359" s="152">
        <f t="shared" si="1"/>
        <v>0.90931206949163146</v>
      </c>
      <c r="O359" s="50">
        <v>26027746.390000001</v>
      </c>
      <c r="P359" s="152">
        <f t="shared" si="2"/>
        <v>9.0687930508368639E-2</v>
      </c>
      <c r="Q359" s="50">
        <v>26027746.390000001</v>
      </c>
      <c r="R359" s="257"/>
    </row>
    <row r="360" spans="1:18" hidden="1" x14ac:dyDescent="0.25">
      <c r="A360" s="49" t="s">
        <v>707</v>
      </c>
      <c r="B360" s="49" t="s">
        <v>238</v>
      </c>
      <c r="C360" s="49" t="s">
        <v>239</v>
      </c>
      <c r="D360" s="49" t="s">
        <v>85</v>
      </c>
      <c r="E360" s="50">
        <v>68995579</v>
      </c>
      <c r="F360" s="50">
        <v>122129459</v>
      </c>
      <c r="G360" s="50">
        <v>122129459</v>
      </c>
      <c r="H360" s="50">
        <v>0</v>
      </c>
      <c r="I360" s="50">
        <v>0</v>
      </c>
      <c r="J360" s="50">
        <v>0</v>
      </c>
      <c r="K360" s="50">
        <v>108680134.53</v>
      </c>
      <c r="L360" s="152">
        <f t="shared" si="0"/>
        <v>0.88987649187899864</v>
      </c>
      <c r="M360" s="50">
        <v>105870502.53</v>
      </c>
      <c r="N360" s="152">
        <f t="shared" si="1"/>
        <v>0.86687113327833543</v>
      </c>
      <c r="O360" s="50">
        <v>13449324.470000001</v>
      </c>
      <c r="P360" s="152">
        <f t="shared" si="2"/>
        <v>0.11012350812100134</v>
      </c>
      <c r="Q360" s="50">
        <v>13449324.470000001</v>
      </c>
      <c r="R360" s="257"/>
    </row>
    <row r="361" spans="1:18" hidden="1" x14ac:dyDescent="0.25">
      <c r="A361" s="49" t="s">
        <v>707</v>
      </c>
      <c r="B361" s="49" t="s">
        <v>282</v>
      </c>
      <c r="C361" s="49" t="s">
        <v>283</v>
      </c>
      <c r="D361" s="49" t="s">
        <v>85</v>
      </c>
      <c r="E361" s="50">
        <v>100000000</v>
      </c>
      <c r="F361" s="50">
        <v>100000000</v>
      </c>
      <c r="G361" s="50">
        <v>100000000</v>
      </c>
      <c r="H361" s="50">
        <v>0</v>
      </c>
      <c r="I361" s="50">
        <v>0</v>
      </c>
      <c r="J361" s="50">
        <v>0</v>
      </c>
      <c r="K361" s="50">
        <v>96947484.700000003</v>
      </c>
      <c r="L361" s="152">
        <f t="shared" si="0"/>
        <v>0.96947484700000008</v>
      </c>
      <c r="M361" s="50">
        <v>96947484.700000003</v>
      </c>
      <c r="N361" s="152">
        <f t="shared" si="1"/>
        <v>0.96947484700000008</v>
      </c>
      <c r="O361" s="50">
        <v>3052515.3</v>
      </c>
      <c r="P361" s="152">
        <f t="shared" si="2"/>
        <v>3.0525152999999999E-2</v>
      </c>
      <c r="Q361" s="50">
        <v>3052515.3</v>
      </c>
      <c r="R361" s="257"/>
    </row>
    <row r="362" spans="1:18" hidden="1" x14ac:dyDescent="0.25">
      <c r="A362" s="49" t="s">
        <v>707</v>
      </c>
      <c r="B362" s="49" t="s">
        <v>326</v>
      </c>
      <c r="C362" s="49" t="s">
        <v>327</v>
      </c>
      <c r="D362" s="49" t="s">
        <v>85</v>
      </c>
      <c r="E362" s="50">
        <v>1200000</v>
      </c>
      <c r="F362" s="50">
        <v>1200000</v>
      </c>
      <c r="G362" s="50">
        <v>1200000</v>
      </c>
      <c r="H362" s="50">
        <v>0</v>
      </c>
      <c r="I362" s="50">
        <v>0</v>
      </c>
      <c r="J362" s="50">
        <v>0</v>
      </c>
      <c r="K362" s="50">
        <v>850206</v>
      </c>
      <c r="L362" s="152">
        <f t="shared" si="0"/>
        <v>0.70850500000000005</v>
      </c>
      <c r="M362" s="50">
        <v>850206</v>
      </c>
      <c r="N362" s="152">
        <f t="shared" si="1"/>
        <v>0.70850500000000005</v>
      </c>
      <c r="O362" s="50">
        <v>349794</v>
      </c>
      <c r="P362" s="152">
        <f t="shared" si="2"/>
        <v>0.291495</v>
      </c>
      <c r="Q362" s="50">
        <v>349794</v>
      </c>
      <c r="R362" s="257"/>
    </row>
    <row r="363" spans="1:18" hidden="1" x14ac:dyDescent="0.25">
      <c r="A363" s="49" t="s">
        <v>707</v>
      </c>
      <c r="B363" s="49" t="s">
        <v>240</v>
      </c>
      <c r="C363" s="49" t="s">
        <v>241</v>
      </c>
      <c r="D363" s="49" t="s">
        <v>85</v>
      </c>
      <c r="E363" s="50">
        <v>2700000</v>
      </c>
      <c r="F363" s="50">
        <v>2700000</v>
      </c>
      <c r="G363" s="50">
        <v>2700000</v>
      </c>
      <c r="H363" s="50">
        <v>0</v>
      </c>
      <c r="I363" s="50">
        <v>0</v>
      </c>
      <c r="J363" s="50">
        <v>0</v>
      </c>
      <c r="K363" s="50">
        <v>2375279.48</v>
      </c>
      <c r="L363" s="152">
        <f t="shared" si="0"/>
        <v>0.87973314074074072</v>
      </c>
      <c r="M363" s="50">
        <v>2375279.48</v>
      </c>
      <c r="N363" s="152">
        <f t="shared" si="1"/>
        <v>0.87973314074074072</v>
      </c>
      <c r="O363" s="50">
        <v>324720.52</v>
      </c>
      <c r="P363" s="152">
        <f t="shared" si="2"/>
        <v>0.12026685925925927</v>
      </c>
      <c r="Q363" s="50">
        <v>324720.52</v>
      </c>
      <c r="R363" s="257"/>
    </row>
    <row r="364" spans="1:18" hidden="1" x14ac:dyDescent="0.25">
      <c r="A364" s="49" t="s">
        <v>707</v>
      </c>
      <c r="B364" s="49" t="s">
        <v>242</v>
      </c>
      <c r="C364" s="49" t="s">
        <v>243</v>
      </c>
      <c r="D364" s="49" t="s">
        <v>85</v>
      </c>
      <c r="E364" s="50">
        <v>989658013</v>
      </c>
      <c r="F364" s="50">
        <v>903903450</v>
      </c>
      <c r="G364" s="50">
        <v>903903450</v>
      </c>
      <c r="H364" s="50">
        <v>0</v>
      </c>
      <c r="I364" s="50">
        <v>34632915.990000002</v>
      </c>
      <c r="J364" s="50">
        <v>0</v>
      </c>
      <c r="K364" s="50">
        <v>642258587.92999995</v>
      </c>
      <c r="L364" s="152">
        <f t="shared" si="0"/>
        <v>0.71053892750381686</v>
      </c>
      <c r="M364" s="50">
        <v>599709421.76999998</v>
      </c>
      <c r="N364" s="152">
        <f t="shared" si="1"/>
        <v>0.66346623831339502</v>
      </c>
      <c r="O364" s="50">
        <v>227011946.08000001</v>
      </c>
      <c r="P364" s="152">
        <f t="shared" si="2"/>
        <v>0.25114623257605667</v>
      </c>
      <c r="Q364" s="50">
        <v>227011946.08000001</v>
      </c>
      <c r="R364" s="257"/>
    </row>
    <row r="365" spans="1:18" hidden="1" x14ac:dyDescent="0.25">
      <c r="A365" s="49" t="s">
        <v>707</v>
      </c>
      <c r="B365" s="49" t="s">
        <v>328</v>
      </c>
      <c r="C365" s="49" t="s">
        <v>329</v>
      </c>
      <c r="D365" s="49" t="s">
        <v>85</v>
      </c>
      <c r="E365" s="50">
        <v>94148000</v>
      </c>
      <c r="F365" s="50">
        <v>94148000</v>
      </c>
      <c r="G365" s="50">
        <v>94148000</v>
      </c>
      <c r="H365" s="50">
        <v>0</v>
      </c>
      <c r="I365" s="50">
        <v>77695620.25</v>
      </c>
      <c r="J365" s="50">
        <v>0</v>
      </c>
      <c r="K365" s="50">
        <v>3465098.52</v>
      </c>
      <c r="L365" s="152">
        <f t="shared" si="0"/>
        <v>3.6804802226282025E-2</v>
      </c>
      <c r="M365" s="50">
        <v>3465098.52</v>
      </c>
      <c r="N365" s="152">
        <f t="shared" si="1"/>
        <v>3.6804802226282025E-2</v>
      </c>
      <c r="O365" s="50">
        <v>12987281.23</v>
      </c>
      <c r="P365" s="152">
        <f t="shared" si="2"/>
        <v>0.13794537568509158</v>
      </c>
      <c r="Q365" s="50">
        <v>12987281.23</v>
      </c>
      <c r="R365" s="257"/>
    </row>
    <row r="366" spans="1:18" hidden="1" x14ac:dyDescent="0.25">
      <c r="A366" s="49" t="s">
        <v>707</v>
      </c>
      <c r="B366" s="49" t="s">
        <v>330</v>
      </c>
      <c r="C366" s="49" t="s">
        <v>331</v>
      </c>
      <c r="D366" s="49" t="s">
        <v>85</v>
      </c>
      <c r="E366" s="50">
        <v>92800000</v>
      </c>
      <c r="F366" s="50">
        <v>92800000</v>
      </c>
      <c r="G366" s="50">
        <v>92800000</v>
      </c>
      <c r="H366" s="50">
        <v>0</v>
      </c>
      <c r="I366" s="50">
        <v>77695620.25</v>
      </c>
      <c r="J366" s="50">
        <v>0</v>
      </c>
      <c r="K366" s="50">
        <v>3035030.34</v>
      </c>
      <c r="L366" s="152">
        <f t="shared" si="0"/>
        <v>3.2705068318965518E-2</v>
      </c>
      <c r="M366" s="50">
        <v>3035030.34</v>
      </c>
      <c r="N366" s="152">
        <f t="shared" si="1"/>
        <v>3.2705068318965518E-2</v>
      </c>
      <c r="O366" s="50">
        <v>12069349.41</v>
      </c>
      <c r="P366" s="152">
        <f t="shared" si="2"/>
        <v>0.13005764450431034</v>
      </c>
      <c r="Q366" s="50">
        <v>12069349.41</v>
      </c>
      <c r="R366" s="257"/>
    </row>
    <row r="367" spans="1:18" hidden="1" x14ac:dyDescent="0.25">
      <c r="A367" s="49" t="s">
        <v>707</v>
      </c>
      <c r="B367" s="49" t="s">
        <v>358</v>
      </c>
      <c r="C367" s="49" t="s">
        <v>359</v>
      </c>
      <c r="D367" s="49" t="s">
        <v>85</v>
      </c>
      <c r="E367" s="50">
        <v>1348000</v>
      </c>
      <c r="F367" s="50">
        <v>1348000</v>
      </c>
      <c r="G367" s="50">
        <v>1348000</v>
      </c>
      <c r="H367" s="50">
        <v>0</v>
      </c>
      <c r="I367" s="50">
        <v>0</v>
      </c>
      <c r="J367" s="50">
        <v>0</v>
      </c>
      <c r="K367" s="50">
        <v>430068.18</v>
      </c>
      <c r="L367" s="152">
        <f t="shared" si="0"/>
        <v>0.31904167655786347</v>
      </c>
      <c r="M367" s="50">
        <v>430068.18</v>
      </c>
      <c r="N367" s="152">
        <f t="shared" si="1"/>
        <v>0.31904167655786347</v>
      </c>
      <c r="O367" s="50">
        <v>917931.82</v>
      </c>
      <c r="P367" s="152">
        <f t="shared" si="2"/>
        <v>0.68095832344213647</v>
      </c>
      <c r="Q367" s="50">
        <v>917931.82</v>
      </c>
      <c r="R367" s="257"/>
    </row>
    <row r="368" spans="1:18" hidden="1" x14ac:dyDescent="0.25">
      <c r="A368" s="49" t="s">
        <v>707</v>
      </c>
      <c r="B368" s="49" t="s">
        <v>244</v>
      </c>
      <c r="C368" s="49" t="s">
        <v>245</v>
      </c>
      <c r="D368" s="49" t="s">
        <v>85</v>
      </c>
      <c r="E368" s="50">
        <v>448584938</v>
      </c>
      <c r="F368" s="50">
        <v>495089400</v>
      </c>
      <c r="G368" s="50">
        <v>495089400</v>
      </c>
      <c r="H368" s="50">
        <v>0</v>
      </c>
      <c r="I368" s="50">
        <v>26104.21</v>
      </c>
      <c r="J368" s="50">
        <v>0</v>
      </c>
      <c r="K368" s="50">
        <v>208283038.09999999</v>
      </c>
      <c r="L368" s="152">
        <f t="shared" si="0"/>
        <v>0.42069783376497255</v>
      </c>
      <c r="M368" s="50">
        <v>171472671.84999999</v>
      </c>
      <c r="N368" s="152">
        <f t="shared" si="1"/>
        <v>0.34634688573417244</v>
      </c>
      <c r="O368" s="50">
        <v>286780257.69</v>
      </c>
      <c r="P368" s="152">
        <f t="shared" si="2"/>
        <v>0.57924943997993095</v>
      </c>
      <c r="Q368" s="50">
        <v>286780257.69</v>
      </c>
      <c r="R368" s="257"/>
    </row>
    <row r="369" spans="1:18" hidden="1" x14ac:dyDescent="0.25">
      <c r="A369" s="49" t="s">
        <v>707</v>
      </c>
      <c r="B369" s="49" t="s">
        <v>246</v>
      </c>
      <c r="C369" s="49" t="s">
        <v>247</v>
      </c>
      <c r="D369" s="49" t="s">
        <v>85</v>
      </c>
      <c r="E369" s="50">
        <v>448584938</v>
      </c>
      <c r="F369" s="50">
        <v>495089400</v>
      </c>
      <c r="G369" s="50">
        <v>495089400</v>
      </c>
      <c r="H369" s="50">
        <v>0</v>
      </c>
      <c r="I369" s="50">
        <v>26104.21</v>
      </c>
      <c r="J369" s="50">
        <v>0</v>
      </c>
      <c r="K369" s="50">
        <v>208283038.09999999</v>
      </c>
      <c r="L369" s="152">
        <f t="shared" si="0"/>
        <v>0.42069783376497255</v>
      </c>
      <c r="M369" s="50">
        <v>171472671.84999999</v>
      </c>
      <c r="N369" s="152">
        <f t="shared" si="1"/>
        <v>0.34634688573417244</v>
      </c>
      <c r="O369" s="50">
        <v>286780257.69</v>
      </c>
      <c r="P369" s="152">
        <f t="shared" si="2"/>
        <v>0.57924943997993095</v>
      </c>
      <c r="Q369" s="50">
        <v>286780257.69</v>
      </c>
      <c r="R369" s="257"/>
    </row>
    <row r="370" spans="1:18" hidden="1" x14ac:dyDescent="0.25">
      <c r="A370" s="49" t="s">
        <v>707</v>
      </c>
      <c r="B370" s="49" t="s">
        <v>372</v>
      </c>
      <c r="C370" s="49" t="s">
        <v>373</v>
      </c>
      <c r="D370" s="49" t="s">
        <v>85</v>
      </c>
      <c r="E370" s="50">
        <v>581400000</v>
      </c>
      <c r="F370" s="50">
        <v>581400000</v>
      </c>
      <c r="G370" s="50">
        <v>581400000</v>
      </c>
      <c r="H370" s="50">
        <v>0</v>
      </c>
      <c r="I370" s="50">
        <v>0</v>
      </c>
      <c r="J370" s="50">
        <v>0</v>
      </c>
      <c r="K370" s="50">
        <v>125786735.68000001</v>
      </c>
      <c r="L370" s="152">
        <f t="shared" si="0"/>
        <v>0.21635145455796354</v>
      </c>
      <c r="M370" s="50">
        <v>125786735.68000001</v>
      </c>
      <c r="N370" s="152">
        <f t="shared" si="1"/>
        <v>0.21635145455796354</v>
      </c>
      <c r="O370" s="50">
        <v>455613264.31999999</v>
      </c>
      <c r="P370" s="152">
        <f t="shared" si="2"/>
        <v>0.78364854544203644</v>
      </c>
      <c r="Q370" s="50">
        <v>455613264.31999999</v>
      </c>
      <c r="R370" s="257"/>
    </row>
    <row r="371" spans="1:18" hidden="1" x14ac:dyDescent="0.25">
      <c r="A371" s="49" t="s">
        <v>707</v>
      </c>
      <c r="B371" s="49" t="s">
        <v>374</v>
      </c>
      <c r="C371" s="49" t="s">
        <v>375</v>
      </c>
      <c r="D371" s="49" t="s">
        <v>85</v>
      </c>
      <c r="E371" s="50">
        <v>581400000</v>
      </c>
      <c r="F371" s="50">
        <v>581400000</v>
      </c>
      <c r="G371" s="50">
        <v>581400000</v>
      </c>
      <c r="H371" s="50">
        <v>0</v>
      </c>
      <c r="I371" s="50">
        <v>0</v>
      </c>
      <c r="J371" s="50">
        <v>0</v>
      </c>
      <c r="K371" s="50">
        <v>125786735.68000001</v>
      </c>
      <c r="L371" s="152">
        <f t="shared" si="0"/>
        <v>0.21635145455796354</v>
      </c>
      <c r="M371" s="50">
        <v>125786735.68000001</v>
      </c>
      <c r="N371" s="152">
        <f t="shared" si="1"/>
        <v>0.21635145455796354</v>
      </c>
      <c r="O371" s="50">
        <v>455613264.31999999</v>
      </c>
      <c r="P371" s="152">
        <f t="shared" si="2"/>
        <v>0.78364854544203644</v>
      </c>
      <c r="Q371" s="50">
        <v>455613264.31999999</v>
      </c>
      <c r="R371" s="257"/>
    </row>
    <row r="372" spans="1:18" hidden="1" x14ac:dyDescent="0.25">
      <c r="A372" s="49" t="s">
        <v>707</v>
      </c>
      <c r="B372" s="49" t="s">
        <v>674</v>
      </c>
      <c r="C372" s="49" t="s">
        <v>710</v>
      </c>
      <c r="D372" s="49" t="s">
        <v>85</v>
      </c>
      <c r="E372" s="50">
        <v>581400000</v>
      </c>
      <c r="F372" s="50">
        <v>581400000</v>
      </c>
      <c r="G372" s="50">
        <v>581400000</v>
      </c>
      <c r="H372" s="50">
        <v>0</v>
      </c>
      <c r="I372" s="50">
        <v>0</v>
      </c>
      <c r="J372" s="50">
        <v>0</v>
      </c>
      <c r="K372" s="50">
        <v>125786735.68000001</v>
      </c>
      <c r="L372" s="152">
        <f t="shared" si="0"/>
        <v>0.21635145455796354</v>
      </c>
      <c r="M372" s="50">
        <v>125786735.68000001</v>
      </c>
      <c r="N372" s="152">
        <f t="shared" si="1"/>
        <v>0.21635145455796354</v>
      </c>
      <c r="O372" s="50">
        <v>455613264.31999999</v>
      </c>
      <c r="P372" s="152">
        <f t="shared" si="2"/>
        <v>0.78364854544203644</v>
      </c>
      <c r="Q372" s="50">
        <v>455613264.31999999</v>
      </c>
      <c r="R372" s="257"/>
    </row>
    <row r="373" spans="1:18" x14ac:dyDescent="0.25">
      <c r="A373" s="49">
        <v>214789001</v>
      </c>
      <c r="B373" s="49"/>
      <c r="C373" s="49"/>
      <c r="D373" s="49" t="s">
        <v>69</v>
      </c>
      <c r="E373" s="50">
        <v>27896892306</v>
      </c>
      <c r="F373" s="50">
        <v>27746347895</v>
      </c>
      <c r="G373" s="50">
        <v>27746347895</v>
      </c>
      <c r="H373" s="50">
        <v>0</v>
      </c>
      <c r="I373" s="50">
        <v>764570619.33000004</v>
      </c>
      <c r="J373" s="50">
        <v>0</v>
      </c>
      <c r="K373" s="50">
        <v>25489145514.16</v>
      </c>
      <c r="L373" s="152">
        <f t="shared" si="0"/>
        <v>0.91864866722705674</v>
      </c>
      <c r="M373" s="50">
        <v>23127352992.98</v>
      </c>
      <c r="N373" s="152">
        <f t="shared" si="1"/>
        <v>0.833527824292423</v>
      </c>
      <c r="O373" s="50">
        <v>1492631761.51</v>
      </c>
      <c r="P373" s="152">
        <f t="shared" si="2"/>
        <v>5.3795611846234298E-2</v>
      </c>
      <c r="Q373" s="50">
        <v>1492631761.51</v>
      </c>
      <c r="R373" s="257"/>
    </row>
    <row r="374" spans="1:18" hidden="1" x14ac:dyDescent="0.25">
      <c r="A374" s="49" t="s">
        <v>711</v>
      </c>
      <c r="B374" s="49" t="s">
        <v>71</v>
      </c>
      <c r="C374" s="49" t="s">
        <v>72</v>
      </c>
      <c r="D374" s="49" t="s">
        <v>69</v>
      </c>
      <c r="E374" s="50">
        <v>13888392480</v>
      </c>
      <c r="F374" s="50">
        <v>13534210603</v>
      </c>
      <c r="G374" s="50">
        <v>13534210603</v>
      </c>
      <c r="H374" s="50">
        <v>0</v>
      </c>
      <c r="I374" s="50">
        <v>85677.53</v>
      </c>
      <c r="J374" s="50">
        <v>0</v>
      </c>
      <c r="K374" s="50">
        <v>12290192037.75</v>
      </c>
      <c r="L374" s="152">
        <f t="shared" si="0"/>
        <v>0.90808340421610922</v>
      </c>
      <c r="M374" s="50">
        <v>12290192037.75</v>
      </c>
      <c r="N374" s="152">
        <f t="shared" si="1"/>
        <v>0.90808340421610922</v>
      </c>
      <c r="O374" s="50">
        <v>1243932887.72</v>
      </c>
      <c r="P374" s="152">
        <f t="shared" si="2"/>
        <v>9.1910265342277836E-2</v>
      </c>
      <c r="Q374" s="50">
        <v>1243932887.72</v>
      </c>
      <c r="R374" s="257"/>
    </row>
    <row r="375" spans="1:18" hidden="1" x14ac:dyDescent="0.25">
      <c r="A375" s="49" t="s">
        <v>711</v>
      </c>
      <c r="B375" s="49" t="s">
        <v>73</v>
      </c>
      <c r="C375" s="49" t="s">
        <v>74</v>
      </c>
      <c r="D375" s="49" t="s">
        <v>69</v>
      </c>
      <c r="E375" s="50">
        <v>5229936552</v>
      </c>
      <c r="F375" s="50">
        <v>5032025148</v>
      </c>
      <c r="G375" s="50">
        <v>5032025148</v>
      </c>
      <c r="H375" s="50">
        <v>0</v>
      </c>
      <c r="I375" s="50">
        <v>0</v>
      </c>
      <c r="J375" s="50">
        <v>0</v>
      </c>
      <c r="K375" s="50">
        <v>4732843857.6899996</v>
      </c>
      <c r="L375" s="152">
        <f t="shared" si="0"/>
        <v>0.94054455581786767</v>
      </c>
      <c r="M375" s="50">
        <v>4732843857.6899996</v>
      </c>
      <c r="N375" s="152">
        <f t="shared" si="1"/>
        <v>0.94054455581786767</v>
      </c>
      <c r="O375" s="50">
        <v>299181290.31</v>
      </c>
      <c r="P375" s="152">
        <f t="shared" si="2"/>
        <v>5.9455444182132298E-2</v>
      </c>
      <c r="Q375" s="50">
        <v>299181290.31</v>
      </c>
      <c r="R375" s="257"/>
    </row>
    <row r="376" spans="1:18" hidden="1" x14ac:dyDescent="0.25">
      <c r="A376" s="49" t="s">
        <v>711</v>
      </c>
      <c r="B376" s="49" t="s">
        <v>75</v>
      </c>
      <c r="C376" s="49" t="s">
        <v>76</v>
      </c>
      <c r="D376" s="49" t="s">
        <v>69</v>
      </c>
      <c r="E376" s="50">
        <v>5229936552</v>
      </c>
      <c r="F376" s="50">
        <v>5032025148</v>
      </c>
      <c r="G376" s="50">
        <v>5032025148</v>
      </c>
      <c r="H376" s="50">
        <v>0</v>
      </c>
      <c r="I376" s="50">
        <v>0</v>
      </c>
      <c r="J376" s="50">
        <v>0</v>
      </c>
      <c r="K376" s="50">
        <v>4732843857.6899996</v>
      </c>
      <c r="L376" s="152">
        <f t="shared" si="0"/>
        <v>0.94054455581786767</v>
      </c>
      <c r="M376" s="50">
        <v>4732843857.6899996</v>
      </c>
      <c r="N376" s="152">
        <f t="shared" si="1"/>
        <v>0.94054455581786767</v>
      </c>
      <c r="O376" s="50">
        <v>299181290.31</v>
      </c>
      <c r="P376" s="152">
        <f t="shared" si="2"/>
        <v>5.9455444182132298E-2</v>
      </c>
      <c r="Q376" s="50">
        <v>299181290.31</v>
      </c>
      <c r="R376" s="257"/>
    </row>
    <row r="377" spans="1:18" hidden="1" x14ac:dyDescent="0.25">
      <c r="A377" s="49" t="s">
        <v>711</v>
      </c>
      <c r="B377" s="49" t="s">
        <v>293</v>
      </c>
      <c r="C377" s="49" t="s">
        <v>294</v>
      </c>
      <c r="D377" s="49" t="s">
        <v>69</v>
      </c>
      <c r="E377" s="50">
        <v>26335200</v>
      </c>
      <c r="F377" s="50">
        <v>26335200</v>
      </c>
      <c r="G377" s="50">
        <v>26335200</v>
      </c>
      <c r="H377" s="50">
        <v>0</v>
      </c>
      <c r="I377" s="50">
        <v>0</v>
      </c>
      <c r="J377" s="50">
        <v>0</v>
      </c>
      <c r="K377" s="50">
        <v>4807043.17</v>
      </c>
      <c r="L377" s="152">
        <f t="shared" si="0"/>
        <v>0.18253300411616391</v>
      </c>
      <c r="M377" s="50">
        <v>4807043.17</v>
      </c>
      <c r="N377" s="152">
        <f t="shared" si="1"/>
        <v>0.18253300411616391</v>
      </c>
      <c r="O377" s="50">
        <v>21528156.829999998</v>
      </c>
      <c r="P377" s="152">
        <f t="shared" si="2"/>
        <v>0.81746699588383598</v>
      </c>
      <c r="Q377" s="50">
        <v>21528156.829999998</v>
      </c>
      <c r="R377" s="257"/>
    </row>
    <row r="378" spans="1:18" hidden="1" x14ac:dyDescent="0.25">
      <c r="A378" s="49" t="s">
        <v>711</v>
      </c>
      <c r="B378" s="49" t="s">
        <v>339</v>
      </c>
      <c r="C378" s="49" t="s">
        <v>340</v>
      </c>
      <c r="D378" s="49" t="s">
        <v>69</v>
      </c>
      <c r="E378" s="50">
        <v>26335200</v>
      </c>
      <c r="F378" s="50">
        <v>26335200</v>
      </c>
      <c r="G378" s="50">
        <v>26335200</v>
      </c>
      <c r="H378" s="50">
        <v>0</v>
      </c>
      <c r="I378" s="50">
        <v>0</v>
      </c>
      <c r="J378" s="50">
        <v>0</v>
      </c>
      <c r="K378" s="50">
        <v>4807043.17</v>
      </c>
      <c r="L378" s="152">
        <f t="shared" si="0"/>
        <v>0.18253300411616391</v>
      </c>
      <c r="M378" s="50">
        <v>4807043.17</v>
      </c>
      <c r="N378" s="152">
        <f t="shared" si="1"/>
        <v>0.18253300411616391</v>
      </c>
      <c r="O378" s="50">
        <v>21528156.829999998</v>
      </c>
      <c r="P378" s="152">
        <f t="shared" si="2"/>
        <v>0.81746699588383598</v>
      </c>
      <c r="Q378" s="50">
        <v>21528156.829999998</v>
      </c>
      <c r="R378" s="257"/>
    </row>
    <row r="379" spans="1:18" hidden="1" x14ac:dyDescent="0.25">
      <c r="A379" s="49" t="s">
        <v>711</v>
      </c>
      <c r="B379" s="49" t="s">
        <v>77</v>
      </c>
      <c r="C379" s="49" t="s">
        <v>78</v>
      </c>
      <c r="D379" s="49" t="s">
        <v>69</v>
      </c>
      <c r="E379" s="50">
        <v>6513497315</v>
      </c>
      <c r="F379" s="50">
        <v>6408205068</v>
      </c>
      <c r="G379" s="50">
        <v>6408205068</v>
      </c>
      <c r="H379" s="50">
        <v>0</v>
      </c>
      <c r="I379" s="50">
        <v>85677.53</v>
      </c>
      <c r="J379" s="50">
        <v>0</v>
      </c>
      <c r="K379" s="50">
        <v>5816214774.8900003</v>
      </c>
      <c r="L379" s="152">
        <f t="shared" si="0"/>
        <v>0.90761995179178001</v>
      </c>
      <c r="M379" s="50">
        <v>5816214774.8900003</v>
      </c>
      <c r="N379" s="152">
        <f t="shared" si="1"/>
        <v>0.90761995179178001</v>
      </c>
      <c r="O379" s="50">
        <v>591904615.58000004</v>
      </c>
      <c r="P379" s="152">
        <f t="shared" si="2"/>
        <v>9.236667823502305E-2</v>
      </c>
      <c r="Q379" s="50">
        <v>591904615.58000004</v>
      </c>
      <c r="R379" s="257"/>
    </row>
    <row r="380" spans="1:18" hidden="1" x14ac:dyDescent="0.25">
      <c r="A380" s="49" t="s">
        <v>711</v>
      </c>
      <c r="B380" s="49" t="s">
        <v>79</v>
      </c>
      <c r="C380" s="49" t="s">
        <v>80</v>
      </c>
      <c r="D380" s="49" t="s">
        <v>69</v>
      </c>
      <c r="E380" s="50">
        <v>1819317700</v>
      </c>
      <c r="F380" s="50">
        <v>1818117700</v>
      </c>
      <c r="G380" s="50">
        <v>1818117700</v>
      </c>
      <c r="H380" s="50">
        <v>0</v>
      </c>
      <c r="I380" s="50">
        <v>0</v>
      </c>
      <c r="J380" s="50">
        <v>0</v>
      </c>
      <c r="K380" s="50">
        <v>1511561515.0799999</v>
      </c>
      <c r="L380" s="152">
        <f t="shared" si="0"/>
        <v>0.8313881521971872</v>
      </c>
      <c r="M380" s="50">
        <v>1511561515.0799999</v>
      </c>
      <c r="N380" s="152">
        <f t="shared" si="1"/>
        <v>0.8313881521971872</v>
      </c>
      <c r="O380" s="50">
        <v>306556184.92000002</v>
      </c>
      <c r="P380" s="152">
        <f t="shared" si="2"/>
        <v>0.16861184780281277</v>
      </c>
      <c r="Q380" s="50">
        <v>306556184.92000002</v>
      </c>
      <c r="R380" s="257"/>
    </row>
    <row r="381" spans="1:18" hidden="1" x14ac:dyDescent="0.25">
      <c r="A381" s="49" t="s">
        <v>711</v>
      </c>
      <c r="B381" s="49" t="s">
        <v>81</v>
      </c>
      <c r="C381" s="49" t="s">
        <v>82</v>
      </c>
      <c r="D381" s="49" t="s">
        <v>69</v>
      </c>
      <c r="E381" s="50">
        <v>1750176673</v>
      </c>
      <c r="F381" s="50">
        <v>1704597775</v>
      </c>
      <c r="G381" s="50">
        <v>1704597775</v>
      </c>
      <c r="H381" s="50">
        <v>0</v>
      </c>
      <c r="I381" s="50">
        <v>0</v>
      </c>
      <c r="J381" s="50">
        <v>0</v>
      </c>
      <c r="K381" s="50">
        <v>1556353107.6099999</v>
      </c>
      <c r="L381" s="152">
        <f t="shared" si="0"/>
        <v>0.91303246457071074</v>
      </c>
      <c r="M381" s="50">
        <v>1556353107.6099999</v>
      </c>
      <c r="N381" s="152">
        <f t="shared" si="1"/>
        <v>0.91303246457071074</v>
      </c>
      <c r="O381" s="50">
        <v>148244667.38999999</v>
      </c>
      <c r="P381" s="152">
        <f t="shared" si="2"/>
        <v>8.6967535429289172E-2</v>
      </c>
      <c r="Q381" s="50">
        <v>148244667.38999999</v>
      </c>
      <c r="R381" s="257"/>
    </row>
    <row r="382" spans="1:18" hidden="1" x14ac:dyDescent="0.25">
      <c r="A382" s="49" t="s">
        <v>711</v>
      </c>
      <c r="B382" s="49" t="s">
        <v>86</v>
      </c>
      <c r="C382" s="49" t="s">
        <v>87</v>
      </c>
      <c r="D382" s="49" t="s">
        <v>69</v>
      </c>
      <c r="E382" s="50">
        <v>831593600</v>
      </c>
      <c r="F382" s="50">
        <v>813593600</v>
      </c>
      <c r="G382" s="50">
        <v>813593600</v>
      </c>
      <c r="H382" s="50">
        <v>0</v>
      </c>
      <c r="I382" s="50">
        <v>85677.53</v>
      </c>
      <c r="J382" s="50">
        <v>0</v>
      </c>
      <c r="K382" s="50">
        <v>812278805.61000001</v>
      </c>
      <c r="L382" s="152">
        <f t="shared" si="0"/>
        <v>0.99838396665116347</v>
      </c>
      <c r="M382" s="50">
        <v>812278805.61000001</v>
      </c>
      <c r="N382" s="152">
        <f t="shared" si="1"/>
        <v>0.99838396665116347</v>
      </c>
      <c r="O382" s="50">
        <v>1229116.8600000001</v>
      </c>
      <c r="P382" s="152">
        <f t="shared" si="2"/>
        <v>1.5107258218353735E-3</v>
      </c>
      <c r="Q382" s="50">
        <v>1229116.8600000001</v>
      </c>
      <c r="R382" s="257"/>
    </row>
    <row r="383" spans="1:18" hidden="1" x14ac:dyDescent="0.25">
      <c r="A383" s="49" t="s">
        <v>711</v>
      </c>
      <c r="B383" s="49" t="s">
        <v>88</v>
      </c>
      <c r="C383" s="49" t="s">
        <v>89</v>
      </c>
      <c r="D383" s="49" t="s">
        <v>69</v>
      </c>
      <c r="E383" s="50">
        <v>1207376800</v>
      </c>
      <c r="F383" s="50">
        <v>1188640303</v>
      </c>
      <c r="G383" s="50">
        <v>1188640303</v>
      </c>
      <c r="H383" s="50">
        <v>0</v>
      </c>
      <c r="I383" s="50">
        <v>0</v>
      </c>
      <c r="J383" s="50">
        <v>0</v>
      </c>
      <c r="K383" s="50">
        <v>1112863965.1900001</v>
      </c>
      <c r="L383" s="152">
        <f t="shared" si="0"/>
        <v>0.93624956379255475</v>
      </c>
      <c r="M383" s="50">
        <v>1112863965.1900001</v>
      </c>
      <c r="N383" s="152">
        <f t="shared" si="1"/>
        <v>0.93624956379255475</v>
      </c>
      <c r="O383" s="50">
        <v>75776337.810000002</v>
      </c>
      <c r="P383" s="152">
        <f t="shared" si="2"/>
        <v>6.3750436207445346E-2</v>
      </c>
      <c r="Q383" s="50">
        <v>75776337.810000002</v>
      </c>
      <c r="R383" s="257"/>
    </row>
    <row r="384" spans="1:18" hidden="1" x14ac:dyDescent="0.25">
      <c r="A384" s="49" t="s">
        <v>711</v>
      </c>
      <c r="B384" s="49" t="s">
        <v>83</v>
      </c>
      <c r="C384" s="49" t="s">
        <v>84</v>
      </c>
      <c r="D384" s="49" t="s">
        <v>85</v>
      </c>
      <c r="E384" s="50">
        <v>905032542</v>
      </c>
      <c r="F384" s="50">
        <v>883255690</v>
      </c>
      <c r="G384" s="50">
        <v>883255690</v>
      </c>
      <c r="H384" s="50">
        <v>0</v>
      </c>
      <c r="I384" s="50">
        <v>0</v>
      </c>
      <c r="J384" s="50">
        <v>0</v>
      </c>
      <c r="K384" s="50">
        <v>823157381.39999998</v>
      </c>
      <c r="L384" s="152">
        <f t="shared" si="0"/>
        <v>0.93195819819739856</v>
      </c>
      <c r="M384" s="50">
        <v>823157381.39999998</v>
      </c>
      <c r="N384" s="152">
        <f t="shared" si="1"/>
        <v>0.93195819819739856</v>
      </c>
      <c r="O384" s="50">
        <v>60098308.600000001</v>
      </c>
      <c r="P384" s="152">
        <f t="shared" si="2"/>
        <v>6.804180180260147E-2</v>
      </c>
      <c r="Q384" s="50">
        <v>60098308.600000001</v>
      </c>
      <c r="R384" s="257"/>
    </row>
    <row r="385" spans="1:18" hidden="1" x14ac:dyDescent="0.25">
      <c r="A385" s="49" t="s">
        <v>711</v>
      </c>
      <c r="B385" s="49" t="s">
        <v>90</v>
      </c>
      <c r="C385" s="49" t="s">
        <v>91</v>
      </c>
      <c r="D385" s="49" t="s">
        <v>69</v>
      </c>
      <c r="E385" s="50">
        <v>1059311707</v>
      </c>
      <c r="F385" s="50">
        <v>1033822594</v>
      </c>
      <c r="G385" s="50">
        <v>1033822594</v>
      </c>
      <c r="H385" s="50">
        <v>0</v>
      </c>
      <c r="I385" s="50">
        <v>0</v>
      </c>
      <c r="J385" s="50">
        <v>0</v>
      </c>
      <c r="K385" s="50">
        <v>868788187</v>
      </c>
      <c r="L385" s="152">
        <f t="shared" si="0"/>
        <v>0.84036486728205517</v>
      </c>
      <c r="M385" s="50">
        <v>868788187</v>
      </c>
      <c r="N385" s="152">
        <f t="shared" si="1"/>
        <v>0.84036486728205517</v>
      </c>
      <c r="O385" s="50">
        <v>165034407</v>
      </c>
      <c r="P385" s="152">
        <f t="shared" si="2"/>
        <v>0.15963513271794483</v>
      </c>
      <c r="Q385" s="50">
        <v>165034407</v>
      </c>
      <c r="R385" s="257"/>
    </row>
    <row r="386" spans="1:18" hidden="1" x14ac:dyDescent="0.25">
      <c r="A386" s="49" t="s">
        <v>711</v>
      </c>
      <c r="B386" s="49" t="s">
        <v>421</v>
      </c>
      <c r="C386" s="49" t="s">
        <v>697</v>
      </c>
      <c r="D386" s="49" t="s">
        <v>69</v>
      </c>
      <c r="E386" s="50">
        <v>1004988079</v>
      </c>
      <c r="F386" s="50">
        <v>980806100</v>
      </c>
      <c r="G386" s="50">
        <v>980806100</v>
      </c>
      <c r="H386" s="50">
        <v>0</v>
      </c>
      <c r="I386" s="50">
        <v>0</v>
      </c>
      <c r="J386" s="50">
        <v>0</v>
      </c>
      <c r="K386" s="50">
        <v>824234946</v>
      </c>
      <c r="L386" s="152">
        <f t="shared" si="0"/>
        <v>0.84036482440311089</v>
      </c>
      <c r="M386" s="50">
        <v>824234946</v>
      </c>
      <c r="N386" s="152">
        <f t="shared" si="1"/>
        <v>0.84036482440311089</v>
      </c>
      <c r="O386" s="50">
        <v>156571154</v>
      </c>
      <c r="P386" s="152">
        <f t="shared" si="2"/>
        <v>0.15963517559688914</v>
      </c>
      <c r="Q386" s="50">
        <v>156571154</v>
      </c>
      <c r="R386" s="257"/>
    </row>
    <row r="387" spans="1:18" hidden="1" x14ac:dyDescent="0.25">
      <c r="A387" s="49" t="s">
        <v>711</v>
      </c>
      <c r="B387" s="49" t="s">
        <v>438</v>
      </c>
      <c r="C387" s="49" t="s">
        <v>95</v>
      </c>
      <c r="D387" s="49" t="s">
        <v>69</v>
      </c>
      <c r="E387" s="50">
        <v>54323628</v>
      </c>
      <c r="F387" s="50">
        <v>53016494</v>
      </c>
      <c r="G387" s="50">
        <v>53016494</v>
      </c>
      <c r="H387" s="50">
        <v>0</v>
      </c>
      <c r="I387" s="50">
        <v>0</v>
      </c>
      <c r="J387" s="50">
        <v>0</v>
      </c>
      <c r="K387" s="50">
        <v>44553241</v>
      </c>
      <c r="L387" s="152">
        <f t="shared" si="0"/>
        <v>0.84036566054330186</v>
      </c>
      <c r="M387" s="50">
        <v>44553241</v>
      </c>
      <c r="N387" s="152">
        <f t="shared" si="1"/>
        <v>0.84036566054330186</v>
      </c>
      <c r="O387" s="50">
        <v>8463253</v>
      </c>
      <c r="P387" s="152">
        <f t="shared" si="2"/>
        <v>0.15963433945669814</v>
      </c>
      <c r="Q387" s="50">
        <v>8463253</v>
      </c>
      <c r="R387" s="257"/>
    </row>
    <row r="388" spans="1:18" hidden="1" x14ac:dyDescent="0.25">
      <c r="A388" s="49" t="s">
        <v>711</v>
      </c>
      <c r="B388" s="49" t="s">
        <v>96</v>
      </c>
      <c r="C388" s="49" t="s">
        <v>97</v>
      </c>
      <c r="D388" s="49" t="s">
        <v>69</v>
      </c>
      <c r="E388" s="50">
        <v>1059311706</v>
      </c>
      <c r="F388" s="50">
        <v>1033822593</v>
      </c>
      <c r="G388" s="50">
        <v>1033822593</v>
      </c>
      <c r="H388" s="50">
        <v>0</v>
      </c>
      <c r="I388" s="50">
        <v>0</v>
      </c>
      <c r="J388" s="50">
        <v>0</v>
      </c>
      <c r="K388" s="50">
        <v>867538175</v>
      </c>
      <c r="L388" s="152">
        <f t="shared" si="0"/>
        <v>0.83915575155165911</v>
      </c>
      <c r="M388" s="50">
        <v>867538175</v>
      </c>
      <c r="N388" s="152">
        <f t="shared" si="1"/>
        <v>0.83915575155165911</v>
      </c>
      <c r="O388" s="50">
        <v>166284418</v>
      </c>
      <c r="P388" s="152">
        <f t="shared" si="2"/>
        <v>0.16084424844834089</v>
      </c>
      <c r="Q388" s="50">
        <v>166284418</v>
      </c>
      <c r="R388" s="257"/>
    </row>
    <row r="389" spans="1:18" hidden="1" x14ac:dyDescent="0.25">
      <c r="A389" s="49" t="s">
        <v>711</v>
      </c>
      <c r="B389" s="49" t="s">
        <v>456</v>
      </c>
      <c r="C389" s="49" t="s">
        <v>698</v>
      </c>
      <c r="D389" s="49" t="s">
        <v>69</v>
      </c>
      <c r="E389" s="50">
        <v>570398650</v>
      </c>
      <c r="F389" s="50">
        <v>556673743</v>
      </c>
      <c r="G389" s="50">
        <v>556673743</v>
      </c>
      <c r="H389" s="50">
        <v>0</v>
      </c>
      <c r="I389" s="50">
        <v>0</v>
      </c>
      <c r="J389" s="50">
        <v>0</v>
      </c>
      <c r="K389" s="50">
        <v>466559013</v>
      </c>
      <c r="L389" s="152">
        <f t="shared" si="0"/>
        <v>0.83811930932046852</v>
      </c>
      <c r="M389" s="50">
        <v>466559013</v>
      </c>
      <c r="N389" s="152">
        <f t="shared" si="1"/>
        <v>0.83811930932046852</v>
      </c>
      <c r="O389" s="50">
        <v>90114730</v>
      </c>
      <c r="P389" s="152">
        <f t="shared" si="2"/>
        <v>0.16188069067953148</v>
      </c>
      <c r="Q389" s="50">
        <v>90114730</v>
      </c>
      <c r="R389" s="257"/>
    </row>
    <row r="390" spans="1:18" hidden="1" x14ac:dyDescent="0.25">
      <c r="A390" s="49" t="s">
        <v>711</v>
      </c>
      <c r="B390" s="49" t="s">
        <v>473</v>
      </c>
      <c r="C390" s="49" t="s">
        <v>699</v>
      </c>
      <c r="D390" s="49" t="s">
        <v>69</v>
      </c>
      <c r="E390" s="50">
        <v>162970985</v>
      </c>
      <c r="F390" s="50">
        <v>183049583</v>
      </c>
      <c r="G390" s="50">
        <v>183049583</v>
      </c>
      <c r="H390" s="50">
        <v>0</v>
      </c>
      <c r="I390" s="50">
        <v>0</v>
      </c>
      <c r="J390" s="50">
        <v>0</v>
      </c>
      <c r="K390" s="50">
        <v>156140537</v>
      </c>
      <c r="L390" s="152">
        <f t="shared" si="0"/>
        <v>0.85299586287503315</v>
      </c>
      <c r="M390" s="50">
        <v>156140537</v>
      </c>
      <c r="N390" s="152">
        <f t="shared" si="1"/>
        <v>0.85299586287503315</v>
      </c>
      <c r="O390" s="50">
        <v>26909046</v>
      </c>
      <c r="P390" s="152">
        <f t="shared" si="2"/>
        <v>0.14700413712496685</v>
      </c>
      <c r="Q390" s="50">
        <v>26909046</v>
      </c>
      <c r="R390" s="257"/>
    </row>
    <row r="391" spans="1:18" hidden="1" x14ac:dyDescent="0.25">
      <c r="A391" s="49" t="s">
        <v>711</v>
      </c>
      <c r="B391" s="49" t="s">
        <v>490</v>
      </c>
      <c r="C391" s="49" t="s">
        <v>700</v>
      </c>
      <c r="D391" s="49" t="s">
        <v>69</v>
      </c>
      <c r="E391" s="50">
        <v>325942071</v>
      </c>
      <c r="F391" s="50">
        <v>294099267</v>
      </c>
      <c r="G391" s="50">
        <v>294099267</v>
      </c>
      <c r="H391" s="50">
        <v>0</v>
      </c>
      <c r="I391" s="50">
        <v>0</v>
      </c>
      <c r="J391" s="50">
        <v>0</v>
      </c>
      <c r="K391" s="50">
        <v>244838625</v>
      </c>
      <c r="L391" s="152">
        <f t="shared" si="0"/>
        <v>0.83250334996584674</v>
      </c>
      <c r="M391" s="50">
        <v>244838625</v>
      </c>
      <c r="N391" s="152">
        <f t="shared" si="1"/>
        <v>0.83250334996584674</v>
      </c>
      <c r="O391" s="50">
        <v>49260642</v>
      </c>
      <c r="P391" s="152">
        <f t="shared" si="2"/>
        <v>0.16749665003415326</v>
      </c>
      <c r="Q391" s="50">
        <v>49260642</v>
      </c>
      <c r="R391" s="257"/>
    </row>
    <row r="392" spans="1:18" hidden="1" x14ac:dyDescent="0.25">
      <c r="A392" s="49" t="s">
        <v>711</v>
      </c>
      <c r="B392" s="49" t="s">
        <v>104</v>
      </c>
      <c r="C392" s="49" t="s">
        <v>105</v>
      </c>
      <c r="D392" s="49" t="s">
        <v>69</v>
      </c>
      <c r="E392" s="50">
        <v>3955829992</v>
      </c>
      <c r="F392" s="50">
        <v>3996746685</v>
      </c>
      <c r="G392" s="50">
        <v>3996746685</v>
      </c>
      <c r="H392" s="50">
        <v>0</v>
      </c>
      <c r="I392" s="50">
        <v>95764539.5</v>
      </c>
      <c r="J392" s="50">
        <v>0</v>
      </c>
      <c r="K392" s="50">
        <v>3836790955.2800002</v>
      </c>
      <c r="L392" s="152">
        <f t="shared" si="0"/>
        <v>0.95997851694721559</v>
      </c>
      <c r="M392" s="50">
        <v>3676709164.3400002</v>
      </c>
      <c r="N392" s="152">
        <f t="shared" si="1"/>
        <v>0.91992549293626302</v>
      </c>
      <c r="O392" s="50">
        <v>64191190.219999999</v>
      </c>
      <c r="P392" s="152">
        <f t="shared" si="2"/>
        <v>1.6060860314443471E-2</v>
      </c>
      <c r="Q392" s="50">
        <v>64191190.219999999</v>
      </c>
      <c r="R392" s="257"/>
    </row>
    <row r="393" spans="1:18" hidden="1" x14ac:dyDescent="0.25">
      <c r="A393" s="49" t="s">
        <v>711</v>
      </c>
      <c r="B393" s="49" t="s">
        <v>112</v>
      </c>
      <c r="C393" s="49" t="s">
        <v>113</v>
      </c>
      <c r="D393" s="49" t="s">
        <v>69</v>
      </c>
      <c r="E393" s="50">
        <v>3954369992</v>
      </c>
      <c r="F393" s="50">
        <v>3996086685</v>
      </c>
      <c r="G393" s="50">
        <v>3996086685</v>
      </c>
      <c r="H393" s="50">
        <v>0</v>
      </c>
      <c r="I393" s="50">
        <v>95764539.5</v>
      </c>
      <c r="J393" s="50">
        <v>0</v>
      </c>
      <c r="K393" s="50">
        <v>3836790955.2800002</v>
      </c>
      <c r="L393" s="152">
        <f t="shared" si="0"/>
        <v>0.96013706851807201</v>
      </c>
      <c r="M393" s="50">
        <v>3676709164.3400002</v>
      </c>
      <c r="N393" s="152">
        <f t="shared" si="1"/>
        <v>0.92007742928629688</v>
      </c>
      <c r="O393" s="50">
        <v>63531190.219999999</v>
      </c>
      <c r="P393" s="152">
        <f t="shared" si="2"/>
        <v>1.5898351369222113E-2</v>
      </c>
      <c r="Q393" s="50">
        <v>63531190.219999999</v>
      </c>
      <c r="R393" s="257"/>
    </row>
    <row r="394" spans="1:18" hidden="1" x14ac:dyDescent="0.25">
      <c r="A394" s="49" t="s">
        <v>711</v>
      </c>
      <c r="B394" s="49" t="s">
        <v>114</v>
      </c>
      <c r="C394" s="49" t="s">
        <v>115</v>
      </c>
      <c r="D394" s="49" t="s">
        <v>69</v>
      </c>
      <c r="E394" s="50">
        <v>2664489000</v>
      </c>
      <c r="F394" s="50">
        <v>2664489000</v>
      </c>
      <c r="G394" s="50">
        <v>2664489000</v>
      </c>
      <c r="H394" s="50">
        <v>0</v>
      </c>
      <c r="I394" s="50">
        <v>7861316.8899999997</v>
      </c>
      <c r="J394" s="50">
        <v>0</v>
      </c>
      <c r="K394" s="50">
        <v>2656627683.1100001</v>
      </c>
      <c r="L394" s="152">
        <f t="shared" si="0"/>
        <v>0.99704959679323135</v>
      </c>
      <c r="M394" s="50">
        <v>2641229051.1100001</v>
      </c>
      <c r="N394" s="152">
        <f t="shared" si="1"/>
        <v>0.99127039034876863</v>
      </c>
      <c r="O394" s="50">
        <v>0</v>
      </c>
      <c r="P394" s="152">
        <f t="shared" si="2"/>
        <v>0</v>
      </c>
      <c r="Q394" s="50">
        <v>0</v>
      </c>
      <c r="R394" s="257"/>
    </row>
    <row r="395" spans="1:18" hidden="1" x14ac:dyDescent="0.25">
      <c r="A395" s="49" t="s">
        <v>711</v>
      </c>
      <c r="B395" s="49" t="s">
        <v>116</v>
      </c>
      <c r="C395" s="49" t="s">
        <v>117</v>
      </c>
      <c r="D395" s="49" t="s">
        <v>69</v>
      </c>
      <c r="E395" s="50">
        <v>1052390992</v>
      </c>
      <c r="F395" s="50">
        <v>1097839640</v>
      </c>
      <c r="G395" s="50">
        <v>1097839640</v>
      </c>
      <c r="H395" s="50">
        <v>0</v>
      </c>
      <c r="I395" s="50">
        <v>76388227.540000007</v>
      </c>
      <c r="J395" s="50">
        <v>0</v>
      </c>
      <c r="K395" s="50">
        <v>1021451412.46</v>
      </c>
      <c r="L395" s="152">
        <f t="shared" si="0"/>
        <v>0.93041950321633493</v>
      </c>
      <c r="M395" s="50">
        <v>930162117.46000004</v>
      </c>
      <c r="N395" s="152">
        <f t="shared" si="1"/>
        <v>0.84726592442954607</v>
      </c>
      <c r="O395" s="50">
        <v>0</v>
      </c>
      <c r="P395" s="152">
        <f t="shared" si="2"/>
        <v>0</v>
      </c>
      <c r="Q395" s="50">
        <v>0</v>
      </c>
      <c r="R395" s="257"/>
    </row>
    <row r="396" spans="1:18" hidden="1" x14ac:dyDescent="0.25">
      <c r="A396" s="49" t="s">
        <v>711</v>
      </c>
      <c r="B396" s="49" t="s">
        <v>120</v>
      </c>
      <c r="C396" s="49" t="s">
        <v>121</v>
      </c>
      <c r="D396" s="49" t="s">
        <v>69</v>
      </c>
      <c r="E396" s="50">
        <v>124690000</v>
      </c>
      <c r="F396" s="50">
        <v>124690000</v>
      </c>
      <c r="G396" s="50">
        <v>124690000</v>
      </c>
      <c r="H396" s="50">
        <v>0</v>
      </c>
      <c r="I396" s="50">
        <v>11475026.470000001</v>
      </c>
      <c r="J396" s="50">
        <v>0</v>
      </c>
      <c r="K396" s="50">
        <v>113214973.53</v>
      </c>
      <c r="L396" s="152">
        <f t="shared" si="0"/>
        <v>0.90797155770310367</v>
      </c>
      <c r="M396" s="50">
        <v>59821109.590000004</v>
      </c>
      <c r="N396" s="152">
        <f t="shared" si="1"/>
        <v>0.47975867824204027</v>
      </c>
      <c r="O396" s="50">
        <v>0</v>
      </c>
      <c r="P396" s="152">
        <f t="shared" si="2"/>
        <v>0</v>
      </c>
      <c r="Q396" s="50">
        <v>0</v>
      </c>
      <c r="R396" s="257"/>
    </row>
    <row r="397" spans="1:18" hidden="1" x14ac:dyDescent="0.25">
      <c r="A397" s="49" t="s">
        <v>711</v>
      </c>
      <c r="B397" s="49" t="s">
        <v>122</v>
      </c>
      <c r="C397" s="49" t="s">
        <v>123</v>
      </c>
      <c r="D397" s="49" t="s">
        <v>69</v>
      </c>
      <c r="E397" s="50">
        <v>112800000</v>
      </c>
      <c r="F397" s="50">
        <v>109068045</v>
      </c>
      <c r="G397" s="50">
        <v>109068045</v>
      </c>
      <c r="H397" s="50">
        <v>0</v>
      </c>
      <c r="I397" s="50">
        <v>39968.6</v>
      </c>
      <c r="J397" s="50">
        <v>0</v>
      </c>
      <c r="K397" s="50">
        <v>45496886.18</v>
      </c>
      <c r="L397" s="152">
        <f t="shared" si="0"/>
        <v>0.41714221777790184</v>
      </c>
      <c r="M397" s="50">
        <v>45496886.18</v>
      </c>
      <c r="N397" s="152">
        <f t="shared" si="1"/>
        <v>0.41714221777790184</v>
      </c>
      <c r="O397" s="50">
        <v>63531190.219999999</v>
      </c>
      <c r="P397" s="152">
        <f t="shared" si="2"/>
        <v>0.58249132658424385</v>
      </c>
      <c r="Q397" s="50">
        <v>63531190.219999999</v>
      </c>
      <c r="R397" s="257"/>
    </row>
    <row r="398" spans="1:18" hidden="1" x14ac:dyDescent="0.25">
      <c r="A398" s="49" t="s">
        <v>711</v>
      </c>
      <c r="B398" s="49" t="s">
        <v>134</v>
      </c>
      <c r="C398" s="49" t="s">
        <v>135</v>
      </c>
      <c r="D398" s="49" t="s">
        <v>69</v>
      </c>
      <c r="E398" s="50">
        <v>340000</v>
      </c>
      <c r="F398" s="50">
        <v>340000</v>
      </c>
      <c r="G398" s="50">
        <v>340000</v>
      </c>
      <c r="H398" s="50">
        <v>0</v>
      </c>
      <c r="I398" s="50">
        <v>0</v>
      </c>
      <c r="J398" s="50">
        <v>0</v>
      </c>
      <c r="K398" s="50">
        <v>0</v>
      </c>
      <c r="L398" s="152">
        <f t="shared" si="0"/>
        <v>0</v>
      </c>
      <c r="M398" s="50">
        <v>0</v>
      </c>
      <c r="N398" s="152">
        <f t="shared" si="1"/>
        <v>0</v>
      </c>
      <c r="O398" s="50">
        <v>340000</v>
      </c>
      <c r="P398" s="152">
        <f t="shared" si="2"/>
        <v>1</v>
      </c>
      <c r="Q398" s="50">
        <v>340000</v>
      </c>
      <c r="R398" s="257"/>
    </row>
    <row r="399" spans="1:18" hidden="1" x14ac:dyDescent="0.25">
      <c r="A399" s="49" t="s">
        <v>711</v>
      </c>
      <c r="B399" s="49" t="s">
        <v>346</v>
      </c>
      <c r="C399" s="49" t="s">
        <v>347</v>
      </c>
      <c r="D399" s="49" t="s">
        <v>69</v>
      </c>
      <c r="E399" s="50">
        <v>180000</v>
      </c>
      <c r="F399" s="50">
        <v>180000</v>
      </c>
      <c r="G399" s="50">
        <v>180000</v>
      </c>
      <c r="H399" s="50">
        <v>0</v>
      </c>
      <c r="I399" s="50">
        <v>0</v>
      </c>
      <c r="J399" s="50">
        <v>0</v>
      </c>
      <c r="K399" s="50">
        <v>0</v>
      </c>
      <c r="L399" s="152">
        <f t="shared" si="0"/>
        <v>0</v>
      </c>
      <c r="M399" s="50">
        <v>0</v>
      </c>
      <c r="N399" s="152">
        <f t="shared" si="1"/>
        <v>0</v>
      </c>
      <c r="O399" s="50">
        <v>180000</v>
      </c>
      <c r="P399" s="152">
        <f t="shared" si="2"/>
        <v>1</v>
      </c>
      <c r="Q399" s="50">
        <v>180000</v>
      </c>
      <c r="R399" s="257"/>
    </row>
    <row r="400" spans="1:18" hidden="1" x14ac:dyDescent="0.25">
      <c r="A400" s="49" t="s">
        <v>711</v>
      </c>
      <c r="B400" s="49" t="s">
        <v>138</v>
      </c>
      <c r="C400" s="49" t="s">
        <v>139</v>
      </c>
      <c r="D400" s="49" t="s">
        <v>69</v>
      </c>
      <c r="E400" s="50">
        <v>160000</v>
      </c>
      <c r="F400" s="50">
        <v>160000</v>
      </c>
      <c r="G400" s="50">
        <v>160000</v>
      </c>
      <c r="H400" s="50">
        <v>0</v>
      </c>
      <c r="I400" s="50">
        <v>0</v>
      </c>
      <c r="J400" s="50">
        <v>0</v>
      </c>
      <c r="K400" s="50">
        <v>0</v>
      </c>
      <c r="L400" s="152">
        <f t="shared" si="0"/>
        <v>0</v>
      </c>
      <c r="M400" s="50">
        <v>0</v>
      </c>
      <c r="N400" s="152">
        <f t="shared" si="1"/>
        <v>0</v>
      </c>
      <c r="O400" s="50">
        <v>160000</v>
      </c>
      <c r="P400" s="152">
        <f t="shared" si="2"/>
        <v>1</v>
      </c>
      <c r="Q400" s="50">
        <v>160000</v>
      </c>
      <c r="R400" s="257"/>
    </row>
    <row r="401" spans="1:18" hidden="1" x14ac:dyDescent="0.25">
      <c r="A401" s="49" t="s">
        <v>711</v>
      </c>
      <c r="B401" s="49" t="s">
        <v>140</v>
      </c>
      <c r="C401" s="49" t="s">
        <v>141</v>
      </c>
      <c r="D401" s="49" t="s">
        <v>69</v>
      </c>
      <c r="E401" s="50">
        <v>0</v>
      </c>
      <c r="F401" s="50">
        <v>0</v>
      </c>
      <c r="G401" s="50">
        <v>0</v>
      </c>
      <c r="H401" s="50">
        <v>0</v>
      </c>
      <c r="I401" s="50">
        <v>0</v>
      </c>
      <c r="J401" s="50">
        <v>0</v>
      </c>
      <c r="K401" s="50">
        <v>0</v>
      </c>
      <c r="L401" s="152" t="e">
        <f t="shared" si="0"/>
        <v>#DIV/0!</v>
      </c>
      <c r="M401" s="50">
        <v>0</v>
      </c>
      <c r="N401" s="152" t="e">
        <f t="shared" si="1"/>
        <v>#DIV/0!</v>
      </c>
      <c r="O401" s="50">
        <v>0</v>
      </c>
      <c r="P401" s="152" t="e">
        <f t="shared" si="2"/>
        <v>#DIV/0!</v>
      </c>
      <c r="Q401" s="50">
        <v>0</v>
      </c>
      <c r="R401" s="257"/>
    </row>
    <row r="402" spans="1:18" hidden="1" x14ac:dyDescent="0.25">
      <c r="A402" s="49" t="s">
        <v>711</v>
      </c>
      <c r="B402" s="49" t="s">
        <v>144</v>
      </c>
      <c r="C402" s="49" t="s">
        <v>145</v>
      </c>
      <c r="D402" s="49" t="s">
        <v>69</v>
      </c>
      <c r="E402" s="50">
        <v>0</v>
      </c>
      <c r="F402" s="50">
        <v>0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152" t="e">
        <f t="shared" si="0"/>
        <v>#DIV/0!</v>
      </c>
      <c r="M402" s="50">
        <v>0</v>
      </c>
      <c r="N402" s="152" t="e">
        <f t="shared" si="1"/>
        <v>#DIV/0!</v>
      </c>
      <c r="O402" s="50">
        <v>0</v>
      </c>
      <c r="P402" s="152" t="e">
        <f t="shared" si="2"/>
        <v>#DIV/0!</v>
      </c>
      <c r="Q402" s="50">
        <v>0</v>
      </c>
      <c r="R402" s="257"/>
    </row>
    <row r="403" spans="1:18" hidden="1" x14ac:dyDescent="0.25">
      <c r="A403" s="49" t="s">
        <v>711</v>
      </c>
      <c r="B403" s="49" t="s">
        <v>162</v>
      </c>
      <c r="C403" s="49" t="s">
        <v>163</v>
      </c>
      <c r="D403" s="49" t="s">
        <v>69</v>
      </c>
      <c r="E403" s="50">
        <v>1120000</v>
      </c>
      <c r="F403" s="50">
        <v>320000</v>
      </c>
      <c r="G403" s="50">
        <v>320000</v>
      </c>
      <c r="H403" s="50">
        <v>0</v>
      </c>
      <c r="I403" s="50">
        <v>0</v>
      </c>
      <c r="J403" s="50">
        <v>0</v>
      </c>
      <c r="K403" s="50">
        <v>0</v>
      </c>
      <c r="L403" s="152">
        <f t="shared" si="0"/>
        <v>0</v>
      </c>
      <c r="M403" s="50">
        <v>0</v>
      </c>
      <c r="N403" s="152">
        <f t="shared" si="1"/>
        <v>0</v>
      </c>
      <c r="O403" s="50">
        <v>320000</v>
      </c>
      <c r="P403" s="152">
        <f t="shared" si="2"/>
        <v>1</v>
      </c>
      <c r="Q403" s="50">
        <v>320000</v>
      </c>
      <c r="R403" s="257"/>
    </row>
    <row r="404" spans="1:18" hidden="1" x14ac:dyDescent="0.25">
      <c r="A404" s="49" t="s">
        <v>711</v>
      </c>
      <c r="B404" s="49" t="s">
        <v>164</v>
      </c>
      <c r="C404" s="49" t="s">
        <v>165</v>
      </c>
      <c r="D404" s="49" t="s">
        <v>69</v>
      </c>
      <c r="E404" s="50">
        <v>800000</v>
      </c>
      <c r="F404" s="50">
        <v>0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152" t="e">
        <f t="shared" si="0"/>
        <v>#DIV/0!</v>
      </c>
      <c r="M404" s="50">
        <v>0</v>
      </c>
      <c r="N404" s="152" t="e">
        <f t="shared" si="1"/>
        <v>#DIV/0!</v>
      </c>
      <c r="O404" s="50">
        <v>0</v>
      </c>
      <c r="P404" s="152" t="e">
        <f t="shared" si="2"/>
        <v>#DIV/0!</v>
      </c>
      <c r="Q404" s="50">
        <v>0</v>
      </c>
      <c r="R404" s="257"/>
    </row>
    <row r="405" spans="1:18" hidden="1" x14ac:dyDescent="0.25">
      <c r="A405" s="49" t="s">
        <v>711</v>
      </c>
      <c r="B405" s="49" t="s">
        <v>172</v>
      </c>
      <c r="C405" s="49" t="s">
        <v>173</v>
      </c>
      <c r="D405" s="49" t="s">
        <v>69</v>
      </c>
      <c r="E405" s="50">
        <v>320000</v>
      </c>
      <c r="F405" s="50">
        <v>320000</v>
      </c>
      <c r="G405" s="50">
        <v>320000</v>
      </c>
      <c r="H405" s="50">
        <v>0</v>
      </c>
      <c r="I405" s="50">
        <v>0</v>
      </c>
      <c r="J405" s="50">
        <v>0</v>
      </c>
      <c r="K405" s="50">
        <v>0</v>
      </c>
      <c r="L405" s="152">
        <f t="shared" si="0"/>
        <v>0</v>
      </c>
      <c r="M405" s="50">
        <v>0</v>
      </c>
      <c r="N405" s="152">
        <f t="shared" si="1"/>
        <v>0</v>
      </c>
      <c r="O405" s="50">
        <v>320000</v>
      </c>
      <c r="P405" s="152">
        <f t="shared" si="2"/>
        <v>1</v>
      </c>
      <c r="Q405" s="50">
        <v>320000</v>
      </c>
      <c r="R405" s="257"/>
    </row>
    <row r="406" spans="1:18" hidden="1" x14ac:dyDescent="0.25">
      <c r="A406" s="49" t="s">
        <v>711</v>
      </c>
      <c r="B406" s="49" t="s">
        <v>184</v>
      </c>
      <c r="C406" s="49" t="s">
        <v>185</v>
      </c>
      <c r="D406" s="49" t="s">
        <v>69</v>
      </c>
      <c r="E406" s="50">
        <v>9762991308</v>
      </c>
      <c r="F406" s="50">
        <v>9912033764</v>
      </c>
      <c r="G406" s="50">
        <v>9912033764</v>
      </c>
      <c r="H406" s="50">
        <v>0</v>
      </c>
      <c r="I406" s="50">
        <v>668720402.29999995</v>
      </c>
      <c r="J406" s="50">
        <v>0</v>
      </c>
      <c r="K406" s="50">
        <v>9136790605.7199993</v>
      </c>
      <c r="L406" s="152">
        <f t="shared" si="0"/>
        <v>0.92178767983058696</v>
      </c>
      <c r="M406" s="50">
        <v>6935079875.4799995</v>
      </c>
      <c r="N406" s="152">
        <f t="shared" si="1"/>
        <v>0.69966265658495386</v>
      </c>
      <c r="O406" s="50">
        <v>106522755.98</v>
      </c>
      <c r="P406" s="152">
        <f t="shared" si="2"/>
        <v>1.0746811251479511E-2</v>
      </c>
      <c r="Q406" s="50">
        <v>106522755.98</v>
      </c>
      <c r="R406" s="257"/>
    </row>
    <row r="407" spans="1:18" hidden="1" x14ac:dyDescent="0.25">
      <c r="A407" s="49" t="s">
        <v>711</v>
      </c>
      <c r="B407" s="49" t="s">
        <v>186</v>
      </c>
      <c r="C407" s="49" t="s">
        <v>187</v>
      </c>
      <c r="D407" s="49" t="s">
        <v>69</v>
      </c>
      <c r="E407" s="50">
        <v>20114885</v>
      </c>
      <c r="F407" s="50">
        <v>11692175</v>
      </c>
      <c r="G407" s="50">
        <v>11692175</v>
      </c>
      <c r="H407" s="50">
        <v>0</v>
      </c>
      <c r="I407" s="50">
        <v>0</v>
      </c>
      <c r="J407" s="50">
        <v>0</v>
      </c>
      <c r="K407" s="50">
        <v>7966444.21</v>
      </c>
      <c r="L407" s="152">
        <f t="shared" si="0"/>
        <v>0.68134835563100959</v>
      </c>
      <c r="M407" s="50">
        <v>7966444.21</v>
      </c>
      <c r="N407" s="152">
        <f t="shared" si="1"/>
        <v>0.68134835563100959</v>
      </c>
      <c r="O407" s="50">
        <v>3725730.79</v>
      </c>
      <c r="P407" s="152">
        <f t="shared" si="2"/>
        <v>0.31865164436899035</v>
      </c>
      <c r="Q407" s="50">
        <v>3725730.79</v>
      </c>
      <c r="R407" s="257"/>
    </row>
    <row r="408" spans="1:18" hidden="1" x14ac:dyDescent="0.25">
      <c r="A408" s="49" t="s">
        <v>711</v>
      </c>
      <c r="B408" s="49" t="s">
        <v>188</v>
      </c>
      <c r="C408" s="49" t="s">
        <v>189</v>
      </c>
      <c r="D408" s="49" t="s">
        <v>69</v>
      </c>
      <c r="E408" s="50">
        <v>4558400</v>
      </c>
      <c r="F408" s="50">
        <v>1139600</v>
      </c>
      <c r="G408" s="50">
        <v>1139600</v>
      </c>
      <c r="H408" s="50">
        <v>0</v>
      </c>
      <c r="I408" s="50">
        <v>0</v>
      </c>
      <c r="J408" s="50">
        <v>0</v>
      </c>
      <c r="K408" s="50">
        <v>0</v>
      </c>
      <c r="L408" s="152">
        <f t="shared" si="0"/>
        <v>0</v>
      </c>
      <c r="M408" s="50">
        <v>0</v>
      </c>
      <c r="N408" s="152">
        <f t="shared" si="1"/>
        <v>0</v>
      </c>
      <c r="O408" s="50">
        <v>1139600</v>
      </c>
      <c r="P408" s="152">
        <f t="shared" si="2"/>
        <v>1</v>
      </c>
      <c r="Q408" s="50">
        <v>1139600</v>
      </c>
      <c r="R408" s="257"/>
    </row>
    <row r="409" spans="1:18" hidden="1" x14ac:dyDescent="0.25">
      <c r="A409" s="49" t="s">
        <v>711</v>
      </c>
      <c r="B409" s="49" t="s">
        <v>190</v>
      </c>
      <c r="C409" s="49" t="s">
        <v>191</v>
      </c>
      <c r="D409" s="49" t="s">
        <v>69</v>
      </c>
      <c r="E409" s="50">
        <v>1998283</v>
      </c>
      <c r="F409" s="50">
        <v>3616643</v>
      </c>
      <c r="G409" s="50">
        <v>3616643</v>
      </c>
      <c r="H409" s="50">
        <v>0</v>
      </c>
      <c r="I409" s="50">
        <v>0</v>
      </c>
      <c r="J409" s="50">
        <v>0</v>
      </c>
      <c r="K409" s="50">
        <v>1657639.52</v>
      </c>
      <c r="L409" s="152">
        <f t="shared" si="0"/>
        <v>0.45833650708682055</v>
      </c>
      <c r="M409" s="50">
        <v>1657639.52</v>
      </c>
      <c r="N409" s="152">
        <f t="shared" si="1"/>
        <v>0.45833650708682055</v>
      </c>
      <c r="O409" s="50">
        <v>1959003.48</v>
      </c>
      <c r="P409" s="152">
        <f t="shared" si="2"/>
        <v>0.54166349291317939</v>
      </c>
      <c r="Q409" s="50">
        <v>1959003.48</v>
      </c>
      <c r="R409" s="257"/>
    </row>
    <row r="410" spans="1:18" hidden="1" x14ac:dyDescent="0.25">
      <c r="A410" s="49" t="s">
        <v>711</v>
      </c>
      <c r="B410" s="49" t="s">
        <v>350</v>
      </c>
      <c r="C410" s="49" t="s">
        <v>351</v>
      </c>
      <c r="D410" s="49" t="s">
        <v>69</v>
      </c>
      <c r="E410" s="50">
        <v>1432676</v>
      </c>
      <c r="F410" s="50">
        <v>1432676</v>
      </c>
      <c r="G410" s="50">
        <v>1432676</v>
      </c>
      <c r="H410" s="50">
        <v>0</v>
      </c>
      <c r="I410" s="50">
        <v>0</v>
      </c>
      <c r="J410" s="50">
        <v>0</v>
      </c>
      <c r="K410" s="50">
        <v>1170358.99</v>
      </c>
      <c r="L410" s="152">
        <f t="shared" si="0"/>
        <v>0.81690416395612131</v>
      </c>
      <c r="M410" s="50">
        <v>1170358.99</v>
      </c>
      <c r="N410" s="152">
        <f t="shared" si="1"/>
        <v>0.81690416395612131</v>
      </c>
      <c r="O410" s="50">
        <v>262317.01</v>
      </c>
      <c r="P410" s="152">
        <f t="shared" si="2"/>
        <v>0.18309583604387875</v>
      </c>
      <c r="Q410" s="50">
        <v>262317.01</v>
      </c>
      <c r="R410" s="257"/>
    </row>
    <row r="411" spans="1:18" hidden="1" x14ac:dyDescent="0.25">
      <c r="A411" s="49" t="s">
        <v>711</v>
      </c>
      <c r="B411" s="49" t="s">
        <v>194</v>
      </c>
      <c r="C411" s="49" t="s">
        <v>195</v>
      </c>
      <c r="D411" s="49" t="s">
        <v>69</v>
      </c>
      <c r="E411" s="50">
        <v>12125526</v>
      </c>
      <c r="F411" s="50">
        <v>5503256</v>
      </c>
      <c r="G411" s="50">
        <v>5503256</v>
      </c>
      <c r="H411" s="50">
        <v>0</v>
      </c>
      <c r="I411" s="50">
        <v>0</v>
      </c>
      <c r="J411" s="50">
        <v>0</v>
      </c>
      <c r="K411" s="50">
        <v>5138445.7</v>
      </c>
      <c r="L411" s="152">
        <f t="shared" si="0"/>
        <v>0.93371009816733952</v>
      </c>
      <c r="M411" s="50">
        <v>5138445.7</v>
      </c>
      <c r="N411" s="152">
        <f t="shared" si="1"/>
        <v>0.93371009816733952</v>
      </c>
      <c r="O411" s="50">
        <v>364810.3</v>
      </c>
      <c r="P411" s="152">
        <f t="shared" si="2"/>
        <v>6.6289901832660522E-2</v>
      </c>
      <c r="Q411" s="50">
        <v>364810.3</v>
      </c>
      <c r="R411" s="257"/>
    </row>
    <row r="412" spans="1:18" hidden="1" x14ac:dyDescent="0.25">
      <c r="A412" s="49" t="s">
        <v>711</v>
      </c>
      <c r="B412" s="49" t="s">
        <v>196</v>
      </c>
      <c r="C412" s="49" t="s">
        <v>197</v>
      </c>
      <c r="D412" s="49" t="s">
        <v>69</v>
      </c>
      <c r="E412" s="50">
        <v>9704809902</v>
      </c>
      <c r="F412" s="50">
        <v>9877793690</v>
      </c>
      <c r="G412" s="50">
        <v>9877793690</v>
      </c>
      <c r="H412" s="50">
        <v>0</v>
      </c>
      <c r="I412" s="50">
        <v>666924462.13</v>
      </c>
      <c r="J412" s="50">
        <v>0</v>
      </c>
      <c r="K412" s="50">
        <v>9114376934.6399994</v>
      </c>
      <c r="L412" s="152">
        <f t="shared" si="0"/>
        <v>0.92271383880664948</v>
      </c>
      <c r="M412" s="50">
        <v>6914595356.6000004</v>
      </c>
      <c r="N412" s="152">
        <f t="shared" si="1"/>
        <v>0.70001415028541669</v>
      </c>
      <c r="O412" s="50">
        <v>96492293.230000004</v>
      </c>
      <c r="P412" s="152">
        <f t="shared" si="2"/>
        <v>9.768607875226841E-3</v>
      </c>
      <c r="Q412" s="50">
        <v>96492293.230000004</v>
      </c>
      <c r="R412" s="257"/>
    </row>
    <row r="413" spans="1:18" hidden="1" x14ac:dyDescent="0.25">
      <c r="A413" s="49" t="s">
        <v>711</v>
      </c>
      <c r="B413" s="49" t="s">
        <v>579</v>
      </c>
      <c r="C413" s="49" t="s">
        <v>580</v>
      </c>
      <c r="D413" s="49" t="s">
        <v>69</v>
      </c>
      <c r="E413" s="50">
        <v>3494885</v>
      </c>
      <c r="F413" s="50">
        <v>2541545</v>
      </c>
      <c r="G413" s="50">
        <v>2541545</v>
      </c>
      <c r="H413" s="50">
        <v>0</v>
      </c>
      <c r="I413" s="50">
        <v>0</v>
      </c>
      <c r="J413" s="50">
        <v>0</v>
      </c>
      <c r="K413" s="50">
        <v>1863935</v>
      </c>
      <c r="L413" s="152">
        <f t="shared" si="0"/>
        <v>0.73338658178391491</v>
      </c>
      <c r="M413" s="50">
        <v>1863935</v>
      </c>
      <c r="N413" s="152">
        <f t="shared" si="1"/>
        <v>0.73338658178391491</v>
      </c>
      <c r="O413" s="50">
        <v>677610</v>
      </c>
      <c r="P413" s="152">
        <f t="shared" si="2"/>
        <v>0.26661341821608509</v>
      </c>
      <c r="Q413" s="50">
        <v>677610</v>
      </c>
      <c r="R413" s="257"/>
    </row>
    <row r="414" spans="1:18" hidden="1" x14ac:dyDescent="0.25">
      <c r="A414" s="49" t="s">
        <v>711</v>
      </c>
      <c r="B414" s="49" t="s">
        <v>198</v>
      </c>
      <c r="C414" s="49" t="s">
        <v>199</v>
      </c>
      <c r="D414" s="49" t="s">
        <v>69</v>
      </c>
      <c r="E414" s="50">
        <v>9654391017</v>
      </c>
      <c r="F414" s="50">
        <v>9848659153</v>
      </c>
      <c r="G414" s="50">
        <v>9848659153</v>
      </c>
      <c r="H414" s="50">
        <v>0</v>
      </c>
      <c r="I414" s="50">
        <v>661059329.17999995</v>
      </c>
      <c r="J414" s="50">
        <v>0</v>
      </c>
      <c r="K414" s="50">
        <v>9096085141.5699997</v>
      </c>
      <c r="L414" s="152">
        <f t="shared" si="0"/>
        <v>0.92358614510476189</v>
      </c>
      <c r="M414" s="50">
        <v>6896303563.5299997</v>
      </c>
      <c r="N414" s="152">
        <f t="shared" si="1"/>
        <v>0.70022766108514545</v>
      </c>
      <c r="O414" s="50">
        <v>91514682.25</v>
      </c>
      <c r="P414" s="152">
        <f t="shared" si="2"/>
        <v>9.2920955866488391E-3</v>
      </c>
      <c r="Q414" s="50">
        <v>91514682.25</v>
      </c>
      <c r="R414" s="257"/>
    </row>
    <row r="415" spans="1:18" hidden="1" x14ac:dyDescent="0.25">
      <c r="A415" s="49" t="s">
        <v>711</v>
      </c>
      <c r="B415" s="49" t="s">
        <v>352</v>
      </c>
      <c r="C415" s="49" t="s">
        <v>353</v>
      </c>
      <c r="D415" s="49" t="s">
        <v>69</v>
      </c>
      <c r="E415" s="50">
        <v>46924000</v>
      </c>
      <c r="F415" s="50">
        <v>26592992</v>
      </c>
      <c r="G415" s="50">
        <v>26592992</v>
      </c>
      <c r="H415" s="50">
        <v>0</v>
      </c>
      <c r="I415" s="50">
        <v>5865132.9500000002</v>
      </c>
      <c r="J415" s="50">
        <v>0</v>
      </c>
      <c r="K415" s="50">
        <v>16427858.07</v>
      </c>
      <c r="L415" s="152">
        <f t="shared" si="0"/>
        <v>0.61775140119622496</v>
      </c>
      <c r="M415" s="50">
        <v>16427858.07</v>
      </c>
      <c r="N415" s="152">
        <f t="shared" si="1"/>
        <v>0.61775140119622496</v>
      </c>
      <c r="O415" s="50">
        <v>4300000.9800000004</v>
      </c>
      <c r="P415" s="152">
        <f t="shared" si="2"/>
        <v>0.16169677259332085</v>
      </c>
      <c r="Q415" s="50">
        <v>4300000.9800000004</v>
      </c>
      <c r="R415" s="257"/>
    </row>
    <row r="416" spans="1:18" hidden="1" x14ac:dyDescent="0.25">
      <c r="A416" s="49" t="s">
        <v>711</v>
      </c>
      <c r="B416" s="49" t="s">
        <v>198</v>
      </c>
      <c r="C416" s="49" t="s">
        <v>199</v>
      </c>
      <c r="D416" s="49" t="s">
        <v>85</v>
      </c>
      <c r="E416" s="50">
        <v>0</v>
      </c>
      <c r="F416" s="50">
        <v>0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152" t="e">
        <f t="shared" si="0"/>
        <v>#DIV/0!</v>
      </c>
      <c r="M416" s="50">
        <v>0</v>
      </c>
      <c r="N416" s="152" t="e">
        <f t="shared" si="1"/>
        <v>#DIV/0!</v>
      </c>
      <c r="O416" s="50">
        <v>0</v>
      </c>
      <c r="P416" s="152" t="e">
        <f t="shared" si="2"/>
        <v>#DIV/0!</v>
      </c>
      <c r="Q416" s="50">
        <v>0</v>
      </c>
      <c r="R416" s="257"/>
    </row>
    <row r="417" spans="1:18" hidden="1" x14ac:dyDescent="0.25">
      <c r="A417" s="49" t="s">
        <v>711</v>
      </c>
      <c r="B417" s="49" t="s">
        <v>200</v>
      </c>
      <c r="C417" s="49" t="s">
        <v>201</v>
      </c>
      <c r="D417" s="49" t="s">
        <v>69</v>
      </c>
      <c r="E417" s="50">
        <v>9701312</v>
      </c>
      <c r="F417" s="50">
        <v>7211590</v>
      </c>
      <c r="G417" s="50">
        <v>7211590</v>
      </c>
      <c r="H417" s="50">
        <v>0</v>
      </c>
      <c r="I417" s="50">
        <v>173340.15</v>
      </c>
      <c r="J417" s="50">
        <v>0</v>
      </c>
      <c r="K417" s="50">
        <v>5501736.3300000001</v>
      </c>
      <c r="L417" s="152">
        <f t="shared" si="0"/>
        <v>0.76290198555380995</v>
      </c>
      <c r="M417" s="50">
        <v>5501736.3300000001</v>
      </c>
      <c r="N417" s="152">
        <f t="shared" si="1"/>
        <v>0.76290198555380995</v>
      </c>
      <c r="O417" s="50">
        <v>1536513.52</v>
      </c>
      <c r="P417" s="152">
        <f t="shared" si="2"/>
        <v>0.21306168542582149</v>
      </c>
      <c r="Q417" s="50">
        <v>1536513.52</v>
      </c>
      <c r="R417" s="257"/>
    </row>
    <row r="418" spans="1:18" hidden="1" x14ac:dyDescent="0.25">
      <c r="A418" s="49" t="s">
        <v>711</v>
      </c>
      <c r="B418" s="49" t="s">
        <v>314</v>
      </c>
      <c r="C418" s="49" t="s">
        <v>315</v>
      </c>
      <c r="D418" s="49" t="s">
        <v>69</v>
      </c>
      <c r="E418" s="50">
        <v>3440012</v>
      </c>
      <c r="F418" s="50">
        <v>2712258</v>
      </c>
      <c r="G418" s="50">
        <v>2712258</v>
      </c>
      <c r="H418" s="50">
        <v>0</v>
      </c>
      <c r="I418" s="50">
        <v>173340.15</v>
      </c>
      <c r="J418" s="50">
        <v>0</v>
      </c>
      <c r="K418" s="50">
        <v>2418048.58</v>
      </c>
      <c r="L418" s="152">
        <f t="shared" si="0"/>
        <v>0.89152602001726977</v>
      </c>
      <c r="M418" s="50">
        <v>2418048.58</v>
      </c>
      <c r="N418" s="152">
        <f t="shared" si="1"/>
        <v>0.89152602001726977</v>
      </c>
      <c r="O418" s="50">
        <v>120869.27</v>
      </c>
      <c r="P418" s="152">
        <f t="shared" si="2"/>
        <v>4.4564075394007502E-2</v>
      </c>
      <c r="Q418" s="50">
        <v>120869.27</v>
      </c>
      <c r="R418" s="257"/>
    </row>
    <row r="419" spans="1:18" hidden="1" x14ac:dyDescent="0.25">
      <c r="A419" s="49" t="s">
        <v>711</v>
      </c>
      <c r="B419" s="49" t="s">
        <v>316</v>
      </c>
      <c r="C419" s="49" t="s">
        <v>317</v>
      </c>
      <c r="D419" s="49" t="s">
        <v>69</v>
      </c>
      <c r="E419" s="50">
        <v>678950</v>
      </c>
      <c r="F419" s="50">
        <v>0</v>
      </c>
      <c r="G419" s="50">
        <v>0</v>
      </c>
      <c r="H419" s="50">
        <v>0</v>
      </c>
      <c r="I419" s="50">
        <v>0</v>
      </c>
      <c r="J419" s="50">
        <v>0</v>
      </c>
      <c r="K419" s="50">
        <v>0</v>
      </c>
      <c r="L419" s="152" t="e">
        <f t="shared" si="0"/>
        <v>#DIV/0!</v>
      </c>
      <c r="M419" s="50">
        <v>0</v>
      </c>
      <c r="N419" s="152" t="e">
        <f t="shared" si="1"/>
        <v>#DIV/0!</v>
      </c>
      <c r="O419" s="50">
        <v>0</v>
      </c>
      <c r="P419" s="152" t="e">
        <f t="shared" si="2"/>
        <v>#DIV/0!</v>
      </c>
      <c r="Q419" s="50">
        <v>0</v>
      </c>
      <c r="R419" s="257"/>
    </row>
    <row r="420" spans="1:18" hidden="1" x14ac:dyDescent="0.25">
      <c r="A420" s="49" t="s">
        <v>711</v>
      </c>
      <c r="B420" s="49" t="s">
        <v>318</v>
      </c>
      <c r="C420" s="49" t="s">
        <v>319</v>
      </c>
      <c r="D420" s="49" t="s">
        <v>69</v>
      </c>
      <c r="E420" s="50">
        <v>648835</v>
      </c>
      <c r="F420" s="50">
        <v>60000</v>
      </c>
      <c r="G420" s="50">
        <v>60000</v>
      </c>
      <c r="H420" s="50">
        <v>0</v>
      </c>
      <c r="I420" s="50">
        <v>0</v>
      </c>
      <c r="J420" s="50">
        <v>0</v>
      </c>
      <c r="K420" s="50">
        <v>0</v>
      </c>
      <c r="L420" s="152">
        <f t="shared" si="0"/>
        <v>0</v>
      </c>
      <c r="M420" s="50">
        <v>0</v>
      </c>
      <c r="N420" s="152">
        <f t="shared" si="1"/>
        <v>0</v>
      </c>
      <c r="O420" s="50">
        <v>60000</v>
      </c>
      <c r="P420" s="152">
        <f t="shared" si="2"/>
        <v>1</v>
      </c>
      <c r="Q420" s="50">
        <v>60000</v>
      </c>
      <c r="R420" s="257"/>
    </row>
    <row r="421" spans="1:18" hidden="1" x14ac:dyDescent="0.25">
      <c r="A421" s="49" t="s">
        <v>711</v>
      </c>
      <c r="B421" s="49" t="s">
        <v>202</v>
      </c>
      <c r="C421" s="49" t="s">
        <v>203</v>
      </c>
      <c r="D421" s="49" t="s">
        <v>69</v>
      </c>
      <c r="E421" s="50">
        <v>274510</v>
      </c>
      <c r="F421" s="50">
        <v>274510</v>
      </c>
      <c r="G421" s="50">
        <v>274510</v>
      </c>
      <c r="H421" s="50">
        <v>0</v>
      </c>
      <c r="I421" s="50">
        <v>0</v>
      </c>
      <c r="J421" s="50">
        <v>0</v>
      </c>
      <c r="K421" s="50">
        <v>112924.29</v>
      </c>
      <c r="L421" s="152">
        <f t="shared" si="0"/>
        <v>0.41136676259516958</v>
      </c>
      <c r="M421" s="50">
        <v>112924.29</v>
      </c>
      <c r="N421" s="152">
        <f t="shared" si="1"/>
        <v>0.41136676259516958</v>
      </c>
      <c r="O421" s="50">
        <v>161585.71</v>
      </c>
      <c r="P421" s="152">
        <f t="shared" si="2"/>
        <v>0.58863323740483042</v>
      </c>
      <c r="Q421" s="50">
        <v>161585.71</v>
      </c>
      <c r="R421" s="257"/>
    </row>
    <row r="422" spans="1:18" hidden="1" x14ac:dyDescent="0.25">
      <c r="A422" s="49" t="s">
        <v>711</v>
      </c>
      <c r="B422" s="49" t="s">
        <v>204</v>
      </c>
      <c r="C422" s="49" t="s">
        <v>205</v>
      </c>
      <c r="D422" s="49" t="s">
        <v>69</v>
      </c>
      <c r="E422" s="50">
        <v>4524220</v>
      </c>
      <c r="F422" s="50">
        <v>4151343</v>
      </c>
      <c r="G422" s="50">
        <v>4151343</v>
      </c>
      <c r="H422" s="50">
        <v>0</v>
      </c>
      <c r="I422" s="50">
        <v>0</v>
      </c>
      <c r="J422" s="50">
        <v>0</v>
      </c>
      <c r="K422" s="50">
        <v>2970763.46</v>
      </c>
      <c r="L422" s="152">
        <f t="shared" si="0"/>
        <v>0.715615033496389</v>
      </c>
      <c r="M422" s="50">
        <v>2970763.46</v>
      </c>
      <c r="N422" s="152">
        <f t="shared" si="1"/>
        <v>0.715615033496389</v>
      </c>
      <c r="O422" s="50">
        <v>1180579.54</v>
      </c>
      <c r="P422" s="152">
        <f t="shared" si="2"/>
        <v>0.284384966503611</v>
      </c>
      <c r="Q422" s="50">
        <v>1180579.54</v>
      </c>
      <c r="R422" s="257"/>
    </row>
    <row r="423" spans="1:18" hidden="1" x14ac:dyDescent="0.25">
      <c r="A423" s="49" t="s">
        <v>711</v>
      </c>
      <c r="B423" s="49" t="s">
        <v>322</v>
      </c>
      <c r="C423" s="49" t="s">
        <v>323</v>
      </c>
      <c r="D423" s="49" t="s">
        <v>69</v>
      </c>
      <c r="E423" s="50">
        <v>134785</v>
      </c>
      <c r="F423" s="50">
        <v>13479</v>
      </c>
      <c r="G423" s="50">
        <v>13479</v>
      </c>
      <c r="H423" s="50">
        <v>0</v>
      </c>
      <c r="I423" s="50">
        <v>0</v>
      </c>
      <c r="J423" s="50">
        <v>0</v>
      </c>
      <c r="K423" s="50">
        <v>0</v>
      </c>
      <c r="L423" s="152">
        <f t="shared" si="0"/>
        <v>0</v>
      </c>
      <c r="M423" s="50">
        <v>0</v>
      </c>
      <c r="N423" s="152">
        <f t="shared" si="1"/>
        <v>0</v>
      </c>
      <c r="O423" s="50">
        <v>13479</v>
      </c>
      <c r="P423" s="152">
        <f t="shared" si="2"/>
        <v>1</v>
      </c>
      <c r="Q423" s="50">
        <v>13479</v>
      </c>
      <c r="R423" s="257"/>
    </row>
    <row r="424" spans="1:18" hidden="1" x14ac:dyDescent="0.25">
      <c r="A424" s="49" t="s">
        <v>711</v>
      </c>
      <c r="B424" s="49" t="s">
        <v>206</v>
      </c>
      <c r="C424" s="49" t="s">
        <v>207</v>
      </c>
      <c r="D424" s="49" t="s">
        <v>69</v>
      </c>
      <c r="E424" s="50">
        <v>4818247</v>
      </c>
      <c r="F424" s="50">
        <v>0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152" t="e">
        <f t="shared" si="0"/>
        <v>#DIV/0!</v>
      </c>
      <c r="M424" s="50">
        <v>0</v>
      </c>
      <c r="N424" s="152" t="e">
        <f t="shared" si="1"/>
        <v>#DIV/0!</v>
      </c>
      <c r="O424" s="50">
        <v>0</v>
      </c>
      <c r="P424" s="152" t="e">
        <f t="shared" si="2"/>
        <v>#DIV/0!</v>
      </c>
      <c r="Q424" s="50">
        <v>0</v>
      </c>
      <c r="R424" s="257"/>
    </row>
    <row r="425" spans="1:18" hidden="1" x14ac:dyDescent="0.25">
      <c r="A425" s="49" t="s">
        <v>711</v>
      </c>
      <c r="B425" s="49" t="s">
        <v>208</v>
      </c>
      <c r="C425" s="49" t="s">
        <v>209</v>
      </c>
      <c r="D425" s="49" t="s">
        <v>69</v>
      </c>
      <c r="E425" s="50">
        <v>4818247</v>
      </c>
      <c r="F425" s="50">
        <v>0</v>
      </c>
      <c r="G425" s="50">
        <v>0</v>
      </c>
      <c r="H425" s="50">
        <v>0</v>
      </c>
      <c r="I425" s="50">
        <v>0</v>
      </c>
      <c r="J425" s="50">
        <v>0</v>
      </c>
      <c r="K425" s="50">
        <v>0</v>
      </c>
      <c r="L425" s="152" t="e">
        <f t="shared" si="0"/>
        <v>#DIV/0!</v>
      </c>
      <c r="M425" s="50">
        <v>0</v>
      </c>
      <c r="N425" s="152" t="e">
        <f t="shared" si="1"/>
        <v>#DIV/0!</v>
      </c>
      <c r="O425" s="50">
        <v>0</v>
      </c>
      <c r="P425" s="152" t="e">
        <f t="shared" si="2"/>
        <v>#DIV/0!</v>
      </c>
      <c r="Q425" s="50">
        <v>0</v>
      </c>
      <c r="R425" s="257"/>
    </row>
    <row r="426" spans="1:18" hidden="1" x14ac:dyDescent="0.25">
      <c r="A426" s="49" t="s">
        <v>711</v>
      </c>
      <c r="B426" s="49" t="s">
        <v>354</v>
      </c>
      <c r="C426" s="49" t="s">
        <v>355</v>
      </c>
      <c r="D426" s="49" t="s">
        <v>69</v>
      </c>
      <c r="E426" s="50">
        <v>2859160</v>
      </c>
      <c r="F426" s="50">
        <v>0</v>
      </c>
      <c r="G426" s="50">
        <v>0</v>
      </c>
      <c r="H426" s="50">
        <v>0</v>
      </c>
      <c r="I426" s="50">
        <v>0</v>
      </c>
      <c r="J426" s="50">
        <v>0</v>
      </c>
      <c r="K426" s="50">
        <v>0</v>
      </c>
      <c r="L426" s="152" t="e">
        <f t="shared" si="0"/>
        <v>#DIV/0!</v>
      </c>
      <c r="M426" s="50">
        <v>0</v>
      </c>
      <c r="N426" s="152" t="e">
        <f t="shared" si="1"/>
        <v>#DIV/0!</v>
      </c>
      <c r="O426" s="50">
        <v>0</v>
      </c>
      <c r="P426" s="152" t="e">
        <f t="shared" si="2"/>
        <v>#DIV/0!</v>
      </c>
      <c r="Q426" s="50">
        <v>0</v>
      </c>
      <c r="R426" s="257"/>
    </row>
    <row r="427" spans="1:18" hidden="1" x14ac:dyDescent="0.25">
      <c r="A427" s="49" t="s">
        <v>711</v>
      </c>
      <c r="B427" s="49" t="s">
        <v>356</v>
      </c>
      <c r="C427" s="49" t="s">
        <v>357</v>
      </c>
      <c r="D427" s="49" t="s">
        <v>69</v>
      </c>
      <c r="E427" s="50">
        <v>2859160</v>
      </c>
      <c r="F427" s="50">
        <v>0</v>
      </c>
      <c r="G427" s="50">
        <v>0</v>
      </c>
      <c r="H427" s="50">
        <v>0</v>
      </c>
      <c r="I427" s="50">
        <v>0</v>
      </c>
      <c r="J427" s="50">
        <v>0</v>
      </c>
      <c r="K427" s="50">
        <v>0</v>
      </c>
      <c r="L427" s="152" t="e">
        <f t="shared" si="0"/>
        <v>#DIV/0!</v>
      </c>
      <c r="M427" s="50">
        <v>0</v>
      </c>
      <c r="N427" s="152" t="e">
        <f t="shared" si="1"/>
        <v>#DIV/0!</v>
      </c>
      <c r="O427" s="50">
        <v>0</v>
      </c>
      <c r="P427" s="152" t="e">
        <f t="shared" si="2"/>
        <v>#DIV/0!</v>
      </c>
      <c r="Q427" s="50">
        <v>0</v>
      </c>
      <c r="R427" s="257"/>
    </row>
    <row r="428" spans="1:18" hidden="1" x14ac:dyDescent="0.25">
      <c r="A428" s="49" t="s">
        <v>711</v>
      </c>
      <c r="B428" s="49" t="s">
        <v>212</v>
      </c>
      <c r="C428" s="49" t="s">
        <v>213</v>
      </c>
      <c r="D428" s="49" t="s">
        <v>69</v>
      </c>
      <c r="E428" s="50">
        <v>20687802</v>
      </c>
      <c r="F428" s="50">
        <v>15336309</v>
      </c>
      <c r="G428" s="50">
        <v>15336309</v>
      </c>
      <c r="H428" s="50">
        <v>0</v>
      </c>
      <c r="I428" s="50">
        <v>1622600.02</v>
      </c>
      <c r="J428" s="50">
        <v>0</v>
      </c>
      <c r="K428" s="50">
        <v>8945490.5399999991</v>
      </c>
      <c r="L428" s="152">
        <f t="shared" si="0"/>
        <v>0.58328836097394743</v>
      </c>
      <c r="M428" s="50">
        <v>7016338.3399999999</v>
      </c>
      <c r="N428" s="152">
        <f t="shared" si="1"/>
        <v>0.45749849849791108</v>
      </c>
      <c r="O428" s="50">
        <v>4768218.4400000004</v>
      </c>
      <c r="P428" s="152">
        <f t="shared" si="2"/>
        <v>0.31091043092572018</v>
      </c>
      <c r="Q428" s="50">
        <v>4768218.4400000004</v>
      </c>
      <c r="R428" s="257"/>
    </row>
    <row r="429" spans="1:18" hidden="1" x14ac:dyDescent="0.25">
      <c r="A429" s="49" t="s">
        <v>711</v>
      </c>
      <c r="B429" s="49" t="s">
        <v>216</v>
      </c>
      <c r="C429" s="49" t="s">
        <v>217</v>
      </c>
      <c r="D429" s="49" t="s">
        <v>69</v>
      </c>
      <c r="E429" s="50">
        <v>9443712</v>
      </c>
      <c r="F429" s="50">
        <v>5525694</v>
      </c>
      <c r="G429" s="50">
        <v>5525694</v>
      </c>
      <c r="H429" s="50">
        <v>0</v>
      </c>
      <c r="I429" s="50">
        <v>357000</v>
      </c>
      <c r="J429" s="50">
        <v>0</v>
      </c>
      <c r="K429" s="50">
        <v>2233553.0699999998</v>
      </c>
      <c r="L429" s="152">
        <f t="shared" si="0"/>
        <v>0.40421222564984594</v>
      </c>
      <c r="M429" s="50">
        <v>530328.06999999995</v>
      </c>
      <c r="N429" s="152">
        <f t="shared" si="1"/>
        <v>9.5974925502570349E-2</v>
      </c>
      <c r="O429" s="50">
        <v>2935140.93</v>
      </c>
      <c r="P429" s="152">
        <f t="shared" si="2"/>
        <v>0.53118050510940351</v>
      </c>
      <c r="Q429" s="50">
        <v>2935140.93</v>
      </c>
      <c r="R429" s="257"/>
    </row>
    <row r="430" spans="1:18" hidden="1" x14ac:dyDescent="0.25">
      <c r="A430" s="49" t="s">
        <v>711</v>
      </c>
      <c r="B430" s="49" t="s">
        <v>218</v>
      </c>
      <c r="C430" s="49" t="s">
        <v>219</v>
      </c>
      <c r="D430" s="49" t="s">
        <v>69</v>
      </c>
      <c r="E430" s="50">
        <v>4708500</v>
      </c>
      <c r="F430" s="50">
        <v>4708500</v>
      </c>
      <c r="G430" s="50">
        <v>4708500</v>
      </c>
      <c r="H430" s="50">
        <v>0</v>
      </c>
      <c r="I430" s="50">
        <v>0</v>
      </c>
      <c r="J430" s="50">
        <v>0</v>
      </c>
      <c r="K430" s="50">
        <v>3680640.6</v>
      </c>
      <c r="L430" s="152">
        <f t="shared" si="0"/>
        <v>0.7817013061484549</v>
      </c>
      <c r="M430" s="50">
        <v>3454713.4</v>
      </c>
      <c r="N430" s="152">
        <f t="shared" si="1"/>
        <v>0.73371846660295204</v>
      </c>
      <c r="O430" s="50">
        <v>1027859.4</v>
      </c>
      <c r="P430" s="152">
        <f t="shared" si="2"/>
        <v>0.21829869385154507</v>
      </c>
      <c r="Q430" s="50">
        <v>1027859.4</v>
      </c>
      <c r="R430" s="257"/>
    </row>
    <row r="431" spans="1:18" hidden="1" x14ac:dyDescent="0.25">
      <c r="A431" s="49" t="s">
        <v>711</v>
      </c>
      <c r="B431" s="49" t="s">
        <v>220</v>
      </c>
      <c r="C431" s="49" t="s">
        <v>221</v>
      </c>
      <c r="D431" s="49" t="s">
        <v>69</v>
      </c>
      <c r="E431" s="50">
        <v>4306450</v>
      </c>
      <c r="F431" s="50">
        <v>3981750</v>
      </c>
      <c r="G431" s="50">
        <v>3981750</v>
      </c>
      <c r="H431" s="50">
        <v>0</v>
      </c>
      <c r="I431" s="50">
        <v>1265600.02</v>
      </c>
      <c r="J431" s="50">
        <v>0</v>
      </c>
      <c r="K431" s="50">
        <v>2409124.52</v>
      </c>
      <c r="L431" s="152">
        <f t="shared" si="0"/>
        <v>0.60504163244804421</v>
      </c>
      <c r="M431" s="50">
        <v>2409124.52</v>
      </c>
      <c r="N431" s="152">
        <f t="shared" si="1"/>
        <v>0.60504163244804421</v>
      </c>
      <c r="O431" s="50">
        <v>307025.46000000002</v>
      </c>
      <c r="P431" s="152">
        <f t="shared" si="2"/>
        <v>7.710817103032587E-2</v>
      </c>
      <c r="Q431" s="50">
        <v>307025.46000000002</v>
      </c>
      <c r="R431" s="257"/>
    </row>
    <row r="432" spans="1:18" hidden="1" x14ac:dyDescent="0.25">
      <c r="A432" s="49" t="s">
        <v>711</v>
      </c>
      <c r="B432" s="49" t="s">
        <v>222</v>
      </c>
      <c r="C432" s="49" t="s">
        <v>223</v>
      </c>
      <c r="D432" s="49" t="s">
        <v>69</v>
      </c>
      <c r="E432" s="50">
        <v>842640</v>
      </c>
      <c r="F432" s="50">
        <v>842640</v>
      </c>
      <c r="G432" s="50">
        <v>842640</v>
      </c>
      <c r="H432" s="50">
        <v>0</v>
      </c>
      <c r="I432" s="50">
        <v>0</v>
      </c>
      <c r="J432" s="50">
        <v>0</v>
      </c>
      <c r="K432" s="50">
        <v>590368.5</v>
      </c>
      <c r="L432" s="152">
        <f t="shared" si="0"/>
        <v>0.70061770150954139</v>
      </c>
      <c r="M432" s="50">
        <v>590368.5</v>
      </c>
      <c r="N432" s="152">
        <f t="shared" si="1"/>
        <v>0.70061770150954139</v>
      </c>
      <c r="O432" s="50">
        <v>252271.5</v>
      </c>
      <c r="P432" s="152">
        <f t="shared" si="2"/>
        <v>0.29938229849045855</v>
      </c>
      <c r="Q432" s="50">
        <v>252271.5</v>
      </c>
      <c r="R432" s="257"/>
    </row>
    <row r="433" spans="1:18" hidden="1" x14ac:dyDescent="0.25">
      <c r="A433" s="49" t="s">
        <v>711</v>
      </c>
      <c r="B433" s="49" t="s">
        <v>224</v>
      </c>
      <c r="C433" s="49" t="s">
        <v>225</v>
      </c>
      <c r="D433" s="49" t="s">
        <v>69</v>
      </c>
      <c r="E433" s="50">
        <v>887300</v>
      </c>
      <c r="F433" s="50">
        <v>160725</v>
      </c>
      <c r="G433" s="50">
        <v>160725</v>
      </c>
      <c r="H433" s="50">
        <v>0</v>
      </c>
      <c r="I433" s="50">
        <v>0</v>
      </c>
      <c r="J433" s="50">
        <v>0</v>
      </c>
      <c r="K433" s="50">
        <v>31803.85</v>
      </c>
      <c r="L433" s="152">
        <f t="shared" si="0"/>
        <v>0.19787743039352931</v>
      </c>
      <c r="M433" s="50">
        <v>31803.85</v>
      </c>
      <c r="N433" s="152">
        <f t="shared" si="1"/>
        <v>0.19787743039352931</v>
      </c>
      <c r="O433" s="50">
        <v>128921.15</v>
      </c>
      <c r="P433" s="152">
        <f t="shared" si="2"/>
        <v>0.80212256960647066</v>
      </c>
      <c r="Q433" s="50">
        <v>128921.15</v>
      </c>
      <c r="R433" s="257"/>
    </row>
    <row r="434" spans="1:18" hidden="1" x14ac:dyDescent="0.25">
      <c r="A434" s="49" t="s">
        <v>711</v>
      </c>
      <c r="B434" s="49" t="s">
        <v>228</v>
      </c>
      <c r="C434" s="49" t="s">
        <v>229</v>
      </c>
      <c r="D434" s="49" t="s">
        <v>69</v>
      </c>
      <c r="E434" s="50">
        <v>499200</v>
      </c>
      <c r="F434" s="50">
        <v>117000</v>
      </c>
      <c r="G434" s="50">
        <v>117000</v>
      </c>
      <c r="H434" s="50">
        <v>0</v>
      </c>
      <c r="I434" s="50">
        <v>0</v>
      </c>
      <c r="J434" s="50">
        <v>0</v>
      </c>
      <c r="K434" s="50">
        <v>0</v>
      </c>
      <c r="L434" s="152">
        <f t="shared" si="0"/>
        <v>0</v>
      </c>
      <c r="M434" s="50">
        <v>0</v>
      </c>
      <c r="N434" s="152">
        <f t="shared" si="1"/>
        <v>0</v>
      </c>
      <c r="O434" s="50">
        <v>117000</v>
      </c>
      <c r="P434" s="152">
        <f t="shared" si="2"/>
        <v>1</v>
      </c>
      <c r="Q434" s="50">
        <v>117000</v>
      </c>
      <c r="R434" s="257"/>
    </row>
    <row r="435" spans="1:18" hidden="1" x14ac:dyDescent="0.25">
      <c r="A435" s="49" t="s">
        <v>711</v>
      </c>
      <c r="B435" s="49" t="s">
        <v>222</v>
      </c>
      <c r="C435" s="49" t="s">
        <v>223</v>
      </c>
      <c r="D435" s="49" t="s">
        <v>85</v>
      </c>
      <c r="E435" s="50">
        <v>0</v>
      </c>
      <c r="F435" s="50">
        <v>0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152" t="e">
        <f t="shared" si="0"/>
        <v>#DIV/0!</v>
      </c>
      <c r="M435" s="50">
        <v>0</v>
      </c>
      <c r="N435" s="152" t="e">
        <f t="shared" si="1"/>
        <v>#DIV/0!</v>
      </c>
      <c r="O435" s="50">
        <v>0</v>
      </c>
      <c r="P435" s="152" t="e">
        <f t="shared" si="2"/>
        <v>#DIV/0!</v>
      </c>
      <c r="Q435" s="50">
        <v>0</v>
      </c>
      <c r="R435" s="257"/>
    </row>
    <row r="436" spans="1:18" hidden="1" x14ac:dyDescent="0.25">
      <c r="A436" s="49" t="s">
        <v>711</v>
      </c>
      <c r="B436" s="49" t="s">
        <v>248</v>
      </c>
      <c r="C436" s="49" t="s">
        <v>249</v>
      </c>
      <c r="D436" s="49" t="s">
        <v>69</v>
      </c>
      <c r="E436" s="50">
        <v>236354526</v>
      </c>
      <c r="F436" s="50">
        <v>252014843</v>
      </c>
      <c r="G436" s="50">
        <v>252014843</v>
      </c>
      <c r="H436" s="50">
        <v>0</v>
      </c>
      <c r="I436" s="50">
        <v>0</v>
      </c>
      <c r="J436" s="50">
        <v>0</v>
      </c>
      <c r="K436" s="50">
        <v>215747921.5</v>
      </c>
      <c r="L436" s="152">
        <f t="shared" si="0"/>
        <v>0.85609212112954791</v>
      </c>
      <c r="M436" s="50">
        <v>215747921.5</v>
      </c>
      <c r="N436" s="152">
        <f t="shared" si="1"/>
        <v>0.85609212112954791</v>
      </c>
      <c r="O436" s="50">
        <v>36266921.5</v>
      </c>
      <c r="P436" s="152">
        <f t="shared" si="2"/>
        <v>0.14390787887045209</v>
      </c>
      <c r="Q436" s="50">
        <v>36266921.5</v>
      </c>
      <c r="R436" s="257"/>
    </row>
    <row r="437" spans="1:18" hidden="1" x14ac:dyDescent="0.25">
      <c r="A437" s="49" t="s">
        <v>711</v>
      </c>
      <c r="B437" s="49" t="s">
        <v>250</v>
      </c>
      <c r="C437" s="49" t="s">
        <v>251</v>
      </c>
      <c r="D437" s="49" t="s">
        <v>69</v>
      </c>
      <c r="E437" s="50">
        <v>180354526</v>
      </c>
      <c r="F437" s="50">
        <v>176014843</v>
      </c>
      <c r="G437" s="50">
        <v>176014843</v>
      </c>
      <c r="H437" s="50">
        <v>0</v>
      </c>
      <c r="I437" s="50">
        <v>0</v>
      </c>
      <c r="J437" s="50">
        <v>0</v>
      </c>
      <c r="K437" s="50">
        <v>146666746</v>
      </c>
      <c r="L437" s="152">
        <f t="shared" si="0"/>
        <v>0.83326351062336257</v>
      </c>
      <c r="M437" s="50">
        <v>146666746</v>
      </c>
      <c r="N437" s="152">
        <f t="shared" si="1"/>
        <v>0.83326351062336257</v>
      </c>
      <c r="O437" s="50">
        <v>29348097</v>
      </c>
      <c r="P437" s="152">
        <f t="shared" si="2"/>
        <v>0.1667364893766374</v>
      </c>
      <c r="Q437" s="50">
        <v>29348097</v>
      </c>
      <c r="R437" s="257"/>
    </row>
    <row r="438" spans="1:18" hidden="1" x14ac:dyDescent="0.25">
      <c r="A438" s="49" t="s">
        <v>711</v>
      </c>
      <c r="B438" s="49" t="s">
        <v>630</v>
      </c>
      <c r="C438" s="49" t="s">
        <v>702</v>
      </c>
      <c r="D438" s="49" t="s">
        <v>69</v>
      </c>
      <c r="E438" s="50">
        <v>153192762</v>
      </c>
      <c r="F438" s="50">
        <v>149506644</v>
      </c>
      <c r="G438" s="50">
        <v>149506644</v>
      </c>
      <c r="H438" s="50">
        <v>0</v>
      </c>
      <c r="I438" s="50">
        <v>0</v>
      </c>
      <c r="J438" s="50">
        <v>0</v>
      </c>
      <c r="K438" s="50">
        <v>124390126</v>
      </c>
      <c r="L438" s="152">
        <f t="shared" si="0"/>
        <v>0.83200400110646588</v>
      </c>
      <c r="M438" s="50">
        <v>124390126</v>
      </c>
      <c r="N438" s="152">
        <f t="shared" si="1"/>
        <v>0.83200400110646588</v>
      </c>
      <c r="O438" s="50">
        <v>25116518</v>
      </c>
      <c r="P438" s="152">
        <f t="shared" si="2"/>
        <v>0.16799599889353412</v>
      </c>
      <c r="Q438" s="50">
        <v>25116518</v>
      </c>
      <c r="R438" s="257"/>
    </row>
    <row r="439" spans="1:18" hidden="1" x14ac:dyDescent="0.25">
      <c r="A439" s="49" t="s">
        <v>711</v>
      </c>
      <c r="B439" s="49" t="s">
        <v>645</v>
      </c>
      <c r="C439" s="49" t="s">
        <v>703</v>
      </c>
      <c r="D439" s="49" t="s">
        <v>69</v>
      </c>
      <c r="E439" s="50">
        <v>27161764</v>
      </c>
      <c r="F439" s="50">
        <v>26508199</v>
      </c>
      <c r="G439" s="50">
        <v>26508199</v>
      </c>
      <c r="H439" s="50">
        <v>0</v>
      </c>
      <c r="I439" s="50">
        <v>0</v>
      </c>
      <c r="J439" s="50">
        <v>0</v>
      </c>
      <c r="K439" s="50">
        <v>22276620</v>
      </c>
      <c r="L439" s="152">
        <f t="shared" si="0"/>
        <v>0.8403671633821671</v>
      </c>
      <c r="M439" s="50">
        <v>22276620</v>
      </c>
      <c r="N439" s="152">
        <f t="shared" si="1"/>
        <v>0.8403671633821671</v>
      </c>
      <c r="O439" s="50">
        <v>4231579</v>
      </c>
      <c r="P439" s="152">
        <f t="shared" si="2"/>
        <v>0.15963283661783284</v>
      </c>
      <c r="Q439" s="50">
        <v>4231579</v>
      </c>
      <c r="R439" s="257"/>
    </row>
    <row r="440" spans="1:18" hidden="1" x14ac:dyDescent="0.25">
      <c r="A440" s="49" t="s">
        <v>711</v>
      </c>
      <c r="B440" s="49" t="s">
        <v>260</v>
      </c>
      <c r="C440" s="49" t="s">
        <v>261</v>
      </c>
      <c r="D440" s="49" t="s">
        <v>69</v>
      </c>
      <c r="E440" s="50">
        <v>56000000</v>
      </c>
      <c r="F440" s="50">
        <v>76000000</v>
      </c>
      <c r="G440" s="50">
        <v>76000000</v>
      </c>
      <c r="H440" s="50">
        <v>0</v>
      </c>
      <c r="I440" s="50">
        <v>0</v>
      </c>
      <c r="J440" s="50">
        <v>0</v>
      </c>
      <c r="K440" s="50">
        <v>69081175.5</v>
      </c>
      <c r="L440" s="152">
        <f t="shared" si="0"/>
        <v>0.90896283552631574</v>
      </c>
      <c r="M440" s="50">
        <v>69081175.5</v>
      </c>
      <c r="N440" s="152">
        <f t="shared" si="1"/>
        <v>0.90896283552631574</v>
      </c>
      <c r="O440" s="50">
        <v>6918824.5</v>
      </c>
      <c r="P440" s="152">
        <f t="shared" si="2"/>
        <v>9.1037164473684207E-2</v>
      </c>
      <c r="Q440" s="50">
        <v>6918824.5</v>
      </c>
      <c r="R440" s="257"/>
    </row>
    <row r="441" spans="1:18" hidden="1" x14ac:dyDescent="0.25">
      <c r="A441" s="49" t="s">
        <v>711</v>
      </c>
      <c r="B441" s="49" t="s">
        <v>264</v>
      </c>
      <c r="C441" s="49" t="s">
        <v>265</v>
      </c>
      <c r="D441" s="49" t="s">
        <v>69</v>
      </c>
      <c r="E441" s="50">
        <v>56000000</v>
      </c>
      <c r="F441" s="50">
        <v>76000000</v>
      </c>
      <c r="G441" s="50">
        <v>76000000</v>
      </c>
      <c r="H441" s="50">
        <v>0</v>
      </c>
      <c r="I441" s="50">
        <v>0</v>
      </c>
      <c r="J441" s="50">
        <v>0</v>
      </c>
      <c r="K441" s="50">
        <v>69081175.5</v>
      </c>
      <c r="L441" s="152">
        <f t="shared" si="0"/>
        <v>0.90896283552631574</v>
      </c>
      <c r="M441" s="50">
        <v>69081175.5</v>
      </c>
      <c r="N441" s="152">
        <f t="shared" si="1"/>
        <v>0.90896283552631574</v>
      </c>
      <c r="O441" s="50">
        <v>6918824.5</v>
      </c>
      <c r="P441" s="152">
        <f t="shared" si="2"/>
        <v>9.1037164473684207E-2</v>
      </c>
      <c r="Q441" s="50">
        <v>6918824.5</v>
      </c>
      <c r="R441" s="257"/>
    </row>
    <row r="442" spans="1:18" hidden="1" x14ac:dyDescent="0.25">
      <c r="A442" s="49" t="s">
        <v>711</v>
      </c>
      <c r="B442" s="49" t="s">
        <v>230</v>
      </c>
      <c r="C442" s="49" t="s">
        <v>231</v>
      </c>
      <c r="D442" s="49" t="s">
        <v>85</v>
      </c>
      <c r="E442" s="50">
        <v>53324000</v>
      </c>
      <c r="F442" s="50">
        <v>51342000</v>
      </c>
      <c r="G442" s="50">
        <v>51342000</v>
      </c>
      <c r="H442" s="50">
        <v>0</v>
      </c>
      <c r="I442" s="50">
        <v>0</v>
      </c>
      <c r="J442" s="50">
        <v>0</v>
      </c>
      <c r="K442" s="50">
        <v>9623993.9100000001</v>
      </c>
      <c r="L442" s="152">
        <f t="shared" si="0"/>
        <v>0.18744875365198083</v>
      </c>
      <c r="M442" s="50">
        <v>9623993.9100000001</v>
      </c>
      <c r="N442" s="152">
        <f t="shared" si="1"/>
        <v>0.18744875365198083</v>
      </c>
      <c r="O442" s="50">
        <v>41718006.090000004</v>
      </c>
      <c r="P442" s="152">
        <f t="shared" si="2"/>
        <v>0.81255124634801923</v>
      </c>
      <c r="Q442" s="50">
        <v>41718006.090000004</v>
      </c>
      <c r="R442" s="257"/>
    </row>
    <row r="443" spans="1:18" hidden="1" x14ac:dyDescent="0.25">
      <c r="A443" s="49" t="s">
        <v>711</v>
      </c>
      <c r="B443" s="49" t="s">
        <v>232</v>
      </c>
      <c r="C443" s="49" t="s">
        <v>233</v>
      </c>
      <c r="D443" s="49" t="s">
        <v>85</v>
      </c>
      <c r="E443" s="50">
        <v>45824000</v>
      </c>
      <c r="F443" s="50">
        <v>42525000</v>
      </c>
      <c r="G443" s="50">
        <v>42525000</v>
      </c>
      <c r="H443" s="50">
        <v>0</v>
      </c>
      <c r="I443" s="50">
        <v>0</v>
      </c>
      <c r="J443" s="50">
        <v>0</v>
      </c>
      <c r="K443" s="50">
        <v>823993.91</v>
      </c>
      <c r="L443" s="152">
        <f t="shared" si="0"/>
        <v>1.9376693944738389E-2</v>
      </c>
      <c r="M443" s="50">
        <v>823993.91</v>
      </c>
      <c r="N443" s="152">
        <f t="shared" si="1"/>
        <v>1.9376693944738389E-2</v>
      </c>
      <c r="O443" s="50">
        <v>41701006.090000004</v>
      </c>
      <c r="P443" s="152">
        <f t="shared" si="2"/>
        <v>0.98062330605526171</v>
      </c>
      <c r="Q443" s="50">
        <v>41701006.090000004</v>
      </c>
      <c r="R443" s="257"/>
    </row>
    <row r="444" spans="1:18" hidden="1" x14ac:dyDescent="0.25">
      <c r="A444" s="49" t="s">
        <v>711</v>
      </c>
      <c r="B444" s="49" t="s">
        <v>234</v>
      </c>
      <c r="C444" s="49" t="s">
        <v>235</v>
      </c>
      <c r="D444" s="49" t="s">
        <v>85</v>
      </c>
      <c r="E444" s="50">
        <v>3490000</v>
      </c>
      <c r="F444" s="50">
        <v>790000</v>
      </c>
      <c r="G444" s="50">
        <v>790000</v>
      </c>
      <c r="H444" s="50">
        <v>0</v>
      </c>
      <c r="I444" s="50">
        <v>0</v>
      </c>
      <c r="J444" s="50">
        <v>0</v>
      </c>
      <c r="K444" s="50">
        <v>749985.6</v>
      </c>
      <c r="L444" s="152">
        <f t="shared" si="0"/>
        <v>0.94934886075949365</v>
      </c>
      <c r="M444" s="50">
        <v>749985.6</v>
      </c>
      <c r="N444" s="152">
        <f t="shared" si="1"/>
        <v>0.94934886075949365</v>
      </c>
      <c r="O444" s="50">
        <v>40014.400000000001</v>
      </c>
      <c r="P444" s="152">
        <f t="shared" si="2"/>
        <v>5.0651139240506328E-2</v>
      </c>
      <c r="Q444" s="50">
        <v>40014.400000000001</v>
      </c>
      <c r="R444" s="257"/>
    </row>
    <row r="445" spans="1:18" hidden="1" x14ac:dyDescent="0.25">
      <c r="A445" s="49" t="s">
        <v>711</v>
      </c>
      <c r="B445" s="49" t="s">
        <v>238</v>
      </c>
      <c r="C445" s="49" t="s">
        <v>239</v>
      </c>
      <c r="D445" s="49" t="s">
        <v>85</v>
      </c>
      <c r="E445" s="50">
        <v>420000</v>
      </c>
      <c r="F445" s="50">
        <v>0</v>
      </c>
      <c r="G445" s="50">
        <v>0</v>
      </c>
      <c r="H445" s="50">
        <v>0</v>
      </c>
      <c r="I445" s="50">
        <v>0</v>
      </c>
      <c r="J445" s="50">
        <v>0</v>
      </c>
      <c r="K445" s="50">
        <v>0</v>
      </c>
      <c r="L445" s="152" t="e">
        <f t="shared" si="0"/>
        <v>#DIV/0!</v>
      </c>
      <c r="M445" s="50">
        <v>0</v>
      </c>
      <c r="N445" s="152" t="e">
        <f t="shared" si="1"/>
        <v>#DIV/0!</v>
      </c>
      <c r="O445" s="50">
        <v>0</v>
      </c>
      <c r="P445" s="152" t="e">
        <f t="shared" si="2"/>
        <v>#DIV/0!</v>
      </c>
      <c r="Q445" s="50">
        <v>0</v>
      </c>
      <c r="R445" s="257"/>
    </row>
    <row r="446" spans="1:18" hidden="1" x14ac:dyDescent="0.25">
      <c r="A446" s="49" t="s">
        <v>711</v>
      </c>
      <c r="B446" s="49" t="s">
        <v>326</v>
      </c>
      <c r="C446" s="49" t="s">
        <v>327</v>
      </c>
      <c r="D446" s="49" t="s">
        <v>85</v>
      </c>
      <c r="E446" s="50">
        <v>41125000</v>
      </c>
      <c r="F446" s="50">
        <v>41545000</v>
      </c>
      <c r="G446" s="50">
        <v>41545000</v>
      </c>
      <c r="H446" s="50">
        <v>0</v>
      </c>
      <c r="I446" s="50">
        <v>0</v>
      </c>
      <c r="J446" s="50">
        <v>0</v>
      </c>
      <c r="K446" s="50">
        <v>0</v>
      </c>
      <c r="L446" s="152">
        <f t="shared" si="0"/>
        <v>0</v>
      </c>
      <c r="M446" s="50">
        <v>0</v>
      </c>
      <c r="N446" s="152">
        <f t="shared" si="1"/>
        <v>0</v>
      </c>
      <c r="O446" s="50">
        <v>41545000</v>
      </c>
      <c r="P446" s="152">
        <f t="shared" si="2"/>
        <v>1</v>
      </c>
      <c r="Q446" s="50">
        <v>41545000</v>
      </c>
      <c r="R446" s="257"/>
    </row>
    <row r="447" spans="1:18" hidden="1" x14ac:dyDescent="0.25">
      <c r="A447" s="49" t="s">
        <v>711</v>
      </c>
      <c r="B447" s="49" t="s">
        <v>242</v>
      </c>
      <c r="C447" s="49" t="s">
        <v>243</v>
      </c>
      <c r="D447" s="49" t="s">
        <v>85</v>
      </c>
      <c r="E447" s="50">
        <v>789000</v>
      </c>
      <c r="F447" s="50">
        <v>190000</v>
      </c>
      <c r="G447" s="50">
        <v>190000</v>
      </c>
      <c r="H447" s="50">
        <v>0</v>
      </c>
      <c r="I447" s="50">
        <v>0</v>
      </c>
      <c r="J447" s="50">
        <v>0</v>
      </c>
      <c r="K447" s="50">
        <v>74008.31</v>
      </c>
      <c r="L447" s="152">
        <f t="shared" si="0"/>
        <v>0.38951742105263154</v>
      </c>
      <c r="M447" s="50">
        <v>74008.31</v>
      </c>
      <c r="N447" s="152">
        <f t="shared" si="1"/>
        <v>0.38951742105263154</v>
      </c>
      <c r="O447" s="50">
        <v>115991.69</v>
      </c>
      <c r="P447" s="152">
        <f t="shared" si="2"/>
        <v>0.61048257894736846</v>
      </c>
      <c r="Q447" s="50">
        <v>115991.69</v>
      </c>
      <c r="R447" s="257"/>
    </row>
    <row r="448" spans="1:18" hidden="1" x14ac:dyDescent="0.25">
      <c r="A448" s="49" t="s">
        <v>711</v>
      </c>
      <c r="B448" s="49" t="s">
        <v>244</v>
      </c>
      <c r="C448" s="49" t="s">
        <v>245</v>
      </c>
      <c r="D448" s="49" t="s">
        <v>85</v>
      </c>
      <c r="E448" s="50">
        <v>7500000</v>
      </c>
      <c r="F448" s="50">
        <v>8817000</v>
      </c>
      <c r="G448" s="50">
        <v>8817000</v>
      </c>
      <c r="H448" s="50">
        <v>0</v>
      </c>
      <c r="I448" s="50">
        <v>0</v>
      </c>
      <c r="J448" s="50">
        <v>0</v>
      </c>
      <c r="K448" s="50">
        <v>8800000</v>
      </c>
      <c r="L448" s="152">
        <f t="shared" si="0"/>
        <v>0.99807190654417599</v>
      </c>
      <c r="M448" s="50">
        <v>8800000</v>
      </c>
      <c r="N448" s="152">
        <f t="shared" si="1"/>
        <v>0.99807190654417599</v>
      </c>
      <c r="O448" s="50">
        <v>17000</v>
      </c>
      <c r="P448" s="152">
        <f t="shared" si="2"/>
        <v>1.9280934558239763E-3</v>
      </c>
      <c r="Q448" s="50">
        <v>17000</v>
      </c>
      <c r="R448" s="257"/>
    </row>
    <row r="449" spans="1:18" hidden="1" x14ac:dyDescent="0.25">
      <c r="A449" s="49" t="s">
        <v>711</v>
      </c>
      <c r="B449" s="49" t="s">
        <v>611</v>
      </c>
      <c r="C449" s="49" t="s">
        <v>612</v>
      </c>
      <c r="D449" s="49" t="s">
        <v>85</v>
      </c>
      <c r="E449" s="50">
        <v>7500000</v>
      </c>
      <c r="F449" s="50">
        <v>8817000</v>
      </c>
      <c r="G449" s="50">
        <v>8817000</v>
      </c>
      <c r="H449" s="50">
        <v>0</v>
      </c>
      <c r="I449" s="50">
        <v>0</v>
      </c>
      <c r="J449" s="50">
        <v>0</v>
      </c>
      <c r="K449" s="50">
        <v>8800000</v>
      </c>
      <c r="L449" s="152">
        <f t="shared" si="0"/>
        <v>0.99807190654417599</v>
      </c>
      <c r="M449" s="50">
        <v>8800000</v>
      </c>
      <c r="N449" s="152">
        <f t="shared" si="1"/>
        <v>0.99807190654417599</v>
      </c>
      <c r="O449" s="50">
        <v>17000</v>
      </c>
      <c r="P449" s="152">
        <f t="shared" si="2"/>
        <v>1.9280934558239763E-3</v>
      </c>
      <c r="Q449" s="50">
        <v>17000</v>
      </c>
      <c r="R449" s="257"/>
    </row>
    <row r="450" spans="1:18" x14ac:dyDescent="0.25">
      <c r="A450" s="49">
        <v>214789002</v>
      </c>
      <c r="B450" s="49"/>
      <c r="C450" s="49"/>
      <c r="D450" s="49" t="s">
        <v>69</v>
      </c>
      <c r="E450" s="50">
        <v>2218633702</v>
      </c>
      <c r="F450" s="50">
        <v>2105742147</v>
      </c>
      <c r="G450" s="50">
        <v>2105742147</v>
      </c>
      <c r="H450" s="50">
        <v>0</v>
      </c>
      <c r="I450" s="50">
        <v>61768346.659999996</v>
      </c>
      <c r="J450" s="50">
        <v>0</v>
      </c>
      <c r="K450" s="50">
        <v>1894956303.8299999</v>
      </c>
      <c r="L450" s="152">
        <f t="shared" si="0"/>
        <v>0.89989949934264191</v>
      </c>
      <c r="M450" s="50">
        <v>1807286645.5</v>
      </c>
      <c r="N450" s="152">
        <f t="shared" si="1"/>
        <v>0.85826588410874416</v>
      </c>
      <c r="O450" s="50">
        <v>149017496.50999999</v>
      </c>
      <c r="P450" s="152">
        <f t="shared" si="2"/>
        <v>7.0767209899038022E-2</v>
      </c>
      <c r="Q450" s="50">
        <v>149017496.50999999</v>
      </c>
      <c r="R450" s="257"/>
    </row>
    <row r="451" spans="1:18" hidden="1" x14ac:dyDescent="0.25">
      <c r="A451" s="49" t="s">
        <v>712</v>
      </c>
      <c r="B451" s="49" t="s">
        <v>71</v>
      </c>
      <c r="C451" s="49" t="s">
        <v>72</v>
      </c>
      <c r="D451" s="49" t="s">
        <v>69</v>
      </c>
      <c r="E451" s="50">
        <v>1258145726</v>
      </c>
      <c r="F451" s="50">
        <v>1251534685</v>
      </c>
      <c r="G451" s="50">
        <v>1251534685</v>
      </c>
      <c r="H451" s="50">
        <v>0</v>
      </c>
      <c r="I451" s="50">
        <v>10000000</v>
      </c>
      <c r="J451" s="50">
        <v>0</v>
      </c>
      <c r="K451" s="50">
        <v>1178471066.51</v>
      </c>
      <c r="L451" s="152">
        <f t="shared" si="0"/>
        <v>0.94162078017837758</v>
      </c>
      <c r="M451" s="50">
        <v>1178471066.51</v>
      </c>
      <c r="N451" s="152">
        <f t="shared" si="1"/>
        <v>0.94162078017837758</v>
      </c>
      <c r="O451" s="50">
        <v>63063618.490000002</v>
      </c>
      <c r="P451" s="152">
        <f t="shared" si="2"/>
        <v>5.0389029761488395E-2</v>
      </c>
      <c r="Q451" s="50">
        <v>63063618.490000002</v>
      </c>
      <c r="R451" s="257"/>
    </row>
    <row r="452" spans="1:18" hidden="1" x14ac:dyDescent="0.25">
      <c r="A452" s="49" t="s">
        <v>712</v>
      </c>
      <c r="B452" s="49" t="s">
        <v>73</v>
      </c>
      <c r="C452" s="49" t="s">
        <v>74</v>
      </c>
      <c r="D452" s="49" t="s">
        <v>69</v>
      </c>
      <c r="E452" s="50">
        <v>493376624</v>
      </c>
      <c r="F452" s="50">
        <v>477092402</v>
      </c>
      <c r="G452" s="50">
        <v>477092402</v>
      </c>
      <c r="H452" s="50">
        <v>0</v>
      </c>
      <c r="I452" s="50">
        <v>0</v>
      </c>
      <c r="J452" s="50">
        <v>0</v>
      </c>
      <c r="K452" s="50">
        <v>457746236</v>
      </c>
      <c r="L452" s="152">
        <f t="shared" si="0"/>
        <v>0.95944985516663084</v>
      </c>
      <c r="M452" s="50">
        <v>457746236</v>
      </c>
      <c r="N452" s="152">
        <f t="shared" si="1"/>
        <v>0.95944985516663084</v>
      </c>
      <c r="O452" s="50">
        <v>19346166</v>
      </c>
      <c r="P452" s="152">
        <f t="shared" si="2"/>
        <v>4.0550144833369196E-2</v>
      </c>
      <c r="Q452" s="50">
        <v>19346166</v>
      </c>
      <c r="R452" s="257"/>
    </row>
    <row r="453" spans="1:18" hidden="1" x14ac:dyDescent="0.25">
      <c r="A453" s="49" t="s">
        <v>712</v>
      </c>
      <c r="B453" s="49" t="s">
        <v>75</v>
      </c>
      <c r="C453" s="49" t="s">
        <v>76</v>
      </c>
      <c r="D453" s="49" t="s">
        <v>69</v>
      </c>
      <c r="E453" s="50">
        <v>493376624</v>
      </c>
      <c r="F453" s="50">
        <v>477092402</v>
      </c>
      <c r="G453" s="50">
        <v>477092402</v>
      </c>
      <c r="H453" s="50">
        <v>0</v>
      </c>
      <c r="I453" s="50">
        <v>0</v>
      </c>
      <c r="J453" s="50">
        <v>0</v>
      </c>
      <c r="K453" s="50">
        <v>457746236</v>
      </c>
      <c r="L453" s="152">
        <f t="shared" si="0"/>
        <v>0.95944985516663084</v>
      </c>
      <c r="M453" s="50">
        <v>457746236</v>
      </c>
      <c r="N453" s="152">
        <f t="shared" si="1"/>
        <v>0.95944985516663084</v>
      </c>
      <c r="O453" s="50">
        <v>19346166</v>
      </c>
      <c r="P453" s="152">
        <f t="shared" si="2"/>
        <v>4.0550144833369196E-2</v>
      </c>
      <c r="Q453" s="50">
        <v>19346166</v>
      </c>
      <c r="R453" s="257"/>
    </row>
    <row r="454" spans="1:18" hidden="1" x14ac:dyDescent="0.25">
      <c r="A454" s="49" t="s">
        <v>712</v>
      </c>
      <c r="B454" s="49" t="s">
        <v>77</v>
      </c>
      <c r="C454" s="49" t="s">
        <v>78</v>
      </c>
      <c r="D454" s="49" t="s">
        <v>69</v>
      </c>
      <c r="E454" s="50">
        <v>572843880</v>
      </c>
      <c r="F454" s="50">
        <v>587062467</v>
      </c>
      <c r="G454" s="50">
        <v>587062467</v>
      </c>
      <c r="H454" s="50">
        <v>0</v>
      </c>
      <c r="I454" s="50">
        <v>10000000</v>
      </c>
      <c r="J454" s="50">
        <v>0</v>
      </c>
      <c r="K454" s="50">
        <v>552132485.50999999</v>
      </c>
      <c r="L454" s="152">
        <f t="shared" si="0"/>
        <v>0.94050040080317376</v>
      </c>
      <c r="M454" s="50">
        <v>552132485.50999999</v>
      </c>
      <c r="N454" s="152">
        <f t="shared" si="1"/>
        <v>0.94050040080317376</v>
      </c>
      <c r="O454" s="50">
        <v>24929981.489999998</v>
      </c>
      <c r="P454" s="152">
        <f t="shared" si="2"/>
        <v>4.2465636778649653E-2</v>
      </c>
      <c r="Q454" s="50">
        <v>24929981.489999998</v>
      </c>
      <c r="R454" s="257"/>
    </row>
    <row r="455" spans="1:18" hidden="1" x14ac:dyDescent="0.25">
      <c r="A455" s="49" t="s">
        <v>712</v>
      </c>
      <c r="B455" s="49" t="s">
        <v>79</v>
      </c>
      <c r="C455" s="49" t="s">
        <v>80</v>
      </c>
      <c r="D455" s="49" t="s">
        <v>69</v>
      </c>
      <c r="E455" s="50">
        <v>166263500</v>
      </c>
      <c r="F455" s="50">
        <v>166263500</v>
      </c>
      <c r="G455" s="50">
        <v>166263500</v>
      </c>
      <c r="H455" s="50">
        <v>0</v>
      </c>
      <c r="I455" s="50">
        <v>0</v>
      </c>
      <c r="J455" s="50">
        <v>0</v>
      </c>
      <c r="K455" s="50">
        <v>150484146.37</v>
      </c>
      <c r="L455" s="152">
        <f t="shared" si="0"/>
        <v>0.90509430133492919</v>
      </c>
      <c r="M455" s="50">
        <v>150484146.37</v>
      </c>
      <c r="N455" s="152">
        <f t="shared" si="1"/>
        <v>0.90509430133492919</v>
      </c>
      <c r="O455" s="50">
        <v>15779353.630000001</v>
      </c>
      <c r="P455" s="152">
        <f t="shared" si="2"/>
        <v>9.4905698665070815E-2</v>
      </c>
      <c r="Q455" s="50">
        <v>15779353.630000001</v>
      </c>
      <c r="R455" s="257"/>
    </row>
    <row r="456" spans="1:18" hidden="1" x14ac:dyDescent="0.25">
      <c r="A456" s="49" t="s">
        <v>712</v>
      </c>
      <c r="B456" s="49" t="s">
        <v>81</v>
      </c>
      <c r="C456" s="49" t="s">
        <v>82</v>
      </c>
      <c r="D456" s="49" t="s">
        <v>69</v>
      </c>
      <c r="E456" s="50">
        <v>139725380</v>
      </c>
      <c r="F456" s="50">
        <v>150724590</v>
      </c>
      <c r="G456" s="50">
        <v>150724590</v>
      </c>
      <c r="H456" s="50">
        <v>0</v>
      </c>
      <c r="I456" s="50">
        <v>0</v>
      </c>
      <c r="J456" s="50">
        <v>0</v>
      </c>
      <c r="K456" s="50">
        <v>145588887.31999999</v>
      </c>
      <c r="L456" s="152">
        <f t="shared" si="0"/>
        <v>0.96592657720946529</v>
      </c>
      <c r="M456" s="50">
        <v>145588887.31999999</v>
      </c>
      <c r="N456" s="152">
        <f t="shared" si="1"/>
        <v>0.96592657720946529</v>
      </c>
      <c r="O456" s="50">
        <v>5135702.68</v>
      </c>
      <c r="P456" s="152">
        <f t="shared" si="2"/>
        <v>3.4073422790534706E-2</v>
      </c>
      <c r="Q456" s="50">
        <v>5135702.68</v>
      </c>
      <c r="R456" s="257"/>
    </row>
    <row r="457" spans="1:18" hidden="1" x14ac:dyDescent="0.25">
      <c r="A457" s="49" t="s">
        <v>712</v>
      </c>
      <c r="B457" s="49" t="s">
        <v>86</v>
      </c>
      <c r="C457" s="49" t="s">
        <v>87</v>
      </c>
      <c r="D457" s="49" t="s">
        <v>69</v>
      </c>
      <c r="E457" s="50">
        <v>75278800</v>
      </c>
      <c r="F457" s="50">
        <v>75278800</v>
      </c>
      <c r="G457" s="50">
        <v>75278800</v>
      </c>
      <c r="H457" s="50">
        <v>0</v>
      </c>
      <c r="I457" s="50">
        <v>10000000</v>
      </c>
      <c r="J457" s="50">
        <v>0</v>
      </c>
      <c r="K457" s="50">
        <v>63509579.020000003</v>
      </c>
      <c r="L457" s="152">
        <f t="shared" si="0"/>
        <v>0.84365822808015012</v>
      </c>
      <c r="M457" s="50">
        <v>63509579.020000003</v>
      </c>
      <c r="N457" s="152">
        <f t="shared" si="1"/>
        <v>0.84365822808015012</v>
      </c>
      <c r="O457" s="50">
        <v>1769220.98</v>
      </c>
      <c r="P457" s="152">
        <f t="shared" si="2"/>
        <v>2.3502247379076181E-2</v>
      </c>
      <c r="Q457" s="50">
        <v>1769220.98</v>
      </c>
      <c r="R457" s="257"/>
    </row>
    <row r="458" spans="1:18" hidden="1" x14ac:dyDescent="0.25">
      <c r="A458" s="49" t="s">
        <v>712</v>
      </c>
      <c r="B458" s="49" t="s">
        <v>88</v>
      </c>
      <c r="C458" s="49" t="s">
        <v>89</v>
      </c>
      <c r="D458" s="49" t="s">
        <v>69</v>
      </c>
      <c r="E458" s="50">
        <v>109589600</v>
      </c>
      <c r="F458" s="50">
        <v>114750681</v>
      </c>
      <c r="G458" s="50">
        <v>114750681</v>
      </c>
      <c r="H458" s="50">
        <v>0</v>
      </c>
      <c r="I458" s="50">
        <v>0</v>
      </c>
      <c r="J458" s="50">
        <v>0</v>
      </c>
      <c r="K458" s="50">
        <v>113833121.16</v>
      </c>
      <c r="L458" s="152">
        <f t="shared" si="0"/>
        <v>0.99200388327107181</v>
      </c>
      <c r="M458" s="50">
        <v>113833121.16</v>
      </c>
      <c r="N458" s="152">
        <f t="shared" si="1"/>
        <v>0.99200388327107181</v>
      </c>
      <c r="O458" s="50">
        <v>917559.84</v>
      </c>
      <c r="P458" s="152">
        <f t="shared" si="2"/>
        <v>7.9961167289281706E-3</v>
      </c>
      <c r="Q458" s="50">
        <v>917559.84</v>
      </c>
      <c r="R458" s="257"/>
    </row>
    <row r="459" spans="1:18" hidden="1" x14ac:dyDescent="0.25">
      <c r="A459" s="49" t="s">
        <v>712</v>
      </c>
      <c r="B459" s="49" t="s">
        <v>83</v>
      </c>
      <c r="C459" s="49" t="s">
        <v>84</v>
      </c>
      <c r="D459" s="49" t="s">
        <v>85</v>
      </c>
      <c r="E459" s="50">
        <v>81986600</v>
      </c>
      <c r="F459" s="50">
        <v>80044896</v>
      </c>
      <c r="G459" s="50">
        <v>80044896</v>
      </c>
      <c r="H459" s="50">
        <v>0</v>
      </c>
      <c r="I459" s="50">
        <v>0</v>
      </c>
      <c r="J459" s="50">
        <v>0</v>
      </c>
      <c r="K459" s="50">
        <v>78716751.640000001</v>
      </c>
      <c r="L459" s="152">
        <f t="shared" si="0"/>
        <v>0.98340750720695547</v>
      </c>
      <c r="M459" s="50">
        <v>78716751.640000001</v>
      </c>
      <c r="N459" s="152">
        <f t="shared" si="1"/>
        <v>0.98340750720695547</v>
      </c>
      <c r="O459" s="50">
        <v>1328144.3600000001</v>
      </c>
      <c r="P459" s="152">
        <f t="shared" si="2"/>
        <v>1.6592492793044544E-2</v>
      </c>
      <c r="Q459" s="50">
        <v>1328144.3600000001</v>
      </c>
      <c r="R459" s="257"/>
    </row>
    <row r="460" spans="1:18" hidden="1" x14ac:dyDescent="0.25">
      <c r="A460" s="49" t="s">
        <v>712</v>
      </c>
      <c r="B460" s="49" t="s">
        <v>90</v>
      </c>
      <c r="C460" s="49" t="s">
        <v>91</v>
      </c>
      <c r="D460" s="49" t="s">
        <v>69</v>
      </c>
      <c r="E460" s="50">
        <v>95962711</v>
      </c>
      <c r="F460" s="50">
        <v>93690008</v>
      </c>
      <c r="G460" s="50">
        <v>93690008</v>
      </c>
      <c r="H460" s="50">
        <v>0</v>
      </c>
      <c r="I460" s="50">
        <v>0</v>
      </c>
      <c r="J460" s="50">
        <v>0</v>
      </c>
      <c r="K460" s="50">
        <v>84359411</v>
      </c>
      <c r="L460" s="152">
        <f t="shared" si="0"/>
        <v>0.90040990283617006</v>
      </c>
      <c r="M460" s="50">
        <v>84359411</v>
      </c>
      <c r="N460" s="152">
        <f t="shared" si="1"/>
        <v>0.90040990283617006</v>
      </c>
      <c r="O460" s="50">
        <v>9330597</v>
      </c>
      <c r="P460" s="152">
        <f t="shared" si="2"/>
        <v>9.9590097163829897E-2</v>
      </c>
      <c r="Q460" s="50">
        <v>9330597</v>
      </c>
      <c r="R460" s="257"/>
    </row>
    <row r="461" spans="1:18" hidden="1" x14ac:dyDescent="0.25">
      <c r="A461" s="49" t="s">
        <v>712</v>
      </c>
      <c r="B461" s="49" t="s">
        <v>422</v>
      </c>
      <c r="C461" s="49" t="s">
        <v>697</v>
      </c>
      <c r="D461" s="49" t="s">
        <v>69</v>
      </c>
      <c r="E461" s="50">
        <v>91041575</v>
      </c>
      <c r="F461" s="50">
        <v>88885421</v>
      </c>
      <c r="G461" s="50">
        <v>88885421</v>
      </c>
      <c r="H461" s="50">
        <v>0</v>
      </c>
      <c r="I461" s="50">
        <v>0</v>
      </c>
      <c r="J461" s="50">
        <v>0</v>
      </c>
      <c r="K461" s="50">
        <v>80033288</v>
      </c>
      <c r="L461" s="152">
        <f t="shared" si="0"/>
        <v>0.90040961835574818</v>
      </c>
      <c r="M461" s="50">
        <v>80033288</v>
      </c>
      <c r="N461" s="152">
        <f t="shared" si="1"/>
        <v>0.90040961835574818</v>
      </c>
      <c r="O461" s="50">
        <v>8852133</v>
      </c>
      <c r="P461" s="152">
        <f t="shared" si="2"/>
        <v>9.959038164425188E-2</v>
      </c>
      <c r="Q461" s="50">
        <v>8852133</v>
      </c>
      <c r="R461" s="257"/>
    </row>
    <row r="462" spans="1:18" hidden="1" x14ac:dyDescent="0.25">
      <c r="A462" s="49" t="s">
        <v>712</v>
      </c>
      <c r="B462" s="49" t="s">
        <v>439</v>
      </c>
      <c r="C462" s="49" t="s">
        <v>95</v>
      </c>
      <c r="D462" s="49" t="s">
        <v>69</v>
      </c>
      <c r="E462" s="50">
        <v>4921136</v>
      </c>
      <c r="F462" s="50">
        <v>4804587</v>
      </c>
      <c r="G462" s="50">
        <v>4804587</v>
      </c>
      <c r="H462" s="50">
        <v>0</v>
      </c>
      <c r="I462" s="50">
        <v>0</v>
      </c>
      <c r="J462" s="50">
        <v>0</v>
      </c>
      <c r="K462" s="50">
        <v>4326123</v>
      </c>
      <c r="L462" s="152">
        <f t="shared" si="0"/>
        <v>0.90041516575722325</v>
      </c>
      <c r="M462" s="50">
        <v>4326123</v>
      </c>
      <c r="N462" s="152">
        <f t="shared" si="1"/>
        <v>0.90041516575722325</v>
      </c>
      <c r="O462" s="50">
        <v>478464</v>
      </c>
      <c r="P462" s="152">
        <f t="shared" si="2"/>
        <v>9.958483424277674E-2</v>
      </c>
      <c r="Q462" s="50">
        <v>478464</v>
      </c>
      <c r="R462" s="257"/>
    </row>
    <row r="463" spans="1:18" hidden="1" x14ac:dyDescent="0.25">
      <c r="A463" s="49" t="s">
        <v>712</v>
      </c>
      <c r="B463" s="49" t="s">
        <v>96</v>
      </c>
      <c r="C463" s="49" t="s">
        <v>97</v>
      </c>
      <c r="D463" s="49" t="s">
        <v>69</v>
      </c>
      <c r="E463" s="50">
        <v>95962511</v>
      </c>
      <c r="F463" s="50">
        <v>93689808</v>
      </c>
      <c r="G463" s="50">
        <v>93689808</v>
      </c>
      <c r="H463" s="50">
        <v>0</v>
      </c>
      <c r="I463" s="50">
        <v>0</v>
      </c>
      <c r="J463" s="50">
        <v>0</v>
      </c>
      <c r="K463" s="50">
        <v>84232934</v>
      </c>
      <c r="L463" s="152">
        <f t="shared" si="0"/>
        <v>0.89906187020897732</v>
      </c>
      <c r="M463" s="50">
        <v>84232934</v>
      </c>
      <c r="N463" s="152">
        <f t="shared" si="1"/>
        <v>0.89906187020897732</v>
      </c>
      <c r="O463" s="50">
        <v>9456874</v>
      </c>
      <c r="P463" s="152">
        <f t="shared" si="2"/>
        <v>0.10093812979102273</v>
      </c>
      <c r="Q463" s="50">
        <v>9456874</v>
      </c>
      <c r="R463" s="257"/>
    </row>
    <row r="464" spans="1:18" hidden="1" x14ac:dyDescent="0.25">
      <c r="A464" s="49" t="s">
        <v>712</v>
      </c>
      <c r="B464" s="49" t="s">
        <v>457</v>
      </c>
      <c r="C464" s="49" t="s">
        <v>698</v>
      </c>
      <c r="D464" s="49" t="s">
        <v>69</v>
      </c>
      <c r="E464" s="50">
        <v>51672183</v>
      </c>
      <c r="F464" s="50">
        <v>50448420</v>
      </c>
      <c r="G464" s="50">
        <v>50448420</v>
      </c>
      <c r="H464" s="50">
        <v>0</v>
      </c>
      <c r="I464" s="50">
        <v>0</v>
      </c>
      <c r="J464" s="50">
        <v>0</v>
      </c>
      <c r="K464" s="50">
        <v>45297820</v>
      </c>
      <c r="L464" s="152">
        <f t="shared" si="0"/>
        <v>0.89790364098617959</v>
      </c>
      <c r="M464" s="50">
        <v>45297820</v>
      </c>
      <c r="N464" s="152">
        <f t="shared" si="1"/>
        <v>0.89790364098617959</v>
      </c>
      <c r="O464" s="50">
        <v>5150600</v>
      </c>
      <c r="P464" s="152">
        <f t="shared" si="2"/>
        <v>0.10209635901382046</v>
      </c>
      <c r="Q464" s="50">
        <v>5150600</v>
      </c>
      <c r="R464" s="257"/>
    </row>
    <row r="465" spans="1:18" hidden="1" x14ac:dyDescent="0.25">
      <c r="A465" s="49" t="s">
        <v>712</v>
      </c>
      <c r="B465" s="49" t="s">
        <v>474</v>
      </c>
      <c r="C465" s="49" t="s">
        <v>699</v>
      </c>
      <c r="D465" s="49" t="s">
        <v>69</v>
      </c>
      <c r="E465" s="50">
        <v>14763409</v>
      </c>
      <c r="F465" s="50">
        <v>17213762</v>
      </c>
      <c r="G465" s="50">
        <v>17213762</v>
      </c>
      <c r="H465" s="50">
        <v>0</v>
      </c>
      <c r="I465" s="50">
        <v>0</v>
      </c>
      <c r="J465" s="50">
        <v>0</v>
      </c>
      <c r="K465" s="50">
        <v>15169857</v>
      </c>
      <c r="L465" s="152">
        <f t="shared" si="0"/>
        <v>0.88126331710639427</v>
      </c>
      <c r="M465" s="50">
        <v>15169857</v>
      </c>
      <c r="N465" s="152">
        <f t="shared" si="1"/>
        <v>0.88126331710639427</v>
      </c>
      <c r="O465" s="50">
        <v>2043905</v>
      </c>
      <c r="P465" s="152">
        <f t="shared" si="2"/>
        <v>0.11873668289360571</v>
      </c>
      <c r="Q465" s="50">
        <v>2043905</v>
      </c>
      <c r="R465" s="257"/>
    </row>
    <row r="466" spans="1:18" hidden="1" x14ac:dyDescent="0.25">
      <c r="A466" s="49" t="s">
        <v>712</v>
      </c>
      <c r="B466" s="49" t="s">
        <v>491</v>
      </c>
      <c r="C466" s="49" t="s">
        <v>700</v>
      </c>
      <c r="D466" s="49" t="s">
        <v>69</v>
      </c>
      <c r="E466" s="50">
        <v>29526919</v>
      </c>
      <c r="F466" s="50">
        <v>26027626</v>
      </c>
      <c r="G466" s="50">
        <v>26027626</v>
      </c>
      <c r="H466" s="50">
        <v>0</v>
      </c>
      <c r="I466" s="50">
        <v>0</v>
      </c>
      <c r="J466" s="50">
        <v>0</v>
      </c>
      <c r="K466" s="50">
        <v>23765257</v>
      </c>
      <c r="L466" s="152">
        <f t="shared" si="0"/>
        <v>0.91307816548462772</v>
      </c>
      <c r="M466" s="50">
        <v>23765257</v>
      </c>
      <c r="N466" s="152">
        <f t="shared" si="1"/>
        <v>0.91307816548462772</v>
      </c>
      <c r="O466" s="50">
        <v>2262369</v>
      </c>
      <c r="P466" s="152">
        <f t="shared" si="2"/>
        <v>8.6921834515372248E-2</v>
      </c>
      <c r="Q466" s="50">
        <v>2262369</v>
      </c>
      <c r="R466" s="257"/>
    </row>
    <row r="467" spans="1:18" hidden="1" x14ac:dyDescent="0.25">
      <c r="A467" s="49" t="s">
        <v>712</v>
      </c>
      <c r="B467" s="49" t="s">
        <v>104</v>
      </c>
      <c r="C467" s="49" t="s">
        <v>105</v>
      </c>
      <c r="D467" s="49" t="s">
        <v>69</v>
      </c>
      <c r="E467" s="50">
        <v>306630000</v>
      </c>
      <c r="F467" s="50">
        <v>306606621</v>
      </c>
      <c r="G467" s="50">
        <v>306606621</v>
      </c>
      <c r="H467" s="50">
        <v>0</v>
      </c>
      <c r="I467" s="50">
        <v>10895220.09</v>
      </c>
      <c r="J467" s="50">
        <v>0</v>
      </c>
      <c r="K467" s="50">
        <v>294983018.95999998</v>
      </c>
      <c r="L467" s="152">
        <f t="shared" si="0"/>
        <v>0.96208952695773642</v>
      </c>
      <c r="M467" s="50">
        <v>292908161.00999999</v>
      </c>
      <c r="N467" s="152">
        <f t="shared" si="1"/>
        <v>0.95532236079794242</v>
      </c>
      <c r="O467" s="50">
        <v>728381.95</v>
      </c>
      <c r="P467" s="152">
        <f t="shared" si="2"/>
        <v>2.3756236823078911E-3</v>
      </c>
      <c r="Q467" s="50">
        <v>728381.95</v>
      </c>
      <c r="R467" s="257"/>
    </row>
    <row r="468" spans="1:18" hidden="1" x14ac:dyDescent="0.25">
      <c r="A468" s="49" t="s">
        <v>712</v>
      </c>
      <c r="B468" s="49" t="s">
        <v>112</v>
      </c>
      <c r="C468" s="49" t="s">
        <v>113</v>
      </c>
      <c r="D468" s="49" t="s">
        <v>69</v>
      </c>
      <c r="E468" s="50">
        <v>291630000</v>
      </c>
      <c r="F468" s="50">
        <v>291640000</v>
      </c>
      <c r="G468" s="50">
        <v>291640000</v>
      </c>
      <c r="H468" s="50">
        <v>0</v>
      </c>
      <c r="I468" s="50">
        <v>3260411.27</v>
      </c>
      <c r="J468" s="50">
        <v>0</v>
      </c>
      <c r="K468" s="50">
        <v>288377413.13</v>
      </c>
      <c r="L468" s="152">
        <f t="shared" si="0"/>
        <v>0.98881296505966254</v>
      </c>
      <c r="M468" s="50">
        <v>287214055.63</v>
      </c>
      <c r="N468" s="152">
        <f t="shared" si="1"/>
        <v>0.9848239460636401</v>
      </c>
      <c r="O468" s="50">
        <v>2175.6</v>
      </c>
      <c r="P468" s="152">
        <f t="shared" si="2"/>
        <v>7.4598820463585243E-6</v>
      </c>
      <c r="Q468" s="50">
        <v>2175.6</v>
      </c>
      <c r="R468" s="257"/>
    </row>
    <row r="469" spans="1:18" hidden="1" x14ac:dyDescent="0.25">
      <c r="A469" s="49" t="s">
        <v>712</v>
      </c>
      <c r="B469" s="49" t="s">
        <v>114</v>
      </c>
      <c r="C469" s="49" t="s">
        <v>115</v>
      </c>
      <c r="D469" s="49" t="s">
        <v>69</v>
      </c>
      <c r="E469" s="50">
        <v>221840000</v>
      </c>
      <c r="F469" s="50">
        <v>221840000</v>
      </c>
      <c r="G469" s="50">
        <v>221840000</v>
      </c>
      <c r="H469" s="50">
        <v>0</v>
      </c>
      <c r="I469" s="50">
        <v>183137.4</v>
      </c>
      <c r="J469" s="50">
        <v>0</v>
      </c>
      <c r="K469" s="50">
        <v>221656862</v>
      </c>
      <c r="L469" s="152">
        <f t="shared" si="0"/>
        <v>0.99917445906959967</v>
      </c>
      <c r="M469" s="50">
        <v>221656862</v>
      </c>
      <c r="N469" s="152">
        <f t="shared" si="1"/>
        <v>0.99917445906959967</v>
      </c>
      <c r="O469" s="50">
        <v>0.60000000000000009</v>
      </c>
      <c r="P469" s="152">
        <f t="shared" si="2"/>
        <v>2.7046520014424814E-9</v>
      </c>
      <c r="Q469" s="50">
        <v>0.60000000000000009</v>
      </c>
      <c r="R469" s="257"/>
    </row>
    <row r="470" spans="1:18" hidden="1" x14ac:dyDescent="0.25">
      <c r="A470" s="49" t="s">
        <v>712</v>
      </c>
      <c r="B470" s="49" t="s">
        <v>116</v>
      </c>
      <c r="C470" s="49" t="s">
        <v>117</v>
      </c>
      <c r="D470" s="49" t="s">
        <v>69</v>
      </c>
      <c r="E470" s="50">
        <v>52200000</v>
      </c>
      <c r="F470" s="50">
        <v>52200000</v>
      </c>
      <c r="G470" s="50">
        <v>52200000</v>
      </c>
      <c r="H470" s="50">
        <v>0</v>
      </c>
      <c r="I470" s="50">
        <v>1446616.5</v>
      </c>
      <c r="J470" s="50">
        <v>0</v>
      </c>
      <c r="K470" s="50">
        <v>50753383.5</v>
      </c>
      <c r="L470" s="152">
        <f t="shared" si="0"/>
        <v>0.9722870402298851</v>
      </c>
      <c r="M470" s="50">
        <v>50753383.5</v>
      </c>
      <c r="N470" s="152">
        <f t="shared" si="1"/>
        <v>0.9722870402298851</v>
      </c>
      <c r="O470" s="50">
        <v>0</v>
      </c>
      <c r="P470" s="152">
        <f t="shared" si="2"/>
        <v>0</v>
      </c>
      <c r="Q470" s="50">
        <v>0</v>
      </c>
      <c r="R470" s="257"/>
    </row>
    <row r="471" spans="1:18" hidden="1" x14ac:dyDescent="0.25">
      <c r="A471" s="49" t="s">
        <v>712</v>
      </c>
      <c r="B471" s="49" t="s">
        <v>120</v>
      </c>
      <c r="C471" s="49" t="s">
        <v>121</v>
      </c>
      <c r="D471" s="49" t="s">
        <v>69</v>
      </c>
      <c r="E471" s="50">
        <v>13090000</v>
      </c>
      <c r="F471" s="50">
        <v>13090000</v>
      </c>
      <c r="G471" s="50">
        <v>13090000</v>
      </c>
      <c r="H471" s="50">
        <v>0</v>
      </c>
      <c r="I471" s="50">
        <v>1630657.37</v>
      </c>
      <c r="J471" s="50">
        <v>0</v>
      </c>
      <c r="K471" s="50">
        <v>11459342.630000001</v>
      </c>
      <c r="L471" s="152">
        <f t="shared" si="0"/>
        <v>0.87542724446142095</v>
      </c>
      <c r="M471" s="50">
        <v>10295985.130000001</v>
      </c>
      <c r="N471" s="152">
        <f t="shared" si="1"/>
        <v>0.78655348586707419</v>
      </c>
      <c r="O471" s="50">
        <v>0</v>
      </c>
      <c r="P471" s="152">
        <f t="shared" si="2"/>
        <v>0</v>
      </c>
      <c r="Q471" s="50">
        <v>0</v>
      </c>
      <c r="R471" s="257"/>
    </row>
    <row r="472" spans="1:18" hidden="1" x14ac:dyDescent="0.25">
      <c r="A472" s="49" t="s">
        <v>712</v>
      </c>
      <c r="B472" s="49" t="s">
        <v>122</v>
      </c>
      <c r="C472" s="49" t="s">
        <v>123</v>
      </c>
      <c r="D472" s="49" t="s">
        <v>69</v>
      </c>
      <c r="E472" s="50">
        <v>4500000</v>
      </c>
      <c r="F472" s="50">
        <v>4510000</v>
      </c>
      <c r="G472" s="50">
        <v>4510000</v>
      </c>
      <c r="H472" s="50">
        <v>0</v>
      </c>
      <c r="I472" s="50">
        <v>0</v>
      </c>
      <c r="J472" s="50">
        <v>0</v>
      </c>
      <c r="K472" s="50">
        <v>4507825</v>
      </c>
      <c r="L472" s="152">
        <f t="shared" si="0"/>
        <v>0.99951773835920177</v>
      </c>
      <c r="M472" s="50">
        <v>4507825</v>
      </c>
      <c r="N472" s="152">
        <f t="shared" si="1"/>
        <v>0.99951773835920177</v>
      </c>
      <c r="O472" s="50">
        <v>2175</v>
      </c>
      <c r="P472" s="152">
        <f t="shared" si="2"/>
        <v>4.8226164079822616E-4</v>
      </c>
      <c r="Q472" s="50">
        <v>2175</v>
      </c>
      <c r="R472" s="257"/>
    </row>
    <row r="473" spans="1:18" hidden="1" x14ac:dyDescent="0.25">
      <c r="A473" s="49" t="s">
        <v>712</v>
      </c>
      <c r="B473" s="49" t="s">
        <v>162</v>
      </c>
      <c r="C473" s="49" t="s">
        <v>163</v>
      </c>
      <c r="D473" s="49" t="s">
        <v>69</v>
      </c>
      <c r="E473" s="50">
        <v>15000000</v>
      </c>
      <c r="F473" s="50">
        <v>14966621</v>
      </c>
      <c r="G473" s="50">
        <v>14966621</v>
      </c>
      <c r="H473" s="50">
        <v>0</v>
      </c>
      <c r="I473" s="50">
        <v>7634808.8200000003</v>
      </c>
      <c r="J473" s="50">
        <v>0</v>
      </c>
      <c r="K473" s="50">
        <v>6605605.8300000001</v>
      </c>
      <c r="L473" s="152">
        <f t="shared" si="0"/>
        <v>0.44135585647555314</v>
      </c>
      <c r="M473" s="50">
        <v>5694105.3799999999</v>
      </c>
      <c r="N473" s="152">
        <f t="shared" si="1"/>
        <v>0.38045363612802113</v>
      </c>
      <c r="O473" s="50">
        <v>726206.35</v>
      </c>
      <c r="P473" s="152">
        <f t="shared" si="2"/>
        <v>4.8521730456059523E-2</v>
      </c>
      <c r="Q473" s="50">
        <v>726206.35</v>
      </c>
      <c r="R473" s="257"/>
    </row>
    <row r="474" spans="1:18" hidden="1" x14ac:dyDescent="0.25">
      <c r="A474" s="49" t="s">
        <v>712</v>
      </c>
      <c r="B474" s="49" t="s">
        <v>164</v>
      </c>
      <c r="C474" s="49" t="s">
        <v>165</v>
      </c>
      <c r="D474" s="49" t="s">
        <v>69</v>
      </c>
      <c r="E474" s="50">
        <v>15000000</v>
      </c>
      <c r="F474" s="50">
        <v>14966621</v>
      </c>
      <c r="G474" s="50">
        <v>14966621</v>
      </c>
      <c r="H474" s="50">
        <v>0</v>
      </c>
      <c r="I474" s="50">
        <v>7634808.8200000003</v>
      </c>
      <c r="J474" s="50">
        <v>0</v>
      </c>
      <c r="K474" s="50">
        <v>6605605.8300000001</v>
      </c>
      <c r="L474" s="152">
        <f t="shared" si="0"/>
        <v>0.44135585647555314</v>
      </c>
      <c r="M474" s="50">
        <v>5694105.3799999999</v>
      </c>
      <c r="N474" s="152">
        <f t="shared" si="1"/>
        <v>0.38045363612802113</v>
      </c>
      <c r="O474" s="50">
        <v>726206.35</v>
      </c>
      <c r="P474" s="152">
        <f t="shared" si="2"/>
        <v>4.8521730456059523E-2</v>
      </c>
      <c r="Q474" s="50">
        <v>726206.35</v>
      </c>
      <c r="R474" s="257"/>
    </row>
    <row r="475" spans="1:18" hidden="1" x14ac:dyDescent="0.25">
      <c r="A475" s="49" t="s">
        <v>712</v>
      </c>
      <c r="B475" s="49" t="s">
        <v>184</v>
      </c>
      <c r="C475" s="49" t="s">
        <v>185</v>
      </c>
      <c r="D475" s="49" t="s">
        <v>69</v>
      </c>
      <c r="E475" s="50">
        <v>621407272</v>
      </c>
      <c r="F475" s="50">
        <v>515537077</v>
      </c>
      <c r="G475" s="50">
        <v>515537077</v>
      </c>
      <c r="H475" s="50">
        <v>0</v>
      </c>
      <c r="I475" s="50">
        <v>38520048.920000002</v>
      </c>
      <c r="J475" s="50">
        <v>0</v>
      </c>
      <c r="K475" s="50">
        <v>395961947.36000001</v>
      </c>
      <c r="L475" s="152">
        <f t="shared" si="0"/>
        <v>0.76805716800074109</v>
      </c>
      <c r="M475" s="50">
        <v>310367146.98000002</v>
      </c>
      <c r="N475" s="152">
        <f t="shared" si="1"/>
        <v>0.60202681984791562</v>
      </c>
      <c r="O475" s="50">
        <v>81055080.719999999</v>
      </c>
      <c r="P475" s="152">
        <f t="shared" si="2"/>
        <v>0.1572245418150594</v>
      </c>
      <c r="Q475" s="50">
        <v>81055080.719999999</v>
      </c>
      <c r="R475" s="257"/>
    </row>
    <row r="476" spans="1:18" hidden="1" x14ac:dyDescent="0.25">
      <c r="A476" s="49" t="s">
        <v>712</v>
      </c>
      <c r="B476" s="49" t="s">
        <v>186</v>
      </c>
      <c r="C476" s="49" t="s">
        <v>187</v>
      </c>
      <c r="D476" s="49" t="s">
        <v>69</v>
      </c>
      <c r="E476" s="50">
        <v>25251750</v>
      </c>
      <c r="F476" s="50">
        <v>25251750</v>
      </c>
      <c r="G476" s="50">
        <v>25251750</v>
      </c>
      <c r="H476" s="50">
        <v>0</v>
      </c>
      <c r="I476" s="50">
        <v>98.9</v>
      </c>
      <c r="J476" s="50">
        <v>0</v>
      </c>
      <c r="K476" s="50">
        <v>142377.47</v>
      </c>
      <c r="L476" s="152">
        <f t="shared" si="0"/>
        <v>5.6383209084518897E-3</v>
      </c>
      <c r="M476" s="50">
        <v>142377.47</v>
      </c>
      <c r="N476" s="152">
        <f t="shared" si="1"/>
        <v>5.6383209084518897E-3</v>
      </c>
      <c r="O476" s="50">
        <v>25109273.629999999</v>
      </c>
      <c r="P476" s="152">
        <f t="shared" si="2"/>
        <v>0.9943577625313097</v>
      </c>
      <c r="Q476" s="50">
        <v>25109273.629999999</v>
      </c>
      <c r="R476" s="257"/>
    </row>
    <row r="477" spans="1:18" hidden="1" x14ac:dyDescent="0.25">
      <c r="A477" s="49" t="s">
        <v>712</v>
      </c>
      <c r="B477" s="49" t="s">
        <v>188</v>
      </c>
      <c r="C477" s="49" t="s">
        <v>189</v>
      </c>
      <c r="D477" s="49" t="s">
        <v>69</v>
      </c>
      <c r="E477" s="50">
        <v>24819750</v>
      </c>
      <c r="F477" s="50">
        <v>24819750</v>
      </c>
      <c r="G477" s="50">
        <v>24819750</v>
      </c>
      <c r="H477" s="50">
        <v>0</v>
      </c>
      <c r="I477" s="50">
        <v>0</v>
      </c>
      <c r="J477" s="50">
        <v>0</v>
      </c>
      <c r="K477" s="50">
        <v>0</v>
      </c>
      <c r="L477" s="152">
        <f t="shared" si="0"/>
        <v>0</v>
      </c>
      <c r="M477" s="50">
        <v>0</v>
      </c>
      <c r="N477" s="152">
        <f t="shared" si="1"/>
        <v>0</v>
      </c>
      <c r="O477" s="50">
        <v>24819750</v>
      </c>
      <c r="P477" s="152">
        <f t="shared" si="2"/>
        <v>1</v>
      </c>
      <c r="Q477" s="50">
        <v>24819750</v>
      </c>
      <c r="R477" s="257"/>
    </row>
    <row r="478" spans="1:18" hidden="1" x14ac:dyDescent="0.25">
      <c r="A478" s="49" t="s">
        <v>712</v>
      </c>
      <c r="B478" s="49" t="s">
        <v>190</v>
      </c>
      <c r="C478" s="49" t="s">
        <v>191</v>
      </c>
      <c r="D478" s="49" t="s">
        <v>69</v>
      </c>
      <c r="E478" s="50">
        <v>197000</v>
      </c>
      <c r="F478" s="50">
        <v>432000</v>
      </c>
      <c r="G478" s="50">
        <v>432000</v>
      </c>
      <c r="H478" s="50">
        <v>0</v>
      </c>
      <c r="I478" s="50">
        <v>98.9</v>
      </c>
      <c r="J478" s="50">
        <v>0</v>
      </c>
      <c r="K478" s="50">
        <v>142377.47</v>
      </c>
      <c r="L478" s="152">
        <f t="shared" si="0"/>
        <v>0.32957747685185185</v>
      </c>
      <c r="M478" s="50">
        <v>142377.47</v>
      </c>
      <c r="N478" s="152">
        <f t="shared" si="1"/>
        <v>0.32957747685185185</v>
      </c>
      <c r="O478" s="50">
        <v>289523.63</v>
      </c>
      <c r="P478" s="152">
        <f t="shared" si="2"/>
        <v>0.67019358796296302</v>
      </c>
      <c r="Q478" s="50">
        <v>289523.63</v>
      </c>
      <c r="R478" s="257"/>
    </row>
    <row r="479" spans="1:18" hidden="1" x14ac:dyDescent="0.25">
      <c r="A479" s="49" t="s">
        <v>712</v>
      </c>
      <c r="B479" s="49" t="s">
        <v>194</v>
      </c>
      <c r="C479" s="49" t="s">
        <v>195</v>
      </c>
      <c r="D479" s="49" t="s">
        <v>69</v>
      </c>
      <c r="E479" s="50">
        <v>235000</v>
      </c>
      <c r="F479" s="50">
        <v>0</v>
      </c>
      <c r="G479" s="50">
        <v>0</v>
      </c>
      <c r="H479" s="50">
        <v>0</v>
      </c>
      <c r="I479" s="50">
        <v>0</v>
      </c>
      <c r="J479" s="50">
        <v>0</v>
      </c>
      <c r="K479" s="50">
        <v>0</v>
      </c>
      <c r="L479" s="152" t="e">
        <f t="shared" si="0"/>
        <v>#DIV/0!</v>
      </c>
      <c r="M479" s="50">
        <v>0</v>
      </c>
      <c r="N479" s="152" t="e">
        <f t="shared" si="1"/>
        <v>#DIV/0!</v>
      </c>
      <c r="O479" s="50">
        <v>0</v>
      </c>
      <c r="P479" s="152" t="e">
        <f t="shared" si="2"/>
        <v>#DIV/0!</v>
      </c>
      <c r="Q479" s="50">
        <v>0</v>
      </c>
      <c r="R479" s="257"/>
    </row>
    <row r="480" spans="1:18" hidden="1" x14ac:dyDescent="0.25">
      <c r="A480" s="49" t="s">
        <v>712</v>
      </c>
      <c r="B480" s="49" t="s">
        <v>196</v>
      </c>
      <c r="C480" s="49" t="s">
        <v>197</v>
      </c>
      <c r="D480" s="49" t="s">
        <v>69</v>
      </c>
      <c r="E480" s="50">
        <v>582942552</v>
      </c>
      <c r="F480" s="50">
        <v>477161161</v>
      </c>
      <c r="G480" s="50">
        <v>477161161</v>
      </c>
      <c r="H480" s="50">
        <v>0</v>
      </c>
      <c r="I480" s="50">
        <v>38512469.390000001</v>
      </c>
      <c r="J480" s="50">
        <v>0</v>
      </c>
      <c r="K480" s="50">
        <v>384884869.42000002</v>
      </c>
      <c r="L480" s="152">
        <f t="shared" si="0"/>
        <v>0.80661399308649939</v>
      </c>
      <c r="M480" s="50">
        <v>299820519.04000002</v>
      </c>
      <c r="N480" s="152">
        <f t="shared" si="1"/>
        <v>0.62834225319524706</v>
      </c>
      <c r="O480" s="50">
        <v>53763822.189999998</v>
      </c>
      <c r="P480" s="152">
        <f t="shared" si="2"/>
        <v>0.11267434691735105</v>
      </c>
      <c r="Q480" s="50">
        <v>53763822.189999998</v>
      </c>
      <c r="R480" s="257"/>
    </row>
    <row r="481" spans="1:18" hidden="1" x14ac:dyDescent="0.25">
      <c r="A481" s="49" t="s">
        <v>712</v>
      </c>
      <c r="B481" s="49" t="s">
        <v>198</v>
      </c>
      <c r="C481" s="49" t="s">
        <v>199</v>
      </c>
      <c r="D481" s="49" t="s">
        <v>69</v>
      </c>
      <c r="E481" s="50">
        <v>582942552</v>
      </c>
      <c r="F481" s="50">
        <v>477161161</v>
      </c>
      <c r="G481" s="50">
        <v>477161161</v>
      </c>
      <c r="H481" s="50">
        <v>0</v>
      </c>
      <c r="I481" s="50">
        <v>38512469.390000001</v>
      </c>
      <c r="J481" s="50">
        <v>0</v>
      </c>
      <c r="K481" s="50">
        <v>384884869.42000002</v>
      </c>
      <c r="L481" s="152">
        <f t="shared" si="0"/>
        <v>0.80661399308649939</v>
      </c>
      <c r="M481" s="50">
        <v>299820519.04000002</v>
      </c>
      <c r="N481" s="152">
        <f t="shared" si="1"/>
        <v>0.62834225319524706</v>
      </c>
      <c r="O481" s="50">
        <v>53763822.189999998</v>
      </c>
      <c r="P481" s="152">
        <f t="shared" si="2"/>
        <v>0.11267434691735105</v>
      </c>
      <c r="Q481" s="50">
        <v>53763822.189999998</v>
      </c>
      <c r="R481" s="257"/>
    </row>
    <row r="482" spans="1:18" hidden="1" x14ac:dyDescent="0.25">
      <c r="A482" s="49" t="s">
        <v>712</v>
      </c>
      <c r="B482" s="49" t="s">
        <v>206</v>
      </c>
      <c r="C482" s="49" t="s">
        <v>207</v>
      </c>
      <c r="D482" s="49" t="s">
        <v>69</v>
      </c>
      <c r="E482" s="50">
        <v>367200</v>
      </c>
      <c r="F482" s="50">
        <v>367200</v>
      </c>
      <c r="G482" s="50">
        <v>367200</v>
      </c>
      <c r="H482" s="50">
        <v>0</v>
      </c>
      <c r="I482" s="50">
        <v>0</v>
      </c>
      <c r="J482" s="50">
        <v>0</v>
      </c>
      <c r="K482" s="50">
        <v>0</v>
      </c>
      <c r="L482" s="152">
        <f t="shared" si="0"/>
        <v>0</v>
      </c>
      <c r="M482" s="50">
        <v>0</v>
      </c>
      <c r="N482" s="152">
        <f t="shared" si="1"/>
        <v>0</v>
      </c>
      <c r="O482" s="50">
        <v>367200</v>
      </c>
      <c r="P482" s="152">
        <f t="shared" si="2"/>
        <v>1</v>
      </c>
      <c r="Q482" s="50">
        <v>367200</v>
      </c>
      <c r="R482" s="257"/>
    </row>
    <row r="483" spans="1:18" hidden="1" x14ac:dyDescent="0.25">
      <c r="A483" s="49" t="s">
        <v>712</v>
      </c>
      <c r="B483" s="49" t="s">
        <v>208</v>
      </c>
      <c r="C483" s="49" t="s">
        <v>209</v>
      </c>
      <c r="D483" s="49" t="s">
        <v>69</v>
      </c>
      <c r="E483" s="50">
        <v>367200</v>
      </c>
      <c r="F483" s="50">
        <v>367200</v>
      </c>
      <c r="G483" s="50">
        <v>367200</v>
      </c>
      <c r="H483" s="50">
        <v>0</v>
      </c>
      <c r="I483" s="50">
        <v>0</v>
      </c>
      <c r="J483" s="50">
        <v>0</v>
      </c>
      <c r="K483" s="50">
        <v>0</v>
      </c>
      <c r="L483" s="152">
        <f t="shared" si="0"/>
        <v>0</v>
      </c>
      <c r="M483" s="50">
        <v>0</v>
      </c>
      <c r="N483" s="152">
        <f t="shared" si="1"/>
        <v>0</v>
      </c>
      <c r="O483" s="50">
        <v>367200</v>
      </c>
      <c r="P483" s="152">
        <f t="shared" si="2"/>
        <v>1</v>
      </c>
      <c r="Q483" s="50">
        <v>367200</v>
      </c>
      <c r="R483" s="257"/>
    </row>
    <row r="484" spans="1:18" hidden="1" x14ac:dyDescent="0.25">
      <c r="A484" s="49" t="s">
        <v>712</v>
      </c>
      <c r="B484" s="49" t="s">
        <v>354</v>
      </c>
      <c r="C484" s="49" t="s">
        <v>355</v>
      </c>
      <c r="D484" s="49" t="s">
        <v>69</v>
      </c>
      <c r="E484" s="50">
        <v>6280000</v>
      </c>
      <c r="F484" s="50">
        <v>6277196</v>
      </c>
      <c r="G484" s="50">
        <v>6277196</v>
      </c>
      <c r="H484" s="50">
        <v>0</v>
      </c>
      <c r="I484" s="50">
        <v>0</v>
      </c>
      <c r="J484" s="50">
        <v>0</v>
      </c>
      <c r="K484" s="50">
        <v>6277195.2000000002</v>
      </c>
      <c r="L484" s="152">
        <f t="shared" si="0"/>
        <v>0.99999987255456102</v>
      </c>
      <c r="M484" s="50">
        <v>6277195.2000000002</v>
      </c>
      <c r="N484" s="152">
        <f t="shared" si="1"/>
        <v>0.99999987255456102</v>
      </c>
      <c r="O484" s="50">
        <v>0.8</v>
      </c>
      <c r="P484" s="152">
        <f t="shared" si="2"/>
        <v>1.2744543901448992E-7</v>
      </c>
      <c r="Q484" s="50">
        <v>0.8</v>
      </c>
      <c r="R484" s="257"/>
    </row>
    <row r="485" spans="1:18" hidden="1" x14ac:dyDescent="0.25">
      <c r="A485" s="49" t="s">
        <v>712</v>
      </c>
      <c r="B485" s="49" t="s">
        <v>356</v>
      </c>
      <c r="C485" s="49" t="s">
        <v>357</v>
      </c>
      <c r="D485" s="49" t="s">
        <v>69</v>
      </c>
      <c r="E485" s="50">
        <v>6280000</v>
      </c>
      <c r="F485" s="50">
        <v>6277196</v>
      </c>
      <c r="G485" s="50">
        <v>6277196</v>
      </c>
      <c r="H485" s="50">
        <v>0</v>
      </c>
      <c r="I485" s="50">
        <v>0</v>
      </c>
      <c r="J485" s="50">
        <v>0</v>
      </c>
      <c r="K485" s="50">
        <v>6277195.2000000002</v>
      </c>
      <c r="L485" s="152">
        <f t="shared" si="0"/>
        <v>0.99999987255456102</v>
      </c>
      <c r="M485" s="50">
        <v>6277195.2000000002</v>
      </c>
      <c r="N485" s="152">
        <f t="shared" si="1"/>
        <v>0.99999987255456102</v>
      </c>
      <c r="O485" s="50">
        <v>0.8</v>
      </c>
      <c r="P485" s="152">
        <f t="shared" si="2"/>
        <v>1.2744543901448992E-7</v>
      </c>
      <c r="Q485" s="50">
        <v>0.8</v>
      </c>
      <c r="R485" s="257"/>
    </row>
    <row r="486" spans="1:18" hidden="1" x14ac:dyDescent="0.25">
      <c r="A486" s="49" t="s">
        <v>712</v>
      </c>
      <c r="B486" s="49" t="s">
        <v>212</v>
      </c>
      <c r="C486" s="49" t="s">
        <v>213</v>
      </c>
      <c r="D486" s="49" t="s">
        <v>69</v>
      </c>
      <c r="E486" s="50">
        <v>6565770</v>
      </c>
      <c r="F486" s="50">
        <v>6479770</v>
      </c>
      <c r="G486" s="50">
        <v>6479770</v>
      </c>
      <c r="H486" s="50">
        <v>0</v>
      </c>
      <c r="I486" s="50">
        <v>7480.63</v>
      </c>
      <c r="J486" s="50">
        <v>0</v>
      </c>
      <c r="K486" s="50">
        <v>4657505.2699999996</v>
      </c>
      <c r="L486" s="152">
        <f t="shared" si="0"/>
        <v>0.7187763253942655</v>
      </c>
      <c r="M486" s="50">
        <v>4127055.27</v>
      </c>
      <c r="N486" s="152">
        <f t="shared" si="1"/>
        <v>0.63691385188054517</v>
      </c>
      <c r="O486" s="50">
        <v>1814784.1</v>
      </c>
      <c r="P486" s="152">
        <f t="shared" si="2"/>
        <v>0.2800692154196831</v>
      </c>
      <c r="Q486" s="50">
        <v>1814784.1</v>
      </c>
      <c r="R486" s="257"/>
    </row>
    <row r="487" spans="1:18" hidden="1" x14ac:dyDescent="0.25">
      <c r="A487" s="49" t="s">
        <v>712</v>
      </c>
      <c r="B487" s="49" t="s">
        <v>216</v>
      </c>
      <c r="C487" s="49" t="s">
        <v>217</v>
      </c>
      <c r="D487" s="49" t="s">
        <v>69</v>
      </c>
      <c r="E487" s="50">
        <v>1076170</v>
      </c>
      <c r="F487" s="50">
        <v>1076170</v>
      </c>
      <c r="G487" s="50">
        <v>1076170</v>
      </c>
      <c r="H487" s="50">
        <v>0</v>
      </c>
      <c r="I487" s="50">
        <v>0</v>
      </c>
      <c r="J487" s="50">
        <v>0</v>
      </c>
      <c r="K487" s="50">
        <v>604425</v>
      </c>
      <c r="L487" s="152">
        <f t="shared" si="0"/>
        <v>0.56164453571461759</v>
      </c>
      <c r="M487" s="50">
        <v>73975</v>
      </c>
      <c r="N487" s="152">
        <f t="shared" si="1"/>
        <v>6.8739139726994802E-2</v>
      </c>
      <c r="O487" s="50">
        <v>471745</v>
      </c>
      <c r="P487" s="152">
        <f t="shared" si="2"/>
        <v>0.43835546428538241</v>
      </c>
      <c r="Q487" s="50">
        <v>471745</v>
      </c>
      <c r="R487" s="257"/>
    </row>
    <row r="488" spans="1:18" hidden="1" x14ac:dyDescent="0.25">
      <c r="A488" s="49" t="s">
        <v>712</v>
      </c>
      <c r="B488" s="49" t="s">
        <v>218</v>
      </c>
      <c r="C488" s="49" t="s">
        <v>219</v>
      </c>
      <c r="D488" s="49" t="s">
        <v>69</v>
      </c>
      <c r="E488" s="50">
        <v>333500</v>
      </c>
      <c r="F488" s="50">
        <v>333500</v>
      </c>
      <c r="G488" s="50">
        <v>333500</v>
      </c>
      <c r="H488" s="50">
        <v>0</v>
      </c>
      <c r="I488" s="50">
        <v>0</v>
      </c>
      <c r="J488" s="50">
        <v>0</v>
      </c>
      <c r="K488" s="50">
        <v>242970</v>
      </c>
      <c r="L488" s="152">
        <f t="shared" si="0"/>
        <v>0.72854572713643173</v>
      </c>
      <c r="M488" s="50">
        <v>242970</v>
      </c>
      <c r="N488" s="152">
        <f t="shared" si="1"/>
        <v>0.72854572713643173</v>
      </c>
      <c r="O488" s="50">
        <v>90530</v>
      </c>
      <c r="P488" s="152">
        <f t="shared" si="2"/>
        <v>0.27145427286356821</v>
      </c>
      <c r="Q488" s="50">
        <v>90530</v>
      </c>
      <c r="R488" s="257"/>
    </row>
    <row r="489" spans="1:18" hidden="1" x14ac:dyDescent="0.25">
      <c r="A489" s="49" t="s">
        <v>712</v>
      </c>
      <c r="B489" s="49" t="s">
        <v>220</v>
      </c>
      <c r="C489" s="49" t="s">
        <v>221</v>
      </c>
      <c r="D489" s="49" t="s">
        <v>69</v>
      </c>
      <c r="E489" s="50">
        <v>2531700</v>
      </c>
      <c r="F489" s="50">
        <v>2530600</v>
      </c>
      <c r="G489" s="50">
        <v>2530600</v>
      </c>
      <c r="H489" s="50">
        <v>0</v>
      </c>
      <c r="I489" s="50">
        <v>7480.63</v>
      </c>
      <c r="J489" s="50">
        <v>0</v>
      </c>
      <c r="K489" s="50">
        <v>2333437.5699999998</v>
      </c>
      <c r="L489" s="152">
        <f t="shared" si="0"/>
        <v>0.92208866276772306</v>
      </c>
      <c r="M489" s="50">
        <v>2333437.5699999998</v>
      </c>
      <c r="N489" s="152">
        <f t="shared" si="1"/>
        <v>0.92208866276772306</v>
      </c>
      <c r="O489" s="50">
        <v>189681.8</v>
      </c>
      <c r="P489" s="152">
        <f t="shared" si="2"/>
        <v>7.495526752548802E-2</v>
      </c>
      <c r="Q489" s="50">
        <v>189681.8</v>
      </c>
      <c r="R489" s="257"/>
    </row>
    <row r="490" spans="1:18" hidden="1" x14ac:dyDescent="0.25">
      <c r="A490" s="49" t="s">
        <v>712</v>
      </c>
      <c r="B490" s="49" t="s">
        <v>224</v>
      </c>
      <c r="C490" s="49" t="s">
        <v>225</v>
      </c>
      <c r="D490" s="49" t="s">
        <v>69</v>
      </c>
      <c r="E490" s="50">
        <v>525000</v>
      </c>
      <c r="F490" s="50">
        <v>495000</v>
      </c>
      <c r="G490" s="50">
        <v>495000</v>
      </c>
      <c r="H490" s="50">
        <v>0</v>
      </c>
      <c r="I490" s="50">
        <v>0</v>
      </c>
      <c r="J490" s="50">
        <v>0</v>
      </c>
      <c r="K490" s="50">
        <v>180862.15</v>
      </c>
      <c r="L490" s="152">
        <f t="shared" si="0"/>
        <v>0.36537808080808082</v>
      </c>
      <c r="M490" s="50">
        <v>180862.15</v>
      </c>
      <c r="N490" s="152">
        <f t="shared" si="1"/>
        <v>0.36537808080808082</v>
      </c>
      <c r="O490" s="50">
        <v>314137.84999999998</v>
      </c>
      <c r="P490" s="152">
        <f t="shared" si="2"/>
        <v>0.63462191919191913</v>
      </c>
      <c r="Q490" s="50">
        <v>314137.84999999998</v>
      </c>
      <c r="R490" s="257"/>
    </row>
    <row r="491" spans="1:18" hidden="1" x14ac:dyDescent="0.25">
      <c r="A491" s="49" t="s">
        <v>712</v>
      </c>
      <c r="B491" s="49" t="s">
        <v>226</v>
      </c>
      <c r="C491" s="49" t="s">
        <v>227</v>
      </c>
      <c r="D491" s="49" t="s">
        <v>69</v>
      </c>
      <c r="E491" s="50">
        <v>2094900</v>
      </c>
      <c r="F491" s="50">
        <v>2040000</v>
      </c>
      <c r="G491" s="50">
        <v>2040000</v>
      </c>
      <c r="H491" s="50">
        <v>0</v>
      </c>
      <c r="I491" s="50">
        <v>0</v>
      </c>
      <c r="J491" s="50">
        <v>0</v>
      </c>
      <c r="K491" s="50">
        <v>1295810.55</v>
      </c>
      <c r="L491" s="152">
        <f t="shared" si="0"/>
        <v>0.63520125000000005</v>
      </c>
      <c r="M491" s="50">
        <v>1295810.55</v>
      </c>
      <c r="N491" s="152">
        <f t="shared" si="1"/>
        <v>0.63520125000000005</v>
      </c>
      <c r="O491" s="50">
        <v>744189.45</v>
      </c>
      <c r="P491" s="152">
        <f t="shared" si="2"/>
        <v>0.36479874999999995</v>
      </c>
      <c r="Q491" s="50">
        <v>744189.45</v>
      </c>
      <c r="R491" s="257"/>
    </row>
    <row r="492" spans="1:18" hidden="1" x14ac:dyDescent="0.25">
      <c r="A492" s="49" t="s">
        <v>712</v>
      </c>
      <c r="B492" s="49" t="s">
        <v>228</v>
      </c>
      <c r="C492" s="49" t="s">
        <v>229</v>
      </c>
      <c r="D492" s="49" t="s">
        <v>69</v>
      </c>
      <c r="E492" s="50">
        <v>4500</v>
      </c>
      <c r="F492" s="50">
        <v>4500</v>
      </c>
      <c r="G492" s="50">
        <v>4500</v>
      </c>
      <c r="H492" s="50">
        <v>0</v>
      </c>
      <c r="I492" s="50">
        <v>0</v>
      </c>
      <c r="J492" s="50">
        <v>0</v>
      </c>
      <c r="K492" s="50">
        <v>0</v>
      </c>
      <c r="L492" s="152">
        <f t="shared" si="0"/>
        <v>0</v>
      </c>
      <c r="M492" s="50">
        <v>0</v>
      </c>
      <c r="N492" s="152">
        <f t="shared" si="1"/>
        <v>0</v>
      </c>
      <c r="O492" s="50">
        <v>4500</v>
      </c>
      <c r="P492" s="152">
        <f t="shared" si="2"/>
        <v>1</v>
      </c>
      <c r="Q492" s="50">
        <v>4500</v>
      </c>
      <c r="R492" s="257"/>
    </row>
    <row r="493" spans="1:18" hidden="1" x14ac:dyDescent="0.25">
      <c r="A493" s="49" t="s">
        <v>712</v>
      </c>
      <c r="B493" s="49" t="s">
        <v>248</v>
      </c>
      <c r="C493" s="49" t="s">
        <v>249</v>
      </c>
      <c r="D493" s="49" t="s">
        <v>69</v>
      </c>
      <c r="E493" s="50">
        <v>21838204</v>
      </c>
      <c r="F493" s="50">
        <v>21451264</v>
      </c>
      <c r="G493" s="50">
        <v>21451264</v>
      </c>
      <c r="H493" s="50">
        <v>0</v>
      </c>
      <c r="I493" s="50">
        <v>0</v>
      </c>
      <c r="J493" s="50">
        <v>0</v>
      </c>
      <c r="K493" s="50">
        <v>19721471</v>
      </c>
      <c r="L493" s="152">
        <f t="shared" si="0"/>
        <v>0.91936172152839102</v>
      </c>
      <c r="M493" s="50">
        <v>19721471</v>
      </c>
      <c r="N493" s="152">
        <f t="shared" si="1"/>
        <v>0.91936172152839102</v>
      </c>
      <c r="O493" s="50">
        <v>1729793</v>
      </c>
      <c r="P493" s="152">
        <f t="shared" si="2"/>
        <v>8.063827847160894E-2</v>
      </c>
      <c r="Q493" s="50">
        <v>1729793</v>
      </c>
      <c r="R493" s="257"/>
    </row>
    <row r="494" spans="1:18" hidden="1" x14ac:dyDescent="0.25">
      <c r="A494" s="49" t="s">
        <v>712</v>
      </c>
      <c r="B494" s="49" t="s">
        <v>250</v>
      </c>
      <c r="C494" s="49" t="s">
        <v>251</v>
      </c>
      <c r="D494" s="49" t="s">
        <v>69</v>
      </c>
      <c r="E494" s="50">
        <v>16338204</v>
      </c>
      <c r="F494" s="50">
        <v>15951264</v>
      </c>
      <c r="G494" s="50">
        <v>15951264</v>
      </c>
      <c r="H494" s="50">
        <v>0</v>
      </c>
      <c r="I494" s="50">
        <v>0</v>
      </c>
      <c r="J494" s="50">
        <v>0</v>
      </c>
      <c r="K494" s="50">
        <v>14236253</v>
      </c>
      <c r="L494" s="152">
        <f t="shared" si="0"/>
        <v>0.89248431973792175</v>
      </c>
      <c r="M494" s="50">
        <v>14236253</v>
      </c>
      <c r="N494" s="152">
        <f t="shared" si="1"/>
        <v>0.89248431973792175</v>
      </c>
      <c r="O494" s="50">
        <v>1715011</v>
      </c>
      <c r="P494" s="152">
        <f t="shared" si="2"/>
        <v>0.10751568026207829</v>
      </c>
      <c r="Q494" s="50">
        <v>1715011</v>
      </c>
      <c r="R494" s="257"/>
    </row>
    <row r="495" spans="1:18" hidden="1" x14ac:dyDescent="0.25">
      <c r="A495" s="49" t="s">
        <v>712</v>
      </c>
      <c r="B495" s="49" t="s">
        <v>631</v>
      </c>
      <c r="C495" s="49" t="s">
        <v>702</v>
      </c>
      <c r="D495" s="49" t="s">
        <v>69</v>
      </c>
      <c r="E495" s="50">
        <v>13877686</v>
      </c>
      <c r="F495" s="50">
        <v>13549019</v>
      </c>
      <c r="G495" s="50">
        <v>13549019</v>
      </c>
      <c r="H495" s="50">
        <v>0</v>
      </c>
      <c r="I495" s="50">
        <v>0</v>
      </c>
      <c r="J495" s="50">
        <v>0</v>
      </c>
      <c r="K495" s="50">
        <v>12073189</v>
      </c>
      <c r="L495" s="152">
        <f t="shared" si="0"/>
        <v>0.89107477080074948</v>
      </c>
      <c r="M495" s="50">
        <v>12073189</v>
      </c>
      <c r="N495" s="152">
        <f t="shared" si="1"/>
        <v>0.89107477080074948</v>
      </c>
      <c r="O495" s="50">
        <v>1475830</v>
      </c>
      <c r="P495" s="152">
        <f t="shared" si="2"/>
        <v>0.10892522919925052</v>
      </c>
      <c r="Q495" s="50">
        <v>1475830</v>
      </c>
      <c r="R495" s="257"/>
    </row>
    <row r="496" spans="1:18" hidden="1" x14ac:dyDescent="0.25">
      <c r="A496" s="49" t="s">
        <v>712</v>
      </c>
      <c r="B496" s="49" t="s">
        <v>646</v>
      </c>
      <c r="C496" s="49" t="s">
        <v>703</v>
      </c>
      <c r="D496" s="49" t="s">
        <v>69</v>
      </c>
      <c r="E496" s="50">
        <v>2460518</v>
      </c>
      <c r="F496" s="50">
        <v>2402245</v>
      </c>
      <c r="G496" s="50">
        <v>2402245</v>
      </c>
      <c r="H496" s="50">
        <v>0</v>
      </c>
      <c r="I496" s="50">
        <v>0</v>
      </c>
      <c r="J496" s="50">
        <v>0</v>
      </c>
      <c r="K496" s="50">
        <v>2163064</v>
      </c>
      <c r="L496" s="152">
        <f t="shared" si="0"/>
        <v>0.90043438533538422</v>
      </c>
      <c r="M496" s="50">
        <v>2163064</v>
      </c>
      <c r="N496" s="152">
        <f t="shared" si="1"/>
        <v>0.90043438533538422</v>
      </c>
      <c r="O496" s="50">
        <v>239181</v>
      </c>
      <c r="P496" s="152">
        <f t="shared" si="2"/>
        <v>9.9565614664615804E-2</v>
      </c>
      <c r="Q496" s="50">
        <v>239181</v>
      </c>
      <c r="R496" s="257"/>
    </row>
    <row r="497" spans="1:18" hidden="1" x14ac:dyDescent="0.25">
      <c r="A497" s="49" t="s">
        <v>712</v>
      </c>
      <c r="B497" s="49" t="s">
        <v>260</v>
      </c>
      <c r="C497" s="49" t="s">
        <v>261</v>
      </c>
      <c r="D497" s="49" t="s">
        <v>69</v>
      </c>
      <c r="E497" s="50">
        <v>5500000</v>
      </c>
      <c r="F497" s="50">
        <v>5500000</v>
      </c>
      <c r="G497" s="50">
        <v>5500000</v>
      </c>
      <c r="H497" s="50">
        <v>0</v>
      </c>
      <c r="I497" s="50">
        <v>0</v>
      </c>
      <c r="J497" s="50">
        <v>0</v>
      </c>
      <c r="K497" s="50">
        <v>5485218</v>
      </c>
      <c r="L497" s="152">
        <f t="shared" si="0"/>
        <v>0.99731236363636366</v>
      </c>
      <c r="M497" s="50">
        <v>5485218</v>
      </c>
      <c r="N497" s="152">
        <f t="shared" si="1"/>
        <v>0.99731236363636366</v>
      </c>
      <c r="O497" s="50">
        <v>14782</v>
      </c>
      <c r="P497" s="152">
        <f t="shared" si="2"/>
        <v>2.6876363636363638E-3</v>
      </c>
      <c r="Q497" s="50">
        <v>14782</v>
      </c>
      <c r="R497" s="257"/>
    </row>
    <row r="498" spans="1:18" hidden="1" x14ac:dyDescent="0.25">
      <c r="A498" s="49" t="s">
        <v>712</v>
      </c>
      <c r="B498" s="49" t="s">
        <v>264</v>
      </c>
      <c r="C498" s="49" t="s">
        <v>265</v>
      </c>
      <c r="D498" s="49" t="s">
        <v>69</v>
      </c>
      <c r="E498" s="50">
        <v>5500000</v>
      </c>
      <c r="F498" s="50">
        <v>5500000</v>
      </c>
      <c r="G498" s="50">
        <v>5500000</v>
      </c>
      <c r="H498" s="50">
        <v>0</v>
      </c>
      <c r="I498" s="50">
        <v>0</v>
      </c>
      <c r="J498" s="50">
        <v>0</v>
      </c>
      <c r="K498" s="50">
        <v>5485218</v>
      </c>
      <c r="L498" s="152">
        <f t="shared" si="0"/>
        <v>0.99731236363636366</v>
      </c>
      <c r="M498" s="50">
        <v>5485218</v>
      </c>
      <c r="N498" s="152">
        <f t="shared" si="1"/>
        <v>0.99731236363636366</v>
      </c>
      <c r="O498" s="50">
        <v>14782</v>
      </c>
      <c r="P498" s="152">
        <f t="shared" si="2"/>
        <v>2.6876363636363638E-3</v>
      </c>
      <c r="Q498" s="50">
        <v>14782</v>
      </c>
      <c r="R498" s="257"/>
    </row>
    <row r="499" spans="1:18" hidden="1" x14ac:dyDescent="0.25">
      <c r="A499" s="49" t="s">
        <v>712</v>
      </c>
      <c r="B499" s="49" t="s">
        <v>230</v>
      </c>
      <c r="C499" s="49" t="s">
        <v>231</v>
      </c>
      <c r="D499" s="49" t="s">
        <v>85</v>
      </c>
      <c r="E499" s="50">
        <v>10612500</v>
      </c>
      <c r="F499" s="50">
        <v>10612500</v>
      </c>
      <c r="G499" s="50">
        <v>10612500</v>
      </c>
      <c r="H499" s="50">
        <v>0</v>
      </c>
      <c r="I499" s="50">
        <v>2353077.65</v>
      </c>
      <c r="J499" s="50">
        <v>0</v>
      </c>
      <c r="K499" s="50">
        <v>5818800</v>
      </c>
      <c r="L499" s="152">
        <f t="shared" si="0"/>
        <v>0.54829681978798583</v>
      </c>
      <c r="M499" s="50">
        <v>5818800</v>
      </c>
      <c r="N499" s="152">
        <f t="shared" si="1"/>
        <v>0.54829681978798583</v>
      </c>
      <c r="O499" s="50">
        <v>2440622.35</v>
      </c>
      <c r="P499" s="152">
        <f t="shared" si="2"/>
        <v>0.22997619316843346</v>
      </c>
      <c r="Q499" s="50">
        <v>2440622.35</v>
      </c>
      <c r="R499" s="257"/>
    </row>
    <row r="500" spans="1:18" hidden="1" x14ac:dyDescent="0.25">
      <c r="A500" s="49" t="s">
        <v>712</v>
      </c>
      <c r="B500" s="49" t="s">
        <v>232</v>
      </c>
      <c r="C500" s="49" t="s">
        <v>233</v>
      </c>
      <c r="D500" s="49" t="s">
        <v>85</v>
      </c>
      <c r="E500" s="50">
        <v>10612500</v>
      </c>
      <c r="F500" s="50">
        <v>10612500</v>
      </c>
      <c r="G500" s="50">
        <v>10612500</v>
      </c>
      <c r="H500" s="50">
        <v>0</v>
      </c>
      <c r="I500" s="50">
        <v>2353077.65</v>
      </c>
      <c r="J500" s="50">
        <v>0</v>
      </c>
      <c r="K500" s="50">
        <v>5818800</v>
      </c>
      <c r="L500" s="152">
        <f t="shared" si="0"/>
        <v>0.54829681978798583</v>
      </c>
      <c r="M500" s="50">
        <v>5818800</v>
      </c>
      <c r="N500" s="152">
        <f t="shared" si="1"/>
        <v>0.54829681978798583</v>
      </c>
      <c r="O500" s="50">
        <v>2440622.35</v>
      </c>
      <c r="P500" s="152">
        <f t="shared" si="2"/>
        <v>0.22997619316843346</v>
      </c>
      <c r="Q500" s="50">
        <v>2440622.35</v>
      </c>
      <c r="R500" s="257"/>
    </row>
    <row r="501" spans="1:18" hidden="1" x14ac:dyDescent="0.25">
      <c r="A501" s="49" t="s">
        <v>712</v>
      </c>
      <c r="B501" s="49" t="s">
        <v>234</v>
      </c>
      <c r="C501" s="49" t="s">
        <v>235</v>
      </c>
      <c r="D501" s="49" t="s">
        <v>85</v>
      </c>
      <c r="E501" s="50">
        <v>6650000</v>
      </c>
      <c r="F501" s="50">
        <v>6650000</v>
      </c>
      <c r="G501" s="50">
        <v>6650000</v>
      </c>
      <c r="H501" s="50">
        <v>0</v>
      </c>
      <c r="I501" s="50">
        <v>0</v>
      </c>
      <c r="J501" s="50">
        <v>0</v>
      </c>
      <c r="K501" s="50">
        <v>5152800</v>
      </c>
      <c r="L501" s="152">
        <f t="shared" si="0"/>
        <v>0.77485714285714291</v>
      </c>
      <c r="M501" s="50">
        <v>5152800</v>
      </c>
      <c r="N501" s="152">
        <f t="shared" si="1"/>
        <v>0.77485714285714291</v>
      </c>
      <c r="O501" s="50">
        <v>1497200</v>
      </c>
      <c r="P501" s="152">
        <f t="shared" si="2"/>
        <v>0.22514285714285714</v>
      </c>
      <c r="Q501" s="50">
        <v>1497200</v>
      </c>
      <c r="R501" s="257"/>
    </row>
    <row r="502" spans="1:18" hidden="1" x14ac:dyDescent="0.25">
      <c r="A502" s="49" t="s">
        <v>712</v>
      </c>
      <c r="B502" s="49" t="s">
        <v>326</v>
      </c>
      <c r="C502" s="49" t="s">
        <v>327</v>
      </c>
      <c r="D502" s="49" t="s">
        <v>85</v>
      </c>
      <c r="E502" s="50">
        <v>760000</v>
      </c>
      <c r="F502" s="50">
        <v>760000</v>
      </c>
      <c r="G502" s="50">
        <v>760000</v>
      </c>
      <c r="H502" s="50">
        <v>0</v>
      </c>
      <c r="I502" s="50">
        <v>0</v>
      </c>
      <c r="J502" s="50">
        <v>0</v>
      </c>
      <c r="K502" s="50">
        <v>666000</v>
      </c>
      <c r="L502" s="152">
        <f t="shared" si="0"/>
        <v>0.87631578947368416</v>
      </c>
      <c r="M502" s="50">
        <v>666000</v>
      </c>
      <c r="N502" s="152">
        <f t="shared" si="1"/>
        <v>0.87631578947368416</v>
      </c>
      <c r="O502" s="50">
        <v>94000</v>
      </c>
      <c r="P502" s="152">
        <f t="shared" si="2"/>
        <v>0.12368421052631579</v>
      </c>
      <c r="Q502" s="50">
        <v>94000</v>
      </c>
      <c r="R502" s="257"/>
    </row>
    <row r="503" spans="1:18" hidden="1" x14ac:dyDescent="0.25">
      <c r="A503" s="49" t="s">
        <v>712</v>
      </c>
      <c r="B503" s="49" t="s">
        <v>242</v>
      </c>
      <c r="C503" s="49" t="s">
        <v>243</v>
      </c>
      <c r="D503" s="49" t="s">
        <v>85</v>
      </c>
      <c r="E503" s="50">
        <v>3202500</v>
      </c>
      <c r="F503" s="50">
        <v>3202500</v>
      </c>
      <c r="G503" s="50">
        <v>3202500</v>
      </c>
      <c r="H503" s="50">
        <v>0</v>
      </c>
      <c r="I503" s="50">
        <v>2353077.65</v>
      </c>
      <c r="J503" s="50">
        <v>0</v>
      </c>
      <c r="K503" s="50">
        <v>0</v>
      </c>
      <c r="L503" s="152">
        <f t="shared" si="0"/>
        <v>0</v>
      </c>
      <c r="M503" s="50">
        <v>0</v>
      </c>
      <c r="N503" s="152">
        <f t="shared" si="1"/>
        <v>0</v>
      </c>
      <c r="O503" s="50">
        <v>849422.35</v>
      </c>
      <c r="P503" s="152">
        <f t="shared" si="2"/>
        <v>0.26523726775956286</v>
      </c>
      <c r="Q503" s="50">
        <v>849422.35</v>
      </c>
      <c r="R503" s="257"/>
    </row>
    <row r="504" spans="1:18" x14ac:dyDescent="0.25">
      <c r="A504" s="49">
        <v>214789003</v>
      </c>
      <c r="B504" s="49"/>
      <c r="C504" s="49"/>
      <c r="D504" s="49" t="s">
        <v>69</v>
      </c>
      <c r="E504" s="50">
        <v>1434240030</v>
      </c>
      <c r="F504" s="50">
        <v>1449674150</v>
      </c>
      <c r="G504" s="50">
        <v>1449674150</v>
      </c>
      <c r="H504" s="50">
        <v>0</v>
      </c>
      <c r="I504" s="50">
        <v>19036695</v>
      </c>
      <c r="J504" s="50">
        <v>0</v>
      </c>
      <c r="K504" s="50">
        <v>1313606623.73</v>
      </c>
      <c r="L504" s="152">
        <f t="shared" si="0"/>
        <v>0.90613923393060436</v>
      </c>
      <c r="M504" s="50">
        <v>1269733326.3099999</v>
      </c>
      <c r="N504" s="152">
        <f t="shared" si="1"/>
        <v>0.8758749863270997</v>
      </c>
      <c r="O504" s="50">
        <v>117030831.27</v>
      </c>
      <c r="P504" s="152">
        <f t="shared" si="2"/>
        <v>8.0729059885630158E-2</v>
      </c>
      <c r="Q504" s="50">
        <v>117030831.27</v>
      </c>
      <c r="R504" s="257"/>
    </row>
    <row r="505" spans="1:18" hidden="1" x14ac:dyDescent="0.25">
      <c r="A505" s="49" t="s">
        <v>713</v>
      </c>
      <c r="B505" s="49" t="s">
        <v>71</v>
      </c>
      <c r="C505" s="49" t="s">
        <v>72</v>
      </c>
      <c r="D505" s="49" t="s">
        <v>69</v>
      </c>
      <c r="E505" s="50">
        <v>1171265212</v>
      </c>
      <c r="F505" s="50">
        <v>1157887237</v>
      </c>
      <c r="G505" s="50">
        <v>1157887237</v>
      </c>
      <c r="H505" s="50">
        <v>0</v>
      </c>
      <c r="I505" s="50">
        <v>3360937.32</v>
      </c>
      <c r="J505" s="50">
        <v>0</v>
      </c>
      <c r="K505" s="50">
        <v>1046706940.13</v>
      </c>
      <c r="L505" s="152">
        <f t="shared" si="0"/>
        <v>0.90398003076874744</v>
      </c>
      <c r="M505" s="50">
        <v>1046706940.13</v>
      </c>
      <c r="N505" s="152">
        <f t="shared" si="1"/>
        <v>0.90398003076874744</v>
      </c>
      <c r="O505" s="50">
        <v>107819359.55</v>
      </c>
      <c r="P505" s="152">
        <f t="shared" si="2"/>
        <v>9.3117322744960873E-2</v>
      </c>
      <c r="Q505" s="50">
        <v>107819359.55</v>
      </c>
      <c r="R505" s="257"/>
    </row>
    <row r="506" spans="1:18" hidden="1" x14ac:dyDescent="0.25">
      <c r="A506" s="49" t="s">
        <v>713</v>
      </c>
      <c r="B506" s="49" t="s">
        <v>73</v>
      </c>
      <c r="C506" s="49" t="s">
        <v>74</v>
      </c>
      <c r="D506" s="49" t="s">
        <v>69</v>
      </c>
      <c r="E506" s="50">
        <v>419650432</v>
      </c>
      <c r="F506" s="50">
        <v>414102244</v>
      </c>
      <c r="G506" s="50">
        <v>414102244</v>
      </c>
      <c r="H506" s="50">
        <v>0</v>
      </c>
      <c r="I506" s="50">
        <v>0</v>
      </c>
      <c r="J506" s="50">
        <v>0</v>
      </c>
      <c r="K506" s="50">
        <v>397680715.11000001</v>
      </c>
      <c r="L506" s="152">
        <f t="shared" si="0"/>
        <v>0.96034426490574631</v>
      </c>
      <c r="M506" s="50">
        <v>397680715.11000001</v>
      </c>
      <c r="N506" s="152">
        <f t="shared" si="1"/>
        <v>0.96034426490574631</v>
      </c>
      <c r="O506" s="50">
        <v>16421528.890000001</v>
      </c>
      <c r="P506" s="152">
        <f t="shared" si="2"/>
        <v>3.9655735094253679E-2</v>
      </c>
      <c r="Q506" s="50">
        <v>16421528.890000001</v>
      </c>
      <c r="R506" s="257"/>
    </row>
    <row r="507" spans="1:18" hidden="1" x14ac:dyDescent="0.25">
      <c r="A507" s="49" t="s">
        <v>713</v>
      </c>
      <c r="B507" s="49" t="s">
        <v>75</v>
      </c>
      <c r="C507" s="49" t="s">
        <v>76</v>
      </c>
      <c r="D507" s="49" t="s">
        <v>69</v>
      </c>
      <c r="E507" s="50">
        <v>419650432</v>
      </c>
      <c r="F507" s="50">
        <v>414102244</v>
      </c>
      <c r="G507" s="50">
        <v>414102244</v>
      </c>
      <c r="H507" s="50">
        <v>0</v>
      </c>
      <c r="I507" s="50">
        <v>0</v>
      </c>
      <c r="J507" s="50">
        <v>0</v>
      </c>
      <c r="K507" s="50">
        <v>397680715.11000001</v>
      </c>
      <c r="L507" s="152">
        <f t="shared" si="0"/>
        <v>0.96034426490574631</v>
      </c>
      <c r="M507" s="50">
        <v>397680715.11000001</v>
      </c>
      <c r="N507" s="152">
        <f t="shared" si="1"/>
        <v>0.96034426490574631</v>
      </c>
      <c r="O507" s="50">
        <v>16421528.890000001</v>
      </c>
      <c r="P507" s="152">
        <f t="shared" si="2"/>
        <v>3.9655735094253679E-2</v>
      </c>
      <c r="Q507" s="50">
        <v>16421528.890000001</v>
      </c>
      <c r="R507" s="257"/>
    </row>
    <row r="508" spans="1:18" hidden="1" x14ac:dyDescent="0.25">
      <c r="A508" s="49" t="s">
        <v>713</v>
      </c>
      <c r="B508" s="49" t="s">
        <v>293</v>
      </c>
      <c r="C508" s="49" t="s">
        <v>294</v>
      </c>
      <c r="D508" s="49" t="s">
        <v>69</v>
      </c>
      <c r="E508" s="50">
        <v>5204100</v>
      </c>
      <c r="F508" s="50">
        <v>5204100</v>
      </c>
      <c r="G508" s="50">
        <v>5204100</v>
      </c>
      <c r="H508" s="50">
        <v>0</v>
      </c>
      <c r="I508" s="50">
        <v>0</v>
      </c>
      <c r="J508" s="50">
        <v>0</v>
      </c>
      <c r="K508" s="50">
        <v>0</v>
      </c>
      <c r="L508" s="152">
        <f t="shared" si="0"/>
        <v>0</v>
      </c>
      <c r="M508" s="50">
        <v>0</v>
      </c>
      <c r="N508" s="152">
        <f t="shared" si="1"/>
        <v>0</v>
      </c>
      <c r="O508" s="50">
        <v>5204100</v>
      </c>
      <c r="P508" s="152">
        <f t="shared" si="2"/>
        <v>1</v>
      </c>
      <c r="Q508" s="50">
        <v>5204100</v>
      </c>
      <c r="R508" s="257"/>
    </row>
    <row r="509" spans="1:18" hidden="1" x14ac:dyDescent="0.25">
      <c r="A509" s="49" t="s">
        <v>713</v>
      </c>
      <c r="B509" s="49" t="s">
        <v>339</v>
      </c>
      <c r="C509" s="49" t="s">
        <v>340</v>
      </c>
      <c r="D509" s="49" t="s">
        <v>69</v>
      </c>
      <c r="E509" s="50">
        <v>5204100</v>
      </c>
      <c r="F509" s="50">
        <v>5204100</v>
      </c>
      <c r="G509" s="50">
        <v>5204100</v>
      </c>
      <c r="H509" s="50">
        <v>0</v>
      </c>
      <c r="I509" s="50">
        <v>0</v>
      </c>
      <c r="J509" s="50">
        <v>0</v>
      </c>
      <c r="K509" s="50">
        <v>0</v>
      </c>
      <c r="L509" s="152">
        <f t="shared" si="0"/>
        <v>0</v>
      </c>
      <c r="M509" s="50">
        <v>0</v>
      </c>
      <c r="N509" s="152">
        <f t="shared" si="1"/>
        <v>0</v>
      </c>
      <c r="O509" s="50">
        <v>5204100</v>
      </c>
      <c r="P509" s="152">
        <f t="shared" si="2"/>
        <v>1</v>
      </c>
      <c r="Q509" s="50">
        <v>5204100</v>
      </c>
      <c r="R509" s="257"/>
    </row>
    <row r="510" spans="1:18" hidden="1" x14ac:dyDescent="0.25">
      <c r="A510" s="49" t="s">
        <v>713</v>
      </c>
      <c r="B510" s="49" t="s">
        <v>77</v>
      </c>
      <c r="C510" s="49" t="s">
        <v>78</v>
      </c>
      <c r="D510" s="49" t="s">
        <v>69</v>
      </c>
      <c r="E510" s="50">
        <v>567738543</v>
      </c>
      <c r="F510" s="50">
        <v>561491876</v>
      </c>
      <c r="G510" s="50">
        <v>561491876</v>
      </c>
      <c r="H510" s="50">
        <v>0</v>
      </c>
      <c r="I510" s="50">
        <v>3360937.32</v>
      </c>
      <c r="J510" s="50">
        <v>0</v>
      </c>
      <c r="K510" s="50">
        <v>500481213.01999998</v>
      </c>
      <c r="L510" s="152">
        <f t="shared" si="0"/>
        <v>0.89134185980635627</v>
      </c>
      <c r="M510" s="50">
        <v>500481213.01999998</v>
      </c>
      <c r="N510" s="152">
        <f t="shared" si="1"/>
        <v>0.89134185980635627</v>
      </c>
      <c r="O510" s="50">
        <v>57649725.659999996</v>
      </c>
      <c r="P510" s="152">
        <f t="shared" si="2"/>
        <v>0.1026724127705812</v>
      </c>
      <c r="Q510" s="50">
        <v>57649725.659999996</v>
      </c>
      <c r="R510" s="257"/>
    </row>
    <row r="511" spans="1:18" hidden="1" x14ac:dyDescent="0.25">
      <c r="A511" s="49" t="s">
        <v>713</v>
      </c>
      <c r="B511" s="49" t="s">
        <v>79</v>
      </c>
      <c r="C511" s="49" t="s">
        <v>80</v>
      </c>
      <c r="D511" s="49" t="s">
        <v>69</v>
      </c>
      <c r="E511" s="50">
        <v>176537100</v>
      </c>
      <c r="F511" s="50">
        <v>176537100</v>
      </c>
      <c r="G511" s="50">
        <v>176537100</v>
      </c>
      <c r="H511" s="50">
        <v>0</v>
      </c>
      <c r="I511" s="50">
        <v>0</v>
      </c>
      <c r="J511" s="50">
        <v>0</v>
      </c>
      <c r="K511" s="50">
        <v>148315415.31</v>
      </c>
      <c r="L511" s="152">
        <f t="shared" si="0"/>
        <v>0.84013737231437469</v>
      </c>
      <c r="M511" s="50">
        <v>148315415.31</v>
      </c>
      <c r="N511" s="152">
        <f t="shared" si="1"/>
        <v>0.84013737231437469</v>
      </c>
      <c r="O511" s="50">
        <v>28221684.690000001</v>
      </c>
      <c r="P511" s="152">
        <f t="shared" si="2"/>
        <v>0.15986262768562529</v>
      </c>
      <c r="Q511" s="50">
        <v>28221684.690000001</v>
      </c>
      <c r="R511" s="257"/>
    </row>
    <row r="512" spans="1:18" hidden="1" x14ac:dyDescent="0.25">
      <c r="A512" s="49" t="s">
        <v>713</v>
      </c>
      <c r="B512" s="49" t="s">
        <v>81</v>
      </c>
      <c r="C512" s="49" t="s">
        <v>82</v>
      </c>
      <c r="D512" s="49" t="s">
        <v>69</v>
      </c>
      <c r="E512" s="50">
        <v>145353690</v>
      </c>
      <c r="F512" s="50">
        <v>142783300</v>
      </c>
      <c r="G512" s="50">
        <v>142783300</v>
      </c>
      <c r="H512" s="50">
        <v>0</v>
      </c>
      <c r="I512" s="50">
        <v>0</v>
      </c>
      <c r="J512" s="50">
        <v>0</v>
      </c>
      <c r="K512" s="50">
        <v>126764950.7</v>
      </c>
      <c r="L512" s="152">
        <f t="shared" si="0"/>
        <v>0.887813565732127</v>
      </c>
      <c r="M512" s="50">
        <v>126764950.7</v>
      </c>
      <c r="N512" s="152">
        <f t="shared" si="1"/>
        <v>0.887813565732127</v>
      </c>
      <c r="O512" s="50">
        <v>16018349.300000001</v>
      </c>
      <c r="P512" s="152">
        <f t="shared" si="2"/>
        <v>0.11218643426787307</v>
      </c>
      <c r="Q512" s="50">
        <v>16018349.300000001</v>
      </c>
      <c r="R512" s="257"/>
    </row>
    <row r="513" spans="1:18" hidden="1" x14ac:dyDescent="0.25">
      <c r="A513" s="49" t="s">
        <v>713</v>
      </c>
      <c r="B513" s="49" t="s">
        <v>86</v>
      </c>
      <c r="C513" s="49" t="s">
        <v>87</v>
      </c>
      <c r="D513" s="49" t="s">
        <v>69</v>
      </c>
      <c r="E513" s="50">
        <v>70126000</v>
      </c>
      <c r="F513" s="50">
        <v>67126000</v>
      </c>
      <c r="G513" s="50">
        <v>67126000</v>
      </c>
      <c r="H513" s="50">
        <v>0</v>
      </c>
      <c r="I513" s="50">
        <v>3360937.32</v>
      </c>
      <c r="J513" s="50">
        <v>0</v>
      </c>
      <c r="K513" s="50">
        <v>63459636.100000001</v>
      </c>
      <c r="L513" s="152">
        <f t="shared" si="0"/>
        <v>0.94538086732413673</v>
      </c>
      <c r="M513" s="50">
        <v>63459636.100000001</v>
      </c>
      <c r="N513" s="152">
        <f t="shared" si="1"/>
        <v>0.94538086732413673</v>
      </c>
      <c r="O513" s="50">
        <v>305426.58</v>
      </c>
      <c r="P513" s="152">
        <f t="shared" si="2"/>
        <v>4.550048863331645E-3</v>
      </c>
      <c r="Q513" s="50">
        <v>305426.58</v>
      </c>
      <c r="R513" s="257"/>
    </row>
    <row r="514" spans="1:18" hidden="1" x14ac:dyDescent="0.25">
      <c r="A514" s="49" t="s">
        <v>713</v>
      </c>
      <c r="B514" s="49" t="s">
        <v>88</v>
      </c>
      <c r="C514" s="49" t="s">
        <v>89</v>
      </c>
      <c r="D514" s="49" t="s">
        <v>69</v>
      </c>
      <c r="E514" s="50">
        <v>99397100</v>
      </c>
      <c r="F514" s="50">
        <v>99397100</v>
      </c>
      <c r="G514" s="50">
        <v>99397100</v>
      </c>
      <c r="H514" s="50">
        <v>0</v>
      </c>
      <c r="I514" s="50">
        <v>0</v>
      </c>
      <c r="J514" s="50">
        <v>0</v>
      </c>
      <c r="K514" s="50">
        <v>91259491.189999998</v>
      </c>
      <c r="L514" s="152">
        <f t="shared" si="0"/>
        <v>0.91813031959684943</v>
      </c>
      <c r="M514" s="50">
        <v>91259491.189999998</v>
      </c>
      <c r="N514" s="152">
        <f t="shared" si="1"/>
        <v>0.91813031959684943</v>
      </c>
      <c r="O514" s="50">
        <v>8137608.8099999996</v>
      </c>
      <c r="P514" s="152">
        <f t="shared" si="2"/>
        <v>8.1869680403150596E-2</v>
      </c>
      <c r="Q514" s="50">
        <v>8137608.8099999996</v>
      </c>
      <c r="R514" s="257"/>
    </row>
    <row r="515" spans="1:18" hidden="1" x14ac:dyDescent="0.25">
      <c r="A515" s="49" t="s">
        <v>713</v>
      </c>
      <c r="B515" s="49" t="s">
        <v>83</v>
      </c>
      <c r="C515" s="49" t="s">
        <v>84</v>
      </c>
      <c r="D515" s="49" t="s">
        <v>85</v>
      </c>
      <c r="E515" s="50">
        <v>76324653</v>
      </c>
      <c r="F515" s="50">
        <v>75648376</v>
      </c>
      <c r="G515" s="50">
        <v>75648376</v>
      </c>
      <c r="H515" s="50">
        <v>0</v>
      </c>
      <c r="I515" s="50">
        <v>0</v>
      </c>
      <c r="J515" s="50">
        <v>0</v>
      </c>
      <c r="K515" s="50">
        <v>70681719.719999999</v>
      </c>
      <c r="L515" s="152">
        <f t="shared" si="0"/>
        <v>0.93434550029203534</v>
      </c>
      <c r="M515" s="50">
        <v>70681719.719999999</v>
      </c>
      <c r="N515" s="152">
        <f t="shared" si="1"/>
        <v>0.93434550029203534</v>
      </c>
      <c r="O515" s="50">
        <v>4966656.28</v>
      </c>
      <c r="P515" s="152">
        <f t="shared" si="2"/>
        <v>6.565449970796465E-2</v>
      </c>
      <c r="Q515" s="50">
        <v>4966656.28</v>
      </c>
      <c r="R515" s="257"/>
    </row>
    <row r="516" spans="1:18" hidden="1" x14ac:dyDescent="0.25">
      <c r="A516" s="49" t="s">
        <v>713</v>
      </c>
      <c r="B516" s="49" t="s">
        <v>90</v>
      </c>
      <c r="C516" s="49" t="s">
        <v>91</v>
      </c>
      <c r="D516" s="49" t="s">
        <v>69</v>
      </c>
      <c r="E516" s="50">
        <v>89336069</v>
      </c>
      <c r="F516" s="50">
        <v>88544509</v>
      </c>
      <c r="G516" s="50">
        <v>88544509</v>
      </c>
      <c r="H516" s="50">
        <v>0</v>
      </c>
      <c r="I516" s="50">
        <v>0</v>
      </c>
      <c r="J516" s="50">
        <v>0</v>
      </c>
      <c r="K516" s="50">
        <v>74326346</v>
      </c>
      <c r="L516" s="152">
        <f t="shared" si="0"/>
        <v>0.8394235491214932</v>
      </c>
      <c r="M516" s="50">
        <v>74326346</v>
      </c>
      <c r="N516" s="152">
        <f t="shared" si="1"/>
        <v>0.8394235491214932</v>
      </c>
      <c r="O516" s="50">
        <v>14218163</v>
      </c>
      <c r="P516" s="152">
        <f t="shared" si="2"/>
        <v>0.16057645087850678</v>
      </c>
      <c r="Q516" s="50">
        <v>14218163</v>
      </c>
      <c r="R516" s="257"/>
    </row>
    <row r="517" spans="1:18" hidden="1" x14ac:dyDescent="0.25">
      <c r="A517" s="49" t="s">
        <v>713</v>
      </c>
      <c r="B517" s="49" t="s">
        <v>423</v>
      </c>
      <c r="C517" s="49" t="s">
        <v>697</v>
      </c>
      <c r="D517" s="49" t="s">
        <v>69</v>
      </c>
      <c r="E517" s="50">
        <v>84754804</v>
      </c>
      <c r="F517" s="50">
        <v>84003836</v>
      </c>
      <c r="G517" s="50">
        <v>84003836</v>
      </c>
      <c r="H517" s="50">
        <v>0</v>
      </c>
      <c r="I517" s="50">
        <v>0</v>
      </c>
      <c r="J517" s="50">
        <v>0</v>
      </c>
      <c r="K517" s="50">
        <v>70514739</v>
      </c>
      <c r="L517" s="152">
        <f t="shared" si="0"/>
        <v>0.83942284492817687</v>
      </c>
      <c r="M517" s="50">
        <v>70514739</v>
      </c>
      <c r="N517" s="152">
        <f t="shared" si="1"/>
        <v>0.83942284492817687</v>
      </c>
      <c r="O517" s="50">
        <v>13489097</v>
      </c>
      <c r="P517" s="152">
        <f t="shared" si="2"/>
        <v>0.16057715507182316</v>
      </c>
      <c r="Q517" s="50">
        <v>13489097</v>
      </c>
      <c r="R517" s="257"/>
    </row>
    <row r="518" spans="1:18" hidden="1" x14ac:dyDescent="0.25">
      <c r="A518" s="49" t="s">
        <v>713</v>
      </c>
      <c r="B518" s="49" t="s">
        <v>440</v>
      </c>
      <c r="C518" s="49" t="s">
        <v>95</v>
      </c>
      <c r="D518" s="49" t="s">
        <v>69</v>
      </c>
      <c r="E518" s="50">
        <v>4581265</v>
      </c>
      <c r="F518" s="50">
        <v>4540673</v>
      </c>
      <c r="G518" s="50">
        <v>4540673</v>
      </c>
      <c r="H518" s="50">
        <v>0</v>
      </c>
      <c r="I518" s="50">
        <v>0</v>
      </c>
      <c r="J518" s="50">
        <v>0</v>
      </c>
      <c r="K518" s="50">
        <v>3811607</v>
      </c>
      <c r="L518" s="152">
        <f t="shared" si="0"/>
        <v>0.83943657691271756</v>
      </c>
      <c r="M518" s="50">
        <v>3811607</v>
      </c>
      <c r="N518" s="152">
        <f t="shared" si="1"/>
        <v>0.83943657691271756</v>
      </c>
      <c r="O518" s="50">
        <v>729066</v>
      </c>
      <c r="P518" s="152">
        <f t="shared" si="2"/>
        <v>0.16056342308728244</v>
      </c>
      <c r="Q518" s="50">
        <v>729066</v>
      </c>
      <c r="R518" s="257"/>
    </row>
    <row r="519" spans="1:18" hidden="1" x14ac:dyDescent="0.25">
      <c r="A519" s="49" t="s">
        <v>713</v>
      </c>
      <c r="B519" s="49" t="s">
        <v>96</v>
      </c>
      <c r="C519" s="49" t="s">
        <v>97</v>
      </c>
      <c r="D519" s="49" t="s">
        <v>69</v>
      </c>
      <c r="E519" s="50">
        <v>89336068</v>
      </c>
      <c r="F519" s="50">
        <v>88544508</v>
      </c>
      <c r="G519" s="50">
        <v>88544508</v>
      </c>
      <c r="H519" s="50">
        <v>0</v>
      </c>
      <c r="I519" s="50">
        <v>0</v>
      </c>
      <c r="J519" s="50">
        <v>0</v>
      </c>
      <c r="K519" s="50">
        <v>74218666</v>
      </c>
      <c r="L519" s="152">
        <f t="shared" si="0"/>
        <v>0.83820744703895134</v>
      </c>
      <c r="M519" s="50">
        <v>74218666</v>
      </c>
      <c r="N519" s="152">
        <f t="shared" si="1"/>
        <v>0.83820744703895134</v>
      </c>
      <c r="O519" s="50">
        <v>14325842</v>
      </c>
      <c r="P519" s="152">
        <f t="shared" si="2"/>
        <v>0.16179255296104869</v>
      </c>
      <c r="Q519" s="50">
        <v>14325842</v>
      </c>
      <c r="R519" s="257"/>
    </row>
    <row r="520" spans="1:18" hidden="1" x14ac:dyDescent="0.25">
      <c r="A520" s="49" t="s">
        <v>713</v>
      </c>
      <c r="B520" s="49" t="s">
        <v>458</v>
      </c>
      <c r="C520" s="49" t="s">
        <v>698</v>
      </c>
      <c r="D520" s="49" t="s">
        <v>69</v>
      </c>
      <c r="E520" s="50">
        <v>48104083</v>
      </c>
      <c r="F520" s="50">
        <v>47677858</v>
      </c>
      <c r="G520" s="50">
        <v>47677858</v>
      </c>
      <c r="H520" s="50">
        <v>0</v>
      </c>
      <c r="I520" s="50">
        <v>0</v>
      </c>
      <c r="J520" s="50">
        <v>0</v>
      </c>
      <c r="K520" s="50">
        <v>39914196</v>
      </c>
      <c r="L520" s="152">
        <f t="shared" si="0"/>
        <v>0.83716420314016626</v>
      </c>
      <c r="M520" s="50">
        <v>39914196</v>
      </c>
      <c r="N520" s="152">
        <f t="shared" si="1"/>
        <v>0.83716420314016626</v>
      </c>
      <c r="O520" s="50">
        <v>7763662</v>
      </c>
      <c r="P520" s="152">
        <f t="shared" si="2"/>
        <v>0.16283579685983376</v>
      </c>
      <c r="Q520" s="50">
        <v>7763662</v>
      </c>
      <c r="R520" s="257"/>
    </row>
    <row r="521" spans="1:18" hidden="1" x14ac:dyDescent="0.25">
      <c r="A521" s="49" t="s">
        <v>713</v>
      </c>
      <c r="B521" s="49" t="s">
        <v>475</v>
      </c>
      <c r="C521" s="49" t="s">
        <v>699</v>
      </c>
      <c r="D521" s="49" t="s">
        <v>69</v>
      </c>
      <c r="E521" s="50">
        <v>13743995</v>
      </c>
      <c r="F521" s="50">
        <v>15822217</v>
      </c>
      <c r="G521" s="50">
        <v>15822217</v>
      </c>
      <c r="H521" s="50">
        <v>0</v>
      </c>
      <c r="I521" s="50">
        <v>0</v>
      </c>
      <c r="J521" s="50">
        <v>0</v>
      </c>
      <c r="K521" s="50">
        <v>13372230</v>
      </c>
      <c r="L521" s="152">
        <f t="shared" si="0"/>
        <v>0.84515526490377424</v>
      </c>
      <c r="M521" s="50">
        <v>13372230</v>
      </c>
      <c r="N521" s="152">
        <f t="shared" si="1"/>
        <v>0.84515526490377424</v>
      </c>
      <c r="O521" s="50">
        <v>2449987</v>
      </c>
      <c r="P521" s="152">
        <f t="shared" si="2"/>
        <v>0.15484473509622576</v>
      </c>
      <c r="Q521" s="50">
        <v>2449987</v>
      </c>
      <c r="R521" s="257"/>
    </row>
    <row r="522" spans="1:18" hidden="1" x14ac:dyDescent="0.25">
      <c r="A522" s="49" t="s">
        <v>713</v>
      </c>
      <c r="B522" s="49" t="s">
        <v>492</v>
      </c>
      <c r="C522" s="49" t="s">
        <v>700</v>
      </c>
      <c r="D522" s="49" t="s">
        <v>69</v>
      </c>
      <c r="E522" s="50">
        <v>27487990</v>
      </c>
      <c r="F522" s="50">
        <v>25044433</v>
      </c>
      <c r="G522" s="50">
        <v>25044433</v>
      </c>
      <c r="H522" s="50">
        <v>0</v>
      </c>
      <c r="I522" s="50">
        <v>0</v>
      </c>
      <c r="J522" s="50">
        <v>0</v>
      </c>
      <c r="K522" s="50">
        <v>20932240</v>
      </c>
      <c r="L522" s="152">
        <f t="shared" si="0"/>
        <v>0.83580410864162902</v>
      </c>
      <c r="M522" s="50">
        <v>20932240</v>
      </c>
      <c r="N522" s="152">
        <f t="shared" si="1"/>
        <v>0.83580410864162902</v>
      </c>
      <c r="O522" s="50">
        <v>4112193</v>
      </c>
      <c r="P522" s="152">
        <f t="shared" si="2"/>
        <v>0.16419589135837093</v>
      </c>
      <c r="Q522" s="50">
        <v>4112193</v>
      </c>
      <c r="R522" s="257"/>
    </row>
    <row r="523" spans="1:18" hidden="1" x14ac:dyDescent="0.25">
      <c r="A523" s="49" t="s">
        <v>713</v>
      </c>
      <c r="B523" s="49" t="s">
        <v>104</v>
      </c>
      <c r="C523" s="49" t="s">
        <v>105</v>
      </c>
      <c r="D523" s="49" t="s">
        <v>69</v>
      </c>
      <c r="E523" s="50">
        <v>92630000</v>
      </c>
      <c r="F523" s="50">
        <v>92630000</v>
      </c>
      <c r="G523" s="50">
        <v>92630000</v>
      </c>
      <c r="H523" s="50">
        <v>0</v>
      </c>
      <c r="I523" s="50">
        <v>3565262.83</v>
      </c>
      <c r="J523" s="50">
        <v>0</v>
      </c>
      <c r="K523" s="50">
        <v>88900535.569999993</v>
      </c>
      <c r="L523" s="152">
        <f t="shared" si="0"/>
        <v>0.95973804998380652</v>
      </c>
      <c r="M523" s="50">
        <v>83213075.569999993</v>
      </c>
      <c r="N523" s="152">
        <f t="shared" si="1"/>
        <v>0.89833828748785483</v>
      </c>
      <c r="O523" s="50">
        <v>164201.60000000001</v>
      </c>
      <c r="P523" s="152">
        <f t="shared" si="2"/>
        <v>1.7726611249055382E-3</v>
      </c>
      <c r="Q523" s="50">
        <v>164201.60000000001</v>
      </c>
      <c r="R523" s="257"/>
    </row>
    <row r="524" spans="1:18" hidden="1" x14ac:dyDescent="0.25">
      <c r="A524" s="49" t="s">
        <v>713</v>
      </c>
      <c r="B524" s="49" t="s">
        <v>112</v>
      </c>
      <c r="C524" s="49" t="s">
        <v>113</v>
      </c>
      <c r="D524" s="49" t="s">
        <v>69</v>
      </c>
      <c r="E524" s="50">
        <v>92630000</v>
      </c>
      <c r="F524" s="50">
        <v>92630000</v>
      </c>
      <c r="G524" s="50">
        <v>92630000</v>
      </c>
      <c r="H524" s="50">
        <v>0</v>
      </c>
      <c r="I524" s="50">
        <v>3565262.83</v>
      </c>
      <c r="J524" s="50">
        <v>0</v>
      </c>
      <c r="K524" s="50">
        <v>88900535.569999993</v>
      </c>
      <c r="L524" s="152">
        <f t="shared" si="0"/>
        <v>0.95973804998380652</v>
      </c>
      <c r="M524" s="50">
        <v>83213075.569999993</v>
      </c>
      <c r="N524" s="152">
        <f t="shared" si="1"/>
        <v>0.89833828748785483</v>
      </c>
      <c r="O524" s="50">
        <v>164201.60000000001</v>
      </c>
      <c r="P524" s="152">
        <f t="shared" si="2"/>
        <v>1.7726611249055382E-3</v>
      </c>
      <c r="Q524" s="50">
        <v>164201.60000000001</v>
      </c>
      <c r="R524" s="257"/>
    </row>
    <row r="525" spans="1:18" hidden="1" x14ac:dyDescent="0.25">
      <c r="A525" s="49" t="s">
        <v>713</v>
      </c>
      <c r="B525" s="49" t="s">
        <v>114</v>
      </c>
      <c r="C525" s="49" t="s">
        <v>115</v>
      </c>
      <c r="D525" s="49" t="s">
        <v>69</v>
      </c>
      <c r="E525" s="50">
        <v>54520000</v>
      </c>
      <c r="F525" s="50">
        <v>54868709</v>
      </c>
      <c r="G525" s="50">
        <v>54868709</v>
      </c>
      <c r="H525" s="50">
        <v>0</v>
      </c>
      <c r="I525" s="50">
        <v>94294.399999999994</v>
      </c>
      <c r="J525" s="50">
        <v>0</v>
      </c>
      <c r="K525" s="50">
        <v>54774414</v>
      </c>
      <c r="L525" s="152">
        <f t="shared" si="0"/>
        <v>0.99828144307167865</v>
      </c>
      <c r="M525" s="50">
        <v>49086954</v>
      </c>
      <c r="N525" s="152">
        <f t="shared" si="1"/>
        <v>0.8946256417296059</v>
      </c>
      <c r="O525" s="50">
        <v>0.60000000000000009</v>
      </c>
      <c r="P525" s="152">
        <f t="shared" si="2"/>
        <v>1.0935194411080459E-8</v>
      </c>
      <c r="Q525" s="50">
        <v>0.60000000000000009</v>
      </c>
      <c r="R525" s="257"/>
    </row>
    <row r="526" spans="1:18" hidden="1" x14ac:dyDescent="0.25">
      <c r="A526" s="49" t="s">
        <v>713</v>
      </c>
      <c r="B526" s="49" t="s">
        <v>116</v>
      </c>
      <c r="C526" s="49" t="s">
        <v>117</v>
      </c>
      <c r="D526" s="49" t="s">
        <v>69</v>
      </c>
      <c r="E526" s="50">
        <v>34800000</v>
      </c>
      <c r="F526" s="50">
        <v>34800000</v>
      </c>
      <c r="G526" s="50">
        <v>34800000</v>
      </c>
      <c r="H526" s="50">
        <v>0</v>
      </c>
      <c r="I526" s="50">
        <v>3154776.65</v>
      </c>
      <c r="J526" s="50">
        <v>0</v>
      </c>
      <c r="K526" s="50">
        <v>31645223.350000001</v>
      </c>
      <c r="L526" s="152">
        <f t="shared" si="0"/>
        <v>0.90934549856321845</v>
      </c>
      <c r="M526" s="50">
        <v>31645223.350000001</v>
      </c>
      <c r="N526" s="152">
        <f t="shared" si="1"/>
        <v>0.90934549856321845</v>
      </c>
      <c r="O526" s="50">
        <v>0</v>
      </c>
      <c r="P526" s="152">
        <f t="shared" si="2"/>
        <v>0</v>
      </c>
      <c r="Q526" s="50">
        <v>0</v>
      </c>
      <c r="R526" s="257"/>
    </row>
    <row r="527" spans="1:18" hidden="1" x14ac:dyDescent="0.25">
      <c r="A527" s="49" t="s">
        <v>713</v>
      </c>
      <c r="B527" s="49" t="s">
        <v>120</v>
      </c>
      <c r="C527" s="49" t="s">
        <v>121</v>
      </c>
      <c r="D527" s="49" t="s">
        <v>69</v>
      </c>
      <c r="E527" s="50">
        <v>2310000</v>
      </c>
      <c r="F527" s="50">
        <v>2310000</v>
      </c>
      <c r="G527" s="50">
        <v>2310000</v>
      </c>
      <c r="H527" s="50">
        <v>0</v>
      </c>
      <c r="I527" s="50">
        <v>316191.78000000003</v>
      </c>
      <c r="J527" s="50">
        <v>0</v>
      </c>
      <c r="K527" s="50">
        <v>1993808.22</v>
      </c>
      <c r="L527" s="152">
        <f t="shared" si="0"/>
        <v>0.86312044155844159</v>
      </c>
      <c r="M527" s="50">
        <v>1993808.22</v>
      </c>
      <c r="N527" s="152">
        <f t="shared" si="1"/>
        <v>0.86312044155844159</v>
      </c>
      <c r="O527" s="50">
        <v>0</v>
      </c>
      <c r="P527" s="152">
        <f t="shared" si="2"/>
        <v>0</v>
      </c>
      <c r="Q527" s="50">
        <v>0</v>
      </c>
      <c r="R527" s="257"/>
    </row>
    <row r="528" spans="1:18" hidden="1" x14ac:dyDescent="0.25">
      <c r="A528" s="49" t="s">
        <v>713</v>
      </c>
      <c r="B528" s="49" t="s">
        <v>122</v>
      </c>
      <c r="C528" s="49" t="s">
        <v>123</v>
      </c>
      <c r="D528" s="49" t="s">
        <v>69</v>
      </c>
      <c r="E528" s="50">
        <v>1000000</v>
      </c>
      <c r="F528" s="50">
        <v>651291</v>
      </c>
      <c r="G528" s="50">
        <v>651291</v>
      </c>
      <c r="H528" s="50">
        <v>0</v>
      </c>
      <c r="I528" s="50">
        <v>0</v>
      </c>
      <c r="J528" s="50">
        <v>0</v>
      </c>
      <c r="K528" s="50">
        <v>487090</v>
      </c>
      <c r="L528" s="152">
        <f t="shared" si="0"/>
        <v>0.74788381844674656</v>
      </c>
      <c r="M528" s="50">
        <v>487090</v>
      </c>
      <c r="N528" s="152">
        <f t="shared" si="1"/>
        <v>0.74788381844674656</v>
      </c>
      <c r="O528" s="50">
        <v>164201</v>
      </c>
      <c r="P528" s="152">
        <f t="shared" si="2"/>
        <v>0.25211618155325344</v>
      </c>
      <c r="Q528" s="50">
        <v>164201</v>
      </c>
      <c r="R528" s="257"/>
    </row>
    <row r="529" spans="1:18" hidden="1" x14ac:dyDescent="0.25">
      <c r="A529" s="49" t="s">
        <v>713</v>
      </c>
      <c r="B529" s="49" t="s">
        <v>140</v>
      </c>
      <c r="C529" s="49" t="s">
        <v>141</v>
      </c>
      <c r="D529" s="49" t="s">
        <v>69</v>
      </c>
      <c r="E529" s="50">
        <v>0</v>
      </c>
      <c r="F529" s="50">
        <v>0</v>
      </c>
      <c r="G529" s="50">
        <v>0</v>
      </c>
      <c r="H529" s="50">
        <v>0</v>
      </c>
      <c r="I529" s="50">
        <v>0</v>
      </c>
      <c r="J529" s="50">
        <v>0</v>
      </c>
      <c r="K529" s="50">
        <v>0</v>
      </c>
      <c r="L529" s="152" t="e">
        <f t="shared" si="0"/>
        <v>#DIV/0!</v>
      </c>
      <c r="M529" s="50">
        <v>0</v>
      </c>
      <c r="N529" s="152" t="e">
        <f t="shared" si="1"/>
        <v>#DIV/0!</v>
      </c>
      <c r="O529" s="50">
        <v>0</v>
      </c>
      <c r="P529" s="152" t="e">
        <f t="shared" si="2"/>
        <v>#DIV/0!</v>
      </c>
      <c r="Q529" s="50">
        <v>0</v>
      </c>
      <c r="R529" s="257"/>
    </row>
    <row r="530" spans="1:18" hidden="1" x14ac:dyDescent="0.25">
      <c r="A530" s="49" t="s">
        <v>713</v>
      </c>
      <c r="B530" s="49" t="s">
        <v>144</v>
      </c>
      <c r="C530" s="49" t="s">
        <v>145</v>
      </c>
      <c r="D530" s="49" t="s">
        <v>69</v>
      </c>
      <c r="E530" s="50">
        <v>0</v>
      </c>
      <c r="F530" s="50">
        <v>0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152" t="e">
        <f t="shared" si="0"/>
        <v>#DIV/0!</v>
      </c>
      <c r="M530" s="50">
        <v>0</v>
      </c>
      <c r="N530" s="152" t="e">
        <f t="shared" si="1"/>
        <v>#DIV/0!</v>
      </c>
      <c r="O530" s="50">
        <v>0</v>
      </c>
      <c r="P530" s="152" t="e">
        <f t="shared" si="2"/>
        <v>#DIV/0!</v>
      </c>
      <c r="Q530" s="50">
        <v>0</v>
      </c>
      <c r="R530" s="257"/>
    </row>
    <row r="531" spans="1:18" hidden="1" x14ac:dyDescent="0.25">
      <c r="A531" s="49" t="s">
        <v>713</v>
      </c>
      <c r="B531" s="49" t="s">
        <v>184</v>
      </c>
      <c r="C531" s="49" t="s">
        <v>185</v>
      </c>
      <c r="D531" s="49" t="s">
        <v>69</v>
      </c>
      <c r="E531" s="50">
        <v>150099855</v>
      </c>
      <c r="F531" s="50">
        <v>176046717</v>
      </c>
      <c r="G531" s="50">
        <v>176046717</v>
      </c>
      <c r="H531" s="50">
        <v>0</v>
      </c>
      <c r="I531" s="50">
        <v>12110494.85</v>
      </c>
      <c r="J531" s="50">
        <v>0</v>
      </c>
      <c r="K531" s="50">
        <v>160510005.47</v>
      </c>
      <c r="L531" s="152">
        <f t="shared" si="0"/>
        <v>0.91174665569026203</v>
      </c>
      <c r="M531" s="50">
        <v>122324168.05</v>
      </c>
      <c r="N531" s="152">
        <f t="shared" si="1"/>
        <v>0.69483924570998956</v>
      </c>
      <c r="O531" s="50">
        <v>3426216.68</v>
      </c>
      <c r="P531" s="152">
        <f t="shared" si="2"/>
        <v>1.9461974289472266E-2</v>
      </c>
      <c r="Q531" s="50">
        <v>3426216.68</v>
      </c>
      <c r="R531" s="257"/>
    </row>
    <row r="532" spans="1:18" hidden="1" x14ac:dyDescent="0.25">
      <c r="A532" s="49" t="s">
        <v>713</v>
      </c>
      <c r="B532" s="49" t="s">
        <v>186</v>
      </c>
      <c r="C532" s="49" t="s">
        <v>187</v>
      </c>
      <c r="D532" s="49" t="s">
        <v>69</v>
      </c>
      <c r="E532" s="50">
        <v>568000</v>
      </c>
      <c r="F532" s="50">
        <v>560093</v>
      </c>
      <c r="G532" s="50">
        <v>560093</v>
      </c>
      <c r="H532" s="50">
        <v>0</v>
      </c>
      <c r="I532" s="50">
        <v>0</v>
      </c>
      <c r="J532" s="50">
        <v>0</v>
      </c>
      <c r="K532" s="50">
        <v>271486.58</v>
      </c>
      <c r="L532" s="152">
        <f t="shared" si="0"/>
        <v>0.48471696664661051</v>
      </c>
      <c r="M532" s="50">
        <v>271486.58</v>
      </c>
      <c r="N532" s="152">
        <f t="shared" si="1"/>
        <v>0.48471696664661051</v>
      </c>
      <c r="O532" s="50">
        <v>288606.42</v>
      </c>
      <c r="P532" s="152">
        <f t="shared" si="2"/>
        <v>0.51528303335338954</v>
      </c>
      <c r="Q532" s="50">
        <v>288606.42</v>
      </c>
      <c r="R532" s="257"/>
    </row>
    <row r="533" spans="1:18" hidden="1" x14ac:dyDescent="0.25">
      <c r="A533" s="49" t="s">
        <v>713</v>
      </c>
      <c r="B533" s="49" t="s">
        <v>188</v>
      </c>
      <c r="C533" s="49" t="s">
        <v>189</v>
      </c>
      <c r="D533" s="49" t="s">
        <v>69</v>
      </c>
      <c r="E533" s="50">
        <v>5500</v>
      </c>
      <c r="F533" s="50">
        <v>550</v>
      </c>
      <c r="G533" s="50">
        <v>550</v>
      </c>
      <c r="H533" s="50">
        <v>0</v>
      </c>
      <c r="I533" s="50">
        <v>0</v>
      </c>
      <c r="J533" s="50">
        <v>0</v>
      </c>
      <c r="K533" s="50">
        <v>0</v>
      </c>
      <c r="L533" s="152">
        <f t="shared" si="0"/>
        <v>0</v>
      </c>
      <c r="M533" s="50">
        <v>0</v>
      </c>
      <c r="N533" s="152">
        <f t="shared" si="1"/>
        <v>0</v>
      </c>
      <c r="O533" s="50">
        <v>550</v>
      </c>
      <c r="P533" s="152">
        <f t="shared" si="2"/>
        <v>1</v>
      </c>
      <c r="Q533" s="50">
        <v>550</v>
      </c>
      <c r="R533" s="257"/>
    </row>
    <row r="534" spans="1:18" hidden="1" x14ac:dyDescent="0.25">
      <c r="A534" s="49" t="s">
        <v>713</v>
      </c>
      <c r="B534" s="49" t="s">
        <v>190</v>
      </c>
      <c r="C534" s="49" t="s">
        <v>191</v>
      </c>
      <c r="D534" s="49" t="s">
        <v>69</v>
      </c>
      <c r="E534" s="50">
        <v>147500</v>
      </c>
      <c r="F534" s="50">
        <v>559543</v>
      </c>
      <c r="G534" s="50">
        <v>559543</v>
      </c>
      <c r="H534" s="50">
        <v>0</v>
      </c>
      <c r="I534" s="50">
        <v>0</v>
      </c>
      <c r="J534" s="50">
        <v>0</v>
      </c>
      <c r="K534" s="50">
        <v>271486.58</v>
      </c>
      <c r="L534" s="152">
        <f t="shared" si="0"/>
        <v>0.48519341677047162</v>
      </c>
      <c r="M534" s="50">
        <v>271486.58</v>
      </c>
      <c r="N534" s="152">
        <f t="shared" si="1"/>
        <v>0.48519341677047162</v>
      </c>
      <c r="O534" s="50">
        <v>288056.42</v>
      </c>
      <c r="P534" s="152">
        <f t="shared" si="2"/>
        <v>0.51480658322952833</v>
      </c>
      <c r="Q534" s="50">
        <v>288056.42</v>
      </c>
      <c r="R534" s="257"/>
    </row>
    <row r="535" spans="1:18" hidden="1" x14ac:dyDescent="0.25">
      <c r="A535" s="49" t="s">
        <v>713</v>
      </c>
      <c r="B535" s="49" t="s">
        <v>194</v>
      </c>
      <c r="C535" s="49" t="s">
        <v>195</v>
      </c>
      <c r="D535" s="49" t="s">
        <v>69</v>
      </c>
      <c r="E535" s="50">
        <v>415000</v>
      </c>
      <c r="F535" s="50">
        <v>0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152" t="e">
        <f t="shared" si="0"/>
        <v>#DIV/0!</v>
      </c>
      <c r="M535" s="50">
        <v>0</v>
      </c>
      <c r="N535" s="152" t="e">
        <f t="shared" si="1"/>
        <v>#DIV/0!</v>
      </c>
      <c r="O535" s="50">
        <v>0</v>
      </c>
      <c r="P535" s="152" t="e">
        <f t="shared" si="2"/>
        <v>#DIV/0!</v>
      </c>
      <c r="Q535" s="50">
        <v>0</v>
      </c>
      <c r="R535" s="257"/>
    </row>
    <row r="536" spans="1:18" hidden="1" x14ac:dyDescent="0.25">
      <c r="A536" s="49" t="s">
        <v>713</v>
      </c>
      <c r="B536" s="49" t="s">
        <v>196</v>
      </c>
      <c r="C536" s="49" t="s">
        <v>197</v>
      </c>
      <c r="D536" s="49" t="s">
        <v>69</v>
      </c>
      <c r="E536" s="50">
        <v>148180115</v>
      </c>
      <c r="F536" s="50">
        <v>174139105</v>
      </c>
      <c r="G536" s="50">
        <v>174139105</v>
      </c>
      <c r="H536" s="50">
        <v>0</v>
      </c>
      <c r="I536" s="50">
        <v>12021244.85</v>
      </c>
      <c r="J536" s="50">
        <v>0</v>
      </c>
      <c r="K536" s="50">
        <v>159636941.74000001</v>
      </c>
      <c r="L536" s="152">
        <f t="shared" si="0"/>
        <v>0.91672081201979305</v>
      </c>
      <c r="M536" s="50">
        <v>121636494.31999999</v>
      </c>
      <c r="N536" s="152">
        <f t="shared" si="1"/>
        <v>0.69850189203625457</v>
      </c>
      <c r="O536" s="50">
        <v>2480918.41</v>
      </c>
      <c r="P536" s="152">
        <f t="shared" si="2"/>
        <v>1.4246762150293584E-2</v>
      </c>
      <c r="Q536" s="50">
        <v>2480918.41</v>
      </c>
      <c r="R536" s="257"/>
    </row>
    <row r="537" spans="1:18" hidden="1" x14ac:dyDescent="0.25">
      <c r="A537" s="49" t="s">
        <v>713</v>
      </c>
      <c r="B537" s="49" t="s">
        <v>198</v>
      </c>
      <c r="C537" s="49" t="s">
        <v>199</v>
      </c>
      <c r="D537" s="49" t="s">
        <v>69</v>
      </c>
      <c r="E537" s="50">
        <v>148180115</v>
      </c>
      <c r="F537" s="50">
        <v>174139105</v>
      </c>
      <c r="G537" s="50">
        <v>174139105</v>
      </c>
      <c r="H537" s="50">
        <v>0</v>
      </c>
      <c r="I537" s="50">
        <v>12021244.85</v>
      </c>
      <c r="J537" s="50">
        <v>0</v>
      </c>
      <c r="K537" s="50">
        <v>159636941.74000001</v>
      </c>
      <c r="L537" s="152">
        <f t="shared" si="0"/>
        <v>0.91672081201979305</v>
      </c>
      <c r="M537" s="50">
        <v>121636494.31999999</v>
      </c>
      <c r="N537" s="152">
        <f t="shared" si="1"/>
        <v>0.69850189203625457</v>
      </c>
      <c r="O537" s="50">
        <v>2480918.41</v>
      </c>
      <c r="P537" s="152">
        <f t="shared" si="2"/>
        <v>1.4246762150293584E-2</v>
      </c>
      <c r="Q537" s="50">
        <v>2480918.41</v>
      </c>
      <c r="R537" s="257"/>
    </row>
    <row r="538" spans="1:18" hidden="1" x14ac:dyDescent="0.25">
      <c r="A538" s="49" t="s">
        <v>713</v>
      </c>
      <c r="B538" s="49" t="s">
        <v>212</v>
      </c>
      <c r="C538" s="49" t="s">
        <v>213</v>
      </c>
      <c r="D538" s="49" t="s">
        <v>69</v>
      </c>
      <c r="E538" s="50">
        <v>1351740</v>
      </c>
      <c r="F538" s="50">
        <v>1347519</v>
      </c>
      <c r="G538" s="50">
        <v>1347519</v>
      </c>
      <c r="H538" s="50">
        <v>0</v>
      </c>
      <c r="I538" s="50">
        <v>89250</v>
      </c>
      <c r="J538" s="50">
        <v>0</v>
      </c>
      <c r="K538" s="50">
        <v>601577.15</v>
      </c>
      <c r="L538" s="152">
        <f t="shared" si="0"/>
        <v>0.44643314862350736</v>
      </c>
      <c r="M538" s="50">
        <v>416187.15</v>
      </c>
      <c r="N538" s="152">
        <f t="shared" si="1"/>
        <v>0.308854383500344</v>
      </c>
      <c r="O538" s="50">
        <v>656691.85</v>
      </c>
      <c r="P538" s="152">
        <f t="shared" si="2"/>
        <v>0.48733401903795048</v>
      </c>
      <c r="Q538" s="50">
        <v>656691.85</v>
      </c>
      <c r="R538" s="257"/>
    </row>
    <row r="539" spans="1:18" hidden="1" x14ac:dyDescent="0.25">
      <c r="A539" s="49" t="s">
        <v>713</v>
      </c>
      <c r="B539" s="49" t="s">
        <v>216</v>
      </c>
      <c r="C539" s="49" t="s">
        <v>217</v>
      </c>
      <c r="D539" s="49" t="s">
        <v>69</v>
      </c>
      <c r="E539" s="50">
        <v>708740</v>
      </c>
      <c r="F539" s="50">
        <v>708740</v>
      </c>
      <c r="G539" s="50">
        <v>708740</v>
      </c>
      <c r="H539" s="50">
        <v>0</v>
      </c>
      <c r="I539" s="50">
        <v>89250</v>
      </c>
      <c r="J539" s="50">
        <v>0</v>
      </c>
      <c r="K539" s="50">
        <v>213525</v>
      </c>
      <c r="L539" s="152">
        <f t="shared" si="0"/>
        <v>0.30127409205068151</v>
      </c>
      <c r="M539" s="50">
        <v>28135</v>
      </c>
      <c r="N539" s="152">
        <f t="shared" si="1"/>
        <v>3.969720913169851E-2</v>
      </c>
      <c r="O539" s="50">
        <v>405965</v>
      </c>
      <c r="P539" s="152">
        <f t="shared" si="2"/>
        <v>0.57279820526568281</v>
      </c>
      <c r="Q539" s="50">
        <v>405965</v>
      </c>
      <c r="R539" s="257"/>
    </row>
    <row r="540" spans="1:18" hidden="1" x14ac:dyDescent="0.25">
      <c r="A540" s="49" t="s">
        <v>713</v>
      </c>
      <c r="B540" s="49" t="s">
        <v>218</v>
      </c>
      <c r="C540" s="49" t="s">
        <v>219</v>
      </c>
      <c r="D540" s="49" t="s">
        <v>69</v>
      </c>
      <c r="E540" s="50">
        <v>616000</v>
      </c>
      <c r="F540" s="50">
        <v>611779</v>
      </c>
      <c r="G540" s="50">
        <v>611779</v>
      </c>
      <c r="H540" s="50">
        <v>0</v>
      </c>
      <c r="I540" s="50">
        <v>0</v>
      </c>
      <c r="J540" s="50">
        <v>0</v>
      </c>
      <c r="K540" s="50">
        <v>383470</v>
      </c>
      <c r="L540" s="152">
        <f t="shared" si="0"/>
        <v>0.62681131585098537</v>
      </c>
      <c r="M540" s="50">
        <v>383470</v>
      </c>
      <c r="N540" s="152">
        <f t="shared" si="1"/>
        <v>0.62681131585098537</v>
      </c>
      <c r="O540" s="50">
        <v>228309</v>
      </c>
      <c r="P540" s="152">
        <f t="shared" si="2"/>
        <v>0.37318868414901457</v>
      </c>
      <c r="Q540" s="50">
        <v>228309</v>
      </c>
      <c r="R540" s="257"/>
    </row>
    <row r="541" spans="1:18" hidden="1" x14ac:dyDescent="0.25">
      <c r="A541" s="49" t="s">
        <v>713</v>
      </c>
      <c r="B541" s="49" t="s">
        <v>224</v>
      </c>
      <c r="C541" s="49" t="s">
        <v>225</v>
      </c>
      <c r="D541" s="49" t="s">
        <v>69</v>
      </c>
      <c r="E541" s="50">
        <v>27000</v>
      </c>
      <c r="F541" s="50">
        <v>27000</v>
      </c>
      <c r="G541" s="50">
        <v>27000</v>
      </c>
      <c r="H541" s="50">
        <v>0</v>
      </c>
      <c r="I541" s="50">
        <v>0</v>
      </c>
      <c r="J541" s="50">
        <v>0</v>
      </c>
      <c r="K541" s="50">
        <v>4582.1499999999996</v>
      </c>
      <c r="L541" s="152">
        <f t="shared" si="0"/>
        <v>0.16970925925925925</v>
      </c>
      <c r="M541" s="50">
        <v>4582.1499999999996</v>
      </c>
      <c r="N541" s="152">
        <f t="shared" si="1"/>
        <v>0.16970925925925925</v>
      </c>
      <c r="O541" s="50">
        <v>22417.85</v>
      </c>
      <c r="P541" s="152">
        <f t="shared" si="2"/>
        <v>0.83029074074074072</v>
      </c>
      <c r="Q541" s="50">
        <v>22417.85</v>
      </c>
      <c r="R541" s="257"/>
    </row>
    <row r="542" spans="1:18" hidden="1" x14ac:dyDescent="0.25">
      <c r="A542" s="49" t="s">
        <v>713</v>
      </c>
      <c r="B542" s="49" t="s">
        <v>248</v>
      </c>
      <c r="C542" s="49" t="s">
        <v>249</v>
      </c>
      <c r="D542" s="49" t="s">
        <v>69</v>
      </c>
      <c r="E542" s="50">
        <v>19709963</v>
      </c>
      <c r="F542" s="50">
        <v>22575196</v>
      </c>
      <c r="G542" s="50">
        <v>22575196</v>
      </c>
      <c r="H542" s="50">
        <v>0</v>
      </c>
      <c r="I542" s="50">
        <v>0</v>
      </c>
      <c r="J542" s="50">
        <v>0</v>
      </c>
      <c r="K542" s="50">
        <v>17061558</v>
      </c>
      <c r="L542" s="152">
        <f t="shared" si="0"/>
        <v>0.75576566422723412</v>
      </c>
      <c r="M542" s="50">
        <v>17061558</v>
      </c>
      <c r="N542" s="152">
        <f t="shared" si="1"/>
        <v>0.75576566422723412</v>
      </c>
      <c r="O542" s="50">
        <v>5513638</v>
      </c>
      <c r="P542" s="152">
        <f t="shared" si="2"/>
        <v>0.24423433577276582</v>
      </c>
      <c r="Q542" s="50">
        <v>5513638</v>
      </c>
      <c r="R542" s="257"/>
    </row>
    <row r="543" spans="1:18" hidden="1" x14ac:dyDescent="0.25">
      <c r="A543" s="49" t="s">
        <v>713</v>
      </c>
      <c r="B543" s="49" t="s">
        <v>250</v>
      </c>
      <c r="C543" s="49" t="s">
        <v>251</v>
      </c>
      <c r="D543" s="49" t="s">
        <v>69</v>
      </c>
      <c r="E543" s="50">
        <v>15209963</v>
      </c>
      <c r="F543" s="50">
        <v>15075196</v>
      </c>
      <c r="G543" s="50">
        <v>15075196</v>
      </c>
      <c r="H543" s="50">
        <v>0</v>
      </c>
      <c r="I543" s="50">
        <v>0</v>
      </c>
      <c r="J543" s="50">
        <v>0</v>
      </c>
      <c r="K543" s="50">
        <v>12546855</v>
      </c>
      <c r="L543" s="152">
        <f t="shared" si="0"/>
        <v>0.83228470130670273</v>
      </c>
      <c r="M543" s="50">
        <v>12546855</v>
      </c>
      <c r="N543" s="152">
        <f t="shared" si="1"/>
        <v>0.83228470130670273</v>
      </c>
      <c r="O543" s="50">
        <v>2528341</v>
      </c>
      <c r="P543" s="152">
        <f t="shared" si="2"/>
        <v>0.16771529869329727</v>
      </c>
      <c r="Q543" s="50">
        <v>2528341</v>
      </c>
      <c r="R543" s="257"/>
    </row>
    <row r="544" spans="1:18" hidden="1" x14ac:dyDescent="0.25">
      <c r="A544" s="49" t="s">
        <v>713</v>
      </c>
      <c r="B544" s="49" t="s">
        <v>632</v>
      </c>
      <c r="C544" s="49" t="s">
        <v>702</v>
      </c>
      <c r="D544" s="49" t="s">
        <v>69</v>
      </c>
      <c r="E544" s="50">
        <v>12919331</v>
      </c>
      <c r="F544" s="50">
        <v>12804860</v>
      </c>
      <c r="G544" s="50">
        <v>12804860</v>
      </c>
      <c r="H544" s="50">
        <v>0</v>
      </c>
      <c r="I544" s="50">
        <v>0</v>
      </c>
      <c r="J544" s="50">
        <v>0</v>
      </c>
      <c r="K544" s="50">
        <v>10641051</v>
      </c>
      <c r="L544" s="152">
        <f t="shared" si="0"/>
        <v>0.83101658276623092</v>
      </c>
      <c r="M544" s="50">
        <v>10641051</v>
      </c>
      <c r="N544" s="152">
        <f t="shared" si="1"/>
        <v>0.83101658276623092</v>
      </c>
      <c r="O544" s="50">
        <v>2163809</v>
      </c>
      <c r="P544" s="152">
        <f t="shared" si="2"/>
        <v>0.16898341723376906</v>
      </c>
      <c r="Q544" s="50">
        <v>2163809</v>
      </c>
      <c r="R544" s="257"/>
    </row>
    <row r="545" spans="1:18" hidden="1" x14ac:dyDescent="0.25">
      <c r="A545" s="49" t="s">
        <v>713</v>
      </c>
      <c r="B545" s="49" t="s">
        <v>647</v>
      </c>
      <c r="C545" s="49" t="s">
        <v>703</v>
      </c>
      <c r="D545" s="49" t="s">
        <v>69</v>
      </c>
      <c r="E545" s="50">
        <v>2290632</v>
      </c>
      <c r="F545" s="50">
        <v>2270336</v>
      </c>
      <c r="G545" s="50">
        <v>2270336</v>
      </c>
      <c r="H545" s="50">
        <v>0</v>
      </c>
      <c r="I545" s="50">
        <v>0</v>
      </c>
      <c r="J545" s="50">
        <v>0</v>
      </c>
      <c r="K545" s="50">
        <v>1905804</v>
      </c>
      <c r="L545" s="152">
        <f t="shared" si="0"/>
        <v>0.83943698201499695</v>
      </c>
      <c r="M545" s="50">
        <v>1905804</v>
      </c>
      <c r="N545" s="152">
        <f t="shared" si="1"/>
        <v>0.83943698201499695</v>
      </c>
      <c r="O545" s="50">
        <v>364532</v>
      </c>
      <c r="P545" s="152">
        <f t="shared" si="2"/>
        <v>0.16056301798500311</v>
      </c>
      <c r="Q545" s="50">
        <v>364532</v>
      </c>
      <c r="R545" s="257"/>
    </row>
    <row r="546" spans="1:18" hidden="1" x14ac:dyDescent="0.25">
      <c r="A546" s="49" t="s">
        <v>713</v>
      </c>
      <c r="B546" s="49" t="s">
        <v>260</v>
      </c>
      <c r="C546" s="49" t="s">
        <v>261</v>
      </c>
      <c r="D546" s="49" t="s">
        <v>69</v>
      </c>
      <c r="E546" s="50">
        <v>4500000</v>
      </c>
      <c r="F546" s="50">
        <v>7500000</v>
      </c>
      <c r="G546" s="50">
        <v>7500000</v>
      </c>
      <c r="H546" s="50">
        <v>0</v>
      </c>
      <c r="I546" s="50">
        <v>0</v>
      </c>
      <c r="J546" s="50">
        <v>0</v>
      </c>
      <c r="K546" s="50">
        <v>4514703</v>
      </c>
      <c r="L546" s="152">
        <f t="shared" si="0"/>
        <v>0.60196039999999995</v>
      </c>
      <c r="M546" s="50">
        <v>4514703</v>
      </c>
      <c r="N546" s="152">
        <f t="shared" si="1"/>
        <v>0.60196039999999995</v>
      </c>
      <c r="O546" s="50">
        <v>2985297</v>
      </c>
      <c r="P546" s="152">
        <f t="shared" si="2"/>
        <v>0.39803959999999999</v>
      </c>
      <c r="Q546" s="50">
        <v>2985297</v>
      </c>
      <c r="R546" s="257"/>
    </row>
    <row r="547" spans="1:18" hidden="1" x14ac:dyDescent="0.25">
      <c r="A547" s="49" t="s">
        <v>713</v>
      </c>
      <c r="B547" s="49" t="s">
        <v>264</v>
      </c>
      <c r="C547" s="49" t="s">
        <v>265</v>
      </c>
      <c r="D547" s="49" t="s">
        <v>69</v>
      </c>
      <c r="E547" s="50">
        <v>4500000</v>
      </c>
      <c r="F547" s="50">
        <v>7500000</v>
      </c>
      <c r="G547" s="50">
        <v>7500000</v>
      </c>
      <c r="H547" s="50">
        <v>0</v>
      </c>
      <c r="I547" s="50">
        <v>0</v>
      </c>
      <c r="J547" s="50">
        <v>0</v>
      </c>
      <c r="K547" s="50">
        <v>4514703</v>
      </c>
      <c r="L547" s="152">
        <f t="shared" si="0"/>
        <v>0.60196039999999995</v>
      </c>
      <c r="M547" s="50">
        <v>4514703</v>
      </c>
      <c r="N547" s="152">
        <f t="shared" si="1"/>
        <v>0.60196039999999995</v>
      </c>
      <c r="O547" s="50">
        <v>2985297</v>
      </c>
      <c r="P547" s="152">
        <f t="shared" si="2"/>
        <v>0.39803959999999999</v>
      </c>
      <c r="Q547" s="50">
        <v>2985297</v>
      </c>
      <c r="R547" s="257"/>
    </row>
    <row r="548" spans="1:18" hidden="1" x14ac:dyDescent="0.25">
      <c r="A548" s="49" t="s">
        <v>713</v>
      </c>
      <c r="B548" s="49" t="s">
        <v>230</v>
      </c>
      <c r="C548" s="49" t="s">
        <v>231</v>
      </c>
      <c r="D548" s="49" t="s">
        <v>85</v>
      </c>
      <c r="E548" s="50">
        <v>535000</v>
      </c>
      <c r="F548" s="50">
        <v>535000</v>
      </c>
      <c r="G548" s="50">
        <v>535000</v>
      </c>
      <c r="H548" s="50">
        <v>0</v>
      </c>
      <c r="I548" s="50">
        <v>0</v>
      </c>
      <c r="J548" s="50">
        <v>0</v>
      </c>
      <c r="K548" s="50">
        <v>427584.56</v>
      </c>
      <c r="L548" s="152">
        <f t="shared" si="0"/>
        <v>0.79922347663551396</v>
      </c>
      <c r="M548" s="50">
        <v>427584.56</v>
      </c>
      <c r="N548" s="152">
        <f t="shared" si="1"/>
        <v>0.79922347663551396</v>
      </c>
      <c r="O548" s="50">
        <v>107415.44</v>
      </c>
      <c r="P548" s="152">
        <f t="shared" si="2"/>
        <v>0.20077652336448598</v>
      </c>
      <c r="Q548" s="50">
        <v>107415.44</v>
      </c>
      <c r="R548" s="257"/>
    </row>
    <row r="549" spans="1:18" hidden="1" x14ac:dyDescent="0.25">
      <c r="A549" s="49" t="s">
        <v>713</v>
      </c>
      <c r="B549" s="49" t="s">
        <v>232</v>
      </c>
      <c r="C549" s="49" t="s">
        <v>233</v>
      </c>
      <c r="D549" s="49" t="s">
        <v>85</v>
      </c>
      <c r="E549" s="50">
        <v>535000</v>
      </c>
      <c r="F549" s="50">
        <v>535000</v>
      </c>
      <c r="G549" s="50">
        <v>535000</v>
      </c>
      <c r="H549" s="50">
        <v>0</v>
      </c>
      <c r="I549" s="50">
        <v>0</v>
      </c>
      <c r="J549" s="50">
        <v>0</v>
      </c>
      <c r="K549" s="50">
        <v>427584.56</v>
      </c>
      <c r="L549" s="152">
        <f t="shared" si="0"/>
        <v>0.79922347663551396</v>
      </c>
      <c r="M549" s="50">
        <v>427584.56</v>
      </c>
      <c r="N549" s="152">
        <f t="shared" si="1"/>
        <v>0.79922347663551396</v>
      </c>
      <c r="O549" s="50">
        <v>107415.44</v>
      </c>
      <c r="P549" s="152">
        <f t="shared" si="2"/>
        <v>0.20077652336448598</v>
      </c>
      <c r="Q549" s="50">
        <v>107415.44</v>
      </c>
      <c r="R549" s="257"/>
    </row>
    <row r="550" spans="1:18" hidden="1" x14ac:dyDescent="0.25">
      <c r="A550" s="49" t="s">
        <v>713</v>
      </c>
      <c r="B550" s="49" t="s">
        <v>326</v>
      </c>
      <c r="C550" s="49" t="s">
        <v>327</v>
      </c>
      <c r="D550" s="49" t="s">
        <v>85</v>
      </c>
      <c r="E550" s="50">
        <v>535000</v>
      </c>
      <c r="F550" s="50">
        <v>535000</v>
      </c>
      <c r="G550" s="50">
        <v>535000</v>
      </c>
      <c r="H550" s="50">
        <v>0</v>
      </c>
      <c r="I550" s="50">
        <v>0</v>
      </c>
      <c r="J550" s="50">
        <v>0</v>
      </c>
      <c r="K550" s="50">
        <v>427584.56</v>
      </c>
      <c r="L550" s="152">
        <f t="shared" si="0"/>
        <v>0.79922347663551396</v>
      </c>
      <c r="M550" s="50">
        <v>427584.56</v>
      </c>
      <c r="N550" s="152">
        <f t="shared" si="1"/>
        <v>0.79922347663551396</v>
      </c>
      <c r="O550" s="50">
        <v>107415.44</v>
      </c>
      <c r="P550" s="152">
        <f t="shared" si="2"/>
        <v>0.20077652336448598</v>
      </c>
      <c r="Q550" s="50">
        <v>107415.44</v>
      </c>
      <c r="R550" s="257"/>
    </row>
    <row r="551" spans="1:18" x14ac:dyDescent="0.25">
      <c r="A551" s="49">
        <v>214789004</v>
      </c>
      <c r="B551" s="49"/>
      <c r="C551" s="49"/>
      <c r="D551" s="49" t="s">
        <v>69</v>
      </c>
      <c r="E551" s="50">
        <v>2343912564</v>
      </c>
      <c r="F551" s="50">
        <v>2262440561</v>
      </c>
      <c r="G551" s="50">
        <v>2262440561</v>
      </c>
      <c r="H551" s="50">
        <v>0</v>
      </c>
      <c r="I551" s="50">
        <v>77931178.549999997</v>
      </c>
      <c r="J551" s="50">
        <v>0</v>
      </c>
      <c r="K551" s="50">
        <v>2027258265.1600001</v>
      </c>
      <c r="L551" s="152">
        <f t="shared" si="0"/>
        <v>0.89604929300947067</v>
      </c>
      <c r="M551" s="50">
        <v>1983384448.48</v>
      </c>
      <c r="N551" s="152">
        <f t="shared" si="1"/>
        <v>0.87665704136922962</v>
      </c>
      <c r="O551" s="50">
        <v>157251117.28999999</v>
      </c>
      <c r="P551" s="152">
        <f t="shared" si="2"/>
        <v>6.9505082255285816E-2</v>
      </c>
      <c r="Q551" s="50">
        <v>157251117.28999999</v>
      </c>
      <c r="R551" s="257"/>
    </row>
    <row r="552" spans="1:18" hidden="1" x14ac:dyDescent="0.25">
      <c r="A552" s="49" t="s">
        <v>714</v>
      </c>
      <c r="B552" s="49" t="s">
        <v>71</v>
      </c>
      <c r="C552" s="49" t="s">
        <v>72</v>
      </c>
      <c r="D552" s="49" t="s">
        <v>69</v>
      </c>
      <c r="E552" s="50">
        <v>1911246104</v>
      </c>
      <c r="F552" s="50">
        <v>1874431575</v>
      </c>
      <c r="G552" s="50">
        <v>1874431575</v>
      </c>
      <c r="H552" s="50">
        <v>0</v>
      </c>
      <c r="I552" s="50">
        <v>3894054.47</v>
      </c>
      <c r="J552" s="50">
        <v>0</v>
      </c>
      <c r="K552" s="50">
        <v>1746014461.2</v>
      </c>
      <c r="L552" s="152">
        <f t="shared" si="0"/>
        <v>0.93149010317967995</v>
      </c>
      <c r="M552" s="50">
        <v>1746014461.2</v>
      </c>
      <c r="N552" s="152">
        <f t="shared" si="1"/>
        <v>0.93149010317967995</v>
      </c>
      <c r="O552" s="50">
        <v>124523059.33</v>
      </c>
      <c r="P552" s="152">
        <f t="shared" si="2"/>
        <v>6.6432437967227476E-2</v>
      </c>
      <c r="Q552" s="50">
        <v>124523059.33</v>
      </c>
      <c r="R552" s="257"/>
    </row>
    <row r="553" spans="1:18" hidden="1" x14ac:dyDescent="0.25">
      <c r="A553" s="49" t="s">
        <v>714</v>
      </c>
      <c r="B553" s="49" t="s">
        <v>73</v>
      </c>
      <c r="C553" s="49" t="s">
        <v>74</v>
      </c>
      <c r="D553" s="49" t="s">
        <v>69</v>
      </c>
      <c r="E553" s="50">
        <v>693088616</v>
      </c>
      <c r="F553" s="50">
        <v>672914792</v>
      </c>
      <c r="G553" s="50">
        <v>672914792</v>
      </c>
      <c r="H553" s="50">
        <v>0</v>
      </c>
      <c r="I553" s="50">
        <v>0</v>
      </c>
      <c r="J553" s="50">
        <v>0</v>
      </c>
      <c r="K553" s="50">
        <v>646470360.08000004</v>
      </c>
      <c r="L553" s="152">
        <f t="shared" si="0"/>
        <v>0.96070166351760033</v>
      </c>
      <c r="M553" s="50">
        <v>646470360.08000004</v>
      </c>
      <c r="N553" s="152">
        <f t="shared" si="1"/>
        <v>0.96070166351760033</v>
      </c>
      <c r="O553" s="50">
        <v>26444431.920000002</v>
      </c>
      <c r="P553" s="152">
        <f t="shared" si="2"/>
        <v>3.9298336482399693E-2</v>
      </c>
      <c r="Q553" s="50">
        <v>26444431.920000002</v>
      </c>
      <c r="R553" s="257"/>
    </row>
    <row r="554" spans="1:18" hidden="1" x14ac:dyDescent="0.25">
      <c r="A554" s="49" t="s">
        <v>714</v>
      </c>
      <c r="B554" s="49" t="s">
        <v>75</v>
      </c>
      <c r="C554" s="49" t="s">
        <v>76</v>
      </c>
      <c r="D554" s="49" t="s">
        <v>69</v>
      </c>
      <c r="E554" s="50">
        <v>693088616</v>
      </c>
      <c r="F554" s="50">
        <v>672914792</v>
      </c>
      <c r="G554" s="50">
        <v>672914792</v>
      </c>
      <c r="H554" s="50">
        <v>0</v>
      </c>
      <c r="I554" s="50">
        <v>0</v>
      </c>
      <c r="J554" s="50">
        <v>0</v>
      </c>
      <c r="K554" s="50">
        <v>646470360.08000004</v>
      </c>
      <c r="L554" s="152">
        <f t="shared" si="0"/>
        <v>0.96070166351760033</v>
      </c>
      <c r="M554" s="50">
        <v>646470360.08000004</v>
      </c>
      <c r="N554" s="152">
        <f t="shared" si="1"/>
        <v>0.96070166351760033</v>
      </c>
      <c r="O554" s="50">
        <v>26444431.920000002</v>
      </c>
      <c r="P554" s="152">
        <f t="shared" si="2"/>
        <v>3.9298336482399693E-2</v>
      </c>
      <c r="Q554" s="50">
        <v>26444431.920000002</v>
      </c>
      <c r="R554" s="257"/>
    </row>
    <row r="555" spans="1:18" hidden="1" x14ac:dyDescent="0.25">
      <c r="A555" s="49" t="s">
        <v>714</v>
      </c>
      <c r="B555" s="49" t="s">
        <v>293</v>
      </c>
      <c r="C555" s="49" t="s">
        <v>294</v>
      </c>
      <c r="D555" s="49" t="s">
        <v>69</v>
      </c>
      <c r="E555" s="50">
        <v>2572600</v>
      </c>
      <c r="F555" s="50">
        <v>2572600</v>
      </c>
      <c r="G555" s="50">
        <v>2572600</v>
      </c>
      <c r="H555" s="50">
        <v>0</v>
      </c>
      <c r="I555" s="50">
        <v>0</v>
      </c>
      <c r="J555" s="50">
        <v>0</v>
      </c>
      <c r="K555" s="50">
        <v>1706002.5</v>
      </c>
      <c r="L555" s="152">
        <f t="shared" si="0"/>
        <v>0.66314331804400217</v>
      </c>
      <c r="M555" s="50">
        <v>1706002.5</v>
      </c>
      <c r="N555" s="152">
        <f t="shared" si="1"/>
        <v>0.66314331804400217</v>
      </c>
      <c r="O555" s="50">
        <v>866597.5</v>
      </c>
      <c r="P555" s="152">
        <f t="shared" si="2"/>
        <v>0.33685668195599783</v>
      </c>
      <c r="Q555" s="50">
        <v>866597.5</v>
      </c>
      <c r="R555" s="257"/>
    </row>
    <row r="556" spans="1:18" hidden="1" x14ac:dyDescent="0.25">
      <c r="A556" s="49" t="s">
        <v>714</v>
      </c>
      <c r="B556" s="49" t="s">
        <v>339</v>
      </c>
      <c r="C556" s="49" t="s">
        <v>340</v>
      </c>
      <c r="D556" s="49" t="s">
        <v>69</v>
      </c>
      <c r="E556" s="50">
        <v>2572600</v>
      </c>
      <c r="F556" s="50">
        <v>2572600</v>
      </c>
      <c r="G556" s="50">
        <v>2572600</v>
      </c>
      <c r="H556" s="50">
        <v>0</v>
      </c>
      <c r="I556" s="50">
        <v>0</v>
      </c>
      <c r="J556" s="50">
        <v>0</v>
      </c>
      <c r="K556" s="50">
        <v>1706002.5</v>
      </c>
      <c r="L556" s="152">
        <f t="shared" si="0"/>
        <v>0.66314331804400217</v>
      </c>
      <c r="M556" s="50">
        <v>1706002.5</v>
      </c>
      <c r="N556" s="152">
        <f t="shared" si="1"/>
        <v>0.66314331804400217</v>
      </c>
      <c r="O556" s="50">
        <v>866597.5</v>
      </c>
      <c r="P556" s="152">
        <f t="shared" si="2"/>
        <v>0.33685668195599783</v>
      </c>
      <c r="Q556" s="50">
        <v>866597.5</v>
      </c>
      <c r="R556" s="257"/>
    </row>
    <row r="557" spans="1:18" hidden="1" x14ac:dyDescent="0.25">
      <c r="A557" s="49" t="s">
        <v>714</v>
      </c>
      <c r="B557" s="49" t="s">
        <v>77</v>
      </c>
      <c r="C557" s="49" t="s">
        <v>78</v>
      </c>
      <c r="D557" s="49" t="s">
        <v>69</v>
      </c>
      <c r="E557" s="50">
        <v>924031359</v>
      </c>
      <c r="F557" s="50">
        <v>913006573</v>
      </c>
      <c r="G557" s="50">
        <v>913006573</v>
      </c>
      <c r="H557" s="50">
        <v>0</v>
      </c>
      <c r="I557" s="50">
        <v>3894054.47</v>
      </c>
      <c r="J557" s="50">
        <v>0</v>
      </c>
      <c r="K557" s="50">
        <v>847125410.62</v>
      </c>
      <c r="L557" s="152">
        <f t="shared" si="0"/>
        <v>0.9278415245538435</v>
      </c>
      <c r="M557" s="50">
        <v>847125410.62</v>
      </c>
      <c r="N557" s="152">
        <f t="shared" si="1"/>
        <v>0.9278415245538435</v>
      </c>
      <c r="O557" s="50">
        <v>61987107.909999996</v>
      </c>
      <c r="P557" s="152">
        <f t="shared" si="2"/>
        <v>6.7893386250571924E-2</v>
      </c>
      <c r="Q557" s="50">
        <v>61987107.909999996</v>
      </c>
      <c r="R557" s="257"/>
    </row>
    <row r="558" spans="1:18" hidden="1" x14ac:dyDescent="0.25">
      <c r="A558" s="49" t="s">
        <v>714</v>
      </c>
      <c r="B558" s="49" t="s">
        <v>79</v>
      </c>
      <c r="C558" s="49" t="s">
        <v>80</v>
      </c>
      <c r="D558" s="49" t="s">
        <v>69</v>
      </c>
      <c r="E558" s="50">
        <v>322806400</v>
      </c>
      <c r="F558" s="50">
        <v>322806400</v>
      </c>
      <c r="G558" s="50">
        <v>322806400</v>
      </c>
      <c r="H558" s="50">
        <v>0</v>
      </c>
      <c r="I558" s="50">
        <v>0</v>
      </c>
      <c r="J558" s="50">
        <v>0</v>
      </c>
      <c r="K558" s="50">
        <v>276294814.77999997</v>
      </c>
      <c r="L558" s="152">
        <f t="shared" si="0"/>
        <v>0.85591492231876432</v>
      </c>
      <c r="M558" s="50">
        <v>276294814.77999997</v>
      </c>
      <c r="N558" s="152">
        <f t="shared" si="1"/>
        <v>0.85591492231876432</v>
      </c>
      <c r="O558" s="50">
        <v>46511585.219999999</v>
      </c>
      <c r="P558" s="152">
        <f t="shared" si="2"/>
        <v>0.14408507768123557</v>
      </c>
      <c r="Q558" s="50">
        <v>46511585.219999999</v>
      </c>
      <c r="R558" s="257"/>
    </row>
    <row r="559" spans="1:18" hidden="1" x14ac:dyDescent="0.25">
      <c r="A559" s="49" t="s">
        <v>714</v>
      </c>
      <c r="B559" s="49" t="s">
        <v>81</v>
      </c>
      <c r="C559" s="49" t="s">
        <v>82</v>
      </c>
      <c r="D559" s="49" t="s">
        <v>69</v>
      </c>
      <c r="E559" s="50">
        <v>234712205</v>
      </c>
      <c r="F559" s="50">
        <v>234536190</v>
      </c>
      <c r="G559" s="50">
        <v>234536190</v>
      </c>
      <c r="H559" s="50">
        <v>0</v>
      </c>
      <c r="I559" s="50">
        <v>0</v>
      </c>
      <c r="J559" s="50">
        <v>0</v>
      </c>
      <c r="K559" s="50">
        <v>231738715.22999999</v>
      </c>
      <c r="L559" s="152">
        <f t="shared" si="0"/>
        <v>0.98807231084465041</v>
      </c>
      <c r="M559" s="50">
        <v>231738715.22999999</v>
      </c>
      <c r="N559" s="152">
        <f t="shared" si="1"/>
        <v>0.98807231084465041</v>
      </c>
      <c r="O559" s="50">
        <v>2797474.77</v>
      </c>
      <c r="P559" s="152">
        <f t="shared" si="2"/>
        <v>1.1927689155349544E-2</v>
      </c>
      <c r="Q559" s="50">
        <v>2797474.77</v>
      </c>
      <c r="R559" s="257"/>
    </row>
    <row r="560" spans="1:18" hidden="1" x14ac:dyDescent="0.25">
      <c r="A560" s="49" t="s">
        <v>714</v>
      </c>
      <c r="B560" s="49" t="s">
        <v>86</v>
      </c>
      <c r="C560" s="49" t="s">
        <v>87</v>
      </c>
      <c r="D560" s="49" t="s">
        <v>69</v>
      </c>
      <c r="E560" s="50">
        <v>114340800</v>
      </c>
      <c r="F560" s="50">
        <v>106915800</v>
      </c>
      <c r="G560" s="50">
        <v>106915800</v>
      </c>
      <c r="H560" s="50">
        <v>0</v>
      </c>
      <c r="I560" s="50">
        <v>3894054.47</v>
      </c>
      <c r="J560" s="50">
        <v>0</v>
      </c>
      <c r="K560" s="50">
        <v>102582084.77</v>
      </c>
      <c r="L560" s="152">
        <f t="shared" si="0"/>
        <v>0.95946609172825714</v>
      </c>
      <c r="M560" s="50">
        <v>102582084.77</v>
      </c>
      <c r="N560" s="152">
        <f t="shared" si="1"/>
        <v>0.95946609172825714</v>
      </c>
      <c r="O560" s="50">
        <v>439660.76</v>
      </c>
      <c r="P560" s="152">
        <f t="shared" si="2"/>
        <v>4.1122150327641003E-3</v>
      </c>
      <c r="Q560" s="50">
        <v>439660.76</v>
      </c>
      <c r="R560" s="257"/>
    </row>
    <row r="561" spans="1:18" hidden="1" x14ac:dyDescent="0.25">
      <c r="A561" s="49" t="s">
        <v>714</v>
      </c>
      <c r="B561" s="49" t="s">
        <v>88</v>
      </c>
      <c r="C561" s="49" t="s">
        <v>89</v>
      </c>
      <c r="D561" s="49" t="s">
        <v>69</v>
      </c>
      <c r="E561" s="50">
        <v>127626300</v>
      </c>
      <c r="F561" s="50">
        <v>126601536</v>
      </c>
      <c r="G561" s="50">
        <v>126601536</v>
      </c>
      <c r="H561" s="50">
        <v>0</v>
      </c>
      <c r="I561" s="50">
        <v>0</v>
      </c>
      <c r="J561" s="50">
        <v>0</v>
      </c>
      <c r="K561" s="50">
        <v>121066623.45999999</v>
      </c>
      <c r="L561" s="152">
        <f t="shared" si="0"/>
        <v>0.95628084212185227</v>
      </c>
      <c r="M561" s="50">
        <v>121066623.45999999</v>
      </c>
      <c r="N561" s="152">
        <f t="shared" si="1"/>
        <v>0.95628084212185227</v>
      </c>
      <c r="O561" s="50">
        <v>5534912.54</v>
      </c>
      <c r="P561" s="152">
        <f t="shared" si="2"/>
        <v>4.3719157878147702E-2</v>
      </c>
      <c r="Q561" s="50">
        <v>5534912.54</v>
      </c>
      <c r="R561" s="257"/>
    </row>
    <row r="562" spans="1:18" hidden="1" x14ac:dyDescent="0.25">
      <c r="A562" s="49" t="s">
        <v>714</v>
      </c>
      <c r="B562" s="49" t="s">
        <v>83</v>
      </c>
      <c r="C562" s="49" t="s">
        <v>84</v>
      </c>
      <c r="D562" s="49" t="s">
        <v>85</v>
      </c>
      <c r="E562" s="50">
        <v>124545654</v>
      </c>
      <c r="F562" s="50">
        <v>122146647</v>
      </c>
      <c r="G562" s="50">
        <v>122146647</v>
      </c>
      <c r="H562" s="50">
        <v>0</v>
      </c>
      <c r="I562" s="50">
        <v>0</v>
      </c>
      <c r="J562" s="50">
        <v>0</v>
      </c>
      <c r="K562" s="50">
        <v>115443172.38</v>
      </c>
      <c r="L562" s="152">
        <f t="shared" si="0"/>
        <v>0.94511945448654022</v>
      </c>
      <c r="M562" s="50">
        <v>115443172.38</v>
      </c>
      <c r="N562" s="152">
        <f t="shared" si="1"/>
        <v>0.94511945448654022</v>
      </c>
      <c r="O562" s="50">
        <v>6703474.6200000001</v>
      </c>
      <c r="P562" s="152">
        <f t="shared" si="2"/>
        <v>5.4880545513459736E-2</v>
      </c>
      <c r="Q562" s="50">
        <v>6703474.6200000001</v>
      </c>
      <c r="R562" s="257"/>
    </row>
    <row r="563" spans="1:18" hidden="1" x14ac:dyDescent="0.25">
      <c r="A563" s="49" t="s">
        <v>714</v>
      </c>
      <c r="B563" s="49" t="s">
        <v>90</v>
      </c>
      <c r="C563" s="49" t="s">
        <v>91</v>
      </c>
      <c r="D563" s="49" t="s">
        <v>69</v>
      </c>
      <c r="E563" s="50">
        <v>145776815</v>
      </c>
      <c r="F563" s="50">
        <v>142968855</v>
      </c>
      <c r="G563" s="50">
        <v>142968855</v>
      </c>
      <c r="H563" s="50">
        <v>0</v>
      </c>
      <c r="I563" s="50">
        <v>0</v>
      </c>
      <c r="J563" s="50">
        <v>0</v>
      </c>
      <c r="K563" s="50">
        <v>125449896</v>
      </c>
      <c r="L563" s="152">
        <f t="shared" si="0"/>
        <v>0.87746310901070024</v>
      </c>
      <c r="M563" s="50">
        <v>125449896</v>
      </c>
      <c r="N563" s="152">
        <f t="shared" si="1"/>
        <v>0.87746310901070024</v>
      </c>
      <c r="O563" s="50">
        <v>17518959</v>
      </c>
      <c r="P563" s="152">
        <f t="shared" si="2"/>
        <v>0.12253689098929973</v>
      </c>
      <c r="Q563" s="50">
        <v>17518959</v>
      </c>
      <c r="R563" s="257"/>
    </row>
    <row r="564" spans="1:18" hidden="1" x14ac:dyDescent="0.25">
      <c r="A564" s="49" t="s">
        <v>714</v>
      </c>
      <c r="B564" s="49" t="s">
        <v>424</v>
      </c>
      <c r="C564" s="49" t="s">
        <v>697</v>
      </c>
      <c r="D564" s="49" t="s">
        <v>69</v>
      </c>
      <c r="E564" s="50">
        <v>138301084</v>
      </c>
      <c r="F564" s="50">
        <v>135637121</v>
      </c>
      <c r="G564" s="50">
        <v>135637121</v>
      </c>
      <c r="H564" s="50">
        <v>0</v>
      </c>
      <c r="I564" s="50">
        <v>0</v>
      </c>
      <c r="J564" s="50">
        <v>0</v>
      </c>
      <c r="K564" s="50">
        <v>119016568</v>
      </c>
      <c r="L564" s="152">
        <f t="shared" si="0"/>
        <v>0.87746309507704756</v>
      </c>
      <c r="M564" s="50">
        <v>119016568</v>
      </c>
      <c r="N564" s="152">
        <f t="shared" si="1"/>
        <v>0.87746309507704756</v>
      </c>
      <c r="O564" s="50">
        <v>16620553</v>
      </c>
      <c r="P564" s="152">
        <f t="shared" si="2"/>
        <v>0.12253690492295247</v>
      </c>
      <c r="Q564" s="50">
        <v>16620553</v>
      </c>
      <c r="R564" s="257"/>
    </row>
    <row r="565" spans="1:18" hidden="1" x14ac:dyDescent="0.25">
      <c r="A565" s="49" t="s">
        <v>714</v>
      </c>
      <c r="B565" s="49" t="s">
        <v>441</v>
      </c>
      <c r="C565" s="49" t="s">
        <v>95</v>
      </c>
      <c r="D565" s="49" t="s">
        <v>69</v>
      </c>
      <c r="E565" s="50">
        <v>7475731</v>
      </c>
      <c r="F565" s="50">
        <v>7331734</v>
      </c>
      <c r="G565" s="50">
        <v>7331734</v>
      </c>
      <c r="H565" s="50">
        <v>0</v>
      </c>
      <c r="I565" s="50">
        <v>0</v>
      </c>
      <c r="J565" s="50">
        <v>0</v>
      </c>
      <c r="K565" s="50">
        <v>6433328</v>
      </c>
      <c r="L565" s="152">
        <f t="shared" si="0"/>
        <v>0.87746336678335579</v>
      </c>
      <c r="M565" s="50">
        <v>6433328</v>
      </c>
      <c r="N565" s="152">
        <f t="shared" si="1"/>
        <v>0.87746336678335579</v>
      </c>
      <c r="O565" s="50">
        <v>898406</v>
      </c>
      <c r="P565" s="152">
        <f t="shared" si="2"/>
        <v>0.12253663321664425</v>
      </c>
      <c r="Q565" s="50">
        <v>898406</v>
      </c>
      <c r="R565" s="257"/>
    </row>
    <row r="566" spans="1:18" hidden="1" x14ac:dyDescent="0.25">
      <c r="A566" s="49" t="s">
        <v>714</v>
      </c>
      <c r="B566" s="49" t="s">
        <v>96</v>
      </c>
      <c r="C566" s="49" t="s">
        <v>97</v>
      </c>
      <c r="D566" s="49" t="s">
        <v>69</v>
      </c>
      <c r="E566" s="50">
        <v>145776714</v>
      </c>
      <c r="F566" s="50">
        <v>142968755</v>
      </c>
      <c r="G566" s="50">
        <v>142968755</v>
      </c>
      <c r="H566" s="50">
        <v>0</v>
      </c>
      <c r="I566" s="50">
        <v>0</v>
      </c>
      <c r="J566" s="50">
        <v>0</v>
      </c>
      <c r="K566" s="50">
        <v>125262792</v>
      </c>
      <c r="L566" s="152">
        <f t="shared" si="0"/>
        <v>0.87615501722736555</v>
      </c>
      <c r="M566" s="50">
        <v>125262792</v>
      </c>
      <c r="N566" s="152">
        <f t="shared" si="1"/>
        <v>0.87615501722736555</v>
      </c>
      <c r="O566" s="50">
        <v>17705963</v>
      </c>
      <c r="P566" s="152">
        <f t="shared" si="2"/>
        <v>0.12384498277263448</v>
      </c>
      <c r="Q566" s="50">
        <v>17705963</v>
      </c>
      <c r="R566" s="257"/>
    </row>
    <row r="567" spans="1:18" hidden="1" x14ac:dyDescent="0.25">
      <c r="A567" s="49" t="s">
        <v>714</v>
      </c>
      <c r="B567" s="49" t="s">
        <v>459</v>
      </c>
      <c r="C567" s="49" t="s">
        <v>698</v>
      </c>
      <c r="D567" s="49" t="s">
        <v>69</v>
      </c>
      <c r="E567" s="50">
        <v>78495131</v>
      </c>
      <c r="F567" s="50">
        <v>76983152</v>
      </c>
      <c r="G567" s="50">
        <v>76983152</v>
      </c>
      <c r="H567" s="50">
        <v>0</v>
      </c>
      <c r="I567" s="50">
        <v>0</v>
      </c>
      <c r="J567" s="50">
        <v>0</v>
      </c>
      <c r="K567" s="50">
        <v>67362841</v>
      </c>
      <c r="L567" s="152">
        <f t="shared" si="0"/>
        <v>0.87503355279607153</v>
      </c>
      <c r="M567" s="50">
        <v>67362841</v>
      </c>
      <c r="N567" s="152">
        <f t="shared" si="1"/>
        <v>0.87503355279607153</v>
      </c>
      <c r="O567" s="50">
        <v>9620311</v>
      </c>
      <c r="P567" s="152">
        <f t="shared" si="2"/>
        <v>0.12496644720392847</v>
      </c>
      <c r="Q567" s="50">
        <v>9620311</v>
      </c>
      <c r="R567" s="257"/>
    </row>
    <row r="568" spans="1:18" hidden="1" x14ac:dyDescent="0.25">
      <c r="A568" s="49" t="s">
        <v>714</v>
      </c>
      <c r="B568" s="49" t="s">
        <v>476</v>
      </c>
      <c r="C568" s="49" t="s">
        <v>699</v>
      </c>
      <c r="D568" s="49" t="s">
        <v>69</v>
      </c>
      <c r="E568" s="50">
        <v>22427194</v>
      </c>
      <c r="F568" s="50">
        <v>25795201</v>
      </c>
      <c r="G568" s="50">
        <v>25795201</v>
      </c>
      <c r="H568" s="50">
        <v>0</v>
      </c>
      <c r="I568" s="50">
        <v>0</v>
      </c>
      <c r="J568" s="50">
        <v>0</v>
      </c>
      <c r="K568" s="50">
        <v>22552541</v>
      </c>
      <c r="L568" s="152">
        <f t="shared" si="0"/>
        <v>0.87429212123603917</v>
      </c>
      <c r="M568" s="50">
        <v>22552541</v>
      </c>
      <c r="N568" s="152">
        <f t="shared" si="1"/>
        <v>0.87429212123603917</v>
      </c>
      <c r="O568" s="50">
        <v>3242660</v>
      </c>
      <c r="P568" s="152">
        <f t="shared" si="2"/>
        <v>0.12570787876396078</v>
      </c>
      <c r="Q568" s="50">
        <v>3242660</v>
      </c>
      <c r="R568" s="257"/>
    </row>
    <row r="569" spans="1:18" hidden="1" x14ac:dyDescent="0.25">
      <c r="A569" s="49" t="s">
        <v>714</v>
      </c>
      <c r="B569" s="49" t="s">
        <v>493</v>
      </c>
      <c r="C569" s="49" t="s">
        <v>700</v>
      </c>
      <c r="D569" s="49" t="s">
        <v>69</v>
      </c>
      <c r="E569" s="50">
        <v>44854389</v>
      </c>
      <c r="F569" s="50">
        <v>40190402</v>
      </c>
      <c r="G569" s="50">
        <v>40190402</v>
      </c>
      <c r="H569" s="50">
        <v>0</v>
      </c>
      <c r="I569" s="50">
        <v>0</v>
      </c>
      <c r="J569" s="50">
        <v>0</v>
      </c>
      <c r="K569" s="50">
        <v>35347410</v>
      </c>
      <c r="L569" s="152">
        <f t="shared" si="0"/>
        <v>0.87949879177620571</v>
      </c>
      <c r="M569" s="50">
        <v>35347410</v>
      </c>
      <c r="N569" s="152">
        <f t="shared" si="1"/>
        <v>0.87949879177620571</v>
      </c>
      <c r="O569" s="50">
        <v>4842992</v>
      </c>
      <c r="P569" s="152">
        <f t="shared" si="2"/>
        <v>0.12050120822379433</v>
      </c>
      <c r="Q569" s="50">
        <v>4842992</v>
      </c>
      <c r="R569" s="257"/>
    </row>
    <row r="570" spans="1:18" hidden="1" x14ac:dyDescent="0.25">
      <c r="A570" s="49" t="s">
        <v>714</v>
      </c>
      <c r="B570" s="49" t="s">
        <v>104</v>
      </c>
      <c r="C570" s="49" t="s">
        <v>105</v>
      </c>
      <c r="D570" s="49" t="s">
        <v>69</v>
      </c>
      <c r="E570" s="50">
        <v>93714000</v>
      </c>
      <c r="F570" s="50">
        <v>93988295</v>
      </c>
      <c r="G570" s="50">
        <v>93988295</v>
      </c>
      <c r="H570" s="50">
        <v>0</v>
      </c>
      <c r="I570" s="50">
        <v>18527710.370000001</v>
      </c>
      <c r="J570" s="50">
        <v>0</v>
      </c>
      <c r="K570" s="50">
        <v>74866261.450000003</v>
      </c>
      <c r="L570" s="152">
        <f t="shared" si="0"/>
        <v>0.79654877716422035</v>
      </c>
      <c r="M570" s="50">
        <v>71582285.859999999</v>
      </c>
      <c r="N570" s="152">
        <f t="shared" si="1"/>
        <v>0.76160851582635902</v>
      </c>
      <c r="O570" s="50">
        <v>594323.18000000005</v>
      </c>
      <c r="P570" s="152">
        <f t="shared" si="2"/>
        <v>6.3233744159312613E-3</v>
      </c>
      <c r="Q570" s="50">
        <v>594323.18000000005</v>
      </c>
      <c r="R570" s="257"/>
    </row>
    <row r="571" spans="1:18" hidden="1" x14ac:dyDescent="0.25">
      <c r="A571" s="49" t="s">
        <v>714</v>
      </c>
      <c r="B571" s="49" t="s">
        <v>112</v>
      </c>
      <c r="C571" s="49" t="s">
        <v>113</v>
      </c>
      <c r="D571" s="49" t="s">
        <v>69</v>
      </c>
      <c r="E571" s="50">
        <v>92804000</v>
      </c>
      <c r="F571" s="50">
        <v>93519295</v>
      </c>
      <c r="G571" s="50">
        <v>93519295</v>
      </c>
      <c r="H571" s="50">
        <v>0</v>
      </c>
      <c r="I571" s="50">
        <v>18527710.370000001</v>
      </c>
      <c r="J571" s="50">
        <v>0</v>
      </c>
      <c r="K571" s="50">
        <v>74866261.450000003</v>
      </c>
      <c r="L571" s="152">
        <f t="shared" si="0"/>
        <v>0.80054347554694461</v>
      </c>
      <c r="M571" s="50">
        <v>71582285.859999999</v>
      </c>
      <c r="N571" s="152">
        <f t="shared" si="1"/>
        <v>0.76542798852365168</v>
      </c>
      <c r="O571" s="50">
        <v>125323.18</v>
      </c>
      <c r="P571" s="152">
        <f t="shared" si="2"/>
        <v>1.3400783228744398E-3</v>
      </c>
      <c r="Q571" s="50">
        <v>125323.18</v>
      </c>
      <c r="R571" s="257"/>
    </row>
    <row r="572" spans="1:18" hidden="1" x14ac:dyDescent="0.25">
      <c r="A572" s="49" t="s">
        <v>714</v>
      </c>
      <c r="B572" s="49" t="s">
        <v>114</v>
      </c>
      <c r="C572" s="49" t="s">
        <v>115</v>
      </c>
      <c r="D572" s="49" t="s">
        <v>69</v>
      </c>
      <c r="E572" s="50">
        <v>36754000</v>
      </c>
      <c r="F572" s="50">
        <v>40404776</v>
      </c>
      <c r="G572" s="50">
        <v>40404776</v>
      </c>
      <c r="H572" s="50">
        <v>0</v>
      </c>
      <c r="I572" s="50">
        <v>240887.13</v>
      </c>
      <c r="J572" s="50">
        <v>0</v>
      </c>
      <c r="K572" s="50">
        <v>40163888.869999997</v>
      </c>
      <c r="L572" s="152">
        <f t="shared" si="0"/>
        <v>0.99403815207390323</v>
      </c>
      <c r="M572" s="50">
        <v>40106541.869999997</v>
      </c>
      <c r="N572" s="152">
        <f t="shared" si="1"/>
        <v>0.99261883966390496</v>
      </c>
      <c r="O572" s="50">
        <v>0</v>
      </c>
      <c r="P572" s="152">
        <f t="shared" si="2"/>
        <v>0</v>
      </c>
      <c r="Q572" s="50">
        <v>0</v>
      </c>
      <c r="R572" s="257"/>
    </row>
    <row r="573" spans="1:18" hidden="1" x14ac:dyDescent="0.25">
      <c r="A573" s="49" t="s">
        <v>714</v>
      </c>
      <c r="B573" s="49" t="s">
        <v>116</v>
      </c>
      <c r="C573" s="49" t="s">
        <v>117</v>
      </c>
      <c r="D573" s="49" t="s">
        <v>69</v>
      </c>
      <c r="E573" s="50">
        <v>43500000</v>
      </c>
      <c r="F573" s="50">
        <v>40922500</v>
      </c>
      <c r="G573" s="50">
        <v>40922500</v>
      </c>
      <c r="H573" s="50">
        <v>0</v>
      </c>
      <c r="I573" s="50">
        <v>15030089.369999999</v>
      </c>
      <c r="J573" s="50">
        <v>0</v>
      </c>
      <c r="K573" s="50">
        <v>25892410.629999999</v>
      </c>
      <c r="L573" s="152">
        <f t="shared" si="0"/>
        <v>0.63271820221149733</v>
      </c>
      <c r="M573" s="50">
        <v>25892410.629999999</v>
      </c>
      <c r="N573" s="152">
        <f t="shared" si="1"/>
        <v>0.63271820221149733</v>
      </c>
      <c r="O573" s="50">
        <v>0</v>
      </c>
      <c r="P573" s="152">
        <f t="shared" si="2"/>
        <v>0</v>
      </c>
      <c r="Q573" s="50">
        <v>0</v>
      </c>
      <c r="R573" s="257"/>
    </row>
    <row r="574" spans="1:18" hidden="1" x14ac:dyDescent="0.25">
      <c r="A574" s="49" t="s">
        <v>714</v>
      </c>
      <c r="B574" s="49" t="s">
        <v>120</v>
      </c>
      <c r="C574" s="49" t="s">
        <v>121</v>
      </c>
      <c r="D574" s="49" t="s">
        <v>69</v>
      </c>
      <c r="E574" s="50">
        <v>11550000</v>
      </c>
      <c r="F574" s="50">
        <v>11550000</v>
      </c>
      <c r="G574" s="50">
        <v>11550000</v>
      </c>
      <c r="H574" s="50">
        <v>0</v>
      </c>
      <c r="I574" s="50">
        <v>3206925.87</v>
      </c>
      <c r="J574" s="50">
        <v>0</v>
      </c>
      <c r="K574" s="50">
        <v>8343074.1299999999</v>
      </c>
      <c r="L574" s="152">
        <f t="shared" si="0"/>
        <v>0.72234408051948051</v>
      </c>
      <c r="M574" s="50">
        <v>5116445.54</v>
      </c>
      <c r="N574" s="152">
        <f t="shared" si="1"/>
        <v>0.44298229783549786</v>
      </c>
      <c r="O574" s="50">
        <v>0</v>
      </c>
      <c r="P574" s="152">
        <f t="shared" si="2"/>
        <v>0</v>
      </c>
      <c r="Q574" s="50">
        <v>0</v>
      </c>
      <c r="R574" s="257"/>
    </row>
    <row r="575" spans="1:18" hidden="1" x14ac:dyDescent="0.25">
      <c r="A575" s="49" t="s">
        <v>714</v>
      </c>
      <c r="B575" s="49" t="s">
        <v>122</v>
      </c>
      <c r="C575" s="49" t="s">
        <v>123</v>
      </c>
      <c r="D575" s="49" t="s">
        <v>69</v>
      </c>
      <c r="E575" s="50">
        <v>1000000</v>
      </c>
      <c r="F575" s="50">
        <v>642019</v>
      </c>
      <c r="G575" s="50">
        <v>642019</v>
      </c>
      <c r="H575" s="50">
        <v>0</v>
      </c>
      <c r="I575" s="50">
        <v>49808</v>
      </c>
      <c r="J575" s="50">
        <v>0</v>
      </c>
      <c r="K575" s="50">
        <v>466887.82</v>
      </c>
      <c r="L575" s="152">
        <f t="shared" si="0"/>
        <v>0.72721807298537899</v>
      </c>
      <c r="M575" s="50">
        <v>466887.82</v>
      </c>
      <c r="N575" s="152">
        <f t="shared" si="1"/>
        <v>0.72721807298537899</v>
      </c>
      <c r="O575" s="50">
        <v>125323.18</v>
      </c>
      <c r="P575" s="152">
        <f t="shared" si="2"/>
        <v>0.19520166848644666</v>
      </c>
      <c r="Q575" s="50">
        <v>125323.18</v>
      </c>
      <c r="R575" s="257"/>
    </row>
    <row r="576" spans="1:18" hidden="1" x14ac:dyDescent="0.25">
      <c r="A576" s="49" t="s">
        <v>714</v>
      </c>
      <c r="B576" s="49" t="s">
        <v>116</v>
      </c>
      <c r="C576" s="49" t="s">
        <v>117</v>
      </c>
      <c r="D576" s="49" t="s">
        <v>85</v>
      </c>
      <c r="E576" s="50">
        <v>0</v>
      </c>
      <c r="F576" s="50">
        <v>0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152" t="e">
        <f t="shared" si="0"/>
        <v>#DIV/0!</v>
      </c>
      <c r="M576" s="50">
        <v>0</v>
      </c>
      <c r="N576" s="152" t="e">
        <f t="shared" si="1"/>
        <v>#DIV/0!</v>
      </c>
      <c r="O576" s="50">
        <v>0</v>
      </c>
      <c r="P576" s="152" t="e">
        <f t="shared" si="2"/>
        <v>#DIV/0!</v>
      </c>
      <c r="Q576" s="50">
        <v>0</v>
      </c>
      <c r="R576" s="257"/>
    </row>
    <row r="577" spans="1:18" hidden="1" x14ac:dyDescent="0.25">
      <c r="A577" s="49" t="s">
        <v>714</v>
      </c>
      <c r="B577" s="49" t="s">
        <v>134</v>
      </c>
      <c r="C577" s="49" t="s">
        <v>135</v>
      </c>
      <c r="D577" s="49" t="s">
        <v>69</v>
      </c>
      <c r="E577" s="50">
        <v>410000</v>
      </c>
      <c r="F577" s="50">
        <v>59000</v>
      </c>
      <c r="G577" s="50">
        <v>59000</v>
      </c>
      <c r="H577" s="50">
        <v>0</v>
      </c>
      <c r="I577" s="50">
        <v>0</v>
      </c>
      <c r="J577" s="50">
        <v>0</v>
      </c>
      <c r="K577" s="50">
        <v>0</v>
      </c>
      <c r="L577" s="152">
        <f t="shared" si="0"/>
        <v>0</v>
      </c>
      <c r="M577" s="50">
        <v>0</v>
      </c>
      <c r="N577" s="152">
        <f t="shared" si="1"/>
        <v>0</v>
      </c>
      <c r="O577" s="50">
        <v>59000</v>
      </c>
      <c r="P577" s="152">
        <f t="shared" si="2"/>
        <v>1</v>
      </c>
      <c r="Q577" s="50">
        <v>59000</v>
      </c>
      <c r="R577" s="257"/>
    </row>
    <row r="578" spans="1:18" hidden="1" x14ac:dyDescent="0.25">
      <c r="A578" s="49" t="s">
        <v>714</v>
      </c>
      <c r="B578" s="49" t="s">
        <v>346</v>
      </c>
      <c r="C578" s="49" t="s">
        <v>347</v>
      </c>
      <c r="D578" s="49" t="s">
        <v>69</v>
      </c>
      <c r="E578" s="50">
        <v>20000</v>
      </c>
      <c r="F578" s="50">
        <v>20000</v>
      </c>
      <c r="G578" s="50">
        <v>20000</v>
      </c>
      <c r="H578" s="50">
        <v>0</v>
      </c>
      <c r="I578" s="50">
        <v>0</v>
      </c>
      <c r="J578" s="50">
        <v>0</v>
      </c>
      <c r="K578" s="50">
        <v>0</v>
      </c>
      <c r="L578" s="152">
        <f t="shared" si="0"/>
        <v>0</v>
      </c>
      <c r="M578" s="50">
        <v>0</v>
      </c>
      <c r="N578" s="152">
        <f t="shared" si="1"/>
        <v>0</v>
      </c>
      <c r="O578" s="50">
        <v>20000</v>
      </c>
      <c r="P578" s="152">
        <f t="shared" si="2"/>
        <v>1</v>
      </c>
      <c r="Q578" s="50">
        <v>20000</v>
      </c>
      <c r="R578" s="257"/>
    </row>
    <row r="579" spans="1:18" hidden="1" x14ac:dyDescent="0.25">
      <c r="A579" s="49" t="s">
        <v>714</v>
      </c>
      <c r="B579" s="49" t="s">
        <v>136</v>
      </c>
      <c r="C579" s="49" t="s">
        <v>137</v>
      </c>
      <c r="D579" s="49" t="s">
        <v>69</v>
      </c>
      <c r="E579" s="50">
        <v>350000</v>
      </c>
      <c r="F579" s="50">
        <v>35000</v>
      </c>
      <c r="G579" s="50">
        <v>35000</v>
      </c>
      <c r="H579" s="50">
        <v>0</v>
      </c>
      <c r="I579" s="50">
        <v>0</v>
      </c>
      <c r="J579" s="50">
        <v>0</v>
      </c>
      <c r="K579" s="50">
        <v>0</v>
      </c>
      <c r="L579" s="152">
        <f t="shared" si="0"/>
        <v>0</v>
      </c>
      <c r="M579" s="50">
        <v>0</v>
      </c>
      <c r="N579" s="152">
        <f t="shared" si="1"/>
        <v>0</v>
      </c>
      <c r="O579" s="50">
        <v>35000</v>
      </c>
      <c r="P579" s="152">
        <f t="shared" si="2"/>
        <v>1</v>
      </c>
      <c r="Q579" s="50">
        <v>35000</v>
      </c>
      <c r="R579" s="257"/>
    </row>
    <row r="580" spans="1:18" hidden="1" x14ac:dyDescent="0.25">
      <c r="A580" s="49" t="s">
        <v>714</v>
      </c>
      <c r="B580" s="49" t="s">
        <v>138</v>
      </c>
      <c r="C580" s="49" t="s">
        <v>139</v>
      </c>
      <c r="D580" s="49" t="s">
        <v>69</v>
      </c>
      <c r="E580" s="50">
        <v>40000</v>
      </c>
      <c r="F580" s="50">
        <v>4000</v>
      </c>
      <c r="G580" s="50">
        <v>4000</v>
      </c>
      <c r="H580" s="50">
        <v>0</v>
      </c>
      <c r="I580" s="50">
        <v>0</v>
      </c>
      <c r="J580" s="50">
        <v>0</v>
      </c>
      <c r="K580" s="50">
        <v>0</v>
      </c>
      <c r="L580" s="152">
        <f t="shared" si="0"/>
        <v>0</v>
      </c>
      <c r="M580" s="50">
        <v>0</v>
      </c>
      <c r="N580" s="152">
        <f t="shared" si="1"/>
        <v>0</v>
      </c>
      <c r="O580" s="50">
        <v>4000</v>
      </c>
      <c r="P580" s="152">
        <f t="shared" si="2"/>
        <v>1</v>
      </c>
      <c r="Q580" s="50">
        <v>4000</v>
      </c>
      <c r="R580" s="257"/>
    </row>
    <row r="581" spans="1:18" hidden="1" x14ac:dyDescent="0.25">
      <c r="A581" s="49" t="s">
        <v>714</v>
      </c>
      <c r="B581" s="49" t="s">
        <v>140</v>
      </c>
      <c r="C581" s="49" t="s">
        <v>141</v>
      </c>
      <c r="D581" s="49" t="s">
        <v>69</v>
      </c>
      <c r="E581" s="50">
        <v>0</v>
      </c>
      <c r="F581" s="50">
        <v>0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152" t="e">
        <f t="shared" si="0"/>
        <v>#DIV/0!</v>
      </c>
      <c r="M581" s="50">
        <v>0</v>
      </c>
      <c r="N581" s="152" t="e">
        <f t="shared" si="1"/>
        <v>#DIV/0!</v>
      </c>
      <c r="O581" s="50">
        <v>0</v>
      </c>
      <c r="P581" s="152" t="e">
        <f t="shared" si="2"/>
        <v>#DIV/0!</v>
      </c>
      <c r="Q581" s="50">
        <v>0</v>
      </c>
      <c r="R581" s="257"/>
    </row>
    <row r="582" spans="1:18" hidden="1" x14ac:dyDescent="0.25">
      <c r="A582" s="49" t="s">
        <v>714</v>
      </c>
      <c r="B582" s="49" t="s">
        <v>144</v>
      </c>
      <c r="C582" s="49" t="s">
        <v>145</v>
      </c>
      <c r="D582" s="49" t="s">
        <v>69</v>
      </c>
      <c r="E582" s="50">
        <v>0</v>
      </c>
      <c r="F582" s="50">
        <v>0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152" t="e">
        <f t="shared" si="0"/>
        <v>#DIV/0!</v>
      </c>
      <c r="M582" s="50">
        <v>0</v>
      </c>
      <c r="N582" s="152" t="e">
        <f t="shared" si="1"/>
        <v>#DIV/0!</v>
      </c>
      <c r="O582" s="50">
        <v>0</v>
      </c>
      <c r="P582" s="152" t="e">
        <f t="shared" si="2"/>
        <v>#DIV/0!</v>
      </c>
      <c r="Q582" s="50">
        <v>0</v>
      </c>
      <c r="R582" s="257"/>
    </row>
    <row r="583" spans="1:18" hidden="1" x14ac:dyDescent="0.25">
      <c r="A583" s="49" t="s">
        <v>714</v>
      </c>
      <c r="B583" s="49" t="s">
        <v>162</v>
      </c>
      <c r="C583" s="49" t="s">
        <v>163</v>
      </c>
      <c r="D583" s="49" t="s">
        <v>69</v>
      </c>
      <c r="E583" s="50">
        <v>500000</v>
      </c>
      <c r="F583" s="50">
        <v>410000</v>
      </c>
      <c r="G583" s="50">
        <v>410000</v>
      </c>
      <c r="H583" s="50">
        <v>0</v>
      </c>
      <c r="I583" s="50">
        <v>0</v>
      </c>
      <c r="J583" s="50">
        <v>0</v>
      </c>
      <c r="K583" s="50">
        <v>0</v>
      </c>
      <c r="L583" s="152">
        <f t="shared" si="0"/>
        <v>0</v>
      </c>
      <c r="M583" s="50">
        <v>0</v>
      </c>
      <c r="N583" s="152">
        <f t="shared" si="1"/>
        <v>0</v>
      </c>
      <c r="O583" s="50">
        <v>410000</v>
      </c>
      <c r="P583" s="152">
        <f t="shared" si="2"/>
        <v>1</v>
      </c>
      <c r="Q583" s="50">
        <v>410000</v>
      </c>
      <c r="R583" s="257"/>
    </row>
    <row r="584" spans="1:18" hidden="1" x14ac:dyDescent="0.25">
      <c r="A584" s="49" t="s">
        <v>714</v>
      </c>
      <c r="B584" s="49" t="s">
        <v>164</v>
      </c>
      <c r="C584" s="49" t="s">
        <v>165</v>
      </c>
      <c r="D584" s="49" t="s">
        <v>69</v>
      </c>
      <c r="E584" s="50">
        <v>100000</v>
      </c>
      <c r="F584" s="50">
        <v>10000</v>
      </c>
      <c r="G584" s="50">
        <v>10000</v>
      </c>
      <c r="H584" s="50">
        <v>0</v>
      </c>
      <c r="I584" s="50">
        <v>0</v>
      </c>
      <c r="J584" s="50">
        <v>0</v>
      </c>
      <c r="K584" s="50">
        <v>0</v>
      </c>
      <c r="L584" s="152">
        <f t="shared" si="0"/>
        <v>0</v>
      </c>
      <c r="M584" s="50">
        <v>0</v>
      </c>
      <c r="N584" s="152">
        <f t="shared" si="1"/>
        <v>0</v>
      </c>
      <c r="O584" s="50">
        <v>10000</v>
      </c>
      <c r="P584" s="152">
        <f t="shared" si="2"/>
        <v>1</v>
      </c>
      <c r="Q584" s="50">
        <v>10000</v>
      </c>
      <c r="R584" s="257"/>
    </row>
    <row r="585" spans="1:18" hidden="1" x14ac:dyDescent="0.25">
      <c r="A585" s="49" t="s">
        <v>714</v>
      </c>
      <c r="B585" s="49" t="s">
        <v>172</v>
      </c>
      <c r="C585" s="49" t="s">
        <v>173</v>
      </c>
      <c r="D585" s="49" t="s">
        <v>69</v>
      </c>
      <c r="E585" s="50">
        <v>400000</v>
      </c>
      <c r="F585" s="50">
        <v>400000</v>
      </c>
      <c r="G585" s="50">
        <v>400000</v>
      </c>
      <c r="H585" s="50">
        <v>0</v>
      </c>
      <c r="I585" s="50">
        <v>0</v>
      </c>
      <c r="J585" s="50">
        <v>0</v>
      </c>
      <c r="K585" s="50">
        <v>0</v>
      </c>
      <c r="L585" s="152">
        <f t="shared" si="0"/>
        <v>0</v>
      </c>
      <c r="M585" s="50">
        <v>0</v>
      </c>
      <c r="N585" s="152">
        <f t="shared" si="1"/>
        <v>0</v>
      </c>
      <c r="O585" s="50">
        <v>400000</v>
      </c>
      <c r="P585" s="152">
        <f t="shared" si="2"/>
        <v>1</v>
      </c>
      <c r="Q585" s="50">
        <v>400000</v>
      </c>
      <c r="R585" s="257"/>
    </row>
    <row r="586" spans="1:18" hidden="1" x14ac:dyDescent="0.25">
      <c r="A586" s="49" t="s">
        <v>714</v>
      </c>
      <c r="B586" s="49" t="s">
        <v>184</v>
      </c>
      <c r="C586" s="49" t="s">
        <v>185</v>
      </c>
      <c r="D586" s="49" t="s">
        <v>69</v>
      </c>
      <c r="E586" s="50">
        <v>301595100</v>
      </c>
      <c r="F586" s="50">
        <v>261450403</v>
      </c>
      <c r="G586" s="50">
        <v>261450403</v>
      </c>
      <c r="H586" s="50">
        <v>0</v>
      </c>
      <c r="I586" s="50">
        <v>55509413.710000001</v>
      </c>
      <c r="J586" s="50">
        <v>0</v>
      </c>
      <c r="K586" s="50">
        <v>179318808.50999999</v>
      </c>
      <c r="L586" s="152">
        <f t="shared" si="0"/>
        <v>0.68586166421017136</v>
      </c>
      <c r="M586" s="50">
        <v>138728967.41999999</v>
      </c>
      <c r="N586" s="152">
        <f t="shared" si="1"/>
        <v>0.53061294160636652</v>
      </c>
      <c r="O586" s="50">
        <v>26622180.780000001</v>
      </c>
      <c r="P586" s="152">
        <f t="shared" si="2"/>
        <v>0.10182497511774728</v>
      </c>
      <c r="Q586" s="50">
        <v>26622180.780000001</v>
      </c>
      <c r="R586" s="257"/>
    </row>
    <row r="587" spans="1:18" hidden="1" x14ac:dyDescent="0.25">
      <c r="A587" s="49" t="s">
        <v>714</v>
      </c>
      <c r="B587" s="49" t="s">
        <v>186</v>
      </c>
      <c r="C587" s="49" t="s">
        <v>187</v>
      </c>
      <c r="D587" s="49" t="s">
        <v>69</v>
      </c>
      <c r="E587" s="50">
        <v>6620568</v>
      </c>
      <c r="F587" s="50">
        <v>4620568</v>
      </c>
      <c r="G587" s="50">
        <v>4620568</v>
      </c>
      <c r="H587" s="50">
        <v>0</v>
      </c>
      <c r="I587" s="50">
        <v>0</v>
      </c>
      <c r="J587" s="50">
        <v>0</v>
      </c>
      <c r="K587" s="50">
        <v>1071878.6599999999</v>
      </c>
      <c r="L587" s="152">
        <f t="shared" si="0"/>
        <v>0.23197984749926848</v>
      </c>
      <c r="M587" s="50">
        <v>1071878.6599999999</v>
      </c>
      <c r="N587" s="152">
        <f t="shared" si="1"/>
        <v>0.23197984749926848</v>
      </c>
      <c r="O587" s="50">
        <v>3548689.34</v>
      </c>
      <c r="P587" s="152">
        <f t="shared" si="2"/>
        <v>0.76802015250073152</v>
      </c>
      <c r="Q587" s="50">
        <v>3548689.34</v>
      </c>
      <c r="R587" s="257"/>
    </row>
    <row r="588" spans="1:18" hidden="1" x14ac:dyDescent="0.25">
      <c r="A588" s="49" t="s">
        <v>714</v>
      </c>
      <c r="B588" s="49" t="s">
        <v>188</v>
      </c>
      <c r="C588" s="49" t="s">
        <v>189</v>
      </c>
      <c r="D588" s="49" t="s">
        <v>69</v>
      </c>
      <c r="E588" s="50">
        <v>2413000</v>
      </c>
      <c r="F588" s="50">
        <v>2413000</v>
      </c>
      <c r="G588" s="50">
        <v>2413000</v>
      </c>
      <c r="H588" s="50">
        <v>0</v>
      </c>
      <c r="I588" s="50">
        <v>0</v>
      </c>
      <c r="J588" s="50">
        <v>0</v>
      </c>
      <c r="K588" s="50">
        <v>0</v>
      </c>
      <c r="L588" s="152">
        <f t="shared" si="0"/>
        <v>0</v>
      </c>
      <c r="M588" s="50">
        <v>0</v>
      </c>
      <c r="N588" s="152">
        <f t="shared" si="1"/>
        <v>0</v>
      </c>
      <c r="O588" s="50">
        <v>2413000</v>
      </c>
      <c r="P588" s="152">
        <f t="shared" si="2"/>
        <v>1</v>
      </c>
      <c r="Q588" s="50">
        <v>2413000</v>
      </c>
      <c r="R588" s="257"/>
    </row>
    <row r="589" spans="1:18" hidden="1" x14ac:dyDescent="0.25">
      <c r="A589" s="49" t="s">
        <v>714</v>
      </c>
      <c r="B589" s="49" t="s">
        <v>350</v>
      </c>
      <c r="C589" s="49" t="s">
        <v>351</v>
      </c>
      <c r="D589" s="49" t="s">
        <v>69</v>
      </c>
      <c r="E589" s="50">
        <v>63287</v>
      </c>
      <c r="F589" s="50">
        <v>63287</v>
      </c>
      <c r="G589" s="50">
        <v>63287</v>
      </c>
      <c r="H589" s="50">
        <v>0</v>
      </c>
      <c r="I589" s="50">
        <v>0</v>
      </c>
      <c r="J589" s="50">
        <v>0</v>
      </c>
      <c r="K589" s="50">
        <v>0</v>
      </c>
      <c r="L589" s="152">
        <f t="shared" si="0"/>
        <v>0</v>
      </c>
      <c r="M589" s="50">
        <v>0</v>
      </c>
      <c r="N589" s="152">
        <f t="shared" si="1"/>
        <v>0</v>
      </c>
      <c r="O589" s="50">
        <v>63287</v>
      </c>
      <c r="P589" s="152">
        <f t="shared" si="2"/>
        <v>1</v>
      </c>
      <c r="Q589" s="50">
        <v>63287</v>
      </c>
      <c r="R589" s="257"/>
    </row>
    <row r="590" spans="1:18" hidden="1" x14ac:dyDescent="0.25">
      <c r="A590" s="49" t="s">
        <v>714</v>
      </c>
      <c r="B590" s="49" t="s">
        <v>194</v>
      </c>
      <c r="C590" s="49" t="s">
        <v>195</v>
      </c>
      <c r="D590" s="49" t="s">
        <v>69</v>
      </c>
      <c r="E590" s="50">
        <v>4144281</v>
      </c>
      <c r="F590" s="50">
        <v>2144281</v>
      </c>
      <c r="G590" s="50">
        <v>2144281</v>
      </c>
      <c r="H590" s="50">
        <v>0</v>
      </c>
      <c r="I590" s="50">
        <v>0</v>
      </c>
      <c r="J590" s="50">
        <v>0</v>
      </c>
      <c r="K590" s="50">
        <v>1071878.6599999999</v>
      </c>
      <c r="L590" s="152">
        <f t="shared" si="0"/>
        <v>0.49987788913859699</v>
      </c>
      <c r="M590" s="50">
        <v>1071878.6599999999</v>
      </c>
      <c r="N590" s="152">
        <f t="shared" si="1"/>
        <v>0.49987788913859699</v>
      </c>
      <c r="O590" s="50">
        <v>1072402.3400000001</v>
      </c>
      <c r="P590" s="152">
        <f t="shared" si="2"/>
        <v>0.50012211086140301</v>
      </c>
      <c r="Q590" s="50">
        <v>1072402.3400000001</v>
      </c>
      <c r="R590" s="257"/>
    </row>
    <row r="591" spans="1:18" hidden="1" x14ac:dyDescent="0.25">
      <c r="A591" s="49" t="s">
        <v>714</v>
      </c>
      <c r="B591" s="49" t="s">
        <v>196</v>
      </c>
      <c r="C591" s="49" t="s">
        <v>197</v>
      </c>
      <c r="D591" s="49" t="s">
        <v>69</v>
      </c>
      <c r="E591" s="50">
        <v>280709986</v>
      </c>
      <c r="F591" s="50">
        <v>254166598</v>
      </c>
      <c r="G591" s="50">
        <v>254166598</v>
      </c>
      <c r="H591" s="50">
        <v>0</v>
      </c>
      <c r="I591" s="50">
        <v>55249174.710000001</v>
      </c>
      <c r="J591" s="50">
        <v>0</v>
      </c>
      <c r="K591" s="50">
        <v>176470806.52000001</v>
      </c>
      <c r="L591" s="152">
        <f t="shared" si="0"/>
        <v>0.69431155749269624</v>
      </c>
      <c r="M591" s="50">
        <v>135880965.43000001</v>
      </c>
      <c r="N591" s="152">
        <f t="shared" si="1"/>
        <v>0.53461377891205042</v>
      </c>
      <c r="O591" s="50">
        <v>22446616.77</v>
      </c>
      <c r="P591" s="152">
        <f t="shared" si="2"/>
        <v>8.8314581643021403E-2</v>
      </c>
      <c r="Q591" s="50">
        <v>22446616.77</v>
      </c>
      <c r="R591" s="257"/>
    </row>
    <row r="592" spans="1:18" hidden="1" x14ac:dyDescent="0.25">
      <c r="A592" s="49" t="s">
        <v>714</v>
      </c>
      <c r="B592" s="49" t="s">
        <v>579</v>
      </c>
      <c r="C592" s="49" t="s">
        <v>580</v>
      </c>
      <c r="D592" s="49" t="s">
        <v>69</v>
      </c>
      <c r="E592" s="50">
        <v>1988520</v>
      </c>
      <c r="F592" s="50">
        <v>1444180</v>
      </c>
      <c r="G592" s="50">
        <v>1444180</v>
      </c>
      <c r="H592" s="50">
        <v>0</v>
      </c>
      <c r="I592" s="50">
        <v>0</v>
      </c>
      <c r="J592" s="50">
        <v>0</v>
      </c>
      <c r="K592" s="50">
        <v>899840</v>
      </c>
      <c r="L592" s="152">
        <f t="shared" si="0"/>
        <v>0.62308022545666053</v>
      </c>
      <c r="M592" s="50">
        <v>899840</v>
      </c>
      <c r="N592" s="152">
        <f t="shared" si="1"/>
        <v>0.62308022545666053</v>
      </c>
      <c r="O592" s="50">
        <v>544340</v>
      </c>
      <c r="P592" s="152">
        <f t="shared" si="2"/>
        <v>0.37691977454333947</v>
      </c>
      <c r="Q592" s="50">
        <v>544340</v>
      </c>
      <c r="R592" s="257"/>
    </row>
    <row r="593" spans="1:18" hidden="1" x14ac:dyDescent="0.25">
      <c r="A593" s="49" t="s">
        <v>714</v>
      </c>
      <c r="B593" s="49" t="s">
        <v>198</v>
      </c>
      <c r="C593" s="49" t="s">
        <v>199</v>
      </c>
      <c r="D593" s="49" t="s">
        <v>69</v>
      </c>
      <c r="E593" s="50">
        <v>278273098</v>
      </c>
      <c r="F593" s="50">
        <v>252353456</v>
      </c>
      <c r="G593" s="50">
        <v>252353456</v>
      </c>
      <c r="H593" s="50">
        <v>0</v>
      </c>
      <c r="I593" s="50">
        <v>55249174.700000003</v>
      </c>
      <c r="J593" s="50">
        <v>0</v>
      </c>
      <c r="K593" s="50">
        <v>175202004.84999999</v>
      </c>
      <c r="L593" s="152">
        <f t="shared" si="0"/>
        <v>0.69427226251262431</v>
      </c>
      <c r="M593" s="50">
        <v>134612163.75999999</v>
      </c>
      <c r="N593" s="152">
        <f t="shared" si="1"/>
        <v>0.53342706651895422</v>
      </c>
      <c r="O593" s="50">
        <v>21902276.449999999</v>
      </c>
      <c r="P593" s="152">
        <f t="shared" si="2"/>
        <v>8.6792060616756525E-2</v>
      </c>
      <c r="Q593" s="50">
        <v>21902276.449999999</v>
      </c>
      <c r="R593" s="257"/>
    </row>
    <row r="594" spans="1:18" hidden="1" x14ac:dyDescent="0.25">
      <c r="A594" s="49" t="s">
        <v>714</v>
      </c>
      <c r="B594" s="49" t="s">
        <v>352</v>
      </c>
      <c r="C594" s="49" t="s">
        <v>353</v>
      </c>
      <c r="D594" s="49" t="s">
        <v>69</v>
      </c>
      <c r="E594" s="50">
        <v>448368</v>
      </c>
      <c r="F594" s="50">
        <v>368962</v>
      </c>
      <c r="G594" s="50">
        <v>368962</v>
      </c>
      <c r="H594" s="50">
        <v>0</v>
      </c>
      <c r="I594" s="50">
        <v>0.01</v>
      </c>
      <c r="J594" s="50">
        <v>0</v>
      </c>
      <c r="K594" s="50">
        <v>368961.67</v>
      </c>
      <c r="L594" s="152">
        <f t="shared" si="0"/>
        <v>0.99999910559895056</v>
      </c>
      <c r="M594" s="50">
        <v>368961.67</v>
      </c>
      <c r="N594" s="152">
        <f t="shared" si="1"/>
        <v>0.99999910559895056</v>
      </c>
      <c r="O594" s="50">
        <v>0.32</v>
      </c>
      <c r="P594" s="152">
        <f t="shared" si="2"/>
        <v>8.6729798732660822E-7</v>
      </c>
      <c r="Q594" s="50">
        <v>0.32</v>
      </c>
      <c r="R594" s="257"/>
    </row>
    <row r="595" spans="1:18" hidden="1" x14ac:dyDescent="0.25">
      <c r="A595" s="49" t="s">
        <v>714</v>
      </c>
      <c r="B595" s="49" t="s">
        <v>200</v>
      </c>
      <c r="C595" s="49" t="s">
        <v>201</v>
      </c>
      <c r="D595" s="49" t="s">
        <v>69</v>
      </c>
      <c r="E595" s="50">
        <v>8117062</v>
      </c>
      <c r="F595" s="50">
        <v>1522387</v>
      </c>
      <c r="G595" s="50">
        <v>1522387</v>
      </c>
      <c r="H595" s="50">
        <v>0</v>
      </c>
      <c r="I595" s="50">
        <v>0</v>
      </c>
      <c r="J595" s="50">
        <v>0</v>
      </c>
      <c r="K595" s="50">
        <v>1110192.48</v>
      </c>
      <c r="L595" s="152">
        <f t="shared" si="0"/>
        <v>0.72924458761142863</v>
      </c>
      <c r="M595" s="50">
        <v>1110192.48</v>
      </c>
      <c r="N595" s="152">
        <f t="shared" si="1"/>
        <v>0.72924458761142863</v>
      </c>
      <c r="O595" s="50">
        <v>412194.52</v>
      </c>
      <c r="P595" s="152">
        <f t="shared" si="2"/>
        <v>0.27075541238857137</v>
      </c>
      <c r="Q595" s="50">
        <v>412194.52</v>
      </c>
      <c r="R595" s="257"/>
    </row>
    <row r="596" spans="1:18" hidden="1" x14ac:dyDescent="0.25">
      <c r="A596" s="49" t="s">
        <v>714</v>
      </c>
      <c r="B596" s="49" t="s">
        <v>314</v>
      </c>
      <c r="C596" s="49" t="s">
        <v>315</v>
      </c>
      <c r="D596" s="49" t="s">
        <v>69</v>
      </c>
      <c r="E596" s="50">
        <v>2959825</v>
      </c>
      <c r="F596" s="50">
        <v>0</v>
      </c>
      <c r="G596" s="50">
        <v>0</v>
      </c>
      <c r="H596" s="50">
        <v>0</v>
      </c>
      <c r="I596" s="50">
        <v>0</v>
      </c>
      <c r="J596" s="50">
        <v>0</v>
      </c>
      <c r="K596" s="50">
        <v>0</v>
      </c>
      <c r="L596" s="152" t="e">
        <f t="shared" si="0"/>
        <v>#DIV/0!</v>
      </c>
      <c r="M596" s="50">
        <v>0</v>
      </c>
      <c r="N596" s="152" t="e">
        <f t="shared" si="1"/>
        <v>#DIV/0!</v>
      </c>
      <c r="O596" s="50">
        <v>0</v>
      </c>
      <c r="P596" s="152" t="e">
        <f t="shared" si="2"/>
        <v>#DIV/0!</v>
      </c>
      <c r="Q596" s="50">
        <v>0</v>
      </c>
      <c r="R596" s="257"/>
    </row>
    <row r="597" spans="1:18" hidden="1" x14ac:dyDescent="0.25">
      <c r="A597" s="49" t="s">
        <v>714</v>
      </c>
      <c r="B597" s="49" t="s">
        <v>202</v>
      </c>
      <c r="C597" s="49" t="s">
        <v>203</v>
      </c>
      <c r="D597" s="49" t="s">
        <v>69</v>
      </c>
      <c r="E597" s="50">
        <v>1322500</v>
      </c>
      <c r="F597" s="50">
        <v>22500</v>
      </c>
      <c r="G597" s="50">
        <v>22500</v>
      </c>
      <c r="H597" s="50">
        <v>0</v>
      </c>
      <c r="I597" s="50">
        <v>0</v>
      </c>
      <c r="J597" s="50">
        <v>0</v>
      </c>
      <c r="K597" s="50">
        <v>0</v>
      </c>
      <c r="L597" s="152">
        <f t="shared" si="0"/>
        <v>0</v>
      </c>
      <c r="M597" s="50">
        <v>0</v>
      </c>
      <c r="N597" s="152">
        <f t="shared" si="1"/>
        <v>0</v>
      </c>
      <c r="O597" s="50">
        <v>22500</v>
      </c>
      <c r="P597" s="152">
        <f t="shared" si="2"/>
        <v>1</v>
      </c>
      <c r="Q597" s="50">
        <v>22500</v>
      </c>
      <c r="R597" s="257"/>
    </row>
    <row r="598" spans="1:18" hidden="1" x14ac:dyDescent="0.25">
      <c r="A598" s="49" t="s">
        <v>714</v>
      </c>
      <c r="B598" s="49" t="s">
        <v>320</v>
      </c>
      <c r="C598" s="49" t="s">
        <v>321</v>
      </c>
      <c r="D598" s="49" t="s">
        <v>69</v>
      </c>
      <c r="E598" s="50">
        <v>220000</v>
      </c>
      <c r="F598" s="50">
        <v>0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152" t="e">
        <f t="shared" si="0"/>
        <v>#DIV/0!</v>
      </c>
      <c r="M598" s="50">
        <v>0</v>
      </c>
      <c r="N598" s="152" t="e">
        <f t="shared" si="1"/>
        <v>#DIV/0!</v>
      </c>
      <c r="O598" s="50">
        <v>0</v>
      </c>
      <c r="P598" s="152" t="e">
        <f t="shared" si="2"/>
        <v>#DIV/0!</v>
      </c>
      <c r="Q598" s="50">
        <v>0</v>
      </c>
      <c r="R598" s="257"/>
    </row>
    <row r="599" spans="1:18" hidden="1" x14ac:dyDescent="0.25">
      <c r="A599" s="49" t="s">
        <v>714</v>
      </c>
      <c r="B599" s="49" t="s">
        <v>204</v>
      </c>
      <c r="C599" s="49" t="s">
        <v>205</v>
      </c>
      <c r="D599" s="49" t="s">
        <v>69</v>
      </c>
      <c r="E599" s="50">
        <v>1532505</v>
      </c>
      <c r="F599" s="50">
        <v>1417655</v>
      </c>
      <c r="G599" s="50">
        <v>1417655</v>
      </c>
      <c r="H599" s="50">
        <v>0</v>
      </c>
      <c r="I599" s="50">
        <v>0</v>
      </c>
      <c r="J599" s="50">
        <v>0</v>
      </c>
      <c r="K599" s="50">
        <v>1110192.48</v>
      </c>
      <c r="L599" s="152">
        <f t="shared" si="0"/>
        <v>0.7831189393752358</v>
      </c>
      <c r="M599" s="50">
        <v>1110192.48</v>
      </c>
      <c r="N599" s="152">
        <f t="shared" si="1"/>
        <v>0.7831189393752358</v>
      </c>
      <c r="O599" s="50">
        <v>307462.52</v>
      </c>
      <c r="P599" s="152">
        <f t="shared" si="2"/>
        <v>0.21688106062476414</v>
      </c>
      <c r="Q599" s="50">
        <v>307462.52</v>
      </c>
      <c r="R599" s="257"/>
    </row>
    <row r="600" spans="1:18" hidden="1" x14ac:dyDescent="0.25">
      <c r="A600" s="49" t="s">
        <v>714</v>
      </c>
      <c r="B600" s="49" t="s">
        <v>322</v>
      </c>
      <c r="C600" s="49" t="s">
        <v>323</v>
      </c>
      <c r="D600" s="49" t="s">
        <v>69</v>
      </c>
      <c r="E600" s="50">
        <v>2082232</v>
      </c>
      <c r="F600" s="50">
        <v>82232</v>
      </c>
      <c r="G600" s="50">
        <v>82232</v>
      </c>
      <c r="H600" s="50">
        <v>0</v>
      </c>
      <c r="I600" s="50">
        <v>0</v>
      </c>
      <c r="J600" s="50">
        <v>0</v>
      </c>
      <c r="K600" s="50">
        <v>0</v>
      </c>
      <c r="L600" s="152">
        <f t="shared" si="0"/>
        <v>0</v>
      </c>
      <c r="M600" s="50">
        <v>0</v>
      </c>
      <c r="N600" s="152">
        <f t="shared" si="1"/>
        <v>0</v>
      </c>
      <c r="O600" s="50">
        <v>82232</v>
      </c>
      <c r="P600" s="152">
        <f t="shared" si="2"/>
        <v>1</v>
      </c>
      <c r="Q600" s="50">
        <v>82232</v>
      </c>
      <c r="R600" s="257"/>
    </row>
    <row r="601" spans="1:18" hidden="1" x14ac:dyDescent="0.25">
      <c r="A601" s="49" t="s">
        <v>714</v>
      </c>
      <c r="B601" s="49" t="s">
        <v>206</v>
      </c>
      <c r="C601" s="49" t="s">
        <v>207</v>
      </c>
      <c r="D601" s="49" t="s">
        <v>69</v>
      </c>
      <c r="E601" s="50">
        <v>1362914</v>
      </c>
      <c r="F601" s="50">
        <v>91500</v>
      </c>
      <c r="G601" s="50">
        <v>91500</v>
      </c>
      <c r="H601" s="50">
        <v>0</v>
      </c>
      <c r="I601" s="50">
        <v>0</v>
      </c>
      <c r="J601" s="50">
        <v>0</v>
      </c>
      <c r="K601" s="50">
        <v>0</v>
      </c>
      <c r="L601" s="152">
        <f t="shared" si="0"/>
        <v>0</v>
      </c>
      <c r="M601" s="50">
        <v>0</v>
      </c>
      <c r="N601" s="152">
        <f t="shared" si="1"/>
        <v>0</v>
      </c>
      <c r="O601" s="50">
        <v>91500</v>
      </c>
      <c r="P601" s="152">
        <f t="shared" si="2"/>
        <v>1</v>
      </c>
      <c r="Q601" s="50">
        <v>91500</v>
      </c>
      <c r="R601" s="257"/>
    </row>
    <row r="602" spans="1:18" hidden="1" x14ac:dyDescent="0.25">
      <c r="A602" s="49" t="s">
        <v>714</v>
      </c>
      <c r="B602" s="49" t="s">
        <v>208</v>
      </c>
      <c r="C602" s="49" t="s">
        <v>209</v>
      </c>
      <c r="D602" s="49" t="s">
        <v>69</v>
      </c>
      <c r="E602" s="50">
        <v>571414</v>
      </c>
      <c r="F602" s="50">
        <v>0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152" t="e">
        <f t="shared" si="0"/>
        <v>#DIV/0!</v>
      </c>
      <c r="M602" s="50">
        <v>0</v>
      </c>
      <c r="N602" s="152" t="e">
        <f t="shared" si="1"/>
        <v>#DIV/0!</v>
      </c>
      <c r="O602" s="50">
        <v>0</v>
      </c>
      <c r="P602" s="152" t="e">
        <f t="shared" si="2"/>
        <v>#DIV/0!</v>
      </c>
      <c r="Q602" s="50">
        <v>0</v>
      </c>
      <c r="R602" s="257"/>
    </row>
    <row r="603" spans="1:18" hidden="1" x14ac:dyDescent="0.25">
      <c r="A603" s="49" t="s">
        <v>714</v>
      </c>
      <c r="B603" s="49" t="s">
        <v>210</v>
      </c>
      <c r="C603" s="49" t="s">
        <v>211</v>
      </c>
      <c r="D603" s="49" t="s">
        <v>69</v>
      </c>
      <c r="E603" s="50">
        <v>791500</v>
      </c>
      <c r="F603" s="50">
        <v>91500</v>
      </c>
      <c r="G603" s="50">
        <v>91500</v>
      </c>
      <c r="H603" s="50">
        <v>0</v>
      </c>
      <c r="I603" s="50">
        <v>0</v>
      </c>
      <c r="J603" s="50">
        <v>0</v>
      </c>
      <c r="K603" s="50">
        <v>0</v>
      </c>
      <c r="L603" s="152">
        <f t="shared" si="0"/>
        <v>0</v>
      </c>
      <c r="M603" s="50">
        <v>0</v>
      </c>
      <c r="N603" s="152">
        <f t="shared" si="1"/>
        <v>0</v>
      </c>
      <c r="O603" s="50">
        <v>91500</v>
      </c>
      <c r="P603" s="152">
        <f t="shared" si="2"/>
        <v>1</v>
      </c>
      <c r="Q603" s="50">
        <v>91500</v>
      </c>
      <c r="R603" s="257"/>
    </row>
    <row r="604" spans="1:18" hidden="1" x14ac:dyDescent="0.25">
      <c r="A604" s="49" t="s">
        <v>714</v>
      </c>
      <c r="B604" s="49" t="s">
        <v>354</v>
      </c>
      <c r="C604" s="49" t="s">
        <v>355</v>
      </c>
      <c r="D604" s="49" t="s">
        <v>69</v>
      </c>
      <c r="E604" s="50">
        <v>585840</v>
      </c>
      <c r="F604" s="50">
        <v>0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152" t="e">
        <f t="shared" si="0"/>
        <v>#DIV/0!</v>
      </c>
      <c r="M604" s="50">
        <v>0</v>
      </c>
      <c r="N604" s="152" t="e">
        <f t="shared" si="1"/>
        <v>#DIV/0!</v>
      </c>
      <c r="O604" s="50">
        <v>0</v>
      </c>
      <c r="P604" s="152" t="e">
        <f t="shared" si="2"/>
        <v>#DIV/0!</v>
      </c>
      <c r="Q604" s="50">
        <v>0</v>
      </c>
      <c r="R604" s="257"/>
    </row>
    <row r="605" spans="1:18" hidden="1" x14ac:dyDescent="0.25">
      <c r="A605" s="49" t="s">
        <v>714</v>
      </c>
      <c r="B605" s="49" t="s">
        <v>356</v>
      </c>
      <c r="C605" s="49" t="s">
        <v>357</v>
      </c>
      <c r="D605" s="49" t="s">
        <v>69</v>
      </c>
      <c r="E605" s="50">
        <v>585840</v>
      </c>
      <c r="F605" s="50">
        <v>0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152" t="e">
        <f t="shared" si="0"/>
        <v>#DIV/0!</v>
      </c>
      <c r="M605" s="50">
        <v>0</v>
      </c>
      <c r="N605" s="152" t="e">
        <f t="shared" si="1"/>
        <v>#DIV/0!</v>
      </c>
      <c r="O605" s="50">
        <v>0</v>
      </c>
      <c r="P605" s="152" t="e">
        <f t="shared" si="2"/>
        <v>#DIV/0!</v>
      </c>
      <c r="Q605" s="50">
        <v>0</v>
      </c>
      <c r="R605" s="257"/>
    </row>
    <row r="606" spans="1:18" hidden="1" x14ac:dyDescent="0.25">
      <c r="A606" s="49" t="s">
        <v>714</v>
      </c>
      <c r="B606" s="49" t="s">
        <v>212</v>
      </c>
      <c r="C606" s="49" t="s">
        <v>213</v>
      </c>
      <c r="D606" s="49" t="s">
        <v>69</v>
      </c>
      <c r="E606" s="50">
        <v>4198730</v>
      </c>
      <c r="F606" s="50">
        <v>1049350</v>
      </c>
      <c r="G606" s="50">
        <v>1049350</v>
      </c>
      <c r="H606" s="50">
        <v>0</v>
      </c>
      <c r="I606" s="50">
        <v>260239</v>
      </c>
      <c r="J606" s="50">
        <v>0</v>
      </c>
      <c r="K606" s="50">
        <v>665930.85</v>
      </c>
      <c r="L606" s="152">
        <f t="shared" si="0"/>
        <v>0.63461271263162911</v>
      </c>
      <c r="M606" s="50">
        <v>665930.85</v>
      </c>
      <c r="N606" s="152">
        <f t="shared" si="1"/>
        <v>0.63461271263162911</v>
      </c>
      <c r="O606" s="50">
        <v>123180.15</v>
      </c>
      <c r="P606" s="152">
        <f t="shared" si="2"/>
        <v>0.11738709677419354</v>
      </c>
      <c r="Q606" s="50">
        <v>123180.15</v>
      </c>
      <c r="R606" s="257"/>
    </row>
    <row r="607" spans="1:18" hidden="1" x14ac:dyDescent="0.25">
      <c r="A607" s="49" t="s">
        <v>714</v>
      </c>
      <c r="B607" s="49" t="s">
        <v>220</v>
      </c>
      <c r="C607" s="49" t="s">
        <v>221</v>
      </c>
      <c r="D607" s="49" t="s">
        <v>69</v>
      </c>
      <c r="E607" s="50">
        <v>1076090</v>
      </c>
      <c r="F607" s="50">
        <v>926190</v>
      </c>
      <c r="G607" s="50">
        <v>926190</v>
      </c>
      <c r="H607" s="50">
        <v>0</v>
      </c>
      <c r="I607" s="50">
        <v>260239</v>
      </c>
      <c r="J607" s="50">
        <v>0</v>
      </c>
      <c r="K607" s="50">
        <v>665930.85</v>
      </c>
      <c r="L607" s="152">
        <f t="shared" si="0"/>
        <v>0.71900025912609722</v>
      </c>
      <c r="M607" s="50">
        <v>665930.85</v>
      </c>
      <c r="N607" s="152">
        <f t="shared" si="1"/>
        <v>0.71900025912609722</v>
      </c>
      <c r="O607" s="50">
        <v>20.149999999999999</v>
      </c>
      <c r="P607" s="152">
        <f t="shared" si="2"/>
        <v>2.1755795247195499E-5</v>
      </c>
      <c r="Q607" s="50">
        <v>20.149999999999999</v>
      </c>
      <c r="R607" s="257"/>
    </row>
    <row r="608" spans="1:18" hidden="1" x14ac:dyDescent="0.25">
      <c r="A608" s="49" t="s">
        <v>714</v>
      </c>
      <c r="B608" s="49" t="s">
        <v>222</v>
      </c>
      <c r="C608" s="49" t="s">
        <v>223</v>
      </c>
      <c r="D608" s="49" t="s">
        <v>69</v>
      </c>
      <c r="E608" s="50">
        <v>35760</v>
      </c>
      <c r="F608" s="50">
        <v>35760</v>
      </c>
      <c r="G608" s="50">
        <v>35760</v>
      </c>
      <c r="H608" s="50">
        <v>0</v>
      </c>
      <c r="I608" s="50">
        <v>0</v>
      </c>
      <c r="J608" s="50">
        <v>0</v>
      </c>
      <c r="K608" s="50">
        <v>0</v>
      </c>
      <c r="L608" s="152">
        <f t="shared" si="0"/>
        <v>0</v>
      </c>
      <c r="M608" s="50">
        <v>0</v>
      </c>
      <c r="N608" s="152">
        <f t="shared" si="1"/>
        <v>0</v>
      </c>
      <c r="O608" s="50">
        <v>35760</v>
      </c>
      <c r="P608" s="152">
        <f t="shared" si="2"/>
        <v>1</v>
      </c>
      <c r="Q608" s="50">
        <v>35760</v>
      </c>
      <c r="R608" s="257"/>
    </row>
    <row r="609" spans="1:18" hidden="1" x14ac:dyDescent="0.25">
      <c r="A609" s="49" t="s">
        <v>714</v>
      </c>
      <c r="B609" s="49" t="s">
        <v>224</v>
      </c>
      <c r="C609" s="49" t="s">
        <v>225</v>
      </c>
      <c r="D609" s="49" t="s">
        <v>69</v>
      </c>
      <c r="E609" s="50">
        <v>2587400</v>
      </c>
      <c r="F609" s="50">
        <v>87400</v>
      </c>
      <c r="G609" s="50">
        <v>87400</v>
      </c>
      <c r="H609" s="50">
        <v>0</v>
      </c>
      <c r="I609" s="50">
        <v>0</v>
      </c>
      <c r="J609" s="50">
        <v>0</v>
      </c>
      <c r="K609" s="50">
        <v>0</v>
      </c>
      <c r="L609" s="152">
        <f t="shared" si="0"/>
        <v>0</v>
      </c>
      <c r="M609" s="50">
        <v>0</v>
      </c>
      <c r="N609" s="152">
        <f t="shared" si="1"/>
        <v>0</v>
      </c>
      <c r="O609" s="50">
        <v>87400</v>
      </c>
      <c r="P609" s="152">
        <f t="shared" si="2"/>
        <v>1</v>
      </c>
      <c r="Q609" s="50">
        <v>87400</v>
      </c>
      <c r="R609" s="257"/>
    </row>
    <row r="610" spans="1:18" hidden="1" x14ac:dyDescent="0.25">
      <c r="A610" s="49" t="s">
        <v>714</v>
      </c>
      <c r="B610" s="49" t="s">
        <v>228</v>
      </c>
      <c r="C610" s="49" t="s">
        <v>229</v>
      </c>
      <c r="D610" s="49" t="s">
        <v>69</v>
      </c>
      <c r="E610" s="50">
        <v>499480</v>
      </c>
      <c r="F610" s="50">
        <v>0</v>
      </c>
      <c r="G610" s="50">
        <v>0</v>
      </c>
      <c r="H610" s="50">
        <v>0</v>
      </c>
      <c r="I610" s="50">
        <v>0</v>
      </c>
      <c r="J610" s="50">
        <v>0</v>
      </c>
      <c r="K610" s="50">
        <v>0</v>
      </c>
      <c r="L610" s="152" t="e">
        <f t="shared" si="0"/>
        <v>#DIV/0!</v>
      </c>
      <c r="M610" s="50">
        <v>0</v>
      </c>
      <c r="N610" s="152" t="e">
        <f t="shared" si="1"/>
        <v>#DIV/0!</v>
      </c>
      <c r="O610" s="50">
        <v>0</v>
      </c>
      <c r="P610" s="152" t="e">
        <f t="shared" si="2"/>
        <v>#DIV/0!</v>
      </c>
      <c r="Q610" s="50">
        <v>0</v>
      </c>
      <c r="R610" s="257"/>
    </row>
    <row r="611" spans="1:18" hidden="1" x14ac:dyDescent="0.25">
      <c r="A611" s="49" t="s">
        <v>714</v>
      </c>
      <c r="B611" s="49" t="s">
        <v>248</v>
      </c>
      <c r="C611" s="49" t="s">
        <v>249</v>
      </c>
      <c r="D611" s="49" t="s">
        <v>69</v>
      </c>
      <c r="E611" s="50">
        <v>32319360</v>
      </c>
      <c r="F611" s="50">
        <v>31841288</v>
      </c>
      <c r="G611" s="50">
        <v>31841288</v>
      </c>
      <c r="H611" s="50">
        <v>0</v>
      </c>
      <c r="I611" s="50">
        <v>0</v>
      </c>
      <c r="J611" s="50">
        <v>0</v>
      </c>
      <c r="K611" s="50">
        <v>26983734</v>
      </c>
      <c r="L611" s="152">
        <f t="shared" si="0"/>
        <v>0.84744480185600535</v>
      </c>
      <c r="M611" s="50">
        <v>26983734</v>
      </c>
      <c r="N611" s="152">
        <f t="shared" si="1"/>
        <v>0.84744480185600535</v>
      </c>
      <c r="O611" s="50">
        <v>4857554</v>
      </c>
      <c r="P611" s="152">
        <f t="shared" si="2"/>
        <v>0.15255519814399468</v>
      </c>
      <c r="Q611" s="50">
        <v>4857554</v>
      </c>
      <c r="R611" s="257"/>
    </row>
    <row r="612" spans="1:18" hidden="1" x14ac:dyDescent="0.25">
      <c r="A612" s="49" t="s">
        <v>714</v>
      </c>
      <c r="B612" s="49" t="s">
        <v>250</v>
      </c>
      <c r="C612" s="49" t="s">
        <v>251</v>
      </c>
      <c r="D612" s="49" t="s">
        <v>69</v>
      </c>
      <c r="E612" s="50">
        <v>24819360</v>
      </c>
      <c r="F612" s="50">
        <v>24341288</v>
      </c>
      <c r="G612" s="50">
        <v>24341288</v>
      </c>
      <c r="H612" s="50">
        <v>0</v>
      </c>
      <c r="I612" s="50">
        <v>0</v>
      </c>
      <c r="J612" s="50">
        <v>0</v>
      </c>
      <c r="K612" s="50">
        <v>21171548</v>
      </c>
      <c r="L612" s="152">
        <f t="shared" si="0"/>
        <v>0.86977928201662957</v>
      </c>
      <c r="M612" s="50">
        <v>21171548</v>
      </c>
      <c r="N612" s="152">
        <f t="shared" si="1"/>
        <v>0.86977928201662957</v>
      </c>
      <c r="O612" s="50">
        <v>3169740</v>
      </c>
      <c r="P612" s="152">
        <f t="shared" si="2"/>
        <v>0.13022071798337048</v>
      </c>
      <c r="Q612" s="50">
        <v>3169740</v>
      </c>
      <c r="R612" s="257"/>
    </row>
    <row r="613" spans="1:18" hidden="1" x14ac:dyDescent="0.25">
      <c r="A613" s="49" t="s">
        <v>714</v>
      </c>
      <c r="B613" s="49" t="s">
        <v>633</v>
      </c>
      <c r="C613" s="49" t="s">
        <v>702</v>
      </c>
      <c r="D613" s="49" t="s">
        <v>69</v>
      </c>
      <c r="E613" s="50">
        <v>21081545</v>
      </c>
      <c r="F613" s="50">
        <v>20675471</v>
      </c>
      <c r="G613" s="50">
        <v>20675471</v>
      </c>
      <c r="H613" s="50">
        <v>0</v>
      </c>
      <c r="I613" s="50">
        <v>0</v>
      </c>
      <c r="J613" s="50">
        <v>0</v>
      </c>
      <c r="K613" s="50">
        <v>17954885</v>
      </c>
      <c r="L613" s="152">
        <f t="shared" si="0"/>
        <v>0.86841479935330135</v>
      </c>
      <c r="M613" s="50">
        <v>17954885</v>
      </c>
      <c r="N613" s="152">
        <f t="shared" si="1"/>
        <v>0.86841479935330135</v>
      </c>
      <c r="O613" s="50">
        <v>2720586</v>
      </c>
      <c r="P613" s="152">
        <f t="shared" si="2"/>
        <v>0.13158520064669868</v>
      </c>
      <c r="Q613" s="50">
        <v>2720586</v>
      </c>
      <c r="R613" s="257"/>
    </row>
    <row r="614" spans="1:18" hidden="1" x14ac:dyDescent="0.25">
      <c r="A614" s="49" t="s">
        <v>714</v>
      </c>
      <c r="B614" s="49" t="s">
        <v>648</v>
      </c>
      <c r="C614" s="49" t="s">
        <v>703</v>
      </c>
      <c r="D614" s="49" t="s">
        <v>69</v>
      </c>
      <c r="E614" s="50">
        <v>3737815</v>
      </c>
      <c r="F614" s="50">
        <v>3665817</v>
      </c>
      <c r="G614" s="50">
        <v>3665817</v>
      </c>
      <c r="H614" s="50">
        <v>0</v>
      </c>
      <c r="I614" s="50">
        <v>0</v>
      </c>
      <c r="J614" s="50">
        <v>0</v>
      </c>
      <c r="K614" s="50">
        <v>3216663</v>
      </c>
      <c r="L614" s="152">
        <f t="shared" si="0"/>
        <v>0.87747506217577143</v>
      </c>
      <c r="M614" s="50">
        <v>3216663</v>
      </c>
      <c r="N614" s="152">
        <f t="shared" si="1"/>
        <v>0.87747506217577143</v>
      </c>
      <c r="O614" s="50">
        <v>449154</v>
      </c>
      <c r="P614" s="152">
        <f t="shared" si="2"/>
        <v>0.12252493782422855</v>
      </c>
      <c r="Q614" s="50">
        <v>449154</v>
      </c>
      <c r="R614" s="257"/>
    </row>
    <row r="615" spans="1:18" hidden="1" x14ac:dyDescent="0.25">
      <c r="A615" s="49" t="s">
        <v>714</v>
      </c>
      <c r="B615" s="49" t="s">
        <v>260</v>
      </c>
      <c r="C615" s="49" t="s">
        <v>261</v>
      </c>
      <c r="D615" s="49" t="s">
        <v>69</v>
      </c>
      <c r="E615" s="50">
        <v>7500000</v>
      </c>
      <c r="F615" s="50">
        <v>7500000</v>
      </c>
      <c r="G615" s="50">
        <v>7500000</v>
      </c>
      <c r="H615" s="50">
        <v>0</v>
      </c>
      <c r="I615" s="50">
        <v>0</v>
      </c>
      <c r="J615" s="50">
        <v>0</v>
      </c>
      <c r="K615" s="50">
        <v>5812186</v>
      </c>
      <c r="L615" s="152">
        <f t="shared" si="0"/>
        <v>0.7749581333333333</v>
      </c>
      <c r="M615" s="50">
        <v>5812186</v>
      </c>
      <c r="N615" s="152">
        <f t="shared" si="1"/>
        <v>0.7749581333333333</v>
      </c>
      <c r="O615" s="50">
        <v>1687814</v>
      </c>
      <c r="P615" s="152">
        <f t="shared" si="2"/>
        <v>0.22504186666666667</v>
      </c>
      <c r="Q615" s="50">
        <v>1687814</v>
      </c>
      <c r="R615" s="257"/>
    </row>
    <row r="616" spans="1:18" hidden="1" x14ac:dyDescent="0.25">
      <c r="A616" s="49" t="s">
        <v>714</v>
      </c>
      <c r="B616" s="49" t="s">
        <v>264</v>
      </c>
      <c r="C616" s="49" t="s">
        <v>265</v>
      </c>
      <c r="D616" s="49" t="s">
        <v>69</v>
      </c>
      <c r="E616" s="50">
        <v>7500000</v>
      </c>
      <c r="F616" s="50">
        <v>7500000</v>
      </c>
      <c r="G616" s="50">
        <v>7500000</v>
      </c>
      <c r="H616" s="50">
        <v>0</v>
      </c>
      <c r="I616" s="50">
        <v>0</v>
      </c>
      <c r="J616" s="50">
        <v>0</v>
      </c>
      <c r="K616" s="50">
        <v>5812186</v>
      </c>
      <c r="L616" s="152">
        <f t="shared" si="0"/>
        <v>0.7749581333333333</v>
      </c>
      <c r="M616" s="50">
        <v>5812186</v>
      </c>
      <c r="N616" s="152">
        <f t="shared" si="1"/>
        <v>0.7749581333333333</v>
      </c>
      <c r="O616" s="50">
        <v>1687814</v>
      </c>
      <c r="P616" s="152">
        <f t="shared" si="2"/>
        <v>0.22504186666666667</v>
      </c>
      <c r="Q616" s="50">
        <v>1687814</v>
      </c>
      <c r="R616" s="257"/>
    </row>
    <row r="617" spans="1:18" hidden="1" x14ac:dyDescent="0.25">
      <c r="A617" s="49" t="s">
        <v>714</v>
      </c>
      <c r="B617" s="49" t="s">
        <v>230</v>
      </c>
      <c r="C617" s="49" t="s">
        <v>231</v>
      </c>
      <c r="D617" s="49" t="s">
        <v>85</v>
      </c>
      <c r="E617" s="50">
        <v>5038000</v>
      </c>
      <c r="F617" s="50">
        <v>729000</v>
      </c>
      <c r="G617" s="50">
        <v>729000</v>
      </c>
      <c r="H617" s="50">
        <v>0</v>
      </c>
      <c r="I617" s="50">
        <v>0</v>
      </c>
      <c r="J617" s="50">
        <v>0</v>
      </c>
      <c r="K617" s="50">
        <v>75000</v>
      </c>
      <c r="L617" s="152">
        <f t="shared" si="0"/>
        <v>0.102880658436214</v>
      </c>
      <c r="M617" s="50">
        <v>75000</v>
      </c>
      <c r="N617" s="152">
        <f t="shared" si="1"/>
        <v>0.102880658436214</v>
      </c>
      <c r="O617" s="50">
        <v>654000</v>
      </c>
      <c r="P617" s="152">
        <f t="shared" si="2"/>
        <v>0.89711934156378603</v>
      </c>
      <c r="Q617" s="50">
        <v>654000</v>
      </c>
      <c r="R617" s="257"/>
    </row>
    <row r="618" spans="1:18" hidden="1" x14ac:dyDescent="0.25">
      <c r="A618" s="49" t="s">
        <v>714</v>
      </c>
      <c r="B618" s="49" t="s">
        <v>232</v>
      </c>
      <c r="C618" s="49" t="s">
        <v>233</v>
      </c>
      <c r="D618" s="49" t="s">
        <v>85</v>
      </c>
      <c r="E618" s="50">
        <v>4954000</v>
      </c>
      <c r="F618" s="50">
        <v>654000</v>
      </c>
      <c r="G618" s="50">
        <v>654000</v>
      </c>
      <c r="H618" s="50">
        <v>0</v>
      </c>
      <c r="I618" s="50">
        <v>0</v>
      </c>
      <c r="J618" s="50">
        <v>0</v>
      </c>
      <c r="K618" s="50">
        <v>0</v>
      </c>
      <c r="L618" s="152">
        <f t="shared" si="0"/>
        <v>0</v>
      </c>
      <c r="M618" s="50">
        <v>0</v>
      </c>
      <c r="N618" s="152">
        <f t="shared" si="1"/>
        <v>0</v>
      </c>
      <c r="O618" s="50">
        <v>654000</v>
      </c>
      <c r="P618" s="152">
        <f t="shared" si="2"/>
        <v>1</v>
      </c>
      <c r="Q618" s="50">
        <v>654000</v>
      </c>
      <c r="R618" s="257"/>
    </row>
    <row r="619" spans="1:18" hidden="1" x14ac:dyDescent="0.25">
      <c r="A619" s="49" t="s">
        <v>714</v>
      </c>
      <c r="B619" s="49" t="s">
        <v>234</v>
      </c>
      <c r="C619" s="49" t="s">
        <v>235</v>
      </c>
      <c r="D619" s="49" t="s">
        <v>85</v>
      </c>
      <c r="E619" s="50">
        <v>3565000</v>
      </c>
      <c r="F619" s="50">
        <v>565000</v>
      </c>
      <c r="G619" s="50">
        <v>565000</v>
      </c>
      <c r="H619" s="50">
        <v>0</v>
      </c>
      <c r="I619" s="50">
        <v>0</v>
      </c>
      <c r="J619" s="50">
        <v>0</v>
      </c>
      <c r="K619" s="50">
        <v>0</v>
      </c>
      <c r="L619" s="152">
        <f t="shared" si="0"/>
        <v>0</v>
      </c>
      <c r="M619" s="50">
        <v>0</v>
      </c>
      <c r="N619" s="152">
        <f t="shared" si="1"/>
        <v>0</v>
      </c>
      <c r="O619" s="50">
        <v>565000</v>
      </c>
      <c r="P619" s="152">
        <f t="shared" si="2"/>
        <v>1</v>
      </c>
      <c r="Q619" s="50">
        <v>565000</v>
      </c>
      <c r="R619" s="257"/>
    </row>
    <row r="620" spans="1:18" hidden="1" x14ac:dyDescent="0.25">
      <c r="A620" s="49" t="s">
        <v>714</v>
      </c>
      <c r="B620" s="49" t="s">
        <v>242</v>
      </c>
      <c r="C620" s="49" t="s">
        <v>243</v>
      </c>
      <c r="D620" s="49" t="s">
        <v>85</v>
      </c>
      <c r="E620" s="50">
        <v>1389000</v>
      </c>
      <c r="F620" s="50">
        <v>89000</v>
      </c>
      <c r="G620" s="50">
        <v>89000</v>
      </c>
      <c r="H620" s="50">
        <v>0</v>
      </c>
      <c r="I620" s="50">
        <v>0</v>
      </c>
      <c r="J620" s="50">
        <v>0</v>
      </c>
      <c r="K620" s="50">
        <v>0</v>
      </c>
      <c r="L620" s="152">
        <f t="shared" si="0"/>
        <v>0</v>
      </c>
      <c r="M620" s="50">
        <v>0</v>
      </c>
      <c r="N620" s="152">
        <f t="shared" si="1"/>
        <v>0</v>
      </c>
      <c r="O620" s="50">
        <v>89000</v>
      </c>
      <c r="P620" s="152">
        <f t="shared" si="2"/>
        <v>1</v>
      </c>
      <c r="Q620" s="50">
        <v>89000</v>
      </c>
      <c r="R620" s="257"/>
    </row>
    <row r="621" spans="1:18" hidden="1" x14ac:dyDescent="0.25">
      <c r="A621" s="49" t="s">
        <v>714</v>
      </c>
      <c r="B621" s="49" t="s">
        <v>244</v>
      </c>
      <c r="C621" s="49" t="s">
        <v>245</v>
      </c>
      <c r="D621" s="49" t="s">
        <v>85</v>
      </c>
      <c r="E621" s="50">
        <v>84000</v>
      </c>
      <c r="F621" s="50">
        <v>75000</v>
      </c>
      <c r="G621" s="50">
        <v>75000</v>
      </c>
      <c r="H621" s="50">
        <v>0</v>
      </c>
      <c r="I621" s="50">
        <v>0</v>
      </c>
      <c r="J621" s="50">
        <v>0</v>
      </c>
      <c r="K621" s="50">
        <v>75000</v>
      </c>
      <c r="L621" s="152">
        <f t="shared" si="0"/>
        <v>1</v>
      </c>
      <c r="M621" s="50">
        <v>75000</v>
      </c>
      <c r="N621" s="152">
        <f t="shared" si="1"/>
        <v>1</v>
      </c>
      <c r="O621" s="50">
        <v>0</v>
      </c>
      <c r="P621" s="152">
        <f t="shared" si="2"/>
        <v>0</v>
      </c>
      <c r="Q621" s="50">
        <v>0</v>
      </c>
      <c r="R621" s="257"/>
    </row>
    <row r="622" spans="1:18" hidden="1" x14ac:dyDescent="0.25">
      <c r="A622" s="49" t="s">
        <v>714</v>
      </c>
      <c r="B622" s="49" t="s">
        <v>611</v>
      </c>
      <c r="C622" s="49" t="s">
        <v>612</v>
      </c>
      <c r="D622" s="49" t="s">
        <v>85</v>
      </c>
      <c r="E622" s="50">
        <v>84000</v>
      </c>
      <c r="F622" s="50">
        <v>75000</v>
      </c>
      <c r="G622" s="50">
        <v>75000</v>
      </c>
      <c r="H622" s="50">
        <v>0</v>
      </c>
      <c r="I622" s="50">
        <v>0</v>
      </c>
      <c r="J622" s="50">
        <v>0</v>
      </c>
      <c r="K622" s="50">
        <v>75000</v>
      </c>
      <c r="L622" s="152">
        <f t="shared" si="0"/>
        <v>1</v>
      </c>
      <c r="M622" s="50">
        <v>75000</v>
      </c>
      <c r="N622" s="152">
        <f t="shared" si="1"/>
        <v>1</v>
      </c>
      <c r="O622" s="50">
        <v>0</v>
      </c>
      <c r="P622" s="152">
        <f t="shared" si="2"/>
        <v>0</v>
      </c>
      <c r="Q622" s="50">
        <v>0</v>
      </c>
      <c r="R622" s="257"/>
    </row>
    <row r="623" spans="1:18" x14ac:dyDescent="0.25">
      <c r="A623" s="49">
        <v>214789005</v>
      </c>
      <c r="B623" s="49"/>
      <c r="C623" s="49"/>
      <c r="D623" s="49" t="s">
        <v>69</v>
      </c>
      <c r="E623" s="50">
        <v>1188120522</v>
      </c>
      <c r="F623" s="50">
        <v>1156686277</v>
      </c>
      <c r="G623" s="50">
        <v>1156686277</v>
      </c>
      <c r="H623" s="50">
        <v>0</v>
      </c>
      <c r="I623" s="50">
        <v>11556519.27</v>
      </c>
      <c r="J623" s="50">
        <v>0</v>
      </c>
      <c r="K623" s="50">
        <v>1032253158.23</v>
      </c>
      <c r="L623" s="152">
        <f t="shared" si="0"/>
        <v>0.89242275866475074</v>
      </c>
      <c r="M623" s="50">
        <v>1031794408.37</v>
      </c>
      <c r="N623" s="152">
        <f t="shared" si="1"/>
        <v>0.89202615167708088</v>
      </c>
      <c r="O623" s="50">
        <v>112876599.5</v>
      </c>
      <c r="P623" s="152">
        <f t="shared" si="2"/>
        <v>9.7586183690843598E-2</v>
      </c>
      <c r="Q623" s="50">
        <v>112876599.5</v>
      </c>
      <c r="R623" s="257"/>
    </row>
    <row r="624" spans="1:18" hidden="1" x14ac:dyDescent="0.25">
      <c r="A624" s="49" t="s">
        <v>715</v>
      </c>
      <c r="B624" s="49" t="s">
        <v>71</v>
      </c>
      <c r="C624" s="49" t="s">
        <v>72</v>
      </c>
      <c r="D624" s="49" t="s">
        <v>69</v>
      </c>
      <c r="E624" s="50">
        <v>1139557000</v>
      </c>
      <c r="F624" s="50">
        <v>1112320185</v>
      </c>
      <c r="G624" s="50">
        <v>1112320185</v>
      </c>
      <c r="H624" s="50">
        <v>0</v>
      </c>
      <c r="I624" s="50">
        <v>2250000</v>
      </c>
      <c r="J624" s="50">
        <v>0</v>
      </c>
      <c r="K624" s="50">
        <v>1002773903.64</v>
      </c>
      <c r="L624" s="152">
        <f t="shared" si="0"/>
        <v>0.90151551429411481</v>
      </c>
      <c r="M624" s="50">
        <v>1002773903.64</v>
      </c>
      <c r="N624" s="152">
        <f t="shared" si="1"/>
        <v>0.90151551429411481</v>
      </c>
      <c r="O624" s="50">
        <v>107296281.36</v>
      </c>
      <c r="P624" s="152">
        <f t="shared" si="2"/>
        <v>9.6461686847838693E-2</v>
      </c>
      <c r="Q624" s="50">
        <v>107296281.36</v>
      </c>
      <c r="R624" s="257"/>
    </row>
    <row r="625" spans="1:18" hidden="1" x14ac:dyDescent="0.25">
      <c r="A625" s="49" t="s">
        <v>715</v>
      </c>
      <c r="B625" s="49" t="s">
        <v>73</v>
      </c>
      <c r="C625" s="49" t="s">
        <v>74</v>
      </c>
      <c r="D625" s="49" t="s">
        <v>69</v>
      </c>
      <c r="E625" s="50">
        <v>400867000</v>
      </c>
      <c r="F625" s="50">
        <v>388692700</v>
      </c>
      <c r="G625" s="50">
        <v>388692700</v>
      </c>
      <c r="H625" s="50">
        <v>0</v>
      </c>
      <c r="I625" s="50">
        <v>0</v>
      </c>
      <c r="J625" s="50">
        <v>0</v>
      </c>
      <c r="K625" s="50">
        <v>369844321.63</v>
      </c>
      <c r="L625" s="152">
        <f t="shared" si="0"/>
        <v>0.95150827795325199</v>
      </c>
      <c r="M625" s="50">
        <v>369844321.63</v>
      </c>
      <c r="N625" s="152">
        <f t="shared" si="1"/>
        <v>0.95150827795325199</v>
      </c>
      <c r="O625" s="50">
        <v>18848378.370000001</v>
      </c>
      <c r="P625" s="152">
        <f t="shared" si="2"/>
        <v>4.8491722046747988E-2</v>
      </c>
      <c r="Q625" s="50">
        <v>18848378.370000001</v>
      </c>
      <c r="R625" s="257"/>
    </row>
    <row r="626" spans="1:18" hidden="1" x14ac:dyDescent="0.25">
      <c r="A626" s="49" t="s">
        <v>715</v>
      </c>
      <c r="B626" s="49" t="s">
        <v>75</v>
      </c>
      <c r="C626" s="49" t="s">
        <v>76</v>
      </c>
      <c r="D626" s="49" t="s">
        <v>69</v>
      </c>
      <c r="E626" s="50">
        <v>400867000</v>
      </c>
      <c r="F626" s="50">
        <v>388692700</v>
      </c>
      <c r="G626" s="50">
        <v>388692700</v>
      </c>
      <c r="H626" s="50">
        <v>0</v>
      </c>
      <c r="I626" s="50">
        <v>0</v>
      </c>
      <c r="J626" s="50">
        <v>0</v>
      </c>
      <c r="K626" s="50">
        <v>369844321.63</v>
      </c>
      <c r="L626" s="152">
        <f t="shared" si="0"/>
        <v>0.95150827795325199</v>
      </c>
      <c r="M626" s="50">
        <v>369844321.63</v>
      </c>
      <c r="N626" s="152">
        <f t="shared" si="1"/>
        <v>0.95150827795325199</v>
      </c>
      <c r="O626" s="50">
        <v>18848378.370000001</v>
      </c>
      <c r="P626" s="152">
        <f t="shared" si="2"/>
        <v>4.8491722046747988E-2</v>
      </c>
      <c r="Q626" s="50">
        <v>18848378.370000001</v>
      </c>
      <c r="R626" s="257"/>
    </row>
    <row r="627" spans="1:18" hidden="1" x14ac:dyDescent="0.25">
      <c r="A627" s="49" t="s">
        <v>715</v>
      </c>
      <c r="B627" s="49" t="s">
        <v>77</v>
      </c>
      <c r="C627" s="49" t="s">
        <v>78</v>
      </c>
      <c r="D627" s="49" t="s">
        <v>69</v>
      </c>
      <c r="E627" s="50">
        <v>564855020</v>
      </c>
      <c r="F627" s="50">
        <v>553413468</v>
      </c>
      <c r="G627" s="50">
        <v>553413468</v>
      </c>
      <c r="H627" s="50">
        <v>0</v>
      </c>
      <c r="I627" s="50">
        <v>2250000</v>
      </c>
      <c r="J627" s="50">
        <v>0</v>
      </c>
      <c r="K627" s="50">
        <v>490313243.00999999</v>
      </c>
      <c r="L627" s="152">
        <f t="shared" si="0"/>
        <v>0.88597996138756785</v>
      </c>
      <c r="M627" s="50">
        <v>490313243.00999999</v>
      </c>
      <c r="N627" s="152">
        <f t="shared" si="1"/>
        <v>0.88597996138756785</v>
      </c>
      <c r="O627" s="50">
        <v>60850224.990000002</v>
      </c>
      <c r="P627" s="152">
        <f t="shared" si="2"/>
        <v>0.10995436235028527</v>
      </c>
      <c r="Q627" s="50">
        <v>60850224.990000002</v>
      </c>
      <c r="R627" s="257"/>
    </row>
    <row r="628" spans="1:18" hidden="1" x14ac:dyDescent="0.25">
      <c r="A628" s="49" t="s">
        <v>715</v>
      </c>
      <c r="B628" s="49" t="s">
        <v>79</v>
      </c>
      <c r="C628" s="49" t="s">
        <v>80</v>
      </c>
      <c r="D628" s="49" t="s">
        <v>69</v>
      </c>
      <c r="E628" s="50">
        <v>153608900</v>
      </c>
      <c r="F628" s="50">
        <v>153608900</v>
      </c>
      <c r="G628" s="50">
        <v>153608900</v>
      </c>
      <c r="H628" s="50">
        <v>0</v>
      </c>
      <c r="I628" s="50">
        <v>0</v>
      </c>
      <c r="J628" s="50">
        <v>0</v>
      </c>
      <c r="K628" s="50">
        <v>121628911.45999999</v>
      </c>
      <c r="L628" s="152">
        <f t="shared" si="0"/>
        <v>0.79180901275902627</v>
      </c>
      <c r="M628" s="50">
        <v>121628911.45999999</v>
      </c>
      <c r="N628" s="152">
        <f t="shared" si="1"/>
        <v>0.79180901275902627</v>
      </c>
      <c r="O628" s="50">
        <v>31979988.539999999</v>
      </c>
      <c r="P628" s="152">
        <f t="shared" si="2"/>
        <v>0.20819098724097365</v>
      </c>
      <c r="Q628" s="50">
        <v>31979988.539999999</v>
      </c>
      <c r="R628" s="257"/>
    </row>
    <row r="629" spans="1:18" hidden="1" x14ac:dyDescent="0.25">
      <c r="A629" s="49" t="s">
        <v>715</v>
      </c>
      <c r="B629" s="49" t="s">
        <v>81</v>
      </c>
      <c r="C629" s="49" t="s">
        <v>82</v>
      </c>
      <c r="D629" s="49" t="s">
        <v>69</v>
      </c>
      <c r="E629" s="50">
        <v>194052109</v>
      </c>
      <c r="F629" s="50">
        <v>188799681</v>
      </c>
      <c r="G629" s="50">
        <v>188799681</v>
      </c>
      <c r="H629" s="50">
        <v>0</v>
      </c>
      <c r="I629" s="50">
        <v>0</v>
      </c>
      <c r="J629" s="50">
        <v>0</v>
      </c>
      <c r="K629" s="50">
        <v>177351575.59999999</v>
      </c>
      <c r="L629" s="152">
        <f t="shared" si="0"/>
        <v>0.93936374606480399</v>
      </c>
      <c r="M629" s="50">
        <v>177351575.59999999</v>
      </c>
      <c r="N629" s="152">
        <f t="shared" si="1"/>
        <v>0.93936374606480399</v>
      </c>
      <c r="O629" s="50">
        <v>11448105.4</v>
      </c>
      <c r="P629" s="152">
        <f t="shared" si="2"/>
        <v>6.0636253935196005E-2</v>
      </c>
      <c r="Q629" s="50">
        <v>11448105.4</v>
      </c>
      <c r="R629" s="257"/>
    </row>
    <row r="630" spans="1:18" hidden="1" x14ac:dyDescent="0.25">
      <c r="A630" s="49" t="s">
        <v>715</v>
      </c>
      <c r="B630" s="49" t="s">
        <v>86</v>
      </c>
      <c r="C630" s="49" t="s">
        <v>87</v>
      </c>
      <c r="D630" s="49" t="s">
        <v>69</v>
      </c>
      <c r="E630" s="50">
        <v>68267000</v>
      </c>
      <c r="F630" s="50">
        <v>64767000</v>
      </c>
      <c r="G630" s="50">
        <v>64767000</v>
      </c>
      <c r="H630" s="50">
        <v>0</v>
      </c>
      <c r="I630" s="50">
        <v>2250000</v>
      </c>
      <c r="J630" s="50">
        <v>0</v>
      </c>
      <c r="K630" s="50">
        <v>61310698.509999998</v>
      </c>
      <c r="L630" s="152">
        <f t="shared" si="0"/>
        <v>0.94663483734000331</v>
      </c>
      <c r="M630" s="50">
        <v>61310698.509999998</v>
      </c>
      <c r="N630" s="152">
        <f t="shared" si="1"/>
        <v>0.94663483734000331</v>
      </c>
      <c r="O630" s="50">
        <v>1206301.49</v>
      </c>
      <c r="P630" s="152">
        <f t="shared" si="2"/>
        <v>1.8625248814982939E-2</v>
      </c>
      <c r="Q630" s="50">
        <v>1206301.49</v>
      </c>
      <c r="R630" s="257"/>
    </row>
    <row r="631" spans="1:18" hidden="1" x14ac:dyDescent="0.25">
      <c r="A631" s="49" t="s">
        <v>715</v>
      </c>
      <c r="B631" s="49" t="s">
        <v>88</v>
      </c>
      <c r="C631" s="49" t="s">
        <v>89</v>
      </c>
      <c r="D631" s="49" t="s">
        <v>69</v>
      </c>
      <c r="E631" s="50">
        <v>74668200</v>
      </c>
      <c r="F631" s="50">
        <v>73525878</v>
      </c>
      <c r="G631" s="50">
        <v>73525878</v>
      </c>
      <c r="H631" s="50">
        <v>0</v>
      </c>
      <c r="I631" s="50">
        <v>0</v>
      </c>
      <c r="J631" s="50">
        <v>0</v>
      </c>
      <c r="K631" s="50">
        <v>63164333.920000002</v>
      </c>
      <c r="L631" s="152">
        <f t="shared" si="0"/>
        <v>0.85907622782824844</v>
      </c>
      <c r="M631" s="50">
        <v>63164333.920000002</v>
      </c>
      <c r="N631" s="152">
        <f t="shared" si="1"/>
        <v>0.85907622782824844</v>
      </c>
      <c r="O631" s="50">
        <v>10361544.08</v>
      </c>
      <c r="P631" s="152">
        <f t="shared" si="2"/>
        <v>0.14092377217175156</v>
      </c>
      <c r="Q631" s="50">
        <v>10361544.08</v>
      </c>
      <c r="R631" s="257"/>
    </row>
    <row r="632" spans="1:18" hidden="1" x14ac:dyDescent="0.25">
      <c r="A632" s="49" t="s">
        <v>715</v>
      </c>
      <c r="B632" s="49" t="s">
        <v>83</v>
      </c>
      <c r="C632" s="49" t="s">
        <v>84</v>
      </c>
      <c r="D632" s="49" t="s">
        <v>85</v>
      </c>
      <c r="E632" s="50">
        <v>74258811</v>
      </c>
      <c r="F632" s="50">
        <v>72712009</v>
      </c>
      <c r="G632" s="50">
        <v>72712009</v>
      </c>
      <c r="H632" s="50">
        <v>0</v>
      </c>
      <c r="I632" s="50">
        <v>0</v>
      </c>
      <c r="J632" s="50">
        <v>0</v>
      </c>
      <c r="K632" s="50">
        <v>66857723.520000003</v>
      </c>
      <c r="L632" s="152">
        <f t="shared" si="0"/>
        <v>0.9194866768156551</v>
      </c>
      <c r="M632" s="50">
        <v>66857723.520000003</v>
      </c>
      <c r="N632" s="152">
        <f t="shared" si="1"/>
        <v>0.9194866768156551</v>
      </c>
      <c r="O632" s="50">
        <v>5854285.4800000004</v>
      </c>
      <c r="P632" s="152">
        <f t="shared" si="2"/>
        <v>8.0513323184344968E-2</v>
      </c>
      <c r="Q632" s="50">
        <v>5854285.4800000004</v>
      </c>
      <c r="R632" s="257"/>
    </row>
    <row r="633" spans="1:18" hidden="1" x14ac:dyDescent="0.25">
      <c r="A633" s="49" t="s">
        <v>715</v>
      </c>
      <c r="B633" s="49" t="s">
        <v>90</v>
      </c>
      <c r="C633" s="49" t="s">
        <v>91</v>
      </c>
      <c r="D633" s="49" t="s">
        <v>69</v>
      </c>
      <c r="E633" s="50">
        <v>86917540</v>
      </c>
      <c r="F633" s="50">
        <v>85107058</v>
      </c>
      <c r="G633" s="50">
        <v>85107058</v>
      </c>
      <c r="H633" s="50">
        <v>0</v>
      </c>
      <c r="I633" s="50">
        <v>0</v>
      </c>
      <c r="J633" s="50">
        <v>0</v>
      </c>
      <c r="K633" s="50">
        <v>71363522</v>
      </c>
      <c r="L633" s="152">
        <f t="shared" si="0"/>
        <v>0.83851473282039668</v>
      </c>
      <c r="M633" s="50">
        <v>71363522</v>
      </c>
      <c r="N633" s="152">
        <f t="shared" si="1"/>
        <v>0.83851473282039668</v>
      </c>
      <c r="O633" s="50">
        <v>13743536</v>
      </c>
      <c r="P633" s="152">
        <f t="shared" si="2"/>
        <v>0.16148526717960338</v>
      </c>
      <c r="Q633" s="50">
        <v>13743536</v>
      </c>
      <c r="R633" s="257"/>
    </row>
    <row r="634" spans="1:18" hidden="1" x14ac:dyDescent="0.25">
      <c r="A634" s="49" t="s">
        <v>715</v>
      </c>
      <c r="B634" s="49" t="s">
        <v>425</v>
      </c>
      <c r="C634" s="49" t="s">
        <v>697</v>
      </c>
      <c r="D634" s="49" t="s">
        <v>69</v>
      </c>
      <c r="E634" s="50">
        <v>82460320</v>
      </c>
      <c r="F634" s="50">
        <v>80742683</v>
      </c>
      <c r="G634" s="50">
        <v>80742683</v>
      </c>
      <c r="H634" s="50">
        <v>0</v>
      </c>
      <c r="I634" s="50">
        <v>0</v>
      </c>
      <c r="J634" s="50">
        <v>0</v>
      </c>
      <c r="K634" s="50">
        <v>67703852</v>
      </c>
      <c r="L634" s="152">
        <f t="shared" si="0"/>
        <v>0.83851377591700782</v>
      </c>
      <c r="M634" s="50">
        <v>67703852</v>
      </c>
      <c r="N634" s="152">
        <f t="shared" si="1"/>
        <v>0.83851377591700782</v>
      </c>
      <c r="O634" s="50">
        <v>13038831</v>
      </c>
      <c r="P634" s="152">
        <f t="shared" si="2"/>
        <v>0.16148622408299215</v>
      </c>
      <c r="Q634" s="50">
        <v>13038831</v>
      </c>
      <c r="R634" s="257"/>
    </row>
    <row r="635" spans="1:18" hidden="1" x14ac:dyDescent="0.25">
      <c r="A635" s="49" t="s">
        <v>715</v>
      </c>
      <c r="B635" s="49" t="s">
        <v>442</v>
      </c>
      <c r="C635" s="49" t="s">
        <v>95</v>
      </c>
      <c r="D635" s="49" t="s">
        <v>69</v>
      </c>
      <c r="E635" s="50">
        <v>4457220</v>
      </c>
      <c r="F635" s="50">
        <v>4364375</v>
      </c>
      <c r="G635" s="50">
        <v>4364375</v>
      </c>
      <c r="H635" s="50">
        <v>0</v>
      </c>
      <c r="I635" s="50">
        <v>0</v>
      </c>
      <c r="J635" s="50">
        <v>0</v>
      </c>
      <c r="K635" s="50">
        <v>3659670</v>
      </c>
      <c r="L635" s="152">
        <f t="shared" si="0"/>
        <v>0.83853243591579552</v>
      </c>
      <c r="M635" s="50">
        <v>3659670</v>
      </c>
      <c r="N635" s="152">
        <f t="shared" si="1"/>
        <v>0.83853243591579552</v>
      </c>
      <c r="O635" s="50">
        <v>704705</v>
      </c>
      <c r="P635" s="152">
        <f t="shared" si="2"/>
        <v>0.16146756408420448</v>
      </c>
      <c r="Q635" s="50">
        <v>704705</v>
      </c>
      <c r="R635" s="257"/>
    </row>
    <row r="636" spans="1:18" hidden="1" x14ac:dyDescent="0.25">
      <c r="A636" s="49" t="s">
        <v>715</v>
      </c>
      <c r="B636" s="49" t="s">
        <v>96</v>
      </c>
      <c r="C636" s="49" t="s">
        <v>97</v>
      </c>
      <c r="D636" s="49" t="s">
        <v>69</v>
      </c>
      <c r="E636" s="50">
        <v>86917440</v>
      </c>
      <c r="F636" s="50">
        <v>85106959</v>
      </c>
      <c r="G636" s="50">
        <v>85106959</v>
      </c>
      <c r="H636" s="50">
        <v>0</v>
      </c>
      <c r="I636" s="50">
        <v>0</v>
      </c>
      <c r="J636" s="50">
        <v>0</v>
      </c>
      <c r="K636" s="50">
        <v>71252817</v>
      </c>
      <c r="L636" s="152">
        <f t="shared" si="0"/>
        <v>0.83721493327002794</v>
      </c>
      <c r="M636" s="50">
        <v>71252817</v>
      </c>
      <c r="N636" s="152">
        <f t="shared" si="1"/>
        <v>0.83721493327002794</v>
      </c>
      <c r="O636" s="50">
        <v>13854142</v>
      </c>
      <c r="P636" s="152">
        <f t="shared" si="2"/>
        <v>0.16278506672997212</v>
      </c>
      <c r="Q636" s="50">
        <v>13854142</v>
      </c>
      <c r="R636" s="257"/>
    </row>
    <row r="637" spans="1:18" hidden="1" x14ac:dyDescent="0.25">
      <c r="A637" s="49" t="s">
        <v>715</v>
      </c>
      <c r="B637" s="49" t="s">
        <v>460</v>
      </c>
      <c r="C637" s="49" t="s">
        <v>698</v>
      </c>
      <c r="D637" s="49" t="s">
        <v>69</v>
      </c>
      <c r="E637" s="50">
        <v>46801760</v>
      </c>
      <c r="F637" s="50">
        <v>45826885</v>
      </c>
      <c r="G637" s="50">
        <v>45826885</v>
      </c>
      <c r="H637" s="50">
        <v>0</v>
      </c>
      <c r="I637" s="50">
        <v>0</v>
      </c>
      <c r="J637" s="50">
        <v>0</v>
      </c>
      <c r="K637" s="50">
        <v>38315807</v>
      </c>
      <c r="L637" s="152">
        <f t="shared" si="0"/>
        <v>0.83609887514719794</v>
      </c>
      <c r="M637" s="50">
        <v>38315807</v>
      </c>
      <c r="N637" s="152">
        <f t="shared" si="1"/>
        <v>0.83609887514719794</v>
      </c>
      <c r="O637" s="50">
        <v>7511078</v>
      </c>
      <c r="P637" s="152">
        <f t="shared" si="2"/>
        <v>0.163901124852802</v>
      </c>
      <c r="Q637" s="50">
        <v>7511078</v>
      </c>
      <c r="R637" s="257"/>
    </row>
    <row r="638" spans="1:18" hidden="1" x14ac:dyDescent="0.25">
      <c r="A638" s="49" t="s">
        <v>715</v>
      </c>
      <c r="B638" s="49" t="s">
        <v>477</v>
      </c>
      <c r="C638" s="49" t="s">
        <v>699</v>
      </c>
      <c r="D638" s="49" t="s">
        <v>69</v>
      </c>
      <c r="E638" s="50">
        <v>13371860</v>
      </c>
      <c r="F638" s="50">
        <v>15293325</v>
      </c>
      <c r="G638" s="50">
        <v>15293325</v>
      </c>
      <c r="H638" s="50">
        <v>0</v>
      </c>
      <c r="I638" s="50">
        <v>0</v>
      </c>
      <c r="J638" s="50">
        <v>0</v>
      </c>
      <c r="K638" s="50">
        <v>12841990</v>
      </c>
      <c r="L638" s="152">
        <f t="shared" si="0"/>
        <v>0.83971209661731505</v>
      </c>
      <c r="M638" s="50">
        <v>12841990</v>
      </c>
      <c r="N638" s="152">
        <f t="shared" si="1"/>
        <v>0.83971209661731505</v>
      </c>
      <c r="O638" s="50">
        <v>2451335</v>
      </c>
      <c r="P638" s="152">
        <f t="shared" si="2"/>
        <v>0.16028790338268492</v>
      </c>
      <c r="Q638" s="50">
        <v>2451335</v>
      </c>
      <c r="R638" s="257"/>
    </row>
    <row r="639" spans="1:18" hidden="1" x14ac:dyDescent="0.25">
      <c r="A639" s="49" t="s">
        <v>715</v>
      </c>
      <c r="B639" s="49" t="s">
        <v>494</v>
      </c>
      <c r="C639" s="49" t="s">
        <v>700</v>
      </c>
      <c r="D639" s="49" t="s">
        <v>69</v>
      </c>
      <c r="E639" s="50">
        <v>26743820</v>
      </c>
      <c r="F639" s="50">
        <v>23986749</v>
      </c>
      <c r="G639" s="50">
        <v>23986749</v>
      </c>
      <c r="H639" s="50">
        <v>0</v>
      </c>
      <c r="I639" s="50">
        <v>0</v>
      </c>
      <c r="J639" s="50">
        <v>0</v>
      </c>
      <c r="K639" s="50">
        <v>20095020</v>
      </c>
      <c r="L639" s="152">
        <f t="shared" si="0"/>
        <v>0.8377550455044992</v>
      </c>
      <c r="M639" s="50">
        <v>20095020</v>
      </c>
      <c r="N639" s="152">
        <f t="shared" si="1"/>
        <v>0.8377550455044992</v>
      </c>
      <c r="O639" s="50">
        <v>3891729</v>
      </c>
      <c r="P639" s="152">
        <f t="shared" si="2"/>
        <v>0.16224495449550083</v>
      </c>
      <c r="Q639" s="50">
        <v>3891729</v>
      </c>
      <c r="R639" s="257"/>
    </row>
    <row r="640" spans="1:18" hidden="1" x14ac:dyDescent="0.25">
      <c r="A640" s="49" t="s">
        <v>715</v>
      </c>
      <c r="B640" s="49" t="s">
        <v>104</v>
      </c>
      <c r="C640" s="49" t="s">
        <v>105</v>
      </c>
      <c r="D640" s="49" t="s">
        <v>69</v>
      </c>
      <c r="E640" s="50">
        <v>30265400</v>
      </c>
      <c r="F640" s="50">
        <v>22876215</v>
      </c>
      <c r="G640" s="50">
        <v>22876215</v>
      </c>
      <c r="H640" s="50">
        <v>0</v>
      </c>
      <c r="I640" s="50">
        <v>9306519.2699999996</v>
      </c>
      <c r="J640" s="50">
        <v>0</v>
      </c>
      <c r="K640" s="50">
        <v>13447366.59</v>
      </c>
      <c r="L640" s="152">
        <f t="shared" si="0"/>
        <v>0.58783179778647821</v>
      </c>
      <c r="M640" s="50">
        <v>12988616.73</v>
      </c>
      <c r="N640" s="152">
        <f t="shared" si="1"/>
        <v>0.56777822423858149</v>
      </c>
      <c r="O640" s="50">
        <v>122329.14</v>
      </c>
      <c r="P640" s="152">
        <f t="shared" si="2"/>
        <v>5.3474379393619095E-3</v>
      </c>
      <c r="Q640" s="50">
        <v>122329.14</v>
      </c>
      <c r="R640" s="257"/>
    </row>
    <row r="641" spans="1:18" hidden="1" x14ac:dyDescent="0.25">
      <c r="A641" s="49" t="s">
        <v>715</v>
      </c>
      <c r="B641" s="49" t="s">
        <v>112</v>
      </c>
      <c r="C641" s="49" t="s">
        <v>113</v>
      </c>
      <c r="D641" s="49" t="s">
        <v>69</v>
      </c>
      <c r="E641" s="50">
        <v>30265400</v>
      </c>
      <c r="F641" s="50">
        <v>22876215</v>
      </c>
      <c r="G641" s="50">
        <v>22876215</v>
      </c>
      <c r="H641" s="50">
        <v>0</v>
      </c>
      <c r="I641" s="50">
        <v>9306519.2699999996</v>
      </c>
      <c r="J641" s="50">
        <v>0</v>
      </c>
      <c r="K641" s="50">
        <v>13447366.59</v>
      </c>
      <c r="L641" s="152">
        <f t="shared" si="0"/>
        <v>0.58783179778647821</v>
      </c>
      <c r="M641" s="50">
        <v>12988616.73</v>
      </c>
      <c r="N641" s="152">
        <f t="shared" si="1"/>
        <v>0.56777822423858149</v>
      </c>
      <c r="O641" s="50">
        <v>122329.14</v>
      </c>
      <c r="P641" s="152">
        <f t="shared" si="2"/>
        <v>5.3474379393619095E-3</v>
      </c>
      <c r="Q641" s="50">
        <v>122329.14</v>
      </c>
      <c r="R641" s="257"/>
    </row>
    <row r="642" spans="1:18" hidden="1" x14ac:dyDescent="0.25">
      <c r="A642" s="49" t="s">
        <v>715</v>
      </c>
      <c r="B642" s="49" t="s">
        <v>114</v>
      </c>
      <c r="C642" s="49" t="s">
        <v>115</v>
      </c>
      <c r="D642" s="49" t="s">
        <v>69</v>
      </c>
      <c r="E642" s="50">
        <v>3196000</v>
      </c>
      <c r="F642" s="50">
        <v>3196000</v>
      </c>
      <c r="G642" s="50">
        <v>3196000</v>
      </c>
      <c r="H642" s="50">
        <v>0</v>
      </c>
      <c r="I642" s="50">
        <v>349536</v>
      </c>
      <c r="J642" s="50">
        <v>0</v>
      </c>
      <c r="K642" s="50">
        <v>2846464</v>
      </c>
      <c r="L642" s="152">
        <f t="shared" si="0"/>
        <v>0.8906332916145181</v>
      </c>
      <c r="M642" s="50">
        <v>2711439</v>
      </c>
      <c r="N642" s="152">
        <f t="shared" si="1"/>
        <v>0.84838516896120153</v>
      </c>
      <c r="O642" s="50">
        <v>0</v>
      </c>
      <c r="P642" s="152">
        <f t="shared" si="2"/>
        <v>0</v>
      </c>
      <c r="Q642" s="50">
        <v>0</v>
      </c>
      <c r="R642" s="257"/>
    </row>
    <row r="643" spans="1:18" hidden="1" x14ac:dyDescent="0.25">
      <c r="A643" s="49" t="s">
        <v>715</v>
      </c>
      <c r="B643" s="49" t="s">
        <v>116</v>
      </c>
      <c r="C643" s="49" t="s">
        <v>117</v>
      </c>
      <c r="D643" s="49" t="s">
        <v>69</v>
      </c>
      <c r="E643" s="50">
        <v>21749400</v>
      </c>
      <c r="F643" s="50">
        <v>14529276</v>
      </c>
      <c r="G643" s="50">
        <v>14529276</v>
      </c>
      <c r="H643" s="50">
        <v>0</v>
      </c>
      <c r="I643" s="50">
        <v>7131129.1500000004</v>
      </c>
      <c r="J643" s="50">
        <v>0</v>
      </c>
      <c r="K643" s="50">
        <v>7398146.71</v>
      </c>
      <c r="L643" s="152">
        <f t="shared" si="0"/>
        <v>0.5091889444456833</v>
      </c>
      <c r="M643" s="50">
        <v>7398146.71</v>
      </c>
      <c r="N643" s="152">
        <f t="shared" si="1"/>
        <v>0.5091889444456833</v>
      </c>
      <c r="O643" s="50">
        <v>0.14000000000000001</v>
      </c>
      <c r="P643" s="152">
        <f t="shared" si="2"/>
        <v>9.635717567757678E-9</v>
      </c>
      <c r="Q643" s="50">
        <v>0.14000000000000001</v>
      </c>
      <c r="R643" s="257"/>
    </row>
    <row r="644" spans="1:18" hidden="1" x14ac:dyDescent="0.25">
      <c r="A644" s="49" t="s">
        <v>715</v>
      </c>
      <c r="B644" s="49" t="s">
        <v>120</v>
      </c>
      <c r="C644" s="49" t="s">
        <v>121</v>
      </c>
      <c r="D644" s="49" t="s">
        <v>69</v>
      </c>
      <c r="E644" s="50">
        <v>4620000</v>
      </c>
      <c r="F644" s="50">
        <v>4620000</v>
      </c>
      <c r="G644" s="50">
        <v>4620000</v>
      </c>
      <c r="H644" s="50">
        <v>0</v>
      </c>
      <c r="I644" s="50">
        <v>1764487.52</v>
      </c>
      <c r="J644" s="50">
        <v>0</v>
      </c>
      <c r="K644" s="50">
        <v>2855512.48</v>
      </c>
      <c r="L644" s="152">
        <f t="shared" si="0"/>
        <v>0.61807629437229439</v>
      </c>
      <c r="M644" s="50">
        <v>2531787.62</v>
      </c>
      <c r="N644" s="152">
        <f t="shared" si="1"/>
        <v>0.54800597835497833</v>
      </c>
      <c r="O644" s="50">
        <v>0</v>
      </c>
      <c r="P644" s="152">
        <f t="shared" si="2"/>
        <v>0</v>
      </c>
      <c r="Q644" s="50">
        <v>0</v>
      </c>
      <c r="R644" s="257"/>
    </row>
    <row r="645" spans="1:18" hidden="1" x14ac:dyDescent="0.25">
      <c r="A645" s="49" t="s">
        <v>715</v>
      </c>
      <c r="B645" s="49" t="s">
        <v>122</v>
      </c>
      <c r="C645" s="49" t="s">
        <v>123</v>
      </c>
      <c r="D645" s="49" t="s">
        <v>69</v>
      </c>
      <c r="E645" s="50">
        <v>700000</v>
      </c>
      <c r="F645" s="50">
        <v>530939</v>
      </c>
      <c r="G645" s="50">
        <v>530939</v>
      </c>
      <c r="H645" s="50">
        <v>0</v>
      </c>
      <c r="I645" s="50">
        <v>61366.6</v>
      </c>
      <c r="J645" s="50">
        <v>0</v>
      </c>
      <c r="K645" s="50">
        <v>347243.4</v>
      </c>
      <c r="L645" s="152">
        <f t="shared" si="0"/>
        <v>0.65401750483577215</v>
      </c>
      <c r="M645" s="50">
        <v>347243.4</v>
      </c>
      <c r="N645" s="152">
        <f t="shared" si="1"/>
        <v>0.65401750483577215</v>
      </c>
      <c r="O645" s="50">
        <v>122329</v>
      </c>
      <c r="P645" s="152">
        <f t="shared" si="2"/>
        <v>0.23040123253330419</v>
      </c>
      <c r="Q645" s="50">
        <v>122329</v>
      </c>
      <c r="R645" s="257"/>
    </row>
    <row r="646" spans="1:18" hidden="1" x14ac:dyDescent="0.25">
      <c r="A646" s="49" t="s">
        <v>715</v>
      </c>
      <c r="B646" s="49" t="s">
        <v>140</v>
      </c>
      <c r="C646" s="49" t="s">
        <v>141</v>
      </c>
      <c r="D646" s="49" t="s">
        <v>69</v>
      </c>
      <c r="E646" s="50">
        <v>0</v>
      </c>
      <c r="F646" s="50">
        <v>0</v>
      </c>
      <c r="G646" s="50">
        <v>0</v>
      </c>
      <c r="H646" s="50">
        <v>0</v>
      </c>
      <c r="I646" s="50">
        <v>0</v>
      </c>
      <c r="J646" s="50">
        <v>0</v>
      </c>
      <c r="K646" s="50">
        <v>0</v>
      </c>
      <c r="L646" s="152" t="e">
        <f t="shared" si="0"/>
        <v>#DIV/0!</v>
      </c>
      <c r="M646" s="50">
        <v>0</v>
      </c>
      <c r="N646" s="152" t="e">
        <f t="shared" si="1"/>
        <v>#DIV/0!</v>
      </c>
      <c r="O646" s="50">
        <v>0</v>
      </c>
      <c r="P646" s="152" t="e">
        <f t="shared" si="2"/>
        <v>#DIV/0!</v>
      </c>
      <c r="Q646" s="50">
        <v>0</v>
      </c>
      <c r="R646" s="257"/>
    </row>
    <row r="647" spans="1:18" hidden="1" x14ac:dyDescent="0.25">
      <c r="A647" s="49" t="s">
        <v>715</v>
      </c>
      <c r="B647" s="49" t="s">
        <v>144</v>
      </c>
      <c r="C647" s="49" t="s">
        <v>145</v>
      </c>
      <c r="D647" s="49" t="s">
        <v>69</v>
      </c>
      <c r="E647" s="50">
        <v>0</v>
      </c>
      <c r="F647" s="50">
        <v>0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152" t="e">
        <f t="shared" si="0"/>
        <v>#DIV/0!</v>
      </c>
      <c r="M647" s="50">
        <v>0</v>
      </c>
      <c r="N647" s="152" t="e">
        <f t="shared" si="1"/>
        <v>#DIV/0!</v>
      </c>
      <c r="O647" s="50">
        <v>0</v>
      </c>
      <c r="P647" s="152" t="e">
        <f t="shared" si="2"/>
        <v>#DIV/0!</v>
      </c>
      <c r="Q647" s="50">
        <v>0</v>
      </c>
      <c r="R647" s="257"/>
    </row>
    <row r="648" spans="1:18" hidden="1" x14ac:dyDescent="0.25">
      <c r="A648" s="49" t="s">
        <v>715</v>
      </c>
      <c r="B648" s="49" t="s">
        <v>248</v>
      </c>
      <c r="C648" s="49" t="s">
        <v>249</v>
      </c>
      <c r="D648" s="49" t="s">
        <v>69</v>
      </c>
      <c r="E648" s="50">
        <v>18298122</v>
      </c>
      <c r="F648" s="50">
        <v>21489877</v>
      </c>
      <c r="G648" s="50">
        <v>21489877</v>
      </c>
      <c r="H648" s="50">
        <v>0</v>
      </c>
      <c r="I648" s="50">
        <v>0</v>
      </c>
      <c r="J648" s="50">
        <v>0</v>
      </c>
      <c r="K648" s="50">
        <v>16031888</v>
      </c>
      <c r="L648" s="152">
        <f t="shared" si="0"/>
        <v>0.74602046349544016</v>
      </c>
      <c r="M648" s="50">
        <v>16031888</v>
      </c>
      <c r="N648" s="152">
        <f t="shared" si="1"/>
        <v>0.74602046349544016</v>
      </c>
      <c r="O648" s="50">
        <v>5457989</v>
      </c>
      <c r="P648" s="152">
        <f t="shared" si="2"/>
        <v>0.25397953650455979</v>
      </c>
      <c r="Q648" s="50">
        <v>5457989</v>
      </c>
      <c r="R648" s="257"/>
    </row>
    <row r="649" spans="1:18" hidden="1" x14ac:dyDescent="0.25">
      <c r="A649" s="49" t="s">
        <v>715</v>
      </c>
      <c r="B649" s="49" t="s">
        <v>250</v>
      </c>
      <c r="C649" s="49" t="s">
        <v>251</v>
      </c>
      <c r="D649" s="49" t="s">
        <v>69</v>
      </c>
      <c r="E649" s="50">
        <v>14798122</v>
      </c>
      <c r="F649" s="50">
        <v>14489877</v>
      </c>
      <c r="G649" s="50">
        <v>14489877</v>
      </c>
      <c r="H649" s="50">
        <v>0</v>
      </c>
      <c r="I649" s="50">
        <v>0</v>
      </c>
      <c r="J649" s="50">
        <v>0</v>
      </c>
      <c r="K649" s="50">
        <v>12039394</v>
      </c>
      <c r="L649" s="152">
        <f t="shared" si="0"/>
        <v>0.83088310549496036</v>
      </c>
      <c r="M649" s="50">
        <v>12039394</v>
      </c>
      <c r="N649" s="152">
        <f t="shared" si="1"/>
        <v>0.83088310549496036</v>
      </c>
      <c r="O649" s="50">
        <v>2450483</v>
      </c>
      <c r="P649" s="152">
        <f t="shared" si="2"/>
        <v>0.16911689450503961</v>
      </c>
      <c r="Q649" s="50">
        <v>2450483</v>
      </c>
      <c r="R649" s="257"/>
    </row>
    <row r="650" spans="1:18" hidden="1" x14ac:dyDescent="0.25">
      <c r="A650" s="49" t="s">
        <v>715</v>
      </c>
      <c r="B650" s="49" t="s">
        <v>634</v>
      </c>
      <c r="C650" s="49" t="s">
        <v>702</v>
      </c>
      <c r="D650" s="49" t="s">
        <v>69</v>
      </c>
      <c r="E650" s="50">
        <v>12569562</v>
      </c>
      <c r="F650" s="50">
        <v>12307739</v>
      </c>
      <c r="G650" s="50">
        <v>12307739</v>
      </c>
      <c r="H650" s="50">
        <v>0</v>
      </c>
      <c r="I650" s="50">
        <v>0</v>
      </c>
      <c r="J650" s="50">
        <v>0</v>
      </c>
      <c r="K650" s="50">
        <v>10209562</v>
      </c>
      <c r="L650" s="152">
        <f t="shared" si="0"/>
        <v>0.82952376549421469</v>
      </c>
      <c r="M650" s="50">
        <v>10209562</v>
      </c>
      <c r="N650" s="152">
        <f t="shared" si="1"/>
        <v>0.82952376549421469</v>
      </c>
      <c r="O650" s="50">
        <v>2098177</v>
      </c>
      <c r="P650" s="152">
        <f t="shared" si="2"/>
        <v>0.17047623450578533</v>
      </c>
      <c r="Q650" s="50">
        <v>2098177</v>
      </c>
      <c r="R650" s="257"/>
    </row>
    <row r="651" spans="1:18" hidden="1" x14ac:dyDescent="0.25">
      <c r="A651" s="49" t="s">
        <v>715</v>
      </c>
      <c r="B651" s="49" t="s">
        <v>649</v>
      </c>
      <c r="C651" s="49" t="s">
        <v>703</v>
      </c>
      <c r="D651" s="49" t="s">
        <v>69</v>
      </c>
      <c r="E651" s="50">
        <v>2228560</v>
      </c>
      <c r="F651" s="50">
        <v>2182138</v>
      </c>
      <c r="G651" s="50">
        <v>2182138</v>
      </c>
      <c r="H651" s="50">
        <v>0</v>
      </c>
      <c r="I651" s="50">
        <v>0</v>
      </c>
      <c r="J651" s="50">
        <v>0</v>
      </c>
      <c r="K651" s="50">
        <v>1829832</v>
      </c>
      <c r="L651" s="152">
        <f t="shared" si="0"/>
        <v>0.83855008253373531</v>
      </c>
      <c r="M651" s="50">
        <v>1829832</v>
      </c>
      <c r="N651" s="152">
        <f t="shared" si="1"/>
        <v>0.83855008253373531</v>
      </c>
      <c r="O651" s="50">
        <v>352306</v>
      </c>
      <c r="P651" s="152">
        <f t="shared" si="2"/>
        <v>0.16144991746626475</v>
      </c>
      <c r="Q651" s="50">
        <v>352306</v>
      </c>
      <c r="R651" s="257"/>
    </row>
    <row r="652" spans="1:18" hidden="1" x14ac:dyDescent="0.25">
      <c r="A652" s="49" t="s">
        <v>715</v>
      </c>
      <c r="B652" s="49" t="s">
        <v>260</v>
      </c>
      <c r="C652" s="49" t="s">
        <v>261</v>
      </c>
      <c r="D652" s="49" t="s">
        <v>69</v>
      </c>
      <c r="E652" s="50">
        <v>3500000</v>
      </c>
      <c r="F652" s="50">
        <v>7000000</v>
      </c>
      <c r="G652" s="50">
        <v>7000000</v>
      </c>
      <c r="H652" s="50">
        <v>0</v>
      </c>
      <c r="I652" s="50">
        <v>0</v>
      </c>
      <c r="J652" s="50">
        <v>0</v>
      </c>
      <c r="K652" s="50">
        <v>3992494</v>
      </c>
      <c r="L652" s="152">
        <f t="shared" si="0"/>
        <v>0.57035628571428576</v>
      </c>
      <c r="M652" s="50">
        <v>3992494</v>
      </c>
      <c r="N652" s="152">
        <f t="shared" si="1"/>
        <v>0.57035628571428576</v>
      </c>
      <c r="O652" s="50">
        <v>3007506</v>
      </c>
      <c r="P652" s="152">
        <f t="shared" si="2"/>
        <v>0.4296437142857143</v>
      </c>
      <c r="Q652" s="50">
        <v>3007506</v>
      </c>
      <c r="R652" s="257"/>
    </row>
    <row r="653" spans="1:18" hidden="1" x14ac:dyDescent="0.25">
      <c r="A653" s="49" t="s">
        <v>715</v>
      </c>
      <c r="B653" s="49" t="s">
        <v>264</v>
      </c>
      <c r="C653" s="49" t="s">
        <v>265</v>
      </c>
      <c r="D653" s="49" t="s">
        <v>69</v>
      </c>
      <c r="E653" s="50">
        <v>3500000</v>
      </c>
      <c r="F653" s="50">
        <v>7000000</v>
      </c>
      <c r="G653" s="50">
        <v>7000000</v>
      </c>
      <c r="H653" s="50">
        <v>0</v>
      </c>
      <c r="I653" s="50">
        <v>0</v>
      </c>
      <c r="J653" s="50">
        <v>0</v>
      </c>
      <c r="K653" s="50">
        <v>3992494</v>
      </c>
      <c r="L653" s="152">
        <f t="shared" si="0"/>
        <v>0.57035628571428576</v>
      </c>
      <c r="M653" s="50">
        <v>3992494</v>
      </c>
      <c r="N653" s="152">
        <f t="shared" si="1"/>
        <v>0.57035628571428576</v>
      </c>
      <c r="O653" s="50">
        <v>3007506</v>
      </c>
      <c r="P653" s="152">
        <f t="shared" si="2"/>
        <v>0.4296437142857143</v>
      </c>
      <c r="Q653" s="50">
        <v>3007506</v>
      </c>
      <c r="R653" s="257"/>
    </row>
    <row r="654" spans="1:18" x14ac:dyDescent="0.25">
      <c r="A654" s="49">
        <v>214789006</v>
      </c>
      <c r="B654" s="49"/>
      <c r="C654" s="49"/>
      <c r="D654" s="49" t="s">
        <v>69</v>
      </c>
      <c r="E654" s="50">
        <v>7207746597</v>
      </c>
      <c r="F654" s="50">
        <v>6961566789</v>
      </c>
      <c r="G654" s="50">
        <v>6961566789</v>
      </c>
      <c r="H654" s="50">
        <v>0</v>
      </c>
      <c r="I654" s="50">
        <v>120450727.34999999</v>
      </c>
      <c r="J654" s="50">
        <v>0</v>
      </c>
      <c r="K654" s="50">
        <v>5996105558.6899996</v>
      </c>
      <c r="L654" s="152">
        <f t="shared" si="0"/>
        <v>0.86131552571821479</v>
      </c>
      <c r="M654" s="50">
        <v>5995783144.6999998</v>
      </c>
      <c r="N654" s="152">
        <f t="shared" si="1"/>
        <v>0.86126921229484732</v>
      </c>
      <c r="O654" s="50">
        <v>845010502.96000004</v>
      </c>
      <c r="P654" s="152">
        <f t="shared" si="2"/>
        <v>0.12138223026103902</v>
      </c>
      <c r="Q654" s="50">
        <v>845010502.96000004</v>
      </c>
      <c r="R654" s="257"/>
    </row>
    <row r="655" spans="1:18" hidden="1" x14ac:dyDescent="0.25">
      <c r="A655" s="49" t="s">
        <v>716</v>
      </c>
      <c r="B655" s="49" t="s">
        <v>71</v>
      </c>
      <c r="C655" s="49" t="s">
        <v>72</v>
      </c>
      <c r="D655" s="49" t="s">
        <v>69</v>
      </c>
      <c r="E655" s="50">
        <v>273249937</v>
      </c>
      <c r="F655" s="50">
        <v>271537368</v>
      </c>
      <c r="G655" s="50">
        <v>271537368</v>
      </c>
      <c r="H655" s="50">
        <v>0</v>
      </c>
      <c r="I655" s="50">
        <v>5500000</v>
      </c>
      <c r="J655" s="50">
        <v>0</v>
      </c>
      <c r="K655" s="50">
        <v>245542842.80000001</v>
      </c>
      <c r="L655" s="152">
        <f t="shared" si="0"/>
        <v>0.90426906841050336</v>
      </c>
      <c r="M655" s="50">
        <v>245542842.80000001</v>
      </c>
      <c r="N655" s="152">
        <f t="shared" si="1"/>
        <v>0.90426906841050336</v>
      </c>
      <c r="O655" s="50">
        <v>20494525.199999999</v>
      </c>
      <c r="P655" s="152">
        <f t="shared" si="2"/>
        <v>7.5475892511413012E-2</v>
      </c>
      <c r="Q655" s="50">
        <v>20494525.199999999</v>
      </c>
      <c r="R655" s="257"/>
    </row>
    <row r="656" spans="1:18" hidden="1" x14ac:dyDescent="0.25">
      <c r="A656" s="49" t="s">
        <v>716</v>
      </c>
      <c r="B656" s="49" t="s">
        <v>73</v>
      </c>
      <c r="C656" s="49" t="s">
        <v>74</v>
      </c>
      <c r="D656" s="49" t="s">
        <v>69</v>
      </c>
      <c r="E656" s="50">
        <v>97637632</v>
      </c>
      <c r="F656" s="50">
        <v>96661384</v>
      </c>
      <c r="G656" s="50">
        <v>96661384</v>
      </c>
      <c r="H656" s="50">
        <v>0</v>
      </c>
      <c r="I656" s="50">
        <v>0</v>
      </c>
      <c r="J656" s="50">
        <v>0</v>
      </c>
      <c r="K656" s="50">
        <v>92993367.390000001</v>
      </c>
      <c r="L656" s="152">
        <f t="shared" si="0"/>
        <v>0.96205292684408494</v>
      </c>
      <c r="M656" s="50">
        <v>92993367.390000001</v>
      </c>
      <c r="N656" s="152">
        <f t="shared" si="1"/>
        <v>0.96205292684408494</v>
      </c>
      <c r="O656" s="50">
        <v>3668016.61</v>
      </c>
      <c r="P656" s="152">
        <f t="shared" si="2"/>
        <v>3.7947073155915084E-2</v>
      </c>
      <c r="Q656" s="50">
        <v>3668016.61</v>
      </c>
      <c r="R656" s="257"/>
    </row>
    <row r="657" spans="1:18" hidden="1" x14ac:dyDescent="0.25">
      <c r="A657" s="49" t="s">
        <v>716</v>
      </c>
      <c r="B657" s="49" t="s">
        <v>75</v>
      </c>
      <c r="C657" s="49" t="s">
        <v>76</v>
      </c>
      <c r="D657" s="49" t="s">
        <v>69</v>
      </c>
      <c r="E657" s="50">
        <v>97637632</v>
      </c>
      <c r="F657" s="50">
        <v>96661384</v>
      </c>
      <c r="G657" s="50">
        <v>96661384</v>
      </c>
      <c r="H657" s="50">
        <v>0</v>
      </c>
      <c r="I657" s="50">
        <v>0</v>
      </c>
      <c r="J657" s="50">
        <v>0</v>
      </c>
      <c r="K657" s="50">
        <v>92993367.390000001</v>
      </c>
      <c r="L657" s="152">
        <f t="shared" si="0"/>
        <v>0.96205292684408494</v>
      </c>
      <c r="M657" s="50">
        <v>92993367.390000001</v>
      </c>
      <c r="N657" s="152">
        <f t="shared" si="1"/>
        <v>0.96205292684408494</v>
      </c>
      <c r="O657" s="50">
        <v>3668016.61</v>
      </c>
      <c r="P657" s="152">
        <f t="shared" si="2"/>
        <v>3.7947073155915084E-2</v>
      </c>
      <c r="Q657" s="50">
        <v>3668016.61</v>
      </c>
      <c r="R657" s="257"/>
    </row>
    <row r="658" spans="1:18" hidden="1" x14ac:dyDescent="0.25">
      <c r="A658" s="49" t="s">
        <v>716</v>
      </c>
      <c r="B658" s="49" t="s">
        <v>77</v>
      </c>
      <c r="C658" s="49" t="s">
        <v>78</v>
      </c>
      <c r="D658" s="49" t="s">
        <v>69</v>
      </c>
      <c r="E658" s="50">
        <v>133929275</v>
      </c>
      <c r="F658" s="50">
        <v>133454197</v>
      </c>
      <c r="G658" s="50">
        <v>133454197</v>
      </c>
      <c r="H658" s="50">
        <v>0</v>
      </c>
      <c r="I658" s="50">
        <v>5500000</v>
      </c>
      <c r="J658" s="50">
        <v>0</v>
      </c>
      <c r="K658" s="50">
        <v>116693374.41</v>
      </c>
      <c r="L658" s="152">
        <f t="shared" si="0"/>
        <v>0.87440767718980017</v>
      </c>
      <c r="M658" s="50">
        <v>116693374.41</v>
      </c>
      <c r="N658" s="152">
        <f t="shared" si="1"/>
        <v>0.87440767718980017</v>
      </c>
      <c r="O658" s="50">
        <v>11260822.59</v>
      </c>
      <c r="P658" s="152">
        <f t="shared" si="2"/>
        <v>8.4379681142587065E-2</v>
      </c>
      <c r="Q658" s="50">
        <v>11260822.59</v>
      </c>
      <c r="R658" s="257"/>
    </row>
    <row r="659" spans="1:18" hidden="1" x14ac:dyDescent="0.25">
      <c r="A659" s="49" t="s">
        <v>716</v>
      </c>
      <c r="B659" s="49" t="s">
        <v>79</v>
      </c>
      <c r="C659" s="49" t="s">
        <v>80</v>
      </c>
      <c r="D659" s="49" t="s">
        <v>69</v>
      </c>
      <c r="E659" s="50">
        <v>34862400</v>
      </c>
      <c r="F659" s="50">
        <v>34862400</v>
      </c>
      <c r="G659" s="50">
        <v>34862400</v>
      </c>
      <c r="H659" s="50">
        <v>0</v>
      </c>
      <c r="I659" s="50">
        <v>0</v>
      </c>
      <c r="J659" s="50">
        <v>0</v>
      </c>
      <c r="K659" s="50">
        <v>32919687.329999998</v>
      </c>
      <c r="L659" s="152">
        <f t="shared" si="0"/>
        <v>0.94427484424480235</v>
      </c>
      <c r="M659" s="50">
        <v>32919687.329999998</v>
      </c>
      <c r="N659" s="152">
        <f t="shared" si="1"/>
        <v>0.94427484424480235</v>
      </c>
      <c r="O659" s="50">
        <v>1942712.67</v>
      </c>
      <c r="P659" s="152">
        <f t="shared" si="2"/>
        <v>5.5725155755197577E-2</v>
      </c>
      <c r="Q659" s="50">
        <v>1942712.67</v>
      </c>
      <c r="R659" s="257"/>
    </row>
    <row r="660" spans="1:18" hidden="1" x14ac:dyDescent="0.25">
      <c r="A660" s="49" t="s">
        <v>716</v>
      </c>
      <c r="B660" s="49" t="s">
        <v>81</v>
      </c>
      <c r="C660" s="49" t="s">
        <v>82</v>
      </c>
      <c r="D660" s="49" t="s">
        <v>69</v>
      </c>
      <c r="E660" s="50">
        <v>32733979</v>
      </c>
      <c r="F660" s="50">
        <v>32370500</v>
      </c>
      <c r="G660" s="50">
        <v>32370500</v>
      </c>
      <c r="H660" s="50">
        <v>0</v>
      </c>
      <c r="I660" s="50">
        <v>0</v>
      </c>
      <c r="J660" s="50">
        <v>0</v>
      </c>
      <c r="K660" s="50">
        <v>27466172.539999999</v>
      </c>
      <c r="L660" s="152">
        <f t="shared" si="0"/>
        <v>0.8484939231707882</v>
      </c>
      <c r="M660" s="50">
        <v>27466172.539999999</v>
      </c>
      <c r="N660" s="152">
        <f t="shared" si="1"/>
        <v>0.8484939231707882</v>
      </c>
      <c r="O660" s="50">
        <v>4904327.46</v>
      </c>
      <c r="P660" s="152">
        <f t="shared" si="2"/>
        <v>0.15150607682921177</v>
      </c>
      <c r="Q660" s="50">
        <v>4904327.46</v>
      </c>
      <c r="R660" s="257"/>
    </row>
    <row r="661" spans="1:18" hidden="1" x14ac:dyDescent="0.25">
      <c r="A661" s="49" t="s">
        <v>716</v>
      </c>
      <c r="B661" s="49" t="s">
        <v>86</v>
      </c>
      <c r="C661" s="49" t="s">
        <v>87</v>
      </c>
      <c r="D661" s="49" t="s">
        <v>69</v>
      </c>
      <c r="E661" s="50">
        <v>16387600</v>
      </c>
      <c r="F661" s="50">
        <v>16387600</v>
      </c>
      <c r="G661" s="50">
        <v>16387600</v>
      </c>
      <c r="H661" s="50">
        <v>0</v>
      </c>
      <c r="I661" s="50">
        <v>5500000</v>
      </c>
      <c r="J661" s="50">
        <v>0</v>
      </c>
      <c r="K661" s="50">
        <v>9494365.5</v>
      </c>
      <c r="L661" s="152">
        <f t="shared" si="0"/>
        <v>0.57936278039493272</v>
      </c>
      <c r="M661" s="50">
        <v>9494365.5</v>
      </c>
      <c r="N661" s="152">
        <f t="shared" si="1"/>
        <v>0.57936278039493272</v>
      </c>
      <c r="O661" s="50">
        <v>1393234.5</v>
      </c>
      <c r="P661" s="152">
        <f t="shared" si="2"/>
        <v>8.5017604774341574E-2</v>
      </c>
      <c r="Q661" s="50">
        <v>1393234.5</v>
      </c>
      <c r="R661" s="257"/>
    </row>
    <row r="662" spans="1:18" hidden="1" x14ac:dyDescent="0.25">
      <c r="A662" s="49" t="s">
        <v>716</v>
      </c>
      <c r="B662" s="49" t="s">
        <v>88</v>
      </c>
      <c r="C662" s="49" t="s">
        <v>89</v>
      </c>
      <c r="D662" s="49" t="s">
        <v>69</v>
      </c>
      <c r="E662" s="50">
        <v>32139100</v>
      </c>
      <c r="F662" s="50">
        <v>32139100</v>
      </c>
      <c r="G662" s="50">
        <v>32139100</v>
      </c>
      <c r="H662" s="50">
        <v>0</v>
      </c>
      <c r="I662" s="50">
        <v>0</v>
      </c>
      <c r="J662" s="50">
        <v>0</v>
      </c>
      <c r="K662" s="50">
        <v>30596323.239999998</v>
      </c>
      <c r="L662" s="152">
        <f t="shared" si="0"/>
        <v>0.95199688976978192</v>
      </c>
      <c r="M662" s="50">
        <v>30596323.239999998</v>
      </c>
      <c r="N662" s="152">
        <f t="shared" si="1"/>
        <v>0.95199688976978192</v>
      </c>
      <c r="O662" s="50">
        <v>1542776.76</v>
      </c>
      <c r="P662" s="152">
        <f t="shared" si="2"/>
        <v>4.800311023021802E-2</v>
      </c>
      <c r="Q662" s="50">
        <v>1542776.76</v>
      </c>
      <c r="R662" s="257"/>
    </row>
    <row r="663" spans="1:18" hidden="1" x14ac:dyDescent="0.25">
      <c r="A663" s="49" t="s">
        <v>716</v>
      </c>
      <c r="B663" s="49" t="s">
        <v>83</v>
      </c>
      <c r="C663" s="49" t="s">
        <v>84</v>
      </c>
      <c r="D663" s="49" t="s">
        <v>85</v>
      </c>
      <c r="E663" s="50">
        <v>17806196</v>
      </c>
      <c r="F663" s="50">
        <v>17694597</v>
      </c>
      <c r="G663" s="50">
        <v>17694597</v>
      </c>
      <c r="H663" s="50">
        <v>0</v>
      </c>
      <c r="I663" s="50">
        <v>0</v>
      </c>
      <c r="J663" s="50">
        <v>0</v>
      </c>
      <c r="K663" s="50">
        <v>16216825.800000001</v>
      </c>
      <c r="L663" s="152">
        <f t="shared" si="0"/>
        <v>0.91648460826771028</v>
      </c>
      <c r="M663" s="50">
        <v>16216825.800000001</v>
      </c>
      <c r="N663" s="152">
        <f t="shared" si="1"/>
        <v>0.91648460826771028</v>
      </c>
      <c r="O663" s="50">
        <v>1477771.2</v>
      </c>
      <c r="P663" s="152">
        <f t="shared" si="2"/>
        <v>8.3515391732289807E-2</v>
      </c>
      <c r="Q663" s="50">
        <v>1477771.2</v>
      </c>
      <c r="R663" s="257"/>
    </row>
    <row r="664" spans="1:18" hidden="1" x14ac:dyDescent="0.25">
      <c r="A664" s="49" t="s">
        <v>716</v>
      </c>
      <c r="B664" s="49" t="s">
        <v>90</v>
      </c>
      <c r="C664" s="49" t="s">
        <v>91</v>
      </c>
      <c r="D664" s="49" t="s">
        <v>69</v>
      </c>
      <c r="E664" s="50">
        <v>20841515</v>
      </c>
      <c r="F664" s="50">
        <v>20710893</v>
      </c>
      <c r="G664" s="50">
        <v>20710893</v>
      </c>
      <c r="H664" s="50">
        <v>0</v>
      </c>
      <c r="I664" s="50">
        <v>0</v>
      </c>
      <c r="J664" s="50">
        <v>0</v>
      </c>
      <c r="K664" s="50">
        <v>17941463</v>
      </c>
      <c r="L664" s="152">
        <f t="shared" si="0"/>
        <v>0.86628147806084455</v>
      </c>
      <c r="M664" s="50">
        <v>17941463</v>
      </c>
      <c r="N664" s="152">
        <f t="shared" si="1"/>
        <v>0.86628147806084455</v>
      </c>
      <c r="O664" s="50">
        <v>2769430</v>
      </c>
      <c r="P664" s="152">
        <f t="shared" si="2"/>
        <v>0.1337185219391554</v>
      </c>
      <c r="Q664" s="50">
        <v>2769430</v>
      </c>
      <c r="R664" s="257"/>
    </row>
    <row r="665" spans="1:18" hidden="1" x14ac:dyDescent="0.25">
      <c r="A665" s="49" t="s">
        <v>716</v>
      </c>
      <c r="B665" s="49" t="s">
        <v>426</v>
      </c>
      <c r="C665" s="49" t="s">
        <v>697</v>
      </c>
      <c r="D665" s="49" t="s">
        <v>69</v>
      </c>
      <c r="E665" s="50">
        <v>19772804</v>
      </c>
      <c r="F665" s="50">
        <v>19648880</v>
      </c>
      <c r="G665" s="50">
        <v>19648880</v>
      </c>
      <c r="H665" s="50">
        <v>0</v>
      </c>
      <c r="I665" s="50">
        <v>0</v>
      </c>
      <c r="J665" s="50">
        <v>0</v>
      </c>
      <c r="K665" s="50">
        <v>17021389</v>
      </c>
      <c r="L665" s="152">
        <f t="shared" si="0"/>
        <v>0.86627782346881854</v>
      </c>
      <c r="M665" s="50">
        <v>17021389</v>
      </c>
      <c r="N665" s="152">
        <f t="shared" si="1"/>
        <v>0.86627782346881854</v>
      </c>
      <c r="O665" s="50">
        <v>2627491</v>
      </c>
      <c r="P665" s="152">
        <f t="shared" si="2"/>
        <v>0.13372217653118143</v>
      </c>
      <c r="Q665" s="50">
        <v>2627491</v>
      </c>
      <c r="R665" s="257"/>
    </row>
    <row r="666" spans="1:18" hidden="1" x14ac:dyDescent="0.25">
      <c r="A666" s="49" t="s">
        <v>716</v>
      </c>
      <c r="B666" s="49" t="s">
        <v>443</v>
      </c>
      <c r="C666" s="49" t="s">
        <v>95</v>
      </c>
      <c r="D666" s="49" t="s">
        <v>69</v>
      </c>
      <c r="E666" s="50">
        <v>1068711</v>
      </c>
      <c r="F666" s="50">
        <v>1062013</v>
      </c>
      <c r="G666" s="50">
        <v>1062013</v>
      </c>
      <c r="H666" s="50">
        <v>0</v>
      </c>
      <c r="I666" s="50">
        <v>0</v>
      </c>
      <c r="J666" s="50">
        <v>0</v>
      </c>
      <c r="K666" s="50">
        <v>920074</v>
      </c>
      <c r="L666" s="152">
        <f t="shared" si="0"/>
        <v>0.86634909365516244</v>
      </c>
      <c r="M666" s="50">
        <v>920074</v>
      </c>
      <c r="N666" s="152">
        <f t="shared" si="1"/>
        <v>0.86634909365516244</v>
      </c>
      <c r="O666" s="50">
        <v>141939</v>
      </c>
      <c r="P666" s="152">
        <f t="shared" si="2"/>
        <v>0.13365090634483759</v>
      </c>
      <c r="Q666" s="50">
        <v>141939</v>
      </c>
      <c r="R666" s="257"/>
    </row>
    <row r="667" spans="1:18" hidden="1" x14ac:dyDescent="0.25">
      <c r="A667" s="49" t="s">
        <v>716</v>
      </c>
      <c r="B667" s="49" t="s">
        <v>96</v>
      </c>
      <c r="C667" s="49" t="s">
        <v>97</v>
      </c>
      <c r="D667" s="49" t="s">
        <v>69</v>
      </c>
      <c r="E667" s="50">
        <v>20841515</v>
      </c>
      <c r="F667" s="50">
        <v>20710894</v>
      </c>
      <c r="G667" s="50">
        <v>20710894</v>
      </c>
      <c r="H667" s="50">
        <v>0</v>
      </c>
      <c r="I667" s="50">
        <v>0</v>
      </c>
      <c r="J667" s="50">
        <v>0</v>
      </c>
      <c r="K667" s="50">
        <v>17914638</v>
      </c>
      <c r="L667" s="152">
        <f t="shared" si="0"/>
        <v>0.86498622415816528</v>
      </c>
      <c r="M667" s="50">
        <v>17914638</v>
      </c>
      <c r="N667" s="152">
        <f t="shared" si="1"/>
        <v>0.86498622415816528</v>
      </c>
      <c r="O667" s="50">
        <v>2796256</v>
      </c>
      <c r="P667" s="152">
        <f t="shared" si="2"/>
        <v>0.13501377584183474</v>
      </c>
      <c r="Q667" s="50">
        <v>2796256</v>
      </c>
      <c r="R667" s="257"/>
    </row>
    <row r="668" spans="1:18" hidden="1" x14ac:dyDescent="0.25">
      <c r="A668" s="49" t="s">
        <v>716</v>
      </c>
      <c r="B668" s="49" t="s">
        <v>461</v>
      </c>
      <c r="C668" s="49" t="s">
        <v>698</v>
      </c>
      <c r="D668" s="49" t="s">
        <v>69</v>
      </c>
      <c r="E668" s="50">
        <v>11222416</v>
      </c>
      <c r="F668" s="50">
        <v>11152081</v>
      </c>
      <c r="G668" s="50">
        <v>11152081</v>
      </c>
      <c r="H668" s="50">
        <v>0</v>
      </c>
      <c r="I668" s="50">
        <v>0</v>
      </c>
      <c r="J668" s="50">
        <v>0</v>
      </c>
      <c r="K668" s="50">
        <v>9633963</v>
      </c>
      <c r="L668" s="152">
        <f t="shared" si="0"/>
        <v>0.86387132589872684</v>
      </c>
      <c r="M668" s="50">
        <v>9633963</v>
      </c>
      <c r="N668" s="152">
        <f t="shared" si="1"/>
        <v>0.86387132589872684</v>
      </c>
      <c r="O668" s="50">
        <v>1518118</v>
      </c>
      <c r="P668" s="152">
        <f t="shared" si="2"/>
        <v>0.13612867410127311</v>
      </c>
      <c r="Q668" s="50">
        <v>1518118</v>
      </c>
      <c r="R668" s="257"/>
    </row>
    <row r="669" spans="1:18" hidden="1" x14ac:dyDescent="0.25">
      <c r="A669" s="49" t="s">
        <v>716</v>
      </c>
      <c r="B669" s="49" t="s">
        <v>478</v>
      </c>
      <c r="C669" s="49" t="s">
        <v>699</v>
      </c>
      <c r="D669" s="49" t="s">
        <v>69</v>
      </c>
      <c r="E669" s="50">
        <v>3206333</v>
      </c>
      <c r="F669" s="50">
        <v>3786238</v>
      </c>
      <c r="G669" s="50">
        <v>3786238</v>
      </c>
      <c r="H669" s="50">
        <v>0</v>
      </c>
      <c r="I669" s="50">
        <v>0</v>
      </c>
      <c r="J669" s="50">
        <v>0</v>
      </c>
      <c r="K669" s="50">
        <v>3221715</v>
      </c>
      <c r="L669" s="152">
        <f t="shared" si="0"/>
        <v>0.85090134323304556</v>
      </c>
      <c r="M669" s="50">
        <v>3221715</v>
      </c>
      <c r="N669" s="152">
        <f t="shared" si="1"/>
        <v>0.85090134323304556</v>
      </c>
      <c r="O669" s="50">
        <v>564523</v>
      </c>
      <c r="P669" s="152">
        <f t="shared" si="2"/>
        <v>0.14909865676695444</v>
      </c>
      <c r="Q669" s="50">
        <v>564523</v>
      </c>
      <c r="R669" s="257"/>
    </row>
    <row r="670" spans="1:18" hidden="1" x14ac:dyDescent="0.25">
      <c r="A670" s="49" t="s">
        <v>716</v>
      </c>
      <c r="B670" s="49" t="s">
        <v>495</v>
      </c>
      <c r="C670" s="49" t="s">
        <v>700</v>
      </c>
      <c r="D670" s="49" t="s">
        <v>69</v>
      </c>
      <c r="E670" s="50">
        <v>6412766</v>
      </c>
      <c r="F670" s="50">
        <v>5772575</v>
      </c>
      <c r="G670" s="50">
        <v>5772575</v>
      </c>
      <c r="H670" s="50">
        <v>0</v>
      </c>
      <c r="I670" s="50">
        <v>0</v>
      </c>
      <c r="J670" s="50">
        <v>0</v>
      </c>
      <c r="K670" s="50">
        <v>5058960</v>
      </c>
      <c r="L670" s="152">
        <f t="shared" si="0"/>
        <v>0.87637839265838902</v>
      </c>
      <c r="M670" s="50">
        <v>5058960</v>
      </c>
      <c r="N670" s="152">
        <f t="shared" si="1"/>
        <v>0.87637839265838902</v>
      </c>
      <c r="O670" s="50">
        <v>713615</v>
      </c>
      <c r="P670" s="152">
        <f t="shared" si="2"/>
        <v>0.12362160734161098</v>
      </c>
      <c r="Q670" s="50">
        <v>713615</v>
      </c>
      <c r="R670" s="257"/>
    </row>
    <row r="671" spans="1:18" hidden="1" x14ac:dyDescent="0.25">
      <c r="A671" s="49" t="s">
        <v>716</v>
      </c>
      <c r="B671" s="49" t="s">
        <v>104</v>
      </c>
      <c r="C671" s="49" t="s">
        <v>105</v>
      </c>
      <c r="D671" s="49" t="s">
        <v>69</v>
      </c>
      <c r="E671" s="50">
        <v>6929448400</v>
      </c>
      <c r="F671" s="50">
        <v>6685003400</v>
      </c>
      <c r="G671" s="50">
        <v>6685003400</v>
      </c>
      <c r="H671" s="50">
        <v>0</v>
      </c>
      <c r="I671" s="50">
        <v>114950727.34999999</v>
      </c>
      <c r="J671" s="50">
        <v>0</v>
      </c>
      <c r="K671" s="50">
        <v>5747215581.8900003</v>
      </c>
      <c r="L671" s="152">
        <f t="shared" si="0"/>
        <v>0.85971767522062892</v>
      </c>
      <c r="M671" s="50">
        <v>5746893167.8999996</v>
      </c>
      <c r="N671" s="152">
        <f t="shared" si="1"/>
        <v>0.85966944577769389</v>
      </c>
      <c r="O671" s="50">
        <v>822837090.75999999</v>
      </c>
      <c r="P671" s="152">
        <f t="shared" si="2"/>
        <v>0.12308701155784005</v>
      </c>
      <c r="Q671" s="50">
        <v>822837090.75999999</v>
      </c>
      <c r="R671" s="257"/>
    </row>
    <row r="672" spans="1:18" hidden="1" x14ac:dyDescent="0.25">
      <c r="A672" s="49" t="s">
        <v>716</v>
      </c>
      <c r="B672" s="49" t="s">
        <v>106</v>
      </c>
      <c r="C672" s="49" t="s">
        <v>107</v>
      </c>
      <c r="D672" s="49" t="s">
        <v>69</v>
      </c>
      <c r="E672" s="50">
        <v>6927908871</v>
      </c>
      <c r="F672" s="50">
        <v>6677908871</v>
      </c>
      <c r="G672" s="50">
        <v>6677908871</v>
      </c>
      <c r="H672" s="50">
        <v>0</v>
      </c>
      <c r="I672" s="50">
        <v>114368658.8</v>
      </c>
      <c r="J672" s="50">
        <v>0</v>
      </c>
      <c r="K672" s="50">
        <v>5743382639.1700001</v>
      </c>
      <c r="L672" s="152">
        <f t="shared" si="0"/>
        <v>0.86005705530239485</v>
      </c>
      <c r="M672" s="50">
        <v>5743382639.1700001</v>
      </c>
      <c r="N672" s="152">
        <f t="shared" si="1"/>
        <v>0.86005705530239485</v>
      </c>
      <c r="O672" s="50">
        <v>820157573.02999997</v>
      </c>
      <c r="P672" s="152">
        <f t="shared" si="2"/>
        <v>0.12281652668123089</v>
      </c>
      <c r="Q672" s="50">
        <v>820157573.02999997</v>
      </c>
      <c r="R672" s="257"/>
    </row>
    <row r="673" spans="1:18" hidden="1" x14ac:dyDescent="0.25">
      <c r="A673" s="49" t="s">
        <v>716</v>
      </c>
      <c r="B673" s="49" t="s">
        <v>110</v>
      </c>
      <c r="C673" s="49" t="s">
        <v>111</v>
      </c>
      <c r="D673" s="49" t="s">
        <v>69</v>
      </c>
      <c r="E673" s="50">
        <v>6927908871</v>
      </c>
      <c r="F673" s="50">
        <v>6677908871</v>
      </c>
      <c r="G673" s="50">
        <v>6677908871</v>
      </c>
      <c r="H673" s="50">
        <v>0</v>
      </c>
      <c r="I673" s="50">
        <v>114368658.8</v>
      </c>
      <c r="J673" s="50">
        <v>0</v>
      </c>
      <c r="K673" s="50">
        <v>5743382639.1700001</v>
      </c>
      <c r="L673" s="152">
        <f t="shared" si="0"/>
        <v>0.86005705530239485</v>
      </c>
      <c r="M673" s="50">
        <v>5743382639.1700001</v>
      </c>
      <c r="N673" s="152">
        <f t="shared" si="1"/>
        <v>0.86005705530239485</v>
      </c>
      <c r="O673" s="50">
        <v>820157573.02999997</v>
      </c>
      <c r="P673" s="152">
        <f t="shared" si="2"/>
        <v>0.12281652668123089</v>
      </c>
      <c r="Q673" s="50">
        <v>820157573.02999997</v>
      </c>
      <c r="R673" s="257"/>
    </row>
    <row r="674" spans="1:18" hidden="1" x14ac:dyDescent="0.25">
      <c r="A674" s="49" t="s">
        <v>716</v>
      </c>
      <c r="B674" s="49" t="s">
        <v>112</v>
      </c>
      <c r="C674" s="49" t="s">
        <v>113</v>
      </c>
      <c r="D674" s="49" t="s">
        <v>69</v>
      </c>
      <c r="E674" s="50">
        <v>1539529</v>
      </c>
      <c r="F674" s="50">
        <v>1539529</v>
      </c>
      <c r="G674" s="50">
        <v>1539529</v>
      </c>
      <c r="H674" s="50">
        <v>0</v>
      </c>
      <c r="I674" s="50">
        <v>582068.55000000005</v>
      </c>
      <c r="J674" s="50">
        <v>0</v>
      </c>
      <c r="K674" s="50">
        <v>957460.45</v>
      </c>
      <c r="L674" s="152">
        <f t="shared" si="0"/>
        <v>0.62191777485191901</v>
      </c>
      <c r="M674" s="50">
        <v>635046.46</v>
      </c>
      <c r="N674" s="152">
        <f t="shared" si="1"/>
        <v>0.41249399004500725</v>
      </c>
      <c r="O674" s="50">
        <v>0</v>
      </c>
      <c r="P674" s="152">
        <f t="shared" si="2"/>
        <v>0</v>
      </c>
      <c r="Q674" s="50">
        <v>0</v>
      </c>
      <c r="R674" s="257"/>
    </row>
    <row r="675" spans="1:18" hidden="1" x14ac:dyDescent="0.25">
      <c r="A675" s="49" t="s">
        <v>716</v>
      </c>
      <c r="B675" s="49" t="s">
        <v>120</v>
      </c>
      <c r="C675" s="49" t="s">
        <v>121</v>
      </c>
      <c r="D675" s="49" t="s">
        <v>69</v>
      </c>
      <c r="E675" s="50">
        <v>1539529</v>
      </c>
      <c r="F675" s="50">
        <v>1539529</v>
      </c>
      <c r="G675" s="50">
        <v>1539529</v>
      </c>
      <c r="H675" s="50">
        <v>0</v>
      </c>
      <c r="I675" s="50">
        <v>582068.55000000005</v>
      </c>
      <c r="J675" s="50">
        <v>0</v>
      </c>
      <c r="K675" s="50">
        <v>957460.45</v>
      </c>
      <c r="L675" s="152">
        <f t="shared" si="0"/>
        <v>0.62191777485191901</v>
      </c>
      <c r="M675" s="50">
        <v>635046.46</v>
      </c>
      <c r="N675" s="152">
        <f t="shared" si="1"/>
        <v>0.41249399004500725</v>
      </c>
      <c r="O675" s="50">
        <v>0</v>
      </c>
      <c r="P675" s="152">
        <f t="shared" si="2"/>
        <v>0</v>
      </c>
      <c r="Q675" s="50">
        <v>0</v>
      </c>
      <c r="R675" s="257"/>
    </row>
    <row r="676" spans="1:18" hidden="1" x14ac:dyDescent="0.25">
      <c r="A676" s="49" t="s">
        <v>716</v>
      </c>
      <c r="B676" s="49" t="s">
        <v>140</v>
      </c>
      <c r="C676" s="49" t="s">
        <v>141</v>
      </c>
      <c r="D676" s="49" t="s">
        <v>69</v>
      </c>
      <c r="E676" s="50">
        <v>0</v>
      </c>
      <c r="F676" s="50">
        <v>0</v>
      </c>
      <c r="G676" s="50">
        <v>0</v>
      </c>
      <c r="H676" s="50">
        <v>0</v>
      </c>
      <c r="I676" s="50">
        <v>0</v>
      </c>
      <c r="J676" s="50">
        <v>0</v>
      </c>
      <c r="K676" s="50">
        <v>0</v>
      </c>
      <c r="L676" s="152" t="e">
        <f t="shared" si="0"/>
        <v>#DIV/0!</v>
      </c>
      <c r="M676" s="50">
        <v>0</v>
      </c>
      <c r="N676" s="152" t="e">
        <f t="shared" si="1"/>
        <v>#DIV/0!</v>
      </c>
      <c r="O676" s="50">
        <v>0</v>
      </c>
      <c r="P676" s="152" t="e">
        <f t="shared" si="2"/>
        <v>#DIV/0!</v>
      </c>
      <c r="Q676" s="50">
        <v>0</v>
      </c>
      <c r="R676" s="257"/>
    </row>
    <row r="677" spans="1:18" hidden="1" x14ac:dyDescent="0.25">
      <c r="A677" s="49" t="s">
        <v>716</v>
      </c>
      <c r="B677" s="49" t="s">
        <v>144</v>
      </c>
      <c r="C677" s="49" t="s">
        <v>145</v>
      </c>
      <c r="D677" s="49" t="s">
        <v>69</v>
      </c>
      <c r="E677" s="50">
        <v>0</v>
      </c>
      <c r="F677" s="50">
        <v>0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152" t="e">
        <f t="shared" si="0"/>
        <v>#DIV/0!</v>
      </c>
      <c r="M677" s="50">
        <v>0</v>
      </c>
      <c r="N677" s="152" t="e">
        <f t="shared" si="1"/>
        <v>#DIV/0!</v>
      </c>
      <c r="O677" s="50">
        <v>0</v>
      </c>
      <c r="P677" s="152" t="e">
        <f t="shared" si="2"/>
        <v>#DIV/0!</v>
      </c>
      <c r="Q677" s="50">
        <v>0</v>
      </c>
      <c r="R677" s="257"/>
    </row>
    <row r="678" spans="1:18" hidden="1" x14ac:dyDescent="0.25">
      <c r="A678" s="49" t="s">
        <v>716</v>
      </c>
      <c r="B678" s="49" t="s">
        <v>178</v>
      </c>
      <c r="C678" s="49" t="s">
        <v>179</v>
      </c>
      <c r="D678" s="49" t="s">
        <v>69</v>
      </c>
      <c r="E678" s="50">
        <v>0</v>
      </c>
      <c r="F678" s="50">
        <v>5555000</v>
      </c>
      <c r="G678" s="50">
        <v>5555000</v>
      </c>
      <c r="H678" s="50">
        <v>0</v>
      </c>
      <c r="I678" s="50">
        <v>0</v>
      </c>
      <c r="J678" s="50">
        <v>0</v>
      </c>
      <c r="K678" s="50">
        <v>2875482.27</v>
      </c>
      <c r="L678" s="152">
        <f t="shared" si="0"/>
        <v>0.51763857245724576</v>
      </c>
      <c r="M678" s="50">
        <v>2875482.27</v>
      </c>
      <c r="N678" s="152">
        <f t="shared" si="1"/>
        <v>0.51763857245724576</v>
      </c>
      <c r="O678" s="50">
        <v>2679517.73</v>
      </c>
      <c r="P678" s="152">
        <f t="shared" si="2"/>
        <v>0.4823614275427543</v>
      </c>
      <c r="Q678" s="50">
        <v>2679517.73</v>
      </c>
      <c r="R678" s="257"/>
    </row>
    <row r="679" spans="1:18" hidden="1" x14ac:dyDescent="0.25">
      <c r="A679" s="49" t="s">
        <v>716</v>
      </c>
      <c r="B679" s="49" t="s">
        <v>180</v>
      </c>
      <c r="C679" s="49" t="s">
        <v>181</v>
      </c>
      <c r="D679" s="49" t="s">
        <v>69</v>
      </c>
      <c r="E679" s="50">
        <v>0</v>
      </c>
      <c r="F679" s="50">
        <v>5555000</v>
      </c>
      <c r="G679" s="50">
        <v>5555000</v>
      </c>
      <c r="H679" s="50">
        <v>0</v>
      </c>
      <c r="I679" s="50">
        <v>0</v>
      </c>
      <c r="J679" s="50">
        <v>0</v>
      </c>
      <c r="K679" s="50">
        <v>2875482.27</v>
      </c>
      <c r="L679" s="152">
        <f t="shared" si="0"/>
        <v>0.51763857245724576</v>
      </c>
      <c r="M679" s="50">
        <v>2875482.27</v>
      </c>
      <c r="N679" s="152">
        <f t="shared" si="1"/>
        <v>0.51763857245724576</v>
      </c>
      <c r="O679" s="50">
        <v>2679517.73</v>
      </c>
      <c r="P679" s="152">
        <f t="shared" si="2"/>
        <v>0.4823614275427543</v>
      </c>
      <c r="Q679" s="50">
        <v>2679517.73</v>
      </c>
      <c r="R679" s="257"/>
    </row>
    <row r="680" spans="1:18" hidden="1" x14ac:dyDescent="0.25">
      <c r="A680" s="49" t="s">
        <v>716</v>
      </c>
      <c r="B680" s="49" t="s">
        <v>248</v>
      </c>
      <c r="C680" s="49" t="s">
        <v>249</v>
      </c>
      <c r="D680" s="49" t="s">
        <v>69</v>
      </c>
      <c r="E680" s="50">
        <v>5048260</v>
      </c>
      <c r="F680" s="50">
        <v>5026021</v>
      </c>
      <c r="G680" s="50">
        <v>5026021</v>
      </c>
      <c r="H680" s="50">
        <v>0</v>
      </c>
      <c r="I680" s="50">
        <v>0</v>
      </c>
      <c r="J680" s="50">
        <v>0</v>
      </c>
      <c r="K680" s="50">
        <v>3347134</v>
      </c>
      <c r="L680" s="152">
        <f t="shared" si="0"/>
        <v>0.66596100573395933</v>
      </c>
      <c r="M680" s="50">
        <v>3347134</v>
      </c>
      <c r="N680" s="152">
        <f t="shared" si="1"/>
        <v>0.66596100573395933</v>
      </c>
      <c r="O680" s="50">
        <v>1678887</v>
      </c>
      <c r="P680" s="152">
        <f t="shared" si="2"/>
        <v>0.33403899426604067</v>
      </c>
      <c r="Q680" s="50">
        <v>1678887</v>
      </c>
      <c r="R680" s="257"/>
    </row>
    <row r="681" spans="1:18" hidden="1" x14ac:dyDescent="0.25">
      <c r="A681" s="49" t="s">
        <v>716</v>
      </c>
      <c r="B681" s="49" t="s">
        <v>250</v>
      </c>
      <c r="C681" s="49" t="s">
        <v>251</v>
      </c>
      <c r="D681" s="49" t="s">
        <v>69</v>
      </c>
      <c r="E681" s="50">
        <v>3548260</v>
      </c>
      <c r="F681" s="50">
        <v>3526021</v>
      </c>
      <c r="G681" s="50">
        <v>3526021</v>
      </c>
      <c r="H681" s="50">
        <v>0</v>
      </c>
      <c r="I681" s="50">
        <v>0</v>
      </c>
      <c r="J681" s="50">
        <v>0</v>
      </c>
      <c r="K681" s="50">
        <v>3027824</v>
      </c>
      <c r="L681" s="152">
        <f t="shared" si="0"/>
        <v>0.85870844217887532</v>
      </c>
      <c r="M681" s="50">
        <v>3027824</v>
      </c>
      <c r="N681" s="152">
        <f t="shared" si="1"/>
        <v>0.85870844217887532</v>
      </c>
      <c r="O681" s="50">
        <v>498197</v>
      </c>
      <c r="P681" s="152">
        <f t="shared" si="2"/>
        <v>0.14129155782112471</v>
      </c>
      <c r="Q681" s="50">
        <v>498197</v>
      </c>
      <c r="R681" s="257"/>
    </row>
    <row r="682" spans="1:18" hidden="1" x14ac:dyDescent="0.25">
      <c r="A682" s="49" t="s">
        <v>716</v>
      </c>
      <c r="B682" s="49" t="s">
        <v>635</v>
      </c>
      <c r="C682" s="49" t="s">
        <v>702</v>
      </c>
      <c r="D682" s="49" t="s">
        <v>69</v>
      </c>
      <c r="E682" s="50">
        <v>3013955</v>
      </c>
      <c r="F682" s="50">
        <v>2995065</v>
      </c>
      <c r="G682" s="50">
        <v>2995065</v>
      </c>
      <c r="H682" s="50">
        <v>0</v>
      </c>
      <c r="I682" s="50">
        <v>0</v>
      </c>
      <c r="J682" s="50">
        <v>0</v>
      </c>
      <c r="K682" s="50">
        <v>2567786</v>
      </c>
      <c r="L682" s="152">
        <f t="shared" si="0"/>
        <v>0.85733898930407182</v>
      </c>
      <c r="M682" s="50">
        <v>2567786</v>
      </c>
      <c r="N682" s="152">
        <f t="shared" si="1"/>
        <v>0.85733898930407182</v>
      </c>
      <c r="O682" s="50">
        <v>427279</v>
      </c>
      <c r="P682" s="152">
        <f t="shared" si="2"/>
        <v>0.14266101069592813</v>
      </c>
      <c r="Q682" s="50">
        <v>427279</v>
      </c>
      <c r="R682" s="257"/>
    </row>
    <row r="683" spans="1:18" hidden="1" x14ac:dyDescent="0.25">
      <c r="A683" s="49" t="s">
        <v>716</v>
      </c>
      <c r="B683" s="49" t="s">
        <v>650</v>
      </c>
      <c r="C683" s="49" t="s">
        <v>703</v>
      </c>
      <c r="D683" s="49" t="s">
        <v>69</v>
      </c>
      <c r="E683" s="50">
        <v>534305</v>
      </c>
      <c r="F683" s="50">
        <v>530956</v>
      </c>
      <c r="G683" s="50">
        <v>530956</v>
      </c>
      <c r="H683" s="50">
        <v>0</v>
      </c>
      <c r="I683" s="50">
        <v>0</v>
      </c>
      <c r="J683" s="50">
        <v>0</v>
      </c>
      <c r="K683" s="50">
        <v>460038</v>
      </c>
      <c r="L683" s="152">
        <f t="shared" si="0"/>
        <v>0.8664333767769834</v>
      </c>
      <c r="M683" s="50">
        <v>460038</v>
      </c>
      <c r="N683" s="152">
        <f t="shared" si="1"/>
        <v>0.8664333767769834</v>
      </c>
      <c r="O683" s="50">
        <v>70918</v>
      </c>
      <c r="P683" s="152">
        <f t="shared" si="2"/>
        <v>0.1335666232230166</v>
      </c>
      <c r="Q683" s="50">
        <v>70918</v>
      </c>
      <c r="R683" s="257"/>
    </row>
    <row r="684" spans="1:18" hidden="1" x14ac:dyDescent="0.25">
      <c r="A684" s="49" t="s">
        <v>716</v>
      </c>
      <c r="B684" s="49" t="s">
        <v>260</v>
      </c>
      <c r="C684" s="49" t="s">
        <v>261</v>
      </c>
      <c r="D684" s="49" t="s">
        <v>69</v>
      </c>
      <c r="E684" s="50">
        <v>1500000</v>
      </c>
      <c r="F684" s="50">
        <v>1500000</v>
      </c>
      <c r="G684" s="50">
        <v>1500000</v>
      </c>
      <c r="H684" s="50">
        <v>0</v>
      </c>
      <c r="I684" s="50">
        <v>0</v>
      </c>
      <c r="J684" s="50">
        <v>0</v>
      </c>
      <c r="K684" s="50">
        <v>319310</v>
      </c>
      <c r="L684" s="152">
        <f t="shared" si="0"/>
        <v>0.21287333333333333</v>
      </c>
      <c r="M684" s="50">
        <v>319310</v>
      </c>
      <c r="N684" s="152">
        <f t="shared" si="1"/>
        <v>0.21287333333333333</v>
      </c>
      <c r="O684" s="50">
        <v>1180690</v>
      </c>
      <c r="P684" s="152">
        <f t="shared" si="2"/>
        <v>0.78712666666666664</v>
      </c>
      <c r="Q684" s="50">
        <v>1180690</v>
      </c>
      <c r="R684" s="257"/>
    </row>
    <row r="685" spans="1:18" hidden="1" x14ac:dyDescent="0.25">
      <c r="A685" s="49" t="s">
        <v>716</v>
      </c>
      <c r="B685" s="49" t="s">
        <v>264</v>
      </c>
      <c r="C685" s="49" t="s">
        <v>265</v>
      </c>
      <c r="D685" s="49" t="s">
        <v>69</v>
      </c>
      <c r="E685" s="50">
        <v>1500000</v>
      </c>
      <c r="F685" s="50">
        <v>1500000</v>
      </c>
      <c r="G685" s="50">
        <v>1500000</v>
      </c>
      <c r="H685" s="50">
        <v>0</v>
      </c>
      <c r="I685" s="50">
        <v>0</v>
      </c>
      <c r="J685" s="50">
        <v>0</v>
      </c>
      <c r="K685" s="50">
        <v>319310</v>
      </c>
      <c r="L685" s="152">
        <f t="shared" si="0"/>
        <v>0.21287333333333333</v>
      </c>
      <c r="M685" s="50">
        <v>319310</v>
      </c>
      <c r="N685" s="152">
        <f t="shared" si="1"/>
        <v>0.21287333333333333</v>
      </c>
      <c r="O685" s="50">
        <v>1180690</v>
      </c>
      <c r="P685" s="152">
        <f t="shared" si="2"/>
        <v>0.78712666666666664</v>
      </c>
      <c r="Q685" s="50">
        <v>1180690</v>
      </c>
      <c r="R685" s="257"/>
    </row>
    <row r="686" spans="1:18" x14ac:dyDescent="0.25">
      <c r="A686" s="49">
        <v>214790</v>
      </c>
      <c r="B686" s="49"/>
      <c r="C686" s="49"/>
      <c r="D686" s="49" t="s">
        <v>69</v>
      </c>
      <c r="E686" s="50">
        <v>1417740073</v>
      </c>
      <c r="F686" s="50">
        <v>1265316729</v>
      </c>
      <c r="G686" s="50">
        <v>1265316729</v>
      </c>
      <c r="H686" s="50">
        <v>0</v>
      </c>
      <c r="I686" s="50">
        <v>5641651.6799999997</v>
      </c>
      <c r="J686" s="50">
        <v>0</v>
      </c>
      <c r="K686" s="50">
        <v>1095325472.8499999</v>
      </c>
      <c r="L686" s="152">
        <f t="shared" si="0"/>
        <v>0.86565319792748896</v>
      </c>
      <c r="M686" s="50">
        <v>1080993517.3599999</v>
      </c>
      <c r="N686" s="152">
        <f t="shared" si="1"/>
        <v>0.85432642482671217</v>
      </c>
      <c r="O686" s="50">
        <v>164349604.47</v>
      </c>
      <c r="P686" s="152">
        <f t="shared" si="2"/>
        <v>0.12988811473305037</v>
      </c>
      <c r="Q686" s="50">
        <v>164349604.47</v>
      </c>
      <c r="R686" s="257"/>
    </row>
    <row r="687" spans="1:18" hidden="1" x14ac:dyDescent="0.25">
      <c r="A687" s="49" t="s">
        <v>717</v>
      </c>
      <c r="B687" s="49" t="s">
        <v>71</v>
      </c>
      <c r="C687" s="49" t="s">
        <v>72</v>
      </c>
      <c r="D687" s="49" t="s">
        <v>69</v>
      </c>
      <c r="E687" s="50">
        <v>1125132721</v>
      </c>
      <c r="F687" s="50">
        <v>1090417290</v>
      </c>
      <c r="G687" s="50">
        <v>1090417290</v>
      </c>
      <c r="H687" s="50">
        <v>0</v>
      </c>
      <c r="I687" s="50">
        <v>0</v>
      </c>
      <c r="J687" s="50">
        <v>0</v>
      </c>
      <c r="K687" s="50">
        <v>988592555.48000002</v>
      </c>
      <c r="L687" s="152">
        <f t="shared" si="0"/>
        <v>0.90661856203692448</v>
      </c>
      <c r="M687" s="50">
        <v>988592555.48000002</v>
      </c>
      <c r="N687" s="152">
        <f t="shared" si="1"/>
        <v>0.90661856203692448</v>
      </c>
      <c r="O687" s="50">
        <v>101824734.52</v>
      </c>
      <c r="P687" s="152">
        <f t="shared" si="2"/>
        <v>9.3381437963075575E-2</v>
      </c>
      <c r="Q687" s="50">
        <v>101824734.52</v>
      </c>
      <c r="R687" s="257"/>
    </row>
    <row r="688" spans="1:18" hidden="1" x14ac:dyDescent="0.25">
      <c r="A688" s="49" t="s">
        <v>717</v>
      </c>
      <c r="B688" s="49" t="s">
        <v>73</v>
      </c>
      <c r="C688" s="49" t="s">
        <v>74</v>
      </c>
      <c r="D688" s="49" t="s">
        <v>69</v>
      </c>
      <c r="E688" s="50">
        <v>456307400</v>
      </c>
      <c r="F688" s="50">
        <v>438060200</v>
      </c>
      <c r="G688" s="50">
        <v>438060200</v>
      </c>
      <c r="H688" s="50">
        <v>0</v>
      </c>
      <c r="I688" s="50">
        <v>0</v>
      </c>
      <c r="J688" s="50">
        <v>0</v>
      </c>
      <c r="K688" s="50">
        <v>409645627.58999997</v>
      </c>
      <c r="L688" s="152">
        <f t="shared" si="0"/>
        <v>0.93513546218076871</v>
      </c>
      <c r="M688" s="50">
        <v>409645627.58999997</v>
      </c>
      <c r="N688" s="152">
        <f t="shared" si="1"/>
        <v>0.93513546218076871</v>
      </c>
      <c r="O688" s="50">
        <v>28414572.41</v>
      </c>
      <c r="P688" s="152">
        <f t="shared" si="2"/>
        <v>6.4864537819231238E-2</v>
      </c>
      <c r="Q688" s="50">
        <v>28414572.41</v>
      </c>
      <c r="R688" s="257"/>
    </row>
    <row r="689" spans="1:18" hidden="1" x14ac:dyDescent="0.25">
      <c r="A689" s="49" t="s">
        <v>717</v>
      </c>
      <c r="B689" s="49" t="s">
        <v>75</v>
      </c>
      <c r="C689" s="49" t="s">
        <v>76</v>
      </c>
      <c r="D689" s="49" t="s">
        <v>69</v>
      </c>
      <c r="E689" s="50">
        <v>456307400</v>
      </c>
      <c r="F689" s="50">
        <v>438060200</v>
      </c>
      <c r="G689" s="50">
        <v>438060200</v>
      </c>
      <c r="H689" s="50">
        <v>0</v>
      </c>
      <c r="I689" s="50">
        <v>0</v>
      </c>
      <c r="J689" s="50">
        <v>0</v>
      </c>
      <c r="K689" s="50">
        <v>409645627.58999997</v>
      </c>
      <c r="L689" s="152">
        <f t="shared" si="0"/>
        <v>0.93513546218076871</v>
      </c>
      <c r="M689" s="50">
        <v>409645627.58999997</v>
      </c>
      <c r="N689" s="152">
        <f t="shared" si="1"/>
        <v>0.93513546218076871</v>
      </c>
      <c r="O689" s="50">
        <v>28414572.41</v>
      </c>
      <c r="P689" s="152">
        <f t="shared" si="2"/>
        <v>6.4864537819231238E-2</v>
      </c>
      <c r="Q689" s="50">
        <v>28414572.41</v>
      </c>
      <c r="R689" s="257"/>
    </row>
    <row r="690" spans="1:18" hidden="1" x14ac:dyDescent="0.25">
      <c r="A690" s="49" t="s">
        <v>717</v>
      </c>
      <c r="B690" s="49" t="s">
        <v>77</v>
      </c>
      <c r="C690" s="49" t="s">
        <v>78</v>
      </c>
      <c r="D690" s="49" t="s">
        <v>69</v>
      </c>
      <c r="E690" s="50">
        <v>497190642</v>
      </c>
      <c r="F690" s="50">
        <v>487056431</v>
      </c>
      <c r="G690" s="50">
        <v>487056431</v>
      </c>
      <c r="H690" s="50">
        <v>0</v>
      </c>
      <c r="I690" s="50">
        <v>0</v>
      </c>
      <c r="J690" s="50">
        <v>0</v>
      </c>
      <c r="K690" s="50">
        <v>428661559.88999999</v>
      </c>
      <c r="L690" s="152">
        <f t="shared" si="0"/>
        <v>0.88010655974687246</v>
      </c>
      <c r="M690" s="50">
        <v>428661559.88999999</v>
      </c>
      <c r="N690" s="152">
        <f t="shared" si="1"/>
        <v>0.88010655974687246</v>
      </c>
      <c r="O690" s="50">
        <v>58394871.109999999</v>
      </c>
      <c r="P690" s="152">
        <f t="shared" si="2"/>
        <v>0.11989344025312747</v>
      </c>
      <c r="Q690" s="50">
        <v>58394871.109999999</v>
      </c>
      <c r="R690" s="257"/>
    </row>
    <row r="691" spans="1:18" hidden="1" x14ac:dyDescent="0.25">
      <c r="A691" s="49" t="s">
        <v>717</v>
      </c>
      <c r="B691" s="49" t="s">
        <v>79</v>
      </c>
      <c r="C691" s="49" t="s">
        <v>80</v>
      </c>
      <c r="D691" s="49" t="s">
        <v>69</v>
      </c>
      <c r="E691" s="50">
        <v>91313600</v>
      </c>
      <c r="F691" s="50">
        <v>91313600</v>
      </c>
      <c r="G691" s="50">
        <v>91313600</v>
      </c>
      <c r="H691" s="50">
        <v>0</v>
      </c>
      <c r="I691" s="50">
        <v>0</v>
      </c>
      <c r="J691" s="50">
        <v>0</v>
      </c>
      <c r="K691" s="50">
        <v>86460498.409999996</v>
      </c>
      <c r="L691" s="152">
        <f t="shared" si="0"/>
        <v>0.94685236821240204</v>
      </c>
      <c r="M691" s="50">
        <v>86460498.409999996</v>
      </c>
      <c r="N691" s="152">
        <f t="shared" si="1"/>
        <v>0.94685236821240204</v>
      </c>
      <c r="O691" s="50">
        <v>4853101.59</v>
      </c>
      <c r="P691" s="152">
        <f t="shared" si="2"/>
        <v>5.3147631787597904E-2</v>
      </c>
      <c r="Q691" s="50">
        <v>4853101.59</v>
      </c>
      <c r="R691" s="257"/>
    </row>
    <row r="692" spans="1:18" hidden="1" x14ac:dyDescent="0.25">
      <c r="A692" s="49" t="s">
        <v>717</v>
      </c>
      <c r="B692" s="49" t="s">
        <v>81</v>
      </c>
      <c r="C692" s="49" t="s">
        <v>82</v>
      </c>
      <c r="D692" s="49" t="s">
        <v>69</v>
      </c>
      <c r="E692" s="50">
        <v>214869984</v>
      </c>
      <c r="F692" s="50">
        <v>208123437</v>
      </c>
      <c r="G692" s="50">
        <v>208123437</v>
      </c>
      <c r="H692" s="50">
        <v>0</v>
      </c>
      <c r="I692" s="50">
        <v>0</v>
      </c>
      <c r="J692" s="50">
        <v>0</v>
      </c>
      <c r="K692" s="50">
        <v>185839400.25999999</v>
      </c>
      <c r="L692" s="152">
        <f t="shared" si="0"/>
        <v>0.89292874910575304</v>
      </c>
      <c r="M692" s="50">
        <v>185839400.25999999</v>
      </c>
      <c r="N692" s="152">
        <f t="shared" si="1"/>
        <v>0.89292874910575304</v>
      </c>
      <c r="O692" s="50">
        <v>22284036.739999998</v>
      </c>
      <c r="P692" s="152">
        <f t="shared" si="2"/>
        <v>0.10707125089424695</v>
      </c>
      <c r="Q692" s="50">
        <v>22284036.739999998</v>
      </c>
      <c r="R692" s="257"/>
    </row>
    <row r="693" spans="1:18" hidden="1" x14ac:dyDescent="0.25">
      <c r="A693" s="49" t="s">
        <v>717</v>
      </c>
      <c r="B693" s="49" t="s">
        <v>86</v>
      </c>
      <c r="C693" s="49" t="s">
        <v>87</v>
      </c>
      <c r="D693" s="49" t="s">
        <v>69</v>
      </c>
      <c r="E693" s="50">
        <v>67452900</v>
      </c>
      <c r="F693" s="50">
        <v>67452900</v>
      </c>
      <c r="G693" s="50">
        <v>67452900</v>
      </c>
      <c r="H693" s="50">
        <v>0</v>
      </c>
      <c r="I693" s="50">
        <v>0</v>
      </c>
      <c r="J693" s="50">
        <v>0</v>
      </c>
      <c r="K693" s="50">
        <v>49771766.130000003</v>
      </c>
      <c r="L693" s="152">
        <f t="shared" si="0"/>
        <v>0.7378743705607913</v>
      </c>
      <c r="M693" s="50">
        <v>49771766.130000003</v>
      </c>
      <c r="N693" s="152">
        <f t="shared" si="1"/>
        <v>0.7378743705607913</v>
      </c>
      <c r="O693" s="50">
        <v>17681133.870000001</v>
      </c>
      <c r="P693" s="152">
        <f t="shared" si="2"/>
        <v>0.2621256294392087</v>
      </c>
      <c r="Q693" s="50">
        <v>17681133.870000001</v>
      </c>
      <c r="R693" s="257"/>
    </row>
    <row r="694" spans="1:18" hidden="1" x14ac:dyDescent="0.25">
      <c r="A694" s="49" t="s">
        <v>717</v>
      </c>
      <c r="B694" s="49" t="s">
        <v>88</v>
      </c>
      <c r="C694" s="49" t="s">
        <v>89</v>
      </c>
      <c r="D694" s="49" t="s">
        <v>69</v>
      </c>
      <c r="E694" s="50">
        <v>50235300</v>
      </c>
      <c r="F694" s="50">
        <v>49553400</v>
      </c>
      <c r="G694" s="50">
        <v>49553400</v>
      </c>
      <c r="H694" s="50">
        <v>0</v>
      </c>
      <c r="I694" s="50">
        <v>0</v>
      </c>
      <c r="J694" s="50">
        <v>0</v>
      </c>
      <c r="K694" s="50">
        <v>41074359.770000003</v>
      </c>
      <c r="L694" s="152">
        <f t="shared" si="0"/>
        <v>0.82889084845843075</v>
      </c>
      <c r="M694" s="50">
        <v>41074359.770000003</v>
      </c>
      <c r="N694" s="152">
        <f t="shared" si="1"/>
        <v>0.82889084845843075</v>
      </c>
      <c r="O694" s="50">
        <v>8479040.2300000004</v>
      </c>
      <c r="P694" s="152">
        <f t="shared" si="2"/>
        <v>0.1711091515415693</v>
      </c>
      <c r="Q694" s="50">
        <v>8479040.2300000004</v>
      </c>
      <c r="R694" s="257"/>
    </row>
    <row r="695" spans="1:18" hidden="1" x14ac:dyDescent="0.25">
      <c r="A695" s="49" t="s">
        <v>717</v>
      </c>
      <c r="B695" s="49" t="s">
        <v>83</v>
      </c>
      <c r="C695" s="49" t="s">
        <v>84</v>
      </c>
      <c r="D695" s="49" t="s">
        <v>85</v>
      </c>
      <c r="E695" s="50">
        <v>73318858</v>
      </c>
      <c r="F695" s="50">
        <v>70613094</v>
      </c>
      <c r="G695" s="50">
        <v>70613094</v>
      </c>
      <c r="H695" s="50">
        <v>0</v>
      </c>
      <c r="I695" s="50">
        <v>0</v>
      </c>
      <c r="J695" s="50">
        <v>0</v>
      </c>
      <c r="K695" s="50">
        <v>65515535.32</v>
      </c>
      <c r="L695" s="152">
        <f t="shared" si="0"/>
        <v>0.92781000815514469</v>
      </c>
      <c r="M695" s="50">
        <v>65515535.32</v>
      </c>
      <c r="N695" s="152">
        <f t="shared" si="1"/>
        <v>0.92781000815514469</v>
      </c>
      <c r="O695" s="50">
        <v>5097558.68</v>
      </c>
      <c r="P695" s="152">
        <f t="shared" si="2"/>
        <v>7.2189991844855292E-2</v>
      </c>
      <c r="Q695" s="50">
        <v>5097558.68</v>
      </c>
      <c r="R695" s="257"/>
    </row>
    <row r="696" spans="1:18" hidden="1" x14ac:dyDescent="0.25">
      <c r="A696" s="49" t="s">
        <v>717</v>
      </c>
      <c r="B696" s="49" t="s">
        <v>90</v>
      </c>
      <c r="C696" s="49" t="s">
        <v>91</v>
      </c>
      <c r="D696" s="49" t="s">
        <v>69</v>
      </c>
      <c r="E696" s="50">
        <v>85817390</v>
      </c>
      <c r="F696" s="50">
        <v>82650379</v>
      </c>
      <c r="G696" s="50">
        <v>82650379</v>
      </c>
      <c r="H696" s="50">
        <v>0</v>
      </c>
      <c r="I696" s="50">
        <v>0</v>
      </c>
      <c r="J696" s="50">
        <v>0</v>
      </c>
      <c r="K696" s="50">
        <v>75235145</v>
      </c>
      <c r="L696" s="152">
        <f t="shared" si="0"/>
        <v>0.9102819117139197</v>
      </c>
      <c r="M696" s="50">
        <v>75235145</v>
      </c>
      <c r="N696" s="152">
        <f t="shared" si="1"/>
        <v>0.9102819117139197</v>
      </c>
      <c r="O696" s="50">
        <v>7415234</v>
      </c>
      <c r="P696" s="152">
        <f t="shared" si="2"/>
        <v>8.9718088286080327E-2</v>
      </c>
      <c r="Q696" s="50">
        <v>7415234</v>
      </c>
      <c r="R696" s="257"/>
    </row>
    <row r="697" spans="1:18" hidden="1" x14ac:dyDescent="0.25">
      <c r="A697" s="49" t="s">
        <v>717</v>
      </c>
      <c r="B697" s="49" t="s">
        <v>427</v>
      </c>
      <c r="C697" s="49" t="s">
        <v>697</v>
      </c>
      <c r="D697" s="49" t="s">
        <v>69</v>
      </c>
      <c r="E697" s="50">
        <v>81416555</v>
      </c>
      <c r="F697" s="50">
        <v>78411955</v>
      </c>
      <c r="G697" s="50">
        <v>78411955</v>
      </c>
      <c r="H697" s="50">
        <v>0</v>
      </c>
      <c r="I697" s="50">
        <v>0</v>
      </c>
      <c r="J697" s="50">
        <v>0</v>
      </c>
      <c r="K697" s="50">
        <v>71376907</v>
      </c>
      <c r="L697" s="152">
        <f t="shared" si="0"/>
        <v>0.91028092591238163</v>
      </c>
      <c r="M697" s="50">
        <v>71376907</v>
      </c>
      <c r="N697" s="152">
        <f t="shared" si="1"/>
        <v>0.91028092591238163</v>
      </c>
      <c r="O697" s="50">
        <v>7035048</v>
      </c>
      <c r="P697" s="152">
        <f t="shared" si="2"/>
        <v>8.9719074087618395E-2</v>
      </c>
      <c r="Q697" s="50">
        <v>7035048</v>
      </c>
      <c r="R697" s="257"/>
    </row>
    <row r="698" spans="1:18" hidden="1" x14ac:dyDescent="0.25">
      <c r="A698" s="49" t="s">
        <v>717</v>
      </c>
      <c r="B698" s="49" t="s">
        <v>444</v>
      </c>
      <c r="C698" s="49" t="s">
        <v>95</v>
      </c>
      <c r="D698" s="49" t="s">
        <v>69</v>
      </c>
      <c r="E698" s="50">
        <v>4400835</v>
      </c>
      <c r="F698" s="50">
        <v>4238424</v>
      </c>
      <c r="G698" s="50">
        <v>4238424</v>
      </c>
      <c r="H698" s="50">
        <v>0</v>
      </c>
      <c r="I698" s="50">
        <v>0</v>
      </c>
      <c r="J698" s="50">
        <v>0</v>
      </c>
      <c r="K698" s="50">
        <v>3858238</v>
      </c>
      <c r="L698" s="152">
        <f t="shared" si="0"/>
        <v>0.91030014930077785</v>
      </c>
      <c r="M698" s="50">
        <v>3858238</v>
      </c>
      <c r="N698" s="152">
        <f t="shared" si="1"/>
        <v>0.91030014930077785</v>
      </c>
      <c r="O698" s="50">
        <v>380186</v>
      </c>
      <c r="P698" s="152">
        <f t="shared" si="2"/>
        <v>8.9699850699222164E-2</v>
      </c>
      <c r="Q698" s="50">
        <v>380186</v>
      </c>
      <c r="R698" s="257"/>
    </row>
    <row r="699" spans="1:18" hidden="1" x14ac:dyDescent="0.25">
      <c r="A699" s="49" t="s">
        <v>717</v>
      </c>
      <c r="B699" s="49" t="s">
        <v>96</v>
      </c>
      <c r="C699" s="49" t="s">
        <v>97</v>
      </c>
      <c r="D699" s="49" t="s">
        <v>69</v>
      </c>
      <c r="E699" s="50">
        <v>85817289</v>
      </c>
      <c r="F699" s="50">
        <v>82650280</v>
      </c>
      <c r="G699" s="50">
        <v>82650280</v>
      </c>
      <c r="H699" s="50">
        <v>0</v>
      </c>
      <c r="I699" s="50">
        <v>0</v>
      </c>
      <c r="J699" s="50">
        <v>0</v>
      </c>
      <c r="K699" s="50">
        <v>75050223</v>
      </c>
      <c r="L699" s="152">
        <f t="shared" si="0"/>
        <v>0.90804559887758396</v>
      </c>
      <c r="M699" s="50">
        <v>75050223</v>
      </c>
      <c r="N699" s="152">
        <f t="shared" si="1"/>
        <v>0.90804559887758396</v>
      </c>
      <c r="O699" s="50">
        <v>7600057</v>
      </c>
      <c r="P699" s="152">
        <f t="shared" si="2"/>
        <v>9.1954401122416041E-2</v>
      </c>
      <c r="Q699" s="50">
        <v>7600057</v>
      </c>
      <c r="R699" s="257"/>
    </row>
    <row r="700" spans="1:18" hidden="1" x14ac:dyDescent="0.25">
      <c r="A700" s="49" t="s">
        <v>717</v>
      </c>
      <c r="B700" s="49" t="s">
        <v>462</v>
      </c>
      <c r="C700" s="49" t="s">
        <v>698</v>
      </c>
      <c r="D700" s="49" t="s">
        <v>69</v>
      </c>
      <c r="E700" s="50">
        <v>46209371</v>
      </c>
      <c r="F700" s="50">
        <v>44504058</v>
      </c>
      <c r="G700" s="50">
        <v>44504058</v>
      </c>
      <c r="H700" s="50">
        <v>0</v>
      </c>
      <c r="I700" s="50">
        <v>0</v>
      </c>
      <c r="J700" s="50">
        <v>0</v>
      </c>
      <c r="K700" s="50">
        <v>40326341</v>
      </c>
      <c r="L700" s="152">
        <f t="shared" si="0"/>
        <v>0.90612727944943805</v>
      </c>
      <c r="M700" s="50">
        <v>40326341</v>
      </c>
      <c r="N700" s="152">
        <f t="shared" si="1"/>
        <v>0.90612727944943805</v>
      </c>
      <c r="O700" s="50">
        <v>4177717</v>
      </c>
      <c r="P700" s="152">
        <f t="shared" si="2"/>
        <v>9.3872720550561922E-2</v>
      </c>
      <c r="Q700" s="50">
        <v>4177717</v>
      </c>
      <c r="R700" s="257"/>
    </row>
    <row r="701" spans="1:18" hidden="1" x14ac:dyDescent="0.25">
      <c r="A701" s="49" t="s">
        <v>717</v>
      </c>
      <c r="B701" s="49" t="s">
        <v>479</v>
      </c>
      <c r="C701" s="49" t="s">
        <v>699</v>
      </c>
      <c r="D701" s="49" t="s">
        <v>69</v>
      </c>
      <c r="E701" s="50">
        <v>13202606</v>
      </c>
      <c r="F701" s="50">
        <v>15015374</v>
      </c>
      <c r="G701" s="50">
        <v>15015374</v>
      </c>
      <c r="H701" s="50">
        <v>0</v>
      </c>
      <c r="I701" s="50">
        <v>0</v>
      </c>
      <c r="J701" s="50">
        <v>0</v>
      </c>
      <c r="K701" s="50">
        <v>13387855</v>
      </c>
      <c r="L701" s="152">
        <f t="shared" si="0"/>
        <v>0.89160982603563521</v>
      </c>
      <c r="M701" s="50">
        <v>13387855</v>
      </c>
      <c r="N701" s="152">
        <f t="shared" si="1"/>
        <v>0.89160982603563521</v>
      </c>
      <c r="O701" s="50">
        <v>1627519</v>
      </c>
      <c r="P701" s="152">
        <f t="shared" si="2"/>
        <v>0.10839017396436479</v>
      </c>
      <c r="Q701" s="50">
        <v>1627519</v>
      </c>
      <c r="R701" s="257"/>
    </row>
    <row r="702" spans="1:18" hidden="1" x14ac:dyDescent="0.25">
      <c r="A702" s="49" t="s">
        <v>717</v>
      </c>
      <c r="B702" s="49" t="s">
        <v>496</v>
      </c>
      <c r="C702" s="49" t="s">
        <v>700</v>
      </c>
      <c r="D702" s="49" t="s">
        <v>69</v>
      </c>
      <c r="E702" s="50">
        <v>26405312</v>
      </c>
      <c r="F702" s="50">
        <v>23130848</v>
      </c>
      <c r="G702" s="50">
        <v>23130848</v>
      </c>
      <c r="H702" s="50">
        <v>0</v>
      </c>
      <c r="I702" s="50">
        <v>0</v>
      </c>
      <c r="J702" s="50">
        <v>0</v>
      </c>
      <c r="K702" s="50">
        <v>21336027</v>
      </c>
      <c r="L702" s="152">
        <f t="shared" si="0"/>
        <v>0.92240574145833309</v>
      </c>
      <c r="M702" s="50">
        <v>21336027</v>
      </c>
      <c r="N702" s="152">
        <f t="shared" si="1"/>
        <v>0.92240574145833309</v>
      </c>
      <c r="O702" s="50">
        <v>1794821</v>
      </c>
      <c r="P702" s="152">
        <f t="shared" si="2"/>
        <v>7.7594258541666961E-2</v>
      </c>
      <c r="Q702" s="50">
        <v>1794821</v>
      </c>
      <c r="R702" s="257"/>
    </row>
    <row r="703" spans="1:18" hidden="1" x14ac:dyDescent="0.25">
      <c r="A703" s="49" t="s">
        <v>717</v>
      </c>
      <c r="B703" s="49" t="s">
        <v>104</v>
      </c>
      <c r="C703" s="49" t="s">
        <v>105</v>
      </c>
      <c r="D703" s="49" t="s">
        <v>69</v>
      </c>
      <c r="E703" s="50">
        <v>143937951</v>
      </c>
      <c r="F703" s="50">
        <v>91784695</v>
      </c>
      <c r="G703" s="50">
        <v>91784695</v>
      </c>
      <c r="H703" s="50">
        <v>0</v>
      </c>
      <c r="I703" s="50">
        <v>3364139.68</v>
      </c>
      <c r="J703" s="50">
        <v>0</v>
      </c>
      <c r="K703" s="50">
        <v>55969901.590000004</v>
      </c>
      <c r="L703" s="152">
        <f t="shared" si="0"/>
        <v>0.60979558291281577</v>
      </c>
      <c r="M703" s="50">
        <v>48543210.32</v>
      </c>
      <c r="N703" s="152">
        <f t="shared" si="1"/>
        <v>0.52888131643298486</v>
      </c>
      <c r="O703" s="50">
        <v>32450653.73</v>
      </c>
      <c r="P703" s="152">
        <f t="shared" si="2"/>
        <v>0.35355190459585883</v>
      </c>
      <c r="Q703" s="50">
        <v>32450653.73</v>
      </c>
      <c r="R703" s="257"/>
    </row>
    <row r="704" spans="1:18" hidden="1" x14ac:dyDescent="0.25">
      <c r="A704" s="49" t="s">
        <v>717</v>
      </c>
      <c r="B704" s="49" t="s">
        <v>106</v>
      </c>
      <c r="C704" s="49" t="s">
        <v>107</v>
      </c>
      <c r="D704" s="49" t="s">
        <v>69</v>
      </c>
      <c r="E704" s="50">
        <v>60469231</v>
      </c>
      <c r="F704" s="50">
        <v>50315823</v>
      </c>
      <c r="G704" s="50">
        <v>50315823</v>
      </c>
      <c r="H704" s="50">
        <v>0</v>
      </c>
      <c r="I704" s="50">
        <v>1386117.77</v>
      </c>
      <c r="J704" s="50">
        <v>0</v>
      </c>
      <c r="K704" s="50">
        <v>30943380.739999998</v>
      </c>
      <c r="L704" s="152">
        <f t="shared" si="0"/>
        <v>0.61498309865665912</v>
      </c>
      <c r="M704" s="50">
        <v>26860855.199999999</v>
      </c>
      <c r="N704" s="152">
        <f t="shared" si="1"/>
        <v>0.53384509282497472</v>
      </c>
      <c r="O704" s="50">
        <v>17986324.489999998</v>
      </c>
      <c r="P704" s="152">
        <f t="shared" si="2"/>
        <v>0.35746855397754296</v>
      </c>
      <c r="Q704" s="50">
        <v>17986324.489999998</v>
      </c>
      <c r="R704" s="257"/>
    </row>
    <row r="705" spans="1:18" hidden="1" x14ac:dyDescent="0.25">
      <c r="A705" s="49" t="s">
        <v>717</v>
      </c>
      <c r="B705" s="49" t="s">
        <v>108</v>
      </c>
      <c r="C705" s="49" t="s">
        <v>109</v>
      </c>
      <c r="D705" s="49" t="s">
        <v>69</v>
      </c>
      <c r="E705" s="50">
        <v>60469231</v>
      </c>
      <c r="F705" s="50">
        <v>50315823</v>
      </c>
      <c r="G705" s="50">
        <v>50315823</v>
      </c>
      <c r="H705" s="50">
        <v>0</v>
      </c>
      <c r="I705" s="50">
        <v>1386117.77</v>
      </c>
      <c r="J705" s="50">
        <v>0</v>
      </c>
      <c r="K705" s="50">
        <v>30943380.739999998</v>
      </c>
      <c r="L705" s="152">
        <f t="shared" si="0"/>
        <v>0.61498309865665912</v>
      </c>
      <c r="M705" s="50">
        <v>26860855.199999999</v>
      </c>
      <c r="N705" s="152">
        <f t="shared" si="1"/>
        <v>0.53384509282497472</v>
      </c>
      <c r="O705" s="50">
        <v>17986324.489999998</v>
      </c>
      <c r="P705" s="152">
        <f t="shared" si="2"/>
        <v>0.35746855397754296</v>
      </c>
      <c r="Q705" s="50">
        <v>17986324.489999998</v>
      </c>
      <c r="R705" s="257"/>
    </row>
    <row r="706" spans="1:18" hidden="1" x14ac:dyDescent="0.25">
      <c r="A706" s="49" t="s">
        <v>717</v>
      </c>
      <c r="B706" s="49" t="s">
        <v>112</v>
      </c>
      <c r="C706" s="49" t="s">
        <v>113</v>
      </c>
      <c r="D706" s="49" t="s">
        <v>69</v>
      </c>
      <c r="E706" s="50">
        <v>12862800</v>
      </c>
      <c r="F706" s="50">
        <v>13016208</v>
      </c>
      <c r="G706" s="50">
        <v>13016208</v>
      </c>
      <c r="H706" s="50">
        <v>0</v>
      </c>
      <c r="I706" s="50">
        <v>817648</v>
      </c>
      <c r="J706" s="50">
        <v>0</v>
      </c>
      <c r="K706" s="50">
        <v>7473991.96</v>
      </c>
      <c r="L706" s="152">
        <f t="shared" si="0"/>
        <v>0.5742065553961645</v>
      </c>
      <c r="M706" s="50">
        <v>6834326.5800000001</v>
      </c>
      <c r="N706" s="152">
        <f t="shared" si="1"/>
        <v>0.52506279709113435</v>
      </c>
      <c r="O706" s="50">
        <v>4724568.04</v>
      </c>
      <c r="P706" s="152">
        <f t="shared" si="2"/>
        <v>0.36297576375546547</v>
      </c>
      <c r="Q706" s="50">
        <v>4724568.04</v>
      </c>
      <c r="R706" s="257"/>
    </row>
    <row r="707" spans="1:18" hidden="1" x14ac:dyDescent="0.25">
      <c r="A707" s="49" t="s">
        <v>717</v>
      </c>
      <c r="B707" s="49" t="s">
        <v>114</v>
      </c>
      <c r="C707" s="49" t="s">
        <v>115</v>
      </c>
      <c r="D707" s="49" t="s">
        <v>69</v>
      </c>
      <c r="E707" s="50">
        <v>0</v>
      </c>
      <c r="F707" s="50">
        <v>153408</v>
      </c>
      <c r="G707" s="50">
        <v>153408</v>
      </c>
      <c r="H707" s="50">
        <v>0</v>
      </c>
      <c r="I707" s="50">
        <v>0</v>
      </c>
      <c r="J707" s="50">
        <v>0</v>
      </c>
      <c r="K707" s="50">
        <v>89146</v>
      </c>
      <c r="L707" s="152">
        <f t="shared" si="0"/>
        <v>0.58110398414685027</v>
      </c>
      <c r="M707" s="50">
        <v>89146</v>
      </c>
      <c r="N707" s="152">
        <f t="shared" si="1"/>
        <v>0.58110398414685027</v>
      </c>
      <c r="O707" s="50">
        <v>64262</v>
      </c>
      <c r="P707" s="152">
        <f t="shared" si="2"/>
        <v>0.41889601585314978</v>
      </c>
      <c r="Q707" s="50">
        <v>64262</v>
      </c>
      <c r="R707" s="257"/>
    </row>
    <row r="708" spans="1:18" hidden="1" x14ac:dyDescent="0.25">
      <c r="A708" s="49" t="s">
        <v>717</v>
      </c>
      <c r="B708" s="49" t="s">
        <v>116</v>
      </c>
      <c r="C708" s="49" t="s">
        <v>117</v>
      </c>
      <c r="D708" s="49" t="s">
        <v>69</v>
      </c>
      <c r="E708" s="50">
        <v>500000</v>
      </c>
      <c r="F708" s="50">
        <v>500000</v>
      </c>
      <c r="G708" s="50">
        <v>500000</v>
      </c>
      <c r="H708" s="50">
        <v>0</v>
      </c>
      <c r="I708" s="50">
        <v>17648</v>
      </c>
      <c r="J708" s="50">
        <v>0</v>
      </c>
      <c r="K708" s="50">
        <v>481760.75</v>
      </c>
      <c r="L708" s="152">
        <f t="shared" si="0"/>
        <v>0.96352150000000003</v>
      </c>
      <c r="M708" s="50">
        <v>481760.75</v>
      </c>
      <c r="N708" s="152">
        <f t="shared" si="1"/>
        <v>0.96352150000000003</v>
      </c>
      <c r="O708" s="50">
        <v>591.25</v>
      </c>
      <c r="P708" s="152">
        <f t="shared" si="2"/>
        <v>1.1825E-3</v>
      </c>
      <c r="Q708" s="50">
        <v>591.25</v>
      </c>
      <c r="R708" s="257"/>
    </row>
    <row r="709" spans="1:18" hidden="1" x14ac:dyDescent="0.25">
      <c r="A709" s="49" t="s">
        <v>717</v>
      </c>
      <c r="B709" s="49" t="s">
        <v>120</v>
      </c>
      <c r="C709" s="49" t="s">
        <v>121</v>
      </c>
      <c r="D709" s="49" t="s">
        <v>69</v>
      </c>
      <c r="E709" s="50">
        <v>12362800</v>
      </c>
      <c r="F709" s="50">
        <v>12362800</v>
      </c>
      <c r="G709" s="50">
        <v>12362800</v>
      </c>
      <c r="H709" s="50">
        <v>0</v>
      </c>
      <c r="I709" s="50">
        <v>800000</v>
      </c>
      <c r="J709" s="50">
        <v>0</v>
      </c>
      <c r="K709" s="50">
        <v>6903085.21</v>
      </c>
      <c r="L709" s="152">
        <f t="shared" si="0"/>
        <v>0.55837554680169543</v>
      </c>
      <c r="M709" s="50">
        <v>6263419.8300000001</v>
      </c>
      <c r="N709" s="152">
        <f t="shared" si="1"/>
        <v>0.50663440563626361</v>
      </c>
      <c r="O709" s="50">
        <v>4659714.79</v>
      </c>
      <c r="P709" s="152">
        <f t="shared" si="2"/>
        <v>0.37691419338661147</v>
      </c>
      <c r="Q709" s="50">
        <v>4659714.79</v>
      </c>
      <c r="R709" s="257"/>
    </row>
    <row r="710" spans="1:18" hidden="1" x14ac:dyDescent="0.25">
      <c r="A710" s="49" t="s">
        <v>717</v>
      </c>
      <c r="B710" s="49" t="s">
        <v>124</v>
      </c>
      <c r="C710" s="49" t="s">
        <v>125</v>
      </c>
      <c r="D710" s="49" t="s">
        <v>69</v>
      </c>
      <c r="E710" s="50">
        <v>4286000</v>
      </c>
      <c r="F710" s="50">
        <v>1559050</v>
      </c>
      <c r="G710" s="50">
        <v>1559050</v>
      </c>
      <c r="H710" s="50">
        <v>0</v>
      </c>
      <c r="I710" s="50">
        <v>0</v>
      </c>
      <c r="J710" s="50">
        <v>0</v>
      </c>
      <c r="K710" s="50">
        <v>1195511.8</v>
      </c>
      <c r="L710" s="152">
        <f t="shared" si="0"/>
        <v>0.76682069208813064</v>
      </c>
      <c r="M710" s="50">
        <v>1195511.8</v>
      </c>
      <c r="N710" s="152">
        <f t="shared" si="1"/>
        <v>0.76682069208813064</v>
      </c>
      <c r="O710" s="50">
        <v>363538.2</v>
      </c>
      <c r="P710" s="152">
        <f t="shared" si="2"/>
        <v>0.23317930791186942</v>
      </c>
      <c r="Q710" s="50">
        <v>363538.2</v>
      </c>
      <c r="R710" s="257"/>
    </row>
    <row r="711" spans="1:18" hidden="1" x14ac:dyDescent="0.25">
      <c r="A711" s="49" t="s">
        <v>717</v>
      </c>
      <c r="B711" s="49" t="s">
        <v>126</v>
      </c>
      <c r="C711" s="49" t="s">
        <v>127</v>
      </c>
      <c r="D711" s="49" t="s">
        <v>69</v>
      </c>
      <c r="E711" s="50">
        <v>450000</v>
      </c>
      <c r="F711" s="50">
        <v>350000</v>
      </c>
      <c r="G711" s="50">
        <v>350000</v>
      </c>
      <c r="H711" s="50">
        <v>0</v>
      </c>
      <c r="I711" s="50">
        <v>0</v>
      </c>
      <c r="J711" s="50">
        <v>0</v>
      </c>
      <c r="K711" s="50">
        <v>49630</v>
      </c>
      <c r="L711" s="152">
        <f t="shared" si="0"/>
        <v>0.14180000000000001</v>
      </c>
      <c r="M711" s="50">
        <v>49630</v>
      </c>
      <c r="N711" s="152">
        <f t="shared" si="1"/>
        <v>0.14180000000000001</v>
      </c>
      <c r="O711" s="50">
        <v>300370</v>
      </c>
      <c r="P711" s="152">
        <f t="shared" si="2"/>
        <v>0.85819999999999996</v>
      </c>
      <c r="Q711" s="50">
        <v>300370</v>
      </c>
      <c r="R711" s="257"/>
    </row>
    <row r="712" spans="1:18" hidden="1" x14ac:dyDescent="0.25">
      <c r="A712" s="49" t="s">
        <v>717</v>
      </c>
      <c r="B712" s="49" t="s">
        <v>532</v>
      </c>
      <c r="C712" s="49" t="s">
        <v>718</v>
      </c>
      <c r="D712" s="49" t="s">
        <v>69</v>
      </c>
      <c r="E712" s="50">
        <v>1336000</v>
      </c>
      <c r="F712" s="50">
        <v>209050</v>
      </c>
      <c r="G712" s="50">
        <v>209050</v>
      </c>
      <c r="H712" s="50">
        <v>0</v>
      </c>
      <c r="I712" s="50">
        <v>0</v>
      </c>
      <c r="J712" s="50">
        <v>0</v>
      </c>
      <c r="K712" s="50">
        <v>209050</v>
      </c>
      <c r="L712" s="152">
        <f t="shared" si="0"/>
        <v>1</v>
      </c>
      <c r="M712" s="50">
        <v>209050</v>
      </c>
      <c r="N712" s="152">
        <f t="shared" si="1"/>
        <v>1</v>
      </c>
      <c r="O712" s="50">
        <v>0</v>
      </c>
      <c r="P712" s="152">
        <f t="shared" si="2"/>
        <v>0</v>
      </c>
      <c r="Q712" s="50">
        <v>0</v>
      </c>
      <c r="R712" s="257"/>
    </row>
    <row r="713" spans="1:18" hidden="1" x14ac:dyDescent="0.25">
      <c r="A713" s="49" t="s">
        <v>717</v>
      </c>
      <c r="B713" s="49" t="s">
        <v>128</v>
      </c>
      <c r="C713" s="49" t="s">
        <v>129</v>
      </c>
      <c r="D713" s="49" t="s">
        <v>69</v>
      </c>
      <c r="E713" s="50">
        <v>2500000</v>
      </c>
      <c r="F713" s="50">
        <v>1000000</v>
      </c>
      <c r="G713" s="50">
        <v>1000000</v>
      </c>
      <c r="H713" s="50">
        <v>0</v>
      </c>
      <c r="I713" s="50">
        <v>0</v>
      </c>
      <c r="J713" s="50">
        <v>0</v>
      </c>
      <c r="K713" s="50">
        <v>936831.8</v>
      </c>
      <c r="L713" s="152">
        <f t="shared" si="0"/>
        <v>0.93683179999999999</v>
      </c>
      <c r="M713" s="50">
        <v>936831.8</v>
      </c>
      <c r="N713" s="152">
        <f t="shared" si="1"/>
        <v>0.93683179999999999</v>
      </c>
      <c r="O713" s="50">
        <v>63168.2</v>
      </c>
      <c r="P713" s="152">
        <f t="shared" si="2"/>
        <v>6.3168199999999994E-2</v>
      </c>
      <c r="Q713" s="50">
        <v>63168.2</v>
      </c>
      <c r="R713" s="257"/>
    </row>
    <row r="714" spans="1:18" hidden="1" x14ac:dyDescent="0.25">
      <c r="A714" s="49" t="s">
        <v>717</v>
      </c>
      <c r="B714" s="49" t="s">
        <v>134</v>
      </c>
      <c r="C714" s="49" t="s">
        <v>135</v>
      </c>
      <c r="D714" s="49" t="s">
        <v>69</v>
      </c>
      <c r="E714" s="50">
        <v>3625200</v>
      </c>
      <c r="F714" s="50">
        <v>75000</v>
      </c>
      <c r="G714" s="50">
        <v>75000</v>
      </c>
      <c r="H714" s="50">
        <v>0</v>
      </c>
      <c r="I714" s="50">
        <v>0</v>
      </c>
      <c r="J714" s="50">
        <v>0</v>
      </c>
      <c r="K714" s="50">
        <v>58274.1</v>
      </c>
      <c r="L714" s="152">
        <f t="shared" si="0"/>
        <v>0.77698800000000001</v>
      </c>
      <c r="M714" s="50">
        <v>58274.1</v>
      </c>
      <c r="N714" s="152">
        <f t="shared" si="1"/>
        <v>0.77698800000000001</v>
      </c>
      <c r="O714" s="50">
        <v>16725.900000000001</v>
      </c>
      <c r="P714" s="152">
        <f t="shared" si="2"/>
        <v>0.22301200000000002</v>
      </c>
      <c r="Q714" s="50">
        <v>16725.900000000001</v>
      </c>
      <c r="R714" s="257"/>
    </row>
    <row r="715" spans="1:18" hidden="1" x14ac:dyDescent="0.25">
      <c r="A715" s="49" t="s">
        <v>717</v>
      </c>
      <c r="B715" s="49" t="s">
        <v>138</v>
      </c>
      <c r="C715" s="49" t="s">
        <v>139</v>
      </c>
      <c r="D715" s="49" t="s">
        <v>69</v>
      </c>
      <c r="E715" s="50">
        <v>3625200</v>
      </c>
      <c r="F715" s="50">
        <v>75000</v>
      </c>
      <c r="G715" s="50">
        <v>75000</v>
      </c>
      <c r="H715" s="50">
        <v>0</v>
      </c>
      <c r="I715" s="50">
        <v>0</v>
      </c>
      <c r="J715" s="50">
        <v>0</v>
      </c>
      <c r="K715" s="50">
        <v>58274.1</v>
      </c>
      <c r="L715" s="152">
        <f t="shared" si="0"/>
        <v>0.77698800000000001</v>
      </c>
      <c r="M715" s="50">
        <v>58274.1</v>
      </c>
      <c r="N715" s="152">
        <f t="shared" si="1"/>
        <v>0.77698800000000001</v>
      </c>
      <c r="O715" s="50">
        <v>16725.900000000001</v>
      </c>
      <c r="P715" s="152">
        <f t="shared" si="2"/>
        <v>0.22301200000000002</v>
      </c>
      <c r="Q715" s="50">
        <v>16725.900000000001</v>
      </c>
      <c r="R715" s="257"/>
    </row>
    <row r="716" spans="1:18" hidden="1" x14ac:dyDescent="0.25">
      <c r="A716" s="49" t="s">
        <v>717</v>
      </c>
      <c r="B716" s="49" t="s">
        <v>140</v>
      </c>
      <c r="C716" s="49" t="s">
        <v>141</v>
      </c>
      <c r="D716" s="49" t="s">
        <v>69</v>
      </c>
      <c r="E716" s="50">
        <v>18004720</v>
      </c>
      <c r="F716" s="50">
        <v>9119755</v>
      </c>
      <c r="G716" s="50">
        <v>9119755</v>
      </c>
      <c r="H716" s="50">
        <v>0</v>
      </c>
      <c r="I716" s="50">
        <v>144470</v>
      </c>
      <c r="J716" s="50">
        <v>0</v>
      </c>
      <c r="K716" s="50">
        <v>5076130</v>
      </c>
      <c r="L716" s="152">
        <f t="shared" si="0"/>
        <v>0.55660815449537848</v>
      </c>
      <c r="M716" s="50">
        <v>5076130</v>
      </c>
      <c r="N716" s="152">
        <f t="shared" si="1"/>
        <v>0.55660815449537848</v>
      </c>
      <c r="O716" s="50">
        <v>3899155</v>
      </c>
      <c r="P716" s="152">
        <f t="shared" si="2"/>
        <v>0.42755041116784387</v>
      </c>
      <c r="Q716" s="50">
        <v>3899155</v>
      </c>
      <c r="R716" s="257"/>
    </row>
    <row r="717" spans="1:18" hidden="1" x14ac:dyDescent="0.25">
      <c r="A717" s="49" t="s">
        <v>717</v>
      </c>
      <c r="B717" s="49" t="s">
        <v>142</v>
      </c>
      <c r="C717" s="49" t="s">
        <v>143</v>
      </c>
      <c r="D717" s="49" t="s">
        <v>69</v>
      </c>
      <c r="E717" s="50">
        <v>1560220</v>
      </c>
      <c r="F717" s="50">
        <v>394680</v>
      </c>
      <c r="G717" s="50">
        <v>394680</v>
      </c>
      <c r="H717" s="50">
        <v>0</v>
      </c>
      <c r="I717" s="50">
        <v>10070</v>
      </c>
      <c r="J717" s="50">
        <v>0</v>
      </c>
      <c r="K717" s="50">
        <v>200030</v>
      </c>
      <c r="L717" s="152">
        <f t="shared" si="0"/>
        <v>0.50681564811999591</v>
      </c>
      <c r="M717" s="50">
        <v>200030</v>
      </c>
      <c r="N717" s="152">
        <f t="shared" si="1"/>
        <v>0.50681564811999591</v>
      </c>
      <c r="O717" s="50">
        <v>184580</v>
      </c>
      <c r="P717" s="152">
        <f t="shared" si="2"/>
        <v>0.467670011148272</v>
      </c>
      <c r="Q717" s="50">
        <v>184580</v>
      </c>
      <c r="R717" s="257"/>
    </row>
    <row r="718" spans="1:18" hidden="1" x14ac:dyDescent="0.25">
      <c r="A718" s="49" t="s">
        <v>717</v>
      </c>
      <c r="B718" s="49" t="s">
        <v>144</v>
      </c>
      <c r="C718" s="49" t="s">
        <v>145</v>
      </c>
      <c r="D718" s="49" t="s">
        <v>69</v>
      </c>
      <c r="E718" s="50">
        <v>16444500</v>
      </c>
      <c r="F718" s="50">
        <v>8725075</v>
      </c>
      <c r="G718" s="50">
        <v>8725075</v>
      </c>
      <c r="H718" s="50">
        <v>0</v>
      </c>
      <c r="I718" s="50">
        <v>134400</v>
      </c>
      <c r="J718" s="50">
        <v>0</v>
      </c>
      <c r="K718" s="50">
        <v>4876100</v>
      </c>
      <c r="L718" s="152">
        <f t="shared" si="0"/>
        <v>0.55886052555422161</v>
      </c>
      <c r="M718" s="50">
        <v>4876100</v>
      </c>
      <c r="N718" s="152">
        <f t="shared" si="1"/>
        <v>0.55886052555422161</v>
      </c>
      <c r="O718" s="50">
        <v>3714575</v>
      </c>
      <c r="P718" s="152">
        <f t="shared" si="2"/>
        <v>0.42573559539602812</v>
      </c>
      <c r="Q718" s="50">
        <v>3714575</v>
      </c>
      <c r="R718" s="257"/>
    </row>
    <row r="719" spans="1:18" hidden="1" x14ac:dyDescent="0.25">
      <c r="A719" s="49" t="s">
        <v>717</v>
      </c>
      <c r="B719" s="49" t="s">
        <v>150</v>
      </c>
      <c r="C719" s="49" t="s">
        <v>151</v>
      </c>
      <c r="D719" s="49" t="s">
        <v>69</v>
      </c>
      <c r="E719" s="50">
        <v>6000000</v>
      </c>
      <c r="F719" s="50">
        <v>5900000</v>
      </c>
      <c r="G719" s="50">
        <v>5900000</v>
      </c>
      <c r="H719" s="50">
        <v>0</v>
      </c>
      <c r="I719" s="50">
        <v>380000</v>
      </c>
      <c r="J719" s="50">
        <v>0</v>
      </c>
      <c r="K719" s="50">
        <v>4707214</v>
      </c>
      <c r="L719" s="152">
        <f t="shared" si="0"/>
        <v>0.79783288135593222</v>
      </c>
      <c r="M719" s="50">
        <v>4707214</v>
      </c>
      <c r="N719" s="152">
        <f t="shared" si="1"/>
        <v>0.79783288135593222</v>
      </c>
      <c r="O719" s="50">
        <v>812786</v>
      </c>
      <c r="P719" s="152">
        <f t="shared" si="2"/>
        <v>0.13776033898305085</v>
      </c>
      <c r="Q719" s="50">
        <v>812786</v>
      </c>
      <c r="R719" s="257"/>
    </row>
    <row r="720" spans="1:18" hidden="1" x14ac:dyDescent="0.25">
      <c r="A720" s="49" t="s">
        <v>717</v>
      </c>
      <c r="B720" s="49" t="s">
        <v>152</v>
      </c>
      <c r="C720" s="49" t="s">
        <v>153</v>
      </c>
      <c r="D720" s="49" t="s">
        <v>69</v>
      </c>
      <c r="E720" s="50">
        <v>6000000</v>
      </c>
      <c r="F720" s="50">
        <v>5900000</v>
      </c>
      <c r="G720" s="50">
        <v>5900000</v>
      </c>
      <c r="H720" s="50">
        <v>0</v>
      </c>
      <c r="I720" s="50">
        <v>380000</v>
      </c>
      <c r="J720" s="50">
        <v>0</v>
      </c>
      <c r="K720" s="50">
        <v>4707214</v>
      </c>
      <c r="L720" s="152">
        <f t="shared" si="0"/>
        <v>0.79783288135593222</v>
      </c>
      <c r="M720" s="50">
        <v>4707214</v>
      </c>
      <c r="N720" s="152">
        <f t="shared" si="1"/>
        <v>0.79783288135593222</v>
      </c>
      <c r="O720" s="50">
        <v>812786</v>
      </c>
      <c r="P720" s="152">
        <f t="shared" si="2"/>
        <v>0.13776033898305085</v>
      </c>
      <c r="Q720" s="50">
        <v>812786</v>
      </c>
      <c r="R720" s="257"/>
    </row>
    <row r="721" spans="1:18" hidden="1" x14ac:dyDescent="0.25">
      <c r="A721" s="49" t="s">
        <v>717</v>
      </c>
      <c r="B721" s="49" t="s">
        <v>154</v>
      </c>
      <c r="C721" s="49" t="s">
        <v>155</v>
      </c>
      <c r="D721" s="49" t="s">
        <v>69</v>
      </c>
      <c r="E721" s="50">
        <v>27190000</v>
      </c>
      <c r="F721" s="50">
        <v>3418859</v>
      </c>
      <c r="G721" s="50">
        <v>3418859</v>
      </c>
      <c r="H721" s="50">
        <v>0</v>
      </c>
      <c r="I721" s="50">
        <v>0</v>
      </c>
      <c r="J721" s="50">
        <v>0</v>
      </c>
      <c r="K721" s="50">
        <v>350300</v>
      </c>
      <c r="L721" s="152">
        <f t="shared" si="0"/>
        <v>0.10246108423892299</v>
      </c>
      <c r="M721" s="50">
        <v>350300</v>
      </c>
      <c r="N721" s="152">
        <f t="shared" si="1"/>
        <v>0.10246108423892299</v>
      </c>
      <c r="O721" s="50">
        <v>3068559</v>
      </c>
      <c r="P721" s="152">
        <f t="shared" si="2"/>
        <v>0.89753891576107703</v>
      </c>
      <c r="Q721" s="50">
        <v>3068559</v>
      </c>
      <c r="R721" s="257"/>
    </row>
    <row r="722" spans="1:18" hidden="1" x14ac:dyDescent="0.25">
      <c r="A722" s="49" t="s">
        <v>717</v>
      </c>
      <c r="B722" s="49" t="s">
        <v>156</v>
      </c>
      <c r="C722" s="49" t="s">
        <v>157</v>
      </c>
      <c r="D722" s="49" t="s">
        <v>69</v>
      </c>
      <c r="E722" s="50">
        <v>27190000</v>
      </c>
      <c r="F722" s="50">
        <v>3418859</v>
      </c>
      <c r="G722" s="50">
        <v>3418859</v>
      </c>
      <c r="H722" s="50">
        <v>0</v>
      </c>
      <c r="I722" s="50">
        <v>0</v>
      </c>
      <c r="J722" s="50">
        <v>0</v>
      </c>
      <c r="K722" s="50">
        <v>350300</v>
      </c>
      <c r="L722" s="152">
        <f t="shared" si="0"/>
        <v>0.10246108423892299</v>
      </c>
      <c r="M722" s="50">
        <v>350300</v>
      </c>
      <c r="N722" s="152">
        <f t="shared" si="1"/>
        <v>0.10246108423892299</v>
      </c>
      <c r="O722" s="50">
        <v>3068559</v>
      </c>
      <c r="P722" s="152">
        <f t="shared" si="2"/>
        <v>0.89753891576107703</v>
      </c>
      <c r="Q722" s="50">
        <v>3068559</v>
      </c>
      <c r="R722" s="257"/>
    </row>
    <row r="723" spans="1:18" hidden="1" x14ac:dyDescent="0.25">
      <c r="A723" s="49" t="s">
        <v>717</v>
      </c>
      <c r="B723" s="49" t="s">
        <v>162</v>
      </c>
      <c r="C723" s="49" t="s">
        <v>163</v>
      </c>
      <c r="D723" s="49" t="s">
        <v>69</v>
      </c>
      <c r="E723" s="50">
        <v>9500000</v>
      </c>
      <c r="F723" s="50">
        <v>7000000</v>
      </c>
      <c r="G723" s="50">
        <v>7000000</v>
      </c>
      <c r="H723" s="50">
        <v>0</v>
      </c>
      <c r="I723" s="50">
        <v>421767.91</v>
      </c>
      <c r="J723" s="50">
        <v>0</v>
      </c>
      <c r="K723" s="50">
        <v>5649234.9900000002</v>
      </c>
      <c r="L723" s="152">
        <f t="shared" si="0"/>
        <v>0.80703356999999998</v>
      </c>
      <c r="M723" s="50">
        <v>3214513.64</v>
      </c>
      <c r="N723" s="152">
        <f t="shared" si="1"/>
        <v>0.45921623428571429</v>
      </c>
      <c r="O723" s="50">
        <v>928997.1</v>
      </c>
      <c r="P723" s="152">
        <f t="shared" si="2"/>
        <v>0.13271387142857141</v>
      </c>
      <c r="Q723" s="50">
        <v>928997.1</v>
      </c>
      <c r="R723" s="257"/>
    </row>
    <row r="724" spans="1:18" hidden="1" x14ac:dyDescent="0.25">
      <c r="A724" s="49" t="s">
        <v>717</v>
      </c>
      <c r="B724" s="49" t="s">
        <v>166</v>
      </c>
      <c r="C724" s="49" t="s">
        <v>167</v>
      </c>
      <c r="D724" s="49" t="s">
        <v>69</v>
      </c>
      <c r="E724" s="50">
        <v>4500000</v>
      </c>
      <c r="F724" s="50">
        <v>2000000</v>
      </c>
      <c r="G724" s="50">
        <v>2000000</v>
      </c>
      <c r="H724" s="50">
        <v>0</v>
      </c>
      <c r="I724" s="50">
        <v>70767.91</v>
      </c>
      <c r="J724" s="50">
        <v>0</v>
      </c>
      <c r="K724" s="50">
        <v>1891867.69</v>
      </c>
      <c r="L724" s="152">
        <f t="shared" si="0"/>
        <v>0.945933845</v>
      </c>
      <c r="M724" s="50">
        <v>1161104.6000000001</v>
      </c>
      <c r="N724" s="152">
        <f t="shared" si="1"/>
        <v>0.58055230000000002</v>
      </c>
      <c r="O724" s="50">
        <v>37364.400000000001</v>
      </c>
      <c r="P724" s="152">
        <f t="shared" si="2"/>
        <v>1.86822E-2</v>
      </c>
      <c r="Q724" s="50">
        <v>37364.400000000001</v>
      </c>
      <c r="R724" s="257"/>
    </row>
    <row r="725" spans="1:18" hidden="1" x14ac:dyDescent="0.25">
      <c r="A725" s="49" t="s">
        <v>717</v>
      </c>
      <c r="B725" s="49" t="s">
        <v>170</v>
      </c>
      <c r="C725" s="49" t="s">
        <v>171</v>
      </c>
      <c r="D725" s="49" t="s">
        <v>69</v>
      </c>
      <c r="E725" s="50">
        <v>5000000</v>
      </c>
      <c r="F725" s="50">
        <v>5000000</v>
      </c>
      <c r="G725" s="50">
        <v>5000000</v>
      </c>
      <c r="H725" s="50">
        <v>0</v>
      </c>
      <c r="I725" s="50">
        <v>351000</v>
      </c>
      <c r="J725" s="50">
        <v>0</v>
      </c>
      <c r="K725" s="50">
        <v>3757367.3</v>
      </c>
      <c r="L725" s="152">
        <f t="shared" si="0"/>
        <v>0.75147345999999993</v>
      </c>
      <c r="M725" s="50">
        <v>2053409.04</v>
      </c>
      <c r="N725" s="152">
        <f t="shared" si="1"/>
        <v>0.41068180799999998</v>
      </c>
      <c r="O725" s="50">
        <v>891632.7</v>
      </c>
      <c r="P725" s="152">
        <f t="shared" si="2"/>
        <v>0.17832653999999998</v>
      </c>
      <c r="Q725" s="50">
        <v>891632.7</v>
      </c>
      <c r="R725" s="257"/>
    </row>
    <row r="726" spans="1:18" hidden="1" x14ac:dyDescent="0.25">
      <c r="A726" s="49" t="s">
        <v>717</v>
      </c>
      <c r="B726" s="49" t="s">
        <v>174</v>
      </c>
      <c r="C726" s="49" t="s">
        <v>175</v>
      </c>
      <c r="D726" s="49" t="s">
        <v>69</v>
      </c>
      <c r="E726" s="50">
        <v>500000</v>
      </c>
      <c r="F726" s="50">
        <v>380000</v>
      </c>
      <c r="G726" s="50">
        <v>380000</v>
      </c>
      <c r="H726" s="50">
        <v>0</v>
      </c>
      <c r="I726" s="50">
        <v>14136</v>
      </c>
      <c r="J726" s="50">
        <v>0</v>
      </c>
      <c r="K726" s="50">
        <v>315864</v>
      </c>
      <c r="L726" s="152">
        <f t="shared" si="0"/>
        <v>0.83122105263157897</v>
      </c>
      <c r="M726" s="50">
        <v>46085</v>
      </c>
      <c r="N726" s="152">
        <f t="shared" si="1"/>
        <v>0.12127631578947369</v>
      </c>
      <c r="O726" s="50">
        <v>50000</v>
      </c>
      <c r="P726" s="152">
        <f t="shared" si="2"/>
        <v>0.13157894736842105</v>
      </c>
      <c r="Q726" s="50">
        <v>50000</v>
      </c>
      <c r="R726" s="257"/>
    </row>
    <row r="727" spans="1:18" hidden="1" x14ac:dyDescent="0.25">
      <c r="A727" s="49" t="s">
        <v>717</v>
      </c>
      <c r="B727" s="49" t="s">
        <v>176</v>
      </c>
      <c r="C727" s="49" t="s">
        <v>177</v>
      </c>
      <c r="D727" s="49" t="s">
        <v>69</v>
      </c>
      <c r="E727" s="50">
        <v>500000</v>
      </c>
      <c r="F727" s="50">
        <v>380000</v>
      </c>
      <c r="G727" s="50">
        <v>380000</v>
      </c>
      <c r="H727" s="50">
        <v>0</v>
      </c>
      <c r="I727" s="50">
        <v>14136</v>
      </c>
      <c r="J727" s="50">
        <v>0</v>
      </c>
      <c r="K727" s="50">
        <v>315864</v>
      </c>
      <c r="L727" s="152">
        <f t="shared" si="0"/>
        <v>0.83122105263157897</v>
      </c>
      <c r="M727" s="50">
        <v>46085</v>
      </c>
      <c r="N727" s="152">
        <f t="shared" si="1"/>
        <v>0.12127631578947369</v>
      </c>
      <c r="O727" s="50">
        <v>50000</v>
      </c>
      <c r="P727" s="152">
        <f t="shared" si="2"/>
        <v>0.13157894736842105</v>
      </c>
      <c r="Q727" s="50">
        <v>50000</v>
      </c>
      <c r="R727" s="257"/>
    </row>
    <row r="728" spans="1:18" hidden="1" x14ac:dyDescent="0.25">
      <c r="A728" s="49" t="s">
        <v>717</v>
      </c>
      <c r="B728" s="49" t="s">
        <v>178</v>
      </c>
      <c r="C728" s="49" t="s">
        <v>179</v>
      </c>
      <c r="D728" s="49" t="s">
        <v>69</v>
      </c>
      <c r="E728" s="50">
        <v>1500000</v>
      </c>
      <c r="F728" s="50">
        <v>1000000</v>
      </c>
      <c r="G728" s="50">
        <v>1000000</v>
      </c>
      <c r="H728" s="50">
        <v>0</v>
      </c>
      <c r="I728" s="50">
        <v>200000</v>
      </c>
      <c r="J728" s="50">
        <v>0</v>
      </c>
      <c r="K728" s="50">
        <v>200000</v>
      </c>
      <c r="L728" s="152">
        <f t="shared" si="0"/>
        <v>0.2</v>
      </c>
      <c r="M728" s="50">
        <v>200000</v>
      </c>
      <c r="N728" s="152">
        <f t="shared" si="1"/>
        <v>0.2</v>
      </c>
      <c r="O728" s="50">
        <v>600000</v>
      </c>
      <c r="P728" s="152">
        <f t="shared" si="2"/>
        <v>0.6</v>
      </c>
      <c r="Q728" s="50">
        <v>600000</v>
      </c>
      <c r="R728" s="257"/>
    </row>
    <row r="729" spans="1:18" hidden="1" x14ac:dyDescent="0.25">
      <c r="A729" s="49" t="s">
        <v>717</v>
      </c>
      <c r="B729" s="49" t="s">
        <v>182</v>
      </c>
      <c r="C729" s="49" t="s">
        <v>183</v>
      </c>
      <c r="D729" s="49" t="s">
        <v>69</v>
      </c>
      <c r="E729" s="50">
        <v>1500000</v>
      </c>
      <c r="F729" s="50">
        <v>1000000</v>
      </c>
      <c r="G729" s="50">
        <v>1000000</v>
      </c>
      <c r="H729" s="50">
        <v>0</v>
      </c>
      <c r="I729" s="50">
        <v>200000</v>
      </c>
      <c r="J729" s="50">
        <v>0</v>
      </c>
      <c r="K729" s="50">
        <v>200000</v>
      </c>
      <c r="L729" s="152">
        <f t="shared" si="0"/>
        <v>0.2</v>
      </c>
      <c r="M729" s="50">
        <v>200000</v>
      </c>
      <c r="N729" s="152">
        <f t="shared" si="1"/>
        <v>0.2</v>
      </c>
      <c r="O729" s="50">
        <v>600000</v>
      </c>
      <c r="P729" s="152">
        <f t="shared" si="2"/>
        <v>0.6</v>
      </c>
      <c r="Q729" s="50">
        <v>600000</v>
      </c>
      <c r="R729" s="257"/>
    </row>
    <row r="730" spans="1:18" hidden="1" x14ac:dyDescent="0.25">
      <c r="A730" s="49" t="s">
        <v>717</v>
      </c>
      <c r="B730" s="49" t="s">
        <v>184</v>
      </c>
      <c r="C730" s="49" t="s">
        <v>185</v>
      </c>
      <c r="D730" s="49" t="s">
        <v>69</v>
      </c>
      <c r="E730" s="50">
        <v>52884335</v>
      </c>
      <c r="F730" s="50">
        <v>30715753</v>
      </c>
      <c r="G730" s="50">
        <v>30715753</v>
      </c>
      <c r="H730" s="50">
        <v>0</v>
      </c>
      <c r="I730" s="50">
        <v>2277512</v>
      </c>
      <c r="J730" s="50">
        <v>0</v>
      </c>
      <c r="K730" s="50">
        <v>23736882.530000001</v>
      </c>
      <c r="L730" s="152">
        <f t="shared" si="0"/>
        <v>0.77279181565237876</v>
      </c>
      <c r="M730" s="50">
        <v>21056914.309999999</v>
      </c>
      <c r="N730" s="152">
        <f t="shared" si="1"/>
        <v>0.68554120454087508</v>
      </c>
      <c r="O730" s="50">
        <v>4701358.47</v>
      </c>
      <c r="P730" s="152">
        <f t="shared" si="2"/>
        <v>0.15306017306494163</v>
      </c>
      <c r="Q730" s="50">
        <v>4701358.47</v>
      </c>
      <c r="R730" s="257"/>
    </row>
    <row r="731" spans="1:18" hidden="1" x14ac:dyDescent="0.25">
      <c r="A731" s="49" t="s">
        <v>717</v>
      </c>
      <c r="B731" s="49" t="s">
        <v>186</v>
      </c>
      <c r="C731" s="49" t="s">
        <v>187</v>
      </c>
      <c r="D731" s="49" t="s">
        <v>69</v>
      </c>
      <c r="E731" s="50">
        <v>21308004</v>
      </c>
      <c r="F731" s="50">
        <v>10787684</v>
      </c>
      <c r="G731" s="50">
        <v>10787684</v>
      </c>
      <c r="H731" s="50">
        <v>0</v>
      </c>
      <c r="I731" s="50">
        <v>1901610</v>
      </c>
      <c r="J731" s="50">
        <v>0</v>
      </c>
      <c r="K731" s="50">
        <v>5546367.2300000004</v>
      </c>
      <c r="L731" s="152">
        <f t="shared" si="0"/>
        <v>0.5141388299842673</v>
      </c>
      <c r="M731" s="50">
        <v>5546367.2300000004</v>
      </c>
      <c r="N731" s="152">
        <f t="shared" si="1"/>
        <v>0.5141388299842673</v>
      </c>
      <c r="O731" s="50">
        <v>3339706.77</v>
      </c>
      <c r="P731" s="152">
        <f t="shared" si="2"/>
        <v>0.3095851500655748</v>
      </c>
      <c r="Q731" s="50">
        <v>3339706.77</v>
      </c>
      <c r="R731" s="257"/>
    </row>
    <row r="732" spans="1:18" hidden="1" x14ac:dyDescent="0.25">
      <c r="A732" s="49" t="s">
        <v>717</v>
      </c>
      <c r="B732" s="49" t="s">
        <v>188</v>
      </c>
      <c r="C732" s="49" t="s">
        <v>189</v>
      </c>
      <c r="D732" s="49" t="s">
        <v>69</v>
      </c>
      <c r="E732" s="50">
        <v>9500000</v>
      </c>
      <c r="F732" s="50">
        <v>5710000</v>
      </c>
      <c r="G732" s="50">
        <v>5710000</v>
      </c>
      <c r="H732" s="50">
        <v>0</v>
      </c>
      <c r="I732" s="50">
        <v>400000</v>
      </c>
      <c r="J732" s="50">
        <v>0</v>
      </c>
      <c r="K732" s="50">
        <v>2235606.17</v>
      </c>
      <c r="L732" s="152">
        <f t="shared" si="0"/>
        <v>0.39152472329246935</v>
      </c>
      <c r="M732" s="50">
        <v>2235606.17</v>
      </c>
      <c r="N732" s="152">
        <f t="shared" si="1"/>
        <v>0.39152472329246935</v>
      </c>
      <c r="O732" s="50">
        <v>3074393.83</v>
      </c>
      <c r="P732" s="152">
        <f t="shared" si="2"/>
        <v>0.53842273730297729</v>
      </c>
      <c r="Q732" s="50">
        <v>3074393.83</v>
      </c>
      <c r="R732" s="257"/>
    </row>
    <row r="733" spans="1:18" hidden="1" x14ac:dyDescent="0.25">
      <c r="A733" s="49" t="s">
        <v>717</v>
      </c>
      <c r="B733" s="49" t="s">
        <v>192</v>
      </c>
      <c r="C733" s="49" t="s">
        <v>193</v>
      </c>
      <c r="D733" s="49" t="s">
        <v>69</v>
      </c>
      <c r="E733" s="50">
        <v>11808004</v>
      </c>
      <c r="F733" s="50">
        <v>5077684</v>
      </c>
      <c r="G733" s="50">
        <v>5077684</v>
      </c>
      <c r="H733" s="50">
        <v>0</v>
      </c>
      <c r="I733" s="50">
        <v>1501610</v>
      </c>
      <c r="J733" s="50">
        <v>0</v>
      </c>
      <c r="K733" s="50">
        <v>3310761.06</v>
      </c>
      <c r="L733" s="152">
        <f t="shared" si="0"/>
        <v>0.65202187847845594</v>
      </c>
      <c r="M733" s="50">
        <v>3310761.06</v>
      </c>
      <c r="N733" s="152">
        <f t="shared" si="1"/>
        <v>0.65202187847845594</v>
      </c>
      <c r="O733" s="50">
        <v>265312.94</v>
      </c>
      <c r="P733" s="152">
        <f t="shared" si="2"/>
        <v>5.2250778110650445E-2</v>
      </c>
      <c r="Q733" s="50">
        <v>265312.94</v>
      </c>
      <c r="R733" s="257"/>
    </row>
    <row r="734" spans="1:18" hidden="1" x14ac:dyDescent="0.25">
      <c r="A734" s="49" t="s">
        <v>717</v>
      </c>
      <c r="B734" s="49" t="s">
        <v>196</v>
      </c>
      <c r="C734" s="49" t="s">
        <v>197</v>
      </c>
      <c r="D734" s="49" t="s">
        <v>69</v>
      </c>
      <c r="E734" s="50">
        <v>7008325</v>
      </c>
      <c r="F734" s="50">
        <v>6008325</v>
      </c>
      <c r="G734" s="50">
        <v>6008325</v>
      </c>
      <c r="H734" s="50">
        <v>0</v>
      </c>
      <c r="I734" s="50">
        <v>54093</v>
      </c>
      <c r="J734" s="50">
        <v>0</v>
      </c>
      <c r="K734" s="50">
        <v>5885091</v>
      </c>
      <c r="L734" s="152">
        <f t="shared" si="0"/>
        <v>0.97948945837650259</v>
      </c>
      <c r="M734" s="50">
        <v>5885091</v>
      </c>
      <c r="N734" s="152">
        <f t="shared" si="1"/>
        <v>0.97948945837650259</v>
      </c>
      <c r="O734" s="50">
        <v>69141</v>
      </c>
      <c r="P734" s="152">
        <f t="shared" si="2"/>
        <v>1.150753329754965E-2</v>
      </c>
      <c r="Q734" s="50">
        <v>69141</v>
      </c>
      <c r="R734" s="257"/>
    </row>
    <row r="735" spans="1:18" hidden="1" x14ac:dyDescent="0.25">
      <c r="A735" s="49" t="s">
        <v>717</v>
      </c>
      <c r="B735" s="49" t="s">
        <v>198</v>
      </c>
      <c r="C735" s="49" t="s">
        <v>199</v>
      </c>
      <c r="D735" s="49" t="s">
        <v>69</v>
      </c>
      <c r="E735" s="50">
        <v>7008325</v>
      </c>
      <c r="F735" s="50">
        <v>6008325</v>
      </c>
      <c r="G735" s="50">
        <v>6008325</v>
      </c>
      <c r="H735" s="50">
        <v>0</v>
      </c>
      <c r="I735" s="50">
        <v>54093</v>
      </c>
      <c r="J735" s="50">
        <v>0</v>
      </c>
      <c r="K735" s="50">
        <v>5885091</v>
      </c>
      <c r="L735" s="152">
        <f t="shared" si="0"/>
        <v>0.97948945837650259</v>
      </c>
      <c r="M735" s="50">
        <v>5885091</v>
      </c>
      <c r="N735" s="152">
        <f t="shared" si="1"/>
        <v>0.97948945837650259</v>
      </c>
      <c r="O735" s="50">
        <v>69141</v>
      </c>
      <c r="P735" s="152">
        <f t="shared" si="2"/>
        <v>1.150753329754965E-2</v>
      </c>
      <c r="Q735" s="50">
        <v>69141</v>
      </c>
      <c r="R735" s="257"/>
    </row>
    <row r="736" spans="1:18" hidden="1" x14ac:dyDescent="0.25">
      <c r="A736" s="49" t="s">
        <v>717</v>
      </c>
      <c r="B736" s="49" t="s">
        <v>200</v>
      </c>
      <c r="C736" s="49" t="s">
        <v>201</v>
      </c>
      <c r="D736" s="49" t="s">
        <v>69</v>
      </c>
      <c r="E736" s="50">
        <v>900000</v>
      </c>
      <c r="F736" s="50">
        <v>152954</v>
      </c>
      <c r="G736" s="50">
        <v>152954</v>
      </c>
      <c r="H736" s="50">
        <v>0</v>
      </c>
      <c r="I736" s="50">
        <v>10090.27</v>
      </c>
      <c r="J736" s="50">
        <v>0</v>
      </c>
      <c r="K736" s="50">
        <v>81840.02</v>
      </c>
      <c r="L736" s="152">
        <f t="shared" si="0"/>
        <v>0.53506296010565269</v>
      </c>
      <c r="M736" s="50">
        <v>81840.02</v>
      </c>
      <c r="N736" s="152">
        <f t="shared" si="1"/>
        <v>0.53506296010565269</v>
      </c>
      <c r="O736" s="50">
        <v>61023.71</v>
      </c>
      <c r="P736" s="152">
        <f t="shared" si="2"/>
        <v>0.39896772885965714</v>
      </c>
      <c r="Q736" s="50">
        <v>61023.71</v>
      </c>
      <c r="R736" s="257"/>
    </row>
    <row r="737" spans="1:18" hidden="1" x14ac:dyDescent="0.25">
      <c r="A737" s="49" t="s">
        <v>717</v>
      </c>
      <c r="B737" s="49" t="s">
        <v>316</v>
      </c>
      <c r="C737" s="49" t="s">
        <v>317</v>
      </c>
      <c r="D737" s="49" t="s">
        <v>69</v>
      </c>
      <c r="E737" s="50">
        <v>420000</v>
      </c>
      <c r="F737" s="50">
        <v>20000</v>
      </c>
      <c r="G737" s="50">
        <v>20000</v>
      </c>
      <c r="H737" s="50">
        <v>0</v>
      </c>
      <c r="I737" s="50">
        <v>0</v>
      </c>
      <c r="J737" s="50">
        <v>0</v>
      </c>
      <c r="K737" s="50">
        <v>0</v>
      </c>
      <c r="L737" s="152">
        <f t="shared" si="0"/>
        <v>0</v>
      </c>
      <c r="M737" s="50">
        <v>0</v>
      </c>
      <c r="N737" s="152">
        <f t="shared" si="1"/>
        <v>0</v>
      </c>
      <c r="O737" s="50">
        <v>20000</v>
      </c>
      <c r="P737" s="152">
        <f t="shared" si="2"/>
        <v>1</v>
      </c>
      <c r="Q737" s="50">
        <v>20000</v>
      </c>
      <c r="R737" s="257"/>
    </row>
    <row r="738" spans="1:18" hidden="1" x14ac:dyDescent="0.25">
      <c r="A738" s="49" t="s">
        <v>717</v>
      </c>
      <c r="B738" s="49" t="s">
        <v>202</v>
      </c>
      <c r="C738" s="49" t="s">
        <v>203</v>
      </c>
      <c r="D738" s="49" t="s">
        <v>69</v>
      </c>
      <c r="E738" s="50">
        <v>480000</v>
      </c>
      <c r="F738" s="50">
        <v>132954</v>
      </c>
      <c r="G738" s="50">
        <v>132954</v>
      </c>
      <c r="H738" s="50">
        <v>0</v>
      </c>
      <c r="I738" s="50">
        <v>10090.27</v>
      </c>
      <c r="J738" s="50">
        <v>0</v>
      </c>
      <c r="K738" s="50">
        <v>81840.02</v>
      </c>
      <c r="L738" s="152">
        <f t="shared" si="0"/>
        <v>0.61555139371511958</v>
      </c>
      <c r="M738" s="50">
        <v>81840.02</v>
      </c>
      <c r="N738" s="152">
        <f t="shared" si="1"/>
        <v>0.61555139371511958</v>
      </c>
      <c r="O738" s="50">
        <v>41023.71</v>
      </c>
      <c r="P738" s="152">
        <f t="shared" si="2"/>
        <v>0.30855566586939842</v>
      </c>
      <c r="Q738" s="50">
        <v>41023.71</v>
      </c>
      <c r="R738" s="257"/>
    </row>
    <row r="739" spans="1:18" hidden="1" x14ac:dyDescent="0.25">
      <c r="A739" s="49" t="s">
        <v>717</v>
      </c>
      <c r="B739" s="49" t="s">
        <v>206</v>
      </c>
      <c r="C739" s="49" t="s">
        <v>207</v>
      </c>
      <c r="D739" s="49" t="s">
        <v>69</v>
      </c>
      <c r="E739" s="50">
        <v>3052196</v>
      </c>
      <c r="F739" s="50">
        <v>0</v>
      </c>
      <c r="G739" s="50">
        <v>0</v>
      </c>
      <c r="H739" s="50">
        <v>0</v>
      </c>
      <c r="I739" s="50">
        <v>0</v>
      </c>
      <c r="J739" s="50">
        <v>0</v>
      </c>
      <c r="K739" s="50">
        <v>0</v>
      </c>
      <c r="L739" s="152" t="e">
        <f t="shared" si="0"/>
        <v>#DIV/0!</v>
      </c>
      <c r="M739" s="50">
        <v>0</v>
      </c>
      <c r="N739" s="152" t="e">
        <f t="shared" si="1"/>
        <v>#DIV/0!</v>
      </c>
      <c r="O739" s="50">
        <v>0</v>
      </c>
      <c r="P739" s="152" t="e">
        <f t="shared" si="2"/>
        <v>#DIV/0!</v>
      </c>
      <c r="Q739" s="50">
        <v>0</v>
      </c>
      <c r="R739" s="257"/>
    </row>
    <row r="740" spans="1:18" hidden="1" x14ac:dyDescent="0.25">
      <c r="A740" s="49" t="s">
        <v>717</v>
      </c>
      <c r="B740" s="49" t="s">
        <v>208</v>
      </c>
      <c r="C740" s="49" t="s">
        <v>209</v>
      </c>
      <c r="D740" s="49" t="s">
        <v>69</v>
      </c>
      <c r="E740" s="50">
        <v>885321</v>
      </c>
      <c r="F740" s="50">
        <v>0</v>
      </c>
      <c r="G740" s="50">
        <v>0</v>
      </c>
      <c r="H740" s="50">
        <v>0</v>
      </c>
      <c r="I740" s="50">
        <v>0</v>
      </c>
      <c r="J740" s="50">
        <v>0</v>
      </c>
      <c r="K740" s="50">
        <v>0</v>
      </c>
      <c r="L740" s="152" t="e">
        <f t="shared" si="0"/>
        <v>#DIV/0!</v>
      </c>
      <c r="M740" s="50">
        <v>0</v>
      </c>
      <c r="N740" s="152" t="e">
        <f t="shared" si="1"/>
        <v>#DIV/0!</v>
      </c>
      <c r="O740" s="50">
        <v>0</v>
      </c>
      <c r="P740" s="152" t="e">
        <f t="shared" si="2"/>
        <v>#DIV/0!</v>
      </c>
      <c r="Q740" s="50">
        <v>0</v>
      </c>
      <c r="R740" s="257"/>
    </row>
    <row r="741" spans="1:18" hidden="1" x14ac:dyDescent="0.25">
      <c r="A741" s="49" t="s">
        <v>717</v>
      </c>
      <c r="B741" s="49" t="s">
        <v>210</v>
      </c>
      <c r="C741" s="49" t="s">
        <v>211</v>
      </c>
      <c r="D741" s="49" t="s">
        <v>69</v>
      </c>
      <c r="E741" s="50">
        <v>2166875</v>
      </c>
      <c r="F741" s="50">
        <v>0</v>
      </c>
      <c r="G741" s="50">
        <v>0</v>
      </c>
      <c r="H741" s="50">
        <v>0</v>
      </c>
      <c r="I741" s="50">
        <v>0</v>
      </c>
      <c r="J741" s="50">
        <v>0</v>
      </c>
      <c r="K741" s="50">
        <v>0</v>
      </c>
      <c r="L741" s="152" t="e">
        <f t="shared" si="0"/>
        <v>#DIV/0!</v>
      </c>
      <c r="M741" s="50">
        <v>0</v>
      </c>
      <c r="N741" s="152" t="e">
        <f t="shared" si="1"/>
        <v>#DIV/0!</v>
      </c>
      <c r="O741" s="50">
        <v>0</v>
      </c>
      <c r="P741" s="152" t="e">
        <f t="shared" si="2"/>
        <v>#DIV/0!</v>
      </c>
      <c r="Q741" s="50">
        <v>0</v>
      </c>
      <c r="R741" s="257"/>
    </row>
    <row r="742" spans="1:18" hidden="1" x14ac:dyDescent="0.25">
      <c r="A742" s="49" t="s">
        <v>717</v>
      </c>
      <c r="B742" s="49" t="s">
        <v>212</v>
      </c>
      <c r="C742" s="49" t="s">
        <v>213</v>
      </c>
      <c r="D742" s="49" t="s">
        <v>69</v>
      </c>
      <c r="E742" s="50">
        <v>20615810</v>
      </c>
      <c r="F742" s="50">
        <v>13766790</v>
      </c>
      <c r="G742" s="50">
        <v>13766790</v>
      </c>
      <c r="H742" s="50">
        <v>0</v>
      </c>
      <c r="I742" s="50">
        <v>311718.73</v>
      </c>
      <c r="J742" s="50">
        <v>0</v>
      </c>
      <c r="K742" s="50">
        <v>12223584.279999999</v>
      </c>
      <c r="L742" s="152">
        <f t="shared" si="0"/>
        <v>0.88790373645562981</v>
      </c>
      <c r="M742" s="50">
        <v>9543616.0600000005</v>
      </c>
      <c r="N742" s="152">
        <f t="shared" si="1"/>
        <v>0.69323466545214973</v>
      </c>
      <c r="O742" s="50">
        <v>1231486.99</v>
      </c>
      <c r="P742" s="152">
        <f t="shared" si="2"/>
        <v>8.9453459375787678E-2</v>
      </c>
      <c r="Q742" s="50">
        <v>1231486.99</v>
      </c>
      <c r="R742" s="257"/>
    </row>
    <row r="743" spans="1:18" hidden="1" x14ac:dyDescent="0.25">
      <c r="A743" s="49" t="s">
        <v>717</v>
      </c>
      <c r="B743" s="49" t="s">
        <v>214</v>
      </c>
      <c r="C743" s="49" t="s">
        <v>215</v>
      </c>
      <c r="D743" s="49" t="s">
        <v>69</v>
      </c>
      <c r="E743" s="50">
        <v>8014742</v>
      </c>
      <c r="F743" s="50">
        <v>5474742</v>
      </c>
      <c r="G743" s="50">
        <v>5474742</v>
      </c>
      <c r="H743" s="50">
        <v>0</v>
      </c>
      <c r="I743" s="50">
        <v>196931.53</v>
      </c>
      <c r="J743" s="50">
        <v>0</v>
      </c>
      <c r="K743" s="50">
        <v>5152109.91</v>
      </c>
      <c r="L743" s="152">
        <f t="shared" si="0"/>
        <v>0.94106898736050026</v>
      </c>
      <c r="M743" s="50">
        <v>4316813.91</v>
      </c>
      <c r="N743" s="152">
        <f t="shared" si="1"/>
        <v>0.78849631818266508</v>
      </c>
      <c r="O743" s="50">
        <v>125700.56</v>
      </c>
      <c r="P743" s="152">
        <f t="shared" si="2"/>
        <v>2.2960088347542221E-2</v>
      </c>
      <c r="Q743" s="50">
        <v>125700.56</v>
      </c>
      <c r="R743" s="257"/>
    </row>
    <row r="744" spans="1:18" hidden="1" x14ac:dyDescent="0.25">
      <c r="A744" s="49" t="s">
        <v>717</v>
      </c>
      <c r="B744" s="49" t="s">
        <v>218</v>
      </c>
      <c r="C744" s="49" t="s">
        <v>219</v>
      </c>
      <c r="D744" s="49" t="s">
        <v>69</v>
      </c>
      <c r="E744" s="50">
        <v>5268045</v>
      </c>
      <c r="F744" s="50">
        <v>3698045</v>
      </c>
      <c r="G744" s="50">
        <v>3698045</v>
      </c>
      <c r="H744" s="50">
        <v>0</v>
      </c>
      <c r="I744" s="50">
        <v>76086.7</v>
      </c>
      <c r="J744" s="50">
        <v>0</v>
      </c>
      <c r="K744" s="50">
        <v>3545521.12</v>
      </c>
      <c r="L744" s="152">
        <f t="shared" si="0"/>
        <v>0.95875553704727767</v>
      </c>
      <c r="M744" s="50">
        <v>2164600.9</v>
      </c>
      <c r="N744" s="152">
        <f t="shared" si="1"/>
        <v>0.5853365494470727</v>
      </c>
      <c r="O744" s="50">
        <v>76437.179999999993</v>
      </c>
      <c r="P744" s="152">
        <f t="shared" si="2"/>
        <v>2.0669618676895492E-2</v>
      </c>
      <c r="Q744" s="50">
        <v>76437.179999999993</v>
      </c>
      <c r="R744" s="257"/>
    </row>
    <row r="745" spans="1:18" hidden="1" x14ac:dyDescent="0.25">
      <c r="A745" s="49" t="s">
        <v>717</v>
      </c>
      <c r="B745" s="49" t="s">
        <v>220</v>
      </c>
      <c r="C745" s="49" t="s">
        <v>221</v>
      </c>
      <c r="D745" s="49" t="s">
        <v>69</v>
      </c>
      <c r="E745" s="50">
        <v>3038980</v>
      </c>
      <c r="F745" s="50">
        <v>3980</v>
      </c>
      <c r="G745" s="50">
        <v>3980</v>
      </c>
      <c r="H745" s="50">
        <v>0</v>
      </c>
      <c r="I745" s="50">
        <v>0</v>
      </c>
      <c r="J745" s="50">
        <v>0</v>
      </c>
      <c r="K745" s="50">
        <v>0</v>
      </c>
      <c r="L745" s="152">
        <f t="shared" si="0"/>
        <v>0</v>
      </c>
      <c r="M745" s="50">
        <v>0</v>
      </c>
      <c r="N745" s="152">
        <f t="shared" si="1"/>
        <v>0</v>
      </c>
      <c r="O745" s="50">
        <v>3980</v>
      </c>
      <c r="P745" s="152">
        <f t="shared" si="2"/>
        <v>1</v>
      </c>
      <c r="Q745" s="50">
        <v>3980</v>
      </c>
      <c r="R745" s="257"/>
    </row>
    <row r="746" spans="1:18" hidden="1" x14ac:dyDescent="0.25">
      <c r="A746" s="49" t="s">
        <v>717</v>
      </c>
      <c r="B746" s="49" t="s">
        <v>222</v>
      </c>
      <c r="C746" s="49" t="s">
        <v>223</v>
      </c>
      <c r="D746" s="49" t="s">
        <v>69</v>
      </c>
      <c r="E746" s="50">
        <v>2590023</v>
      </c>
      <c r="F746" s="50">
        <v>4590023</v>
      </c>
      <c r="G746" s="50">
        <v>4590023</v>
      </c>
      <c r="H746" s="50">
        <v>0</v>
      </c>
      <c r="I746" s="50">
        <v>38700.5</v>
      </c>
      <c r="J746" s="50">
        <v>0</v>
      </c>
      <c r="K746" s="50">
        <v>3525953.25</v>
      </c>
      <c r="L746" s="152">
        <f t="shared" si="0"/>
        <v>0.76817768669133035</v>
      </c>
      <c r="M746" s="50">
        <v>3062201.25</v>
      </c>
      <c r="N746" s="152">
        <f t="shared" si="1"/>
        <v>0.66714289884821931</v>
      </c>
      <c r="O746" s="50">
        <v>1025369.25</v>
      </c>
      <c r="P746" s="152">
        <f t="shared" si="2"/>
        <v>0.22339087407623012</v>
      </c>
      <c r="Q746" s="50">
        <v>1025369.25</v>
      </c>
      <c r="R746" s="257"/>
    </row>
    <row r="747" spans="1:18" hidden="1" x14ac:dyDescent="0.25">
      <c r="A747" s="49" t="s">
        <v>717</v>
      </c>
      <c r="B747" s="49" t="s">
        <v>226</v>
      </c>
      <c r="C747" s="49" t="s">
        <v>227</v>
      </c>
      <c r="D747" s="49" t="s">
        <v>69</v>
      </c>
      <c r="E747" s="50">
        <v>774300</v>
      </c>
      <c r="F747" s="50">
        <v>0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152" t="e">
        <f t="shared" si="0"/>
        <v>#DIV/0!</v>
      </c>
      <c r="M747" s="50">
        <v>0</v>
      </c>
      <c r="N747" s="152" t="e">
        <f t="shared" si="1"/>
        <v>#DIV/0!</v>
      </c>
      <c r="O747" s="50">
        <v>0</v>
      </c>
      <c r="P747" s="152" t="e">
        <f t="shared" si="2"/>
        <v>#DIV/0!</v>
      </c>
      <c r="Q747" s="50">
        <v>0</v>
      </c>
      <c r="R747" s="257"/>
    </row>
    <row r="748" spans="1:18" hidden="1" x14ac:dyDescent="0.25">
      <c r="A748" s="49" t="s">
        <v>717</v>
      </c>
      <c r="B748" s="49" t="s">
        <v>228</v>
      </c>
      <c r="C748" s="49" t="s">
        <v>229</v>
      </c>
      <c r="D748" s="49" t="s">
        <v>69</v>
      </c>
      <c r="E748" s="50">
        <v>929720</v>
      </c>
      <c r="F748" s="50">
        <v>0</v>
      </c>
      <c r="G748" s="50">
        <v>0</v>
      </c>
      <c r="H748" s="50">
        <v>0</v>
      </c>
      <c r="I748" s="50">
        <v>0</v>
      </c>
      <c r="J748" s="50">
        <v>0</v>
      </c>
      <c r="K748" s="50">
        <v>0</v>
      </c>
      <c r="L748" s="152" t="e">
        <f t="shared" si="0"/>
        <v>#DIV/0!</v>
      </c>
      <c r="M748" s="50">
        <v>0</v>
      </c>
      <c r="N748" s="152" t="e">
        <f t="shared" si="1"/>
        <v>#DIV/0!</v>
      </c>
      <c r="O748" s="50">
        <v>0</v>
      </c>
      <c r="P748" s="152" t="e">
        <f t="shared" si="2"/>
        <v>#DIV/0!</v>
      </c>
      <c r="Q748" s="50">
        <v>0</v>
      </c>
      <c r="R748" s="257"/>
    </row>
    <row r="749" spans="1:18" hidden="1" x14ac:dyDescent="0.25">
      <c r="A749" s="49" t="s">
        <v>717</v>
      </c>
      <c r="B749" s="49" t="s">
        <v>248</v>
      </c>
      <c r="C749" s="49" t="s">
        <v>249</v>
      </c>
      <c r="D749" s="49" t="s">
        <v>69</v>
      </c>
      <c r="E749" s="50">
        <v>50610852</v>
      </c>
      <c r="F749" s="50">
        <v>43071647</v>
      </c>
      <c r="G749" s="50">
        <v>43071647</v>
      </c>
      <c r="H749" s="50">
        <v>0</v>
      </c>
      <c r="I749" s="50">
        <v>0</v>
      </c>
      <c r="J749" s="50">
        <v>0</v>
      </c>
      <c r="K749" s="50">
        <v>18056593.5</v>
      </c>
      <c r="L749" s="152">
        <f t="shared" si="0"/>
        <v>0.41922226702870219</v>
      </c>
      <c r="M749" s="50">
        <v>18056593.5</v>
      </c>
      <c r="N749" s="152">
        <f t="shared" si="1"/>
        <v>0.41922226702870219</v>
      </c>
      <c r="O749" s="50">
        <v>25015053.5</v>
      </c>
      <c r="P749" s="152">
        <f t="shared" si="2"/>
        <v>0.58077773297129776</v>
      </c>
      <c r="Q749" s="50">
        <v>25015053.5</v>
      </c>
      <c r="R749" s="257"/>
    </row>
    <row r="750" spans="1:18" hidden="1" x14ac:dyDescent="0.25">
      <c r="A750" s="49" t="s">
        <v>717</v>
      </c>
      <c r="B750" s="49" t="s">
        <v>250</v>
      </c>
      <c r="C750" s="49" t="s">
        <v>251</v>
      </c>
      <c r="D750" s="49" t="s">
        <v>69</v>
      </c>
      <c r="E750" s="50">
        <v>14610852</v>
      </c>
      <c r="F750" s="50">
        <v>14071647</v>
      </c>
      <c r="G750" s="50">
        <v>14071647</v>
      </c>
      <c r="H750" s="50">
        <v>0</v>
      </c>
      <c r="I750" s="50">
        <v>0</v>
      </c>
      <c r="J750" s="50">
        <v>0</v>
      </c>
      <c r="K750" s="50">
        <v>12624308</v>
      </c>
      <c r="L750" s="152">
        <f t="shared" si="0"/>
        <v>0.89714501792149848</v>
      </c>
      <c r="M750" s="50">
        <v>12624308</v>
      </c>
      <c r="N750" s="152">
        <f t="shared" si="1"/>
        <v>0.89714501792149848</v>
      </c>
      <c r="O750" s="50">
        <v>1447339</v>
      </c>
      <c r="P750" s="152">
        <f t="shared" si="2"/>
        <v>0.10285498207850154</v>
      </c>
      <c r="Q750" s="50">
        <v>1447339</v>
      </c>
      <c r="R750" s="257"/>
    </row>
    <row r="751" spans="1:18" hidden="1" x14ac:dyDescent="0.25">
      <c r="A751" s="49" t="s">
        <v>717</v>
      </c>
      <c r="B751" s="49" t="s">
        <v>636</v>
      </c>
      <c r="C751" s="49" t="s">
        <v>702</v>
      </c>
      <c r="D751" s="49" t="s">
        <v>69</v>
      </c>
      <c r="E751" s="50">
        <v>12410435</v>
      </c>
      <c r="F751" s="50">
        <v>11952435</v>
      </c>
      <c r="G751" s="50">
        <v>11952435</v>
      </c>
      <c r="H751" s="50">
        <v>0</v>
      </c>
      <c r="I751" s="50">
        <v>0</v>
      </c>
      <c r="J751" s="50">
        <v>0</v>
      </c>
      <c r="K751" s="50">
        <v>10695201</v>
      </c>
      <c r="L751" s="152">
        <f t="shared" si="0"/>
        <v>0.89481356727729533</v>
      </c>
      <c r="M751" s="50">
        <v>10695201</v>
      </c>
      <c r="N751" s="152">
        <f t="shared" si="1"/>
        <v>0.89481356727729533</v>
      </c>
      <c r="O751" s="50">
        <v>1257234</v>
      </c>
      <c r="P751" s="152">
        <f t="shared" si="2"/>
        <v>0.10518643272270461</v>
      </c>
      <c r="Q751" s="50">
        <v>1257234</v>
      </c>
      <c r="R751" s="257"/>
    </row>
    <row r="752" spans="1:18" hidden="1" x14ac:dyDescent="0.25">
      <c r="A752" s="49" t="s">
        <v>717</v>
      </c>
      <c r="B752" s="49" t="s">
        <v>651</v>
      </c>
      <c r="C752" s="49" t="s">
        <v>703</v>
      </c>
      <c r="D752" s="49" t="s">
        <v>69</v>
      </c>
      <c r="E752" s="50">
        <v>2200417</v>
      </c>
      <c r="F752" s="50">
        <v>2119212</v>
      </c>
      <c r="G752" s="50">
        <v>2119212</v>
      </c>
      <c r="H752" s="50">
        <v>0</v>
      </c>
      <c r="I752" s="50">
        <v>0</v>
      </c>
      <c r="J752" s="50">
        <v>0</v>
      </c>
      <c r="K752" s="50">
        <v>1929107</v>
      </c>
      <c r="L752" s="152">
        <f t="shared" si="0"/>
        <v>0.91029448681868541</v>
      </c>
      <c r="M752" s="50">
        <v>1929107</v>
      </c>
      <c r="N752" s="152">
        <f t="shared" si="1"/>
        <v>0.91029448681868541</v>
      </c>
      <c r="O752" s="50">
        <v>190105</v>
      </c>
      <c r="P752" s="152">
        <f t="shared" si="2"/>
        <v>8.9705513181314561E-2</v>
      </c>
      <c r="Q752" s="50">
        <v>190105</v>
      </c>
      <c r="R752" s="257"/>
    </row>
    <row r="753" spans="1:18" hidden="1" x14ac:dyDescent="0.25">
      <c r="A753" s="49" t="s">
        <v>717</v>
      </c>
      <c r="B753" s="49" t="s">
        <v>260</v>
      </c>
      <c r="C753" s="49" t="s">
        <v>261</v>
      </c>
      <c r="D753" s="49" t="s">
        <v>69</v>
      </c>
      <c r="E753" s="50">
        <v>26000000</v>
      </c>
      <c r="F753" s="50">
        <v>21500000</v>
      </c>
      <c r="G753" s="50">
        <v>21500000</v>
      </c>
      <c r="H753" s="50">
        <v>0</v>
      </c>
      <c r="I753" s="50">
        <v>0</v>
      </c>
      <c r="J753" s="50">
        <v>0</v>
      </c>
      <c r="K753" s="50">
        <v>5432285.5</v>
      </c>
      <c r="L753" s="152">
        <f t="shared" si="0"/>
        <v>0.25266444186046511</v>
      </c>
      <c r="M753" s="50">
        <v>5432285.5</v>
      </c>
      <c r="N753" s="152">
        <f t="shared" si="1"/>
        <v>0.25266444186046511</v>
      </c>
      <c r="O753" s="50">
        <v>16067714.5</v>
      </c>
      <c r="P753" s="152">
        <f t="shared" si="2"/>
        <v>0.74733555813953489</v>
      </c>
      <c r="Q753" s="50">
        <v>16067714.5</v>
      </c>
      <c r="R753" s="257"/>
    </row>
    <row r="754" spans="1:18" hidden="1" x14ac:dyDescent="0.25">
      <c r="A754" s="49" t="s">
        <v>717</v>
      </c>
      <c r="B754" s="49" t="s">
        <v>262</v>
      </c>
      <c r="C754" s="49" t="s">
        <v>263</v>
      </c>
      <c r="D754" s="49" t="s">
        <v>69</v>
      </c>
      <c r="E754" s="50">
        <v>18000000</v>
      </c>
      <c r="F754" s="50">
        <v>13500000</v>
      </c>
      <c r="G754" s="50">
        <v>13500000</v>
      </c>
      <c r="H754" s="50">
        <v>0</v>
      </c>
      <c r="I754" s="50">
        <v>0</v>
      </c>
      <c r="J754" s="50">
        <v>0</v>
      </c>
      <c r="K754" s="50">
        <v>0</v>
      </c>
      <c r="L754" s="152">
        <f t="shared" si="0"/>
        <v>0</v>
      </c>
      <c r="M754" s="50">
        <v>0</v>
      </c>
      <c r="N754" s="152">
        <f t="shared" si="1"/>
        <v>0</v>
      </c>
      <c r="O754" s="50">
        <v>13500000</v>
      </c>
      <c r="P754" s="152">
        <f t="shared" si="2"/>
        <v>1</v>
      </c>
      <c r="Q754" s="50">
        <v>13500000</v>
      </c>
      <c r="R754" s="257"/>
    </row>
    <row r="755" spans="1:18" hidden="1" x14ac:dyDescent="0.25">
      <c r="A755" s="49" t="s">
        <v>717</v>
      </c>
      <c r="B755" s="49" t="s">
        <v>264</v>
      </c>
      <c r="C755" s="49" t="s">
        <v>265</v>
      </c>
      <c r="D755" s="49" t="s">
        <v>69</v>
      </c>
      <c r="E755" s="50">
        <v>8000000</v>
      </c>
      <c r="F755" s="50">
        <v>8000000</v>
      </c>
      <c r="G755" s="50">
        <v>8000000</v>
      </c>
      <c r="H755" s="50">
        <v>0</v>
      </c>
      <c r="I755" s="50">
        <v>0</v>
      </c>
      <c r="J755" s="50">
        <v>0</v>
      </c>
      <c r="K755" s="50">
        <v>5432285.5</v>
      </c>
      <c r="L755" s="152">
        <f t="shared" si="0"/>
        <v>0.67903568749999998</v>
      </c>
      <c r="M755" s="50">
        <v>5432285.5</v>
      </c>
      <c r="N755" s="152">
        <f t="shared" si="1"/>
        <v>0.67903568749999998</v>
      </c>
      <c r="O755" s="50">
        <v>2567714.5</v>
      </c>
      <c r="P755" s="152">
        <f t="shared" si="2"/>
        <v>0.32096431250000002</v>
      </c>
      <c r="Q755" s="50">
        <v>2567714.5</v>
      </c>
      <c r="R755" s="257"/>
    </row>
    <row r="756" spans="1:18" hidden="1" x14ac:dyDescent="0.25">
      <c r="A756" s="49" t="s">
        <v>717</v>
      </c>
      <c r="B756" s="49" t="s">
        <v>286</v>
      </c>
      <c r="C756" s="49" t="s">
        <v>287</v>
      </c>
      <c r="D756" s="49" t="s">
        <v>69</v>
      </c>
      <c r="E756" s="50">
        <v>10000000</v>
      </c>
      <c r="F756" s="50">
        <v>7500000</v>
      </c>
      <c r="G756" s="50">
        <v>7500000</v>
      </c>
      <c r="H756" s="50">
        <v>0</v>
      </c>
      <c r="I756" s="50">
        <v>0</v>
      </c>
      <c r="J756" s="50">
        <v>0</v>
      </c>
      <c r="K756" s="50">
        <v>0</v>
      </c>
      <c r="L756" s="152">
        <f t="shared" si="0"/>
        <v>0</v>
      </c>
      <c r="M756" s="50">
        <v>0</v>
      </c>
      <c r="N756" s="152">
        <f t="shared" si="1"/>
        <v>0</v>
      </c>
      <c r="O756" s="50">
        <v>7500000</v>
      </c>
      <c r="P756" s="152">
        <f t="shared" si="2"/>
        <v>1</v>
      </c>
      <c r="Q756" s="50">
        <v>7500000</v>
      </c>
      <c r="R756" s="257"/>
    </row>
    <row r="757" spans="1:18" hidden="1" x14ac:dyDescent="0.25">
      <c r="A757" s="49" t="s">
        <v>717</v>
      </c>
      <c r="B757" s="49" t="s">
        <v>288</v>
      </c>
      <c r="C757" s="49" t="s">
        <v>289</v>
      </c>
      <c r="D757" s="49" t="s">
        <v>69</v>
      </c>
      <c r="E757" s="50">
        <v>10000000</v>
      </c>
      <c r="F757" s="50">
        <v>7500000</v>
      </c>
      <c r="G757" s="50">
        <v>7500000</v>
      </c>
      <c r="H757" s="50">
        <v>0</v>
      </c>
      <c r="I757" s="50">
        <v>0</v>
      </c>
      <c r="J757" s="50">
        <v>0</v>
      </c>
      <c r="K757" s="50">
        <v>0</v>
      </c>
      <c r="L757" s="152">
        <f t="shared" si="0"/>
        <v>0</v>
      </c>
      <c r="M757" s="50">
        <v>0</v>
      </c>
      <c r="N757" s="152">
        <f t="shared" si="1"/>
        <v>0</v>
      </c>
      <c r="O757" s="50">
        <v>7500000</v>
      </c>
      <c r="P757" s="152">
        <f t="shared" si="2"/>
        <v>1</v>
      </c>
      <c r="Q757" s="50">
        <v>7500000</v>
      </c>
      <c r="R757" s="257"/>
    </row>
    <row r="758" spans="1:18" hidden="1" x14ac:dyDescent="0.25">
      <c r="A758" s="49" t="s">
        <v>717</v>
      </c>
      <c r="B758" s="49" t="s">
        <v>230</v>
      </c>
      <c r="C758" s="49" t="s">
        <v>231</v>
      </c>
      <c r="D758" s="49" t="s">
        <v>85</v>
      </c>
      <c r="E758" s="50">
        <v>45174214</v>
      </c>
      <c r="F758" s="50">
        <v>9327344</v>
      </c>
      <c r="G758" s="50">
        <v>9327344</v>
      </c>
      <c r="H758" s="50">
        <v>0</v>
      </c>
      <c r="I758" s="50">
        <v>0</v>
      </c>
      <c r="J758" s="50">
        <v>0</v>
      </c>
      <c r="K758" s="50">
        <v>8969539.75</v>
      </c>
      <c r="L758" s="152">
        <f t="shared" si="0"/>
        <v>0.96163921369255811</v>
      </c>
      <c r="M758" s="50">
        <v>4744243.75</v>
      </c>
      <c r="N758" s="152">
        <f t="shared" si="1"/>
        <v>0.50863823077609227</v>
      </c>
      <c r="O758" s="50">
        <v>357804.25</v>
      </c>
      <c r="P758" s="152">
        <f t="shared" si="2"/>
        <v>3.8360786307441865E-2</v>
      </c>
      <c r="Q758" s="50">
        <v>357804.25</v>
      </c>
      <c r="R758" s="257"/>
    </row>
    <row r="759" spans="1:18" hidden="1" x14ac:dyDescent="0.25">
      <c r="A759" s="49" t="s">
        <v>717</v>
      </c>
      <c r="B759" s="49" t="s">
        <v>232</v>
      </c>
      <c r="C759" s="49" t="s">
        <v>233</v>
      </c>
      <c r="D759" s="49" t="s">
        <v>85</v>
      </c>
      <c r="E759" s="50">
        <v>45174214</v>
      </c>
      <c r="F759" s="50">
        <v>9327344</v>
      </c>
      <c r="G759" s="50">
        <v>9327344</v>
      </c>
      <c r="H759" s="50">
        <v>0</v>
      </c>
      <c r="I759" s="50">
        <v>0</v>
      </c>
      <c r="J759" s="50">
        <v>0</v>
      </c>
      <c r="K759" s="50">
        <v>8969539.75</v>
      </c>
      <c r="L759" s="152">
        <f t="shared" si="0"/>
        <v>0.96163921369255811</v>
      </c>
      <c r="M759" s="50">
        <v>4744243.75</v>
      </c>
      <c r="N759" s="152">
        <f t="shared" si="1"/>
        <v>0.50863823077609227</v>
      </c>
      <c r="O759" s="50">
        <v>357804.25</v>
      </c>
      <c r="P759" s="152">
        <f t="shared" si="2"/>
        <v>3.8360786307441865E-2</v>
      </c>
      <c r="Q759" s="50">
        <v>357804.25</v>
      </c>
      <c r="R759" s="257"/>
    </row>
    <row r="760" spans="1:18" hidden="1" x14ac:dyDescent="0.25">
      <c r="A760" s="49" t="s">
        <v>717</v>
      </c>
      <c r="B760" s="49" t="s">
        <v>324</v>
      </c>
      <c r="C760" s="49" t="s">
        <v>325</v>
      </c>
      <c r="D760" s="49" t="s">
        <v>85</v>
      </c>
      <c r="E760" s="50">
        <v>400000</v>
      </c>
      <c r="F760" s="50">
        <v>0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152" t="e">
        <f t="shared" si="0"/>
        <v>#DIV/0!</v>
      </c>
      <c r="M760" s="50">
        <v>0</v>
      </c>
      <c r="N760" s="152" t="e">
        <f t="shared" si="1"/>
        <v>#DIV/0!</v>
      </c>
      <c r="O760" s="50">
        <v>0</v>
      </c>
      <c r="P760" s="152" t="e">
        <f t="shared" si="2"/>
        <v>#DIV/0!</v>
      </c>
      <c r="Q760" s="50">
        <v>0</v>
      </c>
      <c r="R760" s="257"/>
    </row>
    <row r="761" spans="1:18" hidden="1" x14ac:dyDescent="0.25">
      <c r="A761" s="49" t="s">
        <v>717</v>
      </c>
      <c r="B761" s="49" t="s">
        <v>236</v>
      </c>
      <c r="C761" s="49" t="s">
        <v>237</v>
      </c>
      <c r="D761" s="49" t="s">
        <v>85</v>
      </c>
      <c r="E761" s="50">
        <v>10235014</v>
      </c>
      <c r="F761" s="50">
        <v>1010184</v>
      </c>
      <c r="G761" s="50">
        <v>1010184</v>
      </c>
      <c r="H761" s="50">
        <v>0</v>
      </c>
      <c r="I761" s="50">
        <v>0</v>
      </c>
      <c r="J761" s="50">
        <v>0</v>
      </c>
      <c r="K761" s="50">
        <v>1010183.4</v>
      </c>
      <c r="L761" s="152">
        <f t="shared" si="0"/>
        <v>0.999999406048799</v>
      </c>
      <c r="M761" s="50">
        <v>1010183.4</v>
      </c>
      <c r="N761" s="152">
        <f t="shared" si="1"/>
        <v>0.999999406048799</v>
      </c>
      <c r="O761" s="50">
        <v>0.60000000000000009</v>
      </c>
      <c r="P761" s="152">
        <f t="shared" si="2"/>
        <v>5.9395120096932847E-7</v>
      </c>
      <c r="Q761" s="50">
        <v>0.60000000000000009</v>
      </c>
      <c r="R761" s="257"/>
    </row>
    <row r="762" spans="1:18" hidden="1" x14ac:dyDescent="0.25">
      <c r="A762" s="49" t="s">
        <v>717</v>
      </c>
      <c r="B762" s="49" t="s">
        <v>238</v>
      </c>
      <c r="C762" s="49" t="s">
        <v>239</v>
      </c>
      <c r="D762" s="49" t="s">
        <v>85</v>
      </c>
      <c r="E762" s="50">
        <v>3243620</v>
      </c>
      <c r="F762" s="50">
        <v>243620</v>
      </c>
      <c r="G762" s="50">
        <v>243620</v>
      </c>
      <c r="H762" s="50">
        <v>0</v>
      </c>
      <c r="I762" s="50">
        <v>0</v>
      </c>
      <c r="J762" s="50">
        <v>0</v>
      </c>
      <c r="K762" s="50">
        <v>205183.35</v>
      </c>
      <c r="L762" s="152">
        <f t="shared" si="0"/>
        <v>0.84222703390526232</v>
      </c>
      <c r="M762" s="50">
        <v>205183.35</v>
      </c>
      <c r="N762" s="152">
        <f t="shared" si="1"/>
        <v>0.84222703390526232</v>
      </c>
      <c r="O762" s="50">
        <v>38436.65</v>
      </c>
      <c r="P762" s="152">
        <f t="shared" si="2"/>
        <v>0.1577729660947377</v>
      </c>
      <c r="Q762" s="50">
        <v>38436.65</v>
      </c>
      <c r="R762" s="257"/>
    </row>
    <row r="763" spans="1:18" hidden="1" x14ac:dyDescent="0.25">
      <c r="A763" s="49" t="s">
        <v>717</v>
      </c>
      <c r="B763" s="49" t="s">
        <v>282</v>
      </c>
      <c r="C763" s="49" t="s">
        <v>283</v>
      </c>
      <c r="D763" s="49" t="s">
        <v>85</v>
      </c>
      <c r="E763" s="50">
        <v>414480</v>
      </c>
      <c r="F763" s="50">
        <v>480</v>
      </c>
      <c r="G763" s="50">
        <v>480</v>
      </c>
      <c r="H763" s="50">
        <v>0</v>
      </c>
      <c r="I763" s="50">
        <v>0</v>
      </c>
      <c r="J763" s="50">
        <v>0</v>
      </c>
      <c r="K763" s="50">
        <v>0</v>
      </c>
      <c r="L763" s="152">
        <f t="shared" si="0"/>
        <v>0</v>
      </c>
      <c r="M763" s="50">
        <v>0</v>
      </c>
      <c r="N763" s="152">
        <f t="shared" si="1"/>
        <v>0</v>
      </c>
      <c r="O763" s="50">
        <v>480</v>
      </c>
      <c r="P763" s="152">
        <f t="shared" si="2"/>
        <v>1</v>
      </c>
      <c r="Q763" s="50">
        <v>480</v>
      </c>
      <c r="R763" s="257"/>
    </row>
    <row r="764" spans="1:18" hidden="1" x14ac:dyDescent="0.25">
      <c r="A764" s="49" t="s">
        <v>717</v>
      </c>
      <c r="B764" s="49" t="s">
        <v>240</v>
      </c>
      <c r="C764" s="49" t="s">
        <v>241</v>
      </c>
      <c r="D764" s="49" t="s">
        <v>85</v>
      </c>
      <c r="E764" s="50">
        <v>27531100</v>
      </c>
      <c r="F764" s="50">
        <v>8010660</v>
      </c>
      <c r="G764" s="50">
        <v>8010660</v>
      </c>
      <c r="H764" s="50">
        <v>0</v>
      </c>
      <c r="I764" s="50">
        <v>0</v>
      </c>
      <c r="J764" s="50">
        <v>0</v>
      </c>
      <c r="K764" s="50">
        <v>7754173</v>
      </c>
      <c r="L764" s="152">
        <f t="shared" si="0"/>
        <v>0.96798178926580336</v>
      </c>
      <c r="M764" s="50">
        <v>3528877</v>
      </c>
      <c r="N764" s="152">
        <f t="shared" si="1"/>
        <v>0.44052262859739399</v>
      </c>
      <c r="O764" s="50">
        <v>256487</v>
      </c>
      <c r="P764" s="152">
        <f t="shared" si="2"/>
        <v>3.2018210734196681E-2</v>
      </c>
      <c r="Q764" s="50">
        <v>256487</v>
      </c>
      <c r="R764" s="257"/>
    </row>
    <row r="765" spans="1:18" hidden="1" x14ac:dyDescent="0.25">
      <c r="A765" s="49" t="s">
        <v>717</v>
      </c>
      <c r="B765" s="49" t="s">
        <v>242</v>
      </c>
      <c r="C765" s="49" t="s">
        <v>243</v>
      </c>
      <c r="D765" s="49" t="s">
        <v>85</v>
      </c>
      <c r="E765" s="50">
        <v>3350000</v>
      </c>
      <c r="F765" s="50">
        <v>62400</v>
      </c>
      <c r="G765" s="50">
        <v>62400</v>
      </c>
      <c r="H765" s="50">
        <v>0</v>
      </c>
      <c r="I765" s="50">
        <v>0</v>
      </c>
      <c r="J765" s="50">
        <v>0</v>
      </c>
      <c r="K765" s="50">
        <v>0</v>
      </c>
      <c r="L765" s="152">
        <f t="shared" si="0"/>
        <v>0</v>
      </c>
      <c r="M765" s="50">
        <v>0</v>
      </c>
      <c r="N765" s="152">
        <f t="shared" si="1"/>
        <v>0</v>
      </c>
      <c r="O765" s="50">
        <v>62400</v>
      </c>
      <c r="P765" s="152">
        <f t="shared" si="2"/>
        <v>1</v>
      </c>
      <c r="Q765" s="50">
        <v>62400</v>
      </c>
      <c r="R765" s="257"/>
    </row>
    <row r="766" spans="1:18" x14ac:dyDescent="0.25">
      <c r="A766" s="49">
        <v>214791</v>
      </c>
      <c r="B766" s="49"/>
      <c r="C766" s="49"/>
      <c r="D766" s="49" t="s">
        <v>69</v>
      </c>
      <c r="E766" s="50">
        <v>7826709762</v>
      </c>
      <c r="F766" s="50">
        <v>7590011399</v>
      </c>
      <c r="G766" s="50">
        <v>7590011399</v>
      </c>
      <c r="H766" s="50">
        <v>0</v>
      </c>
      <c r="I766" s="50">
        <v>0</v>
      </c>
      <c r="J766" s="50">
        <v>0</v>
      </c>
      <c r="K766" s="50">
        <v>7224328134.7299995</v>
      </c>
      <c r="L766" s="152">
        <f t="shared" si="0"/>
        <v>0.95182045914737623</v>
      </c>
      <c r="M766" s="50">
        <v>7224328134.7299995</v>
      </c>
      <c r="N766" s="152">
        <f t="shared" si="1"/>
        <v>0.95182045914737623</v>
      </c>
      <c r="O766" s="50">
        <v>365683264.26999998</v>
      </c>
      <c r="P766" s="152">
        <f t="shared" si="2"/>
        <v>4.8179540852623687E-2</v>
      </c>
      <c r="Q766" s="50">
        <v>365683264.26999998</v>
      </c>
      <c r="R766" s="257"/>
    </row>
    <row r="767" spans="1:18" hidden="1" x14ac:dyDescent="0.25">
      <c r="A767" s="49" t="s">
        <v>719</v>
      </c>
      <c r="B767" s="49" t="s">
        <v>71</v>
      </c>
      <c r="C767" s="49" t="s">
        <v>72</v>
      </c>
      <c r="D767" s="49" t="s">
        <v>69</v>
      </c>
      <c r="E767" s="50">
        <v>7726375169</v>
      </c>
      <c r="F767" s="50">
        <v>7417608768</v>
      </c>
      <c r="G767" s="50">
        <v>7417608768</v>
      </c>
      <c r="H767" s="50">
        <v>0</v>
      </c>
      <c r="I767" s="50">
        <v>0</v>
      </c>
      <c r="J767" s="50">
        <v>0</v>
      </c>
      <c r="K767" s="50">
        <v>7078613699.0799999</v>
      </c>
      <c r="L767" s="152">
        <f t="shared" si="0"/>
        <v>0.95429860491126939</v>
      </c>
      <c r="M767" s="50">
        <v>7078613699.0799999</v>
      </c>
      <c r="N767" s="152">
        <f t="shared" si="1"/>
        <v>0.95429860491126939</v>
      </c>
      <c r="O767" s="50">
        <v>338995068.92000002</v>
      </c>
      <c r="P767" s="152">
        <f t="shared" si="2"/>
        <v>4.570139508873057E-2</v>
      </c>
      <c r="Q767" s="50">
        <v>338995068.92000002</v>
      </c>
      <c r="R767" s="257"/>
    </row>
    <row r="768" spans="1:18" hidden="1" x14ac:dyDescent="0.25">
      <c r="A768" s="49" t="s">
        <v>719</v>
      </c>
      <c r="B768" s="49" t="s">
        <v>73</v>
      </c>
      <c r="C768" s="49" t="s">
        <v>74</v>
      </c>
      <c r="D768" s="49" t="s">
        <v>69</v>
      </c>
      <c r="E768" s="50">
        <v>2598911346</v>
      </c>
      <c r="F768" s="50">
        <v>2482450977</v>
      </c>
      <c r="G768" s="50">
        <v>2482450977</v>
      </c>
      <c r="H768" s="50">
        <v>0</v>
      </c>
      <c r="I768" s="50">
        <v>0</v>
      </c>
      <c r="J768" s="50">
        <v>0</v>
      </c>
      <c r="K768" s="50">
        <v>2424879523.1199999</v>
      </c>
      <c r="L768" s="152">
        <f t="shared" si="0"/>
        <v>0.97680862405203495</v>
      </c>
      <c r="M768" s="50">
        <v>2424879523.1199999</v>
      </c>
      <c r="N768" s="152">
        <f t="shared" si="1"/>
        <v>0.97680862405203495</v>
      </c>
      <c r="O768" s="50">
        <v>57571453.880000003</v>
      </c>
      <c r="P768" s="152">
        <f t="shared" si="2"/>
        <v>2.3191375947964995E-2</v>
      </c>
      <c r="Q768" s="50">
        <v>57571453.880000003</v>
      </c>
      <c r="R768" s="257"/>
    </row>
    <row r="769" spans="1:18" hidden="1" x14ac:dyDescent="0.25">
      <c r="A769" s="49" t="s">
        <v>719</v>
      </c>
      <c r="B769" s="49" t="s">
        <v>75</v>
      </c>
      <c r="C769" s="49" t="s">
        <v>76</v>
      </c>
      <c r="D769" s="49" t="s">
        <v>69</v>
      </c>
      <c r="E769" s="50">
        <v>2598911346</v>
      </c>
      <c r="F769" s="50">
        <v>2478450977</v>
      </c>
      <c r="G769" s="50">
        <v>2478450977</v>
      </c>
      <c r="H769" s="50">
        <v>0</v>
      </c>
      <c r="I769" s="50">
        <v>0</v>
      </c>
      <c r="J769" s="50">
        <v>0</v>
      </c>
      <c r="K769" s="50">
        <v>2424879523.1199999</v>
      </c>
      <c r="L769" s="152">
        <f t="shared" si="0"/>
        <v>0.97838510651324451</v>
      </c>
      <c r="M769" s="50">
        <v>2424879523.1199999</v>
      </c>
      <c r="N769" s="152">
        <f t="shared" si="1"/>
        <v>0.97838510651324451</v>
      </c>
      <c r="O769" s="50">
        <v>53571453.880000003</v>
      </c>
      <c r="P769" s="152">
        <f t="shared" si="2"/>
        <v>2.1614893486755458E-2</v>
      </c>
      <c r="Q769" s="50">
        <v>53571453.880000003</v>
      </c>
      <c r="R769" s="257"/>
    </row>
    <row r="770" spans="1:18" hidden="1" x14ac:dyDescent="0.25">
      <c r="A770" s="49" t="s">
        <v>719</v>
      </c>
      <c r="B770" s="49" t="s">
        <v>291</v>
      </c>
      <c r="C770" s="49" t="s">
        <v>292</v>
      </c>
      <c r="D770" s="49" t="s">
        <v>69</v>
      </c>
      <c r="E770" s="50">
        <v>0</v>
      </c>
      <c r="F770" s="50">
        <v>4000000</v>
      </c>
      <c r="G770" s="50">
        <v>4000000</v>
      </c>
      <c r="H770" s="50">
        <v>0</v>
      </c>
      <c r="I770" s="50">
        <v>0</v>
      </c>
      <c r="J770" s="50">
        <v>0</v>
      </c>
      <c r="K770" s="50">
        <v>0</v>
      </c>
      <c r="L770" s="152">
        <f t="shared" si="0"/>
        <v>0</v>
      </c>
      <c r="M770" s="50">
        <v>0</v>
      </c>
      <c r="N770" s="152">
        <f t="shared" si="1"/>
        <v>0</v>
      </c>
      <c r="O770" s="50">
        <v>4000000</v>
      </c>
      <c r="P770" s="152">
        <f t="shared" si="2"/>
        <v>1</v>
      </c>
      <c r="Q770" s="50">
        <v>4000000</v>
      </c>
      <c r="R770" s="257"/>
    </row>
    <row r="771" spans="1:18" hidden="1" x14ac:dyDescent="0.25">
      <c r="A771" s="49" t="s">
        <v>719</v>
      </c>
      <c r="B771" s="49" t="s">
        <v>77</v>
      </c>
      <c r="C771" s="49" t="s">
        <v>78</v>
      </c>
      <c r="D771" s="49" t="s">
        <v>69</v>
      </c>
      <c r="E771" s="50">
        <v>3948833757</v>
      </c>
      <c r="F771" s="50">
        <v>3802716439</v>
      </c>
      <c r="G771" s="50">
        <v>3802716439</v>
      </c>
      <c r="H771" s="50">
        <v>0</v>
      </c>
      <c r="I771" s="50">
        <v>0</v>
      </c>
      <c r="J771" s="50">
        <v>0</v>
      </c>
      <c r="K771" s="50">
        <v>3581408713.5900002</v>
      </c>
      <c r="L771" s="152">
        <f t="shared" si="0"/>
        <v>0.94180272735029458</v>
      </c>
      <c r="M771" s="50">
        <v>3581408713.5900002</v>
      </c>
      <c r="N771" s="152">
        <f t="shared" si="1"/>
        <v>0.94180272735029458</v>
      </c>
      <c r="O771" s="50">
        <v>221307725.41</v>
      </c>
      <c r="P771" s="152">
        <f t="shared" si="2"/>
        <v>5.819727264970545E-2</v>
      </c>
      <c r="Q771" s="50">
        <v>221307725.41</v>
      </c>
      <c r="R771" s="257"/>
    </row>
    <row r="772" spans="1:18" hidden="1" x14ac:dyDescent="0.25">
      <c r="A772" s="49" t="s">
        <v>719</v>
      </c>
      <c r="B772" s="49" t="s">
        <v>79</v>
      </c>
      <c r="C772" s="49" t="s">
        <v>80</v>
      </c>
      <c r="D772" s="49" t="s">
        <v>69</v>
      </c>
      <c r="E772" s="50">
        <v>655368000</v>
      </c>
      <c r="F772" s="50">
        <v>637364393</v>
      </c>
      <c r="G772" s="50">
        <v>637364393</v>
      </c>
      <c r="H772" s="50">
        <v>0</v>
      </c>
      <c r="I772" s="50">
        <v>0</v>
      </c>
      <c r="J772" s="50">
        <v>0</v>
      </c>
      <c r="K772" s="50">
        <v>590943717.88</v>
      </c>
      <c r="L772" s="152">
        <f t="shared" si="0"/>
        <v>0.92716776206856599</v>
      </c>
      <c r="M772" s="50">
        <v>590943717.88</v>
      </c>
      <c r="N772" s="152">
        <f t="shared" si="1"/>
        <v>0.92716776206856599</v>
      </c>
      <c r="O772" s="50">
        <v>46420675.119999997</v>
      </c>
      <c r="P772" s="152">
        <f t="shared" si="2"/>
        <v>7.283223793143398E-2</v>
      </c>
      <c r="Q772" s="50">
        <v>46420675.119999997</v>
      </c>
      <c r="R772" s="257"/>
    </row>
    <row r="773" spans="1:18" hidden="1" x14ac:dyDescent="0.25">
      <c r="A773" s="49" t="s">
        <v>719</v>
      </c>
      <c r="B773" s="49" t="s">
        <v>81</v>
      </c>
      <c r="C773" s="49" t="s">
        <v>82</v>
      </c>
      <c r="D773" s="49" t="s">
        <v>69</v>
      </c>
      <c r="E773" s="50">
        <v>1818533000</v>
      </c>
      <c r="F773" s="50">
        <v>1751449014</v>
      </c>
      <c r="G773" s="50">
        <v>1751449014</v>
      </c>
      <c r="H773" s="50">
        <v>0</v>
      </c>
      <c r="I773" s="50">
        <v>0</v>
      </c>
      <c r="J773" s="50">
        <v>0</v>
      </c>
      <c r="K773" s="50">
        <v>1655205666.3099999</v>
      </c>
      <c r="L773" s="152">
        <f t="shared" si="0"/>
        <v>0.94504930093842854</v>
      </c>
      <c r="M773" s="50">
        <v>1655205666.3099999</v>
      </c>
      <c r="N773" s="152">
        <f t="shared" si="1"/>
        <v>0.94504930093842854</v>
      </c>
      <c r="O773" s="50">
        <v>96243347.689999998</v>
      </c>
      <c r="P773" s="152">
        <f t="shared" si="2"/>
        <v>5.4950699061571427E-2</v>
      </c>
      <c r="Q773" s="50">
        <v>96243347.689999998</v>
      </c>
      <c r="R773" s="257"/>
    </row>
    <row r="774" spans="1:18" hidden="1" x14ac:dyDescent="0.25">
      <c r="A774" s="49" t="s">
        <v>719</v>
      </c>
      <c r="B774" s="49" t="s">
        <v>86</v>
      </c>
      <c r="C774" s="49" t="s">
        <v>87</v>
      </c>
      <c r="D774" s="49" t="s">
        <v>69</v>
      </c>
      <c r="E774" s="50">
        <v>463338500</v>
      </c>
      <c r="F774" s="50">
        <v>434338500</v>
      </c>
      <c r="G774" s="50">
        <v>434338500</v>
      </c>
      <c r="H774" s="50">
        <v>0</v>
      </c>
      <c r="I774" s="50">
        <v>0</v>
      </c>
      <c r="J774" s="50">
        <v>0</v>
      </c>
      <c r="K774" s="50">
        <v>410272916.79000002</v>
      </c>
      <c r="L774" s="152">
        <f t="shared" si="0"/>
        <v>0.9445925626901599</v>
      </c>
      <c r="M774" s="50">
        <v>410272916.79000002</v>
      </c>
      <c r="N774" s="152">
        <f t="shared" si="1"/>
        <v>0.9445925626901599</v>
      </c>
      <c r="O774" s="50">
        <v>24065583.210000001</v>
      </c>
      <c r="P774" s="152">
        <f t="shared" si="2"/>
        <v>5.5407437309840137E-2</v>
      </c>
      <c r="Q774" s="50">
        <v>24065583.210000001</v>
      </c>
      <c r="R774" s="257"/>
    </row>
    <row r="775" spans="1:18" hidden="1" x14ac:dyDescent="0.25">
      <c r="A775" s="49" t="s">
        <v>719</v>
      </c>
      <c r="B775" s="49" t="s">
        <v>88</v>
      </c>
      <c r="C775" s="49" t="s">
        <v>89</v>
      </c>
      <c r="D775" s="49" t="s">
        <v>69</v>
      </c>
      <c r="E775" s="50">
        <v>508107900</v>
      </c>
      <c r="F775" s="50">
        <v>495809043</v>
      </c>
      <c r="G775" s="50">
        <v>495809043</v>
      </c>
      <c r="H775" s="50">
        <v>0</v>
      </c>
      <c r="I775" s="50">
        <v>0</v>
      </c>
      <c r="J775" s="50">
        <v>0</v>
      </c>
      <c r="K775" s="50">
        <v>464600543.75</v>
      </c>
      <c r="L775" s="152">
        <f t="shared" si="0"/>
        <v>0.93705540532063269</v>
      </c>
      <c r="M775" s="50">
        <v>464600543.75</v>
      </c>
      <c r="N775" s="152">
        <f t="shared" si="1"/>
        <v>0.93705540532063269</v>
      </c>
      <c r="O775" s="50">
        <v>31208499.25</v>
      </c>
      <c r="P775" s="152">
        <f t="shared" si="2"/>
        <v>6.2944594679367319E-2</v>
      </c>
      <c r="Q775" s="50">
        <v>31208499.25</v>
      </c>
      <c r="R775" s="257"/>
    </row>
    <row r="776" spans="1:18" hidden="1" x14ac:dyDescent="0.25">
      <c r="A776" s="49" t="s">
        <v>719</v>
      </c>
      <c r="B776" s="49" t="s">
        <v>83</v>
      </c>
      <c r="C776" s="49" t="s">
        <v>84</v>
      </c>
      <c r="D776" s="49" t="s">
        <v>85</v>
      </c>
      <c r="E776" s="50">
        <v>503486357</v>
      </c>
      <c r="F776" s="50">
        <v>483755489</v>
      </c>
      <c r="G776" s="50">
        <v>483755489</v>
      </c>
      <c r="H776" s="50">
        <v>0</v>
      </c>
      <c r="I776" s="50">
        <v>0</v>
      </c>
      <c r="J776" s="50">
        <v>0</v>
      </c>
      <c r="K776" s="50">
        <v>460385868.86000001</v>
      </c>
      <c r="L776" s="152">
        <f t="shared" si="0"/>
        <v>0.95169125586914016</v>
      </c>
      <c r="M776" s="50">
        <v>460385868.86000001</v>
      </c>
      <c r="N776" s="152">
        <f t="shared" si="1"/>
        <v>0.95169125586914016</v>
      </c>
      <c r="O776" s="50">
        <v>23369620.140000001</v>
      </c>
      <c r="P776" s="152">
        <f t="shared" si="2"/>
        <v>4.8308744130859879E-2</v>
      </c>
      <c r="Q776" s="50">
        <v>23369620.140000001</v>
      </c>
      <c r="R776" s="257"/>
    </row>
    <row r="777" spans="1:18" hidden="1" x14ac:dyDescent="0.25">
      <c r="A777" s="49" t="s">
        <v>719</v>
      </c>
      <c r="B777" s="49" t="s">
        <v>90</v>
      </c>
      <c r="C777" s="49" t="s">
        <v>91</v>
      </c>
      <c r="D777" s="49" t="s">
        <v>69</v>
      </c>
      <c r="E777" s="50">
        <v>589315133</v>
      </c>
      <c r="F777" s="50">
        <v>566220775</v>
      </c>
      <c r="G777" s="50">
        <v>566220775</v>
      </c>
      <c r="H777" s="50">
        <v>0</v>
      </c>
      <c r="I777" s="50">
        <v>0</v>
      </c>
      <c r="J777" s="50">
        <v>0</v>
      </c>
      <c r="K777" s="50">
        <v>538949217.13</v>
      </c>
      <c r="L777" s="152">
        <f t="shared" si="0"/>
        <v>0.95183582257291777</v>
      </c>
      <c r="M777" s="50">
        <v>538949217.13</v>
      </c>
      <c r="N777" s="152">
        <f t="shared" si="1"/>
        <v>0.95183582257291777</v>
      </c>
      <c r="O777" s="50">
        <v>27271557.870000001</v>
      </c>
      <c r="P777" s="152">
        <f t="shared" si="2"/>
        <v>4.8164177427082219E-2</v>
      </c>
      <c r="Q777" s="50">
        <v>27271557.870000001</v>
      </c>
      <c r="R777" s="257"/>
    </row>
    <row r="778" spans="1:18" hidden="1" x14ac:dyDescent="0.25">
      <c r="A778" s="49" t="s">
        <v>719</v>
      </c>
      <c r="B778" s="49" t="s">
        <v>428</v>
      </c>
      <c r="C778" s="49" t="s">
        <v>697</v>
      </c>
      <c r="D778" s="49" t="s">
        <v>69</v>
      </c>
      <c r="E778" s="50">
        <v>559093873</v>
      </c>
      <c r="F778" s="50">
        <v>537183840</v>
      </c>
      <c r="G778" s="50">
        <v>537183840</v>
      </c>
      <c r="H778" s="50">
        <v>0</v>
      </c>
      <c r="I778" s="50">
        <v>0</v>
      </c>
      <c r="J778" s="50">
        <v>0</v>
      </c>
      <c r="K778" s="50">
        <v>511312588.47000003</v>
      </c>
      <c r="L778" s="152">
        <f t="shared" si="0"/>
        <v>0.95183911055477777</v>
      </c>
      <c r="M778" s="50">
        <v>511312588.47000003</v>
      </c>
      <c r="N778" s="152">
        <f t="shared" si="1"/>
        <v>0.95183911055477777</v>
      </c>
      <c r="O778" s="50">
        <v>25871251.530000001</v>
      </c>
      <c r="P778" s="152">
        <f t="shared" si="2"/>
        <v>4.816088944522233E-2</v>
      </c>
      <c r="Q778" s="50">
        <v>25871251.530000001</v>
      </c>
      <c r="R778" s="257"/>
    </row>
    <row r="779" spans="1:18" hidden="1" x14ac:dyDescent="0.25">
      <c r="A779" s="49" t="s">
        <v>719</v>
      </c>
      <c r="B779" s="49" t="s">
        <v>445</v>
      </c>
      <c r="C779" s="49" t="s">
        <v>95</v>
      </c>
      <c r="D779" s="49" t="s">
        <v>69</v>
      </c>
      <c r="E779" s="50">
        <v>30221260</v>
      </c>
      <c r="F779" s="50">
        <v>29036935</v>
      </c>
      <c r="G779" s="50">
        <v>29036935</v>
      </c>
      <c r="H779" s="50">
        <v>0</v>
      </c>
      <c r="I779" s="50">
        <v>0</v>
      </c>
      <c r="J779" s="50">
        <v>0</v>
      </c>
      <c r="K779" s="50">
        <v>27636628.66</v>
      </c>
      <c r="L779" s="152">
        <f t="shared" si="0"/>
        <v>0.95177499484708006</v>
      </c>
      <c r="M779" s="50">
        <v>27636628.66</v>
      </c>
      <c r="N779" s="152">
        <f t="shared" si="1"/>
        <v>0.95177499484708006</v>
      </c>
      <c r="O779" s="50">
        <v>1400306.34</v>
      </c>
      <c r="P779" s="152">
        <f t="shared" si="2"/>
        <v>4.8225005152919893E-2</v>
      </c>
      <c r="Q779" s="50">
        <v>1400306.34</v>
      </c>
      <c r="R779" s="257"/>
    </row>
    <row r="780" spans="1:18" hidden="1" x14ac:dyDescent="0.25">
      <c r="A780" s="49" t="s">
        <v>719</v>
      </c>
      <c r="B780" s="49" t="s">
        <v>96</v>
      </c>
      <c r="C780" s="49" t="s">
        <v>97</v>
      </c>
      <c r="D780" s="49" t="s">
        <v>69</v>
      </c>
      <c r="E780" s="50">
        <v>589314933</v>
      </c>
      <c r="F780" s="50">
        <v>566220577</v>
      </c>
      <c r="G780" s="50">
        <v>566220577</v>
      </c>
      <c r="H780" s="50">
        <v>0</v>
      </c>
      <c r="I780" s="50">
        <v>0</v>
      </c>
      <c r="J780" s="50">
        <v>0</v>
      </c>
      <c r="K780" s="50">
        <v>533376245.24000001</v>
      </c>
      <c r="L780" s="152">
        <f t="shared" si="0"/>
        <v>0.94199375103247085</v>
      </c>
      <c r="M780" s="50">
        <v>533376245.24000001</v>
      </c>
      <c r="N780" s="152">
        <f t="shared" si="1"/>
        <v>0.94199375103247085</v>
      </c>
      <c r="O780" s="50">
        <v>32844331.760000002</v>
      </c>
      <c r="P780" s="152">
        <f t="shared" si="2"/>
        <v>5.8006248967529137E-2</v>
      </c>
      <c r="Q780" s="50">
        <v>32844331.760000002</v>
      </c>
      <c r="R780" s="257"/>
    </row>
    <row r="781" spans="1:18" hidden="1" x14ac:dyDescent="0.25">
      <c r="A781" s="49" t="s">
        <v>719</v>
      </c>
      <c r="B781" s="49" t="s">
        <v>463</v>
      </c>
      <c r="C781" s="49" t="s">
        <v>698</v>
      </c>
      <c r="D781" s="49" t="s">
        <v>69</v>
      </c>
      <c r="E781" s="50">
        <v>317323487</v>
      </c>
      <c r="F781" s="50">
        <v>304888065</v>
      </c>
      <c r="G781" s="50">
        <v>304888065</v>
      </c>
      <c r="H781" s="50">
        <v>0</v>
      </c>
      <c r="I781" s="50">
        <v>0</v>
      </c>
      <c r="J781" s="50">
        <v>0</v>
      </c>
      <c r="K781" s="50">
        <v>284646154.22000003</v>
      </c>
      <c r="L781" s="152">
        <f t="shared" si="0"/>
        <v>0.93360871380780364</v>
      </c>
      <c r="M781" s="50">
        <v>284646154.22000003</v>
      </c>
      <c r="N781" s="152">
        <f t="shared" si="1"/>
        <v>0.93360871380780364</v>
      </c>
      <c r="O781" s="50">
        <v>20241910.780000001</v>
      </c>
      <c r="P781" s="152">
        <f t="shared" si="2"/>
        <v>6.6391286192196475E-2</v>
      </c>
      <c r="Q781" s="50">
        <v>20241910.780000001</v>
      </c>
      <c r="R781" s="257"/>
    </row>
    <row r="782" spans="1:18" hidden="1" x14ac:dyDescent="0.25">
      <c r="A782" s="49" t="s">
        <v>719</v>
      </c>
      <c r="B782" s="49" t="s">
        <v>480</v>
      </c>
      <c r="C782" s="49" t="s">
        <v>699</v>
      </c>
      <c r="D782" s="49" t="s">
        <v>69</v>
      </c>
      <c r="E782" s="50">
        <v>90663782</v>
      </c>
      <c r="F782" s="50">
        <v>104358804</v>
      </c>
      <c r="G782" s="50">
        <v>104358804</v>
      </c>
      <c r="H782" s="50">
        <v>0</v>
      </c>
      <c r="I782" s="50">
        <v>0</v>
      </c>
      <c r="J782" s="50">
        <v>0</v>
      </c>
      <c r="K782" s="50">
        <v>95957274.620000005</v>
      </c>
      <c r="L782" s="152">
        <f t="shared" si="0"/>
        <v>0.91949381309506006</v>
      </c>
      <c r="M782" s="50">
        <v>95957274.620000005</v>
      </c>
      <c r="N782" s="152">
        <f t="shared" si="1"/>
        <v>0.91949381309506006</v>
      </c>
      <c r="O782" s="50">
        <v>8401529.3800000008</v>
      </c>
      <c r="P782" s="152">
        <f t="shared" si="2"/>
        <v>8.0506186904940005E-2</v>
      </c>
      <c r="Q782" s="50">
        <v>8401529.3800000008</v>
      </c>
      <c r="R782" s="257"/>
    </row>
    <row r="783" spans="1:18" hidden="1" x14ac:dyDescent="0.25">
      <c r="A783" s="49" t="s">
        <v>719</v>
      </c>
      <c r="B783" s="49" t="s">
        <v>497</v>
      </c>
      <c r="C783" s="49" t="s">
        <v>700</v>
      </c>
      <c r="D783" s="49" t="s">
        <v>69</v>
      </c>
      <c r="E783" s="50">
        <v>181327664</v>
      </c>
      <c r="F783" s="50">
        <v>156973708</v>
      </c>
      <c r="G783" s="50">
        <v>156973708</v>
      </c>
      <c r="H783" s="50">
        <v>0</v>
      </c>
      <c r="I783" s="50">
        <v>0</v>
      </c>
      <c r="J783" s="50">
        <v>0</v>
      </c>
      <c r="K783" s="50">
        <v>152772816.40000001</v>
      </c>
      <c r="L783" s="152">
        <f t="shared" si="0"/>
        <v>0.97323824700630757</v>
      </c>
      <c r="M783" s="50">
        <v>152772816.40000001</v>
      </c>
      <c r="N783" s="152">
        <f t="shared" si="1"/>
        <v>0.97323824700630757</v>
      </c>
      <c r="O783" s="50">
        <v>4200891.5999999996</v>
      </c>
      <c r="P783" s="152">
        <f t="shared" si="2"/>
        <v>2.676175299369242E-2</v>
      </c>
      <c r="Q783" s="50">
        <v>4200891.5999999996</v>
      </c>
      <c r="R783" s="257"/>
    </row>
    <row r="784" spans="1:18" hidden="1" x14ac:dyDescent="0.25">
      <c r="A784" s="49" t="s">
        <v>719</v>
      </c>
      <c r="B784" s="49" t="s">
        <v>248</v>
      </c>
      <c r="C784" s="49" t="s">
        <v>249</v>
      </c>
      <c r="D784" s="49" t="s">
        <v>69</v>
      </c>
      <c r="E784" s="50">
        <v>100334593</v>
      </c>
      <c r="F784" s="50">
        <v>172402631</v>
      </c>
      <c r="G784" s="50">
        <v>172402631</v>
      </c>
      <c r="H784" s="50">
        <v>0</v>
      </c>
      <c r="I784" s="50">
        <v>0</v>
      </c>
      <c r="J784" s="50">
        <v>0</v>
      </c>
      <c r="K784" s="50">
        <v>145714435.65000001</v>
      </c>
      <c r="L784" s="152">
        <f t="shared" si="0"/>
        <v>0.84519844508637465</v>
      </c>
      <c r="M784" s="50">
        <v>145714435.65000001</v>
      </c>
      <c r="N784" s="152">
        <f t="shared" si="1"/>
        <v>0.84519844508637465</v>
      </c>
      <c r="O784" s="50">
        <v>26688195.350000001</v>
      </c>
      <c r="P784" s="152">
        <f t="shared" si="2"/>
        <v>0.15480155491362543</v>
      </c>
      <c r="Q784" s="50">
        <v>26688195.350000001</v>
      </c>
      <c r="R784" s="257"/>
    </row>
    <row r="785" spans="1:18" hidden="1" x14ac:dyDescent="0.25">
      <c r="A785" s="49" t="s">
        <v>719</v>
      </c>
      <c r="B785" s="49" t="s">
        <v>250</v>
      </c>
      <c r="C785" s="49" t="s">
        <v>251</v>
      </c>
      <c r="D785" s="49" t="s">
        <v>69</v>
      </c>
      <c r="E785" s="50">
        <v>100334593</v>
      </c>
      <c r="F785" s="50">
        <v>96402631</v>
      </c>
      <c r="G785" s="50">
        <v>96402631</v>
      </c>
      <c r="H785" s="50">
        <v>0</v>
      </c>
      <c r="I785" s="50">
        <v>0</v>
      </c>
      <c r="J785" s="50">
        <v>0</v>
      </c>
      <c r="K785" s="50">
        <v>90344335.920000002</v>
      </c>
      <c r="L785" s="152">
        <f t="shared" si="0"/>
        <v>0.93715633051550229</v>
      </c>
      <c r="M785" s="50">
        <v>90344335.920000002</v>
      </c>
      <c r="N785" s="152">
        <f t="shared" si="1"/>
        <v>0.93715633051550229</v>
      </c>
      <c r="O785" s="50">
        <v>6058295.0800000001</v>
      </c>
      <c r="P785" s="152">
        <f t="shared" si="2"/>
        <v>6.284366948449778E-2</v>
      </c>
      <c r="Q785" s="50">
        <v>6058295.0800000001</v>
      </c>
      <c r="R785" s="257"/>
    </row>
    <row r="786" spans="1:18" hidden="1" x14ac:dyDescent="0.25">
      <c r="A786" s="49" t="s">
        <v>719</v>
      </c>
      <c r="B786" s="49" t="s">
        <v>637</v>
      </c>
      <c r="C786" s="49" t="s">
        <v>702</v>
      </c>
      <c r="D786" s="49" t="s">
        <v>69</v>
      </c>
      <c r="E786" s="50">
        <v>85224013</v>
      </c>
      <c r="F786" s="50">
        <v>81884214</v>
      </c>
      <c r="G786" s="50">
        <v>81884214</v>
      </c>
      <c r="H786" s="50">
        <v>0</v>
      </c>
      <c r="I786" s="50">
        <v>0</v>
      </c>
      <c r="J786" s="50">
        <v>0</v>
      </c>
      <c r="K786" s="50">
        <v>76525961.450000003</v>
      </c>
      <c r="L786" s="152">
        <f t="shared" si="0"/>
        <v>0.9345630581494011</v>
      </c>
      <c r="M786" s="50">
        <v>76525961.450000003</v>
      </c>
      <c r="N786" s="152">
        <f t="shared" si="1"/>
        <v>0.9345630581494011</v>
      </c>
      <c r="O786" s="50">
        <v>5358252.55</v>
      </c>
      <c r="P786" s="152">
        <f t="shared" si="2"/>
        <v>6.5436941850598937E-2</v>
      </c>
      <c r="Q786" s="50">
        <v>5358252.55</v>
      </c>
      <c r="R786" s="257"/>
    </row>
    <row r="787" spans="1:18" hidden="1" x14ac:dyDescent="0.25">
      <c r="A787" s="49" t="s">
        <v>719</v>
      </c>
      <c r="B787" s="49" t="s">
        <v>652</v>
      </c>
      <c r="C787" s="49" t="s">
        <v>703</v>
      </c>
      <c r="D787" s="49" t="s">
        <v>69</v>
      </c>
      <c r="E787" s="50">
        <v>15110580</v>
      </c>
      <c r="F787" s="50">
        <v>14518417</v>
      </c>
      <c r="G787" s="50">
        <v>14518417</v>
      </c>
      <c r="H787" s="50">
        <v>0</v>
      </c>
      <c r="I787" s="50">
        <v>0</v>
      </c>
      <c r="J787" s="50">
        <v>0</v>
      </c>
      <c r="K787" s="50">
        <v>13818374.470000001</v>
      </c>
      <c r="L787" s="152">
        <f t="shared" si="0"/>
        <v>0.95178244776961574</v>
      </c>
      <c r="M787" s="50">
        <v>13818374.470000001</v>
      </c>
      <c r="N787" s="152">
        <f t="shared" si="1"/>
        <v>0.95178244776961574</v>
      </c>
      <c r="O787" s="50">
        <v>700042.53</v>
      </c>
      <c r="P787" s="152">
        <f t="shared" si="2"/>
        <v>4.8217552230384347E-2</v>
      </c>
      <c r="Q787" s="50">
        <v>700042.53</v>
      </c>
      <c r="R787" s="257"/>
    </row>
    <row r="788" spans="1:18" hidden="1" x14ac:dyDescent="0.25">
      <c r="A788" s="49" t="s">
        <v>719</v>
      </c>
      <c r="B788" s="49" t="s">
        <v>260</v>
      </c>
      <c r="C788" s="49" t="s">
        <v>261</v>
      </c>
      <c r="D788" s="49" t="s">
        <v>69</v>
      </c>
      <c r="E788" s="50">
        <v>0</v>
      </c>
      <c r="F788" s="50">
        <v>76000000</v>
      </c>
      <c r="G788" s="50">
        <v>76000000</v>
      </c>
      <c r="H788" s="50">
        <v>0</v>
      </c>
      <c r="I788" s="50">
        <v>0</v>
      </c>
      <c r="J788" s="50">
        <v>0</v>
      </c>
      <c r="K788" s="50">
        <v>55370099.729999997</v>
      </c>
      <c r="L788" s="152">
        <f t="shared" si="0"/>
        <v>0.72855394381578942</v>
      </c>
      <c r="M788" s="50">
        <v>55370099.729999997</v>
      </c>
      <c r="N788" s="152">
        <f t="shared" si="1"/>
        <v>0.72855394381578942</v>
      </c>
      <c r="O788" s="50">
        <v>20629900.27</v>
      </c>
      <c r="P788" s="152">
        <f t="shared" si="2"/>
        <v>0.27144605618421053</v>
      </c>
      <c r="Q788" s="50">
        <v>20629900.27</v>
      </c>
      <c r="R788" s="257"/>
    </row>
    <row r="789" spans="1:18" hidden="1" x14ac:dyDescent="0.25">
      <c r="A789" s="49" t="s">
        <v>719</v>
      </c>
      <c r="B789" s="49" t="s">
        <v>262</v>
      </c>
      <c r="C789" s="49" t="s">
        <v>263</v>
      </c>
      <c r="D789" s="49" t="s">
        <v>69</v>
      </c>
      <c r="E789" s="50">
        <v>0</v>
      </c>
      <c r="F789" s="50">
        <v>43000000</v>
      </c>
      <c r="G789" s="50">
        <v>43000000</v>
      </c>
      <c r="H789" s="50">
        <v>0</v>
      </c>
      <c r="I789" s="50">
        <v>0</v>
      </c>
      <c r="J789" s="50">
        <v>0</v>
      </c>
      <c r="K789" s="50">
        <v>37676669.229999997</v>
      </c>
      <c r="L789" s="152">
        <f t="shared" si="0"/>
        <v>0.87620160999999996</v>
      </c>
      <c r="M789" s="50">
        <v>37676669.229999997</v>
      </c>
      <c r="N789" s="152">
        <f t="shared" si="1"/>
        <v>0.87620160999999996</v>
      </c>
      <c r="O789" s="50">
        <v>5323330.7699999996</v>
      </c>
      <c r="P789" s="152">
        <f t="shared" si="2"/>
        <v>0.12379838999999999</v>
      </c>
      <c r="Q789" s="50">
        <v>5323330.7699999996</v>
      </c>
      <c r="R789" s="257"/>
    </row>
    <row r="790" spans="1:18" hidden="1" x14ac:dyDescent="0.25">
      <c r="A790" s="49" t="s">
        <v>719</v>
      </c>
      <c r="B790" s="49" t="s">
        <v>264</v>
      </c>
      <c r="C790" s="49" t="s">
        <v>265</v>
      </c>
      <c r="D790" s="49" t="s">
        <v>69</v>
      </c>
      <c r="E790" s="50">
        <v>0</v>
      </c>
      <c r="F790" s="50">
        <v>33000000</v>
      </c>
      <c r="G790" s="50">
        <v>33000000</v>
      </c>
      <c r="H790" s="50">
        <v>0</v>
      </c>
      <c r="I790" s="50">
        <v>0</v>
      </c>
      <c r="J790" s="50">
        <v>0</v>
      </c>
      <c r="K790" s="50">
        <v>17693430.5</v>
      </c>
      <c r="L790" s="152">
        <f t="shared" si="0"/>
        <v>0.53616456060606066</v>
      </c>
      <c r="M790" s="50">
        <v>17693430.5</v>
      </c>
      <c r="N790" s="152">
        <f t="shared" si="1"/>
        <v>0.53616456060606066</v>
      </c>
      <c r="O790" s="50">
        <v>15306569.5</v>
      </c>
      <c r="P790" s="152">
        <f t="shared" si="2"/>
        <v>0.4638354393939394</v>
      </c>
      <c r="Q790" s="50">
        <v>15306569.5</v>
      </c>
      <c r="R790" s="257"/>
    </row>
    <row r="791" spans="1:18" x14ac:dyDescent="0.25">
      <c r="A791" s="49">
        <v>214793</v>
      </c>
      <c r="B791" s="49"/>
      <c r="C791" s="49"/>
      <c r="D791" s="49" t="s">
        <v>69</v>
      </c>
      <c r="E791" s="50">
        <v>918243709</v>
      </c>
      <c r="F791" s="50">
        <v>895550765</v>
      </c>
      <c r="G791" s="50">
        <v>895550765</v>
      </c>
      <c r="H791" s="50">
        <v>0</v>
      </c>
      <c r="I791" s="50">
        <v>0</v>
      </c>
      <c r="J791" s="50">
        <v>0</v>
      </c>
      <c r="K791" s="50">
        <v>882074571.79999995</v>
      </c>
      <c r="L791" s="152">
        <f t="shared" si="0"/>
        <v>0.98495206109281808</v>
      </c>
      <c r="M791" s="50">
        <v>882074571.79999995</v>
      </c>
      <c r="N791" s="152">
        <f t="shared" si="1"/>
        <v>0.98495206109281808</v>
      </c>
      <c r="O791" s="50">
        <v>13476193.199999999</v>
      </c>
      <c r="P791" s="152">
        <f t="shared" si="2"/>
        <v>1.5047938907181884E-2</v>
      </c>
      <c r="Q791" s="50">
        <v>13476193.199999999</v>
      </c>
      <c r="R791" s="257"/>
    </row>
    <row r="792" spans="1:18" hidden="1" x14ac:dyDescent="0.25">
      <c r="A792" s="49" t="s">
        <v>720</v>
      </c>
      <c r="B792" s="49" t="s">
        <v>71</v>
      </c>
      <c r="C792" s="49" t="s">
        <v>72</v>
      </c>
      <c r="D792" s="49" t="s">
        <v>69</v>
      </c>
      <c r="E792" s="50">
        <v>899027714</v>
      </c>
      <c r="F792" s="50">
        <v>878789381</v>
      </c>
      <c r="G792" s="50">
        <v>878789381</v>
      </c>
      <c r="H792" s="50">
        <v>0</v>
      </c>
      <c r="I792" s="50">
        <v>0</v>
      </c>
      <c r="J792" s="50">
        <v>0</v>
      </c>
      <c r="K792" s="50">
        <v>868699249.83000004</v>
      </c>
      <c r="L792" s="152">
        <f t="shared" si="0"/>
        <v>0.98851814622689438</v>
      </c>
      <c r="M792" s="50">
        <v>868699249.83000004</v>
      </c>
      <c r="N792" s="152">
        <f t="shared" si="1"/>
        <v>0.98851814622689438</v>
      </c>
      <c r="O792" s="50">
        <v>10090131.17</v>
      </c>
      <c r="P792" s="152">
        <f t="shared" si="2"/>
        <v>1.1481853773105618E-2</v>
      </c>
      <c r="Q792" s="50">
        <v>10090131.17</v>
      </c>
      <c r="R792" s="257"/>
    </row>
    <row r="793" spans="1:18" hidden="1" x14ac:dyDescent="0.25">
      <c r="A793" s="49" t="s">
        <v>720</v>
      </c>
      <c r="B793" s="49" t="s">
        <v>73</v>
      </c>
      <c r="C793" s="49" t="s">
        <v>74</v>
      </c>
      <c r="D793" s="49" t="s">
        <v>69</v>
      </c>
      <c r="E793" s="50">
        <v>305726500</v>
      </c>
      <c r="F793" s="50">
        <v>299696000</v>
      </c>
      <c r="G793" s="50">
        <v>299696000</v>
      </c>
      <c r="H793" s="50">
        <v>0</v>
      </c>
      <c r="I793" s="50">
        <v>0</v>
      </c>
      <c r="J793" s="50">
        <v>0</v>
      </c>
      <c r="K793" s="50">
        <v>297792894.30000001</v>
      </c>
      <c r="L793" s="152">
        <f t="shared" si="0"/>
        <v>0.99364987954460526</v>
      </c>
      <c r="M793" s="50">
        <v>297792894.30000001</v>
      </c>
      <c r="N793" s="152">
        <f t="shared" si="1"/>
        <v>0.99364987954460526</v>
      </c>
      <c r="O793" s="50">
        <v>1903105.7</v>
      </c>
      <c r="P793" s="152">
        <f t="shared" si="2"/>
        <v>6.3501204553947999E-3</v>
      </c>
      <c r="Q793" s="50">
        <v>1903105.7</v>
      </c>
      <c r="R793" s="257"/>
    </row>
    <row r="794" spans="1:18" hidden="1" x14ac:dyDescent="0.25">
      <c r="A794" s="49" t="s">
        <v>720</v>
      </c>
      <c r="B794" s="49" t="s">
        <v>75</v>
      </c>
      <c r="C794" s="49" t="s">
        <v>76</v>
      </c>
      <c r="D794" s="49" t="s">
        <v>69</v>
      </c>
      <c r="E794" s="50">
        <v>305726500</v>
      </c>
      <c r="F794" s="50">
        <v>298196000</v>
      </c>
      <c r="G794" s="50">
        <v>298196000</v>
      </c>
      <c r="H794" s="50">
        <v>0</v>
      </c>
      <c r="I794" s="50">
        <v>0</v>
      </c>
      <c r="J794" s="50">
        <v>0</v>
      </c>
      <c r="K794" s="50">
        <v>297792894.30000001</v>
      </c>
      <c r="L794" s="152">
        <f t="shared" si="0"/>
        <v>0.998648185421669</v>
      </c>
      <c r="M794" s="50">
        <v>297792894.30000001</v>
      </c>
      <c r="N794" s="152">
        <f t="shared" si="1"/>
        <v>0.998648185421669</v>
      </c>
      <c r="O794" s="50">
        <v>403105.7</v>
      </c>
      <c r="P794" s="152">
        <f t="shared" si="2"/>
        <v>1.3518145783310306E-3</v>
      </c>
      <c r="Q794" s="50">
        <v>403105.7</v>
      </c>
      <c r="R794" s="257"/>
    </row>
    <row r="795" spans="1:18" hidden="1" x14ac:dyDescent="0.25">
      <c r="A795" s="49" t="s">
        <v>720</v>
      </c>
      <c r="B795" s="49" t="s">
        <v>291</v>
      </c>
      <c r="C795" s="49" t="s">
        <v>292</v>
      </c>
      <c r="D795" s="49" t="s">
        <v>69</v>
      </c>
      <c r="E795" s="50">
        <v>0</v>
      </c>
      <c r="F795" s="50">
        <v>1500000</v>
      </c>
      <c r="G795" s="50">
        <v>1500000</v>
      </c>
      <c r="H795" s="50">
        <v>0</v>
      </c>
      <c r="I795" s="50">
        <v>0</v>
      </c>
      <c r="J795" s="50">
        <v>0</v>
      </c>
      <c r="K795" s="50">
        <v>0</v>
      </c>
      <c r="L795" s="152">
        <f t="shared" si="0"/>
        <v>0</v>
      </c>
      <c r="M795" s="50">
        <v>0</v>
      </c>
      <c r="N795" s="152">
        <f t="shared" si="1"/>
        <v>0</v>
      </c>
      <c r="O795" s="50">
        <v>1500000</v>
      </c>
      <c r="P795" s="152">
        <f t="shared" si="2"/>
        <v>1</v>
      </c>
      <c r="Q795" s="50">
        <v>1500000</v>
      </c>
      <c r="R795" s="257"/>
    </row>
    <row r="796" spans="1:18" hidden="1" x14ac:dyDescent="0.25">
      <c r="A796" s="49" t="s">
        <v>720</v>
      </c>
      <c r="B796" s="49" t="s">
        <v>77</v>
      </c>
      <c r="C796" s="49" t="s">
        <v>78</v>
      </c>
      <c r="D796" s="49" t="s">
        <v>69</v>
      </c>
      <c r="E796" s="50">
        <v>456157950</v>
      </c>
      <c r="F796" s="50">
        <v>444960170</v>
      </c>
      <c r="G796" s="50">
        <v>444960170</v>
      </c>
      <c r="H796" s="50">
        <v>0</v>
      </c>
      <c r="I796" s="50">
        <v>0</v>
      </c>
      <c r="J796" s="50">
        <v>0</v>
      </c>
      <c r="K796" s="50">
        <v>437294610.50999999</v>
      </c>
      <c r="L796" s="152">
        <f t="shared" si="0"/>
        <v>0.98277248165830211</v>
      </c>
      <c r="M796" s="50">
        <v>437294610.50999999</v>
      </c>
      <c r="N796" s="152">
        <f t="shared" si="1"/>
        <v>0.98277248165830211</v>
      </c>
      <c r="O796" s="50">
        <v>7665559.4900000002</v>
      </c>
      <c r="P796" s="152">
        <f t="shared" si="2"/>
        <v>1.7227518341697865E-2</v>
      </c>
      <c r="Q796" s="50">
        <v>7665559.4900000002</v>
      </c>
      <c r="R796" s="257"/>
    </row>
    <row r="797" spans="1:18" hidden="1" x14ac:dyDescent="0.25">
      <c r="A797" s="49" t="s">
        <v>720</v>
      </c>
      <c r="B797" s="49" t="s">
        <v>79</v>
      </c>
      <c r="C797" s="49" t="s">
        <v>80</v>
      </c>
      <c r="D797" s="49" t="s">
        <v>69</v>
      </c>
      <c r="E797" s="50">
        <v>79360300</v>
      </c>
      <c r="F797" s="50">
        <v>77213355</v>
      </c>
      <c r="G797" s="50">
        <v>77213355</v>
      </c>
      <c r="H797" s="50">
        <v>0</v>
      </c>
      <c r="I797" s="50">
        <v>0</v>
      </c>
      <c r="J797" s="50">
        <v>0</v>
      </c>
      <c r="K797" s="50">
        <v>75156095.519999996</v>
      </c>
      <c r="L797" s="152">
        <f t="shared" si="0"/>
        <v>0.97335617031535537</v>
      </c>
      <c r="M797" s="50">
        <v>75156095.519999996</v>
      </c>
      <c r="N797" s="152">
        <f t="shared" si="1"/>
        <v>0.97335617031535537</v>
      </c>
      <c r="O797" s="50">
        <v>2057259.48</v>
      </c>
      <c r="P797" s="152">
        <f t="shared" si="2"/>
        <v>2.6643829684644581E-2</v>
      </c>
      <c r="Q797" s="50">
        <v>2057259.48</v>
      </c>
      <c r="R797" s="257"/>
    </row>
    <row r="798" spans="1:18" hidden="1" x14ac:dyDescent="0.25">
      <c r="A798" s="49" t="s">
        <v>720</v>
      </c>
      <c r="B798" s="49" t="s">
        <v>81</v>
      </c>
      <c r="C798" s="49" t="s">
        <v>82</v>
      </c>
      <c r="D798" s="49" t="s">
        <v>69</v>
      </c>
      <c r="E798" s="50">
        <v>203715000</v>
      </c>
      <c r="F798" s="50">
        <v>201884143</v>
      </c>
      <c r="G798" s="50">
        <v>201884143</v>
      </c>
      <c r="H798" s="50">
        <v>0</v>
      </c>
      <c r="I798" s="50">
        <v>0</v>
      </c>
      <c r="J798" s="50">
        <v>0</v>
      </c>
      <c r="K798" s="50">
        <v>200282759.00999999</v>
      </c>
      <c r="L798" s="152">
        <f t="shared" si="0"/>
        <v>0.9920678069797686</v>
      </c>
      <c r="M798" s="50">
        <v>200282759.00999999</v>
      </c>
      <c r="N798" s="152">
        <f t="shared" si="1"/>
        <v>0.9920678069797686</v>
      </c>
      <c r="O798" s="50">
        <v>1601383.99</v>
      </c>
      <c r="P798" s="152">
        <f t="shared" si="2"/>
        <v>7.9321930202314109E-3</v>
      </c>
      <c r="Q798" s="50">
        <v>1601383.99</v>
      </c>
      <c r="R798" s="257"/>
    </row>
    <row r="799" spans="1:18" hidden="1" x14ac:dyDescent="0.25">
      <c r="A799" s="49" t="s">
        <v>720</v>
      </c>
      <c r="B799" s="49" t="s">
        <v>86</v>
      </c>
      <c r="C799" s="49" t="s">
        <v>87</v>
      </c>
      <c r="D799" s="49" t="s">
        <v>69</v>
      </c>
      <c r="E799" s="50">
        <v>53908100</v>
      </c>
      <c r="F799" s="50">
        <v>48408100</v>
      </c>
      <c r="G799" s="50">
        <v>48408100</v>
      </c>
      <c r="H799" s="50">
        <v>0</v>
      </c>
      <c r="I799" s="50">
        <v>0</v>
      </c>
      <c r="J799" s="50">
        <v>0</v>
      </c>
      <c r="K799" s="50">
        <v>47509133.960000001</v>
      </c>
      <c r="L799" s="152">
        <f t="shared" si="0"/>
        <v>0.98142942937235711</v>
      </c>
      <c r="M799" s="50">
        <v>47509133.960000001</v>
      </c>
      <c r="N799" s="152">
        <f t="shared" si="1"/>
        <v>0.98142942937235711</v>
      </c>
      <c r="O799" s="50">
        <v>898966.04</v>
      </c>
      <c r="P799" s="152">
        <f t="shared" si="2"/>
        <v>1.8570570627642894E-2</v>
      </c>
      <c r="Q799" s="50">
        <v>898966.04</v>
      </c>
      <c r="R799" s="257"/>
    </row>
    <row r="800" spans="1:18" hidden="1" x14ac:dyDescent="0.25">
      <c r="A800" s="49" t="s">
        <v>720</v>
      </c>
      <c r="B800" s="49" t="s">
        <v>88</v>
      </c>
      <c r="C800" s="49" t="s">
        <v>89</v>
      </c>
      <c r="D800" s="49" t="s">
        <v>69</v>
      </c>
      <c r="E800" s="50">
        <v>60590000</v>
      </c>
      <c r="F800" s="50">
        <v>60155857</v>
      </c>
      <c r="G800" s="50">
        <v>60155857</v>
      </c>
      <c r="H800" s="50">
        <v>0</v>
      </c>
      <c r="I800" s="50">
        <v>0</v>
      </c>
      <c r="J800" s="50">
        <v>0</v>
      </c>
      <c r="K800" s="50">
        <v>58074992.299999997</v>
      </c>
      <c r="L800" s="152">
        <f t="shared" si="0"/>
        <v>0.96540877640559586</v>
      </c>
      <c r="M800" s="50">
        <v>58074992.299999997</v>
      </c>
      <c r="N800" s="152">
        <f t="shared" si="1"/>
        <v>0.96540877640559586</v>
      </c>
      <c r="O800" s="50">
        <v>2080864.7</v>
      </c>
      <c r="P800" s="152">
        <f t="shared" si="2"/>
        <v>3.4591223594404114E-2</v>
      </c>
      <c r="Q800" s="50">
        <v>2080864.7</v>
      </c>
      <c r="R800" s="257"/>
    </row>
    <row r="801" spans="1:18" hidden="1" x14ac:dyDescent="0.25">
      <c r="A801" s="49" t="s">
        <v>720</v>
      </c>
      <c r="B801" s="49" t="s">
        <v>83</v>
      </c>
      <c r="C801" s="49" t="s">
        <v>84</v>
      </c>
      <c r="D801" s="49" t="s">
        <v>85</v>
      </c>
      <c r="E801" s="50">
        <v>58584550</v>
      </c>
      <c r="F801" s="50">
        <v>57298715</v>
      </c>
      <c r="G801" s="50">
        <v>57298715</v>
      </c>
      <c r="H801" s="50">
        <v>0</v>
      </c>
      <c r="I801" s="50">
        <v>0</v>
      </c>
      <c r="J801" s="50">
        <v>0</v>
      </c>
      <c r="K801" s="50">
        <v>56271629.719999999</v>
      </c>
      <c r="L801" s="152">
        <f t="shared" si="0"/>
        <v>0.98207489853830054</v>
      </c>
      <c r="M801" s="50">
        <v>56271629.719999999</v>
      </c>
      <c r="N801" s="152">
        <f t="shared" si="1"/>
        <v>0.98207489853830054</v>
      </c>
      <c r="O801" s="50">
        <v>1027085.28</v>
      </c>
      <c r="P801" s="152">
        <f t="shared" si="2"/>
        <v>1.7925101461699448E-2</v>
      </c>
      <c r="Q801" s="50">
        <v>1027085.28</v>
      </c>
      <c r="R801" s="257"/>
    </row>
    <row r="802" spans="1:18" hidden="1" x14ac:dyDescent="0.25">
      <c r="A802" s="49" t="s">
        <v>720</v>
      </c>
      <c r="B802" s="49" t="s">
        <v>90</v>
      </c>
      <c r="C802" s="49" t="s">
        <v>91</v>
      </c>
      <c r="D802" s="49" t="s">
        <v>69</v>
      </c>
      <c r="E802" s="50">
        <v>68571682</v>
      </c>
      <c r="F802" s="50">
        <v>67066655</v>
      </c>
      <c r="G802" s="50">
        <v>67066655</v>
      </c>
      <c r="H802" s="50">
        <v>0</v>
      </c>
      <c r="I802" s="50">
        <v>0</v>
      </c>
      <c r="J802" s="50">
        <v>0</v>
      </c>
      <c r="K802" s="50">
        <v>67060177.530000001</v>
      </c>
      <c r="L802" s="152">
        <f t="shared" si="0"/>
        <v>0.99990341742852695</v>
      </c>
      <c r="M802" s="50">
        <v>67060177.530000001</v>
      </c>
      <c r="N802" s="152">
        <f t="shared" si="1"/>
        <v>0.99990341742852695</v>
      </c>
      <c r="O802" s="50">
        <v>6477.47</v>
      </c>
      <c r="P802" s="152">
        <f t="shared" si="2"/>
        <v>9.658257147311135E-5</v>
      </c>
      <c r="Q802" s="50">
        <v>6477.47</v>
      </c>
      <c r="R802" s="257"/>
    </row>
    <row r="803" spans="1:18" hidden="1" x14ac:dyDescent="0.25">
      <c r="A803" s="49" t="s">
        <v>720</v>
      </c>
      <c r="B803" s="49" t="s">
        <v>429</v>
      </c>
      <c r="C803" s="49" t="s">
        <v>697</v>
      </c>
      <c r="D803" s="49" t="s">
        <v>69</v>
      </c>
      <c r="E803" s="50">
        <v>65055209</v>
      </c>
      <c r="F803" s="50">
        <v>63627362</v>
      </c>
      <c r="G803" s="50">
        <v>63627362</v>
      </c>
      <c r="H803" s="50">
        <v>0</v>
      </c>
      <c r="I803" s="50">
        <v>0</v>
      </c>
      <c r="J803" s="50">
        <v>0</v>
      </c>
      <c r="K803" s="50">
        <v>63620884.530000001</v>
      </c>
      <c r="L803" s="152">
        <f t="shared" si="0"/>
        <v>0.9998981967852133</v>
      </c>
      <c r="M803" s="50">
        <v>63620884.530000001</v>
      </c>
      <c r="N803" s="152">
        <f t="shared" si="1"/>
        <v>0.9998981967852133</v>
      </c>
      <c r="O803" s="50">
        <v>6477.47</v>
      </c>
      <c r="P803" s="152">
        <f t="shared" si="2"/>
        <v>1.0180321478674537E-4</v>
      </c>
      <c r="Q803" s="50">
        <v>6477.47</v>
      </c>
      <c r="R803" s="257"/>
    </row>
    <row r="804" spans="1:18" hidden="1" x14ac:dyDescent="0.25">
      <c r="A804" s="49" t="s">
        <v>720</v>
      </c>
      <c r="B804" s="49" t="s">
        <v>446</v>
      </c>
      <c r="C804" s="49" t="s">
        <v>95</v>
      </c>
      <c r="D804" s="49" t="s">
        <v>69</v>
      </c>
      <c r="E804" s="50">
        <v>3516473</v>
      </c>
      <c r="F804" s="50">
        <v>3439293</v>
      </c>
      <c r="G804" s="50">
        <v>3439293</v>
      </c>
      <c r="H804" s="50">
        <v>0</v>
      </c>
      <c r="I804" s="50">
        <v>0</v>
      </c>
      <c r="J804" s="50">
        <v>0</v>
      </c>
      <c r="K804" s="50">
        <v>3439293</v>
      </c>
      <c r="L804" s="152">
        <f t="shared" si="0"/>
        <v>1</v>
      </c>
      <c r="M804" s="50">
        <v>3439293</v>
      </c>
      <c r="N804" s="152">
        <f t="shared" si="1"/>
        <v>1</v>
      </c>
      <c r="O804" s="50">
        <v>0</v>
      </c>
      <c r="P804" s="152">
        <f t="shared" si="2"/>
        <v>0</v>
      </c>
      <c r="Q804" s="50">
        <v>0</v>
      </c>
      <c r="R804" s="257"/>
    </row>
    <row r="805" spans="1:18" hidden="1" x14ac:dyDescent="0.25">
      <c r="A805" s="49" t="s">
        <v>720</v>
      </c>
      <c r="B805" s="49" t="s">
        <v>96</v>
      </c>
      <c r="C805" s="49" t="s">
        <v>97</v>
      </c>
      <c r="D805" s="49" t="s">
        <v>69</v>
      </c>
      <c r="E805" s="50">
        <v>68571582</v>
      </c>
      <c r="F805" s="50">
        <v>67066556</v>
      </c>
      <c r="G805" s="50">
        <v>67066556</v>
      </c>
      <c r="H805" s="50">
        <v>0</v>
      </c>
      <c r="I805" s="50">
        <v>0</v>
      </c>
      <c r="J805" s="50">
        <v>0</v>
      </c>
      <c r="K805" s="50">
        <v>66551567.490000002</v>
      </c>
      <c r="L805" s="152">
        <f t="shared" si="0"/>
        <v>0.99232123220998558</v>
      </c>
      <c r="M805" s="50">
        <v>66551567.490000002</v>
      </c>
      <c r="N805" s="152">
        <f t="shared" si="1"/>
        <v>0.99232123220998558</v>
      </c>
      <c r="O805" s="50">
        <v>514988.51</v>
      </c>
      <c r="P805" s="152">
        <f t="shared" si="2"/>
        <v>7.6787677900144449E-3</v>
      </c>
      <c r="Q805" s="50">
        <v>514988.51</v>
      </c>
      <c r="R805" s="257"/>
    </row>
    <row r="806" spans="1:18" hidden="1" x14ac:dyDescent="0.25">
      <c r="A806" s="49" t="s">
        <v>720</v>
      </c>
      <c r="B806" s="49" t="s">
        <v>464</v>
      </c>
      <c r="C806" s="49" t="s">
        <v>698</v>
      </c>
      <c r="D806" s="49" t="s">
        <v>69</v>
      </c>
      <c r="E806" s="50">
        <v>36923221</v>
      </c>
      <c r="F806" s="50">
        <v>36112821</v>
      </c>
      <c r="G806" s="50">
        <v>36112821</v>
      </c>
      <c r="H806" s="50">
        <v>0</v>
      </c>
      <c r="I806" s="50">
        <v>0</v>
      </c>
      <c r="J806" s="50">
        <v>0</v>
      </c>
      <c r="K806" s="50">
        <v>35601512.259999998</v>
      </c>
      <c r="L806" s="152">
        <f t="shared" si="0"/>
        <v>0.98584135146905305</v>
      </c>
      <c r="M806" s="50">
        <v>35601512.259999998</v>
      </c>
      <c r="N806" s="152">
        <f t="shared" si="1"/>
        <v>0.98584135146905305</v>
      </c>
      <c r="O806" s="50">
        <v>511308.74</v>
      </c>
      <c r="P806" s="152">
        <f t="shared" si="2"/>
        <v>1.4158648530946946E-2</v>
      </c>
      <c r="Q806" s="50">
        <v>511308.74</v>
      </c>
      <c r="R806" s="257"/>
    </row>
    <row r="807" spans="1:18" hidden="1" x14ac:dyDescent="0.25">
      <c r="A807" s="49" t="s">
        <v>720</v>
      </c>
      <c r="B807" s="49" t="s">
        <v>481</v>
      </c>
      <c r="C807" s="49" t="s">
        <v>699</v>
      </c>
      <c r="D807" s="49" t="s">
        <v>69</v>
      </c>
      <c r="E807" s="50">
        <v>10549420</v>
      </c>
      <c r="F807" s="50">
        <v>11903678</v>
      </c>
      <c r="G807" s="50">
        <v>11903678</v>
      </c>
      <c r="H807" s="50">
        <v>0</v>
      </c>
      <c r="I807" s="50">
        <v>0</v>
      </c>
      <c r="J807" s="50">
        <v>0</v>
      </c>
      <c r="K807" s="50">
        <v>11901266.050000001</v>
      </c>
      <c r="L807" s="152">
        <f t="shared" si="0"/>
        <v>0.99979737775164956</v>
      </c>
      <c r="M807" s="50">
        <v>11901266.050000001</v>
      </c>
      <c r="N807" s="152">
        <f t="shared" si="1"/>
        <v>0.99979737775164956</v>
      </c>
      <c r="O807" s="50">
        <v>2411.9499999999998</v>
      </c>
      <c r="P807" s="152">
        <f t="shared" si="2"/>
        <v>2.0262224835046781E-4</v>
      </c>
      <c r="Q807" s="50">
        <v>2411.9499999999998</v>
      </c>
      <c r="R807" s="257"/>
    </row>
    <row r="808" spans="1:18" hidden="1" x14ac:dyDescent="0.25">
      <c r="A808" s="49" t="s">
        <v>720</v>
      </c>
      <c r="B808" s="49" t="s">
        <v>498</v>
      </c>
      <c r="C808" s="49" t="s">
        <v>700</v>
      </c>
      <c r="D808" s="49" t="s">
        <v>69</v>
      </c>
      <c r="E808" s="50">
        <v>21098941</v>
      </c>
      <c r="F808" s="50">
        <v>19050057</v>
      </c>
      <c r="G808" s="50">
        <v>19050057</v>
      </c>
      <c r="H808" s="50">
        <v>0</v>
      </c>
      <c r="I808" s="50">
        <v>0</v>
      </c>
      <c r="J808" s="50">
        <v>0</v>
      </c>
      <c r="K808" s="50">
        <v>19048789.18</v>
      </c>
      <c r="L808" s="152">
        <f t="shared" si="0"/>
        <v>0.99993344796816097</v>
      </c>
      <c r="M808" s="50">
        <v>19048789.18</v>
      </c>
      <c r="N808" s="152">
        <f t="shared" si="1"/>
        <v>0.99993344796816097</v>
      </c>
      <c r="O808" s="50">
        <v>1267.82</v>
      </c>
      <c r="P808" s="152">
        <f t="shared" si="2"/>
        <v>6.6552031839064841E-5</v>
      </c>
      <c r="Q808" s="50">
        <v>1267.82</v>
      </c>
      <c r="R808" s="257"/>
    </row>
    <row r="809" spans="1:18" hidden="1" x14ac:dyDescent="0.25">
      <c r="A809" s="49" t="s">
        <v>720</v>
      </c>
      <c r="B809" s="49" t="s">
        <v>104</v>
      </c>
      <c r="C809" s="49" t="s">
        <v>105</v>
      </c>
      <c r="D809" s="49" t="s">
        <v>69</v>
      </c>
      <c r="E809" s="50">
        <v>7541300</v>
      </c>
      <c r="F809" s="50">
        <v>1342928</v>
      </c>
      <c r="G809" s="50">
        <v>1342928</v>
      </c>
      <c r="H809" s="50">
        <v>0</v>
      </c>
      <c r="I809" s="50">
        <v>0</v>
      </c>
      <c r="J809" s="50">
        <v>0</v>
      </c>
      <c r="K809" s="50">
        <v>1342926.72</v>
      </c>
      <c r="L809" s="152">
        <f t="shared" si="0"/>
        <v>0.99999904685880403</v>
      </c>
      <c r="M809" s="50">
        <v>1342926.72</v>
      </c>
      <c r="N809" s="152">
        <f t="shared" si="1"/>
        <v>0.99999904685880403</v>
      </c>
      <c r="O809" s="50">
        <v>1.28</v>
      </c>
      <c r="P809" s="152">
        <f t="shared" si="2"/>
        <v>9.5314119595391566E-7</v>
      </c>
      <c r="Q809" s="50">
        <v>1.28</v>
      </c>
      <c r="R809" s="257"/>
    </row>
    <row r="810" spans="1:18" hidden="1" x14ac:dyDescent="0.25">
      <c r="A810" s="49" t="s">
        <v>720</v>
      </c>
      <c r="B810" s="49" t="s">
        <v>140</v>
      </c>
      <c r="C810" s="49" t="s">
        <v>141</v>
      </c>
      <c r="D810" s="49" t="s">
        <v>69</v>
      </c>
      <c r="E810" s="50">
        <v>7541300</v>
      </c>
      <c r="F810" s="50">
        <v>1342928</v>
      </c>
      <c r="G810" s="50">
        <v>1342928</v>
      </c>
      <c r="H810" s="50">
        <v>0</v>
      </c>
      <c r="I810" s="50">
        <v>0</v>
      </c>
      <c r="J810" s="50">
        <v>0</v>
      </c>
      <c r="K810" s="50">
        <v>1342926.72</v>
      </c>
      <c r="L810" s="152">
        <f t="shared" si="0"/>
        <v>0.99999904685880403</v>
      </c>
      <c r="M810" s="50">
        <v>1342926.72</v>
      </c>
      <c r="N810" s="152">
        <f t="shared" si="1"/>
        <v>0.99999904685880403</v>
      </c>
      <c r="O810" s="50">
        <v>1.28</v>
      </c>
      <c r="P810" s="152">
        <f t="shared" si="2"/>
        <v>9.5314119595391566E-7</v>
      </c>
      <c r="Q810" s="50">
        <v>1.28</v>
      </c>
      <c r="R810" s="257"/>
    </row>
    <row r="811" spans="1:18" hidden="1" x14ac:dyDescent="0.25">
      <c r="A811" s="49" t="s">
        <v>720</v>
      </c>
      <c r="B811" s="49" t="s">
        <v>146</v>
      </c>
      <c r="C811" s="49" t="s">
        <v>147</v>
      </c>
      <c r="D811" s="49" t="s">
        <v>69</v>
      </c>
      <c r="E811" s="50">
        <v>2513800</v>
      </c>
      <c r="F811" s="50">
        <v>434386</v>
      </c>
      <c r="G811" s="50">
        <v>434386</v>
      </c>
      <c r="H811" s="50">
        <v>0</v>
      </c>
      <c r="I811" s="50">
        <v>0</v>
      </c>
      <c r="J811" s="50">
        <v>0</v>
      </c>
      <c r="K811" s="50">
        <v>434385.63</v>
      </c>
      <c r="L811" s="152">
        <f t="shared" si="0"/>
        <v>0.99999914822300906</v>
      </c>
      <c r="M811" s="50">
        <v>434385.63</v>
      </c>
      <c r="N811" s="152">
        <f t="shared" si="1"/>
        <v>0.99999914822300906</v>
      </c>
      <c r="O811" s="50">
        <v>0.37</v>
      </c>
      <c r="P811" s="152">
        <f t="shared" si="2"/>
        <v>8.5177699097116383E-7</v>
      </c>
      <c r="Q811" s="50">
        <v>0.37</v>
      </c>
      <c r="R811" s="257"/>
    </row>
    <row r="812" spans="1:18" hidden="1" x14ac:dyDescent="0.25">
      <c r="A812" s="49" t="s">
        <v>720</v>
      </c>
      <c r="B812" s="49" t="s">
        <v>148</v>
      </c>
      <c r="C812" s="49" t="s">
        <v>149</v>
      </c>
      <c r="D812" s="49" t="s">
        <v>69</v>
      </c>
      <c r="E812" s="50">
        <v>5027500</v>
      </c>
      <c r="F812" s="50">
        <v>908542</v>
      </c>
      <c r="G812" s="50">
        <v>908542</v>
      </c>
      <c r="H812" s="50">
        <v>0</v>
      </c>
      <c r="I812" s="50">
        <v>0</v>
      </c>
      <c r="J812" s="50">
        <v>0</v>
      </c>
      <c r="K812" s="50">
        <v>908541.09</v>
      </c>
      <c r="L812" s="152">
        <f t="shared" si="0"/>
        <v>0.99999899839523099</v>
      </c>
      <c r="M812" s="50">
        <v>908541.09</v>
      </c>
      <c r="N812" s="152">
        <f t="shared" si="1"/>
        <v>0.99999899839523099</v>
      </c>
      <c r="O812" s="50">
        <v>0.91</v>
      </c>
      <c r="P812" s="152">
        <f t="shared" si="2"/>
        <v>1.0016047689594978E-6</v>
      </c>
      <c r="Q812" s="50">
        <v>0.91</v>
      </c>
      <c r="R812" s="257"/>
    </row>
    <row r="813" spans="1:18" hidden="1" x14ac:dyDescent="0.25">
      <c r="A813" s="49" t="s">
        <v>720</v>
      </c>
      <c r="B813" s="49" t="s">
        <v>248</v>
      </c>
      <c r="C813" s="49" t="s">
        <v>249</v>
      </c>
      <c r="D813" s="49" t="s">
        <v>69</v>
      </c>
      <c r="E813" s="50">
        <v>11674695</v>
      </c>
      <c r="F813" s="50">
        <v>15418456</v>
      </c>
      <c r="G813" s="50">
        <v>15418456</v>
      </c>
      <c r="H813" s="50">
        <v>0</v>
      </c>
      <c r="I813" s="50">
        <v>0</v>
      </c>
      <c r="J813" s="50">
        <v>0</v>
      </c>
      <c r="K813" s="50">
        <v>12032395.25</v>
      </c>
      <c r="L813" s="152">
        <f t="shared" si="0"/>
        <v>0.78038911613458573</v>
      </c>
      <c r="M813" s="50">
        <v>12032395.25</v>
      </c>
      <c r="N813" s="152">
        <f t="shared" si="1"/>
        <v>0.78038911613458573</v>
      </c>
      <c r="O813" s="50">
        <v>3386060.75</v>
      </c>
      <c r="P813" s="152">
        <f t="shared" si="2"/>
        <v>0.21961088386541427</v>
      </c>
      <c r="Q813" s="50">
        <v>3386060.75</v>
      </c>
      <c r="R813" s="257"/>
    </row>
    <row r="814" spans="1:18" hidden="1" x14ac:dyDescent="0.25">
      <c r="A814" s="49" t="s">
        <v>720</v>
      </c>
      <c r="B814" s="49" t="s">
        <v>250</v>
      </c>
      <c r="C814" s="49" t="s">
        <v>251</v>
      </c>
      <c r="D814" s="49" t="s">
        <v>69</v>
      </c>
      <c r="E814" s="50">
        <v>11674695</v>
      </c>
      <c r="F814" s="50">
        <v>11418456</v>
      </c>
      <c r="G814" s="50">
        <v>11418456</v>
      </c>
      <c r="H814" s="50">
        <v>0</v>
      </c>
      <c r="I814" s="50">
        <v>0</v>
      </c>
      <c r="J814" s="50">
        <v>0</v>
      </c>
      <c r="K814" s="50">
        <v>11178974.25</v>
      </c>
      <c r="L814" s="152">
        <f t="shared" si="0"/>
        <v>0.97902678348105909</v>
      </c>
      <c r="M814" s="50">
        <v>11178974.25</v>
      </c>
      <c r="N814" s="152">
        <f t="shared" si="1"/>
        <v>0.97902678348105909</v>
      </c>
      <c r="O814" s="50">
        <v>239481.75</v>
      </c>
      <c r="P814" s="152">
        <f t="shared" si="2"/>
        <v>2.0973216518940914E-2</v>
      </c>
      <c r="Q814" s="50">
        <v>239481.75</v>
      </c>
      <c r="R814" s="257"/>
    </row>
    <row r="815" spans="1:18" hidden="1" x14ac:dyDescent="0.25">
      <c r="A815" s="49" t="s">
        <v>720</v>
      </c>
      <c r="B815" s="49" t="s">
        <v>638</v>
      </c>
      <c r="C815" s="49" t="s">
        <v>702</v>
      </c>
      <c r="D815" s="49" t="s">
        <v>69</v>
      </c>
      <c r="E815" s="50">
        <v>9916509</v>
      </c>
      <c r="F815" s="50">
        <v>9698859</v>
      </c>
      <c r="G815" s="50">
        <v>9698859</v>
      </c>
      <c r="H815" s="50">
        <v>0</v>
      </c>
      <c r="I815" s="50">
        <v>0</v>
      </c>
      <c r="J815" s="50">
        <v>0</v>
      </c>
      <c r="K815" s="50">
        <v>9468473.4000000004</v>
      </c>
      <c r="L815" s="152">
        <f t="shared" si="0"/>
        <v>0.97624611307371312</v>
      </c>
      <c r="M815" s="50">
        <v>9468473.4000000004</v>
      </c>
      <c r="N815" s="152">
        <f t="shared" si="1"/>
        <v>0.97624611307371312</v>
      </c>
      <c r="O815" s="50">
        <v>230385.6</v>
      </c>
      <c r="P815" s="152">
        <f t="shared" si="2"/>
        <v>2.3753886926286896E-2</v>
      </c>
      <c r="Q815" s="50">
        <v>230385.6</v>
      </c>
      <c r="R815" s="257"/>
    </row>
    <row r="816" spans="1:18" hidden="1" x14ac:dyDescent="0.25">
      <c r="A816" s="49" t="s">
        <v>720</v>
      </c>
      <c r="B816" s="49" t="s">
        <v>653</v>
      </c>
      <c r="C816" s="49" t="s">
        <v>703</v>
      </c>
      <c r="D816" s="49" t="s">
        <v>69</v>
      </c>
      <c r="E816" s="50">
        <v>1758186</v>
      </c>
      <c r="F816" s="50">
        <v>1719597</v>
      </c>
      <c r="G816" s="50">
        <v>1719597</v>
      </c>
      <c r="H816" s="50">
        <v>0</v>
      </c>
      <c r="I816" s="50">
        <v>0</v>
      </c>
      <c r="J816" s="50">
        <v>0</v>
      </c>
      <c r="K816" s="50">
        <v>1710500.85</v>
      </c>
      <c r="L816" s="152">
        <f t="shared" si="0"/>
        <v>0.99471030130896954</v>
      </c>
      <c r="M816" s="50">
        <v>1710500.85</v>
      </c>
      <c r="N816" s="152">
        <f t="shared" si="1"/>
        <v>0.99471030130896954</v>
      </c>
      <c r="O816" s="50">
        <v>9096.15</v>
      </c>
      <c r="P816" s="152">
        <f t="shared" si="2"/>
        <v>5.2896986910305147E-3</v>
      </c>
      <c r="Q816" s="50">
        <v>9096.15</v>
      </c>
      <c r="R816" s="257"/>
    </row>
    <row r="817" spans="1:18" hidden="1" x14ac:dyDescent="0.25">
      <c r="A817" s="49" t="s">
        <v>720</v>
      </c>
      <c r="B817" s="49" t="s">
        <v>260</v>
      </c>
      <c r="C817" s="49" t="s">
        <v>261</v>
      </c>
      <c r="D817" s="49" t="s">
        <v>69</v>
      </c>
      <c r="E817" s="50">
        <v>0</v>
      </c>
      <c r="F817" s="50">
        <v>4000000</v>
      </c>
      <c r="G817" s="50">
        <v>4000000</v>
      </c>
      <c r="H817" s="50">
        <v>0</v>
      </c>
      <c r="I817" s="50">
        <v>0</v>
      </c>
      <c r="J817" s="50">
        <v>0</v>
      </c>
      <c r="K817" s="50">
        <v>853421</v>
      </c>
      <c r="L817" s="152">
        <f t="shared" si="0"/>
        <v>0.21335525</v>
      </c>
      <c r="M817" s="50">
        <v>853421</v>
      </c>
      <c r="N817" s="152">
        <f t="shared" si="1"/>
        <v>0.21335525</v>
      </c>
      <c r="O817" s="50">
        <v>3146579</v>
      </c>
      <c r="P817" s="152">
        <f t="shared" si="2"/>
        <v>0.78664475</v>
      </c>
      <c r="Q817" s="50">
        <v>3146579</v>
      </c>
      <c r="R817" s="257"/>
    </row>
    <row r="818" spans="1:18" hidden="1" x14ac:dyDescent="0.25">
      <c r="A818" s="49" t="s">
        <v>720</v>
      </c>
      <c r="B818" s="49" t="s">
        <v>264</v>
      </c>
      <c r="C818" s="49" t="s">
        <v>265</v>
      </c>
      <c r="D818" s="49" t="s">
        <v>69</v>
      </c>
      <c r="E818" s="50">
        <v>0</v>
      </c>
      <c r="F818" s="50">
        <v>4000000</v>
      </c>
      <c r="G818" s="50">
        <v>4000000</v>
      </c>
      <c r="H818" s="50">
        <v>0</v>
      </c>
      <c r="I818" s="50">
        <v>0</v>
      </c>
      <c r="J818" s="50">
        <v>0</v>
      </c>
      <c r="K818" s="50">
        <v>853421</v>
      </c>
      <c r="L818" s="152">
        <f t="shared" si="0"/>
        <v>0.21335525</v>
      </c>
      <c r="M818" s="50">
        <v>853421</v>
      </c>
      <c r="N818" s="152">
        <f t="shared" si="1"/>
        <v>0.21335525</v>
      </c>
      <c r="O818" s="50">
        <v>3146579</v>
      </c>
      <c r="P818" s="152">
        <f t="shared" si="2"/>
        <v>0.78664475</v>
      </c>
      <c r="Q818" s="50">
        <v>3146579</v>
      </c>
      <c r="R818" s="257"/>
    </row>
    <row r="819" spans="1:18" x14ac:dyDescent="0.25">
      <c r="A819" s="49">
        <v>214794</v>
      </c>
      <c r="B819" s="49"/>
      <c r="C819" s="49"/>
      <c r="D819" s="49" t="s">
        <v>69</v>
      </c>
      <c r="E819" s="50">
        <v>13895221022</v>
      </c>
      <c r="F819" s="50">
        <v>12811668105</v>
      </c>
      <c r="G819" s="50">
        <v>12811668105</v>
      </c>
      <c r="H819" s="50">
        <v>0</v>
      </c>
      <c r="I819" s="50">
        <v>886800</v>
      </c>
      <c r="J819" s="50">
        <v>0</v>
      </c>
      <c r="K819" s="50">
        <v>12046568869.049999</v>
      </c>
      <c r="L819" s="152">
        <f t="shared" si="0"/>
        <v>0.94028106022732461</v>
      </c>
      <c r="M819" s="50">
        <v>12046568869.049999</v>
      </c>
      <c r="N819" s="152">
        <f t="shared" si="1"/>
        <v>0.94028106022732461</v>
      </c>
      <c r="O819" s="50">
        <v>764212435.95000005</v>
      </c>
      <c r="P819" s="152">
        <f t="shared" si="2"/>
        <v>5.9649721619915476E-2</v>
      </c>
      <c r="Q819" s="50">
        <v>764212435.95000005</v>
      </c>
      <c r="R819" s="257"/>
    </row>
    <row r="820" spans="1:18" hidden="1" x14ac:dyDescent="0.25">
      <c r="A820" s="44" t="s">
        <v>721</v>
      </c>
      <c r="B820" s="44" t="s">
        <v>71</v>
      </c>
      <c r="C820" s="44" t="s">
        <v>72</v>
      </c>
      <c r="D820" s="44" t="s">
        <v>69</v>
      </c>
      <c r="E820" s="50">
        <v>13427888280</v>
      </c>
      <c r="F820" s="50">
        <v>12234029945.5</v>
      </c>
      <c r="G820" s="50">
        <v>12234029945.5</v>
      </c>
      <c r="H820" s="50">
        <v>0</v>
      </c>
      <c r="I820" s="50">
        <v>0</v>
      </c>
      <c r="J820" s="50">
        <v>0</v>
      </c>
      <c r="K820" s="50">
        <v>11501474461.4</v>
      </c>
      <c r="L820" s="152">
        <f t="shared" si="0"/>
        <v>0.94012149002713097</v>
      </c>
      <c r="M820" s="50">
        <v>11501474461.4</v>
      </c>
      <c r="N820" s="152">
        <f t="shared" si="1"/>
        <v>0.94012149002713097</v>
      </c>
      <c r="O820" s="50">
        <v>732555484.10000002</v>
      </c>
      <c r="P820" s="152">
        <f t="shared" si="2"/>
        <v>5.9878509972869025E-2</v>
      </c>
      <c r="Q820" s="50">
        <v>732555484.10000002</v>
      </c>
      <c r="R820" s="257"/>
    </row>
    <row r="821" spans="1:18" hidden="1" x14ac:dyDescent="0.25">
      <c r="A821" s="44" t="s">
        <v>721</v>
      </c>
      <c r="B821" s="44" t="s">
        <v>73</v>
      </c>
      <c r="C821" s="44" t="s">
        <v>74</v>
      </c>
      <c r="D821" s="44" t="s">
        <v>69</v>
      </c>
      <c r="E821" s="50">
        <v>4501527400</v>
      </c>
      <c r="F821" s="50">
        <v>3967779103.5</v>
      </c>
      <c r="G821" s="50">
        <v>3967779103.5</v>
      </c>
      <c r="H821" s="50">
        <v>0</v>
      </c>
      <c r="I821" s="50">
        <v>0</v>
      </c>
      <c r="J821" s="50">
        <v>0</v>
      </c>
      <c r="K821" s="50">
        <v>3775224689.7199998</v>
      </c>
      <c r="L821" s="152">
        <f t="shared" si="0"/>
        <v>0.9514704803979267</v>
      </c>
      <c r="M821" s="50">
        <v>3775224689.7199998</v>
      </c>
      <c r="N821" s="152">
        <f t="shared" si="1"/>
        <v>0.9514704803979267</v>
      </c>
      <c r="O821" s="50">
        <v>192554413.78</v>
      </c>
      <c r="P821" s="152">
        <f t="shared" si="2"/>
        <v>4.852951960207328E-2</v>
      </c>
      <c r="Q821" s="50">
        <v>192554413.78</v>
      </c>
      <c r="R821" s="257"/>
    </row>
    <row r="822" spans="1:18" hidden="1" x14ac:dyDescent="0.25">
      <c r="A822" s="44" t="s">
        <v>721</v>
      </c>
      <c r="B822" s="44" t="s">
        <v>75</v>
      </c>
      <c r="C822" s="44" t="s">
        <v>76</v>
      </c>
      <c r="D822" s="44" t="s">
        <v>69</v>
      </c>
      <c r="E822" s="50">
        <v>4501527400</v>
      </c>
      <c r="F822" s="50">
        <v>3967779103.5</v>
      </c>
      <c r="G822" s="50">
        <v>3967779103.5</v>
      </c>
      <c r="H822" s="50">
        <v>0</v>
      </c>
      <c r="I822" s="50">
        <v>0</v>
      </c>
      <c r="J822" s="50">
        <v>0</v>
      </c>
      <c r="K822" s="50">
        <v>3775224689.7199998</v>
      </c>
      <c r="L822" s="152">
        <f t="shared" si="0"/>
        <v>0.9514704803979267</v>
      </c>
      <c r="M822" s="50">
        <v>3775224689.7199998</v>
      </c>
      <c r="N822" s="152">
        <f t="shared" si="1"/>
        <v>0.9514704803979267</v>
      </c>
      <c r="O822" s="50">
        <v>192554413.78</v>
      </c>
      <c r="P822" s="152">
        <f t="shared" si="2"/>
        <v>4.852951960207328E-2</v>
      </c>
      <c r="Q822" s="50">
        <v>192554413.78</v>
      </c>
      <c r="R822" s="257"/>
    </row>
    <row r="823" spans="1:18" hidden="1" x14ac:dyDescent="0.25">
      <c r="A823" s="44" t="s">
        <v>721</v>
      </c>
      <c r="B823" s="44" t="s">
        <v>77</v>
      </c>
      <c r="C823" s="44" t="s">
        <v>78</v>
      </c>
      <c r="D823" s="44" t="s">
        <v>69</v>
      </c>
      <c r="E823" s="50">
        <v>6803353044</v>
      </c>
      <c r="F823" s="50">
        <v>6343742127</v>
      </c>
      <c r="G823" s="50">
        <v>6343742127</v>
      </c>
      <c r="H823" s="50">
        <v>0</v>
      </c>
      <c r="I823" s="50">
        <v>0</v>
      </c>
      <c r="J823" s="50">
        <v>0</v>
      </c>
      <c r="K823" s="50">
        <v>5935894589.2399998</v>
      </c>
      <c r="L823" s="152">
        <f t="shared" si="0"/>
        <v>0.9357086827309492</v>
      </c>
      <c r="M823" s="50">
        <v>5935894589.2399998</v>
      </c>
      <c r="N823" s="152">
        <f t="shared" si="1"/>
        <v>0.9357086827309492</v>
      </c>
      <c r="O823" s="50">
        <v>407847537.75999999</v>
      </c>
      <c r="P823" s="152">
        <f t="shared" si="2"/>
        <v>6.4291317269050768E-2</v>
      </c>
      <c r="Q823" s="50">
        <v>407847537.75999999</v>
      </c>
      <c r="R823" s="257"/>
    </row>
    <row r="824" spans="1:18" hidden="1" x14ac:dyDescent="0.25">
      <c r="A824" s="44" t="s">
        <v>721</v>
      </c>
      <c r="B824" s="44" t="s">
        <v>79</v>
      </c>
      <c r="C824" s="44" t="s">
        <v>80</v>
      </c>
      <c r="D824" s="44" t="s">
        <v>69</v>
      </c>
      <c r="E824" s="50">
        <v>1381150100</v>
      </c>
      <c r="F824" s="50">
        <v>1278788592</v>
      </c>
      <c r="G824" s="50">
        <v>1278788592</v>
      </c>
      <c r="H824" s="50">
        <v>0</v>
      </c>
      <c r="I824" s="50">
        <v>0</v>
      </c>
      <c r="J824" s="50">
        <v>0</v>
      </c>
      <c r="K824" s="50">
        <v>1224175534.78</v>
      </c>
      <c r="L824" s="152">
        <f t="shared" si="0"/>
        <v>0.95729313073196387</v>
      </c>
      <c r="M824" s="50">
        <v>1224175534.78</v>
      </c>
      <c r="N824" s="152">
        <f t="shared" si="1"/>
        <v>0.95729313073196387</v>
      </c>
      <c r="O824" s="50">
        <v>54613057.219999999</v>
      </c>
      <c r="P824" s="152">
        <f t="shared" si="2"/>
        <v>4.2706869268036136E-2</v>
      </c>
      <c r="Q824" s="50">
        <v>54613057.219999999</v>
      </c>
      <c r="R824" s="257"/>
    </row>
    <row r="825" spans="1:18" hidden="1" x14ac:dyDescent="0.25">
      <c r="A825" s="44" t="s">
        <v>721</v>
      </c>
      <c r="B825" s="44" t="s">
        <v>81</v>
      </c>
      <c r="C825" s="44" t="s">
        <v>82</v>
      </c>
      <c r="D825" s="44" t="s">
        <v>69</v>
      </c>
      <c r="E825" s="50">
        <v>2537511300</v>
      </c>
      <c r="F825" s="50">
        <v>2321501510</v>
      </c>
      <c r="G825" s="50">
        <v>2321501510</v>
      </c>
      <c r="H825" s="50">
        <v>0</v>
      </c>
      <c r="I825" s="50">
        <v>0</v>
      </c>
      <c r="J825" s="50">
        <v>0</v>
      </c>
      <c r="K825" s="50">
        <v>2208710162.1399999</v>
      </c>
      <c r="L825" s="152">
        <f t="shared" si="0"/>
        <v>0.95141448438687415</v>
      </c>
      <c r="M825" s="50">
        <v>2208710162.1399999</v>
      </c>
      <c r="N825" s="152">
        <f t="shared" si="1"/>
        <v>0.95141448438687415</v>
      </c>
      <c r="O825" s="50">
        <v>112791347.86</v>
      </c>
      <c r="P825" s="152">
        <f t="shared" si="2"/>
        <v>4.8585515613125747E-2</v>
      </c>
      <c r="Q825" s="50">
        <v>112791347.86</v>
      </c>
      <c r="R825" s="257"/>
    </row>
    <row r="826" spans="1:18" hidden="1" x14ac:dyDescent="0.25">
      <c r="A826" s="44" t="s">
        <v>721</v>
      </c>
      <c r="B826" s="44" t="s">
        <v>86</v>
      </c>
      <c r="C826" s="44" t="s">
        <v>87</v>
      </c>
      <c r="D826" s="44" t="s">
        <v>69</v>
      </c>
      <c r="E826" s="50">
        <v>799025700</v>
      </c>
      <c r="F826" s="50">
        <v>799025700</v>
      </c>
      <c r="G826" s="50">
        <v>799025700</v>
      </c>
      <c r="H826" s="50">
        <v>0</v>
      </c>
      <c r="I826" s="50">
        <v>0</v>
      </c>
      <c r="J826" s="50">
        <v>0</v>
      </c>
      <c r="K826" s="50">
        <v>725852438.98000002</v>
      </c>
      <c r="L826" s="152">
        <f t="shared" si="0"/>
        <v>0.90842189303798371</v>
      </c>
      <c r="M826" s="50">
        <v>725852438.98000002</v>
      </c>
      <c r="N826" s="152">
        <f t="shared" si="1"/>
        <v>0.90842189303798371</v>
      </c>
      <c r="O826" s="50">
        <v>73173261.019999996</v>
      </c>
      <c r="P826" s="152">
        <f t="shared" si="2"/>
        <v>9.1578106962016362E-2</v>
      </c>
      <c r="Q826" s="50">
        <v>73173261.019999996</v>
      </c>
      <c r="R826" s="257"/>
    </row>
    <row r="827" spans="1:18" hidden="1" x14ac:dyDescent="0.25">
      <c r="A827" s="44" t="s">
        <v>721</v>
      </c>
      <c r="B827" s="44" t="s">
        <v>88</v>
      </c>
      <c r="C827" s="44" t="s">
        <v>89</v>
      </c>
      <c r="D827" s="44" t="s">
        <v>69</v>
      </c>
      <c r="E827" s="50">
        <v>1216380900</v>
      </c>
      <c r="F827" s="50">
        <v>1125506069</v>
      </c>
      <c r="G827" s="50">
        <v>1125506069</v>
      </c>
      <c r="H827" s="50">
        <v>0</v>
      </c>
      <c r="I827" s="50">
        <v>0</v>
      </c>
      <c r="J827" s="50">
        <v>0</v>
      </c>
      <c r="K827" s="50">
        <v>1043930820.02</v>
      </c>
      <c r="L827" s="152">
        <f t="shared" si="0"/>
        <v>0.92752127134020812</v>
      </c>
      <c r="M827" s="50">
        <v>1043930820.02</v>
      </c>
      <c r="N827" s="152">
        <f t="shared" si="1"/>
        <v>0.92752127134020812</v>
      </c>
      <c r="O827" s="50">
        <v>81575248.980000004</v>
      </c>
      <c r="P827" s="152">
        <f t="shared" si="2"/>
        <v>7.247872865979188E-2</v>
      </c>
      <c r="Q827" s="50">
        <v>81575248.980000004</v>
      </c>
      <c r="R827" s="257"/>
    </row>
    <row r="828" spans="1:18" hidden="1" x14ac:dyDescent="0.25">
      <c r="A828" s="44" t="s">
        <v>721</v>
      </c>
      <c r="B828" s="44" t="s">
        <v>83</v>
      </c>
      <c r="C828" s="44" t="s">
        <v>84</v>
      </c>
      <c r="D828" s="44" t="s">
        <v>85</v>
      </c>
      <c r="E828" s="50">
        <v>869285044</v>
      </c>
      <c r="F828" s="50">
        <v>818920256</v>
      </c>
      <c r="G828" s="50">
        <v>818920256</v>
      </c>
      <c r="H828" s="50">
        <v>0</v>
      </c>
      <c r="I828" s="50">
        <v>0</v>
      </c>
      <c r="J828" s="50">
        <v>0</v>
      </c>
      <c r="K828" s="50">
        <v>733225633.32000005</v>
      </c>
      <c r="L828" s="152">
        <f t="shared" si="0"/>
        <v>0.89535657220328912</v>
      </c>
      <c r="M828" s="50">
        <v>733225633.32000005</v>
      </c>
      <c r="N828" s="152">
        <f t="shared" si="1"/>
        <v>0.89535657220328912</v>
      </c>
      <c r="O828" s="50">
        <v>85694622.680000007</v>
      </c>
      <c r="P828" s="152">
        <f t="shared" si="2"/>
        <v>0.1046434277967109</v>
      </c>
      <c r="Q828" s="50">
        <v>85694622.680000007</v>
      </c>
      <c r="R828" s="257"/>
    </row>
    <row r="829" spans="1:18" hidden="1" x14ac:dyDescent="0.25">
      <c r="A829" s="44" t="s">
        <v>721</v>
      </c>
      <c r="B829" s="44" t="s">
        <v>90</v>
      </c>
      <c r="C829" s="44" t="s">
        <v>91</v>
      </c>
      <c r="D829" s="44" t="s">
        <v>69</v>
      </c>
      <c r="E829" s="50">
        <v>1017470468</v>
      </c>
      <c r="F829" s="50">
        <v>929763051</v>
      </c>
      <c r="G829" s="50">
        <v>929763051</v>
      </c>
      <c r="H829" s="50">
        <v>0</v>
      </c>
      <c r="I829" s="50">
        <v>0</v>
      </c>
      <c r="J829" s="50">
        <v>0</v>
      </c>
      <c r="K829" s="50">
        <v>876667822</v>
      </c>
      <c r="L829" s="152">
        <f t="shared" si="0"/>
        <v>0.94289380617686003</v>
      </c>
      <c r="M829" s="50">
        <v>876667822</v>
      </c>
      <c r="N829" s="152">
        <f t="shared" si="1"/>
        <v>0.94289380617686003</v>
      </c>
      <c r="O829" s="50">
        <v>53095229</v>
      </c>
      <c r="P829" s="152">
        <f t="shared" si="2"/>
        <v>5.710619382314E-2</v>
      </c>
      <c r="Q829" s="50">
        <v>53095229</v>
      </c>
      <c r="R829" s="257"/>
    </row>
    <row r="830" spans="1:18" hidden="1" x14ac:dyDescent="0.25">
      <c r="A830" s="44" t="s">
        <v>721</v>
      </c>
      <c r="B830" s="44" t="s">
        <v>430</v>
      </c>
      <c r="C830" s="44" t="s">
        <v>697</v>
      </c>
      <c r="D830" s="44" t="s">
        <v>69</v>
      </c>
      <c r="E830" s="50">
        <v>965292547</v>
      </c>
      <c r="F830" s="50">
        <v>882083282</v>
      </c>
      <c r="G830" s="50">
        <v>882083282</v>
      </c>
      <c r="H830" s="50">
        <v>0</v>
      </c>
      <c r="I830" s="50">
        <v>0</v>
      </c>
      <c r="J830" s="50">
        <v>0</v>
      </c>
      <c r="K830" s="50">
        <v>831713736</v>
      </c>
      <c r="L830" s="152">
        <f t="shared" si="0"/>
        <v>0.94289706309160048</v>
      </c>
      <c r="M830" s="50">
        <v>831713736</v>
      </c>
      <c r="N830" s="152">
        <f t="shared" si="1"/>
        <v>0.94289706309160048</v>
      </c>
      <c r="O830" s="50">
        <v>50369546</v>
      </c>
      <c r="P830" s="152">
        <f t="shared" si="2"/>
        <v>5.7102936908399543E-2</v>
      </c>
      <c r="Q830" s="50">
        <v>50369546</v>
      </c>
      <c r="R830" s="257"/>
    </row>
    <row r="831" spans="1:18" hidden="1" x14ac:dyDescent="0.25">
      <c r="A831" s="44" t="s">
        <v>721</v>
      </c>
      <c r="B831" s="44" t="s">
        <v>447</v>
      </c>
      <c r="C831" s="44" t="s">
        <v>95</v>
      </c>
      <c r="D831" s="44" t="s">
        <v>69</v>
      </c>
      <c r="E831" s="50">
        <v>52177921</v>
      </c>
      <c r="F831" s="50">
        <v>47679769</v>
      </c>
      <c r="G831" s="50">
        <v>47679769</v>
      </c>
      <c r="H831" s="50">
        <v>0</v>
      </c>
      <c r="I831" s="50">
        <v>0</v>
      </c>
      <c r="J831" s="50">
        <v>0</v>
      </c>
      <c r="K831" s="50">
        <v>44954086</v>
      </c>
      <c r="L831" s="152">
        <f t="shared" si="0"/>
        <v>0.94283355273805958</v>
      </c>
      <c r="M831" s="50">
        <v>44954086</v>
      </c>
      <c r="N831" s="152">
        <f t="shared" si="1"/>
        <v>0.94283355273805958</v>
      </c>
      <c r="O831" s="50">
        <v>2725683</v>
      </c>
      <c r="P831" s="152">
        <f t="shared" si="2"/>
        <v>5.7166447261940381E-2</v>
      </c>
      <c r="Q831" s="50">
        <v>2725683</v>
      </c>
      <c r="R831" s="257"/>
    </row>
    <row r="832" spans="1:18" hidden="1" x14ac:dyDescent="0.25">
      <c r="A832" s="44" t="s">
        <v>721</v>
      </c>
      <c r="B832" s="44" t="s">
        <v>96</v>
      </c>
      <c r="C832" s="44" t="s">
        <v>97</v>
      </c>
      <c r="D832" s="44" t="s">
        <v>69</v>
      </c>
      <c r="E832" s="50">
        <v>1105537368</v>
      </c>
      <c r="F832" s="50">
        <v>992745664</v>
      </c>
      <c r="G832" s="50">
        <v>992745664</v>
      </c>
      <c r="H832" s="50">
        <v>0</v>
      </c>
      <c r="I832" s="50">
        <v>0</v>
      </c>
      <c r="J832" s="50">
        <v>0</v>
      </c>
      <c r="K832" s="50">
        <v>913687360.44000006</v>
      </c>
      <c r="L832" s="152">
        <f t="shared" si="0"/>
        <v>0.92036399006624126</v>
      </c>
      <c r="M832" s="50">
        <v>913687360.44000006</v>
      </c>
      <c r="N832" s="152">
        <f t="shared" si="1"/>
        <v>0.92036399006624126</v>
      </c>
      <c r="O832" s="50">
        <v>79058303.560000002</v>
      </c>
      <c r="P832" s="152">
        <f t="shared" si="2"/>
        <v>7.9636009933758828E-2</v>
      </c>
      <c r="Q832" s="50">
        <v>79058303.560000002</v>
      </c>
      <c r="R832" s="257"/>
    </row>
    <row r="833" spans="1:18" hidden="1" x14ac:dyDescent="0.25">
      <c r="A833" s="44" t="s">
        <v>721</v>
      </c>
      <c r="B833" s="44" t="s">
        <v>465</v>
      </c>
      <c r="C833" s="44" t="s">
        <v>698</v>
      </c>
      <c r="D833" s="44" t="s">
        <v>69</v>
      </c>
      <c r="E833" s="50">
        <v>547868675</v>
      </c>
      <c r="F833" s="50">
        <v>475557312</v>
      </c>
      <c r="G833" s="50">
        <v>475557312</v>
      </c>
      <c r="H833" s="50">
        <v>0</v>
      </c>
      <c r="I833" s="50">
        <v>0</v>
      </c>
      <c r="J833" s="50">
        <v>0</v>
      </c>
      <c r="K833" s="50">
        <v>430144315</v>
      </c>
      <c r="L833" s="152">
        <f t="shared" si="0"/>
        <v>0.90450573284424651</v>
      </c>
      <c r="M833" s="50">
        <v>430144315</v>
      </c>
      <c r="N833" s="152">
        <f t="shared" si="1"/>
        <v>0.90450573284424651</v>
      </c>
      <c r="O833" s="50">
        <v>45412997</v>
      </c>
      <c r="P833" s="152">
        <f t="shared" si="2"/>
        <v>9.5494267155753459E-2</v>
      </c>
      <c r="Q833" s="50">
        <v>45412997</v>
      </c>
      <c r="R833" s="257"/>
    </row>
    <row r="834" spans="1:18" hidden="1" x14ac:dyDescent="0.25">
      <c r="A834" s="44" t="s">
        <v>721</v>
      </c>
      <c r="B834" s="44" t="s">
        <v>482</v>
      </c>
      <c r="C834" s="44" t="s">
        <v>699</v>
      </c>
      <c r="D834" s="44" t="s">
        <v>69</v>
      </c>
      <c r="E834" s="50">
        <v>156533864</v>
      </c>
      <c r="F834" s="50">
        <v>172031456</v>
      </c>
      <c r="G834" s="50">
        <v>172031456</v>
      </c>
      <c r="H834" s="50">
        <v>0</v>
      </c>
      <c r="I834" s="50">
        <v>0</v>
      </c>
      <c r="J834" s="50">
        <v>0</v>
      </c>
      <c r="K834" s="50">
        <v>155668451</v>
      </c>
      <c r="L834" s="152">
        <f t="shared" si="0"/>
        <v>0.90488364523288112</v>
      </c>
      <c r="M834" s="50">
        <v>155668451</v>
      </c>
      <c r="N834" s="152">
        <f t="shared" si="1"/>
        <v>0.90488364523288112</v>
      </c>
      <c r="O834" s="50">
        <v>16363005</v>
      </c>
      <c r="P834" s="152">
        <f t="shared" si="2"/>
        <v>9.5116354767118869E-2</v>
      </c>
      <c r="Q834" s="50">
        <v>16363005</v>
      </c>
      <c r="R834" s="257"/>
    </row>
    <row r="835" spans="1:18" hidden="1" x14ac:dyDescent="0.25">
      <c r="A835" s="44" t="s">
        <v>721</v>
      </c>
      <c r="B835" s="44" t="s">
        <v>499</v>
      </c>
      <c r="C835" s="44" t="s">
        <v>700</v>
      </c>
      <c r="D835" s="44" t="s">
        <v>69</v>
      </c>
      <c r="E835" s="50">
        <v>313067829</v>
      </c>
      <c r="F835" s="50">
        <v>257089896</v>
      </c>
      <c r="G835" s="50">
        <v>257089896</v>
      </c>
      <c r="H835" s="50">
        <v>0</v>
      </c>
      <c r="I835" s="50">
        <v>0</v>
      </c>
      <c r="J835" s="50">
        <v>0</v>
      </c>
      <c r="K835" s="50">
        <v>248911651</v>
      </c>
      <c r="L835" s="152">
        <f t="shared" si="0"/>
        <v>0.96818916212872097</v>
      </c>
      <c r="M835" s="50">
        <v>248911651</v>
      </c>
      <c r="N835" s="152">
        <f t="shared" si="1"/>
        <v>0.96818916212872097</v>
      </c>
      <c r="O835" s="50">
        <v>8178245</v>
      </c>
      <c r="P835" s="152">
        <f t="shared" si="2"/>
        <v>3.1810837871279078E-2</v>
      </c>
      <c r="Q835" s="50">
        <v>8178245</v>
      </c>
      <c r="R835" s="257"/>
    </row>
    <row r="836" spans="1:18" hidden="1" x14ac:dyDescent="0.25">
      <c r="A836" s="44" t="s">
        <v>721</v>
      </c>
      <c r="B836" s="44" t="s">
        <v>516</v>
      </c>
      <c r="C836" s="44" t="s">
        <v>722</v>
      </c>
      <c r="D836" s="44" t="s">
        <v>69</v>
      </c>
      <c r="E836" s="50">
        <v>88067000</v>
      </c>
      <c r="F836" s="50">
        <v>88067000</v>
      </c>
      <c r="G836" s="50">
        <v>88067000</v>
      </c>
      <c r="H836" s="50">
        <v>0</v>
      </c>
      <c r="I836" s="50">
        <v>0</v>
      </c>
      <c r="J836" s="50">
        <v>0</v>
      </c>
      <c r="K836" s="50">
        <v>78962943.439999998</v>
      </c>
      <c r="L836" s="152">
        <f t="shared" si="0"/>
        <v>0.89662351891173764</v>
      </c>
      <c r="M836" s="50">
        <v>78962943.439999998</v>
      </c>
      <c r="N836" s="152">
        <f t="shared" si="1"/>
        <v>0.89662351891173764</v>
      </c>
      <c r="O836" s="50">
        <v>9104056.5600000005</v>
      </c>
      <c r="P836" s="152">
        <f t="shared" si="2"/>
        <v>0.10337648108826235</v>
      </c>
      <c r="Q836" s="50">
        <v>9104056.5600000005</v>
      </c>
      <c r="R836" s="257"/>
    </row>
    <row r="837" spans="1:18" hidden="1" x14ac:dyDescent="0.25">
      <c r="A837" s="44" t="s">
        <v>721</v>
      </c>
      <c r="B837" s="44" t="s">
        <v>104</v>
      </c>
      <c r="C837" s="44" t="s">
        <v>105</v>
      </c>
      <c r="D837" s="44" t="s">
        <v>69</v>
      </c>
      <c r="E837" s="50">
        <v>45500000</v>
      </c>
      <c r="F837" s="50">
        <v>44866179</v>
      </c>
      <c r="G837" s="50">
        <v>44866179</v>
      </c>
      <c r="H837" s="50">
        <v>0</v>
      </c>
      <c r="I837" s="50">
        <v>886800</v>
      </c>
      <c r="J837" s="50">
        <v>0</v>
      </c>
      <c r="K837" s="50">
        <v>43979379</v>
      </c>
      <c r="L837" s="152">
        <f t="shared" si="0"/>
        <v>0.98023455485255384</v>
      </c>
      <c r="M837" s="50">
        <v>43979379</v>
      </c>
      <c r="N837" s="152">
        <f t="shared" si="1"/>
        <v>0.98023455485255384</v>
      </c>
      <c r="O837" s="50">
        <v>0</v>
      </c>
      <c r="P837" s="152">
        <f t="shared" si="2"/>
        <v>0</v>
      </c>
      <c r="Q837" s="50">
        <v>0</v>
      </c>
      <c r="R837" s="257"/>
    </row>
    <row r="838" spans="1:18" hidden="1" x14ac:dyDescent="0.25">
      <c r="A838" s="44" t="s">
        <v>721</v>
      </c>
      <c r="B838" s="44" t="s">
        <v>150</v>
      </c>
      <c r="C838" s="44" t="s">
        <v>151</v>
      </c>
      <c r="D838" s="44" t="s">
        <v>69</v>
      </c>
      <c r="E838" s="50">
        <v>45500000</v>
      </c>
      <c r="F838" s="50">
        <v>44866179</v>
      </c>
      <c r="G838" s="50">
        <v>44866179</v>
      </c>
      <c r="H838" s="50">
        <v>0</v>
      </c>
      <c r="I838" s="50">
        <v>886800</v>
      </c>
      <c r="J838" s="50">
        <v>0</v>
      </c>
      <c r="K838" s="50">
        <v>43979379</v>
      </c>
      <c r="L838" s="152">
        <f t="shared" si="0"/>
        <v>0.98023455485255384</v>
      </c>
      <c r="M838" s="50">
        <v>43979379</v>
      </c>
      <c r="N838" s="152">
        <f t="shared" si="1"/>
        <v>0.98023455485255384</v>
      </c>
      <c r="O838" s="50">
        <v>0</v>
      </c>
      <c r="P838" s="152">
        <f t="shared" si="2"/>
        <v>0</v>
      </c>
      <c r="Q838" s="50">
        <v>0</v>
      </c>
      <c r="R838" s="257"/>
    </row>
    <row r="839" spans="1:18" hidden="1" x14ac:dyDescent="0.25">
      <c r="A839" s="44" t="s">
        <v>721</v>
      </c>
      <c r="B839" s="44" t="s">
        <v>152</v>
      </c>
      <c r="C839" s="44" t="s">
        <v>153</v>
      </c>
      <c r="D839" s="44" t="s">
        <v>69</v>
      </c>
      <c r="E839" s="50">
        <v>45500000</v>
      </c>
      <c r="F839" s="50">
        <v>44866179</v>
      </c>
      <c r="G839" s="50">
        <v>44866179</v>
      </c>
      <c r="H839" s="50">
        <v>0</v>
      </c>
      <c r="I839" s="50">
        <v>886800</v>
      </c>
      <c r="J839" s="50">
        <v>0</v>
      </c>
      <c r="K839" s="50">
        <v>43979379</v>
      </c>
      <c r="L839" s="152">
        <f t="shared" si="0"/>
        <v>0.98023455485255384</v>
      </c>
      <c r="M839" s="50">
        <v>43979379</v>
      </c>
      <c r="N839" s="152">
        <f t="shared" si="1"/>
        <v>0.98023455485255384</v>
      </c>
      <c r="O839" s="50">
        <v>0</v>
      </c>
      <c r="P839" s="152">
        <f t="shared" si="2"/>
        <v>0</v>
      </c>
      <c r="Q839" s="50">
        <v>0</v>
      </c>
      <c r="R839" s="257"/>
    </row>
    <row r="840" spans="1:18" hidden="1" x14ac:dyDescent="0.25">
      <c r="A840" s="44" t="s">
        <v>721</v>
      </c>
      <c r="B840" s="44" t="s">
        <v>248</v>
      </c>
      <c r="C840" s="44" t="s">
        <v>249</v>
      </c>
      <c r="D840" s="44" t="s">
        <v>69</v>
      </c>
      <c r="E840" s="50">
        <v>421832742</v>
      </c>
      <c r="F840" s="50">
        <v>532771980.5</v>
      </c>
      <c r="G840" s="50">
        <v>532771980.5</v>
      </c>
      <c r="H840" s="50">
        <v>0</v>
      </c>
      <c r="I840" s="50">
        <v>0</v>
      </c>
      <c r="J840" s="50">
        <v>0</v>
      </c>
      <c r="K840" s="50">
        <v>501115028.64999998</v>
      </c>
      <c r="L840" s="152">
        <f t="shared" si="0"/>
        <v>0.94058067426839831</v>
      </c>
      <c r="M840" s="50">
        <v>501115028.64999998</v>
      </c>
      <c r="N840" s="152">
        <f t="shared" si="1"/>
        <v>0.94058067426839831</v>
      </c>
      <c r="O840" s="50">
        <v>31656951.850000001</v>
      </c>
      <c r="P840" s="152">
        <f t="shared" si="2"/>
        <v>5.9419325731601608E-2</v>
      </c>
      <c r="Q840" s="50">
        <v>31656951.850000001</v>
      </c>
      <c r="R840" s="257"/>
    </row>
    <row r="841" spans="1:18" hidden="1" x14ac:dyDescent="0.25">
      <c r="A841" s="44" t="s">
        <v>721</v>
      </c>
      <c r="B841" s="44" t="s">
        <v>250</v>
      </c>
      <c r="C841" s="44" t="s">
        <v>251</v>
      </c>
      <c r="D841" s="44" t="s">
        <v>69</v>
      </c>
      <c r="E841" s="50">
        <v>173230842</v>
      </c>
      <c r="F841" s="50">
        <v>157944994</v>
      </c>
      <c r="G841" s="50">
        <v>157944994</v>
      </c>
      <c r="H841" s="50">
        <v>0</v>
      </c>
      <c r="I841" s="50">
        <v>0</v>
      </c>
      <c r="J841" s="50">
        <v>0</v>
      </c>
      <c r="K841" s="50">
        <v>146815159.84</v>
      </c>
      <c r="L841" s="152">
        <f t="shared" si="0"/>
        <v>0.92953347948463627</v>
      </c>
      <c r="M841" s="50">
        <v>146815159.84</v>
      </c>
      <c r="N841" s="152">
        <f t="shared" si="1"/>
        <v>0.92953347948463627</v>
      </c>
      <c r="O841" s="50">
        <v>11129834.16</v>
      </c>
      <c r="P841" s="152">
        <f t="shared" si="2"/>
        <v>7.0466520515363729E-2</v>
      </c>
      <c r="Q841" s="50">
        <v>11129834.16</v>
      </c>
      <c r="R841" s="257"/>
    </row>
    <row r="842" spans="1:18" hidden="1" x14ac:dyDescent="0.25">
      <c r="A842" s="44" t="s">
        <v>721</v>
      </c>
      <c r="B842" s="44" t="s">
        <v>639</v>
      </c>
      <c r="C842" s="44" t="s">
        <v>702</v>
      </c>
      <c r="D842" s="44" t="s">
        <v>69</v>
      </c>
      <c r="E842" s="50">
        <v>147141882</v>
      </c>
      <c r="F842" s="50">
        <v>134104605</v>
      </c>
      <c r="G842" s="50">
        <v>134104605</v>
      </c>
      <c r="H842" s="50">
        <v>0</v>
      </c>
      <c r="I842" s="50">
        <v>0</v>
      </c>
      <c r="J842" s="50">
        <v>0</v>
      </c>
      <c r="K842" s="50">
        <v>124339620.72</v>
      </c>
      <c r="L842" s="152">
        <f t="shared" si="0"/>
        <v>0.92718382579032244</v>
      </c>
      <c r="M842" s="50">
        <v>124339620.72</v>
      </c>
      <c r="N842" s="152">
        <f t="shared" si="1"/>
        <v>0.92718382579032244</v>
      </c>
      <c r="O842" s="50">
        <v>9764984.2799999993</v>
      </c>
      <c r="P842" s="152">
        <f t="shared" si="2"/>
        <v>7.2816174209677578E-2</v>
      </c>
      <c r="Q842" s="50">
        <v>9764984.2799999993</v>
      </c>
      <c r="R842" s="257"/>
    </row>
    <row r="843" spans="1:18" hidden="1" x14ac:dyDescent="0.25">
      <c r="A843" s="44" t="s">
        <v>721</v>
      </c>
      <c r="B843" s="44" t="s">
        <v>654</v>
      </c>
      <c r="C843" s="44" t="s">
        <v>703</v>
      </c>
      <c r="D843" s="44" t="s">
        <v>69</v>
      </c>
      <c r="E843" s="50">
        <v>26088960</v>
      </c>
      <c r="F843" s="50">
        <v>23840389</v>
      </c>
      <c r="G843" s="50">
        <v>23840389</v>
      </c>
      <c r="H843" s="50">
        <v>0</v>
      </c>
      <c r="I843" s="50">
        <v>0</v>
      </c>
      <c r="J843" s="50">
        <v>0</v>
      </c>
      <c r="K843" s="50">
        <v>22475539.120000001</v>
      </c>
      <c r="L843" s="152">
        <f t="shared" si="0"/>
        <v>0.94275051971677148</v>
      </c>
      <c r="M843" s="50">
        <v>22475539.120000001</v>
      </c>
      <c r="N843" s="152">
        <f t="shared" si="1"/>
        <v>0.94275051971677148</v>
      </c>
      <c r="O843" s="50">
        <v>1364849.88</v>
      </c>
      <c r="P843" s="152">
        <f t="shared" si="2"/>
        <v>5.7249480283228599E-2</v>
      </c>
      <c r="Q843" s="50">
        <v>1364849.88</v>
      </c>
      <c r="R843" s="257"/>
    </row>
    <row r="844" spans="1:18" hidden="1" x14ac:dyDescent="0.25">
      <c r="A844" s="44" t="s">
        <v>721</v>
      </c>
      <c r="B844" s="44" t="s">
        <v>260</v>
      </c>
      <c r="C844" s="44" t="s">
        <v>261</v>
      </c>
      <c r="D844" s="44" t="s">
        <v>69</v>
      </c>
      <c r="E844" s="50">
        <v>223601900</v>
      </c>
      <c r="F844" s="50">
        <v>349826986.5</v>
      </c>
      <c r="G844" s="50">
        <v>349826986.5</v>
      </c>
      <c r="H844" s="50">
        <v>0</v>
      </c>
      <c r="I844" s="50">
        <v>0</v>
      </c>
      <c r="J844" s="50">
        <v>0</v>
      </c>
      <c r="K844" s="50">
        <v>334970043.24000001</v>
      </c>
      <c r="L844" s="152">
        <f t="shared" si="0"/>
        <v>0.95753059702842569</v>
      </c>
      <c r="M844" s="50">
        <v>334970043.24000001</v>
      </c>
      <c r="N844" s="152">
        <f t="shared" si="1"/>
        <v>0.95753059702842569</v>
      </c>
      <c r="O844" s="50">
        <v>14856943.26</v>
      </c>
      <c r="P844" s="152">
        <f t="shared" si="2"/>
        <v>4.2469402971574352E-2</v>
      </c>
      <c r="Q844" s="50">
        <v>14856943.26</v>
      </c>
      <c r="R844" s="257"/>
    </row>
    <row r="845" spans="1:18" hidden="1" x14ac:dyDescent="0.25">
      <c r="A845" s="44" t="s">
        <v>721</v>
      </c>
      <c r="B845" s="44" t="s">
        <v>262</v>
      </c>
      <c r="C845" s="44" t="s">
        <v>263</v>
      </c>
      <c r="D845" s="44" t="s">
        <v>69</v>
      </c>
      <c r="E845" s="50">
        <v>150213900</v>
      </c>
      <c r="F845" s="50">
        <v>276438986.5</v>
      </c>
      <c r="G845" s="50">
        <v>276438986.5</v>
      </c>
      <c r="H845" s="50">
        <v>0</v>
      </c>
      <c r="I845" s="50">
        <v>0</v>
      </c>
      <c r="J845" s="50">
        <v>0</v>
      </c>
      <c r="K845" s="50">
        <v>274089043.24000001</v>
      </c>
      <c r="L845" s="152">
        <f t="shared" si="0"/>
        <v>0.99149923355691372</v>
      </c>
      <c r="M845" s="50">
        <v>274089043.24000001</v>
      </c>
      <c r="N845" s="152">
        <f t="shared" si="1"/>
        <v>0.99149923355691372</v>
      </c>
      <c r="O845" s="50">
        <v>2349943.2599999998</v>
      </c>
      <c r="P845" s="152">
        <f t="shared" si="2"/>
        <v>8.500766443086347E-3</v>
      </c>
      <c r="Q845" s="50">
        <v>2349943.2599999998</v>
      </c>
      <c r="R845" s="257"/>
    </row>
    <row r="846" spans="1:18" hidden="1" x14ac:dyDescent="0.25">
      <c r="A846" s="44" t="s">
        <v>721</v>
      </c>
      <c r="B846" s="44" t="s">
        <v>264</v>
      </c>
      <c r="C846" s="44" t="s">
        <v>265</v>
      </c>
      <c r="D846" s="44" t="s">
        <v>69</v>
      </c>
      <c r="E846" s="50">
        <v>73388000</v>
      </c>
      <c r="F846" s="50">
        <v>73388000</v>
      </c>
      <c r="G846" s="50">
        <v>73388000</v>
      </c>
      <c r="H846" s="50">
        <v>0</v>
      </c>
      <c r="I846" s="50">
        <v>0</v>
      </c>
      <c r="J846" s="50">
        <v>0</v>
      </c>
      <c r="K846" s="50">
        <v>60881000</v>
      </c>
      <c r="L846" s="152">
        <f t="shared" si="0"/>
        <v>0.82957704256826725</v>
      </c>
      <c r="M846" s="50">
        <v>60881000</v>
      </c>
      <c r="N846" s="152">
        <f t="shared" si="1"/>
        <v>0.82957704256826725</v>
      </c>
      <c r="O846" s="50">
        <v>12507000</v>
      </c>
      <c r="P846" s="152">
        <f t="shared" si="2"/>
        <v>0.17042295743173272</v>
      </c>
      <c r="Q846" s="50">
        <v>12507000</v>
      </c>
      <c r="R846" s="257"/>
    </row>
    <row r="847" spans="1:18" hidden="1" x14ac:dyDescent="0.25">
      <c r="A847" s="44" t="s">
        <v>721</v>
      </c>
      <c r="B847" s="44" t="s">
        <v>286</v>
      </c>
      <c r="C847" s="44" t="s">
        <v>287</v>
      </c>
      <c r="D847" s="44" t="s">
        <v>69</v>
      </c>
      <c r="E847" s="50">
        <v>25000000</v>
      </c>
      <c r="F847" s="50">
        <v>25000000</v>
      </c>
      <c r="G847" s="50">
        <v>25000000</v>
      </c>
      <c r="H847" s="50">
        <v>0</v>
      </c>
      <c r="I847" s="50">
        <v>0</v>
      </c>
      <c r="J847" s="50">
        <v>0</v>
      </c>
      <c r="K847" s="50">
        <v>19329825.57</v>
      </c>
      <c r="L847" s="152">
        <f t="shared" si="0"/>
        <v>0.77319302280000002</v>
      </c>
      <c r="M847" s="50">
        <v>19329825.57</v>
      </c>
      <c r="N847" s="152">
        <f t="shared" si="1"/>
        <v>0.77319302280000002</v>
      </c>
      <c r="O847" s="50">
        <v>5670174.4299999997</v>
      </c>
      <c r="P847" s="152">
        <f t="shared" si="2"/>
        <v>0.22680697719999998</v>
      </c>
      <c r="Q847" s="50">
        <v>5670174.4299999997</v>
      </c>
      <c r="R847" s="257"/>
    </row>
    <row r="848" spans="1:18" hidden="1" x14ac:dyDescent="0.25">
      <c r="A848" s="44" t="s">
        <v>721</v>
      </c>
      <c r="B848" s="44" t="s">
        <v>288</v>
      </c>
      <c r="C848" s="44" t="s">
        <v>289</v>
      </c>
      <c r="D848" s="44" t="s">
        <v>69</v>
      </c>
      <c r="E848" s="50">
        <v>10000000</v>
      </c>
      <c r="F848" s="50">
        <v>10000000</v>
      </c>
      <c r="G848" s="50">
        <v>10000000</v>
      </c>
      <c r="H848" s="50">
        <v>0</v>
      </c>
      <c r="I848" s="50">
        <v>0</v>
      </c>
      <c r="J848" s="50">
        <v>0</v>
      </c>
      <c r="K848" s="50">
        <v>5086219.99</v>
      </c>
      <c r="L848" s="152">
        <f t="shared" si="0"/>
        <v>0.50862199900000005</v>
      </c>
      <c r="M848" s="50">
        <v>5086219.99</v>
      </c>
      <c r="N848" s="152">
        <f t="shared" si="1"/>
        <v>0.50862199900000005</v>
      </c>
      <c r="O848" s="50">
        <v>4913780.01</v>
      </c>
      <c r="P848" s="152">
        <f t="shared" si="2"/>
        <v>0.49137800099999995</v>
      </c>
      <c r="Q848" s="50">
        <v>4913780.01</v>
      </c>
      <c r="R848" s="257"/>
    </row>
    <row r="849" spans="1:18" hidden="1" x14ac:dyDescent="0.25">
      <c r="A849" s="44" t="s">
        <v>721</v>
      </c>
      <c r="B849" s="44" t="s">
        <v>370</v>
      </c>
      <c r="C849" s="44" t="s">
        <v>371</v>
      </c>
      <c r="D849" s="44" t="s">
        <v>69</v>
      </c>
      <c r="E849" s="50">
        <v>15000000</v>
      </c>
      <c r="F849" s="50">
        <v>15000000</v>
      </c>
      <c r="G849" s="50">
        <v>15000000</v>
      </c>
      <c r="H849" s="50">
        <v>0</v>
      </c>
      <c r="I849" s="50">
        <v>0</v>
      </c>
      <c r="J849" s="50">
        <v>0</v>
      </c>
      <c r="K849" s="50">
        <v>14243605.58</v>
      </c>
      <c r="L849" s="152">
        <f t="shared" si="0"/>
        <v>0.9495737053333333</v>
      </c>
      <c r="M849" s="50">
        <v>14243605.58</v>
      </c>
      <c r="N849" s="152">
        <f t="shared" si="1"/>
        <v>0.9495737053333333</v>
      </c>
      <c r="O849" s="50">
        <v>756394.42</v>
      </c>
      <c r="P849" s="152">
        <f t="shared" si="2"/>
        <v>5.042629466666667E-2</v>
      </c>
      <c r="Q849" s="50">
        <v>756394.42</v>
      </c>
      <c r="R849" s="257"/>
    </row>
    <row r="850" spans="1:18" hidden="1" x14ac:dyDescent="0.25">
      <c r="A850" s="53"/>
      <c r="B850" s="53"/>
      <c r="C850" s="53"/>
      <c r="D850" s="53"/>
      <c r="E850" s="54">
        <v>765104920000</v>
      </c>
      <c r="F850" s="54">
        <v>741992058600</v>
      </c>
      <c r="G850" s="54">
        <v>741992058600</v>
      </c>
      <c r="H850" s="54">
        <v>0</v>
      </c>
      <c r="I850" s="54">
        <v>11155858169.25</v>
      </c>
      <c r="J850" s="54">
        <v>0</v>
      </c>
      <c r="K850" s="54">
        <v>683150430762.65002</v>
      </c>
      <c r="L850" s="54"/>
      <c r="M850" s="54">
        <v>662419901913.65002</v>
      </c>
      <c r="N850" s="54"/>
      <c r="O850" s="54">
        <v>47685769668.099998</v>
      </c>
      <c r="P850" s="54"/>
      <c r="Q850" s="54">
        <v>47685769668.099998</v>
      </c>
      <c r="R850" s="54"/>
    </row>
  </sheetData>
  <sheetProtection selectLockedCells="1" selectUnlockedCells="1"/>
  <autoFilter ref="A1:Q850"/>
  <conditionalFormatting sqref="K2:L2 K3:K451 L3:L849">
    <cfRule type="cellIs" dxfId="19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50"/>
  <sheetViews>
    <sheetView zoomScaleNormal="100" workbookViewId="0"/>
  </sheetViews>
  <sheetFormatPr baseColWidth="10" defaultColWidth="9.140625" defaultRowHeight="15" x14ac:dyDescent="0.25"/>
  <cols>
    <col min="1" max="1" width="15" style="143" customWidth="1"/>
    <col min="2" max="2" width="16" style="143" hidden="1" customWidth="1"/>
    <col min="3" max="3" width="61" style="143" hidden="1" customWidth="1"/>
    <col min="4" max="4" width="7" style="143" customWidth="1"/>
    <col min="5" max="5" width="20" style="143" hidden="1" customWidth="1"/>
    <col min="6" max="6" width="20" style="143" customWidth="1"/>
    <col min="7" max="7" width="18" style="143" hidden="1" customWidth="1"/>
    <col min="8" max="8" width="15" style="143" customWidth="1"/>
    <col min="9" max="9" width="16" style="143" customWidth="1"/>
    <col min="10" max="10" width="21" style="143" customWidth="1"/>
    <col min="11" max="14" width="17" style="143" customWidth="1"/>
    <col min="15" max="16" width="24" style="143" customWidth="1"/>
    <col min="17" max="17" width="23.140625" style="143" hidden="1" customWidth="1"/>
    <col min="18" max="16384" width="9.140625" style="143"/>
  </cols>
  <sheetData>
    <row r="1" spans="1:17" x14ac:dyDescent="0.25">
      <c r="A1" s="144" t="s">
        <v>52</v>
      </c>
      <c r="B1" s="144" t="s">
        <v>691</v>
      </c>
      <c r="C1" s="144" t="s">
        <v>54</v>
      </c>
      <c r="D1" s="144" t="s">
        <v>55</v>
      </c>
      <c r="E1" s="144" t="s">
        <v>56</v>
      </c>
      <c r="F1" s="144" t="s">
        <v>57</v>
      </c>
      <c r="G1" s="144" t="s">
        <v>58</v>
      </c>
      <c r="H1" s="144" t="s">
        <v>59</v>
      </c>
      <c r="I1" s="144" t="s">
        <v>60</v>
      </c>
      <c r="J1" s="144" t="s">
        <v>61</v>
      </c>
      <c r="K1" s="144" t="s">
        <v>12</v>
      </c>
      <c r="L1" s="144" t="s">
        <v>62</v>
      </c>
      <c r="M1" s="144" t="s">
        <v>63</v>
      </c>
      <c r="N1" s="144" t="s">
        <v>64</v>
      </c>
      <c r="O1" s="144" t="s">
        <v>65</v>
      </c>
      <c r="P1" s="144" t="s">
        <v>66</v>
      </c>
      <c r="Q1" s="144" t="s">
        <v>66</v>
      </c>
    </row>
    <row r="2" spans="1:17" x14ac:dyDescent="0.25">
      <c r="A2" s="49" t="s">
        <v>68</v>
      </c>
      <c r="B2" s="49"/>
      <c r="C2" s="49"/>
      <c r="D2" s="49" t="s">
        <v>69</v>
      </c>
      <c r="E2" s="50">
        <v>153020984000</v>
      </c>
      <c r="F2" s="50">
        <v>148613841980</v>
      </c>
      <c r="G2" s="50">
        <v>146977601517.51999</v>
      </c>
      <c r="H2" s="50">
        <v>1173239289.73</v>
      </c>
      <c r="I2" s="50">
        <v>8956402333.0900002</v>
      </c>
      <c r="J2" s="50">
        <v>336710591</v>
      </c>
      <c r="K2" s="50">
        <v>105421590558.28</v>
      </c>
      <c r="L2" s="152">
        <f t="shared" ref="L2:L849" si="0">+K2/F2</f>
        <v>0.70936589185593701</v>
      </c>
      <c r="M2" s="50">
        <v>104034659504.33</v>
      </c>
      <c r="N2" s="152">
        <f t="shared" ref="N2:N849" si="1">+M2/F2</f>
        <v>0.70003344317234373</v>
      </c>
      <c r="O2" s="50">
        <v>32725899207.900002</v>
      </c>
      <c r="P2" s="152">
        <f t="shared" ref="P2:P849" si="2">+O2/F2</f>
        <v>0.22020761169948189</v>
      </c>
      <c r="Q2" s="50">
        <v>31089658745.419998</v>
      </c>
    </row>
    <row r="3" spans="1:17" x14ac:dyDescent="0.25">
      <c r="A3" s="49">
        <v>214786</v>
      </c>
      <c r="B3" s="49"/>
      <c r="C3" s="49"/>
      <c r="D3" s="49" t="s">
        <v>69</v>
      </c>
      <c r="E3" s="50">
        <v>2252563898</v>
      </c>
      <c r="F3" s="50">
        <v>2107733459</v>
      </c>
      <c r="G3" s="50">
        <v>2075437981.5999999</v>
      </c>
      <c r="H3" s="50">
        <v>122000</v>
      </c>
      <c r="I3" s="50">
        <v>166142410.61000001</v>
      </c>
      <c r="J3" s="50">
        <v>637424.99</v>
      </c>
      <c r="K3" s="50">
        <v>1401033257.7</v>
      </c>
      <c r="L3" s="152">
        <f t="shared" si="0"/>
        <v>0.66471083035551892</v>
      </c>
      <c r="M3" s="50">
        <v>1394358776.53</v>
      </c>
      <c r="N3" s="152">
        <f t="shared" si="1"/>
        <v>0.66154416753982936</v>
      </c>
      <c r="O3" s="50">
        <v>539798365.70000005</v>
      </c>
      <c r="P3" s="152">
        <f t="shared" si="2"/>
        <v>0.25610371339652394</v>
      </c>
      <c r="Q3" s="50">
        <v>507502888.30000001</v>
      </c>
    </row>
    <row r="4" spans="1:17" hidden="1" x14ac:dyDescent="0.25">
      <c r="A4" s="455">
        <v>21478600</v>
      </c>
      <c r="B4" s="49" t="s">
        <v>71</v>
      </c>
      <c r="C4" s="49" t="s">
        <v>72</v>
      </c>
      <c r="D4" s="49" t="s">
        <v>69</v>
      </c>
      <c r="E4" s="50">
        <v>1845529688</v>
      </c>
      <c r="F4" s="50">
        <v>1714066664</v>
      </c>
      <c r="G4" s="50">
        <v>1682113432</v>
      </c>
      <c r="H4" s="50">
        <v>0</v>
      </c>
      <c r="I4" s="50">
        <v>85241280</v>
      </c>
      <c r="J4" s="50">
        <v>0</v>
      </c>
      <c r="K4" s="50">
        <v>1120479306.71</v>
      </c>
      <c r="L4" s="152">
        <f t="shared" si="0"/>
        <v>0.65369645781174823</v>
      </c>
      <c r="M4" s="50">
        <v>1120479306.71</v>
      </c>
      <c r="N4" s="152">
        <f t="shared" si="1"/>
        <v>0.65369645781174823</v>
      </c>
      <c r="O4" s="50">
        <v>508346077.29000002</v>
      </c>
      <c r="P4" s="152">
        <f t="shared" si="2"/>
        <v>0.29657310766648221</v>
      </c>
      <c r="Q4" s="50">
        <v>476392845.29000002</v>
      </c>
    </row>
    <row r="5" spans="1:17" hidden="1" x14ac:dyDescent="0.25">
      <c r="A5" s="49" t="s">
        <v>696</v>
      </c>
      <c r="B5" s="49" t="s">
        <v>73</v>
      </c>
      <c r="C5" s="49" t="s">
        <v>74</v>
      </c>
      <c r="D5" s="49" t="s">
        <v>69</v>
      </c>
      <c r="E5" s="50">
        <v>712211400</v>
      </c>
      <c r="F5" s="50">
        <v>686759100</v>
      </c>
      <c r="G5" s="50">
        <v>676833600</v>
      </c>
      <c r="H5" s="50">
        <v>0</v>
      </c>
      <c r="I5" s="50">
        <v>0</v>
      </c>
      <c r="J5" s="50">
        <v>0</v>
      </c>
      <c r="K5" s="50">
        <v>501617323.24000001</v>
      </c>
      <c r="L5" s="152">
        <f t="shared" si="0"/>
        <v>0.7304123429016085</v>
      </c>
      <c r="M5" s="50">
        <v>501617323.24000001</v>
      </c>
      <c r="N5" s="152">
        <f t="shared" si="1"/>
        <v>0.7304123429016085</v>
      </c>
      <c r="O5" s="50">
        <v>185141776.75999999</v>
      </c>
      <c r="P5" s="152">
        <f t="shared" si="2"/>
        <v>0.26958765709839155</v>
      </c>
      <c r="Q5" s="50">
        <v>175216276.75999999</v>
      </c>
    </row>
    <row r="6" spans="1:17" hidden="1" x14ac:dyDescent="0.25">
      <c r="A6" s="49" t="s">
        <v>696</v>
      </c>
      <c r="B6" s="49" t="s">
        <v>75</v>
      </c>
      <c r="C6" s="49" t="s">
        <v>76</v>
      </c>
      <c r="D6" s="49" t="s">
        <v>69</v>
      </c>
      <c r="E6" s="50">
        <v>712211400</v>
      </c>
      <c r="F6" s="50">
        <v>686759100</v>
      </c>
      <c r="G6" s="50">
        <v>676833600</v>
      </c>
      <c r="H6" s="50">
        <v>0</v>
      </c>
      <c r="I6" s="50">
        <v>0</v>
      </c>
      <c r="J6" s="50">
        <v>0</v>
      </c>
      <c r="K6" s="50">
        <v>501617323.24000001</v>
      </c>
      <c r="L6" s="152">
        <f t="shared" si="0"/>
        <v>0.7304123429016085</v>
      </c>
      <c r="M6" s="50">
        <v>501617323.24000001</v>
      </c>
      <c r="N6" s="152">
        <f t="shared" si="1"/>
        <v>0.7304123429016085</v>
      </c>
      <c r="O6" s="50">
        <v>185141776.75999999</v>
      </c>
      <c r="P6" s="152">
        <f t="shared" si="2"/>
        <v>0.26958765709839155</v>
      </c>
      <c r="Q6" s="50">
        <v>175216276.75999999</v>
      </c>
    </row>
    <row r="7" spans="1:17" hidden="1" x14ac:dyDescent="0.25">
      <c r="A7" s="49" t="s">
        <v>696</v>
      </c>
      <c r="B7" s="49" t="s">
        <v>77</v>
      </c>
      <c r="C7" s="49" t="s">
        <v>78</v>
      </c>
      <c r="D7" s="49" t="s">
        <v>69</v>
      </c>
      <c r="E7" s="50">
        <v>851789535</v>
      </c>
      <c r="F7" s="50">
        <v>755470364</v>
      </c>
      <c r="G7" s="50">
        <v>741062753</v>
      </c>
      <c r="H7" s="50">
        <v>0</v>
      </c>
      <c r="I7" s="50">
        <v>0</v>
      </c>
      <c r="J7" s="50">
        <v>0</v>
      </c>
      <c r="K7" s="50">
        <v>439956184.47000003</v>
      </c>
      <c r="L7" s="152">
        <f t="shared" si="0"/>
        <v>0.58236061324835775</v>
      </c>
      <c r="M7" s="50">
        <v>439956184.47000003</v>
      </c>
      <c r="N7" s="152">
        <f t="shared" si="1"/>
        <v>0.58236061324835775</v>
      </c>
      <c r="O7" s="50">
        <v>315514179.52999997</v>
      </c>
      <c r="P7" s="152">
        <f t="shared" si="2"/>
        <v>0.41763938675164231</v>
      </c>
      <c r="Q7" s="50">
        <v>301106568.52999997</v>
      </c>
    </row>
    <row r="8" spans="1:17" hidden="1" x14ac:dyDescent="0.25">
      <c r="A8" s="49" t="s">
        <v>696</v>
      </c>
      <c r="B8" s="49" t="s">
        <v>79</v>
      </c>
      <c r="C8" s="49" t="s">
        <v>80</v>
      </c>
      <c r="D8" s="49" t="s">
        <v>69</v>
      </c>
      <c r="E8" s="50">
        <v>171630900</v>
      </c>
      <c r="F8" s="50">
        <v>171630900</v>
      </c>
      <c r="G8" s="50">
        <v>166370155</v>
      </c>
      <c r="H8" s="50">
        <v>0</v>
      </c>
      <c r="I8" s="50">
        <v>0</v>
      </c>
      <c r="J8" s="50">
        <v>0</v>
      </c>
      <c r="K8" s="50">
        <v>120997716.33</v>
      </c>
      <c r="L8" s="152">
        <f t="shared" si="0"/>
        <v>0.70498794989713387</v>
      </c>
      <c r="M8" s="50">
        <v>120997716.33</v>
      </c>
      <c r="N8" s="152">
        <f t="shared" si="1"/>
        <v>0.70498794989713387</v>
      </c>
      <c r="O8" s="50">
        <v>50633183.670000002</v>
      </c>
      <c r="P8" s="152">
        <f t="shared" si="2"/>
        <v>0.29501205010286613</v>
      </c>
      <c r="Q8" s="50">
        <v>45372438.670000002</v>
      </c>
    </row>
    <row r="9" spans="1:17" hidden="1" x14ac:dyDescent="0.25">
      <c r="A9" s="49" t="s">
        <v>696</v>
      </c>
      <c r="B9" s="49" t="s">
        <v>81</v>
      </c>
      <c r="C9" s="49" t="s">
        <v>82</v>
      </c>
      <c r="D9" s="49" t="s">
        <v>69</v>
      </c>
      <c r="E9" s="50">
        <v>362005040</v>
      </c>
      <c r="F9" s="50">
        <v>342729445</v>
      </c>
      <c r="G9" s="50">
        <v>338637370</v>
      </c>
      <c r="H9" s="50">
        <v>0</v>
      </c>
      <c r="I9" s="50">
        <v>0</v>
      </c>
      <c r="J9" s="50">
        <v>0</v>
      </c>
      <c r="K9" s="50">
        <v>235011779.36000001</v>
      </c>
      <c r="L9" s="152">
        <f t="shared" si="0"/>
        <v>0.6857064159164965</v>
      </c>
      <c r="M9" s="50">
        <v>235011779.36000001</v>
      </c>
      <c r="N9" s="152">
        <f t="shared" si="1"/>
        <v>0.6857064159164965</v>
      </c>
      <c r="O9" s="50">
        <v>107717665.64</v>
      </c>
      <c r="P9" s="152">
        <f t="shared" si="2"/>
        <v>0.31429358408350355</v>
      </c>
      <c r="Q9" s="50">
        <v>103625590.64</v>
      </c>
    </row>
    <row r="10" spans="1:17" hidden="1" x14ac:dyDescent="0.25">
      <c r="A10" s="49" t="s">
        <v>696</v>
      </c>
      <c r="B10" s="49" t="s">
        <v>86</v>
      </c>
      <c r="C10" s="49" t="s">
        <v>87</v>
      </c>
      <c r="D10" s="49" t="s">
        <v>69</v>
      </c>
      <c r="E10" s="50">
        <v>110671900</v>
      </c>
      <c r="F10" s="50">
        <v>38177498</v>
      </c>
      <c r="G10" s="50">
        <v>36177498</v>
      </c>
      <c r="H10" s="50">
        <v>0</v>
      </c>
      <c r="I10" s="50">
        <v>0</v>
      </c>
      <c r="J10" s="50">
        <v>0</v>
      </c>
      <c r="K10" s="50">
        <v>26177497.469999999</v>
      </c>
      <c r="L10" s="152">
        <f t="shared" si="0"/>
        <v>0.68567870712742884</v>
      </c>
      <c r="M10" s="50">
        <v>26177497.469999999</v>
      </c>
      <c r="N10" s="152">
        <f t="shared" si="1"/>
        <v>0.68567870712742884</v>
      </c>
      <c r="O10" s="50">
        <v>12000000.529999999</v>
      </c>
      <c r="P10" s="152">
        <f t="shared" si="2"/>
        <v>0.31432129287257116</v>
      </c>
      <c r="Q10" s="50">
        <v>10000000.529999999</v>
      </c>
    </row>
    <row r="11" spans="1:17" hidden="1" x14ac:dyDescent="0.25">
      <c r="A11" s="49" t="s">
        <v>696</v>
      </c>
      <c r="B11" s="49" t="s">
        <v>88</v>
      </c>
      <c r="C11" s="49" t="s">
        <v>89</v>
      </c>
      <c r="D11" s="49" t="s">
        <v>69</v>
      </c>
      <c r="E11" s="50">
        <v>87218400</v>
      </c>
      <c r="F11" s="50">
        <v>86809260</v>
      </c>
      <c r="G11" s="50">
        <v>85471779</v>
      </c>
      <c r="H11" s="50">
        <v>0</v>
      </c>
      <c r="I11" s="50">
        <v>0</v>
      </c>
      <c r="J11" s="50">
        <v>0</v>
      </c>
      <c r="K11" s="50">
        <v>57769191.310000002</v>
      </c>
      <c r="L11" s="152">
        <f t="shared" si="0"/>
        <v>0.6654726847112854</v>
      </c>
      <c r="M11" s="50">
        <v>57769191.310000002</v>
      </c>
      <c r="N11" s="152">
        <f t="shared" si="1"/>
        <v>0.6654726847112854</v>
      </c>
      <c r="O11" s="50">
        <v>29040068.690000001</v>
      </c>
      <c r="P11" s="152">
        <f t="shared" si="2"/>
        <v>0.3345273152887146</v>
      </c>
      <c r="Q11" s="50">
        <v>27702587.690000001</v>
      </c>
    </row>
    <row r="12" spans="1:17" hidden="1" x14ac:dyDescent="0.25">
      <c r="A12" s="49" t="s">
        <v>696</v>
      </c>
      <c r="B12" s="49" t="s">
        <v>83</v>
      </c>
      <c r="C12" s="49" t="s">
        <v>84</v>
      </c>
      <c r="D12" s="49" t="s">
        <v>85</v>
      </c>
      <c r="E12" s="50">
        <v>120263295</v>
      </c>
      <c r="F12" s="50">
        <v>116123261</v>
      </c>
      <c r="G12" s="50">
        <v>114405951</v>
      </c>
      <c r="H12" s="50">
        <v>0</v>
      </c>
      <c r="I12" s="50">
        <v>0</v>
      </c>
      <c r="J12" s="50">
        <v>0</v>
      </c>
      <c r="K12" s="50">
        <v>0</v>
      </c>
      <c r="L12" s="152">
        <f t="shared" si="0"/>
        <v>0</v>
      </c>
      <c r="M12" s="50">
        <v>0</v>
      </c>
      <c r="N12" s="152">
        <f t="shared" si="1"/>
        <v>0</v>
      </c>
      <c r="O12" s="50">
        <v>116123261</v>
      </c>
      <c r="P12" s="152">
        <f t="shared" si="2"/>
        <v>1</v>
      </c>
      <c r="Q12" s="50">
        <v>114405951</v>
      </c>
    </row>
    <row r="13" spans="1:17" hidden="1" x14ac:dyDescent="0.25">
      <c r="A13" s="49" t="s">
        <v>696</v>
      </c>
      <c r="B13" s="49" t="s">
        <v>90</v>
      </c>
      <c r="C13" s="49" t="s">
        <v>91</v>
      </c>
      <c r="D13" s="49" t="s">
        <v>69</v>
      </c>
      <c r="E13" s="50">
        <v>140764376</v>
      </c>
      <c r="F13" s="50">
        <v>135918599</v>
      </c>
      <c r="G13" s="50">
        <v>133908533</v>
      </c>
      <c r="H13" s="50">
        <v>0</v>
      </c>
      <c r="I13" s="50">
        <v>44304972</v>
      </c>
      <c r="J13" s="50">
        <v>0</v>
      </c>
      <c r="K13" s="50">
        <v>89533561</v>
      </c>
      <c r="L13" s="152">
        <f t="shared" si="0"/>
        <v>0.65872928104563522</v>
      </c>
      <c r="M13" s="50">
        <v>89533561</v>
      </c>
      <c r="N13" s="152">
        <f t="shared" si="1"/>
        <v>0.65872928104563522</v>
      </c>
      <c r="O13" s="50">
        <v>2080066</v>
      </c>
      <c r="P13" s="152">
        <f t="shared" si="2"/>
        <v>1.5303762805854113E-2</v>
      </c>
      <c r="Q13" s="50">
        <v>70000</v>
      </c>
    </row>
    <row r="14" spans="1:17" hidden="1" x14ac:dyDescent="0.25">
      <c r="A14" s="49" t="s">
        <v>696</v>
      </c>
      <c r="B14" s="49" t="s">
        <v>416</v>
      </c>
      <c r="C14" s="49" t="s">
        <v>697</v>
      </c>
      <c r="D14" s="49" t="s">
        <v>69</v>
      </c>
      <c r="E14" s="50">
        <v>133545724</v>
      </c>
      <c r="F14" s="50">
        <v>128948448</v>
      </c>
      <c r="G14" s="50">
        <v>127041476</v>
      </c>
      <c r="H14" s="50">
        <v>0</v>
      </c>
      <c r="I14" s="50">
        <v>42029350</v>
      </c>
      <c r="J14" s="50">
        <v>0</v>
      </c>
      <c r="K14" s="50">
        <v>84942126</v>
      </c>
      <c r="L14" s="152">
        <f t="shared" si="0"/>
        <v>0.65872933965052449</v>
      </c>
      <c r="M14" s="50">
        <v>84942126</v>
      </c>
      <c r="N14" s="152">
        <f t="shared" si="1"/>
        <v>0.65872933965052449</v>
      </c>
      <c r="O14" s="50">
        <v>1976972</v>
      </c>
      <c r="P14" s="152">
        <f t="shared" si="2"/>
        <v>1.5331491232837483E-2</v>
      </c>
      <c r="Q14" s="50">
        <v>70000</v>
      </c>
    </row>
    <row r="15" spans="1:17" hidden="1" x14ac:dyDescent="0.25">
      <c r="A15" s="49" t="s">
        <v>696</v>
      </c>
      <c r="B15" s="49" t="s">
        <v>433</v>
      </c>
      <c r="C15" s="49" t="s">
        <v>95</v>
      </c>
      <c r="D15" s="49" t="s">
        <v>69</v>
      </c>
      <c r="E15" s="50">
        <v>7218652</v>
      </c>
      <c r="F15" s="50">
        <v>6970151</v>
      </c>
      <c r="G15" s="50">
        <v>6867057</v>
      </c>
      <c r="H15" s="50">
        <v>0</v>
      </c>
      <c r="I15" s="50">
        <v>2275622</v>
      </c>
      <c r="J15" s="50">
        <v>0</v>
      </c>
      <c r="K15" s="50">
        <v>4591435</v>
      </c>
      <c r="L15" s="152">
        <f t="shared" si="0"/>
        <v>0.65872819684968087</v>
      </c>
      <c r="M15" s="50">
        <v>4591435</v>
      </c>
      <c r="N15" s="152">
        <f t="shared" si="1"/>
        <v>0.65872819684968087</v>
      </c>
      <c r="O15" s="50">
        <v>103094</v>
      </c>
      <c r="P15" s="152">
        <f t="shared" si="2"/>
        <v>1.4790784302951256E-2</v>
      </c>
      <c r="Q15" s="50">
        <v>0</v>
      </c>
    </row>
    <row r="16" spans="1:17" hidden="1" x14ac:dyDescent="0.25">
      <c r="A16" s="49" t="s">
        <v>696</v>
      </c>
      <c r="B16" s="49" t="s">
        <v>96</v>
      </c>
      <c r="C16" s="49" t="s">
        <v>97</v>
      </c>
      <c r="D16" s="49" t="s">
        <v>69</v>
      </c>
      <c r="E16" s="50">
        <v>140764377</v>
      </c>
      <c r="F16" s="50">
        <v>135918601</v>
      </c>
      <c r="G16" s="50">
        <v>130308546</v>
      </c>
      <c r="H16" s="50">
        <v>0</v>
      </c>
      <c r="I16" s="50">
        <v>40936308</v>
      </c>
      <c r="J16" s="50">
        <v>0</v>
      </c>
      <c r="K16" s="50">
        <v>89372238</v>
      </c>
      <c r="L16" s="152">
        <f t="shared" si="0"/>
        <v>0.65754236243205588</v>
      </c>
      <c r="M16" s="50">
        <v>89372238</v>
      </c>
      <c r="N16" s="152">
        <f t="shared" si="1"/>
        <v>0.65754236243205588</v>
      </c>
      <c r="O16" s="50">
        <v>5610055</v>
      </c>
      <c r="P16" s="152">
        <f t="shared" si="2"/>
        <v>4.127510847466713E-2</v>
      </c>
      <c r="Q16" s="50">
        <v>0</v>
      </c>
    </row>
    <row r="17" spans="1:17" hidden="1" x14ac:dyDescent="0.25">
      <c r="A17" s="49" t="s">
        <v>696</v>
      </c>
      <c r="B17" s="49" t="s">
        <v>451</v>
      </c>
      <c r="C17" s="49" t="s">
        <v>698</v>
      </c>
      <c r="D17" s="49" t="s">
        <v>69</v>
      </c>
      <c r="E17" s="50">
        <v>75796203</v>
      </c>
      <c r="F17" s="50">
        <v>73186939</v>
      </c>
      <c r="G17" s="50">
        <v>72104601</v>
      </c>
      <c r="H17" s="50">
        <v>0</v>
      </c>
      <c r="I17" s="50">
        <v>24055565</v>
      </c>
      <c r="J17" s="50">
        <v>0</v>
      </c>
      <c r="K17" s="50">
        <v>48049036</v>
      </c>
      <c r="L17" s="152">
        <f t="shared" si="0"/>
        <v>0.656524738655896</v>
      </c>
      <c r="M17" s="50">
        <v>48049036</v>
      </c>
      <c r="N17" s="152">
        <f t="shared" si="1"/>
        <v>0.656524738655896</v>
      </c>
      <c r="O17" s="50">
        <v>1082338</v>
      </c>
      <c r="P17" s="152">
        <f t="shared" si="2"/>
        <v>1.4788676979645234E-2</v>
      </c>
      <c r="Q17" s="50">
        <v>0</v>
      </c>
    </row>
    <row r="18" spans="1:17" hidden="1" x14ac:dyDescent="0.25">
      <c r="A18" s="49" t="s">
        <v>696</v>
      </c>
      <c r="B18" s="49" t="s">
        <v>468</v>
      </c>
      <c r="C18" s="49" t="s">
        <v>699</v>
      </c>
      <c r="D18" s="49" t="s">
        <v>69</v>
      </c>
      <c r="E18" s="50">
        <v>21656058</v>
      </c>
      <c r="F18" s="50">
        <v>20910554</v>
      </c>
      <c r="G18" s="50">
        <v>20601312</v>
      </c>
      <c r="H18" s="50">
        <v>0</v>
      </c>
      <c r="I18" s="50">
        <v>6826906</v>
      </c>
      <c r="J18" s="50">
        <v>0</v>
      </c>
      <c r="K18" s="50">
        <v>13774406</v>
      </c>
      <c r="L18" s="152">
        <f t="shared" si="0"/>
        <v>0.6587298452255258</v>
      </c>
      <c r="M18" s="50">
        <v>13774406</v>
      </c>
      <c r="N18" s="152">
        <f t="shared" si="1"/>
        <v>0.6587298452255258</v>
      </c>
      <c r="O18" s="50">
        <v>309242</v>
      </c>
      <c r="P18" s="152">
        <f t="shared" si="2"/>
        <v>1.4788799952406808E-2</v>
      </c>
      <c r="Q18" s="50">
        <v>0</v>
      </c>
    </row>
    <row r="19" spans="1:17" hidden="1" x14ac:dyDescent="0.25">
      <c r="A19" s="49" t="s">
        <v>696</v>
      </c>
      <c r="B19" s="49" t="s">
        <v>485</v>
      </c>
      <c r="C19" s="49" t="s">
        <v>700</v>
      </c>
      <c r="D19" s="49" t="s">
        <v>69</v>
      </c>
      <c r="E19" s="50">
        <v>43312116</v>
      </c>
      <c r="F19" s="50">
        <v>41821108</v>
      </c>
      <c r="G19" s="50">
        <v>37602633</v>
      </c>
      <c r="H19" s="50">
        <v>0</v>
      </c>
      <c r="I19" s="50">
        <v>10053837</v>
      </c>
      <c r="J19" s="50">
        <v>0</v>
      </c>
      <c r="K19" s="50">
        <v>27548796</v>
      </c>
      <c r="L19" s="152">
        <f t="shared" si="0"/>
        <v>0.65872946264360088</v>
      </c>
      <c r="M19" s="50">
        <v>27548796</v>
      </c>
      <c r="N19" s="152">
        <f t="shared" si="1"/>
        <v>0.65872946264360088</v>
      </c>
      <c r="O19" s="50">
        <v>4218475</v>
      </c>
      <c r="P19" s="152">
        <f t="shared" si="2"/>
        <v>0.1008695178520856</v>
      </c>
      <c r="Q19" s="50">
        <v>0</v>
      </c>
    </row>
    <row r="20" spans="1:17" hidden="1" x14ac:dyDescent="0.25">
      <c r="A20" s="49" t="s">
        <v>696</v>
      </c>
      <c r="B20" s="49" t="s">
        <v>104</v>
      </c>
      <c r="C20" s="49" t="s">
        <v>105</v>
      </c>
      <c r="D20" s="49" t="s">
        <v>69</v>
      </c>
      <c r="E20" s="50">
        <v>83371900</v>
      </c>
      <c r="F20" s="50">
        <v>66099608</v>
      </c>
      <c r="G20" s="50">
        <v>66099607.600000001</v>
      </c>
      <c r="H20" s="50">
        <v>122000</v>
      </c>
      <c r="I20" s="50">
        <v>17674000.190000001</v>
      </c>
      <c r="J20" s="50">
        <v>476540.99</v>
      </c>
      <c r="K20" s="50">
        <v>38797864.109999999</v>
      </c>
      <c r="L20" s="152">
        <f t="shared" si="0"/>
        <v>0.58696057789026523</v>
      </c>
      <c r="M20" s="50">
        <v>32288678.010000002</v>
      </c>
      <c r="N20" s="152">
        <f t="shared" si="1"/>
        <v>0.48848516635681111</v>
      </c>
      <c r="O20" s="50">
        <v>9029202.7100000009</v>
      </c>
      <c r="P20" s="152">
        <f t="shared" si="2"/>
        <v>0.13659994337636619</v>
      </c>
      <c r="Q20" s="50">
        <v>9029202.3100000005</v>
      </c>
    </row>
    <row r="21" spans="1:17" hidden="1" x14ac:dyDescent="0.25">
      <c r="A21" s="49" t="s">
        <v>696</v>
      </c>
      <c r="B21" s="49" t="s">
        <v>106</v>
      </c>
      <c r="C21" s="49" t="s">
        <v>107</v>
      </c>
      <c r="D21" s="49" t="s">
        <v>69</v>
      </c>
      <c r="E21" s="50">
        <v>55749325</v>
      </c>
      <c r="F21" s="50">
        <v>54664325</v>
      </c>
      <c r="G21" s="50">
        <v>54664324.600000001</v>
      </c>
      <c r="H21" s="50">
        <v>0</v>
      </c>
      <c r="I21" s="50">
        <v>13127829.640000001</v>
      </c>
      <c r="J21" s="50">
        <v>475704.99</v>
      </c>
      <c r="K21" s="50">
        <v>32267813.190000001</v>
      </c>
      <c r="L21" s="152">
        <f t="shared" si="0"/>
        <v>0.59029016072182361</v>
      </c>
      <c r="M21" s="50">
        <v>25767627.09</v>
      </c>
      <c r="N21" s="152">
        <f t="shared" si="1"/>
        <v>0.47137922383565517</v>
      </c>
      <c r="O21" s="50">
        <v>8792977.1799999997</v>
      </c>
      <c r="P21" s="152">
        <f t="shared" si="2"/>
        <v>0.16085403377797128</v>
      </c>
      <c r="Q21" s="50">
        <v>8792976.7799999993</v>
      </c>
    </row>
    <row r="22" spans="1:17" hidden="1" x14ac:dyDescent="0.25">
      <c r="A22" s="49" t="s">
        <v>696</v>
      </c>
      <c r="B22" s="49" t="s">
        <v>108</v>
      </c>
      <c r="C22" s="49" t="s">
        <v>109</v>
      </c>
      <c r="D22" s="49" t="s">
        <v>69</v>
      </c>
      <c r="E22" s="50">
        <v>55664325</v>
      </c>
      <c r="F22" s="50">
        <v>54664325</v>
      </c>
      <c r="G22" s="50">
        <v>54664324.600000001</v>
      </c>
      <c r="H22" s="50">
        <v>0</v>
      </c>
      <c r="I22" s="50">
        <v>13127829.640000001</v>
      </c>
      <c r="J22" s="50">
        <v>475704.99</v>
      </c>
      <c r="K22" s="50">
        <v>32267813.190000001</v>
      </c>
      <c r="L22" s="152">
        <f t="shared" si="0"/>
        <v>0.59029016072182361</v>
      </c>
      <c r="M22" s="50">
        <v>25767627.09</v>
      </c>
      <c r="N22" s="152">
        <f t="shared" si="1"/>
        <v>0.47137922383565517</v>
      </c>
      <c r="O22" s="50">
        <v>8792977.1799999997</v>
      </c>
      <c r="P22" s="152">
        <f t="shared" si="2"/>
        <v>0.16085403377797128</v>
      </c>
      <c r="Q22" s="50">
        <v>8792976.7799999993</v>
      </c>
    </row>
    <row r="23" spans="1:17" hidden="1" x14ac:dyDescent="0.25">
      <c r="A23" s="49" t="s">
        <v>696</v>
      </c>
      <c r="B23" s="49" t="s">
        <v>110</v>
      </c>
      <c r="C23" s="49" t="s">
        <v>111</v>
      </c>
      <c r="D23" s="49" t="s">
        <v>69</v>
      </c>
      <c r="E23" s="50">
        <v>85000</v>
      </c>
      <c r="F23" s="50">
        <v>0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152" t="e">
        <f t="shared" si="0"/>
        <v>#DIV/0!</v>
      </c>
      <c r="M23" s="50">
        <v>0</v>
      </c>
      <c r="N23" s="152" t="e">
        <f t="shared" si="1"/>
        <v>#DIV/0!</v>
      </c>
      <c r="O23" s="50">
        <v>0</v>
      </c>
      <c r="P23" s="152" t="e">
        <f t="shared" si="2"/>
        <v>#DIV/0!</v>
      </c>
      <c r="Q23" s="50">
        <v>0</v>
      </c>
    </row>
    <row r="24" spans="1:17" hidden="1" x14ac:dyDescent="0.25">
      <c r="A24" s="49" t="s">
        <v>696</v>
      </c>
      <c r="B24" s="49" t="s">
        <v>124</v>
      </c>
      <c r="C24" s="49" t="s">
        <v>125</v>
      </c>
      <c r="D24" s="49" t="s">
        <v>69</v>
      </c>
      <c r="E24" s="50">
        <v>1900000</v>
      </c>
      <c r="F24" s="50">
        <v>680000</v>
      </c>
      <c r="G24" s="50">
        <v>680000</v>
      </c>
      <c r="H24" s="50">
        <v>0</v>
      </c>
      <c r="I24" s="50">
        <v>481664</v>
      </c>
      <c r="J24" s="50">
        <v>836</v>
      </c>
      <c r="K24" s="50">
        <v>195490</v>
      </c>
      <c r="L24" s="152">
        <f t="shared" si="0"/>
        <v>0.28748529411764706</v>
      </c>
      <c r="M24" s="50">
        <v>195490</v>
      </c>
      <c r="N24" s="152">
        <f t="shared" si="1"/>
        <v>0.28748529411764706</v>
      </c>
      <c r="O24" s="50">
        <v>2010</v>
      </c>
      <c r="P24" s="152">
        <f t="shared" si="2"/>
        <v>2.9558823529411767E-3</v>
      </c>
      <c r="Q24" s="50">
        <v>2010</v>
      </c>
    </row>
    <row r="25" spans="1:17" hidden="1" x14ac:dyDescent="0.25">
      <c r="A25" s="49" t="s">
        <v>696</v>
      </c>
      <c r="B25" s="49" t="s">
        <v>128</v>
      </c>
      <c r="C25" s="49" t="s">
        <v>129</v>
      </c>
      <c r="D25" s="49" t="s">
        <v>69</v>
      </c>
      <c r="E25" s="50">
        <v>1250000</v>
      </c>
      <c r="F25" s="50">
        <v>380000</v>
      </c>
      <c r="G25" s="50">
        <v>380000</v>
      </c>
      <c r="H25" s="50">
        <v>0</v>
      </c>
      <c r="I25" s="50">
        <v>184180</v>
      </c>
      <c r="J25" s="50">
        <v>0</v>
      </c>
      <c r="K25" s="50">
        <v>195490</v>
      </c>
      <c r="L25" s="152">
        <f t="shared" si="0"/>
        <v>0.51444736842105265</v>
      </c>
      <c r="M25" s="50">
        <v>195490</v>
      </c>
      <c r="N25" s="152">
        <f t="shared" si="1"/>
        <v>0.51444736842105265</v>
      </c>
      <c r="O25" s="50">
        <v>330</v>
      </c>
      <c r="P25" s="152">
        <f t="shared" si="2"/>
        <v>8.6842105263157897E-4</v>
      </c>
      <c r="Q25" s="50">
        <v>330</v>
      </c>
    </row>
    <row r="26" spans="1:17" hidden="1" x14ac:dyDescent="0.25">
      <c r="A26" s="49" t="s">
        <v>696</v>
      </c>
      <c r="B26" s="49" t="s">
        <v>130</v>
      </c>
      <c r="C26" s="49" t="s">
        <v>131</v>
      </c>
      <c r="D26" s="49" t="s">
        <v>69</v>
      </c>
      <c r="E26" s="50">
        <v>50000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0</v>
      </c>
      <c r="L26" s="152" t="e">
        <f t="shared" si="0"/>
        <v>#DIV/0!</v>
      </c>
      <c r="M26" s="50">
        <v>0</v>
      </c>
      <c r="N26" s="152" t="e">
        <f t="shared" si="1"/>
        <v>#DIV/0!</v>
      </c>
      <c r="O26" s="50">
        <v>0</v>
      </c>
      <c r="P26" s="152" t="e">
        <f t="shared" si="2"/>
        <v>#DIV/0!</v>
      </c>
      <c r="Q26" s="50">
        <v>0</v>
      </c>
    </row>
    <row r="27" spans="1:17" hidden="1" x14ac:dyDescent="0.25">
      <c r="A27" s="49" t="s">
        <v>696</v>
      </c>
      <c r="B27" s="49" t="s">
        <v>132</v>
      </c>
      <c r="C27" s="49" t="s">
        <v>133</v>
      </c>
      <c r="D27" s="49" t="s">
        <v>69</v>
      </c>
      <c r="E27" s="50">
        <v>600000</v>
      </c>
      <c r="F27" s="50">
        <v>300000</v>
      </c>
      <c r="G27" s="50">
        <v>300000</v>
      </c>
      <c r="H27" s="50">
        <v>0</v>
      </c>
      <c r="I27" s="50">
        <v>297484</v>
      </c>
      <c r="J27" s="50">
        <v>836</v>
      </c>
      <c r="K27" s="50">
        <v>0</v>
      </c>
      <c r="L27" s="152">
        <f t="shared" si="0"/>
        <v>0</v>
      </c>
      <c r="M27" s="50">
        <v>0</v>
      </c>
      <c r="N27" s="152">
        <f t="shared" si="1"/>
        <v>0</v>
      </c>
      <c r="O27" s="50">
        <v>1680</v>
      </c>
      <c r="P27" s="152">
        <f t="shared" si="2"/>
        <v>5.5999999999999999E-3</v>
      </c>
      <c r="Q27" s="50">
        <v>1680</v>
      </c>
    </row>
    <row r="28" spans="1:17" hidden="1" x14ac:dyDescent="0.25">
      <c r="A28" s="49" t="s">
        <v>696</v>
      </c>
      <c r="B28" s="49" t="s">
        <v>140</v>
      </c>
      <c r="C28" s="49" t="s">
        <v>141</v>
      </c>
      <c r="D28" s="49" t="s">
        <v>69</v>
      </c>
      <c r="E28" s="50">
        <v>25000000</v>
      </c>
      <c r="F28" s="50">
        <v>10387708</v>
      </c>
      <c r="G28" s="50">
        <v>10387708</v>
      </c>
      <c r="H28" s="50">
        <v>122000</v>
      </c>
      <c r="I28" s="50">
        <v>3699996.8</v>
      </c>
      <c r="J28" s="50">
        <v>0</v>
      </c>
      <c r="K28" s="50">
        <v>6334560.9199999999</v>
      </c>
      <c r="L28" s="152">
        <f t="shared" si="0"/>
        <v>0.60981314838653533</v>
      </c>
      <c r="M28" s="50">
        <v>6325560.9199999999</v>
      </c>
      <c r="N28" s="152">
        <f t="shared" si="1"/>
        <v>0.60894673974278057</v>
      </c>
      <c r="O28" s="50">
        <v>231150.28</v>
      </c>
      <c r="P28" s="152">
        <f t="shared" si="2"/>
        <v>2.2252288955369171E-2</v>
      </c>
      <c r="Q28" s="50">
        <v>231150.28</v>
      </c>
    </row>
    <row r="29" spans="1:17" hidden="1" x14ac:dyDescent="0.25">
      <c r="A29" s="49" t="s">
        <v>696</v>
      </c>
      <c r="B29" s="49" t="s">
        <v>142</v>
      </c>
      <c r="C29" s="49" t="s">
        <v>143</v>
      </c>
      <c r="D29" s="49" t="s">
        <v>69</v>
      </c>
      <c r="E29" s="50">
        <v>100000</v>
      </c>
      <c r="F29" s="50">
        <v>65000</v>
      </c>
      <c r="G29" s="50">
        <v>65000</v>
      </c>
      <c r="H29" s="50">
        <v>0</v>
      </c>
      <c r="I29" s="50">
        <v>29340</v>
      </c>
      <c r="J29" s="50">
        <v>0</v>
      </c>
      <c r="K29" s="50">
        <v>35660</v>
      </c>
      <c r="L29" s="152">
        <f t="shared" si="0"/>
        <v>0.54861538461538462</v>
      </c>
      <c r="M29" s="50">
        <v>35660</v>
      </c>
      <c r="N29" s="152">
        <f t="shared" si="1"/>
        <v>0.54861538461538462</v>
      </c>
      <c r="O29" s="50">
        <v>0</v>
      </c>
      <c r="P29" s="152">
        <f t="shared" si="2"/>
        <v>0</v>
      </c>
      <c r="Q29" s="50">
        <v>0</v>
      </c>
    </row>
    <row r="30" spans="1:17" hidden="1" x14ac:dyDescent="0.25">
      <c r="A30" s="49" t="s">
        <v>696</v>
      </c>
      <c r="B30" s="49" t="s">
        <v>144</v>
      </c>
      <c r="C30" s="49" t="s">
        <v>145</v>
      </c>
      <c r="D30" s="49" t="s">
        <v>69</v>
      </c>
      <c r="E30" s="50">
        <v>8085000</v>
      </c>
      <c r="F30" s="50">
        <v>4853850</v>
      </c>
      <c r="G30" s="50">
        <v>4853850</v>
      </c>
      <c r="H30" s="50">
        <v>122000</v>
      </c>
      <c r="I30" s="50">
        <v>3664000</v>
      </c>
      <c r="J30" s="50">
        <v>0</v>
      </c>
      <c r="K30" s="50">
        <v>836700</v>
      </c>
      <c r="L30" s="152">
        <f t="shared" si="0"/>
        <v>0.17237862727525571</v>
      </c>
      <c r="M30" s="50">
        <v>827700</v>
      </c>
      <c r="N30" s="152">
        <f t="shared" si="1"/>
        <v>0.17052442906146667</v>
      </c>
      <c r="O30" s="50">
        <v>231150</v>
      </c>
      <c r="P30" s="152">
        <f t="shared" si="2"/>
        <v>4.7621990790815541E-2</v>
      </c>
      <c r="Q30" s="50">
        <v>231150</v>
      </c>
    </row>
    <row r="31" spans="1:17" hidden="1" x14ac:dyDescent="0.25">
      <c r="A31" s="49" t="s">
        <v>696</v>
      </c>
      <c r="B31" s="49" t="s">
        <v>146</v>
      </c>
      <c r="C31" s="49" t="s">
        <v>147</v>
      </c>
      <c r="D31" s="49" t="s">
        <v>69</v>
      </c>
      <c r="E31" s="50">
        <v>8295000</v>
      </c>
      <c r="F31" s="50">
        <v>1585000</v>
      </c>
      <c r="G31" s="50">
        <v>1585000</v>
      </c>
      <c r="H31" s="50">
        <v>0</v>
      </c>
      <c r="I31" s="50">
        <v>6656.8</v>
      </c>
      <c r="J31" s="50">
        <v>0</v>
      </c>
      <c r="K31" s="50">
        <v>1578343.2</v>
      </c>
      <c r="L31" s="152">
        <f t="shared" si="0"/>
        <v>0.99580012618296532</v>
      </c>
      <c r="M31" s="50">
        <v>1578343.2</v>
      </c>
      <c r="N31" s="152">
        <f t="shared" si="1"/>
        <v>0.99580012618296532</v>
      </c>
      <c r="O31" s="50">
        <v>0</v>
      </c>
      <c r="P31" s="152">
        <f t="shared" si="2"/>
        <v>0</v>
      </c>
      <c r="Q31" s="50">
        <v>0</v>
      </c>
    </row>
    <row r="32" spans="1:17" hidden="1" x14ac:dyDescent="0.25">
      <c r="A32" s="49" t="s">
        <v>696</v>
      </c>
      <c r="B32" s="49" t="s">
        <v>148</v>
      </c>
      <c r="C32" s="49" t="s">
        <v>149</v>
      </c>
      <c r="D32" s="49" t="s">
        <v>69</v>
      </c>
      <c r="E32" s="50">
        <v>8520000</v>
      </c>
      <c r="F32" s="50">
        <v>3883858</v>
      </c>
      <c r="G32" s="50">
        <v>3883858</v>
      </c>
      <c r="H32" s="50">
        <v>0</v>
      </c>
      <c r="I32" s="50">
        <v>0</v>
      </c>
      <c r="J32" s="50">
        <v>0</v>
      </c>
      <c r="K32" s="50">
        <v>3883857.72</v>
      </c>
      <c r="L32" s="152">
        <f t="shared" si="0"/>
        <v>0.99999992790673609</v>
      </c>
      <c r="M32" s="50">
        <v>3883857.72</v>
      </c>
      <c r="N32" s="152">
        <f t="shared" si="1"/>
        <v>0.99999992790673609</v>
      </c>
      <c r="O32" s="50">
        <v>0.28000000000000003</v>
      </c>
      <c r="P32" s="152">
        <f t="shared" si="2"/>
        <v>7.2093263965881355E-8</v>
      </c>
      <c r="Q32" s="50">
        <v>0.28000000000000003</v>
      </c>
    </row>
    <row r="33" spans="1:17" hidden="1" x14ac:dyDescent="0.25">
      <c r="A33" s="49" t="s">
        <v>696</v>
      </c>
      <c r="B33" s="49" t="s">
        <v>154</v>
      </c>
      <c r="C33" s="49" t="s">
        <v>155</v>
      </c>
      <c r="D33" s="49" t="s">
        <v>69</v>
      </c>
      <c r="E33" s="50">
        <v>400000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152" t="e">
        <f t="shared" si="0"/>
        <v>#DIV/0!</v>
      </c>
      <c r="M33" s="50">
        <v>0</v>
      </c>
      <c r="N33" s="152" t="e">
        <f t="shared" si="1"/>
        <v>#DIV/0!</v>
      </c>
      <c r="O33" s="50">
        <v>0</v>
      </c>
      <c r="P33" s="152" t="e">
        <f t="shared" si="2"/>
        <v>#DIV/0!</v>
      </c>
      <c r="Q33" s="50">
        <v>0</v>
      </c>
    </row>
    <row r="34" spans="1:17" hidden="1" x14ac:dyDescent="0.25">
      <c r="A34" s="49" t="s">
        <v>696</v>
      </c>
      <c r="B34" s="49" t="s">
        <v>160</v>
      </c>
      <c r="C34" s="49" t="s">
        <v>161</v>
      </c>
      <c r="D34" s="49" t="s">
        <v>69</v>
      </c>
      <c r="E34" s="50">
        <v>400000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152" t="e">
        <f t="shared" si="0"/>
        <v>#DIV/0!</v>
      </c>
      <c r="M34" s="50">
        <v>0</v>
      </c>
      <c r="N34" s="152" t="e">
        <f t="shared" si="1"/>
        <v>#DIV/0!</v>
      </c>
      <c r="O34" s="50">
        <v>0</v>
      </c>
      <c r="P34" s="152" t="e">
        <f t="shared" si="2"/>
        <v>#DIV/0!</v>
      </c>
      <c r="Q34" s="50">
        <v>0</v>
      </c>
    </row>
    <row r="35" spans="1:17" hidden="1" x14ac:dyDescent="0.25">
      <c r="A35" s="49" t="s">
        <v>696</v>
      </c>
      <c r="B35" s="49" t="s">
        <v>162</v>
      </c>
      <c r="C35" s="49" t="s">
        <v>163</v>
      </c>
      <c r="D35" s="49" t="s">
        <v>69</v>
      </c>
      <c r="E35" s="50">
        <v>322575</v>
      </c>
      <c r="F35" s="50">
        <v>367575</v>
      </c>
      <c r="G35" s="50">
        <v>367575</v>
      </c>
      <c r="H35" s="50">
        <v>0</v>
      </c>
      <c r="I35" s="50">
        <v>364509.75</v>
      </c>
      <c r="J35" s="50">
        <v>0</v>
      </c>
      <c r="K35" s="50">
        <v>0</v>
      </c>
      <c r="L35" s="152">
        <f t="shared" si="0"/>
        <v>0</v>
      </c>
      <c r="M35" s="50">
        <v>0</v>
      </c>
      <c r="N35" s="152">
        <f t="shared" si="1"/>
        <v>0</v>
      </c>
      <c r="O35" s="50">
        <v>3065.25</v>
      </c>
      <c r="P35" s="152">
        <f t="shared" si="2"/>
        <v>8.3391144664354214E-3</v>
      </c>
      <c r="Q35" s="50">
        <v>3065.25</v>
      </c>
    </row>
    <row r="36" spans="1:17" hidden="1" x14ac:dyDescent="0.25">
      <c r="A36" s="49" t="s">
        <v>696</v>
      </c>
      <c r="B36" s="49" t="s">
        <v>170</v>
      </c>
      <c r="C36" s="49" t="s">
        <v>171</v>
      </c>
      <c r="D36" s="49" t="s">
        <v>69</v>
      </c>
      <c r="E36" s="50">
        <v>322575</v>
      </c>
      <c r="F36" s="50">
        <v>367575</v>
      </c>
      <c r="G36" s="50">
        <v>367575</v>
      </c>
      <c r="H36" s="50">
        <v>0</v>
      </c>
      <c r="I36" s="50">
        <v>364509.75</v>
      </c>
      <c r="J36" s="50">
        <v>0</v>
      </c>
      <c r="K36" s="50">
        <v>0</v>
      </c>
      <c r="L36" s="152">
        <f t="shared" si="0"/>
        <v>0</v>
      </c>
      <c r="M36" s="50">
        <v>0</v>
      </c>
      <c r="N36" s="152">
        <f t="shared" si="1"/>
        <v>0</v>
      </c>
      <c r="O36" s="50">
        <v>3065.25</v>
      </c>
      <c r="P36" s="152">
        <f t="shared" si="2"/>
        <v>8.3391144664354214E-3</v>
      </c>
      <c r="Q36" s="50">
        <v>3065.25</v>
      </c>
    </row>
    <row r="37" spans="1:17" hidden="1" x14ac:dyDescent="0.25">
      <c r="A37" s="49" t="s">
        <v>696</v>
      </c>
      <c r="B37" s="49" t="s">
        <v>184</v>
      </c>
      <c r="C37" s="49" t="s">
        <v>185</v>
      </c>
      <c r="D37" s="49" t="s">
        <v>69</v>
      </c>
      <c r="E37" s="50">
        <v>4976400</v>
      </c>
      <c r="F37" s="50">
        <v>3876300</v>
      </c>
      <c r="G37" s="50">
        <v>3876300</v>
      </c>
      <c r="H37" s="50">
        <v>0</v>
      </c>
      <c r="I37" s="50">
        <v>357534.01</v>
      </c>
      <c r="J37" s="50">
        <v>160884</v>
      </c>
      <c r="K37" s="50">
        <v>3067138.94</v>
      </c>
      <c r="L37" s="152">
        <f t="shared" si="0"/>
        <v>0.79125427340505117</v>
      </c>
      <c r="M37" s="50">
        <v>2901843.87</v>
      </c>
      <c r="N37" s="152">
        <f t="shared" si="1"/>
        <v>0.74861178701338904</v>
      </c>
      <c r="O37" s="50">
        <v>290743.05</v>
      </c>
      <c r="P37" s="152">
        <f t="shared" si="2"/>
        <v>7.5005301447256395E-2</v>
      </c>
      <c r="Q37" s="50">
        <v>290743.05</v>
      </c>
    </row>
    <row r="38" spans="1:17" hidden="1" x14ac:dyDescent="0.25">
      <c r="A38" s="49" t="s">
        <v>696</v>
      </c>
      <c r="B38" s="49" t="s">
        <v>186</v>
      </c>
      <c r="C38" s="49" t="s">
        <v>187</v>
      </c>
      <c r="D38" s="49" t="s">
        <v>69</v>
      </c>
      <c r="E38" s="50">
        <v>43000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152" t="e">
        <f t="shared" si="0"/>
        <v>#DIV/0!</v>
      </c>
      <c r="M38" s="50">
        <v>0</v>
      </c>
      <c r="N38" s="152" t="e">
        <f t="shared" si="1"/>
        <v>#DIV/0!</v>
      </c>
      <c r="O38" s="50">
        <v>0</v>
      </c>
      <c r="P38" s="152" t="e">
        <f t="shared" si="2"/>
        <v>#DIV/0!</v>
      </c>
      <c r="Q38" s="50">
        <v>0</v>
      </c>
    </row>
    <row r="39" spans="1:17" hidden="1" x14ac:dyDescent="0.25">
      <c r="A39" s="49" t="s">
        <v>696</v>
      </c>
      <c r="B39" s="49" t="s">
        <v>192</v>
      </c>
      <c r="C39" s="49" t="s">
        <v>193</v>
      </c>
      <c r="D39" s="49" t="s">
        <v>69</v>
      </c>
      <c r="E39" s="50">
        <v>43000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152" t="e">
        <f t="shared" si="0"/>
        <v>#DIV/0!</v>
      </c>
      <c r="M39" s="50">
        <v>0</v>
      </c>
      <c r="N39" s="152" t="e">
        <f t="shared" si="1"/>
        <v>#DIV/0!</v>
      </c>
      <c r="O39" s="50">
        <v>0</v>
      </c>
      <c r="P39" s="152" t="e">
        <f t="shared" si="2"/>
        <v>#DIV/0!</v>
      </c>
      <c r="Q39" s="50">
        <v>0</v>
      </c>
    </row>
    <row r="40" spans="1:17" hidden="1" x14ac:dyDescent="0.25">
      <c r="A40" s="49" t="s">
        <v>696</v>
      </c>
      <c r="B40" s="49" t="s">
        <v>206</v>
      </c>
      <c r="C40" s="49" t="s">
        <v>207</v>
      </c>
      <c r="D40" s="49" t="s">
        <v>69</v>
      </c>
      <c r="E40" s="50">
        <v>49000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152" t="e">
        <f t="shared" si="0"/>
        <v>#DIV/0!</v>
      </c>
      <c r="M40" s="50">
        <v>0</v>
      </c>
      <c r="N40" s="152" t="e">
        <f t="shared" si="1"/>
        <v>#DIV/0!</v>
      </c>
      <c r="O40" s="50">
        <v>0</v>
      </c>
      <c r="P40" s="152" t="e">
        <f t="shared" si="2"/>
        <v>#DIV/0!</v>
      </c>
      <c r="Q40" s="50">
        <v>0</v>
      </c>
    </row>
    <row r="41" spans="1:17" hidden="1" x14ac:dyDescent="0.25">
      <c r="A41" s="49" t="s">
        <v>696</v>
      </c>
      <c r="B41" s="49" t="s">
        <v>208</v>
      </c>
      <c r="C41" s="49" t="s">
        <v>209</v>
      </c>
      <c r="D41" s="49" t="s">
        <v>69</v>
      </c>
      <c r="E41" s="50">
        <v>49000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152" t="e">
        <f t="shared" si="0"/>
        <v>#DIV/0!</v>
      </c>
      <c r="M41" s="50">
        <v>0</v>
      </c>
      <c r="N41" s="152" t="e">
        <f t="shared" si="1"/>
        <v>#DIV/0!</v>
      </c>
      <c r="O41" s="50">
        <v>0</v>
      </c>
      <c r="P41" s="152" t="e">
        <f t="shared" si="2"/>
        <v>#DIV/0!</v>
      </c>
      <c r="Q41" s="50">
        <v>0</v>
      </c>
    </row>
    <row r="42" spans="1:17" hidden="1" x14ac:dyDescent="0.25">
      <c r="A42" s="49" t="s">
        <v>696</v>
      </c>
      <c r="B42" s="49" t="s">
        <v>212</v>
      </c>
      <c r="C42" s="49" t="s">
        <v>213</v>
      </c>
      <c r="D42" s="49" t="s">
        <v>69</v>
      </c>
      <c r="E42" s="50">
        <v>4884400</v>
      </c>
      <c r="F42" s="50">
        <v>3876300</v>
      </c>
      <c r="G42" s="50">
        <v>3876300</v>
      </c>
      <c r="H42" s="50">
        <v>0</v>
      </c>
      <c r="I42" s="50">
        <v>357534.01</v>
      </c>
      <c r="J42" s="50">
        <v>160884</v>
      </c>
      <c r="K42" s="50">
        <v>3067138.94</v>
      </c>
      <c r="L42" s="152">
        <f t="shared" si="0"/>
        <v>0.79125427340505117</v>
      </c>
      <c r="M42" s="50">
        <v>2901843.87</v>
      </c>
      <c r="N42" s="152">
        <f t="shared" si="1"/>
        <v>0.74861178701338904</v>
      </c>
      <c r="O42" s="50">
        <v>290743.05</v>
      </c>
      <c r="P42" s="152">
        <f t="shared" si="2"/>
        <v>7.5005301447256395E-2</v>
      </c>
      <c r="Q42" s="50">
        <v>290743.05</v>
      </c>
    </row>
    <row r="43" spans="1:17" hidden="1" x14ac:dyDescent="0.25">
      <c r="A43" s="49" t="s">
        <v>696</v>
      </c>
      <c r="B43" s="49" t="s">
        <v>214</v>
      </c>
      <c r="C43" s="49" t="s">
        <v>215</v>
      </c>
      <c r="D43" s="49" t="s">
        <v>69</v>
      </c>
      <c r="E43" s="50">
        <v>2500000</v>
      </c>
      <c r="F43" s="50">
        <v>1950000</v>
      </c>
      <c r="G43" s="50">
        <v>1950000</v>
      </c>
      <c r="H43" s="50">
        <v>0</v>
      </c>
      <c r="I43" s="50">
        <v>357534.01</v>
      </c>
      <c r="J43" s="50">
        <v>160884</v>
      </c>
      <c r="K43" s="50">
        <v>1323786.1499999999</v>
      </c>
      <c r="L43" s="152">
        <f t="shared" si="0"/>
        <v>0.67886469230769231</v>
      </c>
      <c r="M43" s="50">
        <v>1269726.54</v>
      </c>
      <c r="N43" s="152">
        <f t="shared" si="1"/>
        <v>0.65114181538461535</v>
      </c>
      <c r="O43" s="50">
        <v>107795.84</v>
      </c>
      <c r="P43" s="152">
        <f t="shared" si="2"/>
        <v>5.5279917948717949E-2</v>
      </c>
      <c r="Q43" s="50">
        <v>107795.84</v>
      </c>
    </row>
    <row r="44" spans="1:17" hidden="1" x14ac:dyDescent="0.25">
      <c r="A44" s="49" t="s">
        <v>696</v>
      </c>
      <c r="B44" s="49" t="s">
        <v>218</v>
      </c>
      <c r="C44" s="49" t="s">
        <v>219</v>
      </c>
      <c r="D44" s="49" t="s">
        <v>69</v>
      </c>
      <c r="E44" s="50">
        <v>1800000</v>
      </c>
      <c r="F44" s="50">
        <v>1476300</v>
      </c>
      <c r="G44" s="50">
        <v>1476300</v>
      </c>
      <c r="H44" s="50">
        <v>0</v>
      </c>
      <c r="I44" s="50">
        <v>0</v>
      </c>
      <c r="J44" s="50">
        <v>0</v>
      </c>
      <c r="K44" s="50">
        <v>1430237.18</v>
      </c>
      <c r="L44" s="152">
        <f t="shared" si="0"/>
        <v>0.96879846914583756</v>
      </c>
      <c r="M44" s="50">
        <v>1430237.18</v>
      </c>
      <c r="N44" s="152">
        <f t="shared" si="1"/>
        <v>0.96879846914583756</v>
      </c>
      <c r="O44" s="50">
        <v>46062.82</v>
      </c>
      <c r="P44" s="152">
        <f t="shared" si="2"/>
        <v>3.1201530854162433E-2</v>
      </c>
      <c r="Q44" s="50">
        <v>46062.82</v>
      </c>
    </row>
    <row r="45" spans="1:17" hidden="1" x14ac:dyDescent="0.25">
      <c r="A45" s="49" t="s">
        <v>696</v>
      </c>
      <c r="B45" s="49" t="s">
        <v>222</v>
      </c>
      <c r="C45" s="49" t="s">
        <v>223</v>
      </c>
      <c r="D45" s="49" t="s">
        <v>69</v>
      </c>
      <c r="E45" s="50">
        <v>500000</v>
      </c>
      <c r="F45" s="50">
        <v>450000</v>
      </c>
      <c r="G45" s="50">
        <v>450000</v>
      </c>
      <c r="H45" s="50">
        <v>0</v>
      </c>
      <c r="I45" s="50">
        <v>0</v>
      </c>
      <c r="J45" s="50">
        <v>0</v>
      </c>
      <c r="K45" s="50">
        <v>313115.61</v>
      </c>
      <c r="L45" s="152">
        <f t="shared" si="0"/>
        <v>0.69581246666666663</v>
      </c>
      <c r="M45" s="50">
        <v>201880.15</v>
      </c>
      <c r="N45" s="152">
        <f t="shared" si="1"/>
        <v>0.44862255555555552</v>
      </c>
      <c r="O45" s="50">
        <v>136884.39000000001</v>
      </c>
      <c r="P45" s="152">
        <f t="shared" si="2"/>
        <v>0.30418753333333337</v>
      </c>
      <c r="Q45" s="50">
        <v>136884.39000000001</v>
      </c>
    </row>
    <row r="46" spans="1:17" hidden="1" x14ac:dyDescent="0.25">
      <c r="A46" s="49" t="s">
        <v>696</v>
      </c>
      <c r="B46" s="49" t="s">
        <v>226</v>
      </c>
      <c r="C46" s="49" t="s">
        <v>227</v>
      </c>
      <c r="D46" s="49" t="s">
        <v>69</v>
      </c>
      <c r="E46" s="50">
        <v>37400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152" t="e">
        <f t="shared" si="0"/>
        <v>#DIV/0!</v>
      </c>
      <c r="M46" s="50">
        <v>0</v>
      </c>
      <c r="N46" s="152" t="e">
        <f t="shared" si="1"/>
        <v>#DIV/0!</v>
      </c>
      <c r="O46" s="50">
        <v>0</v>
      </c>
      <c r="P46" s="152" t="e">
        <f t="shared" si="2"/>
        <v>#DIV/0!</v>
      </c>
      <c r="Q46" s="50">
        <v>0</v>
      </c>
    </row>
    <row r="47" spans="1:17" hidden="1" x14ac:dyDescent="0.25">
      <c r="A47" s="49" t="s">
        <v>696</v>
      </c>
      <c r="B47" s="49" t="s">
        <v>228</v>
      </c>
      <c r="C47" s="49" t="s">
        <v>229</v>
      </c>
      <c r="D47" s="49" t="s">
        <v>69</v>
      </c>
      <c r="E47" s="50">
        <v>47000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152" t="e">
        <f t="shared" si="0"/>
        <v>#DIV/0!</v>
      </c>
      <c r="M47" s="50">
        <v>0</v>
      </c>
      <c r="N47" s="152" t="e">
        <f t="shared" si="1"/>
        <v>#DIV/0!</v>
      </c>
      <c r="O47" s="50">
        <v>0</v>
      </c>
      <c r="P47" s="152" t="e">
        <f t="shared" si="2"/>
        <v>#DIV/0!</v>
      </c>
      <c r="Q47" s="50">
        <v>0</v>
      </c>
    </row>
    <row r="48" spans="1:17" hidden="1" x14ac:dyDescent="0.25">
      <c r="A48" s="49" t="s">
        <v>696</v>
      </c>
      <c r="B48" s="49" t="s">
        <v>248</v>
      </c>
      <c r="C48" s="49" t="s">
        <v>249</v>
      </c>
      <c r="D48" s="49" t="s">
        <v>69</v>
      </c>
      <c r="E48" s="50">
        <v>314465910</v>
      </c>
      <c r="F48" s="50">
        <v>320640887</v>
      </c>
      <c r="G48" s="50">
        <v>320298642</v>
      </c>
      <c r="H48" s="50">
        <v>0</v>
      </c>
      <c r="I48" s="50">
        <v>62869596.390000001</v>
      </c>
      <c r="J48" s="50">
        <v>0</v>
      </c>
      <c r="K48" s="50">
        <v>236344955.91</v>
      </c>
      <c r="L48" s="152">
        <f t="shared" si="0"/>
        <v>0.73710174058369538</v>
      </c>
      <c r="M48" s="50">
        <v>236344955.91</v>
      </c>
      <c r="N48" s="152">
        <f t="shared" si="1"/>
        <v>0.73710174058369538</v>
      </c>
      <c r="O48" s="50">
        <v>21426334.699999999</v>
      </c>
      <c r="P48" s="152">
        <f t="shared" si="2"/>
        <v>6.6823463783644038E-2</v>
      </c>
      <c r="Q48" s="50">
        <v>21084089.699999999</v>
      </c>
    </row>
    <row r="49" spans="1:17" hidden="1" x14ac:dyDescent="0.25">
      <c r="A49" s="49" t="s">
        <v>696</v>
      </c>
      <c r="B49" s="49" t="s">
        <v>250</v>
      </c>
      <c r="C49" s="49" t="s">
        <v>251</v>
      </c>
      <c r="D49" s="49" t="s">
        <v>69</v>
      </c>
      <c r="E49" s="50">
        <v>281465910</v>
      </c>
      <c r="F49" s="50">
        <v>280640887</v>
      </c>
      <c r="G49" s="50">
        <v>280298642</v>
      </c>
      <c r="H49" s="50">
        <v>0</v>
      </c>
      <c r="I49" s="50">
        <v>62869596</v>
      </c>
      <c r="J49" s="50">
        <v>0</v>
      </c>
      <c r="K49" s="50">
        <v>217403735</v>
      </c>
      <c r="L49" s="152">
        <f t="shared" si="0"/>
        <v>0.77466878516529203</v>
      </c>
      <c r="M49" s="50">
        <v>217403735</v>
      </c>
      <c r="N49" s="152">
        <f t="shared" si="1"/>
        <v>0.77466878516529203</v>
      </c>
      <c r="O49" s="50">
        <v>367556</v>
      </c>
      <c r="P49" s="152">
        <f t="shared" si="2"/>
        <v>1.3097022459168609E-3</v>
      </c>
      <c r="Q49" s="50">
        <v>25311</v>
      </c>
    </row>
    <row r="50" spans="1:17" hidden="1" x14ac:dyDescent="0.25">
      <c r="A50" s="49" t="s">
        <v>696</v>
      </c>
      <c r="B50" s="49" t="s">
        <v>619</v>
      </c>
      <c r="C50" s="49" t="s">
        <v>701</v>
      </c>
      <c r="D50" s="49" t="s">
        <v>69</v>
      </c>
      <c r="E50" s="50">
        <v>257500000</v>
      </c>
      <c r="F50" s="50">
        <v>257500000</v>
      </c>
      <c r="G50" s="50">
        <v>257500000</v>
      </c>
      <c r="H50" s="50">
        <v>0</v>
      </c>
      <c r="I50" s="50">
        <v>55178572</v>
      </c>
      <c r="J50" s="50">
        <v>0</v>
      </c>
      <c r="K50" s="50">
        <v>202321427</v>
      </c>
      <c r="L50" s="152">
        <f t="shared" si="0"/>
        <v>0.78571427961165052</v>
      </c>
      <c r="M50" s="50">
        <v>202321427</v>
      </c>
      <c r="N50" s="152">
        <f t="shared" si="1"/>
        <v>0.78571427961165052</v>
      </c>
      <c r="O50" s="50">
        <v>1</v>
      </c>
      <c r="P50" s="152">
        <f t="shared" si="2"/>
        <v>3.8834951456310684E-9</v>
      </c>
      <c r="Q50" s="50">
        <v>1</v>
      </c>
    </row>
    <row r="51" spans="1:17" hidden="1" x14ac:dyDescent="0.25">
      <c r="A51" s="49" t="s">
        <v>696</v>
      </c>
      <c r="B51" s="49" t="s">
        <v>625</v>
      </c>
      <c r="C51" s="49" t="s">
        <v>702</v>
      </c>
      <c r="D51" s="49" t="s">
        <v>69</v>
      </c>
      <c r="E51" s="50">
        <v>20356634</v>
      </c>
      <c r="F51" s="50">
        <v>19655861</v>
      </c>
      <c r="G51" s="50">
        <v>19365163</v>
      </c>
      <c r="H51" s="50">
        <v>0</v>
      </c>
      <c r="I51" s="50">
        <v>6578587</v>
      </c>
      <c r="J51" s="50">
        <v>0</v>
      </c>
      <c r="K51" s="50">
        <v>12786574</v>
      </c>
      <c r="L51" s="152">
        <f t="shared" si="0"/>
        <v>0.65052220302127695</v>
      </c>
      <c r="M51" s="50">
        <v>12786574</v>
      </c>
      <c r="N51" s="152">
        <f t="shared" si="1"/>
        <v>0.65052220302127695</v>
      </c>
      <c r="O51" s="50">
        <v>290700</v>
      </c>
      <c r="P51" s="152">
        <f t="shared" si="2"/>
        <v>1.4789481875151641E-2</v>
      </c>
      <c r="Q51" s="50">
        <v>2</v>
      </c>
    </row>
    <row r="52" spans="1:17" hidden="1" x14ac:dyDescent="0.25">
      <c r="A52" s="49" t="s">
        <v>696</v>
      </c>
      <c r="B52" s="49" t="s">
        <v>640</v>
      </c>
      <c r="C52" s="49" t="s">
        <v>703</v>
      </c>
      <c r="D52" s="49" t="s">
        <v>69</v>
      </c>
      <c r="E52" s="50">
        <v>3609276</v>
      </c>
      <c r="F52" s="50">
        <v>3485026</v>
      </c>
      <c r="G52" s="50">
        <v>3433479</v>
      </c>
      <c r="H52" s="50">
        <v>0</v>
      </c>
      <c r="I52" s="50">
        <v>1112437</v>
      </c>
      <c r="J52" s="50">
        <v>0</v>
      </c>
      <c r="K52" s="50">
        <v>2295734</v>
      </c>
      <c r="L52" s="152">
        <f t="shared" si="0"/>
        <v>0.65874228771894383</v>
      </c>
      <c r="M52" s="50">
        <v>2295734</v>
      </c>
      <c r="N52" s="152">
        <f t="shared" si="1"/>
        <v>0.65874228771894383</v>
      </c>
      <c r="O52" s="50">
        <v>76855</v>
      </c>
      <c r="P52" s="152">
        <f t="shared" si="2"/>
        <v>2.2052920121686324E-2</v>
      </c>
      <c r="Q52" s="50">
        <v>25308</v>
      </c>
    </row>
    <row r="53" spans="1:17" hidden="1" x14ac:dyDescent="0.25">
      <c r="A53" s="49" t="s">
        <v>696</v>
      </c>
      <c r="B53" s="49" t="s">
        <v>260</v>
      </c>
      <c r="C53" s="49" t="s">
        <v>261</v>
      </c>
      <c r="D53" s="49" t="s">
        <v>69</v>
      </c>
      <c r="E53" s="50">
        <v>33000000</v>
      </c>
      <c r="F53" s="50">
        <v>40000000</v>
      </c>
      <c r="G53" s="50">
        <v>40000000</v>
      </c>
      <c r="H53" s="50">
        <v>0</v>
      </c>
      <c r="I53" s="50">
        <v>0.39</v>
      </c>
      <c r="J53" s="50">
        <v>0</v>
      </c>
      <c r="K53" s="50">
        <v>18941220.91</v>
      </c>
      <c r="L53" s="152">
        <f t="shared" si="0"/>
        <v>0.47353052275000002</v>
      </c>
      <c r="M53" s="50">
        <v>18941220.91</v>
      </c>
      <c r="N53" s="152">
        <f t="shared" si="1"/>
        <v>0.47353052275000002</v>
      </c>
      <c r="O53" s="50">
        <v>21058778.699999999</v>
      </c>
      <c r="P53" s="152">
        <f t="shared" si="2"/>
        <v>0.52646946750000001</v>
      </c>
      <c r="Q53" s="50">
        <v>21058778.699999999</v>
      </c>
    </row>
    <row r="54" spans="1:17" hidden="1" x14ac:dyDescent="0.25">
      <c r="A54" s="49" t="s">
        <v>696</v>
      </c>
      <c r="B54" s="49" t="s">
        <v>262</v>
      </c>
      <c r="C54" s="49" t="s">
        <v>263</v>
      </c>
      <c r="D54" s="49" t="s">
        <v>69</v>
      </c>
      <c r="E54" s="50">
        <v>23000000</v>
      </c>
      <c r="F54" s="50">
        <v>23000000</v>
      </c>
      <c r="G54" s="50">
        <v>23000000</v>
      </c>
      <c r="H54" s="50">
        <v>0</v>
      </c>
      <c r="I54" s="50">
        <v>0.39</v>
      </c>
      <c r="J54" s="50">
        <v>0</v>
      </c>
      <c r="K54" s="50">
        <v>5194620.41</v>
      </c>
      <c r="L54" s="152">
        <f t="shared" si="0"/>
        <v>0.22585306130434785</v>
      </c>
      <c r="M54" s="50">
        <v>5194620.41</v>
      </c>
      <c r="N54" s="152">
        <f t="shared" si="1"/>
        <v>0.22585306130434785</v>
      </c>
      <c r="O54" s="50">
        <v>17805379.199999999</v>
      </c>
      <c r="P54" s="152">
        <f t="shared" si="2"/>
        <v>0.77414692173913036</v>
      </c>
      <c r="Q54" s="50">
        <v>17805379.199999999</v>
      </c>
    </row>
    <row r="55" spans="1:17" hidden="1" x14ac:dyDescent="0.25">
      <c r="A55" s="49" t="s">
        <v>696</v>
      </c>
      <c r="B55" s="49" t="s">
        <v>264</v>
      </c>
      <c r="C55" s="49" t="s">
        <v>265</v>
      </c>
      <c r="D55" s="49" t="s">
        <v>69</v>
      </c>
      <c r="E55" s="50">
        <v>10000000</v>
      </c>
      <c r="F55" s="50">
        <v>17000000</v>
      </c>
      <c r="G55" s="50">
        <v>17000000</v>
      </c>
      <c r="H55" s="50">
        <v>0</v>
      </c>
      <c r="I55" s="50">
        <v>0</v>
      </c>
      <c r="J55" s="50">
        <v>0</v>
      </c>
      <c r="K55" s="50">
        <v>13746600.5</v>
      </c>
      <c r="L55" s="152">
        <f t="shared" si="0"/>
        <v>0.80862355882352943</v>
      </c>
      <c r="M55" s="50">
        <v>13746600.5</v>
      </c>
      <c r="N55" s="152">
        <f t="shared" si="1"/>
        <v>0.80862355882352943</v>
      </c>
      <c r="O55" s="50">
        <v>3253399.5</v>
      </c>
      <c r="P55" s="152">
        <f t="shared" si="2"/>
        <v>0.1913764411764706</v>
      </c>
      <c r="Q55" s="50">
        <v>3253399.5</v>
      </c>
    </row>
    <row r="56" spans="1:17" hidden="1" x14ac:dyDescent="0.25">
      <c r="A56" s="49" t="s">
        <v>696</v>
      </c>
      <c r="B56" s="49" t="s">
        <v>230</v>
      </c>
      <c r="C56" s="49" t="s">
        <v>231</v>
      </c>
      <c r="D56" s="49" t="s">
        <v>85</v>
      </c>
      <c r="E56" s="50">
        <v>4220000</v>
      </c>
      <c r="F56" s="50">
        <v>3050000</v>
      </c>
      <c r="G56" s="50">
        <v>3050000</v>
      </c>
      <c r="H56" s="50">
        <v>0</v>
      </c>
      <c r="I56" s="50">
        <v>0.02</v>
      </c>
      <c r="J56" s="50">
        <v>0</v>
      </c>
      <c r="K56" s="50">
        <v>2343992.0299999998</v>
      </c>
      <c r="L56" s="152">
        <f t="shared" si="0"/>
        <v>0.76852197704918024</v>
      </c>
      <c r="M56" s="50">
        <v>2343992.0299999998</v>
      </c>
      <c r="N56" s="152">
        <f t="shared" si="1"/>
        <v>0.76852197704918024</v>
      </c>
      <c r="O56" s="50">
        <v>706007.95</v>
      </c>
      <c r="P56" s="152">
        <f t="shared" si="2"/>
        <v>0.23147801639344262</v>
      </c>
      <c r="Q56" s="50">
        <v>706007.95</v>
      </c>
    </row>
    <row r="57" spans="1:17" hidden="1" x14ac:dyDescent="0.25">
      <c r="A57" s="49" t="s">
        <v>696</v>
      </c>
      <c r="B57" s="49" t="s">
        <v>232</v>
      </c>
      <c r="C57" s="49" t="s">
        <v>233</v>
      </c>
      <c r="D57" s="49" t="s">
        <v>85</v>
      </c>
      <c r="E57" s="50">
        <v>3320000</v>
      </c>
      <c r="F57" s="50">
        <v>3050000</v>
      </c>
      <c r="G57" s="50">
        <v>3050000</v>
      </c>
      <c r="H57" s="50">
        <v>0</v>
      </c>
      <c r="I57" s="50">
        <v>0.02</v>
      </c>
      <c r="J57" s="50">
        <v>0</v>
      </c>
      <c r="K57" s="50">
        <v>2343992.0299999998</v>
      </c>
      <c r="L57" s="152">
        <f t="shared" si="0"/>
        <v>0.76852197704918024</v>
      </c>
      <c r="M57" s="50">
        <v>2343992.0299999998</v>
      </c>
      <c r="N57" s="152">
        <f t="shared" si="1"/>
        <v>0.76852197704918024</v>
      </c>
      <c r="O57" s="50">
        <v>706007.95</v>
      </c>
      <c r="P57" s="152">
        <f t="shared" si="2"/>
        <v>0.23147801639344262</v>
      </c>
      <c r="Q57" s="50">
        <v>706007.95</v>
      </c>
    </row>
    <row r="58" spans="1:17" hidden="1" x14ac:dyDescent="0.25">
      <c r="A58" s="49" t="s">
        <v>696</v>
      </c>
      <c r="B58" s="49" t="s">
        <v>236</v>
      </c>
      <c r="C58" s="49" t="s">
        <v>237</v>
      </c>
      <c r="D58" s="49" t="s">
        <v>85</v>
      </c>
      <c r="E58" s="50">
        <v>120000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152" t="e">
        <f t="shared" si="0"/>
        <v>#DIV/0!</v>
      </c>
      <c r="M58" s="50">
        <v>0</v>
      </c>
      <c r="N58" s="152" t="e">
        <f t="shared" si="1"/>
        <v>#DIV/0!</v>
      </c>
      <c r="O58" s="50">
        <v>0</v>
      </c>
      <c r="P58" s="152" t="e">
        <f t="shared" si="2"/>
        <v>#DIV/0!</v>
      </c>
      <c r="Q58" s="50">
        <v>0</v>
      </c>
    </row>
    <row r="59" spans="1:17" hidden="1" x14ac:dyDescent="0.25">
      <c r="A59" s="49" t="s">
        <v>696</v>
      </c>
      <c r="B59" s="49" t="s">
        <v>238</v>
      </c>
      <c r="C59" s="49" t="s">
        <v>239</v>
      </c>
      <c r="D59" s="49" t="s">
        <v>85</v>
      </c>
      <c r="E59" s="50">
        <v>3200000</v>
      </c>
      <c r="F59" s="50">
        <v>3050000</v>
      </c>
      <c r="G59" s="50">
        <v>3050000</v>
      </c>
      <c r="H59" s="50">
        <v>0</v>
      </c>
      <c r="I59" s="50">
        <v>0.02</v>
      </c>
      <c r="J59" s="50">
        <v>0</v>
      </c>
      <c r="K59" s="50">
        <v>2343992.0299999998</v>
      </c>
      <c r="L59" s="152">
        <f t="shared" si="0"/>
        <v>0.76852197704918024</v>
      </c>
      <c r="M59" s="50">
        <v>2343992.0299999998</v>
      </c>
      <c r="N59" s="152">
        <f t="shared" si="1"/>
        <v>0.76852197704918024</v>
      </c>
      <c r="O59" s="50">
        <v>706007.95</v>
      </c>
      <c r="P59" s="152">
        <f t="shared" si="2"/>
        <v>0.23147801639344262</v>
      </c>
      <c r="Q59" s="50">
        <v>706007.95</v>
      </c>
    </row>
    <row r="60" spans="1:17" hidden="1" x14ac:dyDescent="0.25">
      <c r="A60" s="49" t="s">
        <v>696</v>
      </c>
      <c r="B60" s="49" t="s">
        <v>244</v>
      </c>
      <c r="C60" s="49" t="s">
        <v>245</v>
      </c>
      <c r="D60" s="49" t="s">
        <v>85</v>
      </c>
      <c r="E60" s="50">
        <v>900000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152" t="e">
        <f t="shared" si="0"/>
        <v>#DIV/0!</v>
      </c>
      <c r="M60" s="50">
        <v>0</v>
      </c>
      <c r="N60" s="152" t="e">
        <f t="shared" si="1"/>
        <v>#DIV/0!</v>
      </c>
      <c r="O60" s="50">
        <v>0</v>
      </c>
      <c r="P60" s="152" t="e">
        <f t="shared" si="2"/>
        <v>#DIV/0!</v>
      </c>
      <c r="Q60" s="50">
        <v>0</v>
      </c>
    </row>
    <row r="61" spans="1:17" hidden="1" x14ac:dyDescent="0.25">
      <c r="A61" s="49" t="s">
        <v>696</v>
      </c>
      <c r="B61" s="49" t="s">
        <v>246</v>
      </c>
      <c r="C61" s="49" t="s">
        <v>247</v>
      </c>
      <c r="D61" s="49" t="s">
        <v>85</v>
      </c>
      <c r="E61" s="50">
        <v>900000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152" t="e">
        <f t="shared" si="0"/>
        <v>#DIV/0!</v>
      </c>
      <c r="M61" s="50">
        <v>0</v>
      </c>
      <c r="N61" s="152" t="e">
        <f t="shared" si="1"/>
        <v>#DIV/0!</v>
      </c>
      <c r="O61" s="50">
        <v>0</v>
      </c>
      <c r="P61" s="152" t="e">
        <f t="shared" si="2"/>
        <v>#DIV/0!</v>
      </c>
      <c r="Q61" s="50">
        <v>0</v>
      </c>
    </row>
    <row r="62" spans="1:17" x14ac:dyDescent="0.25">
      <c r="A62" s="49">
        <v>214787</v>
      </c>
      <c r="B62" s="49"/>
      <c r="C62" s="49"/>
      <c r="D62" s="49" t="s">
        <v>69</v>
      </c>
      <c r="E62" s="50">
        <v>3672713874</v>
      </c>
      <c r="F62" s="50">
        <v>3477014422</v>
      </c>
      <c r="G62" s="50">
        <v>3462309456</v>
      </c>
      <c r="H62" s="50">
        <v>0</v>
      </c>
      <c r="I62" s="50">
        <v>301758722.49000001</v>
      </c>
      <c r="J62" s="50">
        <v>1191232.5</v>
      </c>
      <c r="K62" s="50">
        <v>2479855045.7399998</v>
      </c>
      <c r="L62" s="152">
        <f t="shared" si="0"/>
        <v>0.71321390847541322</v>
      </c>
      <c r="M62" s="50">
        <v>2454083098.52</v>
      </c>
      <c r="N62" s="152">
        <f t="shared" si="1"/>
        <v>0.70580181749962267</v>
      </c>
      <c r="O62" s="50">
        <v>694209421.26999998</v>
      </c>
      <c r="P62" s="152">
        <f t="shared" si="2"/>
        <v>0.19965675634750071</v>
      </c>
      <c r="Q62" s="50">
        <v>679504455.26999998</v>
      </c>
    </row>
    <row r="63" spans="1:17" hidden="1" x14ac:dyDescent="0.25">
      <c r="A63" s="49" t="s">
        <v>704</v>
      </c>
      <c r="B63" s="49" t="s">
        <v>71</v>
      </c>
      <c r="C63" s="49" t="s">
        <v>72</v>
      </c>
      <c r="D63" s="49" t="s">
        <v>69</v>
      </c>
      <c r="E63" s="50">
        <v>2848782596</v>
      </c>
      <c r="F63" s="50">
        <v>2674350536</v>
      </c>
      <c r="G63" s="50">
        <v>2659767424</v>
      </c>
      <c r="H63" s="50">
        <v>0</v>
      </c>
      <c r="I63" s="50">
        <v>97925894</v>
      </c>
      <c r="J63" s="50">
        <v>0</v>
      </c>
      <c r="K63" s="50">
        <v>1933498952.78</v>
      </c>
      <c r="L63" s="152">
        <f t="shared" si="0"/>
        <v>0.72297887907840064</v>
      </c>
      <c r="M63" s="50">
        <v>1933498952.78</v>
      </c>
      <c r="N63" s="152">
        <f t="shared" si="1"/>
        <v>0.72297887907840064</v>
      </c>
      <c r="O63" s="50">
        <v>642925689.22000003</v>
      </c>
      <c r="P63" s="152">
        <f t="shared" si="2"/>
        <v>0.24040441990137079</v>
      </c>
      <c r="Q63" s="50">
        <v>628342577.22000003</v>
      </c>
    </row>
    <row r="64" spans="1:17" hidden="1" x14ac:dyDescent="0.25">
      <c r="A64" s="49" t="s">
        <v>704</v>
      </c>
      <c r="B64" s="49" t="s">
        <v>73</v>
      </c>
      <c r="C64" s="49" t="s">
        <v>74</v>
      </c>
      <c r="D64" s="49" t="s">
        <v>69</v>
      </c>
      <c r="E64" s="50">
        <v>1118901696</v>
      </c>
      <c r="F64" s="50">
        <v>1090175970</v>
      </c>
      <c r="G64" s="50">
        <v>1085616270</v>
      </c>
      <c r="H64" s="50">
        <v>0</v>
      </c>
      <c r="I64" s="50">
        <v>0</v>
      </c>
      <c r="J64" s="50">
        <v>0</v>
      </c>
      <c r="K64" s="50">
        <v>853606396.07000005</v>
      </c>
      <c r="L64" s="152">
        <f t="shared" si="0"/>
        <v>0.78299872640744417</v>
      </c>
      <c r="M64" s="50">
        <v>853606396.07000005</v>
      </c>
      <c r="N64" s="152">
        <f t="shared" si="1"/>
        <v>0.78299872640744417</v>
      </c>
      <c r="O64" s="50">
        <v>236569573.93000001</v>
      </c>
      <c r="P64" s="152">
        <f t="shared" si="2"/>
        <v>0.21700127359255589</v>
      </c>
      <c r="Q64" s="50">
        <v>232009873.93000001</v>
      </c>
    </row>
    <row r="65" spans="1:17" hidden="1" x14ac:dyDescent="0.25">
      <c r="A65" s="49" t="s">
        <v>704</v>
      </c>
      <c r="B65" s="49" t="s">
        <v>75</v>
      </c>
      <c r="C65" s="49" t="s">
        <v>76</v>
      </c>
      <c r="D65" s="49" t="s">
        <v>69</v>
      </c>
      <c r="E65" s="50">
        <v>1118901696</v>
      </c>
      <c r="F65" s="50">
        <v>1090175970</v>
      </c>
      <c r="G65" s="50">
        <v>1085616270</v>
      </c>
      <c r="H65" s="50">
        <v>0</v>
      </c>
      <c r="I65" s="50">
        <v>0</v>
      </c>
      <c r="J65" s="50">
        <v>0</v>
      </c>
      <c r="K65" s="50">
        <v>853606396.07000005</v>
      </c>
      <c r="L65" s="152">
        <f t="shared" si="0"/>
        <v>0.78299872640744417</v>
      </c>
      <c r="M65" s="50">
        <v>853606396.07000005</v>
      </c>
      <c r="N65" s="152">
        <f t="shared" si="1"/>
        <v>0.78299872640744417</v>
      </c>
      <c r="O65" s="50">
        <v>236569573.93000001</v>
      </c>
      <c r="P65" s="152">
        <f t="shared" si="2"/>
        <v>0.21700127359255589</v>
      </c>
      <c r="Q65" s="50">
        <v>232009873.93000001</v>
      </c>
    </row>
    <row r="66" spans="1:17" hidden="1" x14ac:dyDescent="0.25">
      <c r="A66" s="49" t="s">
        <v>704</v>
      </c>
      <c r="B66" s="49" t="s">
        <v>77</v>
      </c>
      <c r="C66" s="49" t="s">
        <v>78</v>
      </c>
      <c r="D66" s="49" t="s">
        <v>69</v>
      </c>
      <c r="E66" s="50">
        <v>1295309720</v>
      </c>
      <c r="F66" s="50">
        <v>1160748440</v>
      </c>
      <c r="G66" s="50">
        <v>1157356394</v>
      </c>
      <c r="H66" s="50">
        <v>0</v>
      </c>
      <c r="I66" s="50">
        <v>0</v>
      </c>
      <c r="J66" s="50">
        <v>0</v>
      </c>
      <c r="K66" s="50">
        <v>761023690.71000004</v>
      </c>
      <c r="L66" s="152">
        <f t="shared" si="0"/>
        <v>0.65563188756902402</v>
      </c>
      <c r="M66" s="50">
        <v>761023690.71000004</v>
      </c>
      <c r="N66" s="152">
        <f t="shared" si="1"/>
        <v>0.65563188756902402</v>
      </c>
      <c r="O66" s="50">
        <v>399724749.29000002</v>
      </c>
      <c r="P66" s="152">
        <f t="shared" si="2"/>
        <v>0.34436811243097604</v>
      </c>
      <c r="Q66" s="50">
        <v>396332703.29000002</v>
      </c>
    </row>
    <row r="67" spans="1:17" hidden="1" x14ac:dyDescent="0.25">
      <c r="A67" s="49" t="s">
        <v>704</v>
      </c>
      <c r="B67" s="49" t="s">
        <v>79</v>
      </c>
      <c r="C67" s="49" t="s">
        <v>80</v>
      </c>
      <c r="D67" s="49" t="s">
        <v>69</v>
      </c>
      <c r="E67" s="50">
        <v>329734600</v>
      </c>
      <c r="F67" s="50">
        <v>328933600</v>
      </c>
      <c r="G67" s="50">
        <v>328933600</v>
      </c>
      <c r="H67" s="50">
        <v>0</v>
      </c>
      <c r="I67" s="50">
        <v>0</v>
      </c>
      <c r="J67" s="50">
        <v>0</v>
      </c>
      <c r="K67" s="50">
        <v>259038997.87</v>
      </c>
      <c r="L67" s="152">
        <f t="shared" si="0"/>
        <v>0.78751151560679722</v>
      </c>
      <c r="M67" s="50">
        <v>259038997.87</v>
      </c>
      <c r="N67" s="152">
        <f t="shared" si="1"/>
        <v>0.78751151560679722</v>
      </c>
      <c r="O67" s="50">
        <v>69894602.129999995</v>
      </c>
      <c r="P67" s="152">
        <f t="shared" si="2"/>
        <v>0.21248848439320275</v>
      </c>
      <c r="Q67" s="50">
        <v>69894602.129999995</v>
      </c>
    </row>
    <row r="68" spans="1:17" hidden="1" x14ac:dyDescent="0.25">
      <c r="A68" s="49" t="s">
        <v>704</v>
      </c>
      <c r="B68" s="49" t="s">
        <v>81</v>
      </c>
      <c r="C68" s="49" t="s">
        <v>82</v>
      </c>
      <c r="D68" s="49" t="s">
        <v>69</v>
      </c>
      <c r="E68" s="50">
        <v>442514922</v>
      </c>
      <c r="F68" s="50">
        <v>431161620</v>
      </c>
      <c r="G68" s="50">
        <v>428653782</v>
      </c>
      <c r="H68" s="50">
        <v>0</v>
      </c>
      <c r="I68" s="50">
        <v>0</v>
      </c>
      <c r="J68" s="50">
        <v>0</v>
      </c>
      <c r="K68" s="50">
        <v>332839110.56</v>
      </c>
      <c r="L68" s="152">
        <f t="shared" si="0"/>
        <v>0.77195904069569088</v>
      </c>
      <c r="M68" s="50">
        <v>332839110.56</v>
      </c>
      <c r="N68" s="152">
        <f t="shared" si="1"/>
        <v>0.77195904069569088</v>
      </c>
      <c r="O68" s="50">
        <v>98322509.439999998</v>
      </c>
      <c r="P68" s="152">
        <f t="shared" si="2"/>
        <v>0.22804095930430912</v>
      </c>
      <c r="Q68" s="50">
        <v>95814671.439999998</v>
      </c>
    </row>
    <row r="69" spans="1:17" hidden="1" x14ac:dyDescent="0.25">
      <c r="A69" s="49" t="s">
        <v>704</v>
      </c>
      <c r="B69" s="49" t="s">
        <v>86</v>
      </c>
      <c r="C69" s="49" t="s">
        <v>87</v>
      </c>
      <c r="D69" s="49" t="s">
        <v>69</v>
      </c>
      <c r="E69" s="50">
        <v>170646400</v>
      </c>
      <c r="F69" s="50">
        <v>55646400</v>
      </c>
      <c r="G69" s="50">
        <v>55646400</v>
      </c>
      <c r="H69" s="50">
        <v>0</v>
      </c>
      <c r="I69" s="50">
        <v>0</v>
      </c>
      <c r="J69" s="50">
        <v>0</v>
      </c>
      <c r="K69" s="50">
        <v>40448779.990000002</v>
      </c>
      <c r="L69" s="152">
        <f t="shared" si="0"/>
        <v>0.72688943022369823</v>
      </c>
      <c r="M69" s="50">
        <v>40448779.990000002</v>
      </c>
      <c r="N69" s="152">
        <f t="shared" si="1"/>
        <v>0.72688943022369823</v>
      </c>
      <c r="O69" s="50">
        <v>15197620.01</v>
      </c>
      <c r="P69" s="152">
        <f t="shared" si="2"/>
        <v>0.27311056977630177</v>
      </c>
      <c r="Q69" s="50">
        <v>15197620.01</v>
      </c>
    </row>
    <row r="70" spans="1:17" hidden="1" x14ac:dyDescent="0.25">
      <c r="A70" s="49" t="s">
        <v>704</v>
      </c>
      <c r="B70" s="49" t="s">
        <v>88</v>
      </c>
      <c r="C70" s="49" t="s">
        <v>89</v>
      </c>
      <c r="D70" s="49" t="s">
        <v>69</v>
      </c>
      <c r="E70" s="50">
        <v>166773800</v>
      </c>
      <c r="F70" s="50">
        <v>164127760</v>
      </c>
      <c r="G70" s="50">
        <v>163855000</v>
      </c>
      <c r="H70" s="50">
        <v>0</v>
      </c>
      <c r="I70" s="50">
        <v>0</v>
      </c>
      <c r="J70" s="50">
        <v>0</v>
      </c>
      <c r="K70" s="50">
        <v>128696802.29000001</v>
      </c>
      <c r="L70" s="152">
        <f t="shared" si="0"/>
        <v>0.78412574624792297</v>
      </c>
      <c r="M70" s="50">
        <v>128696802.29000001</v>
      </c>
      <c r="N70" s="152">
        <f t="shared" si="1"/>
        <v>0.78412574624792297</v>
      </c>
      <c r="O70" s="50">
        <v>35430957.710000001</v>
      </c>
      <c r="P70" s="152">
        <f t="shared" si="2"/>
        <v>0.21587425375207706</v>
      </c>
      <c r="Q70" s="50">
        <v>35158197.710000001</v>
      </c>
    </row>
    <row r="71" spans="1:17" hidden="1" x14ac:dyDescent="0.25">
      <c r="A71" s="49" t="s">
        <v>704</v>
      </c>
      <c r="B71" s="49" t="s">
        <v>83</v>
      </c>
      <c r="C71" s="49" t="s">
        <v>84</v>
      </c>
      <c r="D71" s="49" t="s">
        <v>85</v>
      </c>
      <c r="E71" s="50">
        <v>185639998</v>
      </c>
      <c r="F71" s="50">
        <v>180879060</v>
      </c>
      <c r="G71" s="50">
        <v>180267612</v>
      </c>
      <c r="H71" s="50">
        <v>0</v>
      </c>
      <c r="I71" s="50">
        <v>0</v>
      </c>
      <c r="J71" s="50">
        <v>0</v>
      </c>
      <c r="K71" s="50">
        <v>0</v>
      </c>
      <c r="L71" s="152">
        <f t="shared" si="0"/>
        <v>0</v>
      </c>
      <c r="M71" s="50">
        <v>0</v>
      </c>
      <c r="N71" s="152">
        <f t="shared" si="1"/>
        <v>0</v>
      </c>
      <c r="O71" s="50">
        <v>180879060</v>
      </c>
      <c r="P71" s="152">
        <f t="shared" si="2"/>
        <v>1</v>
      </c>
      <c r="Q71" s="50">
        <v>180267612</v>
      </c>
    </row>
    <row r="72" spans="1:17" hidden="1" x14ac:dyDescent="0.25">
      <c r="A72" s="49" t="s">
        <v>704</v>
      </c>
      <c r="B72" s="49" t="s">
        <v>90</v>
      </c>
      <c r="C72" s="49" t="s">
        <v>91</v>
      </c>
      <c r="D72" s="49" t="s">
        <v>69</v>
      </c>
      <c r="E72" s="50">
        <v>217285640</v>
      </c>
      <c r="F72" s="50">
        <v>211713113</v>
      </c>
      <c r="G72" s="50">
        <v>210997433</v>
      </c>
      <c r="H72" s="50">
        <v>0</v>
      </c>
      <c r="I72" s="50">
        <v>51375229</v>
      </c>
      <c r="J72" s="50">
        <v>0</v>
      </c>
      <c r="K72" s="50">
        <v>159622204</v>
      </c>
      <c r="L72" s="152">
        <f t="shared" si="0"/>
        <v>0.75395520729979537</v>
      </c>
      <c r="M72" s="50">
        <v>159622204</v>
      </c>
      <c r="N72" s="152">
        <f t="shared" si="1"/>
        <v>0.75395520729979537</v>
      </c>
      <c r="O72" s="50">
        <v>715680</v>
      </c>
      <c r="P72" s="152">
        <f t="shared" si="2"/>
        <v>3.3804235829265803E-3</v>
      </c>
      <c r="Q72" s="50">
        <v>0</v>
      </c>
    </row>
    <row r="73" spans="1:17" hidden="1" x14ac:dyDescent="0.25">
      <c r="A73" s="49" t="s">
        <v>704</v>
      </c>
      <c r="B73" s="49" t="s">
        <v>418</v>
      </c>
      <c r="C73" s="49" t="s">
        <v>697</v>
      </c>
      <c r="D73" s="49" t="s">
        <v>69</v>
      </c>
      <c r="E73" s="50">
        <v>206142800</v>
      </c>
      <c r="F73" s="50">
        <v>200856044</v>
      </c>
      <c r="G73" s="50">
        <v>200177066</v>
      </c>
      <c r="H73" s="50">
        <v>0</v>
      </c>
      <c r="I73" s="50">
        <v>48740597</v>
      </c>
      <c r="J73" s="50">
        <v>0</v>
      </c>
      <c r="K73" s="50">
        <v>151436469</v>
      </c>
      <c r="L73" s="152">
        <f t="shared" si="0"/>
        <v>0.75395525065703273</v>
      </c>
      <c r="M73" s="50">
        <v>151436469</v>
      </c>
      <c r="N73" s="152">
        <f t="shared" si="1"/>
        <v>0.75395525065703273</v>
      </c>
      <c r="O73" s="50">
        <v>678978</v>
      </c>
      <c r="P73" s="152">
        <f t="shared" si="2"/>
        <v>3.3804210541954118E-3</v>
      </c>
      <c r="Q73" s="50">
        <v>0</v>
      </c>
    </row>
    <row r="74" spans="1:17" hidden="1" x14ac:dyDescent="0.25">
      <c r="A74" s="49" t="s">
        <v>704</v>
      </c>
      <c r="B74" s="49" t="s">
        <v>435</v>
      </c>
      <c r="C74" s="49" t="s">
        <v>95</v>
      </c>
      <c r="D74" s="49" t="s">
        <v>69</v>
      </c>
      <c r="E74" s="50">
        <v>11142840</v>
      </c>
      <c r="F74" s="50">
        <v>10857069</v>
      </c>
      <c r="G74" s="50">
        <v>10820367</v>
      </c>
      <c r="H74" s="50">
        <v>0</v>
      </c>
      <c r="I74" s="50">
        <v>2634632</v>
      </c>
      <c r="J74" s="50">
        <v>0</v>
      </c>
      <c r="K74" s="50">
        <v>8185735</v>
      </c>
      <c r="L74" s="152">
        <f t="shared" si="0"/>
        <v>0.75395440518983525</v>
      </c>
      <c r="M74" s="50">
        <v>8185735</v>
      </c>
      <c r="N74" s="152">
        <f t="shared" si="1"/>
        <v>0.75395440518983525</v>
      </c>
      <c r="O74" s="50">
        <v>36702</v>
      </c>
      <c r="P74" s="152">
        <f t="shared" si="2"/>
        <v>3.3804703645155059E-3</v>
      </c>
      <c r="Q74" s="50">
        <v>0</v>
      </c>
    </row>
    <row r="75" spans="1:17" hidden="1" x14ac:dyDescent="0.25">
      <c r="A75" s="49" t="s">
        <v>704</v>
      </c>
      <c r="B75" s="49" t="s">
        <v>96</v>
      </c>
      <c r="C75" s="49" t="s">
        <v>97</v>
      </c>
      <c r="D75" s="49" t="s">
        <v>69</v>
      </c>
      <c r="E75" s="50">
        <v>217285540</v>
      </c>
      <c r="F75" s="50">
        <v>211713013</v>
      </c>
      <c r="G75" s="50">
        <v>205797327</v>
      </c>
      <c r="H75" s="50">
        <v>0</v>
      </c>
      <c r="I75" s="50">
        <v>46550665</v>
      </c>
      <c r="J75" s="50">
        <v>0</v>
      </c>
      <c r="K75" s="50">
        <v>159246662</v>
      </c>
      <c r="L75" s="152">
        <f t="shared" si="0"/>
        <v>0.75218173764311791</v>
      </c>
      <c r="M75" s="50">
        <v>159246662</v>
      </c>
      <c r="N75" s="152">
        <f t="shared" si="1"/>
        <v>0.75218173764311791</v>
      </c>
      <c r="O75" s="50">
        <v>5915686</v>
      </c>
      <c r="P75" s="152">
        <f t="shared" si="2"/>
        <v>2.7942004679702894E-2</v>
      </c>
      <c r="Q75" s="50">
        <v>0</v>
      </c>
    </row>
    <row r="76" spans="1:17" hidden="1" x14ac:dyDescent="0.25">
      <c r="A76" s="49" t="s">
        <v>704</v>
      </c>
      <c r="B76" s="49" t="s">
        <v>453</v>
      </c>
      <c r="C76" s="49" t="s">
        <v>698</v>
      </c>
      <c r="D76" s="49" t="s">
        <v>69</v>
      </c>
      <c r="E76" s="50">
        <v>116999976</v>
      </c>
      <c r="F76" s="50">
        <v>113999385</v>
      </c>
      <c r="G76" s="50">
        <v>113614017</v>
      </c>
      <c r="H76" s="50">
        <v>0</v>
      </c>
      <c r="I76" s="50">
        <v>28039166</v>
      </c>
      <c r="J76" s="50">
        <v>0</v>
      </c>
      <c r="K76" s="50">
        <v>85574851</v>
      </c>
      <c r="L76" s="152">
        <f t="shared" si="0"/>
        <v>0.75066063733589439</v>
      </c>
      <c r="M76" s="50">
        <v>85574851</v>
      </c>
      <c r="N76" s="152">
        <f t="shared" si="1"/>
        <v>0.75066063733589439</v>
      </c>
      <c r="O76" s="50">
        <v>385368</v>
      </c>
      <c r="P76" s="152">
        <f t="shared" si="2"/>
        <v>3.380439289211955E-3</v>
      </c>
      <c r="Q76" s="50">
        <v>0</v>
      </c>
    </row>
    <row r="77" spans="1:17" hidden="1" x14ac:dyDescent="0.25">
      <c r="A77" s="49" t="s">
        <v>704</v>
      </c>
      <c r="B77" s="49" t="s">
        <v>470</v>
      </c>
      <c r="C77" s="49" t="s">
        <v>699</v>
      </c>
      <c r="D77" s="49" t="s">
        <v>69</v>
      </c>
      <c r="E77" s="50">
        <v>33428521</v>
      </c>
      <c r="F77" s="50">
        <v>32571209</v>
      </c>
      <c r="G77" s="50">
        <v>32461103</v>
      </c>
      <c r="H77" s="50">
        <v>0</v>
      </c>
      <c r="I77" s="50">
        <v>7903829</v>
      </c>
      <c r="J77" s="50">
        <v>0</v>
      </c>
      <c r="K77" s="50">
        <v>24557274</v>
      </c>
      <c r="L77" s="152">
        <f t="shared" si="0"/>
        <v>0.75395647732941073</v>
      </c>
      <c r="M77" s="50">
        <v>24557274</v>
      </c>
      <c r="N77" s="152">
        <f t="shared" si="1"/>
        <v>0.75395647732941073</v>
      </c>
      <c r="O77" s="50">
        <v>110106</v>
      </c>
      <c r="P77" s="152">
        <f t="shared" si="2"/>
        <v>3.3804701569413649E-3</v>
      </c>
      <c r="Q77" s="50">
        <v>0</v>
      </c>
    </row>
    <row r="78" spans="1:17" hidden="1" x14ac:dyDescent="0.25">
      <c r="A78" s="49" t="s">
        <v>704</v>
      </c>
      <c r="B78" s="49" t="s">
        <v>487</v>
      </c>
      <c r="C78" s="49" t="s">
        <v>700</v>
      </c>
      <c r="D78" s="49" t="s">
        <v>69</v>
      </c>
      <c r="E78" s="50">
        <v>66857043</v>
      </c>
      <c r="F78" s="50">
        <v>65142419</v>
      </c>
      <c r="G78" s="50">
        <v>59722207</v>
      </c>
      <c r="H78" s="50">
        <v>0</v>
      </c>
      <c r="I78" s="50">
        <v>10607670</v>
      </c>
      <c r="J78" s="50">
        <v>0</v>
      </c>
      <c r="K78" s="50">
        <v>49114537</v>
      </c>
      <c r="L78" s="152">
        <f t="shared" si="0"/>
        <v>0.75395629689465482</v>
      </c>
      <c r="M78" s="50">
        <v>49114537</v>
      </c>
      <c r="N78" s="152">
        <f t="shared" si="1"/>
        <v>0.75395629689465482</v>
      </c>
      <c r="O78" s="50">
        <v>5420212</v>
      </c>
      <c r="P78" s="152">
        <f t="shared" si="2"/>
        <v>8.3205568402364677E-2</v>
      </c>
      <c r="Q78" s="50">
        <v>0</v>
      </c>
    </row>
    <row r="79" spans="1:17" hidden="1" x14ac:dyDescent="0.25">
      <c r="A79" s="49" t="s">
        <v>704</v>
      </c>
      <c r="B79" s="49" t="s">
        <v>104</v>
      </c>
      <c r="C79" s="49" t="s">
        <v>105</v>
      </c>
      <c r="D79" s="49" t="s">
        <v>69</v>
      </c>
      <c r="E79" s="50">
        <v>261541565</v>
      </c>
      <c r="F79" s="50">
        <v>249886315</v>
      </c>
      <c r="G79" s="50">
        <v>249886315</v>
      </c>
      <c r="H79" s="50">
        <v>0</v>
      </c>
      <c r="I79" s="50">
        <v>97758970.890000001</v>
      </c>
      <c r="J79" s="50">
        <v>911698.5</v>
      </c>
      <c r="K79" s="50">
        <v>136223575.37</v>
      </c>
      <c r="L79" s="152">
        <f t="shared" si="0"/>
        <v>0.54514219944377507</v>
      </c>
      <c r="M79" s="50">
        <v>121384965.75</v>
      </c>
      <c r="N79" s="152">
        <f t="shared" si="1"/>
        <v>0.48576075784702333</v>
      </c>
      <c r="O79" s="50">
        <v>14992070.24</v>
      </c>
      <c r="P79" s="152">
        <f t="shared" si="2"/>
        <v>5.9995563342474356E-2</v>
      </c>
      <c r="Q79" s="50">
        <v>14992070.24</v>
      </c>
    </row>
    <row r="80" spans="1:17" hidden="1" x14ac:dyDescent="0.25">
      <c r="A80" s="49" t="s">
        <v>704</v>
      </c>
      <c r="B80" s="49" t="s">
        <v>106</v>
      </c>
      <c r="C80" s="49" t="s">
        <v>107</v>
      </c>
      <c r="D80" s="49" t="s">
        <v>69</v>
      </c>
      <c r="E80" s="50">
        <v>90013380</v>
      </c>
      <c r="F80" s="50">
        <v>90013380</v>
      </c>
      <c r="G80" s="50">
        <v>90013380</v>
      </c>
      <c r="H80" s="50">
        <v>0</v>
      </c>
      <c r="I80" s="50">
        <v>21513076.25</v>
      </c>
      <c r="J80" s="50">
        <v>30000</v>
      </c>
      <c r="K80" s="50">
        <v>55865824.770000003</v>
      </c>
      <c r="L80" s="152">
        <f t="shared" si="0"/>
        <v>0.6206391179844597</v>
      </c>
      <c r="M80" s="50">
        <v>43398973.149999999</v>
      </c>
      <c r="N80" s="152">
        <f t="shared" si="1"/>
        <v>0.48213913475974346</v>
      </c>
      <c r="O80" s="50">
        <v>12604478.98</v>
      </c>
      <c r="P80" s="152">
        <f t="shared" si="2"/>
        <v>0.14002894880738842</v>
      </c>
      <c r="Q80" s="50">
        <v>12604478.98</v>
      </c>
    </row>
    <row r="81" spans="1:17" hidden="1" x14ac:dyDescent="0.25">
      <c r="A81" s="49" t="s">
        <v>704</v>
      </c>
      <c r="B81" s="49" t="s">
        <v>108</v>
      </c>
      <c r="C81" s="49" t="s">
        <v>109</v>
      </c>
      <c r="D81" s="49" t="s">
        <v>69</v>
      </c>
      <c r="E81" s="50">
        <v>0</v>
      </c>
      <c r="F81" s="50">
        <v>90013379.840000004</v>
      </c>
      <c r="G81" s="50">
        <v>90013379.840000004</v>
      </c>
      <c r="H81" s="50">
        <v>0</v>
      </c>
      <c r="I81" s="50">
        <v>21513076.25</v>
      </c>
      <c r="J81" s="50">
        <v>30000</v>
      </c>
      <c r="K81" s="50">
        <v>55865824.770000003</v>
      </c>
      <c r="L81" s="152">
        <f t="shared" si="0"/>
        <v>0.62063911908765412</v>
      </c>
      <c r="M81" s="50">
        <v>43398973.149999999</v>
      </c>
      <c r="N81" s="152">
        <f t="shared" si="1"/>
        <v>0.48213913561675231</v>
      </c>
      <c r="O81" s="50">
        <v>12604478.82</v>
      </c>
      <c r="P81" s="152">
        <f t="shared" si="2"/>
        <v>0.14002894727877824</v>
      </c>
      <c r="Q81" s="50">
        <v>12604478.82</v>
      </c>
    </row>
    <row r="82" spans="1:17" hidden="1" x14ac:dyDescent="0.25">
      <c r="A82" s="49" t="s">
        <v>704</v>
      </c>
      <c r="B82" s="49" t="s">
        <v>304</v>
      </c>
      <c r="C82" s="49" t="s">
        <v>305</v>
      </c>
      <c r="D82" s="49" t="s">
        <v>69</v>
      </c>
      <c r="E82" s="50">
        <v>90013380</v>
      </c>
      <c r="F82" s="50">
        <v>0.16</v>
      </c>
      <c r="G82" s="50">
        <v>0.16</v>
      </c>
      <c r="H82" s="50">
        <v>0</v>
      </c>
      <c r="I82" s="50">
        <v>0</v>
      </c>
      <c r="J82" s="50">
        <v>0</v>
      </c>
      <c r="K82" s="50">
        <v>0</v>
      </c>
      <c r="L82" s="152">
        <f t="shared" si="0"/>
        <v>0</v>
      </c>
      <c r="M82" s="50">
        <v>0</v>
      </c>
      <c r="N82" s="152">
        <f t="shared" si="1"/>
        <v>0</v>
      </c>
      <c r="O82" s="50">
        <v>0.16</v>
      </c>
      <c r="P82" s="152">
        <f t="shared" si="2"/>
        <v>1</v>
      </c>
      <c r="Q82" s="50">
        <v>0.16</v>
      </c>
    </row>
    <row r="83" spans="1:17" hidden="1" x14ac:dyDescent="0.25">
      <c r="A83" s="49" t="s">
        <v>704</v>
      </c>
      <c r="B83" s="49" t="s">
        <v>112</v>
      </c>
      <c r="C83" s="49" t="s">
        <v>113</v>
      </c>
      <c r="D83" s="49" t="s">
        <v>69</v>
      </c>
      <c r="E83" s="50">
        <v>105953785</v>
      </c>
      <c r="F83" s="50">
        <v>102953785</v>
      </c>
      <c r="G83" s="50">
        <v>102953785</v>
      </c>
      <c r="H83" s="50">
        <v>0</v>
      </c>
      <c r="I83" s="50">
        <v>59769506.039999999</v>
      </c>
      <c r="J83" s="50">
        <v>0</v>
      </c>
      <c r="K83" s="50">
        <v>42014858.520000003</v>
      </c>
      <c r="L83" s="152">
        <f t="shared" si="0"/>
        <v>0.40809435534594479</v>
      </c>
      <c r="M83" s="50">
        <v>41770108.520000003</v>
      </c>
      <c r="N83" s="152">
        <f t="shared" si="1"/>
        <v>0.40571707509345095</v>
      </c>
      <c r="O83" s="50">
        <v>1169420.44</v>
      </c>
      <c r="P83" s="152">
        <f t="shared" si="2"/>
        <v>1.1358693029110099E-2</v>
      </c>
      <c r="Q83" s="50">
        <v>1169420.44</v>
      </c>
    </row>
    <row r="84" spans="1:17" hidden="1" x14ac:dyDescent="0.25">
      <c r="A84" s="49" t="s">
        <v>704</v>
      </c>
      <c r="B84" s="49" t="s">
        <v>114</v>
      </c>
      <c r="C84" s="49" t="s">
        <v>115</v>
      </c>
      <c r="D84" s="49" t="s">
        <v>69</v>
      </c>
      <c r="E84" s="50">
        <v>8169861</v>
      </c>
      <c r="F84" s="50">
        <v>6169861</v>
      </c>
      <c r="G84" s="50">
        <v>6169861</v>
      </c>
      <c r="H84" s="50">
        <v>0</v>
      </c>
      <c r="I84" s="50">
        <v>1711944</v>
      </c>
      <c r="J84" s="50">
        <v>0</v>
      </c>
      <c r="K84" s="50">
        <v>3303511</v>
      </c>
      <c r="L84" s="152">
        <f t="shared" si="0"/>
        <v>0.53542713523043717</v>
      </c>
      <c r="M84" s="50">
        <v>3058761</v>
      </c>
      <c r="N84" s="152">
        <f t="shared" si="1"/>
        <v>0.49575849439719955</v>
      </c>
      <c r="O84" s="50">
        <v>1154406</v>
      </c>
      <c r="P84" s="152">
        <f t="shared" si="2"/>
        <v>0.18710405307348091</v>
      </c>
      <c r="Q84" s="50">
        <v>1154406</v>
      </c>
    </row>
    <row r="85" spans="1:17" hidden="1" x14ac:dyDescent="0.25">
      <c r="A85" s="49" t="s">
        <v>704</v>
      </c>
      <c r="B85" s="49" t="s">
        <v>116</v>
      </c>
      <c r="C85" s="49" t="s">
        <v>117</v>
      </c>
      <c r="D85" s="49" t="s">
        <v>69</v>
      </c>
      <c r="E85" s="50">
        <v>49884000</v>
      </c>
      <c r="F85" s="50">
        <v>49884000</v>
      </c>
      <c r="G85" s="50">
        <v>49884000</v>
      </c>
      <c r="H85" s="50">
        <v>0</v>
      </c>
      <c r="I85" s="50">
        <v>16718691.550000001</v>
      </c>
      <c r="J85" s="50">
        <v>0</v>
      </c>
      <c r="K85" s="50">
        <v>33165308.449999999</v>
      </c>
      <c r="L85" s="152">
        <f t="shared" si="0"/>
        <v>0.66484861779328042</v>
      </c>
      <c r="M85" s="50">
        <v>33165308.449999999</v>
      </c>
      <c r="N85" s="152">
        <f t="shared" si="1"/>
        <v>0.66484861779328042</v>
      </c>
      <c r="O85" s="50">
        <v>0</v>
      </c>
      <c r="P85" s="152">
        <f t="shared" si="2"/>
        <v>0</v>
      </c>
      <c r="Q85" s="50">
        <v>0</v>
      </c>
    </row>
    <row r="86" spans="1:17" hidden="1" x14ac:dyDescent="0.25">
      <c r="A86" s="49" t="s">
        <v>704</v>
      </c>
      <c r="B86" s="49" t="s">
        <v>118</v>
      </c>
      <c r="C86" s="49" t="s">
        <v>119</v>
      </c>
      <c r="D86" s="49" t="s">
        <v>69</v>
      </c>
      <c r="E86" s="50">
        <v>19924</v>
      </c>
      <c r="F86" s="50">
        <v>19924</v>
      </c>
      <c r="G86" s="50">
        <v>19924</v>
      </c>
      <c r="H86" s="50">
        <v>0</v>
      </c>
      <c r="I86" s="50">
        <v>999</v>
      </c>
      <c r="J86" s="50">
        <v>0</v>
      </c>
      <c r="K86" s="50">
        <v>18925</v>
      </c>
      <c r="L86" s="152">
        <f t="shared" si="0"/>
        <v>0.9498594659706886</v>
      </c>
      <c r="M86" s="50">
        <v>18925</v>
      </c>
      <c r="N86" s="152">
        <f t="shared" si="1"/>
        <v>0.9498594659706886</v>
      </c>
      <c r="O86" s="50">
        <v>0</v>
      </c>
      <c r="P86" s="152">
        <f t="shared" si="2"/>
        <v>0</v>
      </c>
      <c r="Q86" s="50">
        <v>0</v>
      </c>
    </row>
    <row r="87" spans="1:17" hidden="1" x14ac:dyDescent="0.25">
      <c r="A87" s="49" t="s">
        <v>704</v>
      </c>
      <c r="B87" s="49" t="s">
        <v>120</v>
      </c>
      <c r="C87" s="49" t="s">
        <v>121</v>
      </c>
      <c r="D87" s="49" t="s">
        <v>69</v>
      </c>
      <c r="E87" s="50">
        <v>47460000</v>
      </c>
      <c r="F87" s="50">
        <v>46460000</v>
      </c>
      <c r="G87" s="50">
        <v>46460000</v>
      </c>
      <c r="H87" s="50">
        <v>0</v>
      </c>
      <c r="I87" s="50">
        <v>41038769.32</v>
      </c>
      <c r="J87" s="50">
        <v>0</v>
      </c>
      <c r="K87" s="50">
        <v>5421230.2400000002</v>
      </c>
      <c r="L87" s="152">
        <f t="shared" si="0"/>
        <v>0.11668597158846319</v>
      </c>
      <c r="M87" s="50">
        <v>5421230.2400000002</v>
      </c>
      <c r="N87" s="152">
        <f t="shared" si="1"/>
        <v>0.11668597158846319</v>
      </c>
      <c r="O87" s="50">
        <v>0.44</v>
      </c>
      <c r="P87" s="152">
        <f t="shared" si="2"/>
        <v>9.4705122686181664E-9</v>
      </c>
      <c r="Q87" s="50">
        <v>0.44</v>
      </c>
    </row>
    <row r="88" spans="1:17" hidden="1" x14ac:dyDescent="0.25">
      <c r="A88" s="49" t="s">
        <v>704</v>
      </c>
      <c r="B88" s="49" t="s">
        <v>122</v>
      </c>
      <c r="C88" s="49" t="s">
        <v>123</v>
      </c>
      <c r="D88" s="49" t="s">
        <v>69</v>
      </c>
      <c r="E88" s="50">
        <v>420000</v>
      </c>
      <c r="F88" s="50">
        <v>420000</v>
      </c>
      <c r="G88" s="50">
        <v>420000</v>
      </c>
      <c r="H88" s="50">
        <v>0</v>
      </c>
      <c r="I88" s="50">
        <v>299102.17</v>
      </c>
      <c r="J88" s="50">
        <v>0</v>
      </c>
      <c r="K88" s="50">
        <v>105883.83</v>
      </c>
      <c r="L88" s="152">
        <f t="shared" si="0"/>
        <v>0.25210435714285717</v>
      </c>
      <c r="M88" s="50">
        <v>105883.83</v>
      </c>
      <c r="N88" s="152">
        <f t="shared" si="1"/>
        <v>0.25210435714285717</v>
      </c>
      <c r="O88" s="50">
        <v>15014</v>
      </c>
      <c r="P88" s="152">
        <f t="shared" si="2"/>
        <v>3.5747619047619049E-2</v>
      </c>
      <c r="Q88" s="50">
        <v>15014</v>
      </c>
    </row>
    <row r="89" spans="1:17" hidden="1" x14ac:dyDescent="0.25">
      <c r="A89" s="49" t="s">
        <v>704</v>
      </c>
      <c r="B89" s="49" t="s">
        <v>124</v>
      </c>
      <c r="C89" s="49" t="s">
        <v>125</v>
      </c>
      <c r="D89" s="49" t="s">
        <v>69</v>
      </c>
      <c r="E89" s="50">
        <v>8000000</v>
      </c>
      <c r="F89" s="50">
        <v>10750000</v>
      </c>
      <c r="G89" s="50">
        <v>10750000</v>
      </c>
      <c r="H89" s="50">
        <v>0</v>
      </c>
      <c r="I89" s="50">
        <v>3523767.2</v>
      </c>
      <c r="J89" s="50">
        <v>193600</v>
      </c>
      <c r="K89" s="50">
        <v>6909016</v>
      </c>
      <c r="L89" s="152">
        <f t="shared" si="0"/>
        <v>0.64269916279069772</v>
      </c>
      <c r="M89" s="50">
        <v>6909016</v>
      </c>
      <c r="N89" s="152">
        <f t="shared" si="1"/>
        <v>0.64269916279069772</v>
      </c>
      <c r="O89" s="50">
        <v>123616.8</v>
      </c>
      <c r="P89" s="152">
        <f t="shared" si="2"/>
        <v>1.1499237209302326E-2</v>
      </c>
      <c r="Q89" s="50">
        <v>123616.8</v>
      </c>
    </row>
    <row r="90" spans="1:17" hidden="1" x14ac:dyDescent="0.25">
      <c r="A90" s="49" t="s">
        <v>704</v>
      </c>
      <c r="B90" s="49" t="s">
        <v>126</v>
      </c>
      <c r="C90" s="49" t="s">
        <v>127</v>
      </c>
      <c r="D90" s="49" t="s">
        <v>69</v>
      </c>
      <c r="E90" s="50">
        <v>7000000</v>
      </c>
      <c r="F90" s="50">
        <v>10450000</v>
      </c>
      <c r="G90" s="50">
        <v>10450000</v>
      </c>
      <c r="H90" s="50">
        <v>0</v>
      </c>
      <c r="I90" s="50">
        <v>3362413.2</v>
      </c>
      <c r="J90" s="50">
        <v>193600</v>
      </c>
      <c r="K90" s="50">
        <v>6870370</v>
      </c>
      <c r="L90" s="152">
        <f t="shared" si="0"/>
        <v>0.65745167464114829</v>
      </c>
      <c r="M90" s="50">
        <v>6870370</v>
      </c>
      <c r="N90" s="152">
        <f t="shared" si="1"/>
        <v>0.65745167464114829</v>
      </c>
      <c r="O90" s="50">
        <v>23616.799999999999</v>
      </c>
      <c r="P90" s="152">
        <f t="shared" si="2"/>
        <v>2.2599808612440192E-3</v>
      </c>
      <c r="Q90" s="50">
        <v>23616.799999999999</v>
      </c>
    </row>
    <row r="91" spans="1:17" hidden="1" x14ac:dyDescent="0.25">
      <c r="A91" s="49" t="s">
        <v>704</v>
      </c>
      <c r="B91" s="49" t="s">
        <v>132</v>
      </c>
      <c r="C91" s="49" t="s">
        <v>133</v>
      </c>
      <c r="D91" s="49" t="s">
        <v>69</v>
      </c>
      <c r="E91" s="50">
        <v>1000000</v>
      </c>
      <c r="F91" s="50">
        <v>300000</v>
      </c>
      <c r="G91" s="50">
        <v>300000</v>
      </c>
      <c r="H91" s="50">
        <v>0</v>
      </c>
      <c r="I91" s="50">
        <v>161354</v>
      </c>
      <c r="J91" s="50">
        <v>0</v>
      </c>
      <c r="K91" s="50">
        <v>38646</v>
      </c>
      <c r="L91" s="152">
        <f t="shared" si="0"/>
        <v>0.12881999999999999</v>
      </c>
      <c r="M91" s="50">
        <v>38646</v>
      </c>
      <c r="N91" s="152">
        <f t="shared" si="1"/>
        <v>0.12881999999999999</v>
      </c>
      <c r="O91" s="50">
        <v>100000</v>
      </c>
      <c r="P91" s="152">
        <f t="shared" si="2"/>
        <v>0.33333333333333331</v>
      </c>
      <c r="Q91" s="50">
        <v>100000</v>
      </c>
    </row>
    <row r="92" spans="1:17" hidden="1" x14ac:dyDescent="0.25">
      <c r="A92" s="49" t="s">
        <v>704</v>
      </c>
      <c r="B92" s="49" t="s">
        <v>134</v>
      </c>
      <c r="C92" s="49" t="s">
        <v>135</v>
      </c>
      <c r="D92" s="49" t="s">
        <v>69</v>
      </c>
      <c r="E92" s="50">
        <v>3480000</v>
      </c>
      <c r="F92" s="50">
        <v>1480000</v>
      </c>
      <c r="G92" s="50">
        <v>1480000</v>
      </c>
      <c r="H92" s="50">
        <v>0</v>
      </c>
      <c r="I92" s="50">
        <v>475888.12</v>
      </c>
      <c r="J92" s="50">
        <v>0</v>
      </c>
      <c r="K92" s="50">
        <v>1003792.56</v>
      </c>
      <c r="L92" s="152">
        <f t="shared" si="0"/>
        <v>0.67823821621621627</v>
      </c>
      <c r="M92" s="50">
        <v>1003792.56</v>
      </c>
      <c r="N92" s="152">
        <f t="shared" si="1"/>
        <v>0.67823821621621627</v>
      </c>
      <c r="O92" s="50">
        <v>319.32</v>
      </c>
      <c r="P92" s="152">
        <f t="shared" si="2"/>
        <v>2.1575675675675676E-4</v>
      </c>
      <c r="Q92" s="50">
        <v>319.32</v>
      </c>
    </row>
    <row r="93" spans="1:17" hidden="1" x14ac:dyDescent="0.25">
      <c r="A93" s="49" t="s">
        <v>704</v>
      </c>
      <c r="B93" s="49" t="s">
        <v>136</v>
      </c>
      <c r="C93" s="49" t="s">
        <v>137</v>
      </c>
      <c r="D93" s="49" t="s">
        <v>69</v>
      </c>
      <c r="E93" s="50">
        <v>2000000</v>
      </c>
      <c r="F93" s="50">
        <v>0</v>
      </c>
      <c r="G93" s="50">
        <v>0</v>
      </c>
      <c r="H93" s="50">
        <v>0</v>
      </c>
      <c r="I93" s="50">
        <v>0</v>
      </c>
      <c r="J93" s="50">
        <v>0</v>
      </c>
      <c r="K93" s="50">
        <v>0</v>
      </c>
      <c r="L93" s="152" t="e">
        <f t="shared" si="0"/>
        <v>#DIV/0!</v>
      </c>
      <c r="M93" s="50">
        <v>0</v>
      </c>
      <c r="N93" s="152" t="e">
        <f t="shared" si="1"/>
        <v>#DIV/0!</v>
      </c>
      <c r="O93" s="50">
        <v>0</v>
      </c>
      <c r="P93" s="152" t="e">
        <f t="shared" si="2"/>
        <v>#DIV/0!</v>
      </c>
      <c r="Q93" s="50">
        <v>0</v>
      </c>
    </row>
    <row r="94" spans="1:17" hidden="1" x14ac:dyDescent="0.25">
      <c r="A94" s="49" t="s">
        <v>704</v>
      </c>
      <c r="B94" s="49" t="s">
        <v>138</v>
      </c>
      <c r="C94" s="49" t="s">
        <v>139</v>
      </c>
      <c r="D94" s="49" t="s">
        <v>69</v>
      </c>
      <c r="E94" s="50">
        <v>1480000</v>
      </c>
      <c r="F94" s="50">
        <v>1480000</v>
      </c>
      <c r="G94" s="50">
        <v>1480000</v>
      </c>
      <c r="H94" s="50">
        <v>0</v>
      </c>
      <c r="I94" s="50">
        <v>475888.12</v>
      </c>
      <c r="J94" s="50">
        <v>0</v>
      </c>
      <c r="K94" s="50">
        <v>1003792.56</v>
      </c>
      <c r="L94" s="152">
        <f t="shared" si="0"/>
        <v>0.67823821621621627</v>
      </c>
      <c r="M94" s="50">
        <v>1003792.56</v>
      </c>
      <c r="N94" s="152">
        <f t="shared" si="1"/>
        <v>0.67823821621621627</v>
      </c>
      <c r="O94" s="50">
        <v>319.32</v>
      </c>
      <c r="P94" s="152">
        <f t="shared" si="2"/>
        <v>2.1575675675675676E-4</v>
      </c>
      <c r="Q94" s="50">
        <v>319.32</v>
      </c>
    </row>
    <row r="95" spans="1:17" hidden="1" x14ac:dyDescent="0.25">
      <c r="A95" s="49" t="s">
        <v>704</v>
      </c>
      <c r="B95" s="49" t="s">
        <v>140</v>
      </c>
      <c r="C95" s="49" t="s">
        <v>141</v>
      </c>
      <c r="D95" s="49" t="s">
        <v>69</v>
      </c>
      <c r="E95" s="50">
        <v>1500000</v>
      </c>
      <c r="F95" s="50">
        <v>791650</v>
      </c>
      <c r="G95" s="50">
        <v>791650</v>
      </c>
      <c r="H95" s="50">
        <v>0</v>
      </c>
      <c r="I95" s="50">
        <v>404550</v>
      </c>
      <c r="J95" s="50">
        <v>0</v>
      </c>
      <c r="K95" s="50">
        <v>315500</v>
      </c>
      <c r="L95" s="152">
        <f t="shared" si="0"/>
        <v>0.39853470599381041</v>
      </c>
      <c r="M95" s="50">
        <v>315500</v>
      </c>
      <c r="N95" s="152">
        <f t="shared" si="1"/>
        <v>0.39853470599381041</v>
      </c>
      <c r="O95" s="50">
        <v>71600</v>
      </c>
      <c r="P95" s="152">
        <f t="shared" si="2"/>
        <v>9.0444009347565218E-2</v>
      </c>
      <c r="Q95" s="50">
        <v>71600</v>
      </c>
    </row>
    <row r="96" spans="1:17" hidden="1" x14ac:dyDescent="0.25">
      <c r="A96" s="49" t="s">
        <v>704</v>
      </c>
      <c r="B96" s="49" t="s">
        <v>144</v>
      </c>
      <c r="C96" s="49" t="s">
        <v>145</v>
      </c>
      <c r="D96" s="49" t="s">
        <v>69</v>
      </c>
      <c r="E96" s="50">
        <v>1500000</v>
      </c>
      <c r="F96" s="50">
        <v>791650</v>
      </c>
      <c r="G96" s="50">
        <v>791650</v>
      </c>
      <c r="H96" s="50">
        <v>0</v>
      </c>
      <c r="I96" s="50">
        <v>404550</v>
      </c>
      <c r="J96" s="50">
        <v>0</v>
      </c>
      <c r="K96" s="50">
        <v>315500</v>
      </c>
      <c r="L96" s="152">
        <f t="shared" si="0"/>
        <v>0.39853470599381041</v>
      </c>
      <c r="M96" s="50">
        <v>315500</v>
      </c>
      <c r="N96" s="152">
        <f t="shared" si="1"/>
        <v>0.39853470599381041</v>
      </c>
      <c r="O96" s="50">
        <v>71600</v>
      </c>
      <c r="P96" s="152">
        <f t="shared" si="2"/>
        <v>9.0444009347565218E-2</v>
      </c>
      <c r="Q96" s="50">
        <v>71600</v>
      </c>
    </row>
    <row r="97" spans="1:17" hidden="1" x14ac:dyDescent="0.25">
      <c r="A97" s="49" t="s">
        <v>704</v>
      </c>
      <c r="B97" s="49" t="s">
        <v>150</v>
      </c>
      <c r="C97" s="49" t="s">
        <v>151</v>
      </c>
      <c r="D97" s="49" t="s">
        <v>69</v>
      </c>
      <c r="E97" s="50">
        <v>29000000</v>
      </c>
      <c r="F97" s="50">
        <v>24000000</v>
      </c>
      <c r="G97" s="50">
        <v>24000000</v>
      </c>
      <c r="H97" s="50">
        <v>0</v>
      </c>
      <c r="I97" s="50">
        <v>0</v>
      </c>
      <c r="J97" s="50">
        <v>0</v>
      </c>
      <c r="K97" s="50">
        <v>23906599</v>
      </c>
      <c r="L97" s="152">
        <f t="shared" si="0"/>
        <v>0.9961082916666667</v>
      </c>
      <c r="M97" s="50">
        <v>21779591</v>
      </c>
      <c r="N97" s="152">
        <f t="shared" si="1"/>
        <v>0.90748295833333337</v>
      </c>
      <c r="O97" s="50">
        <v>93401</v>
      </c>
      <c r="P97" s="152">
        <f t="shared" si="2"/>
        <v>3.8917083333333334E-3</v>
      </c>
      <c r="Q97" s="50">
        <v>93401</v>
      </c>
    </row>
    <row r="98" spans="1:17" hidden="1" x14ac:dyDescent="0.25">
      <c r="A98" s="49" t="s">
        <v>704</v>
      </c>
      <c r="B98" s="49" t="s">
        <v>152</v>
      </c>
      <c r="C98" s="49" t="s">
        <v>153</v>
      </c>
      <c r="D98" s="49" t="s">
        <v>69</v>
      </c>
      <c r="E98" s="50">
        <v>29000000</v>
      </c>
      <c r="F98" s="50">
        <v>24000000</v>
      </c>
      <c r="G98" s="50">
        <v>24000000</v>
      </c>
      <c r="H98" s="50">
        <v>0</v>
      </c>
      <c r="I98" s="50">
        <v>0</v>
      </c>
      <c r="J98" s="50">
        <v>0</v>
      </c>
      <c r="K98" s="50">
        <v>23906599</v>
      </c>
      <c r="L98" s="152">
        <f t="shared" si="0"/>
        <v>0.9961082916666667</v>
      </c>
      <c r="M98" s="50">
        <v>21779591</v>
      </c>
      <c r="N98" s="152">
        <f t="shared" si="1"/>
        <v>0.90748295833333337</v>
      </c>
      <c r="O98" s="50">
        <v>93401</v>
      </c>
      <c r="P98" s="152">
        <f t="shared" si="2"/>
        <v>3.8917083333333334E-3</v>
      </c>
      <c r="Q98" s="50">
        <v>93401</v>
      </c>
    </row>
    <row r="99" spans="1:17" hidden="1" x14ac:dyDescent="0.25">
      <c r="A99" s="49" t="s">
        <v>704</v>
      </c>
      <c r="B99" s="49" t="s">
        <v>154</v>
      </c>
      <c r="C99" s="49" t="s">
        <v>155</v>
      </c>
      <c r="D99" s="49" t="s">
        <v>69</v>
      </c>
      <c r="E99" s="50">
        <v>200000</v>
      </c>
      <c r="F99" s="50">
        <v>0</v>
      </c>
      <c r="G99" s="50">
        <v>0</v>
      </c>
      <c r="H99" s="50">
        <v>0</v>
      </c>
      <c r="I99" s="50">
        <v>0</v>
      </c>
      <c r="J99" s="50">
        <v>0</v>
      </c>
      <c r="K99" s="50">
        <v>0</v>
      </c>
      <c r="L99" s="152" t="e">
        <f t="shared" si="0"/>
        <v>#DIV/0!</v>
      </c>
      <c r="M99" s="50">
        <v>0</v>
      </c>
      <c r="N99" s="152" t="e">
        <f t="shared" si="1"/>
        <v>#DIV/0!</v>
      </c>
      <c r="O99" s="50">
        <v>0</v>
      </c>
      <c r="P99" s="152" t="e">
        <f t="shared" si="2"/>
        <v>#DIV/0!</v>
      </c>
      <c r="Q99" s="50">
        <v>0</v>
      </c>
    </row>
    <row r="100" spans="1:17" hidden="1" x14ac:dyDescent="0.25">
      <c r="A100" s="49" t="s">
        <v>704</v>
      </c>
      <c r="B100" s="49" t="s">
        <v>160</v>
      </c>
      <c r="C100" s="49" t="s">
        <v>161</v>
      </c>
      <c r="D100" s="49" t="s">
        <v>69</v>
      </c>
      <c r="E100" s="50">
        <v>200000</v>
      </c>
      <c r="F100" s="50">
        <v>0</v>
      </c>
      <c r="G100" s="50">
        <v>0</v>
      </c>
      <c r="H100" s="50">
        <v>0</v>
      </c>
      <c r="I100" s="50">
        <v>0</v>
      </c>
      <c r="J100" s="50">
        <v>0</v>
      </c>
      <c r="K100" s="50">
        <v>0</v>
      </c>
      <c r="L100" s="152" t="e">
        <f t="shared" si="0"/>
        <v>#DIV/0!</v>
      </c>
      <c r="M100" s="50">
        <v>0</v>
      </c>
      <c r="N100" s="152" t="e">
        <f t="shared" si="1"/>
        <v>#DIV/0!</v>
      </c>
      <c r="O100" s="50">
        <v>0</v>
      </c>
      <c r="P100" s="152" t="e">
        <f t="shared" si="2"/>
        <v>#DIV/0!</v>
      </c>
      <c r="Q100" s="50">
        <v>0</v>
      </c>
    </row>
    <row r="101" spans="1:17" hidden="1" x14ac:dyDescent="0.25">
      <c r="A101" s="49" t="s">
        <v>704</v>
      </c>
      <c r="B101" s="49" t="s">
        <v>162</v>
      </c>
      <c r="C101" s="49" t="s">
        <v>163</v>
      </c>
      <c r="D101" s="49" t="s">
        <v>69</v>
      </c>
      <c r="E101" s="50">
        <v>21394400</v>
      </c>
      <c r="F101" s="50">
        <v>17897500</v>
      </c>
      <c r="G101" s="50">
        <v>17897500</v>
      </c>
      <c r="H101" s="50">
        <v>0</v>
      </c>
      <c r="I101" s="50">
        <v>10400314.279999999</v>
      </c>
      <c r="J101" s="50">
        <v>688098.5</v>
      </c>
      <c r="K101" s="50">
        <v>5879853.5199999996</v>
      </c>
      <c r="L101" s="152">
        <f t="shared" si="0"/>
        <v>0.32852932085486797</v>
      </c>
      <c r="M101" s="50">
        <v>5879853.5199999996</v>
      </c>
      <c r="N101" s="152">
        <f t="shared" si="1"/>
        <v>0.32852932085486797</v>
      </c>
      <c r="O101" s="50">
        <v>929233.7</v>
      </c>
      <c r="P101" s="152">
        <f t="shared" si="2"/>
        <v>5.1919748568235786E-2</v>
      </c>
      <c r="Q101" s="50">
        <v>929233.7</v>
      </c>
    </row>
    <row r="102" spans="1:17" hidden="1" x14ac:dyDescent="0.25">
      <c r="A102" s="49" t="s">
        <v>704</v>
      </c>
      <c r="B102" s="49" t="s">
        <v>166</v>
      </c>
      <c r="C102" s="49" t="s">
        <v>167</v>
      </c>
      <c r="D102" s="49" t="s">
        <v>69</v>
      </c>
      <c r="E102" s="50">
        <v>13000000</v>
      </c>
      <c r="F102" s="50">
        <v>12988100</v>
      </c>
      <c r="G102" s="50">
        <v>12988100</v>
      </c>
      <c r="H102" s="50">
        <v>0</v>
      </c>
      <c r="I102" s="50">
        <v>8840318.6199999992</v>
      </c>
      <c r="J102" s="50">
        <v>202098.5</v>
      </c>
      <c r="K102" s="50">
        <v>3936369.69</v>
      </c>
      <c r="L102" s="152">
        <f t="shared" si="0"/>
        <v>0.30307509874423511</v>
      </c>
      <c r="M102" s="50">
        <v>3936369.69</v>
      </c>
      <c r="N102" s="152">
        <f t="shared" si="1"/>
        <v>0.30307509874423511</v>
      </c>
      <c r="O102" s="50">
        <v>9313.19</v>
      </c>
      <c r="P102" s="152">
        <f t="shared" si="2"/>
        <v>7.1705561244523838E-4</v>
      </c>
      <c r="Q102" s="50">
        <v>9313.19</v>
      </c>
    </row>
    <row r="103" spans="1:17" hidden="1" x14ac:dyDescent="0.25">
      <c r="A103" s="49" t="s">
        <v>704</v>
      </c>
      <c r="B103" s="49" t="s">
        <v>168</v>
      </c>
      <c r="C103" s="49" t="s">
        <v>169</v>
      </c>
      <c r="D103" s="49" t="s">
        <v>69</v>
      </c>
      <c r="E103" s="50">
        <v>6194400</v>
      </c>
      <c r="F103" s="50">
        <v>3194400</v>
      </c>
      <c r="G103" s="50">
        <v>3194400</v>
      </c>
      <c r="H103" s="50">
        <v>0</v>
      </c>
      <c r="I103" s="50">
        <v>450473</v>
      </c>
      <c r="J103" s="50">
        <v>486000</v>
      </c>
      <c r="K103" s="50">
        <v>1351367</v>
      </c>
      <c r="L103" s="152">
        <f t="shared" si="0"/>
        <v>0.42304251189581771</v>
      </c>
      <c r="M103" s="50">
        <v>1351367</v>
      </c>
      <c r="N103" s="152">
        <f t="shared" si="1"/>
        <v>0.42304251189581771</v>
      </c>
      <c r="O103" s="50">
        <v>906560</v>
      </c>
      <c r="P103" s="152">
        <f t="shared" si="2"/>
        <v>0.28379664412722266</v>
      </c>
      <c r="Q103" s="50">
        <v>906560</v>
      </c>
    </row>
    <row r="104" spans="1:17" hidden="1" x14ac:dyDescent="0.25">
      <c r="A104" s="49" t="s">
        <v>704</v>
      </c>
      <c r="B104" s="49" t="s">
        <v>172</v>
      </c>
      <c r="C104" s="49" t="s">
        <v>173</v>
      </c>
      <c r="D104" s="49" t="s">
        <v>69</v>
      </c>
      <c r="E104" s="50">
        <v>2200000</v>
      </c>
      <c r="F104" s="50">
        <v>1715000</v>
      </c>
      <c r="G104" s="50">
        <v>1715000</v>
      </c>
      <c r="H104" s="50">
        <v>0</v>
      </c>
      <c r="I104" s="50">
        <v>1109522.6599999999</v>
      </c>
      <c r="J104" s="50">
        <v>0</v>
      </c>
      <c r="K104" s="50">
        <v>592116.82999999996</v>
      </c>
      <c r="L104" s="152">
        <f t="shared" si="0"/>
        <v>0.34525762682215744</v>
      </c>
      <c r="M104" s="50">
        <v>592116.82999999996</v>
      </c>
      <c r="N104" s="152">
        <f t="shared" si="1"/>
        <v>0.34525762682215744</v>
      </c>
      <c r="O104" s="50">
        <v>13360.51</v>
      </c>
      <c r="P104" s="152">
        <f t="shared" si="2"/>
        <v>7.7903848396501463E-3</v>
      </c>
      <c r="Q104" s="50">
        <v>13360.51</v>
      </c>
    </row>
    <row r="105" spans="1:17" hidden="1" x14ac:dyDescent="0.25">
      <c r="A105" s="49" t="s">
        <v>704</v>
      </c>
      <c r="B105" s="49" t="s">
        <v>174</v>
      </c>
      <c r="C105" s="49" t="s">
        <v>175</v>
      </c>
      <c r="D105" s="49" t="s">
        <v>69</v>
      </c>
      <c r="E105" s="50">
        <v>1000000</v>
      </c>
      <c r="F105" s="50">
        <v>1000000</v>
      </c>
      <c r="G105" s="50">
        <v>1000000</v>
      </c>
      <c r="H105" s="50">
        <v>0</v>
      </c>
      <c r="I105" s="50">
        <v>871869</v>
      </c>
      <c r="J105" s="50">
        <v>0</v>
      </c>
      <c r="K105" s="50">
        <v>128131</v>
      </c>
      <c r="L105" s="152">
        <f t="shared" si="0"/>
        <v>0.12813099999999999</v>
      </c>
      <c r="M105" s="50">
        <v>128131</v>
      </c>
      <c r="N105" s="152">
        <f t="shared" si="1"/>
        <v>0.12813099999999999</v>
      </c>
      <c r="O105" s="50">
        <v>0</v>
      </c>
      <c r="P105" s="152">
        <f t="shared" si="2"/>
        <v>0</v>
      </c>
      <c r="Q105" s="50">
        <v>0</v>
      </c>
    </row>
    <row r="106" spans="1:17" hidden="1" x14ac:dyDescent="0.25">
      <c r="A106" s="49" t="s">
        <v>704</v>
      </c>
      <c r="B106" s="49" t="s">
        <v>176</v>
      </c>
      <c r="C106" s="49" t="s">
        <v>177</v>
      </c>
      <c r="D106" s="49" t="s">
        <v>69</v>
      </c>
      <c r="E106" s="50">
        <v>1000000</v>
      </c>
      <c r="F106" s="50">
        <v>1000000</v>
      </c>
      <c r="G106" s="50">
        <v>1000000</v>
      </c>
      <c r="H106" s="50">
        <v>0</v>
      </c>
      <c r="I106" s="50">
        <v>871869</v>
      </c>
      <c r="J106" s="50">
        <v>0</v>
      </c>
      <c r="K106" s="50">
        <v>128131</v>
      </c>
      <c r="L106" s="152">
        <f t="shared" si="0"/>
        <v>0.12813099999999999</v>
      </c>
      <c r="M106" s="50">
        <v>128131</v>
      </c>
      <c r="N106" s="152">
        <f t="shared" si="1"/>
        <v>0.12813099999999999</v>
      </c>
      <c r="O106" s="50">
        <v>0</v>
      </c>
      <c r="P106" s="152">
        <f t="shared" si="2"/>
        <v>0</v>
      </c>
      <c r="Q106" s="50">
        <v>0</v>
      </c>
    </row>
    <row r="107" spans="1:17" hidden="1" x14ac:dyDescent="0.25">
      <c r="A107" s="49" t="s">
        <v>704</v>
      </c>
      <c r="B107" s="49" t="s">
        <v>178</v>
      </c>
      <c r="C107" s="49" t="s">
        <v>179</v>
      </c>
      <c r="D107" s="49" t="s">
        <v>69</v>
      </c>
      <c r="E107" s="50">
        <v>1000000</v>
      </c>
      <c r="F107" s="50">
        <v>1000000</v>
      </c>
      <c r="G107" s="50">
        <v>1000000</v>
      </c>
      <c r="H107" s="50">
        <v>0</v>
      </c>
      <c r="I107" s="50">
        <v>800000</v>
      </c>
      <c r="J107" s="50">
        <v>0</v>
      </c>
      <c r="K107" s="50">
        <v>200000</v>
      </c>
      <c r="L107" s="152">
        <f t="shared" si="0"/>
        <v>0.2</v>
      </c>
      <c r="M107" s="50">
        <v>200000</v>
      </c>
      <c r="N107" s="152">
        <f t="shared" si="1"/>
        <v>0.2</v>
      </c>
      <c r="O107" s="50">
        <v>0</v>
      </c>
      <c r="P107" s="152">
        <f t="shared" si="2"/>
        <v>0</v>
      </c>
      <c r="Q107" s="50">
        <v>0</v>
      </c>
    </row>
    <row r="108" spans="1:17" hidden="1" x14ac:dyDescent="0.25">
      <c r="A108" s="49" t="s">
        <v>704</v>
      </c>
      <c r="B108" s="49" t="s">
        <v>182</v>
      </c>
      <c r="C108" s="49" t="s">
        <v>183</v>
      </c>
      <c r="D108" s="49" t="s">
        <v>69</v>
      </c>
      <c r="E108" s="50">
        <v>1000000</v>
      </c>
      <c r="F108" s="50">
        <v>1000000</v>
      </c>
      <c r="G108" s="50">
        <v>1000000</v>
      </c>
      <c r="H108" s="50">
        <v>0</v>
      </c>
      <c r="I108" s="50">
        <v>800000</v>
      </c>
      <c r="J108" s="50">
        <v>0</v>
      </c>
      <c r="K108" s="50">
        <v>200000</v>
      </c>
      <c r="L108" s="152">
        <f t="shared" si="0"/>
        <v>0.2</v>
      </c>
      <c r="M108" s="50">
        <v>200000</v>
      </c>
      <c r="N108" s="152">
        <f t="shared" si="1"/>
        <v>0.2</v>
      </c>
      <c r="O108" s="50">
        <v>0</v>
      </c>
      <c r="P108" s="152">
        <f t="shared" si="2"/>
        <v>0</v>
      </c>
      <c r="Q108" s="50">
        <v>0</v>
      </c>
    </row>
    <row r="109" spans="1:17" hidden="1" x14ac:dyDescent="0.25">
      <c r="A109" s="49" t="s">
        <v>704</v>
      </c>
      <c r="B109" s="49" t="s">
        <v>184</v>
      </c>
      <c r="C109" s="49" t="s">
        <v>185</v>
      </c>
      <c r="D109" s="49" t="s">
        <v>69</v>
      </c>
      <c r="E109" s="50">
        <v>40981500</v>
      </c>
      <c r="F109" s="50">
        <v>33070115</v>
      </c>
      <c r="G109" s="50">
        <v>33070115</v>
      </c>
      <c r="H109" s="50">
        <v>0</v>
      </c>
      <c r="I109" s="50">
        <v>7214133.9400000004</v>
      </c>
      <c r="J109" s="50">
        <v>279534</v>
      </c>
      <c r="K109" s="50">
        <v>24359458.25</v>
      </c>
      <c r="L109" s="152">
        <f t="shared" si="0"/>
        <v>0.73660034898578364</v>
      </c>
      <c r="M109" s="50">
        <v>13426120.65</v>
      </c>
      <c r="N109" s="152">
        <f t="shared" si="1"/>
        <v>0.4059895361718579</v>
      </c>
      <c r="O109" s="50">
        <v>1216988.81</v>
      </c>
      <c r="P109" s="152">
        <f t="shared" si="2"/>
        <v>3.6800259388272465E-2</v>
      </c>
      <c r="Q109" s="50">
        <v>1216988.81</v>
      </c>
    </row>
    <row r="110" spans="1:17" hidden="1" x14ac:dyDescent="0.25">
      <c r="A110" s="49" t="s">
        <v>704</v>
      </c>
      <c r="B110" s="49" t="s">
        <v>186</v>
      </c>
      <c r="C110" s="49" t="s">
        <v>187</v>
      </c>
      <c r="D110" s="49" t="s">
        <v>69</v>
      </c>
      <c r="E110" s="50">
        <v>14621000</v>
      </c>
      <c r="F110" s="50">
        <v>9600000</v>
      </c>
      <c r="G110" s="50">
        <v>9600000</v>
      </c>
      <c r="H110" s="50">
        <v>0</v>
      </c>
      <c r="I110" s="50">
        <v>3918260.6</v>
      </c>
      <c r="J110" s="50">
        <v>0</v>
      </c>
      <c r="K110" s="50">
        <v>5681739.4000000004</v>
      </c>
      <c r="L110" s="152">
        <f t="shared" si="0"/>
        <v>0.59184785416666674</v>
      </c>
      <c r="M110" s="50">
        <v>5681739.4000000004</v>
      </c>
      <c r="N110" s="152">
        <f t="shared" si="1"/>
        <v>0.59184785416666674</v>
      </c>
      <c r="O110" s="50">
        <v>0</v>
      </c>
      <c r="P110" s="152">
        <f t="shared" si="2"/>
        <v>0</v>
      </c>
      <c r="Q110" s="50">
        <v>0</v>
      </c>
    </row>
    <row r="111" spans="1:17" hidden="1" x14ac:dyDescent="0.25">
      <c r="A111" s="49" t="s">
        <v>704</v>
      </c>
      <c r="B111" s="49" t="s">
        <v>188</v>
      </c>
      <c r="C111" s="49" t="s">
        <v>189</v>
      </c>
      <c r="D111" s="49" t="s">
        <v>69</v>
      </c>
      <c r="E111" s="50">
        <v>9600000</v>
      </c>
      <c r="F111" s="50">
        <v>9600000</v>
      </c>
      <c r="G111" s="50">
        <v>9600000</v>
      </c>
      <c r="H111" s="50">
        <v>0</v>
      </c>
      <c r="I111" s="50">
        <v>3918260.6</v>
      </c>
      <c r="J111" s="50">
        <v>0</v>
      </c>
      <c r="K111" s="50">
        <v>5681739.4000000004</v>
      </c>
      <c r="L111" s="152">
        <f t="shared" si="0"/>
        <v>0.59184785416666674</v>
      </c>
      <c r="M111" s="50">
        <v>5681739.4000000004</v>
      </c>
      <c r="N111" s="152">
        <f t="shared" si="1"/>
        <v>0.59184785416666674</v>
      </c>
      <c r="O111" s="50">
        <v>0</v>
      </c>
      <c r="P111" s="152">
        <f t="shared" si="2"/>
        <v>0</v>
      </c>
      <c r="Q111" s="50">
        <v>0</v>
      </c>
    </row>
    <row r="112" spans="1:17" hidden="1" x14ac:dyDescent="0.25">
      <c r="A112" s="49" t="s">
        <v>704</v>
      </c>
      <c r="B112" s="49" t="s">
        <v>190</v>
      </c>
      <c r="C112" s="49" t="s">
        <v>191</v>
      </c>
      <c r="D112" s="49" t="s">
        <v>69</v>
      </c>
      <c r="E112" s="50">
        <v>5000000</v>
      </c>
      <c r="F112" s="50">
        <v>0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152" t="e">
        <f t="shared" si="0"/>
        <v>#DIV/0!</v>
      </c>
      <c r="M112" s="50">
        <v>0</v>
      </c>
      <c r="N112" s="152" t="e">
        <f t="shared" si="1"/>
        <v>#DIV/0!</v>
      </c>
      <c r="O112" s="50">
        <v>0</v>
      </c>
      <c r="P112" s="152" t="e">
        <f t="shared" si="2"/>
        <v>#DIV/0!</v>
      </c>
      <c r="Q112" s="50">
        <v>0</v>
      </c>
    </row>
    <row r="113" spans="1:17" hidden="1" x14ac:dyDescent="0.25">
      <c r="A113" s="49" t="s">
        <v>704</v>
      </c>
      <c r="B113" s="49" t="s">
        <v>192</v>
      </c>
      <c r="C113" s="49" t="s">
        <v>193</v>
      </c>
      <c r="D113" s="49" t="s">
        <v>69</v>
      </c>
      <c r="E113" s="50">
        <v>21000</v>
      </c>
      <c r="F113" s="50">
        <v>0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152" t="e">
        <f t="shared" si="0"/>
        <v>#DIV/0!</v>
      </c>
      <c r="M113" s="50">
        <v>0</v>
      </c>
      <c r="N113" s="152" t="e">
        <f t="shared" si="1"/>
        <v>#DIV/0!</v>
      </c>
      <c r="O113" s="50">
        <v>0</v>
      </c>
      <c r="P113" s="152" t="e">
        <f t="shared" si="2"/>
        <v>#DIV/0!</v>
      </c>
      <c r="Q113" s="50">
        <v>0</v>
      </c>
    </row>
    <row r="114" spans="1:17" hidden="1" x14ac:dyDescent="0.25">
      <c r="A114" s="49" t="s">
        <v>704</v>
      </c>
      <c r="B114" s="49" t="s">
        <v>196</v>
      </c>
      <c r="C114" s="49" t="s">
        <v>197</v>
      </c>
      <c r="D114" s="49" t="s">
        <v>69</v>
      </c>
      <c r="E114" s="50">
        <v>3000000</v>
      </c>
      <c r="F114" s="50">
        <v>2755000</v>
      </c>
      <c r="G114" s="50">
        <v>2755000</v>
      </c>
      <c r="H114" s="50">
        <v>0</v>
      </c>
      <c r="I114" s="50">
        <v>803026</v>
      </c>
      <c r="J114" s="50">
        <v>0</v>
      </c>
      <c r="K114" s="50">
        <v>1445734</v>
      </c>
      <c r="L114" s="152">
        <f t="shared" si="0"/>
        <v>0.52476733212341198</v>
      </c>
      <c r="M114" s="50">
        <v>1445734</v>
      </c>
      <c r="N114" s="152">
        <f t="shared" si="1"/>
        <v>0.52476733212341198</v>
      </c>
      <c r="O114" s="50">
        <v>506240</v>
      </c>
      <c r="P114" s="152">
        <f t="shared" si="2"/>
        <v>0.18375317604355718</v>
      </c>
      <c r="Q114" s="50">
        <v>506240</v>
      </c>
    </row>
    <row r="115" spans="1:17" hidden="1" x14ac:dyDescent="0.25">
      <c r="A115" s="49" t="s">
        <v>704</v>
      </c>
      <c r="B115" s="49" t="s">
        <v>198</v>
      </c>
      <c r="C115" s="49" t="s">
        <v>199</v>
      </c>
      <c r="D115" s="49" t="s">
        <v>69</v>
      </c>
      <c r="E115" s="50">
        <v>3000000</v>
      </c>
      <c r="F115" s="50">
        <v>2755000</v>
      </c>
      <c r="G115" s="50">
        <v>2755000</v>
      </c>
      <c r="H115" s="50">
        <v>0</v>
      </c>
      <c r="I115" s="50">
        <v>803026</v>
      </c>
      <c r="J115" s="50">
        <v>0</v>
      </c>
      <c r="K115" s="50">
        <v>1445734</v>
      </c>
      <c r="L115" s="152">
        <f t="shared" si="0"/>
        <v>0.52476733212341198</v>
      </c>
      <c r="M115" s="50">
        <v>1445734</v>
      </c>
      <c r="N115" s="152">
        <f t="shared" si="1"/>
        <v>0.52476733212341198</v>
      </c>
      <c r="O115" s="50">
        <v>506240</v>
      </c>
      <c r="P115" s="152">
        <f t="shared" si="2"/>
        <v>0.18375317604355718</v>
      </c>
      <c r="Q115" s="50">
        <v>506240</v>
      </c>
    </row>
    <row r="116" spans="1:17" hidden="1" x14ac:dyDescent="0.25">
      <c r="A116" s="49" t="s">
        <v>704</v>
      </c>
      <c r="B116" s="49" t="s">
        <v>206</v>
      </c>
      <c r="C116" s="49" t="s">
        <v>207</v>
      </c>
      <c r="D116" s="49" t="s">
        <v>69</v>
      </c>
      <c r="E116" s="50">
        <v>355000</v>
      </c>
      <c r="F116" s="50">
        <v>12615</v>
      </c>
      <c r="G116" s="50">
        <v>12615</v>
      </c>
      <c r="H116" s="50">
        <v>0</v>
      </c>
      <c r="I116" s="50">
        <v>0</v>
      </c>
      <c r="J116" s="50">
        <v>0</v>
      </c>
      <c r="K116" s="50">
        <v>12615</v>
      </c>
      <c r="L116" s="152">
        <f t="shared" si="0"/>
        <v>1</v>
      </c>
      <c r="M116" s="50">
        <v>12615</v>
      </c>
      <c r="N116" s="152">
        <f t="shared" si="1"/>
        <v>1</v>
      </c>
      <c r="O116" s="50">
        <v>0</v>
      </c>
      <c r="P116" s="152">
        <f t="shared" si="2"/>
        <v>0</v>
      </c>
      <c r="Q116" s="50">
        <v>0</v>
      </c>
    </row>
    <row r="117" spans="1:17" hidden="1" x14ac:dyDescent="0.25">
      <c r="A117" s="49" t="s">
        <v>704</v>
      </c>
      <c r="B117" s="49" t="s">
        <v>208</v>
      </c>
      <c r="C117" s="49" t="s">
        <v>209</v>
      </c>
      <c r="D117" s="49" t="s">
        <v>69</v>
      </c>
      <c r="E117" s="50">
        <v>130000</v>
      </c>
      <c r="F117" s="50">
        <v>12615</v>
      </c>
      <c r="G117" s="50">
        <v>12615</v>
      </c>
      <c r="H117" s="50">
        <v>0</v>
      </c>
      <c r="I117" s="50">
        <v>0</v>
      </c>
      <c r="J117" s="50">
        <v>0</v>
      </c>
      <c r="K117" s="50">
        <v>12615</v>
      </c>
      <c r="L117" s="152">
        <f t="shared" si="0"/>
        <v>1</v>
      </c>
      <c r="M117" s="50">
        <v>12615</v>
      </c>
      <c r="N117" s="152">
        <f t="shared" si="1"/>
        <v>1</v>
      </c>
      <c r="O117" s="50">
        <v>0</v>
      </c>
      <c r="P117" s="152">
        <f t="shared" si="2"/>
        <v>0</v>
      </c>
      <c r="Q117" s="50">
        <v>0</v>
      </c>
    </row>
    <row r="118" spans="1:17" hidden="1" x14ac:dyDescent="0.25">
      <c r="A118" s="49" t="s">
        <v>704</v>
      </c>
      <c r="B118" s="49" t="s">
        <v>210</v>
      </c>
      <c r="C118" s="49" t="s">
        <v>211</v>
      </c>
      <c r="D118" s="49" t="s">
        <v>69</v>
      </c>
      <c r="E118" s="50">
        <v>225000</v>
      </c>
      <c r="F118" s="50">
        <v>0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152" t="e">
        <f t="shared" si="0"/>
        <v>#DIV/0!</v>
      </c>
      <c r="M118" s="50">
        <v>0</v>
      </c>
      <c r="N118" s="152" t="e">
        <f t="shared" si="1"/>
        <v>#DIV/0!</v>
      </c>
      <c r="O118" s="50">
        <v>0</v>
      </c>
      <c r="P118" s="152" t="e">
        <f t="shared" si="2"/>
        <v>#DIV/0!</v>
      </c>
      <c r="Q118" s="50">
        <v>0</v>
      </c>
    </row>
    <row r="119" spans="1:17" hidden="1" x14ac:dyDescent="0.25">
      <c r="A119" s="49" t="s">
        <v>704</v>
      </c>
      <c r="B119" s="49" t="s">
        <v>212</v>
      </c>
      <c r="C119" s="49" t="s">
        <v>213</v>
      </c>
      <c r="D119" s="49" t="s">
        <v>69</v>
      </c>
      <c r="E119" s="50">
        <v>23005500</v>
      </c>
      <c r="F119" s="50">
        <v>20702500</v>
      </c>
      <c r="G119" s="50">
        <v>20702500</v>
      </c>
      <c r="H119" s="50">
        <v>0</v>
      </c>
      <c r="I119" s="50">
        <v>2492847.34</v>
      </c>
      <c r="J119" s="50">
        <v>279534</v>
      </c>
      <c r="K119" s="50">
        <v>17219369.850000001</v>
      </c>
      <c r="L119" s="152">
        <f t="shared" si="0"/>
        <v>0.83175316266151433</v>
      </c>
      <c r="M119" s="50">
        <v>6286032.25</v>
      </c>
      <c r="N119" s="152">
        <f t="shared" si="1"/>
        <v>0.30363638449462627</v>
      </c>
      <c r="O119" s="50">
        <v>710748.81</v>
      </c>
      <c r="P119" s="152">
        <f t="shared" si="2"/>
        <v>3.4331544982490039E-2</v>
      </c>
      <c r="Q119" s="50">
        <v>710748.81</v>
      </c>
    </row>
    <row r="120" spans="1:17" hidden="1" x14ac:dyDescent="0.25">
      <c r="A120" s="49" t="s">
        <v>704</v>
      </c>
      <c r="B120" s="49" t="s">
        <v>214</v>
      </c>
      <c r="C120" s="49" t="s">
        <v>215</v>
      </c>
      <c r="D120" s="49" t="s">
        <v>69</v>
      </c>
      <c r="E120" s="50">
        <v>2600000</v>
      </c>
      <c r="F120" s="50">
        <v>2050000</v>
      </c>
      <c r="G120" s="50">
        <v>2050000</v>
      </c>
      <c r="H120" s="50">
        <v>0</v>
      </c>
      <c r="I120" s="50">
        <v>238400.82</v>
      </c>
      <c r="J120" s="50">
        <v>279534</v>
      </c>
      <c r="K120" s="50">
        <v>1236620.6100000001</v>
      </c>
      <c r="L120" s="152">
        <f t="shared" si="0"/>
        <v>0.60322956585365861</v>
      </c>
      <c r="M120" s="50">
        <v>1236620.6100000001</v>
      </c>
      <c r="N120" s="152">
        <f t="shared" si="1"/>
        <v>0.60322956585365861</v>
      </c>
      <c r="O120" s="50">
        <v>295444.57</v>
      </c>
      <c r="P120" s="152">
        <f t="shared" si="2"/>
        <v>0.1441193024390244</v>
      </c>
      <c r="Q120" s="50">
        <v>295444.57</v>
      </c>
    </row>
    <row r="121" spans="1:17" hidden="1" x14ac:dyDescent="0.25">
      <c r="A121" s="49" t="s">
        <v>704</v>
      </c>
      <c r="B121" s="49" t="s">
        <v>216</v>
      </c>
      <c r="C121" s="49" t="s">
        <v>217</v>
      </c>
      <c r="D121" s="49" t="s">
        <v>69</v>
      </c>
      <c r="E121" s="50">
        <v>562500</v>
      </c>
      <c r="F121" s="50">
        <v>502500</v>
      </c>
      <c r="G121" s="50">
        <v>502500</v>
      </c>
      <c r="H121" s="50">
        <v>0</v>
      </c>
      <c r="I121" s="50">
        <v>0</v>
      </c>
      <c r="J121" s="50">
        <v>0</v>
      </c>
      <c r="K121" s="50">
        <v>495000</v>
      </c>
      <c r="L121" s="152">
        <f t="shared" si="0"/>
        <v>0.9850746268656716</v>
      </c>
      <c r="M121" s="50">
        <v>495000</v>
      </c>
      <c r="N121" s="152">
        <f t="shared" si="1"/>
        <v>0.9850746268656716</v>
      </c>
      <c r="O121" s="50">
        <v>7500</v>
      </c>
      <c r="P121" s="152">
        <f t="shared" si="2"/>
        <v>1.4925373134328358E-2</v>
      </c>
      <c r="Q121" s="50">
        <v>7500</v>
      </c>
    </row>
    <row r="122" spans="1:17" hidden="1" x14ac:dyDescent="0.25">
      <c r="A122" s="49" t="s">
        <v>704</v>
      </c>
      <c r="B122" s="49" t="s">
        <v>218</v>
      </c>
      <c r="C122" s="49" t="s">
        <v>219</v>
      </c>
      <c r="D122" s="49" t="s">
        <v>69</v>
      </c>
      <c r="E122" s="50">
        <v>8000000</v>
      </c>
      <c r="F122" s="50">
        <v>6450000</v>
      </c>
      <c r="G122" s="50">
        <v>6450000</v>
      </c>
      <c r="H122" s="50">
        <v>0</v>
      </c>
      <c r="I122" s="50">
        <v>2076810.52</v>
      </c>
      <c r="J122" s="50">
        <v>0</v>
      </c>
      <c r="K122" s="50">
        <v>3996530.64</v>
      </c>
      <c r="L122" s="152">
        <f t="shared" si="0"/>
        <v>0.6196171534883721</v>
      </c>
      <c r="M122" s="50">
        <v>3900141.64</v>
      </c>
      <c r="N122" s="152">
        <f t="shared" si="1"/>
        <v>0.60467312248062022</v>
      </c>
      <c r="O122" s="50">
        <v>376658.84</v>
      </c>
      <c r="P122" s="152">
        <f t="shared" si="2"/>
        <v>5.8396719379844968E-2</v>
      </c>
      <c r="Q122" s="50">
        <v>376658.84</v>
      </c>
    </row>
    <row r="123" spans="1:17" hidden="1" x14ac:dyDescent="0.25">
      <c r="A123" s="49" t="s">
        <v>704</v>
      </c>
      <c r="B123" s="49" t="s">
        <v>222</v>
      </c>
      <c r="C123" s="49" t="s">
        <v>223</v>
      </c>
      <c r="D123" s="49" t="s">
        <v>69</v>
      </c>
      <c r="E123" s="50">
        <v>11000000</v>
      </c>
      <c r="F123" s="50">
        <v>11000000</v>
      </c>
      <c r="G123" s="50">
        <v>11000000</v>
      </c>
      <c r="H123" s="50">
        <v>0</v>
      </c>
      <c r="I123" s="50">
        <v>177636</v>
      </c>
      <c r="J123" s="50">
        <v>0</v>
      </c>
      <c r="K123" s="50">
        <v>10809489.6</v>
      </c>
      <c r="L123" s="152">
        <f t="shared" si="0"/>
        <v>0.98268087272727267</v>
      </c>
      <c r="M123" s="50">
        <v>0</v>
      </c>
      <c r="N123" s="152">
        <f t="shared" si="1"/>
        <v>0</v>
      </c>
      <c r="O123" s="50">
        <v>12874.4</v>
      </c>
      <c r="P123" s="152">
        <f t="shared" si="2"/>
        <v>1.1704E-3</v>
      </c>
      <c r="Q123" s="50">
        <v>12874.4</v>
      </c>
    </row>
    <row r="124" spans="1:17" hidden="1" x14ac:dyDescent="0.25">
      <c r="A124" s="49" t="s">
        <v>704</v>
      </c>
      <c r="B124" s="49" t="s">
        <v>224</v>
      </c>
      <c r="C124" s="49" t="s">
        <v>225</v>
      </c>
      <c r="D124" s="49" t="s">
        <v>69</v>
      </c>
      <c r="E124" s="50">
        <v>800000</v>
      </c>
      <c r="F124" s="50">
        <v>700000</v>
      </c>
      <c r="G124" s="50">
        <v>700000</v>
      </c>
      <c r="H124" s="50">
        <v>0</v>
      </c>
      <c r="I124" s="50">
        <v>0</v>
      </c>
      <c r="J124" s="50">
        <v>0</v>
      </c>
      <c r="K124" s="50">
        <v>681729</v>
      </c>
      <c r="L124" s="152">
        <f t="shared" si="0"/>
        <v>0.97389857142857139</v>
      </c>
      <c r="M124" s="50">
        <v>654270</v>
      </c>
      <c r="N124" s="152">
        <f t="shared" si="1"/>
        <v>0.9346714285714286</v>
      </c>
      <c r="O124" s="50">
        <v>18271</v>
      </c>
      <c r="P124" s="152">
        <f t="shared" si="2"/>
        <v>2.6101428571428571E-2</v>
      </c>
      <c r="Q124" s="50">
        <v>18271</v>
      </c>
    </row>
    <row r="125" spans="1:17" hidden="1" x14ac:dyDescent="0.25">
      <c r="A125" s="49" t="s">
        <v>704</v>
      </c>
      <c r="B125" s="49" t="s">
        <v>226</v>
      </c>
      <c r="C125" s="49" t="s">
        <v>227</v>
      </c>
      <c r="D125" s="49" t="s">
        <v>69</v>
      </c>
      <c r="E125" s="50">
        <v>10000</v>
      </c>
      <c r="F125" s="50">
        <v>0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152" t="e">
        <f t="shared" si="0"/>
        <v>#DIV/0!</v>
      </c>
      <c r="M125" s="50">
        <v>0</v>
      </c>
      <c r="N125" s="152" t="e">
        <f t="shared" si="1"/>
        <v>#DIV/0!</v>
      </c>
      <c r="O125" s="50">
        <v>0</v>
      </c>
      <c r="P125" s="152" t="e">
        <f t="shared" si="2"/>
        <v>#DIV/0!</v>
      </c>
      <c r="Q125" s="50">
        <v>0</v>
      </c>
    </row>
    <row r="126" spans="1:17" hidden="1" x14ac:dyDescent="0.25">
      <c r="A126" s="49" t="s">
        <v>704</v>
      </c>
      <c r="B126" s="49" t="s">
        <v>228</v>
      </c>
      <c r="C126" s="49" t="s">
        <v>229</v>
      </c>
      <c r="D126" s="49" t="s">
        <v>69</v>
      </c>
      <c r="E126" s="50">
        <v>33000</v>
      </c>
      <c r="F126" s="50">
        <v>0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152" t="e">
        <f t="shared" si="0"/>
        <v>#DIV/0!</v>
      </c>
      <c r="M126" s="50">
        <v>0</v>
      </c>
      <c r="N126" s="152" t="e">
        <f t="shared" si="1"/>
        <v>#DIV/0!</v>
      </c>
      <c r="O126" s="50">
        <v>0</v>
      </c>
      <c r="P126" s="152" t="e">
        <f t="shared" si="2"/>
        <v>#DIV/0!</v>
      </c>
      <c r="Q126" s="50">
        <v>0</v>
      </c>
    </row>
    <row r="127" spans="1:17" hidden="1" x14ac:dyDescent="0.25">
      <c r="A127" s="49" t="s">
        <v>704</v>
      </c>
      <c r="B127" s="49" t="s">
        <v>248</v>
      </c>
      <c r="C127" s="49" t="s">
        <v>249</v>
      </c>
      <c r="D127" s="49" t="s">
        <v>69</v>
      </c>
      <c r="E127" s="50">
        <v>509299073</v>
      </c>
      <c r="F127" s="50">
        <v>511238316</v>
      </c>
      <c r="G127" s="50">
        <v>511116462</v>
      </c>
      <c r="H127" s="50">
        <v>0</v>
      </c>
      <c r="I127" s="50">
        <v>98859723.659999996</v>
      </c>
      <c r="J127" s="50">
        <v>0</v>
      </c>
      <c r="K127" s="50">
        <v>385773059.33999997</v>
      </c>
      <c r="L127" s="152">
        <f t="shared" si="0"/>
        <v>0.75458557636748025</v>
      </c>
      <c r="M127" s="50">
        <v>385773059.33999997</v>
      </c>
      <c r="N127" s="152">
        <f t="shared" si="1"/>
        <v>0.75458557636748025</v>
      </c>
      <c r="O127" s="50">
        <v>26605533</v>
      </c>
      <c r="P127" s="152">
        <f t="shared" si="2"/>
        <v>5.2041351689297091E-2</v>
      </c>
      <c r="Q127" s="50">
        <v>26483679</v>
      </c>
    </row>
    <row r="128" spans="1:17" hidden="1" x14ac:dyDescent="0.25">
      <c r="A128" s="49" t="s">
        <v>704</v>
      </c>
      <c r="B128" s="49" t="s">
        <v>250</v>
      </c>
      <c r="C128" s="49" t="s">
        <v>251</v>
      </c>
      <c r="D128" s="49" t="s">
        <v>69</v>
      </c>
      <c r="E128" s="50">
        <v>38994178</v>
      </c>
      <c r="F128" s="50">
        <v>38045421</v>
      </c>
      <c r="G128" s="50">
        <v>37923567</v>
      </c>
      <c r="H128" s="50">
        <v>0</v>
      </c>
      <c r="I128" s="50">
        <v>8689735</v>
      </c>
      <c r="J128" s="50">
        <v>0</v>
      </c>
      <c r="K128" s="50">
        <v>28801131</v>
      </c>
      <c r="L128" s="152">
        <f t="shared" si="0"/>
        <v>0.75701964239007891</v>
      </c>
      <c r="M128" s="50">
        <v>28801131</v>
      </c>
      <c r="N128" s="152">
        <f t="shared" si="1"/>
        <v>0.75701964239007891</v>
      </c>
      <c r="O128" s="50">
        <v>554555</v>
      </c>
      <c r="P128" s="152">
        <f t="shared" si="2"/>
        <v>1.457612993689832E-2</v>
      </c>
      <c r="Q128" s="50">
        <v>432701</v>
      </c>
    </row>
    <row r="129" spans="1:17" hidden="1" x14ac:dyDescent="0.25">
      <c r="A129" s="49" t="s">
        <v>704</v>
      </c>
      <c r="B129" s="49" t="s">
        <v>617</v>
      </c>
      <c r="C129" s="49" t="s">
        <v>253</v>
      </c>
      <c r="D129" s="49" t="s">
        <v>69</v>
      </c>
      <c r="E129" s="50">
        <v>2000000</v>
      </c>
      <c r="F129" s="50">
        <v>2000000</v>
      </c>
      <c r="G129" s="50">
        <v>2000000</v>
      </c>
      <c r="H129" s="50">
        <v>0</v>
      </c>
      <c r="I129" s="50">
        <v>0</v>
      </c>
      <c r="J129" s="50">
        <v>0</v>
      </c>
      <c r="K129" s="50">
        <v>2000000</v>
      </c>
      <c r="L129" s="152">
        <f t="shared" si="0"/>
        <v>1</v>
      </c>
      <c r="M129" s="50">
        <v>2000000</v>
      </c>
      <c r="N129" s="152">
        <f t="shared" si="1"/>
        <v>1</v>
      </c>
      <c r="O129" s="50">
        <v>0</v>
      </c>
      <c r="P129" s="152">
        <f t="shared" si="2"/>
        <v>0</v>
      </c>
      <c r="Q129" s="50">
        <v>0</v>
      </c>
    </row>
    <row r="130" spans="1:17" hidden="1" x14ac:dyDescent="0.25">
      <c r="A130" s="49" t="s">
        <v>704</v>
      </c>
      <c r="B130" s="49" t="s">
        <v>627</v>
      </c>
      <c r="C130" s="49" t="s">
        <v>702</v>
      </c>
      <c r="D130" s="49" t="s">
        <v>69</v>
      </c>
      <c r="E130" s="50">
        <v>31422808</v>
      </c>
      <c r="F130" s="50">
        <v>30616936</v>
      </c>
      <c r="G130" s="50">
        <v>30513436</v>
      </c>
      <c r="H130" s="50">
        <v>0</v>
      </c>
      <c r="I130" s="50">
        <v>7805183</v>
      </c>
      <c r="J130" s="50">
        <v>0</v>
      </c>
      <c r="K130" s="50">
        <v>22708253</v>
      </c>
      <c r="L130" s="152">
        <f t="shared" si="0"/>
        <v>0.74168927289131736</v>
      </c>
      <c r="M130" s="50">
        <v>22708253</v>
      </c>
      <c r="N130" s="152">
        <f t="shared" si="1"/>
        <v>0.74168927289131736</v>
      </c>
      <c r="O130" s="50">
        <v>103500</v>
      </c>
      <c r="P130" s="152">
        <f t="shared" si="2"/>
        <v>3.3804819659289226E-3</v>
      </c>
      <c r="Q130" s="50">
        <v>0</v>
      </c>
    </row>
    <row r="131" spans="1:17" hidden="1" x14ac:dyDescent="0.25">
      <c r="A131" s="49" t="s">
        <v>704</v>
      </c>
      <c r="B131" s="49" t="s">
        <v>642</v>
      </c>
      <c r="C131" s="49" t="s">
        <v>703</v>
      </c>
      <c r="D131" s="49" t="s">
        <v>69</v>
      </c>
      <c r="E131" s="50">
        <v>5571370</v>
      </c>
      <c r="F131" s="50">
        <v>5428485</v>
      </c>
      <c r="G131" s="50">
        <v>5410131</v>
      </c>
      <c r="H131" s="50">
        <v>0</v>
      </c>
      <c r="I131" s="50">
        <v>884552</v>
      </c>
      <c r="J131" s="50">
        <v>0</v>
      </c>
      <c r="K131" s="50">
        <v>4092878</v>
      </c>
      <c r="L131" s="152">
        <f t="shared" si="0"/>
        <v>0.75396321441433478</v>
      </c>
      <c r="M131" s="50">
        <v>4092878</v>
      </c>
      <c r="N131" s="152">
        <f t="shared" si="1"/>
        <v>0.75396321441433478</v>
      </c>
      <c r="O131" s="50">
        <v>451055</v>
      </c>
      <c r="P131" s="152">
        <f t="shared" si="2"/>
        <v>8.3090401834029201E-2</v>
      </c>
      <c r="Q131" s="50">
        <v>432701</v>
      </c>
    </row>
    <row r="132" spans="1:17" hidden="1" x14ac:dyDescent="0.25">
      <c r="A132" s="49" t="s">
        <v>704</v>
      </c>
      <c r="B132" s="49" t="s">
        <v>260</v>
      </c>
      <c r="C132" s="49" t="s">
        <v>261</v>
      </c>
      <c r="D132" s="49" t="s">
        <v>69</v>
      </c>
      <c r="E132" s="50">
        <v>47000000</v>
      </c>
      <c r="F132" s="50">
        <v>50498000</v>
      </c>
      <c r="G132" s="50">
        <v>50498000</v>
      </c>
      <c r="H132" s="50">
        <v>0</v>
      </c>
      <c r="I132" s="50">
        <v>22000000</v>
      </c>
      <c r="J132" s="50">
        <v>0</v>
      </c>
      <c r="K132" s="50">
        <v>2447022</v>
      </c>
      <c r="L132" s="152">
        <f t="shared" si="0"/>
        <v>4.8457800308923125E-2</v>
      </c>
      <c r="M132" s="50">
        <v>2447022</v>
      </c>
      <c r="N132" s="152">
        <f t="shared" si="1"/>
        <v>4.8457800308923125E-2</v>
      </c>
      <c r="O132" s="50">
        <v>26050978</v>
      </c>
      <c r="P132" s="152">
        <f t="shared" si="2"/>
        <v>0.51588138144084916</v>
      </c>
      <c r="Q132" s="50">
        <v>26050978</v>
      </c>
    </row>
    <row r="133" spans="1:17" hidden="1" x14ac:dyDescent="0.25">
      <c r="A133" s="49" t="s">
        <v>704</v>
      </c>
      <c r="B133" s="49" t="s">
        <v>262</v>
      </c>
      <c r="C133" s="49" t="s">
        <v>263</v>
      </c>
      <c r="D133" s="49" t="s">
        <v>69</v>
      </c>
      <c r="E133" s="50">
        <v>22000000</v>
      </c>
      <c r="F133" s="50">
        <v>43498000</v>
      </c>
      <c r="G133" s="50">
        <v>43498000</v>
      </c>
      <c r="H133" s="50">
        <v>0</v>
      </c>
      <c r="I133" s="50">
        <v>22000000</v>
      </c>
      <c r="J133" s="50">
        <v>0</v>
      </c>
      <c r="K133" s="50">
        <v>0</v>
      </c>
      <c r="L133" s="152">
        <f t="shared" si="0"/>
        <v>0</v>
      </c>
      <c r="M133" s="50">
        <v>0</v>
      </c>
      <c r="N133" s="152">
        <f t="shared" si="1"/>
        <v>0</v>
      </c>
      <c r="O133" s="50">
        <v>21498000</v>
      </c>
      <c r="P133" s="152">
        <f t="shared" si="2"/>
        <v>0.4942296197526323</v>
      </c>
      <c r="Q133" s="50">
        <v>21498000</v>
      </c>
    </row>
    <row r="134" spans="1:17" hidden="1" x14ac:dyDescent="0.25">
      <c r="A134" s="49" t="s">
        <v>704</v>
      </c>
      <c r="B134" s="49" t="s">
        <v>264</v>
      </c>
      <c r="C134" s="49" t="s">
        <v>265</v>
      </c>
      <c r="D134" s="49" t="s">
        <v>69</v>
      </c>
      <c r="E134" s="50">
        <v>25000000</v>
      </c>
      <c r="F134" s="50">
        <v>7000000</v>
      </c>
      <c r="G134" s="50">
        <v>7000000</v>
      </c>
      <c r="H134" s="50">
        <v>0</v>
      </c>
      <c r="I134" s="50">
        <v>0</v>
      </c>
      <c r="J134" s="50">
        <v>0</v>
      </c>
      <c r="K134" s="50">
        <v>2447022</v>
      </c>
      <c r="L134" s="152">
        <f t="shared" si="0"/>
        <v>0.3495745714285714</v>
      </c>
      <c r="M134" s="50">
        <v>2447022</v>
      </c>
      <c r="N134" s="152">
        <f t="shared" si="1"/>
        <v>0.3495745714285714</v>
      </c>
      <c r="O134" s="50">
        <v>4552978</v>
      </c>
      <c r="P134" s="152">
        <f t="shared" si="2"/>
        <v>0.6504254285714286</v>
      </c>
      <c r="Q134" s="50">
        <v>4552978</v>
      </c>
    </row>
    <row r="135" spans="1:17" hidden="1" x14ac:dyDescent="0.25">
      <c r="A135" s="49" t="s">
        <v>704</v>
      </c>
      <c r="B135" s="49" t="s">
        <v>266</v>
      </c>
      <c r="C135" s="49" t="s">
        <v>267</v>
      </c>
      <c r="D135" s="49" t="s">
        <v>69</v>
      </c>
      <c r="E135" s="50">
        <v>423304895</v>
      </c>
      <c r="F135" s="50">
        <v>422694895</v>
      </c>
      <c r="G135" s="50">
        <v>422694895</v>
      </c>
      <c r="H135" s="50">
        <v>0</v>
      </c>
      <c r="I135" s="50">
        <v>68169988.659999996</v>
      </c>
      <c r="J135" s="50">
        <v>0</v>
      </c>
      <c r="K135" s="50">
        <v>354524906.33999997</v>
      </c>
      <c r="L135" s="152">
        <f t="shared" si="0"/>
        <v>0.83872530880695872</v>
      </c>
      <c r="M135" s="50">
        <v>354524906.33999997</v>
      </c>
      <c r="N135" s="152">
        <f t="shared" si="1"/>
        <v>0.83872530880695872</v>
      </c>
      <c r="O135" s="50">
        <v>0</v>
      </c>
      <c r="P135" s="152">
        <f t="shared" si="2"/>
        <v>0</v>
      </c>
      <c r="Q135" s="50">
        <v>0</v>
      </c>
    </row>
    <row r="136" spans="1:17" hidden="1" x14ac:dyDescent="0.25">
      <c r="A136" s="49" t="s">
        <v>704</v>
      </c>
      <c r="B136" s="49" t="s">
        <v>664</v>
      </c>
      <c r="C136" s="49" t="s">
        <v>269</v>
      </c>
      <c r="D136" s="49" t="s">
        <v>69</v>
      </c>
      <c r="E136" s="50">
        <v>406300000</v>
      </c>
      <c r="F136" s="50">
        <v>406300000</v>
      </c>
      <c r="G136" s="50">
        <v>406300000</v>
      </c>
      <c r="H136" s="50">
        <v>0</v>
      </c>
      <c r="I136" s="50">
        <v>67716666</v>
      </c>
      <c r="J136" s="50">
        <v>0</v>
      </c>
      <c r="K136" s="50">
        <v>338583334</v>
      </c>
      <c r="L136" s="152">
        <f t="shared" si="0"/>
        <v>0.83333333497415707</v>
      </c>
      <c r="M136" s="50">
        <v>338583334</v>
      </c>
      <c r="N136" s="152">
        <f t="shared" si="1"/>
        <v>0.83333333497415707</v>
      </c>
      <c r="O136" s="50">
        <v>0</v>
      </c>
      <c r="P136" s="152">
        <f t="shared" si="2"/>
        <v>0</v>
      </c>
      <c r="Q136" s="50">
        <v>0</v>
      </c>
    </row>
    <row r="137" spans="1:17" hidden="1" x14ac:dyDescent="0.25">
      <c r="A137" s="49" t="s">
        <v>704</v>
      </c>
      <c r="B137" s="49" t="s">
        <v>666</v>
      </c>
      <c r="C137" s="49" t="s">
        <v>705</v>
      </c>
      <c r="D137" s="49" t="s">
        <v>69</v>
      </c>
      <c r="E137" s="50">
        <v>13007200</v>
      </c>
      <c r="F137" s="50">
        <v>13007200</v>
      </c>
      <c r="G137" s="50">
        <v>13007200</v>
      </c>
      <c r="H137" s="50">
        <v>0</v>
      </c>
      <c r="I137" s="50">
        <v>445902.76</v>
      </c>
      <c r="J137" s="50">
        <v>0</v>
      </c>
      <c r="K137" s="50">
        <v>12561297.24</v>
      </c>
      <c r="L137" s="152">
        <f t="shared" si="0"/>
        <v>0.96571877421735652</v>
      </c>
      <c r="M137" s="50">
        <v>12561297.24</v>
      </c>
      <c r="N137" s="152">
        <f t="shared" si="1"/>
        <v>0.96571877421735652</v>
      </c>
      <c r="O137" s="50">
        <v>0</v>
      </c>
      <c r="P137" s="152">
        <f t="shared" si="2"/>
        <v>0</v>
      </c>
      <c r="Q137" s="50">
        <v>0</v>
      </c>
    </row>
    <row r="138" spans="1:17" hidden="1" x14ac:dyDescent="0.25">
      <c r="A138" s="49" t="s">
        <v>704</v>
      </c>
      <c r="B138" s="49" t="s">
        <v>668</v>
      </c>
      <c r="C138" s="49" t="s">
        <v>273</v>
      </c>
      <c r="D138" s="49" t="s">
        <v>69</v>
      </c>
      <c r="E138" s="50">
        <v>3997695</v>
      </c>
      <c r="F138" s="50">
        <v>3387695</v>
      </c>
      <c r="G138" s="50">
        <v>3387695</v>
      </c>
      <c r="H138" s="50">
        <v>0</v>
      </c>
      <c r="I138" s="50">
        <v>7419.9</v>
      </c>
      <c r="J138" s="50">
        <v>0</v>
      </c>
      <c r="K138" s="50">
        <v>3380275.1</v>
      </c>
      <c r="L138" s="152">
        <f t="shared" si="0"/>
        <v>0.99780974969706548</v>
      </c>
      <c r="M138" s="50">
        <v>3380275.1</v>
      </c>
      <c r="N138" s="152">
        <f t="shared" si="1"/>
        <v>0.99780974969706548</v>
      </c>
      <c r="O138" s="50">
        <v>0</v>
      </c>
      <c r="P138" s="152">
        <f t="shared" si="2"/>
        <v>0</v>
      </c>
      <c r="Q138" s="50">
        <v>0</v>
      </c>
    </row>
    <row r="139" spans="1:17" hidden="1" x14ac:dyDescent="0.25">
      <c r="A139" s="49" t="s">
        <v>704</v>
      </c>
      <c r="B139" s="49" t="s">
        <v>230</v>
      </c>
      <c r="C139" s="49" t="s">
        <v>231</v>
      </c>
      <c r="D139" s="49" t="s">
        <v>85</v>
      </c>
      <c r="E139" s="50">
        <v>12109140</v>
      </c>
      <c r="F139" s="50">
        <v>8469140</v>
      </c>
      <c r="G139" s="50">
        <v>8469140</v>
      </c>
      <c r="H139" s="50">
        <v>0</v>
      </c>
      <c r="I139" s="50">
        <v>0</v>
      </c>
      <c r="J139" s="50">
        <v>0</v>
      </c>
      <c r="K139" s="50">
        <v>0</v>
      </c>
      <c r="L139" s="152">
        <f t="shared" si="0"/>
        <v>0</v>
      </c>
      <c r="M139" s="50">
        <v>0</v>
      </c>
      <c r="N139" s="152">
        <f t="shared" si="1"/>
        <v>0</v>
      </c>
      <c r="O139" s="50">
        <v>8469140</v>
      </c>
      <c r="P139" s="152">
        <f t="shared" si="2"/>
        <v>1</v>
      </c>
      <c r="Q139" s="50">
        <v>8469140</v>
      </c>
    </row>
    <row r="140" spans="1:17" hidden="1" x14ac:dyDescent="0.25">
      <c r="A140" s="49" t="s">
        <v>704</v>
      </c>
      <c r="B140" s="49" t="s">
        <v>232</v>
      </c>
      <c r="C140" s="49" t="s">
        <v>233</v>
      </c>
      <c r="D140" s="49" t="s">
        <v>85</v>
      </c>
      <c r="E140" s="50">
        <v>12109140</v>
      </c>
      <c r="F140" s="50">
        <v>8469140</v>
      </c>
      <c r="G140" s="50">
        <v>8469140</v>
      </c>
      <c r="H140" s="50">
        <v>0</v>
      </c>
      <c r="I140" s="50">
        <v>0</v>
      </c>
      <c r="J140" s="50">
        <v>0</v>
      </c>
      <c r="K140" s="50">
        <v>0</v>
      </c>
      <c r="L140" s="152">
        <f t="shared" si="0"/>
        <v>0</v>
      </c>
      <c r="M140" s="50">
        <v>0</v>
      </c>
      <c r="N140" s="152">
        <f t="shared" si="1"/>
        <v>0</v>
      </c>
      <c r="O140" s="50">
        <v>8469140</v>
      </c>
      <c r="P140" s="152">
        <f t="shared" si="2"/>
        <v>1</v>
      </c>
      <c r="Q140" s="50">
        <v>8469140</v>
      </c>
    </row>
    <row r="141" spans="1:17" hidden="1" x14ac:dyDescent="0.25">
      <c r="A141" s="49" t="s">
        <v>704</v>
      </c>
      <c r="B141" s="49" t="s">
        <v>234</v>
      </c>
      <c r="C141" s="49" t="s">
        <v>235</v>
      </c>
      <c r="D141" s="49" t="s">
        <v>85</v>
      </c>
      <c r="E141" s="50">
        <v>120000</v>
      </c>
      <c r="F141" s="50">
        <v>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152" t="e">
        <f t="shared" si="0"/>
        <v>#DIV/0!</v>
      </c>
      <c r="M141" s="50">
        <v>0</v>
      </c>
      <c r="N141" s="152" t="e">
        <f t="shared" si="1"/>
        <v>#DIV/0!</v>
      </c>
      <c r="O141" s="50">
        <v>0</v>
      </c>
      <c r="P141" s="152" t="e">
        <f t="shared" si="2"/>
        <v>#DIV/0!</v>
      </c>
      <c r="Q141" s="50">
        <v>0</v>
      </c>
    </row>
    <row r="142" spans="1:17" hidden="1" x14ac:dyDescent="0.25">
      <c r="A142" s="49" t="s">
        <v>704</v>
      </c>
      <c r="B142" s="49" t="s">
        <v>236</v>
      </c>
      <c r="C142" s="49" t="s">
        <v>237</v>
      </c>
      <c r="D142" s="49" t="s">
        <v>85</v>
      </c>
      <c r="E142" s="50">
        <v>620000</v>
      </c>
      <c r="F142" s="50">
        <v>0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152" t="e">
        <f t="shared" si="0"/>
        <v>#DIV/0!</v>
      </c>
      <c r="M142" s="50">
        <v>0</v>
      </c>
      <c r="N142" s="152" t="e">
        <f t="shared" si="1"/>
        <v>#DIV/0!</v>
      </c>
      <c r="O142" s="50">
        <v>0</v>
      </c>
      <c r="P142" s="152" t="e">
        <f t="shared" si="2"/>
        <v>#DIV/0!</v>
      </c>
      <c r="Q142" s="50">
        <v>0</v>
      </c>
    </row>
    <row r="143" spans="1:17" hidden="1" x14ac:dyDescent="0.25">
      <c r="A143" s="49" t="s">
        <v>704</v>
      </c>
      <c r="B143" s="49" t="s">
        <v>238</v>
      </c>
      <c r="C143" s="49" t="s">
        <v>239</v>
      </c>
      <c r="D143" s="49" t="s">
        <v>85</v>
      </c>
      <c r="E143" s="50">
        <v>11369140</v>
      </c>
      <c r="F143" s="50">
        <v>8469140</v>
      </c>
      <c r="G143" s="50">
        <v>8469140</v>
      </c>
      <c r="H143" s="50">
        <v>0</v>
      </c>
      <c r="I143" s="50">
        <v>0</v>
      </c>
      <c r="J143" s="50">
        <v>0</v>
      </c>
      <c r="K143" s="50">
        <v>0</v>
      </c>
      <c r="L143" s="152">
        <f t="shared" si="0"/>
        <v>0</v>
      </c>
      <c r="M143" s="50">
        <v>0</v>
      </c>
      <c r="N143" s="152">
        <f t="shared" si="1"/>
        <v>0</v>
      </c>
      <c r="O143" s="50">
        <v>8469140</v>
      </c>
      <c r="P143" s="152">
        <f t="shared" si="2"/>
        <v>1</v>
      </c>
      <c r="Q143" s="50">
        <v>8469140</v>
      </c>
    </row>
    <row r="144" spans="1:17" x14ac:dyDescent="0.25">
      <c r="A144" s="49">
        <v>214788</v>
      </c>
      <c r="B144" s="49"/>
      <c r="C144" s="49"/>
      <c r="D144" s="49" t="s">
        <v>69</v>
      </c>
      <c r="E144" s="50">
        <v>3537393833</v>
      </c>
      <c r="F144" s="50">
        <v>2849531919</v>
      </c>
      <c r="G144" s="50">
        <v>2730753999.73</v>
      </c>
      <c r="H144" s="50">
        <v>102135448.87</v>
      </c>
      <c r="I144" s="50">
        <v>254102917</v>
      </c>
      <c r="J144" s="50">
        <v>14196733.359999999</v>
      </c>
      <c r="K144" s="50">
        <v>1783526695.6500001</v>
      </c>
      <c r="L144" s="152">
        <f t="shared" si="0"/>
        <v>0.62590163800512955</v>
      </c>
      <c r="M144" s="50">
        <v>1658325058.8299999</v>
      </c>
      <c r="N144" s="152">
        <f t="shared" si="1"/>
        <v>0.58196402285325655</v>
      </c>
      <c r="O144" s="50">
        <v>695570124.12</v>
      </c>
      <c r="P144" s="152">
        <f t="shared" si="2"/>
        <v>0.24409978336515697</v>
      </c>
      <c r="Q144" s="50">
        <v>576792204.85000002</v>
      </c>
    </row>
    <row r="145" spans="1:17" hidden="1" x14ac:dyDescent="0.25">
      <c r="A145" s="49" t="s">
        <v>706</v>
      </c>
      <c r="B145" s="49" t="s">
        <v>71</v>
      </c>
      <c r="C145" s="49" t="s">
        <v>72</v>
      </c>
      <c r="D145" s="49" t="s">
        <v>69</v>
      </c>
      <c r="E145" s="50">
        <v>1329087181</v>
      </c>
      <c r="F145" s="50">
        <v>1295200816</v>
      </c>
      <c r="G145" s="50">
        <v>1195222901</v>
      </c>
      <c r="H145" s="50">
        <v>0</v>
      </c>
      <c r="I145" s="50">
        <v>49934541.950000003</v>
      </c>
      <c r="J145" s="50">
        <v>0</v>
      </c>
      <c r="K145" s="50">
        <v>896228520.67999995</v>
      </c>
      <c r="L145" s="152">
        <f t="shared" si="0"/>
        <v>0.69196105314992329</v>
      </c>
      <c r="M145" s="50">
        <v>896228520.67999995</v>
      </c>
      <c r="N145" s="152">
        <f t="shared" si="1"/>
        <v>0.69196105314992329</v>
      </c>
      <c r="O145" s="50">
        <v>349037753.37</v>
      </c>
      <c r="P145" s="152">
        <f t="shared" si="2"/>
        <v>0.26948543350052984</v>
      </c>
      <c r="Q145" s="50">
        <v>249059838.37</v>
      </c>
    </row>
    <row r="146" spans="1:17" hidden="1" x14ac:dyDescent="0.25">
      <c r="A146" s="49" t="s">
        <v>706</v>
      </c>
      <c r="B146" s="49" t="s">
        <v>73</v>
      </c>
      <c r="C146" s="49" t="s">
        <v>74</v>
      </c>
      <c r="D146" s="49" t="s">
        <v>69</v>
      </c>
      <c r="E146" s="50">
        <v>512821400</v>
      </c>
      <c r="F146" s="50">
        <v>494422100</v>
      </c>
      <c r="G146" s="50">
        <v>405152462</v>
      </c>
      <c r="H146" s="50">
        <v>0</v>
      </c>
      <c r="I146" s="50">
        <v>0</v>
      </c>
      <c r="J146" s="50">
        <v>0</v>
      </c>
      <c r="K146" s="50">
        <v>378745099.94999999</v>
      </c>
      <c r="L146" s="152">
        <f t="shared" si="0"/>
        <v>0.76603594368051098</v>
      </c>
      <c r="M146" s="50">
        <v>378745099.94999999</v>
      </c>
      <c r="N146" s="152">
        <f t="shared" si="1"/>
        <v>0.76603594368051098</v>
      </c>
      <c r="O146" s="50">
        <v>115677000.05</v>
      </c>
      <c r="P146" s="152">
        <f t="shared" si="2"/>
        <v>0.23396405631948894</v>
      </c>
      <c r="Q146" s="50">
        <v>26407362.050000001</v>
      </c>
    </row>
    <row r="147" spans="1:17" hidden="1" x14ac:dyDescent="0.25">
      <c r="A147" s="49" t="s">
        <v>706</v>
      </c>
      <c r="B147" s="49" t="s">
        <v>75</v>
      </c>
      <c r="C147" s="49" t="s">
        <v>76</v>
      </c>
      <c r="D147" s="49" t="s">
        <v>69</v>
      </c>
      <c r="E147" s="50">
        <v>507821400</v>
      </c>
      <c r="F147" s="50">
        <v>493222100</v>
      </c>
      <c r="G147" s="50">
        <v>403952462</v>
      </c>
      <c r="H147" s="50">
        <v>0</v>
      </c>
      <c r="I147" s="50">
        <v>0</v>
      </c>
      <c r="J147" s="50">
        <v>0</v>
      </c>
      <c r="K147" s="50">
        <v>378745099.94999999</v>
      </c>
      <c r="L147" s="152">
        <f t="shared" si="0"/>
        <v>0.76789969457978458</v>
      </c>
      <c r="M147" s="50">
        <v>378745099.94999999</v>
      </c>
      <c r="N147" s="152">
        <f t="shared" si="1"/>
        <v>0.76789969457978458</v>
      </c>
      <c r="O147" s="50">
        <v>114477000.05</v>
      </c>
      <c r="P147" s="152">
        <f t="shared" si="2"/>
        <v>0.23210030542021534</v>
      </c>
      <c r="Q147" s="50">
        <v>25207362.050000001</v>
      </c>
    </row>
    <row r="148" spans="1:17" hidden="1" x14ac:dyDescent="0.25">
      <c r="A148" s="49" t="s">
        <v>706</v>
      </c>
      <c r="B148" s="49" t="s">
        <v>291</v>
      </c>
      <c r="C148" s="49" t="s">
        <v>292</v>
      </c>
      <c r="D148" s="49" t="s">
        <v>69</v>
      </c>
      <c r="E148" s="50">
        <v>5000000</v>
      </c>
      <c r="F148" s="50">
        <v>1200000</v>
      </c>
      <c r="G148" s="50">
        <v>1200000</v>
      </c>
      <c r="H148" s="50">
        <v>0</v>
      </c>
      <c r="I148" s="50">
        <v>0</v>
      </c>
      <c r="J148" s="50">
        <v>0</v>
      </c>
      <c r="K148" s="50">
        <v>0</v>
      </c>
      <c r="L148" s="152">
        <f t="shared" si="0"/>
        <v>0</v>
      </c>
      <c r="M148" s="50">
        <v>0</v>
      </c>
      <c r="N148" s="152">
        <f t="shared" si="1"/>
        <v>0</v>
      </c>
      <c r="O148" s="50">
        <v>1200000</v>
      </c>
      <c r="P148" s="152">
        <f t="shared" si="2"/>
        <v>1</v>
      </c>
      <c r="Q148" s="50">
        <v>1200000</v>
      </c>
    </row>
    <row r="149" spans="1:17" hidden="1" x14ac:dyDescent="0.25">
      <c r="A149" s="49" t="s">
        <v>706</v>
      </c>
      <c r="B149" s="49" t="s">
        <v>293</v>
      </c>
      <c r="C149" s="49" t="s">
        <v>294</v>
      </c>
      <c r="D149" s="49" t="s">
        <v>69</v>
      </c>
      <c r="E149" s="50">
        <v>11000000</v>
      </c>
      <c r="F149" s="50">
        <v>11000000</v>
      </c>
      <c r="G149" s="50">
        <v>11000000</v>
      </c>
      <c r="H149" s="50">
        <v>0</v>
      </c>
      <c r="I149" s="50">
        <v>0</v>
      </c>
      <c r="J149" s="50">
        <v>0</v>
      </c>
      <c r="K149" s="50">
        <v>2788282.07</v>
      </c>
      <c r="L149" s="152">
        <f t="shared" si="0"/>
        <v>0.25348018818181817</v>
      </c>
      <c r="M149" s="50">
        <v>2788282.07</v>
      </c>
      <c r="N149" s="152">
        <f t="shared" si="1"/>
        <v>0.25348018818181817</v>
      </c>
      <c r="O149" s="50">
        <v>8211717.9299999997</v>
      </c>
      <c r="P149" s="152">
        <f t="shared" si="2"/>
        <v>0.74651981181818183</v>
      </c>
      <c r="Q149" s="50">
        <v>8211717.9299999997</v>
      </c>
    </row>
    <row r="150" spans="1:17" hidden="1" x14ac:dyDescent="0.25">
      <c r="A150" s="49" t="s">
        <v>706</v>
      </c>
      <c r="B150" s="49" t="s">
        <v>295</v>
      </c>
      <c r="C150" s="49" t="s">
        <v>296</v>
      </c>
      <c r="D150" s="49" t="s">
        <v>69</v>
      </c>
      <c r="E150" s="50">
        <v>11000000</v>
      </c>
      <c r="F150" s="50">
        <v>11000000</v>
      </c>
      <c r="G150" s="50">
        <v>11000000</v>
      </c>
      <c r="H150" s="50">
        <v>0</v>
      </c>
      <c r="I150" s="50">
        <v>0</v>
      </c>
      <c r="J150" s="50">
        <v>0</v>
      </c>
      <c r="K150" s="50">
        <v>2788282.07</v>
      </c>
      <c r="L150" s="152">
        <f t="shared" si="0"/>
        <v>0.25348018818181817</v>
      </c>
      <c r="M150" s="50">
        <v>2788282.07</v>
      </c>
      <c r="N150" s="152">
        <f t="shared" si="1"/>
        <v>0.25348018818181817</v>
      </c>
      <c r="O150" s="50">
        <v>8211717.9299999997</v>
      </c>
      <c r="P150" s="152">
        <f t="shared" si="2"/>
        <v>0.74651981181818183</v>
      </c>
      <c r="Q150" s="50">
        <v>8211717.9299999997</v>
      </c>
    </row>
    <row r="151" spans="1:17" hidden="1" x14ac:dyDescent="0.25">
      <c r="A151" s="49" t="s">
        <v>706</v>
      </c>
      <c r="B151" s="49" t="s">
        <v>77</v>
      </c>
      <c r="C151" s="49" t="s">
        <v>78</v>
      </c>
      <c r="D151" s="49" t="s">
        <v>69</v>
      </c>
      <c r="E151" s="50">
        <v>602518513</v>
      </c>
      <c r="F151" s="50">
        <v>592617728</v>
      </c>
      <c r="G151" s="50">
        <v>586019351</v>
      </c>
      <c r="H151" s="50">
        <v>0</v>
      </c>
      <c r="I151" s="50">
        <v>0</v>
      </c>
      <c r="J151" s="50">
        <v>0</v>
      </c>
      <c r="K151" s="50">
        <v>371578592.61000001</v>
      </c>
      <c r="L151" s="152">
        <f t="shared" si="0"/>
        <v>0.62701227967652029</v>
      </c>
      <c r="M151" s="50">
        <v>371578592.61000001</v>
      </c>
      <c r="N151" s="152">
        <f t="shared" si="1"/>
        <v>0.62701227967652029</v>
      </c>
      <c r="O151" s="50">
        <v>221039135.38999999</v>
      </c>
      <c r="P151" s="152">
        <f t="shared" si="2"/>
        <v>0.37298772032347971</v>
      </c>
      <c r="Q151" s="50">
        <v>214440758.38999999</v>
      </c>
    </row>
    <row r="152" spans="1:17" hidden="1" x14ac:dyDescent="0.25">
      <c r="A152" s="49" t="s">
        <v>706</v>
      </c>
      <c r="B152" s="49" t="s">
        <v>79</v>
      </c>
      <c r="C152" s="49" t="s">
        <v>80</v>
      </c>
      <c r="D152" s="49" t="s">
        <v>69</v>
      </c>
      <c r="E152" s="50">
        <v>160994500</v>
      </c>
      <c r="F152" s="50">
        <v>160412072</v>
      </c>
      <c r="G152" s="50">
        <v>153813695</v>
      </c>
      <c r="H152" s="50">
        <v>0</v>
      </c>
      <c r="I152" s="50">
        <v>0</v>
      </c>
      <c r="J152" s="50">
        <v>0</v>
      </c>
      <c r="K152" s="50">
        <v>113290298.36</v>
      </c>
      <c r="L152" s="152">
        <f t="shared" si="0"/>
        <v>0.70624546486750694</v>
      </c>
      <c r="M152" s="50">
        <v>113290298.36</v>
      </c>
      <c r="N152" s="152">
        <f t="shared" si="1"/>
        <v>0.70624546486750694</v>
      </c>
      <c r="O152" s="50">
        <v>47121773.640000001</v>
      </c>
      <c r="P152" s="152">
        <f t="shared" si="2"/>
        <v>0.293754535132493</v>
      </c>
      <c r="Q152" s="50">
        <v>40523396.640000001</v>
      </c>
    </row>
    <row r="153" spans="1:17" hidden="1" x14ac:dyDescent="0.25">
      <c r="A153" s="49" t="s">
        <v>706</v>
      </c>
      <c r="B153" s="49" t="s">
        <v>81</v>
      </c>
      <c r="C153" s="49" t="s">
        <v>82</v>
      </c>
      <c r="D153" s="49" t="s">
        <v>69</v>
      </c>
      <c r="E153" s="50">
        <v>218799248</v>
      </c>
      <c r="F153" s="50">
        <v>212368846</v>
      </c>
      <c r="G153" s="50">
        <v>212368846</v>
      </c>
      <c r="H153" s="50">
        <v>0</v>
      </c>
      <c r="I153" s="50">
        <v>0</v>
      </c>
      <c r="J153" s="50">
        <v>0</v>
      </c>
      <c r="K153" s="50">
        <v>147611607.74000001</v>
      </c>
      <c r="L153" s="152">
        <f t="shared" si="0"/>
        <v>0.69507185503093993</v>
      </c>
      <c r="M153" s="50">
        <v>147611607.74000001</v>
      </c>
      <c r="N153" s="152">
        <f t="shared" si="1"/>
        <v>0.69507185503093993</v>
      </c>
      <c r="O153" s="50">
        <v>64757238.259999998</v>
      </c>
      <c r="P153" s="152">
        <f t="shared" si="2"/>
        <v>0.30492814496906007</v>
      </c>
      <c r="Q153" s="50">
        <v>64757238.259999998</v>
      </c>
    </row>
    <row r="154" spans="1:17" hidden="1" x14ac:dyDescent="0.25">
      <c r="A154" s="49" t="s">
        <v>706</v>
      </c>
      <c r="B154" s="49" t="s">
        <v>86</v>
      </c>
      <c r="C154" s="49" t="s">
        <v>87</v>
      </c>
      <c r="D154" s="49" t="s">
        <v>69</v>
      </c>
      <c r="E154" s="50">
        <v>79437600</v>
      </c>
      <c r="F154" s="50">
        <v>79437600</v>
      </c>
      <c r="G154" s="50">
        <v>79437600</v>
      </c>
      <c r="H154" s="50">
        <v>0</v>
      </c>
      <c r="I154" s="50">
        <v>0</v>
      </c>
      <c r="J154" s="50">
        <v>0</v>
      </c>
      <c r="K154" s="50">
        <v>70693690.870000005</v>
      </c>
      <c r="L154" s="152">
        <f t="shared" si="0"/>
        <v>0.88992732496953586</v>
      </c>
      <c r="M154" s="50">
        <v>70693690.870000005</v>
      </c>
      <c r="N154" s="152">
        <f t="shared" si="1"/>
        <v>0.88992732496953586</v>
      </c>
      <c r="O154" s="50">
        <v>8743909.1300000008</v>
      </c>
      <c r="P154" s="152">
        <f t="shared" si="2"/>
        <v>0.11007267503046417</v>
      </c>
      <c r="Q154" s="50">
        <v>8743909.1300000008</v>
      </c>
    </row>
    <row r="155" spans="1:17" hidden="1" x14ac:dyDescent="0.25">
      <c r="A155" s="49" t="s">
        <v>706</v>
      </c>
      <c r="B155" s="49" t="s">
        <v>88</v>
      </c>
      <c r="C155" s="49" t="s">
        <v>89</v>
      </c>
      <c r="D155" s="49" t="s">
        <v>69</v>
      </c>
      <c r="E155" s="50">
        <v>56677700</v>
      </c>
      <c r="F155" s="50">
        <v>56181050</v>
      </c>
      <c r="G155" s="50">
        <v>56181050</v>
      </c>
      <c r="H155" s="50">
        <v>0</v>
      </c>
      <c r="I155" s="50">
        <v>0</v>
      </c>
      <c r="J155" s="50">
        <v>0</v>
      </c>
      <c r="K155" s="50">
        <v>39892895.640000001</v>
      </c>
      <c r="L155" s="152">
        <f t="shared" si="0"/>
        <v>0.71007743073509666</v>
      </c>
      <c r="M155" s="50">
        <v>39892895.640000001</v>
      </c>
      <c r="N155" s="152">
        <f t="shared" si="1"/>
        <v>0.71007743073509666</v>
      </c>
      <c r="O155" s="50">
        <v>16288154.359999999</v>
      </c>
      <c r="P155" s="152">
        <f t="shared" si="2"/>
        <v>0.2899225692649034</v>
      </c>
      <c r="Q155" s="50">
        <v>16288154.359999999</v>
      </c>
    </row>
    <row r="156" spans="1:17" hidden="1" x14ac:dyDescent="0.25">
      <c r="A156" s="49" t="s">
        <v>706</v>
      </c>
      <c r="B156" s="49" t="s">
        <v>83</v>
      </c>
      <c r="C156" s="49" t="s">
        <v>84</v>
      </c>
      <c r="D156" s="49" t="s">
        <v>85</v>
      </c>
      <c r="E156" s="50">
        <v>86609465</v>
      </c>
      <c r="F156" s="50">
        <v>84218160</v>
      </c>
      <c r="G156" s="50">
        <v>84218160</v>
      </c>
      <c r="H156" s="50">
        <v>0</v>
      </c>
      <c r="I156" s="50">
        <v>0</v>
      </c>
      <c r="J156" s="50">
        <v>0</v>
      </c>
      <c r="K156" s="50">
        <v>90100</v>
      </c>
      <c r="L156" s="152">
        <f t="shared" si="0"/>
        <v>1.0698405189569565E-3</v>
      </c>
      <c r="M156" s="50">
        <v>90100</v>
      </c>
      <c r="N156" s="152">
        <f t="shared" si="1"/>
        <v>1.0698405189569565E-3</v>
      </c>
      <c r="O156" s="50">
        <v>84128060</v>
      </c>
      <c r="P156" s="152">
        <f t="shared" si="2"/>
        <v>0.99893015948104302</v>
      </c>
      <c r="Q156" s="50">
        <v>84128060</v>
      </c>
    </row>
    <row r="157" spans="1:17" hidden="1" x14ac:dyDescent="0.25">
      <c r="A157" s="49" t="s">
        <v>706</v>
      </c>
      <c r="B157" s="49" t="s">
        <v>90</v>
      </c>
      <c r="C157" s="49" t="s">
        <v>91</v>
      </c>
      <c r="D157" s="49" t="s">
        <v>69</v>
      </c>
      <c r="E157" s="50">
        <v>101373634</v>
      </c>
      <c r="F157" s="50">
        <v>98580493</v>
      </c>
      <c r="G157" s="50">
        <v>98580493</v>
      </c>
      <c r="H157" s="50">
        <v>0</v>
      </c>
      <c r="I157" s="50">
        <v>26711598.02</v>
      </c>
      <c r="J157" s="50">
        <v>0</v>
      </c>
      <c r="K157" s="50">
        <v>71868894.980000004</v>
      </c>
      <c r="L157" s="152">
        <f t="shared" si="0"/>
        <v>0.72903769085431536</v>
      </c>
      <c r="M157" s="50">
        <v>71868894.980000004</v>
      </c>
      <c r="N157" s="152">
        <f t="shared" si="1"/>
        <v>0.72903769085431536</v>
      </c>
      <c r="O157" s="50">
        <v>0</v>
      </c>
      <c r="P157" s="152">
        <f t="shared" si="2"/>
        <v>0</v>
      </c>
      <c r="Q157" s="50">
        <v>0</v>
      </c>
    </row>
    <row r="158" spans="1:17" hidden="1" x14ac:dyDescent="0.25">
      <c r="A158" s="49" t="s">
        <v>706</v>
      </c>
      <c r="B158" s="49" t="s">
        <v>419</v>
      </c>
      <c r="C158" s="49" t="s">
        <v>697</v>
      </c>
      <c r="D158" s="49" t="s">
        <v>69</v>
      </c>
      <c r="E158" s="50">
        <v>96175035</v>
      </c>
      <c r="F158" s="50">
        <v>93525131</v>
      </c>
      <c r="G158" s="50">
        <v>93525131</v>
      </c>
      <c r="H158" s="50">
        <v>0</v>
      </c>
      <c r="I158" s="50">
        <v>25341662.050000001</v>
      </c>
      <c r="J158" s="50">
        <v>0</v>
      </c>
      <c r="K158" s="50">
        <v>68183468.950000003</v>
      </c>
      <c r="L158" s="152">
        <f t="shared" si="0"/>
        <v>0.72903901038107077</v>
      </c>
      <c r="M158" s="50">
        <v>68183468.950000003</v>
      </c>
      <c r="N158" s="152">
        <f t="shared" si="1"/>
        <v>0.72903901038107077</v>
      </c>
      <c r="O158" s="50">
        <v>0</v>
      </c>
      <c r="P158" s="152">
        <f t="shared" si="2"/>
        <v>0</v>
      </c>
      <c r="Q158" s="50">
        <v>0</v>
      </c>
    </row>
    <row r="159" spans="1:17" hidden="1" x14ac:dyDescent="0.25">
      <c r="A159" s="49" t="s">
        <v>706</v>
      </c>
      <c r="B159" s="49" t="s">
        <v>436</v>
      </c>
      <c r="C159" s="49" t="s">
        <v>95</v>
      </c>
      <c r="D159" s="49" t="s">
        <v>69</v>
      </c>
      <c r="E159" s="50">
        <v>5198599</v>
      </c>
      <c r="F159" s="50">
        <v>5055362</v>
      </c>
      <c r="G159" s="50">
        <v>5055362</v>
      </c>
      <c r="H159" s="50">
        <v>0</v>
      </c>
      <c r="I159" s="50">
        <v>1369935.97</v>
      </c>
      <c r="J159" s="50">
        <v>0</v>
      </c>
      <c r="K159" s="50">
        <v>3685426.03</v>
      </c>
      <c r="L159" s="152">
        <f t="shared" si="0"/>
        <v>0.72901327936555282</v>
      </c>
      <c r="M159" s="50">
        <v>3685426.03</v>
      </c>
      <c r="N159" s="152">
        <f t="shared" si="1"/>
        <v>0.72901327936555282</v>
      </c>
      <c r="O159" s="50">
        <v>0</v>
      </c>
      <c r="P159" s="152">
        <f t="shared" si="2"/>
        <v>0</v>
      </c>
      <c r="Q159" s="50">
        <v>0</v>
      </c>
    </row>
    <row r="160" spans="1:17" hidden="1" x14ac:dyDescent="0.25">
      <c r="A160" s="49" t="s">
        <v>706</v>
      </c>
      <c r="B160" s="49" t="s">
        <v>96</v>
      </c>
      <c r="C160" s="49" t="s">
        <v>97</v>
      </c>
      <c r="D160" s="49" t="s">
        <v>69</v>
      </c>
      <c r="E160" s="50">
        <v>101373634</v>
      </c>
      <c r="F160" s="50">
        <v>98580495</v>
      </c>
      <c r="G160" s="50">
        <v>94470595</v>
      </c>
      <c r="H160" s="50">
        <v>0</v>
      </c>
      <c r="I160" s="50">
        <v>23222943.93</v>
      </c>
      <c r="J160" s="50">
        <v>0</v>
      </c>
      <c r="K160" s="50">
        <v>71247651.069999993</v>
      </c>
      <c r="L160" s="152">
        <f t="shared" si="0"/>
        <v>0.72273578125165627</v>
      </c>
      <c r="M160" s="50">
        <v>71247651.069999993</v>
      </c>
      <c r="N160" s="152">
        <f t="shared" si="1"/>
        <v>0.72273578125165627</v>
      </c>
      <c r="O160" s="50">
        <v>4109900</v>
      </c>
      <c r="P160" s="152">
        <f t="shared" si="2"/>
        <v>4.1690803033602133E-2</v>
      </c>
      <c r="Q160" s="50">
        <v>0</v>
      </c>
    </row>
    <row r="161" spans="1:17" hidden="1" x14ac:dyDescent="0.25">
      <c r="A161" s="49" t="s">
        <v>706</v>
      </c>
      <c r="B161" s="49" t="s">
        <v>454</v>
      </c>
      <c r="C161" s="49" t="s">
        <v>698</v>
      </c>
      <c r="D161" s="49" t="s">
        <v>69</v>
      </c>
      <c r="E161" s="50">
        <v>54585842</v>
      </c>
      <c r="F161" s="50">
        <v>53081843</v>
      </c>
      <c r="G161" s="50">
        <v>53081843</v>
      </c>
      <c r="H161" s="50">
        <v>0</v>
      </c>
      <c r="I161" s="50">
        <v>15003029.890000001</v>
      </c>
      <c r="J161" s="50">
        <v>0</v>
      </c>
      <c r="K161" s="50">
        <v>38078813.109999999</v>
      </c>
      <c r="L161" s="152">
        <f t="shared" si="0"/>
        <v>0.71736041851448151</v>
      </c>
      <c r="M161" s="50">
        <v>38078813.109999999</v>
      </c>
      <c r="N161" s="152">
        <f t="shared" si="1"/>
        <v>0.71736041851448151</v>
      </c>
      <c r="O161" s="50">
        <v>0</v>
      </c>
      <c r="P161" s="152">
        <f t="shared" si="2"/>
        <v>0</v>
      </c>
      <c r="Q161" s="50">
        <v>0</v>
      </c>
    </row>
    <row r="162" spans="1:17" hidden="1" x14ac:dyDescent="0.25">
      <c r="A162" s="49" t="s">
        <v>706</v>
      </c>
      <c r="B162" s="49" t="s">
        <v>471</v>
      </c>
      <c r="C162" s="49" t="s">
        <v>699</v>
      </c>
      <c r="D162" s="49" t="s">
        <v>69</v>
      </c>
      <c r="E162" s="50">
        <v>15595897</v>
      </c>
      <c r="F162" s="50">
        <v>15166184</v>
      </c>
      <c r="G162" s="50">
        <v>15166184</v>
      </c>
      <c r="H162" s="50">
        <v>0</v>
      </c>
      <c r="I162" s="50">
        <v>4109898.08</v>
      </c>
      <c r="J162" s="50">
        <v>0</v>
      </c>
      <c r="K162" s="50">
        <v>11056285.92</v>
      </c>
      <c r="L162" s="152">
        <f t="shared" si="0"/>
        <v>0.72900908494846162</v>
      </c>
      <c r="M162" s="50">
        <v>11056285.92</v>
      </c>
      <c r="N162" s="152">
        <f t="shared" si="1"/>
        <v>0.72900908494846162</v>
      </c>
      <c r="O162" s="50">
        <v>0</v>
      </c>
      <c r="P162" s="152">
        <f t="shared" si="2"/>
        <v>0</v>
      </c>
      <c r="Q162" s="50">
        <v>0</v>
      </c>
    </row>
    <row r="163" spans="1:17" hidden="1" x14ac:dyDescent="0.25">
      <c r="A163" s="49" t="s">
        <v>706</v>
      </c>
      <c r="B163" s="49" t="s">
        <v>488</v>
      </c>
      <c r="C163" s="49" t="s">
        <v>700</v>
      </c>
      <c r="D163" s="49" t="s">
        <v>69</v>
      </c>
      <c r="E163" s="50">
        <v>31191895</v>
      </c>
      <c r="F163" s="50">
        <v>30332468</v>
      </c>
      <c r="G163" s="50">
        <v>26222568</v>
      </c>
      <c r="H163" s="50">
        <v>0</v>
      </c>
      <c r="I163" s="50">
        <v>4110015.96</v>
      </c>
      <c r="J163" s="50">
        <v>0</v>
      </c>
      <c r="K163" s="50">
        <v>22112552.039999999</v>
      </c>
      <c r="L163" s="152">
        <f t="shared" si="0"/>
        <v>0.72900602878737064</v>
      </c>
      <c r="M163" s="50">
        <v>22112552.039999999</v>
      </c>
      <c r="N163" s="152">
        <f t="shared" si="1"/>
        <v>0.72900602878737064</v>
      </c>
      <c r="O163" s="50">
        <v>4109900</v>
      </c>
      <c r="P163" s="152">
        <f t="shared" si="2"/>
        <v>0.13549507412321346</v>
      </c>
      <c r="Q163" s="50">
        <v>0</v>
      </c>
    </row>
    <row r="164" spans="1:17" hidden="1" x14ac:dyDescent="0.25">
      <c r="A164" s="49" t="s">
        <v>706</v>
      </c>
      <c r="B164" s="49" t="s">
        <v>104</v>
      </c>
      <c r="C164" s="49" t="s">
        <v>105</v>
      </c>
      <c r="D164" s="49" t="s">
        <v>69</v>
      </c>
      <c r="E164" s="50">
        <v>1188545520</v>
      </c>
      <c r="F164" s="50">
        <v>1240795520</v>
      </c>
      <c r="G164" s="50">
        <v>1223095516.21</v>
      </c>
      <c r="H164" s="50">
        <v>75899993.870000005</v>
      </c>
      <c r="I164" s="50">
        <v>176714242.09999999</v>
      </c>
      <c r="J164" s="50">
        <v>14196733.359999999</v>
      </c>
      <c r="K164" s="50">
        <v>774951984.79999995</v>
      </c>
      <c r="L164" s="152">
        <f t="shared" si="0"/>
        <v>0.62456059222393057</v>
      </c>
      <c r="M164" s="50">
        <v>667840650.30999994</v>
      </c>
      <c r="N164" s="152">
        <f t="shared" si="1"/>
        <v>0.53823586525360756</v>
      </c>
      <c r="O164" s="50">
        <v>199032565.87</v>
      </c>
      <c r="P164" s="152">
        <f t="shared" si="2"/>
        <v>0.16040722476979929</v>
      </c>
      <c r="Q164" s="50">
        <v>181332562.08000001</v>
      </c>
    </row>
    <row r="165" spans="1:17" hidden="1" x14ac:dyDescent="0.25">
      <c r="A165" s="49" t="s">
        <v>706</v>
      </c>
      <c r="B165" s="49" t="s">
        <v>106</v>
      </c>
      <c r="C165" s="49" t="s">
        <v>107</v>
      </c>
      <c r="D165" s="49" t="s">
        <v>69</v>
      </c>
      <c r="E165" s="50">
        <v>411755980</v>
      </c>
      <c r="F165" s="50">
        <v>427355497.89999998</v>
      </c>
      <c r="G165" s="50">
        <v>427355495.72000003</v>
      </c>
      <c r="H165" s="50">
        <v>10763575.189999999</v>
      </c>
      <c r="I165" s="50">
        <v>91668472.730000004</v>
      </c>
      <c r="J165" s="50">
        <v>13154869.27</v>
      </c>
      <c r="K165" s="50">
        <v>276122890.05000001</v>
      </c>
      <c r="L165" s="152">
        <f t="shared" si="0"/>
        <v>0.64611989644886236</v>
      </c>
      <c r="M165" s="50">
        <v>226288232.53</v>
      </c>
      <c r="N165" s="152">
        <f t="shared" si="1"/>
        <v>0.52950818146008927</v>
      </c>
      <c r="O165" s="50">
        <v>35645690.659999996</v>
      </c>
      <c r="P165" s="152">
        <f t="shared" si="2"/>
        <v>8.3409926478449081E-2</v>
      </c>
      <c r="Q165" s="50">
        <v>35645688.479999997</v>
      </c>
    </row>
    <row r="166" spans="1:17" hidden="1" x14ac:dyDescent="0.25">
      <c r="A166" s="49" t="s">
        <v>706</v>
      </c>
      <c r="B166" s="49" t="s">
        <v>280</v>
      </c>
      <c r="C166" s="49" t="s">
        <v>281</v>
      </c>
      <c r="D166" s="49" t="s">
        <v>69</v>
      </c>
      <c r="E166" s="50">
        <v>168555500</v>
      </c>
      <c r="F166" s="50">
        <v>186505500</v>
      </c>
      <c r="G166" s="50">
        <v>186505499.09</v>
      </c>
      <c r="H166" s="50">
        <v>0</v>
      </c>
      <c r="I166" s="50">
        <v>41438629.109999999</v>
      </c>
      <c r="J166" s="50">
        <v>1556205</v>
      </c>
      <c r="K166" s="50">
        <v>138836534.02000001</v>
      </c>
      <c r="L166" s="152">
        <f t="shared" si="0"/>
        <v>0.74440986469567927</v>
      </c>
      <c r="M166" s="50">
        <v>138836534.02000001</v>
      </c>
      <c r="N166" s="152">
        <f t="shared" si="1"/>
        <v>0.74440986469567927</v>
      </c>
      <c r="O166" s="50">
        <v>4674131.87</v>
      </c>
      <c r="P166" s="152">
        <f t="shared" si="2"/>
        <v>2.5061630193211462E-2</v>
      </c>
      <c r="Q166" s="50">
        <v>4674130.96</v>
      </c>
    </row>
    <row r="167" spans="1:17" hidden="1" x14ac:dyDescent="0.25">
      <c r="A167" s="49" t="s">
        <v>706</v>
      </c>
      <c r="B167" s="49" t="s">
        <v>302</v>
      </c>
      <c r="C167" s="49" t="s">
        <v>303</v>
      </c>
      <c r="D167" s="49" t="s">
        <v>69</v>
      </c>
      <c r="E167" s="50">
        <v>3869560</v>
      </c>
      <c r="F167" s="50">
        <v>3869560</v>
      </c>
      <c r="G167" s="50">
        <v>3869560</v>
      </c>
      <c r="H167" s="50">
        <v>0</v>
      </c>
      <c r="I167" s="50">
        <v>67150.17</v>
      </c>
      <c r="J167" s="50">
        <v>0</v>
      </c>
      <c r="K167" s="50">
        <v>1999233.69</v>
      </c>
      <c r="L167" s="152">
        <f t="shared" si="0"/>
        <v>0.51665659403136277</v>
      </c>
      <c r="M167" s="50">
        <v>1358036.37</v>
      </c>
      <c r="N167" s="152">
        <f t="shared" si="1"/>
        <v>0.35095369240947294</v>
      </c>
      <c r="O167" s="50">
        <v>1803176.14</v>
      </c>
      <c r="P167" s="152">
        <f t="shared" si="2"/>
        <v>0.46598996785164204</v>
      </c>
      <c r="Q167" s="50">
        <v>1803176.14</v>
      </c>
    </row>
    <row r="168" spans="1:17" hidden="1" x14ac:dyDescent="0.25">
      <c r="A168" s="49" t="s">
        <v>706</v>
      </c>
      <c r="B168" s="49" t="s">
        <v>108</v>
      </c>
      <c r="C168" s="49" t="s">
        <v>109</v>
      </c>
      <c r="D168" s="49" t="s">
        <v>69</v>
      </c>
      <c r="E168" s="50">
        <v>194561670</v>
      </c>
      <c r="F168" s="50">
        <v>189561670</v>
      </c>
      <c r="G168" s="50">
        <v>189561669.5</v>
      </c>
      <c r="H168" s="50">
        <v>1685263.72</v>
      </c>
      <c r="I168" s="50">
        <v>48208807.259999998</v>
      </c>
      <c r="J168" s="50">
        <v>0</v>
      </c>
      <c r="K168" s="50">
        <v>111130956.44</v>
      </c>
      <c r="L168" s="152">
        <f t="shared" si="0"/>
        <v>0.58625225468840825</v>
      </c>
      <c r="M168" s="50">
        <v>64541833.57</v>
      </c>
      <c r="N168" s="152">
        <f t="shared" si="1"/>
        <v>0.34047934674768376</v>
      </c>
      <c r="O168" s="50">
        <v>28536642.579999998</v>
      </c>
      <c r="P168" s="152">
        <f t="shared" si="2"/>
        <v>0.15054015181444644</v>
      </c>
      <c r="Q168" s="50">
        <v>28536642.079999998</v>
      </c>
    </row>
    <row r="169" spans="1:17" hidden="1" x14ac:dyDescent="0.25">
      <c r="A169" s="49" t="s">
        <v>706</v>
      </c>
      <c r="B169" s="49" t="s">
        <v>304</v>
      </c>
      <c r="C169" s="49" t="s">
        <v>305</v>
      </c>
      <c r="D169" s="49" t="s">
        <v>69</v>
      </c>
      <c r="E169" s="50">
        <v>1649720</v>
      </c>
      <c r="F169" s="50">
        <v>1799237.9</v>
      </c>
      <c r="G169" s="50">
        <v>1799237.13</v>
      </c>
      <c r="H169" s="50">
        <v>0</v>
      </c>
      <c r="I169" s="50">
        <v>78775.570000000007</v>
      </c>
      <c r="J169" s="50">
        <v>0</v>
      </c>
      <c r="K169" s="50">
        <v>1416529.63</v>
      </c>
      <c r="L169" s="152">
        <f t="shared" si="0"/>
        <v>0.78729423718786717</v>
      </c>
      <c r="M169" s="50">
        <v>1416529.63</v>
      </c>
      <c r="N169" s="152">
        <f t="shared" si="1"/>
        <v>0.78729423718786717</v>
      </c>
      <c r="O169" s="50">
        <v>303932.7</v>
      </c>
      <c r="P169" s="152">
        <f t="shared" si="2"/>
        <v>0.16892302012980054</v>
      </c>
      <c r="Q169" s="50">
        <v>303931.93</v>
      </c>
    </row>
    <row r="170" spans="1:17" hidden="1" x14ac:dyDescent="0.25">
      <c r="A170" s="49" t="s">
        <v>706</v>
      </c>
      <c r="B170" s="49" t="s">
        <v>110</v>
      </c>
      <c r="C170" s="49" t="s">
        <v>111</v>
      </c>
      <c r="D170" s="49" t="s">
        <v>69</v>
      </c>
      <c r="E170" s="50">
        <v>43119530</v>
      </c>
      <c r="F170" s="50">
        <v>45619530</v>
      </c>
      <c r="G170" s="50">
        <v>45619530</v>
      </c>
      <c r="H170" s="50">
        <v>9078311.4700000007</v>
      </c>
      <c r="I170" s="50">
        <v>1875110.62</v>
      </c>
      <c r="J170" s="50">
        <v>11598664.27</v>
      </c>
      <c r="K170" s="50">
        <v>22739636.27</v>
      </c>
      <c r="L170" s="152">
        <f t="shared" si="0"/>
        <v>0.49846274764338871</v>
      </c>
      <c r="M170" s="50">
        <v>20135298.940000001</v>
      </c>
      <c r="N170" s="152">
        <f t="shared" si="1"/>
        <v>0.44137453717738873</v>
      </c>
      <c r="O170" s="50">
        <v>327807.37</v>
      </c>
      <c r="P170" s="152">
        <f t="shared" si="2"/>
        <v>7.1856805626888311E-3</v>
      </c>
      <c r="Q170" s="50">
        <v>327807.37</v>
      </c>
    </row>
    <row r="171" spans="1:17" hidden="1" x14ac:dyDescent="0.25">
      <c r="A171" s="49" t="s">
        <v>706</v>
      </c>
      <c r="B171" s="49" t="s">
        <v>112</v>
      </c>
      <c r="C171" s="49" t="s">
        <v>113</v>
      </c>
      <c r="D171" s="49" t="s">
        <v>69</v>
      </c>
      <c r="E171" s="50">
        <v>114662680</v>
      </c>
      <c r="F171" s="50">
        <v>114662680</v>
      </c>
      <c r="G171" s="50">
        <v>114662679.39</v>
      </c>
      <c r="H171" s="50">
        <v>0</v>
      </c>
      <c r="I171" s="50">
        <v>18346949.52</v>
      </c>
      <c r="J171" s="50">
        <v>166524.59</v>
      </c>
      <c r="K171" s="50">
        <v>76156354.030000001</v>
      </c>
      <c r="L171" s="152">
        <f t="shared" si="0"/>
        <v>0.66417734200875123</v>
      </c>
      <c r="M171" s="50">
        <v>71540948.510000005</v>
      </c>
      <c r="N171" s="152">
        <f t="shared" si="1"/>
        <v>0.62392531301378973</v>
      </c>
      <c r="O171" s="50">
        <v>19992851.859999999</v>
      </c>
      <c r="P171" s="152">
        <f t="shared" si="2"/>
        <v>0.17436232835304391</v>
      </c>
      <c r="Q171" s="50">
        <v>19992851.25</v>
      </c>
    </row>
    <row r="172" spans="1:17" hidden="1" x14ac:dyDescent="0.25">
      <c r="A172" s="49" t="s">
        <v>706</v>
      </c>
      <c r="B172" s="49" t="s">
        <v>114</v>
      </c>
      <c r="C172" s="49" t="s">
        <v>115</v>
      </c>
      <c r="D172" s="49" t="s">
        <v>69</v>
      </c>
      <c r="E172" s="50">
        <v>19200000</v>
      </c>
      <c r="F172" s="50">
        <v>19200000</v>
      </c>
      <c r="G172" s="50">
        <v>19199999.890000001</v>
      </c>
      <c r="H172" s="50">
        <v>0</v>
      </c>
      <c r="I172" s="50">
        <v>3313198.01</v>
      </c>
      <c r="J172" s="50">
        <v>0</v>
      </c>
      <c r="K172" s="50">
        <v>14077723</v>
      </c>
      <c r="L172" s="152">
        <f t="shared" si="0"/>
        <v>0.73321473958333339</v>
      </c>
      <c r="M172" s="50">
        <v>14077723</v>
      </c>
      <c r="N172" s="152">
        <f t="shared" si="1"/>
        <v>0.73321473958333339</v>
      </c>
      <c r="O172" s="50">
        <v>1809078.99</v>
      </c>
      <c r="P172" s="152">
        <f t="shared" si="2"/>
        <v>9.4222864062499995E-2</v>
      </c>
      <c r="Q172" s="50">
        <v>1809078.88</v>
      </c>
    </row>
    <row r="173" spans="1:17" hidden="1" x14ac:dyDescent="0.25">
      <c r="A173" s="49" t="s">
        <v>706</v>
      </c>
      <c r="B173" s="49" t="s">
        <v>116</v>
      </c>
      <c r="C173" s="49" t="s">
        <v>117</v>
      </c>
      <c r="D173" s="49" t="s">
        <v>69</v>
      </c>
      <c r="E173" s="50">
        <v>37800000</v>
      </c>
      <c r="F173" s="50">
        <v>37800000</v>
      </c>
      <c r="G173" s="50">
        <v>37799999.5</v>
      </c>
      <c r="H173" s="50">
        <v>0</v>
      </c>
      <c r="I173" s="50">
        <v>2994900.5</v>
      </c>
      <c r="J173" s="50">
        <v>0</v>
      </c>
      <c r="K173" s="50">
        <v>33788404.5</v>
      </c>
      <c r="L173" s="152">
        <f t="shared" si="0"/>
        <v>0.89387313492063492</v>
      </c>
      <c r="M173" s="50">
        <v>31350340.350000001</v>
      </c>
      <c r="N173" s="152">
        <f t="shared" si="1"/>
        <v>0.8293740833333334</v>
      </c>
      <c r="O173" s="50">
        <v>1016695</v>
      </c>
      <c r="P173" s="152">
        <f t="shared" si="2"/>
        <v>2.689669312169312E-2</v>
      </c>
      <c r="Q173" s="50">
        <v>1016694.5</v>
      </c>
    </row>
    <row r="174" spans="1:17" hidden="1" x14ac:dyDescent="0.25">
      <c r="A174" s="49" t="s">
        <v>706</v>
      </c>
      <c r="B174" s="49" t="s">
        <v>118</v>
      </c>
      <c r="C174" s="49" t="s">
        <v>119</v>
      </c>
      <c r="D174" s="49" t="s">
        <v>69</v>
      </c>
      <c r="E174" s="50">
        <v>7200000</v>
      </c>
      <c r="F174" s="50">
        <v>7200000</v>
      </c>
      <c r="G174" s="50">
        <v>7200000</v>
      </c>
      <c r="H174" s="50">
        <v>0</v>
      </c>
      <c r="I174" s="50">
        <v>275520.40000000002</v>
      </c>
      <c r="J174" s="50">
        <v>0</v>
      </c>
      <c r="K174" s="50">
        <v>974479.6</v>
      </c>
      <c r="L174" s="152">
        <f t="shared" si="0"/>
        <v>0.13534438888888889</v>
      </c>
      <c r="M174" s="50">
        <v>974479.6</v>
      </c>
      <c r="N174" s="152">
        <f t="shared" si="1"/>
        <v>0.13534438888888889</v>
      </c>
      <c r="O174" s="50">
        <v>5950000</v>
      </c>
      <c r="P174" s="152">
        <f t="shared" si="2"/>
        <v>0.82638888888888884</v>
      </c>
      <c r="Q174" s="50">
        <v>5950000</v>
      </c>
    </row>
    <row r="175" spans="1:17" hidden="1" x14ac:dyDescent="0.25">
      <c r="A175" s="49" t="s">
        <v>706</v>
      </c>
      <c r="B175" s="49" t="s">
        <v>120</v>
      </c>
      <c r="C175" s="49" t="s">
        <v>121</v>
      </c>
      <c r="D175" s="49" t="s">
        <v>69</v>
      </c>
      <c r="E175" s="50">
        <v>45662680</v>
      </c>
      <c r="F175" s="50">
        <v>45662680</v>
      </c>
      <c r="G175" s="50">
        <v>45662680</v>
      </c>
      <c r="H175" s="50">
        <v>0</v>
      </c>
      <c r="I175" s="50">
        <v>11761846.26</v>
      </c>
      <c r="J175" s="50">
        <v>166524.59</v>
      </c>
      <c r="K175" s="50">
        <v>26006681.68</v>
      </c>
      <c r="L175" s="152">
        <f t="shared" si="0"/>
        <v>0.56953910020174026</v>
      </c>
      <c r="M175" s="50">
        <v>23829340.309999999</v>
      </c>
      <c r="N175" s="152">
        <f t="shared" si="1"/>
        <v>0.52185592939354408</v>
      </c>
      <c r="O175" s="50">
        <v>7727627.4699999997</v>
      </c>
      <c r="P175" s="152">
        <f t="shared" si="2"/>
        <v>0.16923289368911329</v>
      </c>
      <c r="Q175" s="50">
        <v>7727627.4699999997</v>
      </c>
    </row>
    <row r="176" spans="1:17" hidden="1" x14ac:dyDescent="0.25">
      <c r="A176" s="49" t="s">
        <v>706</v>
      </c>
      <c r="B176" s="49" t="s">
        <v>122</v>
      </c>
      <c r="C176" s="49" t="s">
        <v>123</v>
      </c>
      <c r="D176" s="49" t="s">
        <v>69</v>
      </c>
      <c r="E176" s="50">
        <v>4800000</v>
      </c>
      <c r="F176" s="50">
        <v>4800000</v>
      </c>
      <c r="G176" s="50">
        <v>4800000</v>
      </c>
      <c r="H176" s="50">
        <v>0</v>
      </c>
      <c r="I176" s="50">
        <v>1484.35</v>
      </c>
      <c r="J176" s="50">
        <v>0</v>
      </c>
      <c r="K176" s="50">
        <v>1309065.25</v>
      </c>
      <c r="L176" s="152">
        <f t="shared" si="0"/>
        <v>0.27272192708333332</v>
      </c>
      <c r="M176" s="50">
        <v>1309065.25</v>
      </c>
      <c r="N176" s="152">
        <f t="shared" si="1"/>
        <v>0.27272192708333332</v>
      </c>
      <c r="O176" s="50">
        <v>3489450.4</v>
      </c>
      <c r="P176" s="152">
        <f t="shared" si="2"/>
        <v>0.72696883333333329</v>
      </c>
      <c r="Q176" s="50">
        <v>3489450.4</v>
      </c>
    </row>
    <row r="177" spans="1:17" hidden="1" x14ac:dyDescent="0.25">
      <c r="A177" s="49" t="s">
        <v>706</v>
      </c>
      <c r="B177" s="49" t="s">
        <v>124</v>
      </c>
      <c r="C177" s="49" t="s">
        <v>125</v>
      </c>
      <c r="D177" s="49" t="s">
        <v>69</v>
      </c>
      <c r="E177" s="50">
        <v>5424230</v>
      </c>
      <c r="F177" s="50">
        <v>6924230</v>
      </c>
      <c r="G177" s="50">
        <v>6924230</v>
      </c>
      <c r="H177" s="50">
        <v>0</v>
      </c>
      <c r="I177" s="50">
        <v>610700.12</v>
      </c>
      <c r="J177" s="50">
        <v>0</v>
      </c>
      <c r="K177" s="50">
        <v>1566052.4</v>
      </c>
      <c r="L177" s="152">
        <f t="shared" si="0"/>
        <v>0.22616989903570503</v>
      </c>
      <c r="M177" s="50">
        <v>1327542.17</v>
      </c>
      <c r="N177" s="152">
        <f t="shared" si="1"/>
        <v>0.19172415849849006</v>
      </c>
      <c r="O177" s="50">
        <v>4747477.4800000004</v>
      </c>
      <c r="P177" s="152">
        <f t="shared" si="2"/>
        <v>0.68563255120063893</v>
      </c>
      <c r="Q177" s="50">
        <v>4747477.4800000004</v>
      </c>
    </row>
    <row r="178" spans="1:17" hidden="1" x14ac:dyDescent="0.25">
      <c r="A178" s="49" t="s">
        <v>706</v>
      </c>
      <c r="B178" s="49" t="s">
        <v>126</v>
      </c>
      <c r="C178" s="49" t="s">
        <v>127</v>
      </c>
      <c r="D178" s="49" t="s">
        <v>69</v>
      </c>
      <c r="E178" s="50">
        <v>500000</v>
      </c>
      <c r="F178" s="50">
        <v>2000000</v>
      </c>
      <c r="G178" s="50">
        <v>2000000</v>
      </c>
      <c r="H178" s="50">
        <v>0</v>
      </c>
      <c r="I178" s="50">
        <v>115821.44</v>
      </c>
      <c r="J178" s="50">
        <v>0</v>
      </c>
      <c r="K178" s="50">
        <v>788213.6</v>
      </c>
      <c r="L178" s="152">
        <f t="shared" si="0"/>
        <v>0.39410679999999998</v>
      </c>
      <c r="M178" s="50">
        <v>566801.4</v>
      </c>
      <c r="N178" s="152">
        <f t="shared" si="1"/>
        <v>0.28340070000000001</v>
      </c>
      <c r="O178" s="50">
        <v>1095964.96</v>
      </c>
      <c r="P178" s="152">
        <f t="shared" si="2"/>
        <v>0.54798247999999994</v>
      </c>
      <c r="Q178" s="50">
        <v>1095964.96</v>
      </c>
    </row>
    <row r="179" spans="1:17" hidden="1" x14ac:dyDescent="0.25">
      <c r="A179" s="49" t="s">
        <v>706</v>
      </c>
      <c r="B179" s="49" t="s">
        <v>128</v>
      </c>
      <c r="C179" s="49" t="s">
        <v>129</v>
      </c>
      <c r="D179" s="49" t="s">
        <v>69</v>
      </c>
      <c r="E179" s="50">
        <v>1000000</v>
      </c>
      <c r="F179" s="50">
        <v>1000000</v>
      </c>
      <c r="G179" s="50">
        <v>1000000</v>
      </c>
      <c r="H179" s="50">
        <v>0</v>
      </c>
      <c r="I179" s="50">
        <v>158122.87</v>
      </c>
      <c r="J179" s="50">
        <v>0</v>
      </c>
      <c r="K179" s="50">
        <v>49492.13</v>
      </c>
      <c r="L179" s="152">
        <f t="shared" si="0"/>
        <v>4.9492129999999995E-2</v>
      </c>
      <c r="M179" s="50">
        <v>49492.13</v>
      </c>
      <c r="N179" s="152">
        <f t="shared" si="1"/>
        <v>4.9492129999999995E-2</v>
      </c>
      <c r="O179" s="50">
        <v>792385</v>
      </c>
      <c r="P179" s="152">
        <f t="shared" si="2"/>
        <v>0.79238500000000001</v>
      </c>
      <c r="Q179" s="50">
        <v>792385</v>
      </c>
    </row>
    <row r="180" spans="1:17" hidden="1" x14ac:dyDescent="0.25">
      <c r="A180" s="49" t="s">
        <v>706</v>
      </c>
      <c r="B180" s="49" t="s">
        <v>130</v>
      </c>
      <c r="C180" s="49" t="s">
        <v>131</v>
      </c>
      <c r="D180" s="49" t="s">
        <v>69</v>
      </c>
      <c r="E180" s="50">
        <v>138100</v>
      </c>
      <c r="F180" s="50">
        <v>138100</v>
      </c>
      <c r="G180" s="50">
        <v>138100</v>
      </c>
      <c r="H180" s="50">
        <v>0</v>
      </c>
      <c r="I180" s="50">
        <v>33819.9</v>
      </c>
      <c r="J180" s="50">
        <v>0</v>
      </c>
      <c r="K180" s="50">
        <v>74180.100000000006</v>
      </c>
      <c r="L180" s="152">
        <f t="shared" si="0"/>
        <v>0.53714771904417091</v>
      </c>
      <c r="M180" s="50">
        <v>74180.100000000006</v>
      </c>
      <c r="N180" s="152">
        <f t="shared" si="1"/>
        <v>0.53714771904417091</v>
      </c>
      <c r="O180" s="50">
        <v>30100</v>
      </c>
      <c r="P180" s="152">
        <f t="shared" si="2"/>
        <v>0.21795800144822591</v>
      </c>
      <c r="Q180" s="50">
        <v>30100</v>
      </c>
    </row>
    <row r="181" spans="1:17" hidden="1" x14ac:dyDescent="0.25">
      <c r="A181" s="49" t="s">
        <v>706</v>
      </c>
      <c r="B181" s="49" t="s">
        <v>132</v>
      </c>
      <c r="C181" s="49" t="s">
        <v>133</v>
      </c>
      <c r="D181" s="49" t="s">
        <v>69</v>
      </c>
      <c r="E181" s="50">
        <v>3786130</v>
      </c>
      <c r="F181" s="50">
        <v>3786130</v>
      </c>
      <c r="G181" s="50">
        <v>3786130</v>
      </c>
      <c r="H181" s="50">
        <v>0</v>
      </c>
      <c r="I181" s="50">
        <v>302935.90999999997</v>
      </c>
      <c r="J181" s="50">
        <v>0</v>
      </c>
      <c r="K181" s="50">
        <v>654166.56999999995</v>
      </c>
      <c r="L181" s="152">
        <f t="shared" si="0"/>
        <v>0.17277974343194766</v>
      </c>
      <c r="M181" s="50">
        <v>637068.54</v>
      </c>
      <c r="N181" s="152">
        <f t="shared" si="1"/>
        <v>0.16826377858129543</v>
      </c>
      <c r="O181" s="50">
        <v>2829027.52</v>
      </c>
      <c r="P181" s="152">
        <f t="shared" si="2"/>
        <v>0.74720823637857126</v>
      </c>
      <c r="Q181" s="50">
        <v>2829027.52</v>
      </c>
    </row>
    <row r="182" spans="1:17" hidden="1" x14ac:dyDescent="0.25">
      <c r="A182" s="49" t="s">
        <v>706</v>
      </c>
      <c r="B182" s="49" t="s">
        <v>134</v>
      </c>
      <c r="C182" s="49" t="s">
        <v>135</v>
      </c>
      <c r="D182" s="49" t="s">
        <v>69</v>
      </c>
      <c r="E182" s="50">
        <v>385113260</v>
      </c>
      <c r="F182" s="50">
        <v>425413260</v>
      </c>
      <c r="G182" s="50">
        <v>425413260</v>
      </c>
      <c r="H182" s="50">
        <v>63099159.780000001</v>
      </c>
      <c r="I182" s="50">
        <v>29031143.32</v>
      </c>
      <c r="J182" s="50">
        <v>0</v>
      </c>
      <c r="K182" s="50">
        <v>312786209.25999999</v>
      </c>
      <c r="L182" s="152">
        <f t="shared" si="0"/>
        <v>0.73525260886320276</v>
      </c>
      <c r="M182" s="50">
        <v>266135286.16999999</v>
      </c>
      <c r="N182" s="152">
        <f t="shared" si="1"/>
        <v>0.62559236204814106</v>
      </c>
      <c r="O182" s="50">
        <v>20496747.640000001</v>
      </c>
      <c r="P182" s="152">
        <f t="shared" si="2"/>
        <v>4.8180791637759485E-2</v>
      </c>
      <c r="Q182" s="50">
        <v>20496747.640000001</v>
      </c>
    </row>
    <row r="183" spans="1:17" hidden="1" x14ac:dyDescent="0.25">
      <c r="A183" s="49" t="s">
        <v>706</v>
      </c>
      <c r="B183" s="49" t="s">
        <v>306</v>
      </c>
      <c r="C183" s="49" t="s">
        <v>307</v>
      </c>
      <c r="D183" s="49" t="s">
        <v>69</v>
      </c>
      <c r="E183" s="50">
        <v>2000000</v>
      </c>
      <c r="F183" s="50">
        <v>2000000</v>
      </c>
      <c r="G183" s="50">
        <v>2000000</v>
      </c>
      <c r="H183" s="50">
        <v>0</v>
      </c>
      <c r="I183" s="50">
        <v>0</v>
      </c>
      <c r="J183" s="50">
        <v>0</v>
      </c>
      <c r="K183" s="50">
        <v>0</v>
      </c>
      <c r="L183" s="152">
        <f t="shared" si="0"/>
        <v>0</v>
      </c>
      <c r="M183" s="50">
        <v>0</v>
      </c>
      <c r="N183" s="152">
        <f t="shared" si="1"/>
        <v>0</v>
      </c>
      <c r="O183" s="50">
        <v>2000000</v>
      </c>
      <c r="P183" s="152">
        <f t="shared" si="2"/>
        <v>1</v>
      </c>
      <c r="Q183" s="50">
        <v>2000000</v>
      </c>
    </row>
    <row r="184" spans="1:17" hidden="1" x14ac:dyDescent="0.25">
      <c r="A184" s="49" t="s">
        <v>706</v>
      </c>
      <c r="B184" s="49" t="s">
        <v>136</v>
      </c>
      <c r="C184" s="49" t="s">
        <v>137</v>
      </c>
      <c r="D184" s="49" t="s">
        <v>69</v>
      </c>
      <c r="E184" s="50">
        <v>373281100</v>
      </c>
      <c r="F184" s="50">
        <v>407581100</v>
      </c>
      <c r="G184" s="50">
        <v>407581100</v>
      </c>
      <c r="H184" s="50">
        <v>62499159.780000001</v>
      </c>
      <c r="I184" s="50">
        <v>26908516.620000001</v>
      </c>
      <c r="J184" s="50">
        <v>0</v>
      </c>
      <c r="K184" s="50">
        <v>304023875.06999999</v>
      </c>
      <c r="L184" s="152">
        <f t="shared" si="0"/>
        <v>0.74592240677990218</v>
      </c>
      <c r="M184" s="50">
        <v>258014863.25999999</v>
      </c>
      <c r="N184" s="152">
        <f t="shared" si="1"/>
        <v>0.63303932213736114</v>
      </c>
      <c r="O184" s="50">
        <v>14149548.529999999</v>
      </c>
      <c r="P184" s="152">
        <f t="shared" si="2"/>
        <v>3.4715909373619139E-2</v>
      </c>
      <c r="Q184" s="50">
        <v>14149548.529999999</v>
      </c>
    </row>
    <row r="185" spans="1:17" hidden="1" x14ac:dyDescent="0.25">
      <c r="A185" s="49" t="s">
        <v>706</v>
      </c>
      <c r="B185" s="49" t="s">
        <v>138</v>
      </c>
      <c r="C185" s="49" t="s">
        <v>139</v>
      </c>
      <c r="D185" s="49" t="s">
        <v>69</v>
      </c>
      <c r="E185" s="50">
        <v>9832160</v>
      </c>
      <c r="F185" s="50">
        <v>15832160</v>
      </c>
      <c r="G185" s="50">
        <v>15832160</v>
      </c>
      <c r="H185" s="50">
        <v>600000</v>
      </c>
      <c r="I185" s="50">
        <v>2122626.7000000002</v>
      </c>
      <c r="J185" s="50">
        <v>0</v>
      </c>
      <c r="K185" s="50">
        <v>8762334.1899999995</v>
      </c>
      <c r="L185" s="152">
        <f t="shared" si="0"/>
        <v>0.55345159409707834</v>
      </c>
      <c r="M185" s="50">
        <v>8120422.9100000001</v>
      </c>
      <c r="N185" s="152">
        <f t="shared" si="1"/>
        <v>0.51290682446362346</v>
      </c>
      <c r="O185" s="50">
        <v>4347199.1100000003</v>
      </c>
      <c r="P185" s="152">
        <f t="shared" si="2"/>
        <v>0.27458029163424325</v>
      </c>
      <c r="Q185" s="50">
        <v>4347199.1100000003</v>
      </c>
    </row>
    <row r="186" spans="1:17" hidden="1" x14ac:dyDescent="0.25">
      <c r="A186" s="49" t="s">
        <v>706</v>
      </c>
      <c r="B186" s="49" t="s">
        <v>140</v>
      </c>
      <c r="C186" s="49" t="s">
        <v>141</v>
      </c>
      <c r="D186" s="49" t="s">
        <v>69</v>
      </c>
      <c r="E186" s="50">
        <v>35800000</v>
      </c>
      <c r="F186" s="50">
        <v>35800000</v>
      </c>
      <c r="G186" s="50">
        <v>35799999</v>
      </c>
      <c r="H186" s="50">
        <v>0</v>
      </c>
      <c r="I186" s="50">
        <v>10436776.27</v>
      </c>
      <c r="J186" s="50">
        <v>0</v>
      </c>
      <c r="K186" s="50">
        <v>8191123.7300000004</v>
      </c>
      <c r="L186" s="152">
        <f t="shared" si="0"/>
        <v>0.22880233882681567</v>
      </c>
      <c r="M186" s="50">
        <v>8062241.7300000004</v>
      </c>
      <c r="N186" s="152">
        <f t="shared" si="1"/>
        <v>0.22520228296089387</v>
      </c>
      <c r="O186" s="50">
        <v>17172100</v>
      </c>
      <c r="P186" s="152">
        <f t="shared" si="2"/>
        <v>0.47966759776536311</v>
      </c>
      <c r="Q186" s="50">
        <v>17172099</v>
      </c>
    </row>
    <row r="187" spans="1:17" hidden="1" x14ac:dyDescent="0.25">
      <c r="A187" s="49" t="s">
        <v>706</v>
      </c>
      <c r="B187" s="49" t="s">
        <v>142</v>
      </c>
      <c r="C187" s="49" t="s">
        <v>143</v>
      </c>
      <c r="D187" s="49" t="s">
        <v>69</v>
      </c>
      <c r="E187" s="50">
        <v>1800000</v>
      </c>
      <c r="F187" s="50">
        <v>1800000</v>
      </c>
      <c r="G187" s="50">
        <v>1799999.5</v>
      </c>
      <c r="H187" s="50">
        <v>0</v>
      </c>
      <c r="I187" s="50">
        <v>280376.27</v>
      </c>
      <c r="J187" s="50">
        <v>0</v>
      </c>
      <c r="K187" s="50">
        <v>419623.73</v>
      </c>
      <c r="L187" s="152">
        <f t="shared" si="0"/>
        <v>0.23312429444444444</v>
      </c>
      <c r="M187" s="50">
        <v>392941.73</v>
      </c>
      <c r="N187" s="152">
        <f t="shared" si="1"/>
        <v>0.21830096111111111</v>
      </c>
      <c r="O187" s="50">
        <v>1100000</v>
      </c>
      <c r="P187" s="152">
        <f t="shared" si="2"/>
        <v>0.61111111111111116</v>
      </c>
      <c r="Q187" s="50">
        <v>1099999.5</v>
      </c>
    </row>
    <row r="188" spans="1:17" hidden="1" x14ac:dyDescent="0.25">
      <c r="A188" s="49" t="s">
        <v>706</v>
      </c>
      <c r="B188" s="49" t="s">
        <v>144</v>
      </c>
      <c r="C188" s="49" t="s">
        <v>145</v>
      </c>
      <c r="D188" s="49" t="s">
        <v>69</v>
      </c>
      <c r="E188" s="50">
        <v>34000000</v>
      </c>
      <c r="F188" s="50">
        <v>34000000</v>
      </c>
      <c r="G188" s="50">
        <v>33999999.5</v>
      </c>
      <c r="H188" s="50">
        <v>0</v>
      </c>
      <c r="I188" s="50">
        <v>10156400</v>
      </c>
      <c r="J188" s="50">
        <v>0</v>
      </c>
      <c r="K188" s="50">
        <v>7771500</v>
      </c>
      <c r="L188" s="152">
        <f t="shared" si="0"/>
        <v>0.2285735294117647</v>
      </c>
      <c r="M188" s="50">
        <v>7669300</v>
      </c>
      <c r="N188" s="152">
        <f t="shared" si="1"/>
        <v>0.22556764705882354</v>
      </c>
      <c r="O188" s="50">
        <v>16072100</v>
      </c>
      <c r="P188" s="152">
        <f t="shared" si="2"/>
        <v>0.47270882352941179</v>
      </c>
      <c r="Q188" s="50">
        <v>16072099.5</v>
      </c>
    </row>
    <row r="189" spans="1:17" hidden="1" x14ac:dyDescent="0.25">
      <c r="A189" s="49" t="s">
        <v>706</v>
      </c>
      <c r="B189" s="49" t="s">
        <v>150</v>
      </c>
      <c r="C189" s="49" t="s">
        <v>151</v>
      </c>
      <c r="D189" s="49" t="s">
        <v>69</v>
      </c>
      <c r="E189" s="50">
        <v>113000000</v>
      </c>
      <c r="F189" s="50">
        <v>113000000</v>
      </c>
      <c r="G189" s="50">
        <v>113000000</v>
      </c>
      <c r="H189" s="50">
        <v>0</v>
      </c>
      <c r="I189" s="50">
        <v>97207.72</v>
      </c>
      <c r="J189" s="50">
        <v>0</v>
      </c>
      <c r="K189" s="50">
        <v>70392536.819999993</v>
      </c>
      <c r="L189" s="152">
        <f t="shared" si="0"/>
        <v>0.6229428037168141</v>
      </c>
      <c r="M189" s="50">
        <v>70203061.819999993</v>
      </c>
      <c r="N189" s="152">
        <f t="shared" si="1"/>
        <v>0.62126603380530965</v>
      </c>
      <c r="O189" s="50">
        <v>42510255.460000001</v>
      </c>
      <c r="P189" s="152">
        <f t="shared" si="2"/>
        <v>0.37619695097345135</v>
      </c>
      <c r="Q189" s="50">
        <v>42510255.460000001</v>
      </c>
    </row>
    <row r="190" spans="1:17" hidden="1" x14ac:dyDescent="0.25">
      <c r="A190" s="49" t="s">
        <v>706</v>
      </c>
      <c r="B190" s="49" t="s">
        <v>152</v>
      </c>
      <c r="C190" s="49" t="s">
        <v>153</v>
      </c>
      <c r="D190" s="49" t="s">
        <v>69</v>
      </c>
      <c r="E190" s="50">
        <v>113000000</v>
      </c>
      <c r="F190" s="50">
        <v>113000000</v>
      </c>
      <c r="G190" s="50">
        <v>113000000</v>
      </c>
      <c r="H190" s="50">
        <v>0</v>
      </c>
      <c r="I190" s="50">
        <v>97207.72</v>
      </c>
      <c r="J190" s="50">
        <v>0</v>
      </c>
      <c r="K190" s="50">
        <v>70392536.819999993</v>
      </c>
      <c r="L190" s="152">
        <f t="shared" si="0"/>
        <v>0.6229428037168141</v>
      </c>
      <c r="M190" s="50">
        <v>70203061.819999993</v>
      </c>
      <c r="N190" s="152">
        <f t="shared" si="1"/>
        <v>0.62126603380530965</v>
      </c>
      <c r="O190" s="50">
        <v>42510255.460000001</v>
      </c>
      <c r="P190" s="152">
        <f t="shared" si="2"/>
        <v>0.37619695097345135</v>
      </c>
      <c r="Q190" s="50">
        <v>42510255.460000001</v>
      </c>
    </row>
    <row r="191" spans="1:17" hidden="1" x14ac:dyDescent="0.25">
      <c r="A191" s="49" t="s">
        <v>706</v>
      </c>
      <c r="B191" s="49" t="s">
        <v>162</v>
      </c>
      <c r="C191" s="49" t="s">
        <v>163</v>
      </c>
      <c r="D191" s="49" t="s">
        <v>69</v>
      </c>
      <c r="E191" s="50">
        <v>119064370</v>
      </c>
      <c r="F191" s="50">
        <v>113914852.09999999</v>
      </c>
      <c r="G191" s="50">
        <v>96214852.099999994</v>
      </c>
      <c r="H191" s="50">
        <v>2037258.9</v>
      </c>
      <c r="I191" s="50">
        <v>24995917.420000002</v>
      </c>
      <c r="J191" s="50">
        <v>875339.5</v>
      </c>
      <c r="K191" s="50">
        <v>29538893.510000002</v>
      </c>
      <c r="L191" s="152">
        <f t="shared" si="0"/>
        <v>0.25930678015601799</v>
      </c>
      <c r="M191" s="50">
        <v>24130187.379999999</v>
      </c>
      <c r="N191" s="152">
        <f t="shared" si="1"/>
        <v>0.21182652599871127</v>
      </c>
      <c r="O191" s="50">
        <v>56467442.770000003</v>
      </c>
      <c r="P191" s="152">
        <f t="shared" si="2"/>
        <v>0.49569868835391312</v>
      </c>
      <c r="Q191" s="50">
        <v>38767442.770000003</v>
      </c>
    </row>
    <row r="192" spans="1:17" hidden="1" x14ac:dyDescent="0.25">
      <c r="A192" s="49" t="s">
        <v>706</v>
      </c>
      <c r="B192" s="49" t="s">
        <v>310</v>
      </c>
      <c r="C192" s="49" t="s">
        <v>311</v>
      </c>
      <c r="D192" s="49" t="s">
        <v>69</v>
      </c>
      <c r="E192" s="50">
        <v>25816590</v>
      </c>
      <c r="F192" s="50">
        <v>25816590</v>
      </c>
      <c r="G192" s="50">
        <v>20816590</v>
      </c>
      <c r="H192" s="50">
        <v>714067.23</v>
      </c>
      <c r="I192" s="50">
        <v>11763576.15</v>
      </c>
      <c r="J192" s="50">
        <v>0</v>
      </c>
      <c r="K192" s="50">
        <v>2616077.69</v>
      </c>
      <c r="L192" s="152">
        <f t="shared" si="0"/>
        <v>0.10133320047302916</v>
      </c>
      <c r="M192" s="50">
        <v>2097039.31</v>
      </c>
      <c r="N192" s="152">
        <f t="shared" si="1"/>
        <v>8.1228361685257433E-2</v>
      </c>
      <c r="O192" s="50">
        <v>10722868.93</v>
      </c>
      <c r="P192" s="152">
        <f t="shared" si="2"/>
        <v>0.41534799638527009</v>
      </c>
      <c r="Q192" s="50">
        <v>5722868.9299999997</v>
      </c>
    </row>
    <row r="193" spans="1:17" hidden="1" x14ac:dyDescent="0.25">
      <c r="A193" s="49" t="s">
        <v>706</v>
      </c>
      <c r="B193" s="49" t="s">
        <v>164</v>
      </c>
      <c r="C193" s="49" t="s">
        <v>165</v>
      </c>
      <c r="D193" s="49" t="s">
        <v>69</v>
      </c>
      <c r="E193" s="50">
        <v>4358000</v>
      </c>
      <c r="F193" s="50">
        <v>4358000</v>
      </c>
      <c r="G193" s="50">
        <v>4358000</v>
      </c>
      <c r="H193" s="50">
        <v>0</v>
      </c>
      <c r="I193" s="50">
        <v>1387942.13</v>
      </c>
      <c r="J193" s="50">
        <v>0</v>
      </c>
      <c r="K193" s="50">
        <v>1254490.69</v>
      </c>
      <c r="L193" s="152">
        <f t="shared" si="0"/>
        <v>0.28785926801284994</v>
      </c>
      <c r="M193" s="50">
        <v>826722.13</v>
      </c>
      <c r="N193" s="152">
        <f t="shared" si="1"/>
        <v>0.18970218678292794</v>
      </c>
      <c r="O193" s="50">
        <v>1715567.18</v>
      </c>
      <c r="P193" s="152">
        <f t="shared" si="2"/>
        <v>0.39365928866452499</v>
      </c>
      <c r="Q193" s="50">
        <v>1715567.18</v>
      </c>
    </row>
    <row r="194" spans="1:17" hidden="1" x14ac:dyDescent="0.25">
      <c r="A194" s="49" t="s">
        <v>706</v>
      </c>
      <c r="B194" s="49" t="s">
        <v>166</v>
      </c>
      <c r="C194" s="49" t="s">
        <v>167</v>
      </c>
      <c r="D194" s="49" t="s">
        <v>69</v>
      </c>
      <c r="E194" s="50">
        <v>28300000</v>
      </c>
      <c r="F194" s="50">
        <v>23150482.100000001</v>
      </c>
      <c r="G194" s="50">
        <v>15150482.1</v>
      </c>
      <c r="H194" s="50">
        <v>0</v>
      </c>
      <c r="I194" s="50">
        <v>4767377.66</v>
      </c>
      <c r="J194" s="50">
        <v>875339.5</v>
      </c>
      <c r="K194" s="50">
        <v>4016338.95</v>
      </c>
      <c r="L194" s="152">
        <f t="shared" si="0"/>
        <v>0.17348835037867311</v>
      </c>
      <c r="M194" s="50">
        <v>4016338.95</v>
      </c>
      <c r="N194" s="152">
        <f t="shared" si="1"/>
        <v>0.17348835037867311</v>
      </c>
      <c r="O194" s="50">
        <v>13491425.99</v>
      </c>
      <c r="P194" s="152">
        <f t="shared" si="2"/>
        <v>0.58277084389529843</v>
      </c>
      <c r="Q194" s="50">
        <v>5491425.9900000002</v>
      </c>
    </row>
    <row r="195" spans="1:17" hidden="1" x14ac:dyDescent="0.25">
      <c r="A195" s="49" t="s">
        <v>706</v>
      </c>
      <c r="B195" s="49" t="s">
        <v>312</v>
      </c>
      <c r="C195" s="49" t="s">
        <v>313</v>
      </c>
      <c r="D195" s="49" t="s">
        <v>69</v>
      </c>
      <c r="E195" s="50">
        <v>8695420</v>
      </c>
      <c r="F195" s="50">
        <v>8695420</v>
      </c>
      <c r="G195" s="50">
        <v>8695420</v>
      </c>
      <c r="H195" s="50">
        <v>365018.4</v>
      </c>
      <c r="I195" s="50">
        <v>962397.7</v>
      </c>
      <c r="J195" s="50">
        <v>0</v>
      </c>
      <c r="K195" s="50">
        <v>2845534.65</v>
      </c>
      <c r="L195" s="152">
        <f t="shared" si="0"/>
        <v>0.32724522219743268</v>
      </c>
      <c r="M195" s="50">
        <v>2517008.39</v>
      </c>
      <c r="N195" s="152">
        <f t="shared" si="1"/>
        <v>0.28946369353061729</v>
      </c>
      <c r="O195" s="50">
        <v>4522469.25</v>
      </c>
      <c r="P195" s="152">
        <f t="shared" si="2"/>
        <v>0.5200978503626047</v>
      </c>
      <c r="Q195" s="50">
        <v>4522469.25</v>
      </c>
    </row>
    <row r="196" spans="1:17" hidden="1" x14ac:dyDescent="0.25">
      <c r="A196" s="49" t="s">
        <v>706</v>
      </c>
      <c r="B196" s="49" t="s">
        <v>168</v>
      </c>
      <c r="C196" s="49" t="s">
        <v>169</v>
      </c>
      <c r="D196" s="49" t="s">
        <v>69</v>
      </c>
      <c r="E196" s="50">
        <v>19689160</v>
      </c>
      <c r="F196" s="50">
        <v>19689160</v>
      </c>
      <c r="G196" s="50">
        <v>16989160</v>
      </c>
      <c r="H196" s="50">
        <v>958173.27</v>
      </c>
      <c r="I196" s="50">
        <v>1177136.8400000001</v>
      </c>
      <c r="J196" s="50">
        <v>0</v>
      </c>
      <c r="K196" s="50">
        <v>4794086.93</v>
      </c>
      <c r="L196" s="152">
        <f t="shared" si="0"/>
        <v>0.24348864705248979</v>
      </c>
      <c r="M196" s="50">
        <v>2969353.89</v>
      </c>
      <c r="N196" s="152">
        <f t="shared" si="1"/>
        <v>0.15081160851961181</v>
      </c>
      <c r="O196" s="50">
        <v>12759762.960000001</v>
      </c>
      <c r="P196" s="152">
        <f t="shared" si="2"/>
        <v>0.64806030120127023</v>
      </c>
      <c r="Q196" s="50">
        <v>10059762.960000001</v>
      </c>
    </row>
    <row r="197" spans="1:17" hidden="1" x14ac:dyDescent="0.25">
      <c r="A197" s="49" t="s">
        <v>706</v>
      </c>
      <c r="B197" s="49" t="s">
        <v>170</v>
      </c>
      <c r="C197" s="49" t="s">
        <v>171</v>
      </c>
      <c r="D197" s="49" t="s">
        <v>69</v>
      </c>
      <c r="E197" s="50">
        <v>26663380</v>
      </c>
      <c r="F197" s="50">
        <v>26663380</v>
      </c>
      <c r="G197" s="50">
        <v>24663380</v>
      </c>
      <c r="H197" s="50">
        <v>0</v>
      </c>
      <c r="I197" s="50">
        <v>4188714.66</v>
      </c>
      <c r="J197" s="50">
        <v>0</v>
      </c>
      <c r="K197" s="50">
        <v>12173539.890000001</v>
      </c>
      <c r="L197" s="152">
        <f t="shared" si="0"/>
        <v>0.45656401739014335</v>
      </c>
      <c r="M197" s="50">
        <v>9864900</v>
      </c>
      <c r="N197" s="152">
        <f t="shared" si="1"/>
        <v>0.36997934995488196</v>
      </c>
      <c r="O197" s="50">
        <v>10301125.449999999</v>
      </c>
      <c r="P197" s="152">
        <f t="shared" si="2"/>
        <v>0.3863398207579084</v>
      </c>
      <c r="Q197" s="50">
        <v>8301125.4500000002</v>
      </c>
    </row>
    <row r="198" spans="1:17" hidden="1" x14ac:dyDescent="0.25">
      <c r="A198" s="49" t="s">
        <v>706</v>
      </c>
      <c r="B198" s="49" t="s">
        <v>172</v>
      </c>
      <c r="C198" s="49" t="s">
        <v>173</v>
      </c>
      <c r="D198" s="49" t="s">
        <v>69</v>
      </c>
      <c r="E198" s="50">
        <v>5541820</v>
      </c>
      <c r="F198" s="50">
        <v>5541820</v>
      </c>
      <c r="G198" s="50">
        <v>5541820</v>
      </c>
      <c r="H198" s="50">
        <v>0</v>
      </c>
      <c r="I198" s="50">
        <v>748772.28</v>
      </c>
      <c r="J198" s="50">
        <v>0</v>
      </c>
      <c r="K198" s="50">
        <v>1838824.71</v>
      </c>
      <c r="L198" s="152">
        <f t="shared" si="0"/>
        <v>0.33180881190655775</v>
      </c>
      <c r="M198" s="50">
        <v>1838824.71</v>
      </c>
      <c r="N198" s="152">
        <f t="shared" si="1"/>
        <v>0.33180881190655775</v>
      </c>
      <c r="O198" s="50">
        <v>2954223.01</v>
      </c>
      <c r="P198" s="152">
        <f t="shared" si="2"/>
        <v>0.53307812415415867</v>
      </c>
      <c r="Q198" s="50">
        <v>2954223.01</v>
      </c>
    </row>
    <row r="199" spans="1:17" hidden="1" x14ac:dyDescent="0.25">
      <c r="A199" s="49" t="s">
        <v>706</v>
      </c>
      <c r="B199" s="49" t="s">
        <v>174</v>
      </c>
      <c r="C199" s="49" t="s">
        <v>175</v>
      </c>
      <c r="D199" s="49" t="s">
        <v>69</v>
      </c>
      <c r="E199" s="50">
        <v>1525000</v>
      </c>
      <c r="F199" s="50">
        <v>1525000</v>
      </c>
      <c r="G199" s="50">
        <v>1525000</v>
      </c>
      <c r="H199" s="50">
        <v>0</v>
      </c>
      <c r="I199" s="50">
        <v>1477075</v>
      </c>
      <c r="J199" s="50">
        <v>0</v>
      </c>
      <c r="K199" s="50">
        <v>47925</v>
      </c>
      <c r="L199" s="152">
        <f t="shared" si="0"/>
        <v>3.1426229508196721E-2</v>
      </c>
      <c r="M199" s="50">
        <v>3150</v>
      </c>
      <c r="N199" s="152">
        <f t="shared" si="1"/>
        <v>2.0655737704918034E-3</v>
      </c>
      <c r="O199" s="50">
        <v>0</v>
      </c>
      <c r="P199" s="152">
        <f t="shared" si="2"/>
        <v>0</v>
      </c>
      <c r="Q199" s="50">
        <v>0</v>
      </c>
    </row>
    <row r="200" spans="1:17" hidden="1" x14ac:dyDescent="0.25">
      <c r="A200" s="49" t="s">
        <v>706</v>
      </c>
      <c r="B200" s="49" t="s">
        <v>176</v>
      </c>
      <c r="C200" s="49" t="s">
        <v>177</v>
      </c>
      <c r="D200" s="49" t="s">
        <v>69</v>
      </c>
      <c r="E200" s="50">
        <v>1525000</v>
      </c>
      <c r="F200" s="50">
        <v>1525000</v>
      </c>
      <c r="G200" s="50">
        <v>1525000</v>
      </c>
      <c r="H200" s="50">
        <v>0</v>
      </c>
      <c r="I200" s="50">
        <v>1477075</v>
      </c>
      <c r="J200" s="50">
        <v>0</v>
      </c>
      <c r="K200" s="50">
        <v>47925</v>
      </c>
      <c r="L200" s="152">
        <f t="shared" si="0"/>
        <v>3.1426229508196721E-2</v>
      </c>
      <c r="M200" s="50">
        <v>3150</v>
      </c>
      <c r="N200" s="152">
        <f t="shared" si="1"/>
        <v>2.0655737704918034E-3</v>
      </c>
      <c r="O200" s="50">
        <v>0</v>
      </c>
      <c r="P200" s="152">
        <f t="shared" si="2"/>
        <v>0</v>
      </c>
      <c r="Q200" s="50">
        <v>0</v>
      </c>
    </row>
    <row r="201" spans="1:17" hidden="1" x14ac:dyDescent="0.25">
      <c r="A201" s="49" t="s">
        <v>706</v>
      </c>
      <c r="B201" s="49" t="s">
        <v>178</v>
      </c>
      <c r="C201" s="49" t="s">
        <v>179</v>
      </c>
      <c r="D201" s="49" t="s">
        <v>69</v>
      </c>
      <c r="E201" s="50">
        <v>2200000</v>
      </c>
      <c r="F201" s="50">
        <v>2200000</v>
      </c>
      <c r="G201" s="50">
        <v>2200000</v>
      </c>
      <c r="H201" s="50">
        <v>0</v>
      </c>
      <c r="I201" s="50">
        <v>50000</v>
      </c>
      <c r="J201" s="50">
        <v>0</v>
      </c>
      <c r="K201" s="50">
        <v>150000</v>
      </c>
      <c r="L201" s="152">
        <f t="shared" si="0"/>
        <v>6.8181818181818177E-2</v>
      </c>
      <c r="M201" s="50">
        <v>150000</v>
      </c>
      <c r="N201" s="152">
        <f t="shared" si="1"/>
        <v>6.8181818181818177E-2</v>
      </c>
      <c r="O201" s="50">
        <v>2000000</v>
      </c>
      <c r="P201" s="152">
        <f t="shared" si="2"/>
        <v>0.90909090909090906</v>
      </c>
      <c r="Q201" s="50">
        <v>2000000</v>
      </c>
    </row>
    <row r="202" spans="1:17" hidden="1" x14ac:dyDescent="0.25">
      <c r="A202" s="49" t="s">
        <v>706</v>
      </c>
      <c r="B202" s="49" t="s">
        <v>180</v>
      </c>
      <c r="C202" s="49" t="s">
        <v>181</v>
      </c>
      <c r="D202" s="49" t="s">
        <v>69</v>
      </c>
      <c r="E202" s="50">
        <v>200000</v>
      </c>
      <c r="F202" s="50">
        <v>200000</v>
      </c>
      <c r="G202" s="50">
        <v>200000</v>
      </c>
      <c r="H202" s="50">
        <v>0</v>
      </c>
      <c r="I202" s="50">
        <v>0</v>
      </c>
      <c r="J202" s="50">
        <v>0</v>
      </c>
      <c r="K202" s="50">
        <v>0</v>
      </c>
      <c r="L202" s="152">
        <f t="shared" si="0"/>
        <v>0</v>
      </c>
      <c r="M202" s="50">
        <v>0</v>
      </c>
      <c r="N202" s="152">
        <f t="shared" si="1"/>
        <v>0</v>
      </c>
      <c r="O202" s="50">
        <v>200000</v>
      </c>
      <c r="P202" s="152">
        <f t="shared" si="2"/>
        <v>1</v>
      </c>
      <c r="Q202" s="50">
        <v>200000</v>
      </c>
    </row>
    <row r="203" spans="1:17" hidden="1" x14ac:dyDescent="0.25">
      <c r="A203" s="49" t="s">
        <v>706</v>
      </c>
      <c r="B203" s="49" t="s">
        <v>182</v>
      </c>
      <c r="C203" s="49" t="s">
        <v>183</v>
      </c>
      <c r="D203" s="49" t="s">
        <v>69</v>
      </c>
      <c r="E203" s="50">
        <v>2000000</v>
      </c>
      <c r="F203" s="50">
        <v>2000000</v>
      </c>
      <c r="G203" s="50">
        <v>2000000</v>
      </c>
      <c r="H203" s="50">
        <v>0</v>
      </c>
      <c r="I203" s="50">
        <v>50000</v>
      </c>
      <c r="J203" s="50">
        <v>0</v>
      </c>
      <c r="K203" s="50">
        <v>150000</v>
      </c>
      <c r="L203" s="152">
        <f t="shared" si="0"/>
        <v>7.4999999999999997E-2</v>
      </c>
      <c r="M203" s="50">
        <v>150000</v>
      </c>
      <c r="N203" s="152">
        <f t="shared" si="1"/>
        <v>7.4999999999999997E-2</v>
      </c>
      <c r="O203" s="50">
        <v>1800000</v>
      </c>
      <c r="P203" s="152">
        <f t="shared" si="2"/>
        <v>0.9</v>
      </c>
      <c r="Q203" s="50">
        <v>1800000</v>
      </c>
    </row>
    <row r="204" spans="1:17" hidden="1" x14ac:dyDescent="0.25">
      <c r="A204" s="49" t="s">
        <v>706</v>
      </c>
      <c r="B204" s="49" t="s">
        <v>184</v>
      </c>
      <c r="C204" s="49" t="s">
        <v>185</v>
      </c>
      <c r="D204" s="49" t="s">
        <v>69</v>
      </c>
      <c r="E204" s="50">
        <v>56348380</v>
      </c>
      <c r="F204" s="50">
        <v>50848380</v>
      </c>
      <c r="G204" s="50">
        <v>50848379.520000003</v>
      </c>
      <c r="H204" s="50">
        <v>3574740</v>
      </c>
      <c r="I204" s="50">
        <v>2666004.73</v>
      </c>
      <c r="J204" s="50">
        <v>0</v>
      </c>
      <c r="K204" s="50">
        <v>20725802.25</v>
      </c>
      <c r="L204" s="152">
        <f t="shared" si="0"/>
        <v>0.40760005038508601</v>
      </c>
      <c r="M204" s="50">
        <v>19800822.629999999</v>
      </c>
      <c r="N204" s="152">
        <f t="shared" si="1"/>
        <v>0.38940911450866278</v>
      </c>
      <c r="O204" s="50">
        <v>23881833.02</v>
      </c>
      <c r="P204" s="152">
        <f t="shared" si="2"/>
        <v>0.46966752962434594</v>
      </c>
      <c r="Q204" s="50">
        <v>23881832.539999999</v>
      </c>
    </row>
    <row r="205" spans="1:17" hidden="1" x14ac:dyDescent="0.25">
      <c r="A205" s="49" t="s">
        <v>706</v>
      </c>
      <c r="B205" s="49" t="s">
        <v>186</v>
      </c>
      <c r="C205" s="49" t="s">
        <v>187</v>
      </c>
      <c r="D205" s="49" t="s">
        <v>69</v>
      </c>
      <c r="E205" s="50">
        <v>30858480</v>
      </c>
      <c r="F205" s="50">
        <v>29358480</v>
      </c>
      <c r="G205" s="50">
        <v>29358480</v>
      </c>
      <c r="H205" s="50">
        <v>182800</v>
      </c>
      <c r="I205" s="50">
        <v>1117209.81</v>
      </c>
      <c r="J205" s="50">
        <v>0</v>
      </c>
      <c r="K205" s="50">
        <v>8539047.3599999994</v>
      </c>
      <c r="L205" s="152">
        <f t="shared" si="0"/>
        <v>0.29085454560317836</v>
      </c>
      <c r="M205" s="50">
        <v>8082457.9199999999</v>
      </c>
      <c r="N205" s="152">
        <f t="shared" si="1"/>
        <v>0.2753023290034089</v>
      </c>
      <c r="O205" s="50">
        <v>19519422.829999998</v>
      </c>
      <c r="P205" s="152">
        <f t="shared" si="2"/>
        <v>0.66486489865960352</v>
      </c>
      <c r="Q205" s="50">
        <v>19519422.829999998</v>
      </c>
    </row>
    <row r="206" spans="1:17" hidden="1" x14ac:dyDescent="0.25">
      <c r="A206" s="49" t="s">
        <v>706</v>
      </c>
      <c r="B206" s="49" t="s">
        <v>188</v>
      </c>
      <c r="C206" s="49" t="s">
        <v>189</v>
      </c>
      <c r="D206" s="49" t="s">
        <v>69</v>
      </c>
      <c r="E206" s="50">
        <v>25379000</v>
      </c>
      <c r="F206" s="50">
        <v>25379000</v>
      </c>
      <c r="G206" s="50">
        <v>25379000</v>
      </c>
      <c r="H206" s="50">
        <v>0</v>
      </c>
      <c r="I206" s="50">
        <v>970079.16</v>
      </c>
      <c r="J206" s="50">
        <v>0</v>
      </c>
      <c r="K206" s="50">
        <v>6041384.04</v>
      </c>
      <c r="L206" s="152">
        <f t="shared" si="0"/>
        <v>0.23804657551518973</v>
      </c>
      <c r="M206" s="50">
        <v>6041384.04</v>
      </c>
      <c r="N206" s="152">
        <f t="shared" si="1"/>
        <v>0.23804657551518973</v>
      </c>
      <c r="O206" s="50">
        <v>18367536.800000001</v>
      </c>
      <c r="P206" s="152">
        <f t="shared" si="2"/>
        <v>0.72372972930375512</v>
      </c>
      <c r="Q206" s="50">
        <v>18367536.800000001</v>
      </c>
    </row>
    <row r="207" spans="1:17" hidden="1" x14ac:dyDescent="0.25">
      <c r="A207" s="49" t="s">
        <v>706</v>
      </c>
      <c r="B207" s="49" t="s">
        <v>190</v>
      </c>
      <c r="C207" s="49" t="s">
        <v>191</v>
      </c>
      <c r="D207" s="49" t="s">
        <v>69</v>
      </c>
      <c r="E207" s="50">
        <v>231600</v>
      </c>
      <c r="F207" s="50">
        <v>231600</v>
      </c>
      <c r="G207" s="50">
        <v>231600</v>
      </c>
      <c r="H207" s="50">
        <v>0</v>
      </c>
      <c r="I207" s="50">
        <v>0</v>
      </c>
      <c r="J207" s="50">
        <v>0</v>
      </c>
      <c r="K207" s="50">
        <v>167805</v>
      </c>
      <c r="L207" s="152">
        <f t="shared" si="0"/>
        <v>0.72454663212435233</v>
      </c>
      <c r="M207" s="50">
        <v>167805</v>
      </c>
      <c r="N207" s="152">
        <f t="shared" si="1"/>
        <v>0.72454663212435233</v>
      </c>
      <c r="O207" s="50">
        <v>63795</v>
      </c>
      <c r="P207" s="152">
        <f t="shared" si="2"/>
        <v>0.27545336787564767</v>
      </c>
      <c r="Q207" s="50">
        <v>63795</v>
      </c>
    </row>
    <row r="208" spans="1:17" hidden="1" x14ac:dyDescent="0.25">
      <c r="A208" s="49" t="s">
        <v>706</v>
      </c>
      <c r="B208" s="49" t="s">
        <v>192</v>
      </c>
      <c r="C208" s="49" t="s">
        <v>193</v>
      </c>
      <c r="D208" s="49" t="s">
        <v>69</v>
      </c>
      <c r="E208" s="50">
        <v>4850880</v>
      </c>
      <c r="F208" s="50">
        <v>3350880</v>
      </c>
      <c r="G208" s="50">
        <v>3350880</v>
      </c>
      <c r="H208" s="50">
        <v>0</v>
      </c>
      <c r="I208" s="50">
        <v>147130.65</v>
      </c>
      <c r="J208" s="50">
        <v>0</v>
      </c>
      <c r="K208" s="50">
        <v>2329858.3199999998</v>
      </c>
      <c r="L208" s="152">
        <f t="shared" si="0"/>
        <v>0.69529745022203115</v>
      </c>
      <c r="M208" s="50">
        <v>1873268.88</v>
      </c>
      <c r="N208" s="152">
        <f t="shared" si="1"/>
        <v>0.55903788855464831</v>
      </c>
      <c r="O208" s="50">
        <v>873891.03</v>
      </c>
      <c r="P208" s="152">
        <f t="shared" si="2"/>
        <v>0.2607944868213723</v>
      </c>
      <c r="Q208" s="50">
        <v>873891.03</v>
      </c>
    </row>
    <row r="209" spans="1:17" hidden="1" x14ac:dyDescent="0.25">
      <c r="A209" s="49" t="s">
        <v>706</v>
      </c>
      <c r="B209" s="49" t="s">
        <v>194</v>
      </c>
      <c r="C209" s="49" t="s">
        <v>195</v>
      </c>
      <c r="D209" s="49" t="s">
        <v>69</v>
      </c>
      <c r="E209" s="50">
        <v>397000</v>
      </c>
      <c r="F209" s="50">
        <v>397000</v>
      </c>
      <c r="G209" s="50">
        <v>397000</v>
      </c>
      <c r="H209" s="50">
        <v>182800</v>
      </c>
      <c r="I209" s="50">
        <v>0</v>
      </c>
      <c r="J209" s="50">
        <v>0</v>
      </c>
      <c r="K209" s="50">
        <v>0</v>
      </c>
      <c r="L209" s="152">
        <f t="shared" si="0"/>
        <v>0</v>
      </c>
      <c r="M209" s="50">
        <v>0</v>
      </c>
      <c r="N209" s="152">
        <f t="shared" si="1"/>
        <v>0</v>
      </c>
      <c r="O209" s="50">
        <v>214200</v>
      </c>
      <c r="P209" s="152">
        <f t="shared" si="2"/>
        <v>0.53954659949622163</v>
      </c>
      <c r="Q209" s="50">
        <v>214200</v>
      </c>
    </row>
    <row r="210" spans="1:17" hidden="1" x14ac:dyDescent="0.25">
      <c r="A210" s="49" t="s">
        <v>706</v>
      </c>
      <c r="B210" s="49" t="s">
        <v>200</v>
      </c>
      <c r="C210" s="49" t="s">
        <v>201</v>
      </c>
      <c r="D210" s="49" t="s">
        <v>69</v>
      </c>
      <c r="E210" s="50">
        <v>5536500</v>
      </c>
      <c r="F210" s="50">
        <v>5536500</v>
      </c>
      <c r="G210" s="50">
        <v>5536500</v>
      </c>
      <c r="H210" s="50">
        <v>852549</v>
      </c>
      <c r="I210" s="50">
        <v>1330155.99</v>
      </c>
      <c r="J210" s="50">
        <v>0</v>
      </c>
      <c r="K210" s="50">
        <v>3189556.33</v>
      </c>
      <c r="L210" s="152">
        <f t="shared" si="0"/>
        <v>0.57609614919172769</v>
      </c>
      <c r="M210" s="50">
        <v>3130570.89</v>
      </c>
      <c r="N210" s="152">
        <f t="shared" si="1"/>
        <v>0.56544222703874292</v>
      </c>
      <c r="O210" s="50">
        <v>164238.68</v>
      </c>
      <c r="P210" s="152">
        <f t="shared" si="2"/>
        <v>2.9664712363406481E-2</v>
      </c>
      <c r="Q210" s="50">
        <v>164238.68</v>
      </c>
    </row>
    <row r="211" spans="1:17" hidden="1" x14ac:dyDescent="0.25">
      <c r="A211" s="49" t="s">
        <v>706</v>
      </c>
      <c r="B211" s="49" t="s">
        <v>314</v>
      </c>
      <c r="C211" s="49" t="s">
        <v>315</v>
      </c>
      <c r="D211" s="49" t="s">
        <v>69</v>
      </c>
      <c r="E211" s="50">
        <v>1274000</v>
      </c>
      <c r="F211" s="50">
        <v>1274000</v>
      </c>
      <c r="G211" s="50">
        <v>1274000</v>
      </c>
      <c r="H211" s="50">
        <v>0</v>
      </c>
      <c r="I211" s="50">
        <v>130808.8</v>
      </c>
      <c r="J211" s="50">
        <v>0</v>
      </c>
      <c r="K211" s="50">
        <v>1118167.49</v>
      </c>
      <c r="L211" s="152">
        <f t="shared" si="0"/>
        <v>0.87768248822605965</v>
      </c>
      <c r="M211" s="50">
        <v>1118167.49</v>
      </c>
      <c r="N211" s="152">
        <f t="shared" si="1"/>
        <v>0.87768248822605965</v>
      </c>
      <c r="O211" s="50">
        <v>25023.71</v>
      </c>
      <c r="P211" s="152">
        <f t="shared" si="2"/>
        <v>1.964184458398744E-2</v>
      </c>
      <c r="Q211" s="50">
        <v>25023.71</v>
      </c>
    </row>
    <row r="212" spans="1:17" hidden="1" x14ac:dyDescent="0.25">
      <c r="A212" s="49" t="s">
        <v>706</v>
      </c>
      <c r="B212" s="49" t="s">
        <v>316</v>
      </c>
      <c r="C212" s="49" t="s">
        <v>317</v>
      </c>
      <c r="D212" s="49" t="s">
        <v>69</v>
      </c>
      <c r="E212" s="50">
        <v>290000</v>
      </c>
      <c r="F212" s="50">
        <v>290000</v>
      </c>
      <c r="G212" s="50">
        <v>290000</v>
      </c>
      <c r="H212" s="50">
        <v>0</v>
      </c>
      <c r="I212" s="50">
        <v>149952.13</v>
      </c>
      <c r="J212" s="50">
        <v>0</v>
      </c>
      <c r="K212" s="50">
        <v>137464.5</v>
      </c>
      <c r="L212" s="152">
        <f t="shared" si="0"/>
        <v>0.4740155172413793</v>
      </c>
      <c r="M212" s="50">
        <v>137464.5</v>
      </c>
      <c r="N212" s="152">
        <f t="shared" si="1"/>
        <v>0.4740155172413793</v>
      </c>
      <c r="O212" s="50">
        <v>2583.37</v>
      </c>
      <c r="P212" s="152">
        <f t="shared" si="2"/>
        <v>8.9081724137931029E-3</v>
      </c>
      <c r="Q212" s="50">
        <v>2583.37</v>
      </c>
    </row>
    <row r="213" spans="1:17" hidden="1" x14ac:dyDescent="0.25">
      <c r="A213" s="49" t="s">
        <v>706</v>
      </c>
      <c r="B213" s="49" t="s">
        <v>318</v>
      </c>
      <c r="C213" s="49" t="s">
        <v>319</v>
      </c>
      <c r="D213" s="49" t="s">
        <v>69</v>
      </c>
      <c r="E213" s="50">
        <v>100000</v>
      </c>
      <c r="F213" s="50">
        <v>100000</v>
      </c>
      <c r="G213" s="50">
        <v>100000</v>
      </c>
      <c r="H213" s="50">
        <v>0</v>
      </c>
      <c r="I213" s="50">
        <v>1944.28</v>
      </c>
      <c r="J213" s="50">
        <v>0</v>
      </c>
      <c r="K213" s="50">
        <v>78619.070000000007</v>
      </c>
      <c r="L213" s="152">
        <f t="shared" si="0"/>
        <v>0.78619070000000002</v>
      </c>
      <c r="M213" s="50">
        <v>78619.070000000007</v>
      </c>
      <c r="N213" s="152">
        <f t="shared" si="1"/>
        <v>0.78619070000000002</v>
      </c>
      <c r="O213" s="50">
        <v>19436.650000000001</v>
      </c>
      <c r="P213" s="152">
        <f t="shared" si="2"/>
        <v>0.19436650000000003</v>
      </c>
      <c r="Q213" s="50">
        <v>19436.650000000001</v>
      </c>
    </row>
    <row r="214" spans="1:17" hidden="1" x14ac:dyDescent="0.25">
      <c r="A214" s="49" t="s">
        <v>706</v>
      </c>
      <c r="B214" s="49" t="s">
        <v>202</v>
      </c>
      <c r="C214" s="49" t="s">
        <v>203</v>
      </c>
      <c r="D214" s="49" t="s">
        <v>69</v>
      </c>
      <c r="E214" s="50">
        <v>2782500</v>
      </c>
      <c r="F214" s="50">
        <v>2782500</v>
      </c>
      <c r="G214" s="50">
        <v>2782500</v>
      </c>
      <c r="H214" s="50">
        <v>111150</v>
      </c>
      <c r="I214" s="50">
        <v>909868.42</v>
      </c>
      <c r="J214" s="50">
        <v>0</v>
      </c>
      <c r="K214" s="50">
        <v>1650894.83</v>
      </c>
      <c r="L214" s="152">
        <f t="shared" si="0"/>
        <v>0.59331350584007192</v>
      </c>
      <c r="M214" s="50">
        <v>1650894.83</v>
      </c>
      <c r="N214" s="152">
        <f t="shared" si="1"/>
        <v>0.59331350584007192</v>
      </c>
      <c r="O214" s="50">
        <v>110586.75</v>
      </c>
      <c r="P214" s="152">
        <f t="shared" si="2"/>
        <v>3.9743665768194068E-2</v>
      </c>
      <c r="Q214" s="50">
        <v>110586.75</v>
      </c>
    </row>
    <row r="215" spans="1:17" hidden="1" x14ac:dyDescent="0.25">
      <c r="A215" s="49" t="s">
        <v>706</v>
      </c>
      <c r="B215" s="49" t="s">
        <v>204</v>
      </c>
      <c r="C215" s="49" t="s">
        <v>205</v>
      </c>
      <c r="D215" s="49" t="s">
        <v>69</v>
      </c>
      <c r="E215" s="50">
        <v>200000</v>
      </c>
      <c r="F215" s="50">
        <v>200000</v>
      </c>
      <c r="G215" s="50">
        <v>200000</v>
      </c>
      <c r="H215" s="50">
        <v>0</v>
      </c>
      <c r="I215" s="50">
        <v>137582.35999999999</v>
      </c>
      <c r="J215" s="50">
        <v>0</v>
      </c>
      <c r="K215" s="50">
        <v>58985.440000000002</v>
      </c>
      <c r="L215" s="152">
        <f t="shared" si="0"/>
        <v>0.2949272</v>
      </c>
      <c r="M215" s="50">
        <v>0</v>
      </c>
      <c r="N215" s="152">
        <f t="shared" si="1"/>
        <v>0</v>
      </c>
      <c r="O215" s="50">
        <v>3432.2</v>
      </c>
      <c r="P215" s="152">
        <f t="shared" si="2"/>
        <v>1.7160999999999999E-2</v>
      </c>
      <c r="Q215" s="50">
        <v>3432.2</v>
      </c>
    </row>
    <row r="216" spans="1:17" hidden="1" x14ac:dyDescent="0.25">
      <c r="A216" s="49" t="s">
        <v>706</v>
      </c>
      <c r="B216" s="49" t="s">
        <v>322</v>
      </c>
      <c r="C216" s="49" t="s">
        <v>323</v>
      </c>
      <c r="D216" s="49" t="s">
        <v>69</v>
      </c>
      <c r="E216" s="50">
        <v>890000</v>
      </c>
      <c r="F216" s="50">
        <v>890000</v>
      </c>
      <c r="G216" s="50">
        <v>890000</v>
      </c>
      <c r="H216" s="50">
        <v>741399</v>
      </c>
      <c r="I216" s="50">
        <v>0</v>
      </c>
      <c r="J216" s="50">
        <v>0</v>
      </c>
      <c r="K216" s="50">
        <v>145425</v>
      </c>
      <c r="L216" s="152">
        <f t="shared" si="0"/>
        <v>0.16339887640449438</v>
      </c>
      <c r="M216" s="50">
        <v>145425</v>
      </c>
      <c r="N216" s="152">
        <f t="shared" si="1"/>
        <v>0.16339887640449438</v>
      </c>
      <c r="O216" s="50">
        <v>3176</v>
      </c>
      <c r="P216" s="152">
        <f t="shared" si="2"/>
        <v>3.5685393258426965E-3</v>
      </c>
      <c r="Q216" s="50">
        <v>3176</v>
      </c>
    </row>
    <row r="217" spans="1:17" hidden="1" x14ac:dyDescent="0.25">
      <c r="A217" s="49" t="s">
        <v>706</v>
      </c>
      <c r="B217" s="49" t="s">
        <v>206</v>
      </c>
      <c r="C217" s="49" t="s">
        <v>207</v>
      </c>
      <c r="D217" s="49" t="s">
        <v>69</v>
      </c>
      <c r="E217" s="50">
        <v>3341900</v>
      </c>
      <c r="F217" s="50">
        <v>2341900</v>
      </c>
      <c r="G217" s="50">
        <v>2341900</v>
      </c>
      <c r="H217" s="50">
        <v>492820</v>
      </c>
      <c r="I217" s="50">
        <v>5557.67</v>
      </c>
      <c r="J217" s="50">
        <v>0</v>
      </c>
      <c r="K217" s="50">
        <v>111538.33</v>
      </c>
      <c r="L217" s="152">
        <f t="shared" si="0"/>
        <v>4.7627281267347027E-2</v>
      </c>
      <c r="M217" s="50">
        <v>111538.33</v>
      </c>
      <c r="N217" s="152">
        <f t="shared" si="1"/>
        <v>4.7627281267347027E-2</v>
      </c>
      <c r="O217" s="50">
        <v>1731984</v>
      </c>
      <c r="P217" s="152">
        <f t="shared" si="2"/>
        <v>0.73956360220333917</v>
      </c>
      <c r="Q217" s="50">
        <v>1731984</v>
      </c>
    </row>
    <row r="218" spans="1:17" hidden="1" x14ac:dyDescent="0.25">
      <c r="A218" s="49" t="s">
        <v>706</v>
      </c>
      <c r="B218" s="49" t="s">
        <v>208</v>
      </c>
      <c r="C218" s="49" t="s">
        <v>209</v>
      </c>
      <c r="D218" s="49" t="s">
        <v>69</v>
      </c>
      <c r="E218" s="50">
        <v>671900</v>
      </c>
      <c r="F218" s="50">
        <v>671900</v>
      </c>
      <c r="G218" s="50">
        <v>671900</v>
      </c>
      <c r="H218" s="50">
        <v>492820</v>
      </c>
      <c r="I218" s="50">
        <v>0</v>
      </c>
      <c r="J218" s="50">
        <v>0</v>
      </c>
      <c r="K218" s="50">
        <v>45250</v>
      </c>
      <c r="L218" s="152">
        <f t="shared" si="0"/>
        <v>6.7346331299300496E-2</v>
      </c>
      <c r="M218" s="50">
        <v>45250</v>
      </c>
      <c r="N218" s="152">
        <f t="shared" si="1"/>
        <v>6.7346331299300496E-2</v>
      </c>
      <c r="O218" s="50">
        <v>133830</v>
      </c>
      <c r="P218" s="152">
        <f t="shared" si="2"/>
        <v>0.19918142580741183</v>
      </c>
      <c r="Q218" s="50">
        <v>133830</v>
      </c>
    </row>
    <row r="219" spans="1:17" hidden="1" x14ac:dyDescent="0.25">
      <c r="A219" s="49" t="s">
        <v>706</v>
      </c>
      <c r="B219" s="49" t="s">
        <v>210</v>
      </c>
      <c r="C219" s="49" t="s">
        <v>211</v>
      </c>
      <c r="D219" s="49" t="s">
        <v>69</v>
      </c>
      <c r="E219" s="50">
        <v>2670000</v>
      </c>
      <c r="F219" s="50">
        <v>1670000</v>
      </c>
      <c r="G219" s="50">
        <v>1670000</v>
      </c>
      <c r="H219" s="50">
        <v>0</v>
      </c>
      <c r="I219" s="50">
        <v>5557.67</v>
      </c>
      <c r="J219" s="50">
        <v>0</v>
      </c>
      <c r="K219" s="50">
        <v>66288.33</v>
      </c>
      <c r="L219" s="152">
        <f t="shared" si="0"/>
        <v>3.9693610778443113E-2</v>
      </c>
      <c r="M219" s="50">
        <v>66288.33</v>
      </c>
      <c r="N219" s="152">
        <f t="shared" si="1"/>
        <v>3.9693610778443113E-2</v>
      </c>
      <c r="O219" s="50">
        <v>1598154</v>
      </c>
      <c r="P219" s="152">
        <f t="shared" si="2"/>
        <v>0.95697844311377245</v>
      </c>
      <c r="Q219" s="50">
        <v>1598154</v>
      </c>
    </row>
    <row r="220" spans="1:17" hidden="1" x14ac:dyDescent="0.25">
      <c r="A220" s="49" t="s">
        <v>706</v>
      </c>
      <c r="B220" s="49" t="s">
        <v>212</v>
      </c>
      <c r="C220" s="49" t="s">
        <v>213</v>
      </c>
      <c r="D220" s="49" t="s">
        <v>69</v>
      </c>
      <c r="E220" s="50">
        <v>16611500</v>
      </c>
      <c r="F220" s="50">
        <v>13611500</v>
      </c>
      <c r="G220" s="50">
        <v>13611499.52</v>
      </c>
      <c r="H220" s="50">
        <v>2046571</v>
      </c>
      <c r="I220" s="50">
        <v>213081.26</v>
      </c>
      <c r="J220" s="50">
        <v>0</v>
      </c>
      <c r="K220" s="50">
        <v>8885660.2300000004</v>
      </c>
      <c r="L220" s="152">
        <f t="shared" si="0"/>
        <v>0.65280536531609301</v>
      </c>
      <c r="M220" s="50">
        <v>8476255.4900000002</v>
      </c>
      <c r="N220" s="152">
        <f t="shared" si="1"/>
        <v>0.62272750909157704</v>
      </c>
      <c r="O220" s="50">
        <v>2466187.5099999998</v>
      </c>
      <c r="P220" s="152">
        <f t="shared" si="2"/>
        <v>0.18118410976012927</v>
      </c>
      <c r="Q220" s="50">
        <v>2466187.0299999998</v>
      </c>
    </row>
    <row r="221" spans="1:17" hidden="1" x14ac:dyDescent="0.25">
      <c r="A221" s="49" t="s">
        <v>706</v>
      </c>
      <c r="B221" s="49" t="s">
        <v>214</v>
      </c>
      <c r="C221" s="49" t="s">
        <v>215</v>
      </c>
      <c r="D221" s="49" t="s">
        <v>69</v>
      </c>
      <c r="E221" s="50">
        <v>5232000</v>
      </c>
      <c r="F221" s="50">
        <v>2232000</v>
      </c>
      <c r="G221" s="50">
        <v>2232000</v>
      </c>
      <c r="H221" s="50">
        <v>0</v>
      </c>
      <c r="I221" s="50">
        <v>0</v>
      </c>
      <c r="J221" s="50">
        <v>0</v>
      </c>
      <c r="K221" s="50">
        <v>2152542.12</v>
      </c>
      <c r="L221" s="152">
        <f t="shared" si="0"/>
        <v>0.9644005913978495</v>
      </c>
      <c r="M221" s="50">
        <v>2152542.12</v>
      </c>
      <c r="N221" s="152">
        <f t="shared" si="1"/>
        <v>0.9644005913978495</v>
      </c>
      <c r="O221" s="50">
        <v>79457.88</v>
      </c>
      <c r="P221" s="152">
        <f t="shared" si="2"/>
        <v>3.5599408602150537E-2</v>
      </c>
      <c r="Q221" s="50">
        <v>79457.88</v>
      </c>
    </row>
    <row r="222" spans="1:17" hidden="1" x14ac:dyDescent="0.25">
      <c r="A222" s="49" t="s">
        <v>706</v>
      </c>
      <c r="B222" s="49" t="s">
        <v>218</v>
      </c>
      <c r="C222" s="49" t="s">
        <v>219</v>
      </c>
      <c r="D222" s="49" t="s">
        <v>69</v>
      </c>
      <c r="E222" s="50">
        <v>6600000</v>
      </c>
      <c r="F222" s="50">
        <v>2600000</v>
      </c>
      <c r="G222" s="50">
        <v>2599999.52</v>
      </c>
      <c r="H222" s="50">
        <v>0</v>
      </c>
      <c r="I222" s="50">
        <v>94500.02</v>
      </c>
      <c r="J222" s="50">
        <v>0</v>
      </c>
      <c r="K222" s="50">
        <v>2192594.7000000002</v>
      </c>
      <c r="L222" s="152">
        <f t="shared" si="0"/>
        <v>0.84330565384615397</v>
      </c>
      <c r="M222" s="50">
        <v>2118014.7000000002</v>
      </c>
      <c r="N222" s="152">
        <f t="shared" si="1"/>
        <v>0.81462103846153855</v>
      </c>
      <c r="O222" s="50">
        <v>312905.28000000003</v>
      </c>
      <c r="P222" s="152">
        <f t="shared" si="2"/>
        <v>0.12034818461538463</v>
      </c>
      <c r="Q222" s="50">
        <v>312904.8</v>
      </c>
    </row>
    <row r="223" spans="1:17" hidden="1" x14ac:dyDescent="0.25">
      <c r="A223" s="49" t="s">
        <v>706</v>
      </c>
      <c r="B223" s="49" t="s">
        <v>220</v>
      </c>
      <c r="C223" s="49" t="s">
        <v>221</v>
      </c>
      <c r="D223" s="49" t="s">
        <v>69</v>
      </c>
      <c r="E223" s="50">
        <v>340000</v>
      </c>
      <c r="F223" s="50">
        <v>340000</v>
      </c>
      <c r="G223" s="50">
        <v>340000</v>
      </c>
      <c r="H223" s="50">
        <v>0</v>
      </c>
      <c r="I223" s="50">
        <v>0</v>
      </c>
      <c r="J223" s="50">
        <v>0</v>
      </c>
      <c r="K223" s="50">
        <v>334824.74</v>
      </c>
      <c r="L223" s="152">
        <f t="shared" si="0"/>
        <v>0.98477864705882345</v>
      </c>
      <c r="M223" s="50">
        <v>0</v>
      </c>
      <c r="N223" s="152">
        <f t="shared" si="1"/>
        <v>0</v>
      </c>
      <c r="O223" s="50">
        <v>5175.26</v>
      </c>
      <c r="P223" s="152">
        <f t="shared" si="2"/>
        <v>1.5221352941176471E-2</v>
      </c>
      <c r="Q223" s="50">
        <v>5175.26</v>
      </c>
    </row>
    <row r="224" spans="1:17" hidden="1" x14ac:dyDescent="0.25">
      <c r="A224" s="49" t="s">
        <v>706</v>
      </c>
      <c r="B224" s="49" t="s">
        <v>222</v>
      </c>
      <c r="C224" s="49" t="s">
        <v>223</v>
      </c>
      <c r="D224" s="49" t="s">
        <v>69</v>
      </c>
      <c r="E224" s="50">
        <v>1393100</v>
      </c>
      <c r="F224" s="50">
        <v>5393100</v>
      </c>
      <c r="G224" s="50">
        <v>5393100</v>
      </c>
      <c r="H224" s="50">
        <v>962975</v>
      </c>
      <c r="I224" s="50">
        <v>118581.24</v>
      </c>
      <c r="J224" s="50">
        <v>0</v>
      </c>
      <c r="K224" s="50">
        <v>3767752.67</v>
      </c>
      <c r="L224" s="152">
        <f t="shared" si="0"/>
        <v>0.69862466299530879</v>
      </c>
      <c r="M224" s="50">
        <v>3767752.67</v>
      </c>
      <c r="N224" s="152">
        <f t="shared" si="1"/>
        <v>0.69862466299530879</v>
      </c>
      <c r="O224" s="50">
        <v>543791.09</v>
      </c>
      <c r="P224" s="152">
        <f t="shared" si="2"/>
        <v>0.10083089317832045</v>
      </c>
      <c r="Q224" s="50">
        <v>543791.09</v>
      </c>
    </row>
    <row r="225" spans="1:17" hidden="1" x14ac:dyDescent="0.25">
      <c r="A225" s="49" t="s">
        <v>706</v>
      </c>
      <c r="B225" s="49" t="s">
        <v>224</v>
      </c>
      <c r="C225" s="49" t="s">
        <v>225</v>
      </c>
      <c r="D225" s="49" t="s">
        <v>69</v>
      </c>
      <c r="E225" s="50">
        <v>2296200</v>
      </c>
      <c r="F225" s="50">
        <v>2296200</v>
      </c>
      <c r="G225" s="50">
        <v>2296200</v>
      </c>
      <c r="H225" s="50">
        <v>670796</v>
      </c>
      <c r="I225" s="50">
        <v>0</v>
      </c>
      <c r="J225" s="50">
        <v>0</v>
      </c>
      <c r="K225" s="50">
        <v>101106</v>
      </c>
      <c r="L225" s="152">
        <f t="shared" si="0"/>
        <v>4.4031878756205907E-2</v>
      </c>
      <c r="M225" s="50">
        <v>101106</v>
      </c>
      <c r="N225" s="152">
        <f t="shared" si="1"/>
        <v>4.4031878756205907E-2</v>
      </c>
      <c r="O225" s="50">
        <v>1524298</v>
      </c>
      <c r="P225" s="152">
        <f t="shared" si="2"/>
        <v>0.66383503179165582</v>
      </c>
      <c r="Q225" s="50">
        <v>1524298</v>
      </c>
    </row>
    <row r="226" spans="1:17" hidden="1" x14ac:dyDescent="0.25">
      <c r="A226" s="49" t="s">
        <v>706</v>
      </c>
      <c r="B226" s="49" t="s">
        <v>228</v>
      </c>
      <c r="C226" s="49" t="s">
        <v>229</v>
      </c>
      <c r="D226" s="49" t="s">
        <v>69</v>
      </c>
      <c r="E226" s="50">
        <v>750200</v>
      </c>
      <c r="F226" s="50">
        <v>750200</v>
      </c>
      <c r="G226" s="50">
        <v>750200</v>
      </c>
      <c r="H226" s="50">
        <v>412800</v>
      </c>
      <c r="I226" s="50">
        <v>0</v>
      </c>
      <c r="J226" s="50">
        <v>0</v>
      </c>
      <c r="K226" s="50">
        <v>336840</v>
      </c>
      <c r="L226" s="152">
        <f t="shared" si="0"/>
        <v>0.44900026659557452</v>
      </c>
      <c r="M226" s="50">
        <v>336840</v>
      </c>
      <c r="N226" s="152">
        <f t="shared" si="1"/>
        <v>0.44900026659557452</v>
      </c>
      <c r="O226" s="50">
        <v>560</v>
      </c>
      <c r="P226" s="152">
        <f t="shared" si="2"/>
        <v>7.4646760863769656E-4</v>
      </c>
      <c r="Q226" s="50">
        <v>560</v>
      </c>
    </row>
    <row r="227" spans="1:17" hidden="1" x14ac:dyDescent="0.25">
      <c r="A227" s="49" t="s">
        <v>706</v>
      </c>
      <c r="B227" s="49" t="s">
        <v>248</v>
      </c>
      <c r="C227" s="49" t="s">
        <v>249</v>
      </c>
      <c r="D227" s="49" t="s">
        <v>69</v>
      </c>
      <c r="E227" s="50">
        <v>218960452</v>
      </c>
      <c r="F227" s="50">
        <v>123234903</v>
      </c>
      <c r="G227" s="50">
        <v>123234903</v>
      </c>
      <c r="H227" s="50">
        <v>0</v>
      </c>
      <c r="I227" s="50">
        <v>4707041.62</v>
      </c>
      <c r="J227" s="50">
        <v>0</v>
      </c>
      <c r="K227" s="50">
        <v>29261293.199999999</v>
      </c>
      <c r="L227" s="152">
        <f t="shared" si="0"/>
        <v>0.2374432282386752</v>
      </c>
      <c r="M227" s="50">
        <v>29261293.199999999</v>
      </c>
      <c r="N227" s="152">
        <f t="shared" si="1"/>
        <v>0.2374432282386752</v>
      </c>
      <c r="O227" s="50">
        <v>89266568.180000007</v>
      </c>
      <c r="P227" s="152">
        <f t="shared" si="2"/>
        <v>0.72436108607964744</v>
      </c>
      <c r="Q227" s="50">
        <v>89266568.180000007</v>
      </c>
    </row>
    <row r="228" spans="1:17" hidden="1" x14ac:dyDescent="0.25">
      <c r="A228" s="49" t="s">
        <v>706</v>
      </c>
      <c r="B228" s="49" t="s">
        <v>250</v>
      </c>
      <c r="C228" s="49" t="s">
        <v>251</v>
      </c>
      <c r="D228" s="49" t="s">
        <v>69</v>
      </c>
      <c r="E228" s="50">
        <v>17259352</v>
      </c>
      <c r="F228" s="50">
        <v>16783803</v>
      </c>
      <c r="G228" s="50">
        <v>16783803</v>
      </c>
      <c r="H228" s="50">
        <v>0</v>
      </c>
      <c r="I228" s="50">
        <v>4707041.62</v>
      </c>
      <c r="J228" s="50">
        <v>0</v>
      </c>
      <c r="K228" s="50">
        <v>12076761.380000001</v>
      </c>
      <c r="L228" s="152">
        <f t="shared" si="0"/>
        <v>0.71954856595969341</v>
      </c>
      <c r="M228" s="50">
        <v>12076761.380000001</v>
      </c>
      <c r="N228" s="152">
        <f t="shared" si="1"/>
        <v>0.71954856595969341</v>
      </c>
      <c r="O228" s="50">
        <v>0</v>
      </c>
      <c r="P228" s="152">
        <f t="shared" si="2"/>
        <v>0</v>
      </c>
      <c r="Q228" s="50">
        <v>0</v>
      </c>
    </row>
    <row r="229" spans="1:17" hidden="1" x14ac:dyDescent="0.25">
      <c r="A229" s="49" t="s">
        <v>706</v>
      </c>
      <c r="B229" s="49" t="s">
        <v>628</v>
      </c>
      <c r="C229" s="49" t="s">
        <v>702</v>
      </c>
      <c r="D229" s="49" t="s">
        <v>69</v>
      </c>
      <c r="E229" s="50">
        <v>14660103</v>
      </c>
      <c r="F229" s="50">
        <v>14256172</v>
      </c>
      <c r="G229" s="50">
        <v>14256172</v>
      </c>
      <c r="H229" s="50">
        <v>0</v>
      </c>
      <c r="I229" s="50">
        <v>4031028.56</v>
      </c>
      <c r="J229" s="50">
        <v>0</v>
      </c>
      <c r="K229" s="50">
        <v>10225143.439999999</v>
      </c>
      <c r="L229" s="152">
        <f t="shared" si="0"/>
        <v>0.71724327119510056</v>
      </c>
      <c r="M229" s="50">
        <v>10225143.439999999</v>
      </c>
      <c r="N229" s="152">
        <f t="shared" si="1"/>
        <v>0.71724327119510056</v>
      </c>
      <c r="O229" s="50">
        <v>0</v>
      </c>
      <c r="P229" s="152">
        <f t="shared" si="2"/>
        <v>0</v>
      </c>
      <c r="Q229" s="50">
        <v>0</v>
      </c>
    </row>
    <row r="230" spans="1:17" hidden="1" x14ac:dyDescent="0.25">
      <c r="A230" s="49" t="s">
        <v>706</v>
      </c>
      <c r="B230" s="49" t="s">
        <v>643</v>
      </c>
      <c r="C230" s="49" t="s">
        <v>703</v>
      </c>
      <c r="D230" s="49" t="s">
        <v>69</v>
      </c>
      <c r="E230" s="50">
        <v>2599249</v>
      </c>
      <c r="F230" s="50">
        <v>2527631</v>
      </c>
      <c r="G230" s="50">
        <v>2527631</v>
      </c>
      <c r="H230" s="50">
        <v>0</v>
      </c>
      <c r="I230" s="50">
        <v>676013.06</v>
      </c>
      <c r="J230" s="50">
        <v>0</v>
      </c>
      <c r="K230" s="50">
        <v>1851617.94</v>
      </c>
      <c r="L230" s="152">
        <f t="shared" si="0"/>
        <v>0.73255073228647694</v>
      </c>
      <c r="M230" s="50">
        <v>1851617.94</v>
      </c>
      <c r="N230" s="152">
        <f t="shared" si="1"/>
        <v>0.73255073228647694</v>
      </c>
      <c r="O230" s="50">
        <v>0</v>
      </c>
      <c r="P230" s="152">
        <f t="shared" si="2"/>
        <v>0</v>
      </c>
      <c r="Q230" s="50">
        <v>0</v>
      </c>
    </row>
    <row r="231" spans="1:17" hidden="1" x14ac:dyDescent="0.25">
      <c r="A231" s="49" t="s">
        <v>706</v>
      </c>
      <c r="B231" s="49" t="s">
        <v>260</v>
      </c>
      <c r="C231" s="49" t="s">
        <v>261</v>
      </c>
      <c r="D231" s="49" t="s">
        <v>69</v>
      </c>
      <c r="E231" s="50">
        <v>195701100</v>
      </c>
      <c r="F231" s="50">
        <v>100451100</v>
      </c>
      <c r="G231" s="50">
        <v>100451100</v>
      </c>
      <c r="H231" s="50">
        <v>0</v>
      </c>
      <c r="I231" s="50">
        <v>0</v>
      </c>
      <c r="J231" s="50">
        <v>0</v>
      </c>
      <c r="K231" s="50">
        <v>17184531.82</v>
      </c>
      <c r="L231" s="152">
        <f t="shared" si="0"/>
        <v>0.17107360516709125</v>
      </c>
      <c r="M231" s="50">
        <v>17184531.82</v>
      </c>
      <c r="N231" s="152">
        <f t="shared" si="1"/>
        <v>0.17107360516709125</v>
      </c>
      <c r="O231" s="50">
        <v>83266568.180000007</v>
      </c>
      <c r="P231" s="152">
        <f t="shared" si="2"/>
        <v>0.82892639483290886</v>
      </c>
      <c r="Q231" s="50">
        <v>83266568.180000007</v>
      </c>
    </row>
    <row r="232" spans="1:17" hidden="1" x14ac:dyDescent="0.25">
      <c r="A232" s="49" t="s">
        <v>706</v>
      </c>
      <c r="B232" s="49" t="s">
        <v>262</v>
      </c>
      <c r="C232" s="49" t="s">
        <v>263</v>
      </c>
      <c r="D232" s="49" t="s">
        <v>69</v>
      </c>
      <c r="E232" s="50">
        <v>165701100</v>
      </c>
      <c r="F232" s="50">
        <v>70451100</v>
      </c>
      <c r="G232" s="50">
        <v>70451100</v>
      </c>
      <c r="H232" s="50">
        <v>0</v>
      </c>
      <c r="I232" s="50">
        <v>0</v>
      </c>
      <c r="J232" s="50">
        <v>0</v>
      </c>
      <c r="K232" s="50">
        <v>14880077.82</v>
      </c>
      <c r="L232" s="152">
        <f t="shared" si="0"/>
        <v>0.21121143346235899</v>
      </c>
      <c r="M232" s="50">
        <v>14880077.82</v>
      </c>
      <c r="N232" s="152">
        <f t="shared" si="1"/>
        <v>0.21121143346235899</v>
      </c>
      <c r="O232" s="50">
        <v>55571022.18</v>
      </c>
      <c r="P232" s="152">
        <f t="shared" si="2"/>
        <v>0.78878856653764096</v>
      </c>
      <c r="Q232" s="50">
        <v>55571022.18</v>
      </c>
    </row>
    <row r="233" spans="1:17" hidden="1" x14ac:dyDescent="0.25">
      <c r="A233" s="49" t="s">
        <v>706</v>
      </c>
      <c r="B233" s="49" t="s">
        <v>264</v>
      </c>
      <c r="C233" s="49" t="s">
        <v>265</v>
      </c>
      <c r="D233" s="49" t="s">
        <v>69</v>
      </c>
      <c r="E233" s="50">
        <v>30000000</v>
      </c>
      <c r="F233" s="50">
        <v>30000000</v>
      </c>
      <c r="G233" s="50">
        <v>30000000</v>
      </c>
      <c r="H233" s="50">
        <v>0</v>
      </c>
      <c r="I233" s="50">
        <v>0</v>
      </c>
      <c r="J233" s="50">
        <v>0</v>
      </c>
      <c r="K233" s="50">
        <v>2304454</v>
      </c>
      <c r="L233" s="152">
        <f t="shared" si="0"/>
        <v>7.6815133333333327E-2</v>
      </c>
      <c r="M233" s="50">
        <v>2304454</v>
      </c>
      <c r="N233" s="152">
        <f t="shared" si="1"/>
        <v>7.6815133333333327E-2</v>
      </c>
      <c r="O233" s="50">
        <v>27695546</v>
      </c>
      <c r="P233" s="152">
        <f t="shared" si="2"/>
        <v>0.92318486666666666</v>
      </c>
      <c r="Q233" s="50">
        <v>27695546</v>
      </c>
    </row>
    <row r="234" spans="1:17" hidden="1" x14ac:dyDescent="0.25">
      <c r="A234" s="49" t="s">
        <v>706</v>
      </c>
      <c r="B234" s="49" t="s">
        <v>286</v>
      </c>
      <c r="C234" s="49" t="s">
        <v>287</v>
      </c>
      <c r="D234" s="49" t="s">
        <v>69</v>
      </c>
      <c r="E234" s="50">
        <v>6000000</v>
      </c>
      <c r="F234" s="50">
        <v>6000000</v>
      </c>
      <c r="G234" s="50">
        <v>6000000</v>
      </c>
      <c r="H234" s="50">
        <v>0</v>
      </c>
      <c r="I234" s="50">
        <v>0</v>
      </c>
      <c r="J234" s="50">
        <v>0</v>
      </c>
      <c r="K234" s="50">
        <v>0</v>
      </c>
      <c r="L234" s="152">
        <f t="shared" si="0"/>
        <v>0</v>
      </c>
      <c r="M234" s="50">
        <v>0</v>
      </c>
      <c r="N234" s="152">
        <f t="shared" si="1"/>
        <v>0</v>
      </c>
      <c r="O234" s="50">
        <v>6000000</v>
      </c>
      <c r="P234" s="152">
        <f t="shared" si="2"/>
        <v>1</v>
      </c>
      <c r="Q234" s="50">
        <v>6000000</v>
      </c>
    </row>
    <row r="235" spans="1:17" hidden="1" x14ac:dyDescent="0.25">
      <c r="A235" s="49" t="s">
        <v>706</v>
      </c>
      <c r="B235" s="49" t="s">
        <v>288</v>
      </c>
      <c r="C235" s="49" t="s">
        <v>289</v>
      </c>
      <c r="D235" s="49" t="s">
        <v>69</v>
      </c>
      <c r="E235" s="50">
        <v>6000000</v>
      </c>
      <c r="F235" s="50">
        <v>6000000</v>
      </c>
      <c r="G235" s="50">
        <v>6000000</v>
      </c>
      <c r="H235" s="50">
        <v>0</v>
      </c>
      <c r="I235" s="50">
        <v>0</v>
      </c>
      <c r="J235" s="50">
        <v>0</v>
      </c>
      <c r="K235" s="50">
        <v>0</v>
      </c>
      <c r="L235" s="152">
        <f t="shared" si="0"/>
        <v>0</v>
      </c>
      <c r="M235" s="50">
        <v>0</v>
      </c>
      <c r="N235" s="152">
        <f t="shared" si="1"/>
        <v>0</v>
      </c>
      <c r="O235" s="50">
        <v>6000000</v>
      </c>
      <c r="P235" s="152">
        <f t="shared" si="2"/>
        <v>1</v>
      </c>
      <c r="Q235" s="50">
        <v>6000000</v>
      </c>
    </row>
    <row r="236" spans="1:17" hidden="1" x14ac:dyDescent="0.25">
      <c r="A236" s="49" t="s">
        <v>706</v>
      </c>
      <c r="B236" s="49" t="s">
        <v>230</v>
      </c>
      <c r="C236" s="49" t="s">
        <v>231</v>
      </c>
      <c r="D236" s="49" t="s">
        <v>85</v>
      </c>
      <c r="E236" s="50">
        <v>744452300</v>
      </c>
      <c r="F236" s="50">
        <v>139452300</v>
      </c>
      <c r="G236" s="50">
        <v>138352300</v>
      </c>
      <c r="H236" s="50">
        <v>22660715</v>
      </c>
      <c r="I236" s="50">
        <v>20081086.600000001</v>
      </c>
      <c r="J236" s="50">
        <v>0</v>
      </c>
      <c r="K236" s="50">
        <v>62359094.719999999</v>
      </c>
      <c r="L236" s="152">
        <f t="shared" si="0"/>
        <v>0.44717150394794491</v>
      </c>
      <c r="M236" s="50">
        <v>45193772.009999998</v>
      </c>
      <c r="N236" s="152">
        <f t="shared" si="1"/>
        <v>0.32408050645274405</v>
      </c>
      <c r="O236" s="50">
        <v>34351403.68</v>
      </c>
      <c r="P236" s="152">
        <f t="shared" si="2"/>
        <v>0.24633085062060647</v>
      </c>
      <c r="Q236" s="50">
        <v>33251403.68</v>
      </c>
    </row>
    <row r="237" spans="1:17" hidden="1" x14ac:dyDescent="0.25">
      <c r="A237" s="49" t="s">
        <v>706</v>
      </c>
      <c r="B237" s="49" t="s">
        <v>232</v>
      </c>
      <c r="C237" s="49" t="s">
        <v>233</v>
      </c>
      <c r="D237" s="49" t="s">
        <v>85</v>
      </c>
      <c r="E237" s="50">
        <v>67752300</v>
      </c>
      <c r="F237" s="50">
        <v>53252300</v>
      </c>
      <c r="G237" s="50">
        <v>52152300</v>
      </c>
      <c r="H237" s="50">
        <v>16867991</v>
      </c>
      <c r="I237" s="50">
        <v>2512532.7799999998</v>
      </c>
      <c r="J237" s="50">
        <v>0</v>
      </c>
      <c r="K237" s="50">
        <v>32243558.710000001</v>
      </c>
      <c r="L237" s="152">
        <f t="shared" si="0"/>
        <v>0.6054866871477852</v>
      </c>
      <c r="M237" s="50">
        <v>24514978.530000001</v>
      </c>
      <c r="N237" s="152">
        <f t="shared" si="1"/>
        <v>0.46035529977108974</v>
      </c>
      <c r="O237" s="50">
        <v>1628217.51</v>
      </c>
      <c r="P237" s="152">
        <f t="shared" si="2"/>
        <v>3.0575534014493273E-2</v>
      </c>
      <c r="Q237" s="50">
        <v>528217.51</v>
      </c>
    </row>
    <row r="238" spans="1:17" hidden="1" x14ac:dyDescent="0.25">
      <c r="A238" s="49" t="s">
        <v>706</v>
      </c>
      <c r="B238" s="49" t="s">
        <v>234</v>
      </c>
      <c r="C238" s="49" t="s">
        <v>235</v>
      </c>
      <c r="D238" s="49" t="s">
        <v>85</v>
      </c>
      <c r="E238" s="50">
        <v>0</v>
      </c>
      <c r="F238" s="50">
        <v>0</v>
      </c>
      <c r="G238" s="50">
        <v>0</v>
      </c>
      <c r="H238" s="50">
        <v>0</v>
      </c>
      <c r="I238" s="50">
        <v>0</v>
      </c>
      <c r="J238" s="50">
        <v>0</v>
      </c>
      <c r="K238" s="50">
        <v>0</v>
      </c>
      <c r="L238" s="152" t="e">
        <f t="shared" si="0"/>
        <v>#DIV/0!</v>
      </c>
      <c r="M238" s="50">
        <v>0</v>
      </c>
      <c r="N238" s="152" t="e">
        <f t="shared" si="1"/>
        <v>#DIV/0!</v>
      </c>
      <c r="O238" s="50">
        <v>0</v>
      </c>
      <c r="P238" s="152" t="e">
        <f t="shared" si="2"/>
        <v>#DIV/0!</v>
      </c>
      <c r="Q238" s="50">
        <v>0</v>
      </c>
    </row>
    <row r="239" spans="1:17" hidden="1" x14ac:dyDescent="0.25">
      <c r="A239" s="49" t="s">
        <v>706</v>
      </c>
      <c r="B239" s="49" t="s">
        <v>238</v>
      </c>
      <c r="C239" s="49" t="s">
        <v>239</v>
      </c>
      <c r="D239" s="49" t="s">
        <v>85</v>
      </c>
      <c r="E239" s="50">
        <v>45252300</v>
      </c>
      <c r="F239" s="50">
        <v>17752300</v>
      </c>
      <c r="G239" s="50">
        <v>16652300</v>
      </c>
      <c r="H239" s="50">
        <v>0</v>
      </c>
      <c r="I239" s="50">
        <v>1480653.43</v>
      </c>
      <c r="J239" s="50">
        <v>0</v>
      </c>
      <c r="K239" s="50">
        <v>14682244.199999999</v>
      </c>
      <c r="L239" s="152">
        <f t="shared" si="0"/>
        <v>0.8270615187891146</v>
      </c>
      <c r="M239" s="50">
        <v>14682244.199999999</v>
      </c>
      <c r="N239" s="152">
        <f t="shared" si="1"/>
        <v>0.8270615187891146</v>
      </c>
      <c r="O239" s="50">
        <v>1589402.37</v>
      </c>
      <c r="P239" s="152">
        <f t="shared" si="2"/>
        <v>8.9532194138224344E-2</v>
      </c>
      <c r="Q239" s="50">
        <v>489402.37</v>
      </c>
    </row>
    <row r="240" spans="1:17" hidden="1" x14ac:dyDescent="0.25">
      <c r="A240" s="49" t="s">
        <v>706</v>
      </c>
      <c r="B240" s="49" t="s">
        <v>282</v>
      </c>
      <c r="C240" s="49" t="s">
        <v>283</v>
      </c>
      <c r="D240" s="49" t="s">
        <v>85</v>
      </c>
      <c r="E240" s="50">
        <v>22500000</v>
      </c>
      <c r="F240" s="50">
        <v>35500000</v>
      </c>
      <c r="G240" s="50">
        <v>35500000</v>
      </c>
      <c r="H240" s="50">
        <v>16867991</v>
      </c>
      <c r="I240" s="50">
        <v>1031879.35</v>
      </c>
      <c r="J240" s="50">
        <v>0</v>
      </c>
      <c r="K240" s="50">
        <v>17561314.510000002</v>
      </c>
      <c r="L240" s="152">
        <f t="shared" si="0"/>
        <v>0.49468491577464796</v>
      </c>
      <c r="M240" s="50">
        <v>9832734.3300000001</v>
      </c>
      <c r="N240" s="152">
        <f t="shared" si="1"/>
        <v>0.27697843183098592</v>
      </c>
      <c r="O240" s="50">
        <v>38815.14</v>
      </c>
      <c r="P240" s="152">
        <f t="shared" si="2"/>
        <v>1.0933842253521126E-3</v>
      </c>
      <c r="Q240" s="50">
        <v>38815.14</v>
      </c>
    </row>
    <row r="241" spans="1:17" hidden="1" x14ac:dyDescent="0.25">
      <c r="A241" s="49" t="s">
        <v>706</v>
      </c>
      <c r="B241" s="49" t="s">
        <v>242</v>
      </c>
      <c r="C241" s="49" t="s">
        <v>243</v>
      </c>
      <c r="D241" s="49" t="s">
        <v>85</v>
      </c>
      <c r="E241" s="50">
        <v>0</v>
      </c>
      <c r="F241" s="50">
        <v>0</v>
      </c>
      <c r="G241" s="50">
        <v>0</v>
      </c>
      <c r="H241" s="50">
        <v>0</v>
      </c>
      <c r="I241" s="50">
        <v>0</v>
      </c>
      <c r="J241" s="50">
        <v>0</v>
      </c>
      <c r="K241" s="50">
        <v>0</v>
      </c>
      <c r="L241" s="152" t="e">
        <f t="shared" si="0"/>
        <v>#DIV/0!</v>
      </c>
      <c r="M241" s="50">
        <v>0</v>
      </c>
      <c r="N241" s="152" t="e">
        <f t="shared" si="1"/>
        <v>#DIV/0!</v>
      </c>
      <c r="O241" s="50">
        <v>0</v>
      </c>
      <c r="P241" s="152" t="e">
        <f t="shared" si="2"/>
        <v>#DIV/0!</v>
      </c>
      <c r="Q241" s="50">
        <v>0</v>
      </c>
    </row>
    <row r="242" spans="1:17" hidden="1" x14ac:dyDescent="0.25">
      <c r="A242" s="49" t="s">
        <v>706</v>
      </c>
      <c r="B242" s="49" t="s">
        <v>328</v>
      </c>
      <c r="C242" s="49" t="s">
        <v>329</v>
      </c>
      <c r="D242" s="49" t="s">
        <v>85</v>
      </c>
      <c r="E242" s="50">
        <v>630000000</v>
      </c>
      <c r="F242" s="50">
        <v>30000000</v>
      </c>
      <c r="G242" s="50">
        <v>30000000</v>
      </c>
      <c r="H242" s="50">
        <v>0</v>
      </c>
      <c r="I242" s="50">
        <v>0</v>
      </c>
      <c r="J242" s="50">
        <v>0</v>
      </c>
      <c r="K242" s="50">
        <v>0</v>
      </c>
      <c r="L242" s="152">
        <f t="shared" si="0"/>
        <v>0</v>
      </c>
      <c r="M242" s="50">
        <v>0</v>
      </c>
      <c r="N242" s="152">
        <f t="shared" si="1"/>
        <v>0</v>
      </c>
      <c r="O242" s="50">
        <v>30000000</v>
      </c>
      <c r="P242" s="152">
        <f t="shared" si="2"/>
        <v>1</v>
      </c>
      <c r="Q242" s="50">
        <v>30000000</v>
      </c>
    </row>
    <row r="243" spans="1:17" hidden="1" x14ac:dyDescent="0.25">
      <c r="A243" s="49" t="s">
        <v>706</v>
      </c>
      <c r="B243" s="49" t="s">
        <v>330</v>
      </c>
      <c r="C243" s="49" t="s">
        <v>331</v>
      </c>
      <c r="D243" s="49" t="s">
        <v>85</v>
      </c>
      <c r="E243" s="50">
        <v>630000000</v>
      </c>
      <c r="F243" s="50">
        <v>30000000</v>
      </c>
      <c r="G243" s="50">
        <v>30000000</v>
      </c>
      <c r="H243" s="50">
        <v>0</v>
      </c>
      <c r="I243" s="50">
        <v>0</v>
      </c>
      <c r="J243" s="50">
        <v>0</v>
      </c>
      <c r="K243" s="50">
        <v>0</v>
      </c>
      <c r="L243" s="152">
        <f t="shared" si="0"/>
        <v>0</v>
      </c>
      <c r="M243" s="50">
        <v>0</v>
      </c>
      <c r="N243" s="152">
        <f t="shared" si="1"/>
        <v>0</v>
      </c>
      <c r="O243" s="50">
        <v>30000000</v>
      </c>
      <c r="P243" s="152">
        <f t="shared" si="2"/>
        <v>1</v>
      </c>
      <c r="Q243" s="50">
        <v>30000000</v>
      </c>
    </row>
    <row r="244" spans="1:17" hidden="1" x14ac:dyDescent="0.25">
      <c r="A244" s="49" t="s">
        <v>706</v>
      </c>
      <c r="B244" s="49" t="s">
        <v>244</v>
      </c>
      <c r="C244" s="49" t="s">
        <v>245</v>
      </c>
      <c r="D244" s="49" t="s">
        <v>85</v>
      </c>
      <c r="E244" s="50">
        <v>46700000</v>
      </c>
      <c r="F244" s="50">
        <v>56200000</v>
      </c>
      <c r="G244" s="50">
        <v>56200000</v>
      </c>
      <c r="H244" s="50">
        <v>5792724</v>
      </c>
      <c r="I244" s="50">
        <v>17568553.82</v>
      </c>
      <c r="J244" s="50">
        <v>0</v>
      </c>
      <c r="K244" s="50">
        <v>30115536.010000002</v>
      </c>
      <c r="L244" s="152">
        <f t="shared" si="0"/>
        <v>0.53586363007117443</v>
      </c>
      <c r="M244" s="50">
        <v>20678793.48</v>
      </c>
      <c r="N244" s="152">
        <f t="shared" si="1"/>
        <v>0.3679500619217082</v>
      </c>
      <c r="O244" s="50">
        <v>2723186.17</v>
      </c>
      <c r="P244" s="152">
        <f t="shared" si="2"/>
        <v>4.8455269928825623E-2</v>
      </c>
      <c r="Q244" s="50">
        <v>2723186.17</v>
      </c>
    </row>
    <row r="245" spans="1:17" hidden="1" x14ac:dyDescent="0.25">
      <c r="A245" s="49" t="s">
        <v>706</v>
      </c>
      <c r="B245" s="49" t="s">
        <v>246</v>
      </c>
      <c r="C245" s="49" t="s">
        <v>247</v>
      </c>
      <c r="D245" s="49" t="s">
        <v>85</v>
      </c>
      <c r="E245" s="50">
        <v>46700000</v>
      </c>
      <c r="F245" s="50">
        <v>56200000</v>
      </c>
      <c r="G245" s="50">
        <v>56200000</v>
      </c>
      <c r="H245" s="50">
        <v>5792724</v>
      </c>
      <c r="I245" s="50">
        <v>17568553.82</v>
      </c>
      <c r="J245" s="50">
        <v>0</v>
      </c>
      <c r="K245" s="50">
        <v>30115536.010000002</v>
      </c>
      <c r="L245" s="152">
        <f t="shared" si="0"/>
        <v>0.53586363007117443</v>
      </c>
      <c r="M245" s="50">
        <v>20678793.48</v>
      </c>
      <c r="N245" s="152">
        <f t="shared" si="1"/>
        <v>0.3679500619217082</v>
      </c>
      <c r="O245" s="50">
        <v>2723186.17</v>
      </c>
      <c r="P245" s="152">
        <f t="shared" si="2"/>
        <v>4.8455269928825623E-2</v>
      </c>
      <c r="Q245" s="50">
        <v>2723186.17</v>
      </c>
    </row>
    <row r="246" spans="1:17" x14ac:dyDescent="0.25">
      <c r="A246" s="49">
        <v>214789</v>
      </c>
      <c r="B246" s="49"/>
      <c r="C246" s="49"/>
      <c r="D246" s="49" t="s">
        <v>69</v>
      </c>
      <c r="E246" s="50">
        <v>77210852108</v>
      </c>
      <c r="F246" s="50">
        <v>75853899258</v>
      </c>
      <c r="G246" s="50">
        <v>75220083787.380005</v>
      </c>
      <c r="H246" s="50">
        <v>123961274.97</v>
      </c>
      <c r="I246" s="50">
        <v>5806411759.2200003</v>
      </c>
      <c r="J246" s="50">
        <v>303464378.69999999</v>
      </c>
      <c r="K246" s="50">
        <v>55184073349.459999</v>
      </c>
      <c r="L246" s="152">
        <f t="shared" si="0"/>
        <v>0.72750476757646654</v>
      </c>
      <c r="M246" s="50">
        <v>53986396434.809998</v>
      </c>
      <c r="N246" s="152">
        <f t="shared" si="1"/>
        <v>0.71171550787636373</v>
      </c>
      <c r="O246" s="50">
        <v>14435988495.65</v>
      </c>
      <c r="P246" s="152">
        <f t="shared" si="2"/>
        <v>0.19031307074339351</v>
      </c>
      <c r="Q246" s="50">
        <v>13802173025.030001</v>
      </c>
    </row>
    <row r="247" spans="1:17" hidden="1" x14ac:dyDescent="0.25">
      <c r="A247" s="49" t="s">
        <v>707</v>
      </c>
      <c r="B247" s="49" t="s">
        <v>71</v>
      </c>
      <c r="C247" s="49" t="s">
        <v>72</v>
      </c>
      <c r="D247" s="49" t="s">
        <v>69</v>
      </c>
      <c r="E247" s="50">
        <v>48966684366</v>
      </c>
      <c r="F247" s="50">
        <v>48019702941</v>
      </c>
      <c r="G247" s="50">
        <v>47910517096</v>
      </c>
      <c r="H247" s="50">
        <v>0</v>
      </c>
      <c r="I247" s="50">
        <v>1095008272</v>
      </c>
      <c r="J247" s="50">
        <v>0</v>
      </c>
      <c r="K247" s="50">
        <v>36502223688.370003</v>
      </c>
      <c r="L247" s="152">
        <f t="shared" si="0"/>
        <v>0.76015096830604945</v>
      </c>
      <c r="M247" s="50">
        <v>36502223688.370003</v>
      </c>
      <c r="N247" s="152">
        <f t="shared" si="1"/>
        <v>0.76015096830604945</v>
      </c>
      <c r="O247" s="50">
        <v>10422470980.629999</v>
      </c>
      <c r="P247" s="152">
        <f t="shared" si="2"/>
        <v>0.21704571961712668</v>
      </c>
      <c r="Q247" s="50">
        <v>10313285135.629999</v>
      </c>
    </row>
    <row r="248" spans="1:17" hidden="1" x14ac:dyDescent="0.25">
      <c r="A248" s="49" t="s">
        <v>707</v>
      </c>
      <c r="B248" s="49" t="s">
        <v>73</v>
      </c>
      <c r="C248" s="49" t="s">
        <v>74</v>
      </c>
      <c r="D248" s="49" t="s">
        <v>69</v>
      </c>
      <c r="E248" s="50">
        <v>17541843984</v>
      </c>
      <c r="F248" s="50">
        <v>16935768300</v>
      </c>
      <c r="G248" s="50">
        <v>16912582455</v>
      </c>
      <c r="H248" s="50">
        <v>0</v>
      </c>
      <c r="I248" s="50">
        <v>0</v>
      </c>
      <c r="J248" s="50">
        <v>0</v>
      </c>
      <c r="K248" s="50">
        <v>13481625496.299999</v>
      </c>
      <c r="L248" s="152">
        <f t="shared" si="0"/>
        <v>0.79604451699424816</v>
      </c>
      <c r="M248" s="50">
        <v>13481625496.299999</v>
      </c>
      <c r="N248" s="152">
        <f t="shared" si="1"/>
        <v>0.79604451699424816</v>
      </c>
      <c r="O248" s="50">
        <v>3454142803.6999998</v>
      </c>
      <c r="P248" s="152">
        <f t="shared" si="2"/>
        <v>0.20395548300575178</v>
      </c>
      <c r="Q248" s="50">
        <v>3430956958.6999998</v>
      </c>
    </row>
    <row r="249" spans="1:17" hidden="1" x14ac:dyDescent="0.25">
      <c r="A249" s="49" t="s">
        <v>707</v>
      </c>
      <c r="B249" s="49" t="s">
        <v>75</v>
      </c>
      <c r="C249" s="49" t="s">
        <v>76</v>
      </c>
      <c r="D249" s="49" t="s">
        <v>69</v>
      </c>
      <c r="E249" s="50">
        <v>17541843984</v>
      </c>
      <c r="F249" s="50">
        <v>16935768300</v>
      </c>
      <c r="G249" s="50">
        <v>16912582455</v>
      </c>
      <c r="H249" s="50">
        <v>0</v>
      </c>
      <c r="I249" s="50">
        <v>0</v>
      </c>
      <c r="J249" s="50">
        <v>0</v>
      </c>
      <c r="K249" s="50">
        <v>13481625496.299999</v>
      </c>
      <c r="L249" s="152">
        <f t="shared" si="0"/>
        <v>0.79604451699424816</v>
      </c>
      <c r="M249" s="50">
        <v>13481625496.299999</v>
      </c>
      <c r="N249" s="152">
        <f t="shared" si="1"/>
        <v>0.79604451699424816</v>
      </c>
      <c r="O249" s="50">
        <v>3454142803.6999998</v>
      </c>
      <c r="P249" s="152">
        <f t="shared" si="2"/>
        <v>0.20395548300575178</v>
      </c>
      <c r="Q249" s="50">
        <v>3430956958.6999998</v>
      </c>
    </row>
    <row r="250" spans="1:17" hidden="1" x14ac:dyDescent="0.25">
      <c r="A250" s="49" t="s">
        <v>707</v>
      </c>
      <c r="B250" s="49" t="s">
        <v>293</v>
      </c>
      <c r="C250" s="49" t="s">
        <v>294</v>
      </c>
      <c r="D250" s="49" t="s">
        <v>69</v>
      </c>
      <c r="E250" s="50">
        <v>3681614000</v>
      </c>
      <c r="F250" s="50">
        <v>3681614000</v>
      </c>
      <c r="G250" s="50">
        <v>3681614000</v>
      </c>
      <c r="H250" s="50">
        <v>0</v>
      </c>
      <c r="I250" s="50">
        <v>0</v>
      </c>
      <c r="J250" s="50">
        <v>0</v>
      </c>
      <c r="K250" s="50">
        <v>3021992145.9699998</v>
      </c>
      <c r="L250" s="152">
        <f t="shared" si="0"/>
        <v>0.82083351105520563</v>
      </c>
      <c r="M250" s="50">
        <v>3021992145.9699998</v>
      </c>
      <c r="N250" s="152">
        <f t="shared" si="1"/>
        <v>0.82083351105520563</v>
      </c>
      <c r="O250" s="50">
        <v>659621854.02999997</v>
      </c>
      <c r="P250" s="152">
        <f t="shared" si="2"/>
        <v>0.17916648894479431</v>
      </c>
      <c r="Q250" s="50">
        <v>659621854.02999997</v>
      </c>
    </row>
    <row r="251" spans="1:17" hidden="1" x14ac:dyDescent="0.25">
      <c r="A251" s="49" t="s">
        <v>707</v>
      </c>
      <c r="B251" s="49" t="s">
        <v>295</v>
      </c>
      <c r="C251" s="49" t="s">
        <v>296</v>
      </c>
      <c r="D251" s="49" t="s">
        <v>69</v>
      </c>
      <c r="E251" s="50">
        <v>8000000</v>
      </c>
      <c r="F251" s="50">
        <v>8000000</v>
      </c>
      <c r="G251" s="50">
        <v>8000000</v>
      </c>
      <c r="H251" s="50">
        <v>0</v>
      </c>
      <c r="I251" s="50">
        <v>0</v>
      </c>
      <c r="J251" s="50">
        <v>0</v>
      </c>
      <c r="K251" s="50">
        <v>4972501.4800000004</v>
      </c>
      <c r="L251" s="152">
        <f t="shared" si="0"/>
        <v>0.621562685</v>
      </c>
      <c r="M251" s="50">
        <v>4972501.4800000004</v>
      </c>
      <c r="N251" s="152">
        <f t="shared" si="1"/>
        <v>0.621562685</v>
      </c>
      <c r="O251" s="50">
        <v>3027498.52</v>
      </c>
      <c r="P251" s="152">
        <f t="shared" si="2"/>
        <v>0.378437315</v>
      </c>
      <c r="Q251" s="50">
        <v>3027498.52</v>
      </c>
    </row>
    <row r="252" spans="1:17" hidden="1" x14ac:dyDescent="0.25">
      <c r="A252" s="49" t="s">
        <v>707</v>
      </c>
      <c r="B252" s="49" t="s">
        <v>337</v>
      </c>
      <c r="C252" s="49" t="s">
        <v>338</v>
      </c>
      <c r="D252" s="49" t="s">
        <v>69</v>
      </c>
      <c r="E252" s="50">
        <v>25000000</v>
      </c>
      <c r="F252" s="50">
        <v>25000000</v>
      </c>
      <c r="G252" s="50">
        <v>25000000</v>
      </c>
      <c r="H252" s="50">
        <v>0</v>
      </c>
      <c r="I252" s="50">
        <v>0</v>
      </c>
      <c r="J252" s="50">
        <v>0</v>
      </c>
      <c r="K252" s="50">
        <v>2126940</v>
      </c>
      <c r="L252" s="152">
        <f t="shared" si="0"/>
        <v>8.5077600000000003E-2</v>
      </c>
      <c r="M252" s="50">
        <v>2126940</v>
      </c>
      <c r="N252" s="152">
        <f t="shared" si="1"/>
        <v>8.5077600000000003E-2</v>
      </c>
      <c r="O252" s="50">
        <v>22873060</v>
      </c>
      <c r="P252" s="152">
        <f t="shared" si="2"/>
        <v>0.91492240000000002</v>
      </c>
      <c r="Q252" s="50">
        <v>22873060</v>
      </c>
    </row>
    <row r="253" spans="1:17" hidden="1" x14ac:dyDescent="0.25">
      <c r="A253" s="49" t="s">
        <v>707</v>
      </c>
      <c r="B253" s="49" t="s">
        <v>339</v>
      </c>
      <c r="C253" s="49" t="s">
        <v>340</v>
      </c>
      <c r="D253" s="49" t="s">
        <v>69</v>
      </c>
      <c r="E253" s="50">
        <v>3648614000</v>
      </c>
      <c r="F253" s="50">
        <v>3648614000</v>
      </c>
      <c r="G253" s="50">
        <v>3648614000</v>
      </c>
      <c r="H253" s="50">
        <v>0</v>
      </c>
      <c r="I253" s="50">
        <v>0</v>
      </c>
      <c r="J253" s="50">
        <v>0</v>
      </c>
      <c r="K253" s="50">
        <v>3014892704.4899998</v>
      </c>
      <c r="L253" s="152">
        <f t="shared" si="0"/>
        <v>0.82631177331721029</v>
      </c>
      <c r="M253" s="50">
        <v>3014892704.4899998</v>
      </c>
      <c r="N253" s="152">
        <f t="shared" si="1"/>
        <v>0.82631177331721029</v>
      </c>
      <c r="O253" s="50">
        <v>633721295.50999999</v>
      </c>
      <c r="P253" s="152">
        <f t="shared" si="2"/>
        <v>0.17368822668278969</v>
      </c>
      <c r="Q253" s="50">
        <v>633721295.50999999</v>
      </c>
    </row>
    <row r="254" spans="1:17" hidden="1" x14ac:dyDescent="0.25">
      <c r="A254" s="49" t="s">
        <v>707</v>
      </c>
      <c r="B254" s="49" t="s">
        <v>77</v>
      </c>
      <c r="C254" s="49" t="s">
        <v>78</v>
      </c>
      <c r="D254" s="49" t="s">
        <v>69</v>
      </c>
      <c r="E254" s="50">
        <v>20273537632</v>
      </c>
      <c r="F254" s="50">
        <v>20043354521</v>
      </c>
      <c r="G254" s="50">
        <v>20043354521</v>
      </c>
      <c r="H254" s="50">
        <v>0</v>
      </c>
      <c r="I254" s="50">
        <v>0</v>
      </c>
      <c r="J254" s="50">
        <v>0</v>
      </c>
      <c r="K254" s="50">
        <v>13886318349.1</v>
      </c>
      <c r="L254" s="152">
        <f t="shared" si="0"/>
        <v>0.69281408631229391</v>
      </c>
      <c r="M254" s="50">
        <v>13886318349.1</v>
      </c>
      <c r="N254" s="152">
        <f t="shared" si="1"/>
        <v>0.69281408631229391</v>
      </c>
      <c r="O254" s="50">
        <v>6157036171.8999996</v>
      </c>
      <c r="P254" s="152">
        <f t="shared" si="2"/>
        <v>0.30718591368770609</v>
      </c>
      <c r="Q254" s="50">
        <v>6157036171.8999996</v>
      </c>
    </row>
    <row r="255" spans="1:17" hidden="1" x14ac:dyDescent="0.25">
      <c r="A255" s="49" t="s">
        <v>707</v>
      </c>
      <c r="B255" s="49" t="s">
        <v>79</v>
      </c>
      <c r="C255" s="49" t="s">
        <v>80</v>
      </c>
      <c r="D255" s="49" t="s">
        <v>69</v>
      </c>
      <c r="E255" s="50">
        <v>7240363600</v>
      </c>
      <c r="F255" s="50">
        <v>7234363600</v>
      </c>
      <c r="G255" s="50">
        <v>7234363600</v>
      </c>
      <c r="H255" s="50">
        <v>0</v>
      </c>
      <c r="I255" s="50">
        <v>0</v>
      </c>
      <c r="J255" s="50">
        <v>0</v>
      </c>
      <c r="K255" s="50">
        <v>5677498004.8400002</v>
      </c>
      <c r="L255" s="152">
        <f t="shared" si="0"/>
        <v>0.78479577731481454</v>
      </c>
      <c r="M255" s="50">
        <v>5677498004.8400002</v>
      </c>
      <c r="N255" s="152">
        <f t="shared" si="1"/>
        <v>0.78479577731481454</v>
      </c>
      <c r="O255" s="50">
        <v>1556865595.1600001</v>
      </c>
      <c r="P255" s="152">
        <f t="shared" si="2"/>
        <v>0.21520422268518549</v>
      </c>
      <c r="Q255" s="50">
        <v>1556865595.1600001</v>
      </c>
    </row>
    <row r="256" spans="1:17" hidden="1" x14ac:dyDescent="0.25">
      <c r="A256" s="49" t="s">
        <v>707</v>
      </c>
      <c r="B256" s="49" t="s">
        <v>81</v>
      </c>
      <c r="C256" s="49" t="s">
        <v>82</v>
      </c>
      <c r="D256" s="49" t="s">
        <v>69</v>
      </c>
      <c r="E256" s="50">
        <v>646663149</v>
      </c>
      <c r="F256" s="50">
        <v>507159410</v>
      </c>
      <c r="G256" s="50">
        <v>507159410</v>
      </c>
      <c r="H256" s="50">
        <v>0</v>
      </c>
      <c r="I256" s="50">
        <v>0</v>
      </c>
      <c r="J256" s="50">
        <v>0</v>
      </c>
      <c r="K256" s="50">
        <v>382872455.10000002</v>
      </c>
      <c r="L256" s="152">
        <f t="shared" si="0"/>
        <v>0.75493512996239198</v>
      </c>
      <c r="M256" s="50">
        <v>382872455.10000002</v>
      </c>
      <c r="N256" s="152">
        <f t="shared" si="1"/>
        <v>0.75493512996239198</v>
      </c>
      <c r="O256" s="50">
        <v>124286954.90000001</v>
      </c>
      <c r="P256" s="152">
        <f t="shared" si="2"/>
        <v>0.2450648700376081</v>
      </c>
      <c r="Q256" s="50">
        <v>124286954.90000001</v>
      </c>
    </row>
    <row r="257" spans="1:17" hidden="1" x14ac:dyDescent="0.25">
      <c r="A257" s="49" t="s">
        <v>707</v>
      </c>
      <c r="B257" s="49" t="s">
        <v>86</v>
      </c>
      <c r="C257" s="49" t="s">
        <v>87</v>
      </c>
      <c r="D257" s="49" t="s">
        <v>69</v>
      </c>
      <c r="E257" s="50">
        <v>2924191700</v>
      </c>
      <c r="F257" s="50">
        <v>2924191700</v>
      </c>
      <c r="G257" s="50">
        <v>2924191700</v>
      </c>
      <c r="H257" s="50">
        <v>0</v>
      </c>
      <c r="I257" s="50">
        <v>0</v>
      </c>
      <c r="J257" s="50">
        <v>0</v>
      </c>
      <c r="K257" s="50">
        <v>2864128603.6799998</v>
      </c>
      <c r="L257" s="152">
        <f t="shared" si="0"/>
        <v>0.97945993201471704</v>
      </c>
      <c r="M257" s="50">
        <v>2864128603.6799998</v>
      </c>
      <c r="N257" s="152">
        <f t="shared" si="1"/>
        <v>0.97945993201471704</v>
      </c>
      <c r="O257" s="50">
        <v>60063096.32</v>
      </c>
      <c r="P257" s="152">
        <f t="shared" si="2"/>
        <v>2.0540067985282906E-2</v>
      </c>
      <c r="Q257" s="50">
        <v>60063096.32</v>
      </c>
    </row>
    <row r="258" spans="1:17" hidden="1" x14ac:dyDescent="0.25">
      <c r="A258" s="49" t="s">
        <v>707</v>
      </c>
      <c r="B258" s="49" t="s">
        <v>88</v>
      </c>
      <c r="C258" s="49" t="s">
        <v>89</v>
      </c>
      <c r="D258" s="49" t="s">
        <v>69</v>
      </c>
      <c r="E258" s="50">
        <v>6271421300</v>
      </c>
      <c r="F258" s="50">
        <v>6239262627</v>
      </c>
      <c r="G258" s="50">
        <v>6239262627</v>
      </c>
      <c r="H258" s="50">
        <v>0</v>
      </c>
      <c r="I258" s="50">
        <v>0</v>
      </c>
      <c r="J258" s="50">
        <v>0</v>
      </c>
      <c r="K258" s="50">
        <v>4961548131.25</v>
      </c>
      <c r="L258" s="152">
        <f t="shared" si="0"/>
        <v>0.79521386225661117</v>
      </c>
      <c r="M258" s="50">
        <v>4961548131.25</v>
      </c>
      <c r="N258" s="152">
        <f t="shared" si="1"/>
        <v>0.79521386225661117</v>
      </c>
      <c r="O258" s="50">
        <v>1277714495.75</v>
      </c>
      <c r="P258" s="152">
        <f t="shared" si="2"/>
        <v>0.20478613774338883</v>
      </c>
      <c r="Q258" s="50">
        <v>1277714495.75</v>
      </c>
    </row>
    <row r="259" spans="1:17" hidden="1" x14ac:dyDescent="0.25">
      <c r="A259" s="49" t="s">
        <v>707</v>
      </c>
      <c r="B259" s="49" t="s">
        <v>83</v>
      </c>
      <c r="C259" s="49" t="s">
        <v>84</v>
      </c>
      <c r="D259" s="49" t="s">
        <v>85</v>
      </c>
      <c r="E259" s="50">
        <v>3190897883</v>
      </c>
      <c r="F259" s="50">
        <v>3138377184</v>
      </c>
      <c r="G259" s="50">
        <v>3138377184</v>
      </c>
      <c r="H259" s="50">
        <v>0</v>
      </c>
      <c r="I259" s="50">
        <v>0</v>
      </c>
      <c r="J259" s="50">
        <v>0</v>
      </c>
      <c r="K259" s="50">
        <v>271154.23</v>
      </c>
      <c r="L259" s="152">
        <f t="shared" si="0"/>
        <v>8.6399503342807874E-5</v>
      </c>
      <c r="M259" s="50">
        <v>271154.23</v>
      </c>
      <c r="N259" s="152">
        <f t="shared" si="1"/>
        <v>8.6399503342807874E-5</v>
      </c>
      <c r="O259" s="50">
        <v>3138106029.77</v>
      </c>
      <c r="P259" s="152">
        <f t="shared" si="2"/>
        <v>0.99991360049665723</v>
      </c>
      <c r="Q259" s="50">
        <v>3138106029.77</v>
      </c>
    </row>
    <row r="260" spans="1:17" hidden="1" x14ac:dyDescent="0.25">
      <c r="A260" s="49" t="s">
        <v>707</v>
      </c>
      <c r="B260" s="49" t="s">
        <v>90</v>
      </c>
      <c r="C260" s="49" t="s">
        <v>91</v>
      </c>
      <c r="D260" s="49" t="s">
        <v>69</v>
      </c>
      <c r="E260" s="50">
        <v>3734844376</v>
      </c>
      <c r="F260" s="50">
        <v>3679483060</v>
      </c>
      <c r="G260" s="50">
        <v>3679483060</v>
      </c>
      <c r="H260" s="50">
        <v>0</v>
      </c>
      <c r="I260" s="50">
        <v>584372815</v>
      </c>
      <c r="J260" s="50">
        <v>0</v>
      </c>
      <c r="K260" s="50">
        <v>3062275170</v>
      </c>
      <c r="L260" s="152">
        <f t="shared" si="0"/>
        <v>0.83225690132678587</v>
      </c>
      <c r="M260" s="50">
        <v>3062275170</v>
      </c>
      <c r="N260" s="152">
        <f t="shared" si="1"/>
        <v>0.83225690132678587</v>
      </c>
      <c r="O260" s="50">
        <v>32835075</v>
      </c>
      <c r="P260" s="152">
        <f t="shared" si="2"/>
        <v>8.9238282836393863E-3</v>
      </c>
      <c r="Q260" s="50">
        <v>32835075</v>
      </c>
    </row>
    <row r="261" spans="1:17" hidden="1" x14ac:dyDescent="0.25">
      <c r="A261" s="49" t="s">
        <v>707</v>
      </c>
      <c r="B261" s="49" t="s">
        <v>420</v>
      </c>
      <c r="C261" s="49" t="s">
        <v>697</v>
      </c>
      <c r="D261" s="49" t="s">
        <v>69</v>
      </c>
      <c r="E261" s="50">
        <v>3543313962</v>
      </c>
      <c r="F261" s="50">
        <v>3490791688</v>
      </c>
      <c r="G261" s="50">
        <v>3490791688</v>
      </c>
      <c r="H261" s="50">
        <v>0</v>
      </c>
      <c r="I261" s="50">
        <v>554335744</v>
      </c>
      <c r="J261" s="50">
        <v>0</v>
      </c>
      <c r="K261" s="50">
        <v>2905304719</v>
      </c>
      <c r="L261" s="152">
        <f t="shared" si="0"/>
        <v>0.83227673796386104</v>
      </c>
      <c r="M261" s="50">
        <v>2905304719</v>
      </c>
      <c r="N261" s="152">
        <f t="shared" si="1"/>
        <v>0.83227673796386104</v>
      </c>
      <c r="O261" s="50">
        <v>31151225</v>
      </c>
      <c r="P261" s="152">
        <f t="shared" si="2"/>
        <v>8.9238281124267415E-3</v>
      </c>
      <c r="Q261" s="50">
        <v>31151225</v>
      </c>
    </row>
    <row r="262" spans="1:17" hidden="1" x14ac:dyDescent="0.25">
      <c r="A262" s="49" t="s">
        <v>707</v>
      </c>
      <c r="B262" s="49" t="s">
        <v>437</v>
      </c>
      <c r="C262" s="49" t="s">
        <v>95</v>
      </c>
      <c r="D262" s="49" t="s">
        <v>69</v>
      </c>
      <c r="E262" s="50">
        <v>191530414</v>
      </c>
      <c r="F262" s="50">
        <v>188691372</v>
      </c>
      <c r="G262" s="50">
        <v>188691372</v>
      </c>
      <c r="H262" s="50">
        <v>0</v>
      </c>
      <c r="I262" s="50">
        <v>30037071</v>
      </c>
      <c r="J262" s="50">
        <v>0</v>
      </c>
      <c r="K262" s="50">
        <v>156970451</v>
      </c>
      <c r="L262" s="152">
        <f t="shared" si="0"/>
        <v>0.83188992340359902</v>
      </c>
      <c r="M262" s="50">
        <v>156970451</v>
      </c>
      <c r="N262" s="152">
        <f t="shared" si="1"/>
        <v>0.83188992340359902</v>
      </c>
      <c r="O262" s="50">
        <v>1683850</v>
      </c>
      <c r="P262" s="152">
        <f t="shared" si="2"/>
        <v>8.9238314510745095E-3</v>
      </c>
      <c r="Q262" s="50">
        <v>1683850</v>
      </c>
    </row>
    <row r="263" spans="1:17" hidden="1" x14ac:dyDescent="0.25">
      <c r="A263" s="49" t="s">
        <v>707</v>
      </c>
      <c r="B263" s="49" t="s">
        <v>96</v>
      </c>
      <c r="C263" s="49" t="s">
        <v>97</v>
      </c>
      <c r="D263" s="49" t="s">
        <v>69</v>
      </c>
      <c r="E263" s="50">
        <v>3734844374</v>
      </c>
      <c r="F263" s="50">
        <v>3679483060</v>
      </c>
      <c r="G263" s="50">
        <v>3593483060</v>
      </c>
      <c r="H263" s="50">
        <v>0</v>
      </c>
      <c r="I263" s="50">
        <v>510635457</v>
      </c>
      <c r="J263" s="50">
        <v>0</v>
      </c>
      <c r="K263" s="50">
        <v>3050012527</v>
      </c>
      <c r="L263" s="152">
        <f t="shared" si="0"/>
        <v>0.82892419322620825</v>
      </c>
      <c r="M263" s="50">
        <v>3050012527</v>
      </c>
      <c r="N263" s="152">
        <f t="shared" si="1"/>
        <v>0.82892419322620825</v>
      </c>
      <c r="O263" s="50">
        <v>118835076</v>
      </c>
      <c r="P263" s="152">
        <f t="shared" si="2"/>
        <v>3.2296677022885925E-2</v>
      </c>
      <c r="Q263" s="50">
        <v>32835076</v>
      </c>
    </row>
    <row r="264" spans="1:17" hidden="1" x14ac:dyDescent="0.25">
      <c r="A264" s="49" t="s">
        <v>707</v>
      </c>
      <c r="B264" s="49" t="s">
        <v>455</v>
      </c>
      <c r="C264" s="49" t="s">
        <v>698</v>
      </c>
      <c r="D264" s="49" t="s">
        <v>69</v>
      </c>
      <c r="E264" s="50">
        <v>2011070048</v>
      </c>
      <c r="F264" s="50">
        <v>1981260109</v>
      </c>
      <c r="G264" s="50">
        <v>1981260109</v>
      </c>
      <c r="H264" s="50">
        <v>0</v>
      </c>
      <c r="I264" s="50">
        <v>326304575</v>
      </c>
      <c r="J264" s="50">
        <v>0</v>
      </c>
      <c r="K264" s="50">
        <v>1637275109</v>
      </c>
      <c r="L264" s="152">
        <f t="shared" si="0"/>
        <v>0.8263806965892937</v>
      </c>
      <c r="M264" s="50">
        <v>1637275109</v>
      </c>
      <c r="N264" s="152">
        <f t="shared" si="1"/>
        <v>0.8263806965892937</v>
      </c>
      <c r="O264" s="50">
        <v>17680425</v>
      </c>
      <c r="P264" s="152">
        <f t="shared" si="2"/>
        <v>8.9238282846787996E-3</v>
      </c>
      <c r="Q264" s="50">
        <v>17680425</v>
      </c>
    </row>
    <row r="265" spans="1:17" hidden="1" x14ac:dyDescent="0.25">
      <c r="A265" s="49" t="s">
        <v>707</v>
      </c>
      <c r="B265" s="49" t="s">
        <v>472</v>
      </c>
      <c r="C265" s="49" t="s">
        <v>699</v>
      </c>
      <c r="D265" s="49" t="s">
        <v>69</v>
      </c>
      <c r="E265" s="50">
        <v>574591442</v>
      </c>
      <c r="F265" s="50">
        <v>566074317</v>
      </c>
      <c r="G265" s="50">
        <v>566074317</v>
      </c>
      <c r="H265" s="50">
        <v>0</v>
      </c>
      <c r="I265" s="50">
        <v>90110317</v>
      </c>
      <c r="J265" s="50">
        <v>0</v>
      </c>
      <c r="K265" s="50">
        <v>470912450</v>
      </c>
      <c r="L265" s="152">
        <f t="shared" si="0"/>
        <v>0.83189156592666968</v>
      </c>
      <c r="M265" s="50">
        <v>470912450</v>
      </c>
      <c r="N265" s="152">
        <f t="shared" si="1"/>
        <v>0.83189156592666968</v>
      </c>
      <c r="O265" s="50">
        <v>5051550</v>
      </c>
      <c r="P265" s="152">
        <f t="shared" si="2"/>
        <v>8.9238282824267399E-3</v>
      </c>
      <c r="Q265" s="50">
        <v>5051550</v>
      </c>
    </row>
    <row r="266" spans="1:17" hidden="1" x14ac:dyDescent="0.25">
      <c r="A266" s="49" t="s">
        <v>707</v>
      </c>
      <c r="B266" s="49" t="s">
        <v>489</v>
      </c>
      <c r="C266" s="49" t="s">
        <v>700</v>
      </c>
      <c r="D266" s="49" t="s">
        <v>69</v>
      </c>
      <c r="E266" s="50">
        <v>1149182884</v>
      </c>
      <c r="F266" s="50">
        <v>1132148634</v>
      </c>
      <c r="G266" s="50">
        <v>1046148634</v>
      </c>
      <c r="H266" s="50">
        <v>0</v>
      </c>
      <c r="I266" s="50">
        <v>94220565</v>
      </c>
      <c r="J266" s="50">
        <v>0</v>
      </c>
      <c r="K266" s="50">
        <v>941824968</v>
      </c>
      <c r="L266" s="152">
        <f t="shared" si="0"/>
        <v>0.83189162598945465</v>
      </c>
      <c r="M266" s="50">
        <v>941824968</v>
      </c>
      <c r="N266" s="152">
        <f t="shared" si="1"/>
        <v>0.83189162598945465</v>
      </c>
      <c r="O266" s="50">
        <v>96103101</v>
      </c>
      <c r="P266" s="152">
        <f t="shared" si="2"/>
        <v>8.488558667465565E-2</v>
      </c>
      <c r="Q266" s="50">
        <v>10103101</v>
      </c>
    </row>
    <row r="267" spans="1:17" hidden="1" x14ac:dyDescent="0.25">
      <c r="A267" s="49" t="s">
        <v>707</v>
      </c>
      <c r="B267" s="49" t="s">
        <v>104</v>
      </c>
      <c r="C267" s="49" t="s">
        <v>105</v>
      </c>
      <c r="D267" s="49" t="s">
        <v>69</v>
      </c>
      <c r="E267" s="50">
        <v>6509291577</v>
      </c>
      <c r="F267" s="50">
        <v>6441103286</v>
      </c>
      <c r="G267" s="50">
        <v>6295711666.5900002</v>
      </c>
      <c r="H267" s="50">
        <v>6859479</v>
      </c>
      <c r="I267" s="50">
        <v>1527319764.05</v>
      </c>
      <c r="J267" s="50">
        <v>63412590.789999999</v>
      </c>
      <c r="K267" s="50">
        <v>3934596186.3499999</v>
      </c>
      <c r="L267" s="152">
        <f t="shared" si="0"/>
        <v>0.61085749003621859</v>
      </c>
      <c r="M267" s="50">
        <v>3718938493.2600002</v>
      </c>
      <c r="N267" s="152">
        <f t="shared" si="1"/>
        <v>0.57737600658310573</v>
      </c>
      <c r="O267" s="50">
        <v>908915265.80999994</v>
      </c>
      <c r="P267" s="152">
        <f t="shared" si="2"/>
        <v>0.14111173590176146</v>
      </c>
      <c r="Q267" s="50">
        <v>763523646.39999998</v>
      </c>
    </row>
    <row r="268" spans="1:17" hidden="1" x14ac:dyDescent="0.25">
      <c r="A268" s="49" t="s">
        <v>707</v>
      </c>
      <c r="B268" s="49" t="s">
        <v>106</v>
      </c>
      <c r="C268" s="49" t="s">
        <v>107</v>
      </c>
      <c r="D268" s="49" t="s">
        <v>69</v>
      </c>
      <c r="E268" s="50">
        <v>3002893777</v>
      </c>
      <c r="F268" s="50">
        <v>2992122950</v>
      </c>
      <c r="G268" s="50">
        <v>2958042980</v>
      </c>
      <c r="H268" s="50">
        <v>0</v>
      </c>
      <c r="I268" s="50">
        <v>670379125.84000003</v>
      </c>
      <c r="J268" s="50">
        <v>7894520</v>
      </c>
      <c r="K268" s="50">
        <v>1765276722.9300001</v>
      </c>
      <c r="L268" s="152">
        <f t="shared" si="0"/>
        <v>0.58997466094433049</v>
      </c>
      <c r="M268" s="50">
        <v>1621285547.24</v>
      </c>
      <c r="N268" s="152">
        <f t="shared" si="1"/>
        <v>0.5418512455312039</v>
      </c>
      <c r="O268" s="50">
        <v>548572581.23000002</v>
      </c>
      <c r="P268" s="152">
        <f t="shared" si="2"/>
        <v>0.18333891701542546</v>
      </c>
      <c r="Q268" s="50">
        <v>514492611.23000002</v>
      </c>
    </row>
    <row r="269" spans="1:17" hidden="1" x14ac:dyDescent="0.25">
      <c r="A269" s="49" t="s">
        <v>707</v>
      </c>
      <c r="B269" s="49" t="s">
        <v>280</v>
      </c>
      <c r="C269" s="49" t="s">
        <v>281</v>
      </c>
      <c r="D269" s="49" t="s">
        <v>69</v>
      </c>
      <c r="E269" s="50">
        <v>540000000</v>
      </c>
      <c r="F269" s="50">
        <v>493566479</v>
      </c>
      <c r="G269" s="50">
        <v>493566479</v>
      </c>
      <c r="H269" s="50">
        <v>0</v>
      </c>
      <c r="I269" s="50">
        <v>81843811.430000007</v>
      </c>
      <c r="J269" s="50">
        <v>87000</v>
      </c>
      <c r="K269" s="50">
        <v>346958491.73000002</v>
      </c>
      <c r="L269" s="152">
        <f t="shared" si="0"/>
        <v>0.70296202536477359</v>
      </c>
      <c r="M269" s="50">
        <v>346958491.73000002</v>
      </c>
      <c r="N269" s="152">
        <f t="shared" si="1"/>
        <v>0.70296202536477359</v>
      </c>
      <c r="O269" s="50">
        <v>64677175.840000004</v>
      </c>
      <c r="P269" s="152">
        <f t="shared" si="2"/>
        <v>0.1310404547145107</v>
      </c>
      <c r="Q269" s="50">
        <v>64677175.840000004</v>
      </c>
    </row>
    <row r="270" spans="1:17" hidden="1" x14ac:dyDescent="0.25">
      <c r="A270" s="49" t="s">
        <v>707</v>
      </c>
      <c r="B270" s="49" t="s">
        <v>108</v>
      </c>
      <c r="C270" s="49" t="s">
        <v>109</v>
      </c>
      <c r="D270" s="49" t="s">
        <v>69</v>
      </c>
      <c r="E270" s="50">
        <v>974595134</v>
      </c>
      <c r="F270" s="50">
        <v>1010257828</v>
      </c>
      <c r="G270" s="50">
        <v>1010257828</v>
      </c>
      <c r="H270" s="50">
        <v>0</v>
      </c>
      <c r="I270" s="50">
        <v>344703010.73000002</v>
      </c>
      <c r="J270" s="50">
        <v>0</v>
      </c>
      <c r="K270" s="50">
        <v>548162626.49000001</v>
      </c>
      <c r="L270" s="152">
        <f t="shared" si="0"/>
        <v>0.542596762229691</v>
      </c>
      <c r="M270" s="50">
        <v>484230343.60000002</v>
      </c>
      <c r="N270" s="152">
        <f t="shared" si="1"/>
        <v>0.47931362685763818</v>
      </c>
      <c r="O270" s="50">
        <v>117392190.78</v>
      </c>
      <c r="P270" s="152">
        <f t="shared" si="2"/>
        <v>0.11620022881921188</v>
      </c>
      <c r="Q270" s="50">
        <v>117392190.78</v>
      </c>
    </row>
    <row r="271" spans="1:17" hidden="1" x14ac:dyDescent="0.25">
      <c r="A271" s="49" t="s">
        <v>707</v>
      </c>
      <c r="B271" s="49" t="s">
        <v>304</v>
      </c>
      <c r="C271" s="49" t="s">
        <v>305</v>
      </c>
      <c r="D271" s="49" t="s">
        <v>69</v>
      </c>
      <c r="E271" s="50">
        <v>114061860</v>
      </c>
      <c r="F271" s="50">
        <v>114061860</v>
      </c>
      <c r="G271" s="50">
        <v>79981890</v>
      </c>
      <c r="H271" s="50">
        <v>0</v>
      </c>
      <c r="I271" s="50">
        <v>31666502.510000002</v>
      </c>
      <c r="J271" s="50">
        <v>0</v>
      </c>
      <c r="K271" s="50">
        <v>20560552.489999998</v>
      </c>
      <c r="L271" s="152">
        <f t="shared" si="0"/>
        <v>0.18025790996219068</v>
      </c>
      <c r="M271" s="50">
        <v>20560552.489999998</v>
      </c>
      <c r="N271" s="152">
        <f t="shared" si="1"/>
        <v>0.18025790996219068</v>
      </c>
      <c r="O271" s="50">
        <v>61834805</v>
      </c>
      <c r="P271" s="152">
        <f t="shared" si="2"/>
        <v>0.5421164006969551</v>
      </c>
      <c r="Q271" s="50">
        <v>27754835</v>
      </c>
    </row>
    <row r="272" spans="1:17" hidden="1" x14ac:dyDescent="0.25">
      <c r="A272" s="49" t="s">
        <v>707</v>
      </c>
      <c r="B272" s="49" t="s">
        <v>110</v>
      </c>
      <c r="C272" s="49" t="s">
        <v>111</v>
      </c>
      <c r="D272" s="49" t="s">
        <v>69</v>
      </c>
      <c r="E272" s="50">
        <v>1374236783</v>
      </c>
      <c r="F272" s="50">
        <v>1374236783</v>
      </c>
      <c r="G272" s="50">
        <v>1374236783</v>
      </c>
      <c r="H272" s="50">
        <v>0</v>
      </c>
      <c r="I272" s="50">
        <v>212165801.16999999</v>
      </c>
      <c r="J272" s="50">
        <v>7807520</v>
      </c>
      <c r="K272" s="50">
        <v>849595052.22000003</v>
      </c>
      <c r="L272" s="152">
        <f t="shared" si="0"/>
        <v>0.61823046998153308</v>
      </c>
      <c r="M272" s="50">
        <v>769536159.41999996</v>
      </c>
      <c r="N272" s="152">
        <f t="shared" si="1"/>
        <v>0.55997348414738213</v>
      </c>
      <c r="O272" s="50">
        <v>304668409.61000001</v>
      </c>
      <c r="P272" s="152">
        <f t="shared" si="2"/>
        <v>0.22170008355103096</v>
      </c>
      <c r="Q272" s="50">
        <v>304668409.61000001</v>
      </c>
    </row>
    <row r="273" spans="1:17" hidden="1" x14ac:dyDescent="0.25">
      <c r="A273" s="49" t="s">
        <v>707</v>
      </c>
      <c r="B273" s="49" t="s">
        <v>112</v>
      </c>
      <c r="C273" s="49" t="s">
        <v>113</v>
      </c>
      <c r="D273" s="49" t="s">
        <v>69</v>
      </c>
      <c r="E273" s="50">
        <v>758051064</v>
      </c>
      <c r="F273" s="50">
        <v>708510005</v>
      </c>
      <c r="G273" s="50">
        <v>692686555.34000003</v>
      </c>
      <c r="H273" s="50">
        <v>0</v>
      </c>
      <c r="I273" s="50">
        <v>38939089.770000003</v>
      </c>
      <c r="J273" s="50">
        <v>25392477.66</v>
      </c>
      <c r="K273" s="50">
        <v>525045691.06</v>
      </c>
      <c r="L273" s="152">
        <f t="shared" si="0"/>
        <v>0.74105614226294514</v>
      </c>
      <c r="M273" s="50">
        <v>497997314.42000002</v>
      </c>
      <c r="N273" s="152">
        <f t="shared" si="1"/>
        <v>0.70287972068933591</v>
      </c>
      <c r="O273" s="50">
        <v>119132746.51000001</v>
      </c>
      <c r="P273" s="152">
        <f t="shared" si="2"/>
        <v>0.16814546819278861</v>
      </c>
      <c r="Q273" s="50">
        <v>103309296.84999999</v>
      </c>
    </row>
    <row r="274" spans="1:17" hidden="1" x14ac:dyDescent="0.25">
      <c r="A274" s="49" t="s">
        <v>707</v>
      </c>
      <c r="B274" s="49" t="s">
        <v>114</v>
      </c>
      <c r="C274" s="49" t="s">
        <v>115</v>
      </c>
      <c r="D274" s="49" t="s">
        <v>69</v>
      </c>
      <c r="E274" s="50">
        <v>18001000</v>
      </c>
      <c r="F274" s="50">
        <v>18001000</v>
      </c>
      <c r="G274" s="50">
        <v>18001000</v>
      </c>
      <c r="H274" s="50">
        <v>0</v>
      </c>
      <c r="I274" s="50">
        <v>4883270</v>
      </c>
      <c r="J274" s="50">
        <v>0</v>
      </c>
      <c r="K274" s="50">
        <v>13117730</v>
      </c>
      <c r="L274" s="152">
        <f t="shared" si="0"/>
        <v>0.72872229320593296</v>
      </c>
      <c r="M274" s="50">
        <v>13117730</v>
      </c>
      <c r="N274" s="152">
        <f t="shared" si="1"/>
        <v>0.72872229320593296</v>
      </c>
      <c r="O274" s="50">
        <v>0</v>
      </c>
      <c r="P274" s="152">
        <f t="shared" si="2"/>
        <v>0</v>
      </c>
      <c r="Q274" s="50">
        <v>0</v>
      </c>
    </row>
    <row r="275" spans="1:17" hidden="1" x14ac:dyDescent="0.25">
      <c r="A275" s="49" t="s">
        <v>707</v>
      </c>
      <c r="B275" s="49" t="s">
        <v>116</v>
      </c>
      <c r="C275" s="49" t="s">
        <v>117</v>
      </c>
      <c r="D275" s="49" t="s">
        <v>69</v>
      </c>
      <c r="E275" s="50">
        <v>244470000</v>
      </c>
      <c r="F275" s="50">
        <v>206743349</v>
      </c>
      <c r="G275" s="50">
        <v>190919899.34</v>
      </c>
      <c r="H275" s="50">
        <v>0</v>
      </c>
      <c r="I275" s="50">
        <v>15200437.699999999</v>
      </c>
      <c r="J275" s="50">
        <v>0</v>
      </c>
      <c r="K275" s="50">
        <v>174929115.12</v>
      </c>
      <c r="L275" s="152">
        <f t="shared" si="0"/>
        <v>0.8461172558445883</v>
      </c>
      <c r="M275" s="50">
        <v>174929115.12</v>
      </c>
      <c r="N275" s="152">
        <f t="shared" si="1"/>
        <v>0.8461172558445883</v>
      </c>
      <c r="O275" s="50">
        <v>16613796.18</v>
      </c>
      <c r="P275" s="152">
        <f t="shared" si="2"/>
        <v>8.0359519473586549E-2</v>
      </c>
      <c r="Q275" s="50">
        <v>790346.52</v>
      </c>
    </row>
    <row r="276" spans="1:17" hidden="1" x14ac:dyDescent="0.25">
      <c r="A276" s="49" t="s">
        <v>707</v>
      </c>
      <c r="B276" s="49" t="s">
        <v>118</v>
      </c>
      <c r="C276" s="49" t="s">
        <v>119</v>
      </c>
      <c r="D276" s="49" t="s">
        <v>69</v>
      </c>
      <c r="E276" s="50">
        <v>6000000</v>
      </c>
      <c r="F276" s="50">
        <v>4500000</v>
      </c>
      <c r="G276" s="50">
        <v>4500000</v>
      </c>
      <c r="H276" s="50">
        <v>0</v>
      </c>
      <c r="I276" s="50">
        <v>2038860.6</v>
      </c>
      <c r="J276" s="50">
        <v>0</v>
      </c>
      <c r="K276" s="50">
        <v>961139.4</v>
      </c>
      <c r="L276" s="152">
        <f t="shared" si="0"/>
        <v>0.21358653333333333</v>
      </c>
      <c r="M276" s="50">
        <v>961139.4</v>
      </c>
      <c r="N276" s="152">
        <f t="shared" si="1"/>
        <v>0.21358653333333333</v>
      </c>
      <c r="O276" s="50">
        <v>1500000</v>
      </c>
      <c r="P276" s="152">
        <f t="shared" si="2"/>
        <v>0.33333333333333331</v>
      </c>
      <c r="Q276" s="50">
        <v>1500000</v>
      </c>
    </row>
    <row r="277" spans="1:17" hidden="1" x14ac:dyDescent="0.25">
      <c r="A277" s="49" t="s">
        <v>707</v>
      </c>
      <c r="B277" s="49" t="s">
        <v>120</v>
      </c>
      <c r="C277" s="49" t="s">
        <v>121</v>
      </c>
      <c r="D277" s="49" t="s">
        <v>69</v>
      </c>
      <c r="E277" s="50">
        <v>411938379</v>
      </c>
      <c r="F277" s="50">
        <v>411938379</v>
      </c>
      <c r="G277" s="50">
        <v>411938379</v>
      </c>
      <c r="H277" s="50">
        <v>0</v>
      </c>
      <c r="I277" s="50">
        <v>9488588.8699999992</v>
      </c>
      <c r="J277" s="50">
        <v>25392477.66</v>
      </c>
      <c r="K277" s="50">
        <v>306164181.25999999</v>
      </c>
      <c r="L277" s="152">
        <f t="shared" si="0"/>
        <v>0.74322810611438561</v>
      </c>
      <c r="M277" s="50">
        <v>279115804.62</v>
      </c>
      <c r="N277" s="152">
        <f t="shared" si="1"/>
        <v>0.6775668858472641</v>
      </c>
      <c r="O277" s="50">
        <v>70893131.209999993</v>
      </c>
      <c r="P277" s="152">
        <f t="shared" si="2"/>
        <v>0.17209644651730785</v>
      </c>
      <c r="Q277" s="50">
        <v>70893131.209999993</v>
      </c>
    </row>
    <row r="278" spans="1:17" hidden="1" x14ac:dyDescent="0.25">
      <c r="A278" s="49" t="s">
        <v>707</v>
      </c>
      <c r="B278" s="49" t="s">
        <v>122</v>
      </c>
      <c r="C278" s="49" t="s">
        <v>123</v>
      </c>
      <c r="D278" s="49" t="s">
        <v>69</v>
      </c>
      <c r="E278" s="50">
        <v>77641685</v>
      </c>
      <c r="F278" s="50">
        <v>67327277</v>
      </c>
      <c r="G278" s="50">
        <v>67327277</v>
      </c>
      <c r="H278" s="50">
        <v>0</v>
      </c>
      <c r="I278" s="50">
        <v>7327932.5999999996</v>
      </c>
      <c r="J278" s="50">
        <v>0</v>
      </c>
      <c r="K278" s="50">
        <v>29873525.280000001</v>
      </c>
      <c r="L278" s="152">
        <f t="shared" si="0"/>
        <v>0.44370612641886586</v>
      </c>
      <c r="M278" s="50">
        <v>29873525.280000001</v>
      </c>
      <c r="N278" s="152">
        <f t="shared" si="1"/>
        <v>0.44370612641886586</v>
      </c>
      <c r="O278" s="50">
        <v>30125819.120000001</v>
      </c>
      <c r="P278" s="152">
        <f t="shared" si="2"/>
        <v>0.44745340168740227</v>
      </c>
      <c r="Q278" s="50">
        <v>30125819.120000001</v>
      </c>
    </row>
    <row r="279" spans="1:17" hidden="1" x14ac:dyDescent="0.25">
      <c r="A279" s="49" t="s">
        <v>707</v>
      </c>
      <c r="B279" s="49" t="s">
        <v>116</v>
      </c>
      <c r="C279" s="49" t="s">
        <v>117</v>
      </c>
      <c r="D279" s="49" t="s">
        <v>85</v>
      </c>
      <c r="E279" s="50">
        <v>0</v>
      </c>
      <c r="F279" s="50">
        <v>0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152" t="e">
        <f t="shared" si="0"/>
        <v>#DIV/0!</v>
      </c>
      <c r="M279" s="50">
        <v>0</v>
      </c>
      <c r="N279" s="152" t="e">
        <f t="shared" si="1"/>
        <v>#DIV/0!</v>
      </c>
      <c r="O279" s="50">
        <v>0</v>
      </c>
      <c r="P279" s="152" t="e">
        <f t="shared" si="2"/>
        <v>#DIV/0!</v>
      </c>
      <c r="Q279" s="50">
        <v>0</v>
      </c>
    </row>
    <row r="280" spans="1:17" hidden="1" x14ac:dyDescent="0.25">
      <c r="A280" s="49" t="s">
        <v>707</v>
      </c>
      <c r="B280" s="49" t="s">
        <v>124</v>
      </c>
      <c r="C280" s="49" t="s">
        <v>125</v>
      </c>
      <c r="D280" s="49" t="s">
        <v>69</v>
      </c>
      <c r="E280" s="50">
        <v>9633760</v>
      </c>
      <c r="F280" s="50">
        <v>9633760</v>
      </c>
      <c r="G280" s="50">
        <v>9633760</v>
      </c>
      <c r="H280" s="50">
        <v>0</v>
      </c>
      <c r="I280" s="50">
        <v>3092000</v>
      </c>
      <c r="J280" s="50">
        <v>0</v>
      </c>
      <c r="K280" s="50">
        <v>2081792.51</v>
      </c>
      <c r="L280" s="152">
        <f t="shared" si="0"/>
        <v>0.21609345779840894</v>
      </c>
      <c r="M280" s="50">
        <v>2081792.51</v>
      </c>
      <c r="N280" s="152">
        <f t="shared" si="1"/>
        <v>0.21609345779840894</v>
      </c>
      <c r="O280" s="50">
        <v>4459967.49</v>
      </c>
      <c r="P280" s="152">
        <f t="shared" si="2"/>
        <v>0.46295189936224279</v>
      </c>
      <c r="Q280" s="50">
        <v>4459967.49</v>
      </c>
    </row>
    <row r="281" spans="1:17" hidden="1" x14ac:dyDescent="0.25">
      <c r="A281" s="49" t="s">
        <v>707</v>
      </c>
      <c r="B281" s="49" t="s">
        <v>126</v>
      </c>
      <c r="C281" s="49" t="s">
        <v>127</v>
      </c>
      <c r="D281" s="49" t="s">
        <v>69</v>
      </c>
      <c r="E281" s="50">
        <v>5513760</v>
      </c>
      <c r="F281" s="50">
        <v>5513760</v>
      </c>
      <c r="G281" s="50">
        <v>5513760</v>
      </c>
      <c r="H281" s="50">
        <v>0</v>
      </c>
      <c r="I281" s="50">
        <v>2592000</v>
      </c>
      <c r="J281" s="50">
        <v>0</v>
      </c>
      <c r="K281" s="50">
        <v>401200.01</v>
      </c>
      <c r="L281" s="152">
        <f t="shared" si="0"/>
        <v>7.276341552769798E-2</v>
      </c>
      <c r="M281" s="50">
        <v>401200.01</v>
      </c>
      <c r="N281" s="152">
        <f t="shared" si="1"/>
        <v>7.276341552769798E-2</v>
      </c>
      <c r="O281" s="50">
        <v>2520559.9900000002</v>
      </c>
      <c r="P281" s="152">
        <f t="shared" si="2"/>
        <v>0.45713995349815739</v>
      </c>
      <c r="Q281" s="50">
        <v>2520559.9900000002</v>
      </c>
    </row>
    <row r="282" spans="1:17" hidden="1" x14ac:dyDescent="0.25">
      <c r="A282" s="49" t="s">
        <v>707</v>
      </c>
      <c r="B282" s="49" t="s">
        <v>128</v>
      </c>
      <c r="C282" s="49" t="s">
        <v>129</v>
      </c>
      <c r="D282" s="49" t="s">
        <v>69</v>
      </c>
      <c r="E282" s="50">
        <v>2620000</v>
      </c>
      <c r="F282" s="50">
        <v>2620000</v>
      </c>
      <c r="G282" s="50">
        <v>2620000</v>
      </c>
      <c r="H282" s="50">
        <v>0</v>
      </c>
      <c r="I282" s="50">
        <v>0</v>
      </c>
      <c r="J282" s="50">
        <v>0</v>
      </c>
      <c r="K282" s="50">
        <v>1680592.5</v>
      </c>
      <c r="L282" s="152">
        <f t="shared" si="0"/>
        <v>0.64144751908396946</v>
      </c>
      <c r="M282" s="50">
        <v>1680592.5</v>
      </c>
      <c r="N282" s="152">
        <f t="shared" si="1"/>
        <v>0.64144751908396946</v>
      </c>
      <c r="O282" s="50">
        <v>939407.5</v>
      </c>
      <c r="P282" s="152">
        <f t="shared" si="2"/>
        <v>0.35855248091603054</v>
      </c>
      <c r="Q282" s="50">
        <v>939407.5</v>
      </c>
    </row>
    <row r="283" spans="1:17" hidden="1" x14ac:dyDescent="0.25">
      <c r="A283" s="49" t="s">
        <v>707</v>
      </c>
      <c r="B283" s="49" t="s">
        <v>132</v>
      </c>
      <c r="C283" s="49" t="s">
        <v>133</v>
      </c>
      <c r="D283" s="49" t="s">
        <v>69</v>
      </c>
      <c r="E283" s="50">
        <v>1500000</v>
      </c>
      <c r="F283" s="50">
        <v>1500000</v>
      </c>
      <c r="G283" s="50">
        <v>1500000</v>
      </c>
      <c r="H283" s="50">
        <v>0</v>
      </c>
      <c r="I283" s="50">
        <v>500000</v>
      </c>
      <c r="J283" s="50">
        <v>0</v>
      </c>
      <c r="K283" s="50">
        <v>0</v>
      </c>
      <c r="L283" s="152">
        <f t="shared" si="0"/>
        <v>0</v>
      </c>
      <c r="M283" s="50">
        <v>0</v>
      </c>
      <c r="N283" s="152">
        <f t="shared" si="1"/>
        <v>0</v>
      </c>
      <c r="O283" s="50">
        <v>1000000</v>
      </c>
      <c r="P283" s="152">
        <f t="shared" si="2"/>
        <v>0.66666666666666663</v>
      </c>
      <c r="Q283" s="50">
        <v>1000000</v>
      </c>
    </row>
    <row r="284" spans="1:17" hidden="1" x14ac:dyDescent="0.25">
      <c r="A284" s="49" t="s">
        <v>707</v>
      </c>
      <c r="B284" s="49" t="s">
        <v>134</v>
      </c>
      <c r="C284" s="49" t="s">
        <v>135</v>
      </c>
      <c r="D284" s="49" t="s">
        <v>69</v>
      </c>
      <c r="E284" s="50">
        <v>312558343</v>
      </c>
      <c r="F284" s="50">
        <v>319872751</v>
      </c>
      <c r="G284" s="50">
        <v>278479567.98000002</v>
      </c>
      <c r="H284" s="50">
        <v>3100000</v>
      </c>
      <c r="I284" s="50">
        <v>49824098.670000002</v>
      </c>
      <c r="J284" s="50">
        <v>13546009.93</v>
      </c>
      <c r="K284" s="50">
        <v>183225045.31999999</v>
      </c>
      <c r="L284" s="152">
        <f t="shared" si="0"/>
        <v>0.57280604473870922</v>
      </c>
      <c r="M284" s="50">
        <v>181927218.66999999</v>
      </c>
      <c r="N284" s="152">
        <f t="shared" si="1"/>
        <v>0.56874872305081092</v>
      </c>
      <c r="O284" s="50">
        <v>70177597.079999998</v>
      </c>
      <c r="P284" s="152">
        <f t="shared" si="2"/>
        <v>0.21939223288200624</v>
      </c>
      <c r="Q284" s="50">
        <v>28784414.059999999</v>
      </c>
    </row>
    <row r="285" spans="1:17" hidden="1" x14ac:dyDescent="0.25">
      <c r="A285" s="49" t="s">
        <v>707</v>
      </c>
      <c r="B285" s="49" t="s">
        <v>346</v>
      </c>
      <c r="C285" s="49" t="s">
        <v>347</v>
      </c>
      <c r="D285" s="49" t="s">
        <v>69</v>
      </c>
      <c r="E285" s="50">
        <v>34001608</v>
      </c>
      <c r="F285" s="50">
        <v>31001608</v>
      </c>
      <c r="G285" s="50">
        <v>12025548.75</v>
      </c>
      <c r="H285" s="50">
        <v>3100000</v>
      </c>
      <c r="I285" s="50">
        <v>671757.29</v>
      </c>
      <c r="J285" s="50">
        <v>0</v>
      </c>
      <c r="K285" s="50">
        <v>5800895.9900000002</v>
      </c>
      <c r="L285" s="152">
        <f t="shared" si="0"/>
        <v>0.18711597121026755</v>
      </c>
      <c r="M285" s="50">
        <v>5800895.9900000002</v>
      </c>
      <c r="N285" s="152">
        <f t="shared" si="1"/>
        <v>0.18711597121026755</v>
      </c>
      <c r="O285" s="50">
        <v>21428954.719999999</v>
      </c>
      <c r="P285" s="152">
        <f t="shared" si="2"/>
        <v>0.6912207495817636</v>
      </c>
      <c r="Q285" s="50">
        <v>2452895.4700000002</v>
      </c>
    </row>
    <row r="286" spans="1:17" hidden="1" x14ac:dyDescent="0.25">
      <c r="A286" s="49" t="s">
        <v>707</v>
      </c>
      <c r="B286" s="49" t="s">
        <v>308</v>
      </c>
      <c r="C286" s="49" t="s">
        <v>309</v>
      </c>
      <c r="D286" s="49" t="s">
        <v>69</v>
      </c>
      <c r="E286" s="50">
        <v>95000000</v>
      </c>
      <c r="F286" s="50">
        <v>95000000</v>
      </c>
      <c r="G286" s="50">
        <v>73219179.230000004</v>
      </c>
      <c r="H286" s="50">
        <v>0</v>
      </c>
      <c r="I286" s="50">
        <v>17144627.850000001</v>
      </c>
      <c r="J286" s="50">
        <v>8370062.2300000004</v>
      </c>
      <c r="K286" s="50">
        <v>45533954.329999998</v>
      </c>
      <c r="L286" s="152">
        <f t="shared" si="0"/>
        <v>0.47930478242105262</v>
      </c>
      <c r="M286" s="50">
        <v>45493728.079999998</v>
      </c>
      <c r="N286" s="152">
        <f t="shared" si="1"/>
        <v>0.4788813482105263</v>
      </c>
      <c r="O286" s="50">
        <v>23951355.59</v>
      </c>
      <c r="P286" s="152">
        <f t="shared" si="2"/>
        <v>0.2521195325263158</v>
      </c>
      <c r="Q286" s="50">
        <v>2170534.8199999998</v>
      </c>
    </row>
    <row r="287" spans="1:17" hidden="1" x14ac:dyDescent="0.25">
      <c r="A287" s="49" t="s">
        <v>707</v>
      </c>
      <c r="B287" s="49" t="s">
        <v>136</v>
      </c>
      <c r="C287" s="49" t="s">
        <v>137</v>
      </c>
      <c r="D287" s="49" t="s">
        <v>69</v>
      </c>
      <c r="E287" s="50">
        <v>131200000</v>
      </c>
      <c r="F287" s="50">
        <v>141514408</v>
      </c>
      <c r="G287" s="50">
        <v>140878105</v>
      </c>
      <c r="H287" s="50">
        <v>0</v>
      </c>
      <c r="I287" s="50">
        <v>22394784.73</v>
      </c>
      <c r="J287" s="50">
        <v>5046671.7</v>
      </c>
      <c r="K287" s="50">
        <v>94968026.890000001</v>
      </c>
      <c r="L287" s="152">
        <f t="shared" si="0"/>
        <v>0.67108380151652125</v>
      </c>
      <c r="M287" s="50">
        <v>94968026.890000001</v>
      </c>
      <c r="N287" s="152">
        <f t="shared" si="1"/>
        <v>0.67108380151652125</v>
      </c>
      <c r="O287" s="50">
        <v>19104924.68</v>
      </c>
      <c r="P287" s="152">
        <f t="shared" si="2"/>
        <v>0.13500338905420853</v>
      </c>
      <c r="Q287" s="50">
        <v>18468621.68</v>
      </c>
    </row>
    <row r="288" spans="1:17" hidden="1" x14ac:dyDescent="0.25">
      <c r="A288" s="49" t="s">
        <v>707</v>
      </c>
      <c r="B288" s="49" t="s">
        <v>138</v>
      </c>
      <c r="C288" s="49" t="s">
        <v>139</v>
      </c>
      <c r="D288" s="49" t="s">
        <v>69</v>
      </c>
      <c r="E288" s="50">
        <v>52356735</v>
      </c>
      <c r="F288" s="50">
        <v>52356735</v>
      </c>
      <c r="G288" s="50">
        <v>52356735</v>
      </c>
      <c r="H288" s="50">
        <v>0</v>
      </c>
      <c r="I288" s="50">
        <v>9612928.8000000007</v>
      </c>
      <c r="J288" s="50">
        <v>129276</v>
      </c>
      <c r="K288" s="50">
        <v>36922168.109999999</v>
      </c>
      <c r="L288" s="152">
        <f t="shared" si="0"/>
        <v>0.70520379297906943</v>
      </c>
      <c r="M288" s="50">
        <v>35664567.710000001</v>
      </c>
      <c r="N288" s="152">
        <f t="shared" si="1"/>
        <v>0.68118395293365797</v>
      </c>
      <c r="O288" s="50">
        <v>5692362.0899999999</v>
      </c>
      <c r="P288" s="152">
        <f t="shared" si="2"/>
        <v>0.10872263310536839</v>
      </c>
      <c r="Q288" s="50">
        <v>5692362.0899999999</v>
      </c>
    </row>
    <row r="289" spans="1:17" hidden="1" x14ac:dyDescent="0.25">
      <c r="A289" s="49" t="s">
        <v>707</v>
      </c>
      <c r="B289" s="49" t="s">
        <v>140</v>
      </c>
      <c r="C289" s="49" t="s">
        <v>141</v>
      </c>
      <c r="D289" s="49" t="s">
        <v>69</v>
      </c>
      <c r="E289" s="50">
        <v>134000000</v>
      </c>
      <c r="F289" s="50">
        <v>134000000</v>
      </c>
      <c r="G289" s="50">
        <v>92171529</v>
      </c>
      <c r="H289" s="50">
        <v>959000</v>
      </c>
      <c r="I289" s="50">
        <v>24800980</v>
      </c>
      <c r="J289" s="50">
        <v>0</v>
      </c>
      <c r="K289" s="50">
        <v>54154813</v>
      </c>
      <c r="L289" s="152">
        <f t="shared" si="0"/>
        <v>0.40414039552238806</v>
      </c>
      <c r="M289" s="50">
        <v>53662813</v>
      </c>
      <c r="N289" s="152">
        <f t="shared" si="1"/>
        <v>0.40046875373134327</v>
      </c>
      <c r="O289" s="50">
        <v>54085207</v>
      </c>
      <c r="P289" s="152">
        <f t="shared" si="2"/>
        <v>0.403620947761194</v>
      </c>
      <c r="Q289" s="50">
        <v>12256736</v>
      </c>
    </row>
    <row r="290" spans="1:17" hidden="1" x14ac:dyDescent="0.25">
      <c r="A290" s="49" t="s">
        <v>707</v>
      </c>
      <c r="B290" s="49" t="s">
        <v>142</v>
      </c>
      <c r="C290" s="49" t="s">
        <v>143</v>
      </c>
      <c r="D290" s="49" t="s">
        <v>69</v>
      </c>
      <c r="E290" s="50">
        <v>4000000</v>
      </c>
      <c r="F290" s="50">
        <v>4000000</v>
      </c>
      <c r="G290" s="50">
        <v>2171529</v>
      </c>
      <c r="H290" s="50">
        <v>0</v>
      </c>
      <c r="I290" s="50">
        <v>747980</v>
      </c>
      <c r="J290" s="50">
        <v>0</v>
      </c>
      <c r="K290" s="50">
        <v>1223549</v>
      </c>
      <c r="L290" s="152">
        <f t="shared" si="0"/>
        <v>0.30588725</v>
      </c>
      <c r="M290" s="50">
        <v>1223549</v>
      </c>
      <c r="N290" s="152">
        <f t="shared" si="1"/>
        <v>0.30588725</v>
      </c>
      <c r="O290" s="50">
        <v>2028471</v>
      </c>
      <c r="P290" s="152">
        <f t="shared" si="2"/>
        <v>0.50711775000000003</v>
      </c>
      <c r="Q290" s="50">
        <v>200000</v>
      </c>
    </row>
    <row r="291" spans="1:17" hidden="1" x14ac:dyDescent="0.25">
      <c r="A291" s="49" t="s">
        <v>707</v>
      </c>
      <c r="B291" s="49" t="s">
        <v>144</v>
      </c>
      <c r="C291" s="49" t="s">
        <v>145</v>
      </c>
      <c r="D291" s="49" t="s">
        <v>69</v>
      </c>
      <c r="E291" s="50">
        <v>130000000</v>
      </c>
      <c r="F291" s="50">
        <v>130000000</v>
      </c>
      <c r="G291" s="50">
        <v>90000000</v>
      </c>
      <c r="H291" s="50">
        <v>959000</v>
      </c>
      <c r="I291" s="50">
        <v>24053000</v>
      </c>
      <c r="J291" s="50">
        <v>0</v>
      </c>
      <c r="K291" s="50">
        <v>52931264</v>
      </c>
      <c r="L291" s="152">
        <f t="shared" si="0"/>
        <v>0.40716356923076924</v>
      </c>
      <c r="M291" s="50">
        <v>52439264</v>
      </c>
      <c r="N291" s="152">
        <f t="shared" si="1"/>
        <v>0.40337895384615385</v>
      </c>
      <c r="O291" s="50">
        <v>52056736</v>
      </c>
      <c r="P291" s="152">
        <f t="shared" si="2"/>
        <v>0.40043643076923074</v>
      </c>
      <c r="Q291" s="50">
        <v>12056736</v>
      </c>
    </row>
    <row r="292" spans="1:17" hidden="1" x14ac:dyDescent="0.25">
      <c r="A292" s="49" t="s">
        <v>707</v>
      </c>
      <c r="B292" s="49" t="s">
        <v>150</v>
      </c>
      <c r="C292" s="49" t="s">
        <v>151</v>
      </c>
      <c r="D292" s="49" t="s">
        <v>69</v>
      </c>
      <c r="E292" s="50">
        <v>1300000000</v>
      </c>
      <c r="F292" s="50">
        <v>1300000000</v>
      </c>
      <c r="G292" s="50">
        <v>1300000000</v>
      </c>
      <c r="H292" s="50">
        <v>0</v>
      </c>
      <c r="I292" s="50">
        <v>343582495.69999999</v>
      </c>
      <c r="J292" s="50">
        <v>0</v>
      </c>
      <c r="K292" s="50">
        <v>926735737</v>
      </c>
      <c r="L292" s="152">
        <f t="shared" si="0"/>
        <v>0.71287364384615381</v>
      </c>
      <c r="M292" s="50">
        <v>926735737</v>
      </c>
      <c r="N292" s="152">
        <f t="shared" si="1"/>
        <v>0.71287364384615381</v>
      </c>
      <c r="O292" s="50">
        <v>29681767.300000001</v>
      </c>
      <c r="P292" s="152">
        <f t="shared" si="2"/>
        <v>2.2832128692307694E-2</v>
      </c>
      <c r="Q292" s="50">
        <v>29681767.300000001</v>
      </c>
    </row>
    <row r="293" spans="1:17" hidden="1" x14ac:dyDescent="0.25">
      <c r="A293" s="49" t="s">
        <v>707</v>
      </c>
      <c r="B293" s="49" t="s">
        <v>152</v>
      </c>
      <c r="C293" s="49" t="s">
        <v>153</v>
      </c>
      <c r="D293" s="49" t="s">
        <v>69</v>
      </c>
      <c r="E293" s="50">
        <v>1300000000</v>
      </c>
      <c r="F293" s="50">
        <v>1300000000</v>
      </c>
      <c r="G293" s="50">
        <v>1300000000</v>
      </c>
      <c r="H293" s="50">
        <v>0</v>
      </c>
      <c r="I293" s="50">
        <v>343582495.69999999</v>
      </c>
      <c r="J293" s="50">
        <v>0</v>
      </c>
      <c r="K293" s="50">
        <v>926735737</v>
      </c>
      <c r="L293" s="152">
        <f t="shared" si="0"/>
        <v>0.71287364384615381</v>
      </c>
      <c r="M293" s="50">
        <v>926735737</v>
      </c>
      <c r="N293" s="152">
        <f t="shared" si="1"/>
        <v>0.71287364384615381</v>
      </c>
      <c r="O293" s="50">
        <v>29681767.300000001</v>
      </c>
      <c r="P293" s="152">
        <f t="shared" si="2"/>
        <v>2.2832128692307694E-2</v>
      </c>
      <c r="Q293" s="50">
        <v>29681767.300000001</v>
      </c>
    </row>
    <row r="294" spans="1:17" hidden="1" x14ac:dyDescent="0.25">
      <c r="A294" s="49" t="s">
        <v>707</v>
      </c>
      <c r="B294" s="49" t="s">
        <v>154</v>
      </c>
      <c r="C294" s="49" t="s">
        <v>155</v>
      </c>
      <c r="D294" s="49" t="s">
        <v>69</v>
      </c>
      <c r="E294" s="50">
        <v>5000000</v>
      </c>
      <c r="F294" s="50">
        <v>1303100</v>
      </c>
      <c r="G294" s="50">
        <v>1303100</v>
      </c>
      <c r="H294" s="50">
        <v>0</v>
      </c>
      <c r="I294" s="50">
        <v>810900</v>
      </c>
      <c r="J294" s="50">
        <v>0</v>
      </c>
      <c r="K294" s="50">
        <v>357000</v>
      </c>
      <c r="L294" s="152">
        <f t="shared" si="0"/>
        <v>0.27396209039981584</v>
      </c>
      <c r="M294" s="50">
        <v>357000</v>
      </c>
      <c r="N294" s="152">
        <f t="shared" si="1"/>
        <v>0.27396209039981584</v>
      </c>
      <c r="O294" s="50">
        <v>135200</v>
      </c>
      <c r="P294" s="152">
        <f t="shared" si="2"/>
        <v>0.10375258997774538</v>
      </c>
      <c r="Q294" s="50">
        <v>135200</v>
      </c>
    </row>
    <row r="295" spans="1:17" hidden="1" x14ac:dyDescent="0.25">
      <c r="A295" s="49" t="s">
        <v>707</v>
      </c>
      <c r="B295" s="49" t="s">
        <v>156</v>
      </c>
      <c r="C295" s="49" t="s">
        <v>157</v>
      </c>
      <c r="D295" s="49" t="s">
        <v>69</v>
      </c>
      <c r="E295" s="50">
        <v>5000000</v>
      </c>
      <c r="F295" s="50">
        <v>1303100</v>
      </c>
      <c r="G295" s="50">
        <v>1303100</v>
      </c>
      <c r="H295" s="50">
        <v>0</v>
      </c>
      <c r="I295" s="50">
        <v>810900</v>
      </c>
      <c r="J295" s="50">
        <v>0</v>
      </c>
      <c r="K295" s="50">
        <v>357000</v>
      </c>
      <c r="L295" s="152">
        <f t="shared" si="0"/>
        <v>0.27396209039981584</v>
      </c>
      <c r="M295" s="50">
        <v>357000</v>
      </c>
      <c r="N295" s="152">
        <f t="shared" si="1"/>
        <v>0.27396209039981584</v>
      </c>
      <c r="O295" s="50">
        <v>135200</v>
      </c>
      <c r="P295" s="152">
        <f t="shared" si="2"/>
        <v>0.10375258997774538</v>
      </c>
      <c r="Q295" s="50">
        <v>135200</v>
      </c>
    </row>
    <row r="296" spans="1:17" hidden="1" x14ac:dyDescent="0.25">
      <c r="A296" s="49" t="s">
        <v>707</v>
      </c>
      <c r="B296" s="49" t="s">
        <v>162</v>
      </c>
      <c r="C296" s="49" t="s">
        <v>163</v>
      </c>
      <c r="D296" s="49" t="s">
        <v>69</v>
      </c>
      <c r="E296" s="50">
        <v>932264008</v>
      </c>
      <c r="F296" s="50">
        <v>924325095</v>
      </c>
      <c r="G296" s="50">
        <v>923325095</v>
      </c>
      <c r="H296" s="50">
        <v>2800479</v>
      </c>
      <c r="I296" s="50">
        <v>387871771.67000002</v>
      </c>
      <c r="J296" s="50">
        <v>16579583.199999999</v>
      </c>
      <c r="K296" s="50">
        <v>474784581.75999999</v>
      </c>
      <c r="L296" s="152">
        <f t="shared" si="0"/>
        <v>0.51365540579637725</v>
      </c>
      <c r="M296" s="50">
        <v>431956267.64999998</v>
      </c>
      <c r="N296" s="152">
        <f t="shared" si="1"/>
        <v>0.46732071863741836</v>
      </c>
      <c r="O296" s="50">
        <v>42288679.369999997</v>
      </c>
      <c r="P296" s="152">
        <f t="shared" si="2"/>
        <v>4.5750872283739086E-2</v>
      </c>
      <c r="Q296" s="50">
        <v>41288679.369999997</v>
      </c>
    </row>
    <row r="297" spans="1:17" hidden="1" x14ac:dyDescent="0.25">
      <c r="A297" s="49" t="s">
        <v>707</v>
      </c>
      <c r="B297" s="49" t="s">
        <v>310</v>
      </c>
      <c r="C297" s="49" t="s">
        <v>311</v>
      </c>
      <c r="D297" s="49" t="s">
        <v>69</v>
      </c>
      <c r="E297" s="50">
        <v>120656000</v>
      </c>
      <c r="F297" s="50">
        <v>118656000</v>
      </c>
      <c r="G297" s="50">
        <v>117656000</v>
      </c>
      <c r="H297" s="50">
        <v>0</v>
      </c>
      <c r="I297" s="50">
        <v>66256621.460000001</v>
      </c>
      <c r="J297" s="50">
        <v>6901735.4299999997</v>
      </c>
      <c r="K297" s="50">
        <v>35418841.229999997</v>
      </c>
      <c r="L297" s="152">
        <f t="shared" si="0"/>
        <v>0.29850021263147247</v>
      </c>
      <c r="M297" s="50">
        <v>17585674.260000002</v>
      </c>
      <c r="N297" s="152">
        <f t="shared" si="1"/>
        <v>0.14820720620954694</v>
      </c>
      <c r="O297" s="50">
        <v>10078801.880000001</v>
      </c>
      <c r="P297" s="152">
        <f t="shared" si="2"/>
        <v>8.4941358886192031E-2</v>
      </c>
      <c r="Q297" s="50">
        <v>9078801.8800000008</v>
      </c>
    </row>
    <row r="298" spans="1:17" hidden="1" x14ac:dyDescent="0.25">
      <c r="A298" s="49" t="s">
        <v>707</v>
      </c>
      <c r="B298" s="49" t="s">
        <v>164</v>
      </c>
      <c r="C298" s="49" t="s">
        <v>165</v>
      </c>
      <c r="D298" s="49" t="s">
        <v>69</v>
      </c>
      <c r="E298" s="50">
        <v>504520000</v>
      </c>
      <c r="F298" s="50">
        <v>504520000</v>
      </c>
      <c r="G298" s="50">
        <v>504520000</v>
      </c>
      <c r="H298" s="50">
        <v>0</v>
      </c>
      <c r="I298" s="50">
        <v>185867129.43000001</v>
      </c>
      <c r="J298" s="50">
        <v>7547816.2300000004</v>
      </c>
      <c r="K298" s="50">
        <v>301559523.01999998</v>
      </c>
      <c r="L298" s="152">
        <f t="shared" si="0"/>
        <v>0.59771569614683262</v>
      </c>
      <c r="M298" s="50">
        <v>280959329.88999999</v>
      </c>
      <c r="N298" s="152">
        <f t="shared" si="1"/>
        <v>0.55688442458178067</v>
      </c>
      <c r="O298" s="50">
        <v>9545531.3200000003</v>
      </c>
      <c r="P298" s="152">
        <f t="shared" si="2"/>
        <v>1.8920025608499168E-2</v>
      </c>
      <c r="Q298" s="50">
        <v>9545531.3200000003</v>
      </c>
    </row>
    <row r="299" spans="1:17" hidden="1" x14ac:dyDescent="0.25">
      <c r="A299" s="49" t="s">
        <v>707</v>
      </c>
      <c r="B299" s="49" t="s">
        <v>166</v>
      </c>
      <c r="C299" s="49" t="s">
        <v>167</v>
      </c>
      <c r="D299" s="49" t="s">
        <v>69</v>
      </c>
      <c r="E299" s="50">
        <v>95028648</v>
      </c>
      <c r="F299" s="50">
        <v>95028648</v>
      </c>
      <c r="G299" s="50">
        <v>95028648</v>
      </c>
      <c r="H299" s="50">
        <v>0</v>
      </c>
      <c r="I299" s="50">
        <v>26641356.800000001</v>
      </c>
      <c r="J299" s="50">
        <v>139300</v>
      </c>
      <c r="K299" s="50">
        <v>68082812.469999999</v>
      </c>
      <c r="L299" s="152">
        <f t="shared" si="0"/>
        <v>0.71644513420837053</v>
      </c>
      <c r="M299" s="50">
        <v>68082812.469999999</v>
      </c>
      <c r="N299" s="152">
        <f t="shared" si="1"/>
        <v>0.71644513420837053</v>
      </c>
      <c r="O299" s="50">
        <v>165178.73000000001</v>
      </c>
      <c r="P299" s="152">
        <f t="shared" si="2"/>
        <v>1.738199305960872E-3</v>
      </c>
      <c r="Q299" s="50">
        <v>165178.73000000001</v>
      </c>
    </row>
    <row r="300" spans="1:17" hidden="1" x14ac:dyDescent="0.25">
      <c r="A300" s="49" t="s">
        <v>707</v>
      </c>
      <c r="B300" s="49" t="s">
        <v>312</v>
      </c>
      <c r="C300" s="49" t="s">
        <v>313</v>
      </c>
      <c r="D300" s="49" t="s">
        <v>69</v>
      </c>
      <c r="E300" s="50">
        <v>3000000</v>
      </c>
      <c r="F300" s="50">
        <v>3000000</v>
      </c>
      <c r="G300" s="50">
        <v>3000000</v>
      </c>
      <c r="H300" s="50">
        <v>2800479</v>
      </c>
      <c r="I300" s="50">
        <v>0</v>
      </c>
      <c r="J300" s="50">
        <v>0</v>
      </c>
      <c r="K300" s="50">
        <v>0</v>
      </c>
      <c r="L300" s="152">
        <f t="shared" si="0"/>
        <v>0</v>
      </c>
      <c r="M300" s="50">
        <v>0</v>
      </c>
      <c r="N300" s="152">
        <f t="shared" si="1"/>
        <v>0</v>
      </c>
      <c r="O300" s="50">
        <v>199521</v>
      </c>
      <c r="P300" s="152">
        <f t="shared" si="2"/>
        <v>6.6506999999999997E-2</v>
      </c>
      <c r="Q300" s="50">
        <v>199521</v>
      </c>
    </row>
    <row r="301" spans="1:17" hidden="1" x14ac:dyDescent="0.25">
      <c r="A301" s="49" t="s">
        <v>707</v>
      </c>
      <c r="B301" s="49" t="s">
        <v>168</v>
      </c>
      <c r="C301" s="49" t="s">
        <v>169</v>
      </c>
      <c r="D301" s="49" t="s">
        <v>69</v>
      </c>
      <c r="E301" s="50">
        <v>16864852</v>
      </c>
      <c r="F301" s="50">
        <v>11257762</v>
      </c>
      <c r="G301" s="50">
        <v>11257762</v>
      </c>
      <c r="H301" s="50">
        <v>0</v>
      </c>
      <c r="I301" s="50">
        <v>4808896.76</v>
      </c>
      <c r="J301" s="50">
        <v>545731.54</v>
      </c>
      <c r="K301" s="50">
        <v>5892242.25</v>
      </c>
      <c r="L301" s="152">
        <f t="shared" si="0"/>
        <v>0.52339374824232388</v>
      </c>
      <c r="M301" s="50">
        <v>5265312.25</v>
      </c>
      <c r="N301" s="152">
        <f t="shared" si="1"/>
        <v>0.4677050598511498</v>
      </c>
      <c r="O301" s="50">
        <v>10891.45</v>
      </c>
      <c r="P301" s="152">
        <f t="shared" si="2"/>
        <v>9.6746138353253524E-4</v>
      </c>
      <c r="Q301" s="50">
        <v>10891.45</v>
      </c>
    </row>
    <row r="302" spans="1:17" hidden="1" x14ac:dyDescent="0.25">
      <c r="A302" s="49" t="s">
        <v>707</v>
      </c>
      <c r="B302" s="49" t="s">
        <v>170</v>
      </c>
      <c r="C302" s="49" t="s">
        <v>171</v>
      </c>
      <c r="D302" s="49" t="s">
        <v>69</v>
      </c>
      <c r="E302" s="50">
        <v>40562000</v>
      </c>
      <c r="F302" s="50">
        <v>24844258</v>
      </c>
      <c r="G302" s="50">
        <v>24844258</v>
      </c>
      <c r="H302" s="50">
        <v>0</v>
      </c>
      <c r="I302" s="50">
        <v>18862201.129999999</v>
      </c>
      <c r="J302" s="50">
        <v>0</v>
      </c>
      <c r="K302" s="50">
        <v>3768024.01</v>
      </c>
      <c r="L302" s="152">
        <f t="shared" si="0"/>
        <v>0.15166578973700884</v>
      </c>
      <c r="M302" s="50">
        <v>0</v>
      </c>
      <c r="N302" s="152">
        <f t="shared" si="1"/>
        <v>0</v>
      </c>
      <c r="O302" s="50">
        <v>2214032.86</v>
      </c>
      <c r="P302" s="152">
        <f t="shared" si="2"/>
        <v>8.9116481562862532E-2</v>
      </c>
      <c r="Q302" s="50">
        <v>2214032.86</v>
      </c>
    </row>
    <row r="303" spans="1:17" hidden="1" x14ac:dyDescent="0.25">
      <c r="A303" s="49" t="s">
        <v>707</v>
      </c>
      <c r="B303" s="49" t="s">
        <v>172</v>
      </c>
      <c r="C303" s="49" t="s">
        <v>173</v>
      </c>
      <c r="D303" s="49" t="s">
        <v>69</v>
      </c>
      <c r="E303" s="50">
        <v>151632508</v>
      </c>
      <c r="F303" s="50">
        <v>167018427</v>
      </c>
      <c r="G303" s="50">
        <v>167018427</v>
      </c>
      <c r="H303" s="50">
        <v>0</v>
      </c>
      <c r="I303" s="50">
        <v>85435566.090000004</v>
      </c>
      <c r="J303" s="50">
        <v>1445000</v>
      </c>
      <c r="K303" s="50">
        <v>60063138.780000001</v>
      </c>
      <c r="L303" s="152">
        <f t="shared" si="0"/>
        <v>0.35961983272660086</v>
      </c>
      <c r="M303" s="50">
        <v>60063138.780000001</v>
      </c>
      <c r="N303" s="152">
        <f t="shared" si="1"/>
        <v>0.35961983272660086</v>
      </c>
      <c r="O303" s="50">
        <v>20074722.129999999</v>
      </c>
      <c r="P303" s="152">
        <f t="shared" si="2"/>
        <v>0.12019465450958892</v>
      </c>
      <c r="Q303" s="50">
        <v>20074722.129999999</v>
      </c>
    </row>
    <row r="304" spans="1:17" hidden="1" x14ac:dyDescent="0.25">
      <c r="A304" s="49" t="s">
        <v>707</v>
      </c>
      <c r="B304" s="49" t="s">
        <v>164</v>
      </c>
      <c r="C304" s="49" t="s">
        <v>165</v>
      </c>
      <c r="D304" s="49" t="s">
        <v>85</v>
      </c>
      <c r="E304" s="50">
        <v>0</v>
      </c>
      <c r="F304" s="50">
        <v>0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152" t="e">
        <f t="shared" si="0"/>
        <v>#DIV/0!</v>
      </c>
      <c r="M304" s="50">
        <v>0</v>
      </c>
      <c r="N304" s="152" t="e">
        <f t="shared" si="1"/>
        <v>#DIV/0!</v>
      </c>
      <c r="O304" s="50">
        <v>0</v>
      </c>
      <c r="P304" s="152" t="e">
        <f t="shared" si="2"/>
        <v>#DIV/0!</v>
      </c>
      <c r="Q304" s="50">
        <v>0</v>
      </c>
    </row>
    <row r="305" spans="1:17" hidden="1" x14ac:dyDescent="0.25">
      <c r="A305" s="49" t="s">
        <v>707</v>
      </c>
      <c r="B305" s="49" t="s">
        <v>174</v>
      </c>
      <c r="C305" s="49" t="s">
        <v>175</v>
      </c>
      <c r="D305" s="49" t="s">
        <v>69</v>
      </c>
      <c r="E305" s="50">
        <v>18000000</v>
      </c>
      <c r="F305" s="50">
        <v>18000000</v>
      </c>
      <c r="G305" s="50">
        <v>18000000</v>
      </c>
      <c r="H305" s="50">
        <v>0</v>
      </c>
      <c r="I305" s="50">
        <v>1328634</v>
      </c>
      <c r="J305" s="50">
        <v>0</v>
      </c>
      <c r="K305" s="50">
        <v>221366</v>
      </c>
      <c r="L305" s="152">
        <f t="shared" si="0"/>
        <v>1.229811111111111E-2</v>
      </c>
      <c r="M305" s="50">
        <v>221366</v>
      </c>
      <c r="N305" s="152">
        <f t="shared" si="1"/>
        <v>1.229811111111111E-2</v>
      </c>
      <c r="O305" s="50">
        <v>16450000</v>
      </c>
      <c r="P305" s="152">
        <f t="shared" si="2"/>
        <v>0.91388888888888886</v>
      </c>
      <c r="Q305" s="50">
        <v>16450000</v>
      </c>
    </row>
    <row r="306" spans="1:17" hidden="1" x14ac:dyDescent="0.25">
      <c r="A306" s="49" t="s">
        <v>707</v>
      </c>
      <c r="B306" s="49" t="s">
        <v>176</v>
      </c>
      <c r="C306" s="49" t="s">
        <v>177</v>
      </c>
      <c r="D306" s="49" t="s">
        <v>69</v>
      </c>
      <c r="E306" s="50">
        <v>18000000</v>
      </c>
      <c r="F306" s="50">
        <v>18000000</v>
      </c>
      <c r="G306" s="50">
        <v>18000000</v>
      </c>
      <c r="H306" s="50">
        <v>0</v>
      </c>
      <c r="I306" s="50">
        <v>1328634</v>
      </c>
      <c r="J306" s="50">
        <v>0</v>
      </c>
      <c r="K306" s="50">
        <v>221366</v>
      </c>
      <c r="L306" s="152">
        <f t="shared" si="0"/>
        <v>1.229811111111111E-2</v>
      </c>
      <c r="M306" s="50">
        <v>221366</v>
      </c>
      <c r="N306" s="152">
        <f t="shared" si="1"/>
        <v>1.229811111111111E-2</v>
      </c>
      <c r="O306" s="50">
        <v>16450000</v>
      </c>
      <c r="P306" s="152">
        <f t="shared" si="2"/>
        <v>0.91388888888888886</v>
      </c>
      <c r="Q306" s="50">
        <v>16450000</v>
      </c>
    </row>
    <row r="307" spans="1:17" hidden="1" x14ac:dyDescent="0.25">
      <c r="A307" s="49" t="s">
        <v>707</v>
      </c>
      <c r="B307" s="49" t="s">
        <v>178</v>
      </c>
      <c r="C307" s="49" t="s">
        <v>179</v>
      </c>
      <c r="D307" s="49" t="s">
        <v>69</v>
      </c>
      <c r="E307" s="50">
        <v>36890625</v>
      </c>
      <c r="F307" s="50">
        <v>33335625</v>
      </c>
      <c r="G307" s="50">
        <v>22069079.27</v>
      </c>
      <c r="H307" s="50">
        <v>0</v>
      </c>
      <c r="I307" s="50">
        <v>6690668.4000000004</v>
      </c>
      <c r="J307" s="50">
        <v>0</v>
      </c>
      <c r="K307" s="50">
        <v>2713436.77</v>
      </c>
      <c r="L307" s="152">
        <f t="shared" si="0"/>
        <v>8.1397507021392285E-2</v>
      </c>
      <c r="M307" s="50">
        <v>2713436.77</v>
      </c>
      <c r="N307" s="152">
        <f t="shared" si="1"/>
        <v>8.1397507021392285E-2</v>
      </c>
      <c r="O307" s="50">
        <v>23931519.829999998</v>
      </c>
      <c r="P307" s="152">
        <f t="shared" si="2"/>
        <v>0.71789623953353199</v>
      </c>
      <c r="Q307" s="50">
        <v>12664974.1</v>
      </c>
    </row>
    <row r="308" spans="1:17" hidden="1" x14ac:dyDescent="0.25">
      <c r="A308" s="49" t="s">
        <v>707</v>
      </c>
      <c r="B308" s="49" t="s">
        <v>348</v>
      </c>
      <c r="C308" s="49" t="s">
        <v>349</v>
      </c>
      <c r="D308" s="49" t="s">
        <v>69</v>
      </c>
      <c r="E308" s="50">
        <v>3000000</v>
      </c>
      <c r="F308" s="50">
        <v>5000000</v>
      </c>
      <c r="G308" s="50">
        <v>5000000</v>
      </c>
      <c r="H308" s="50">
        <v>0</v>
      </c>
      <c r="I308" s="50">
        <v>2078562.3</v>
      </c>
      <c r="J308" s="50">
        <v>0</v>
      </c>
      <c r="K308" s="50">
        <v>2713436.77</v>
      </c>
      <c r="L308" s="152">
        <f t="shared" si="0"/>
        <v>0.54268735400000001</v>
      </c>
      <c r="M308" s="50">
        <v>2713436.77</v>
      </c>
      <c r="N308" s="152">
        <f t="shared" si="1"/>
        <v>0.54268735400000001</v>
      </c>
      <c r="O308" s="50">
        <v>208000.93</v>
      </c>
      <c r="P308" s="152">
        <f t="shared" si="2"/>
        <v>4.1600185999999997E-2</v>
      </c>
      <c r="Q308" s="50">
        <v>208000.93</v>
      </c>
    </row>
    <row r="309" spans="1:17" hidden="1" x14ac:dyDescent="0.25">
      <c r="A309" s="49" t="s">
        <v>707</v>
      </c>
      <c r="B309" s="49" t="s">
        <v>180</v>
      </c>
      <c r="C309" s="49" t="s">
        <v>181</v>
      </c>
      <c r="D309" s="49" t="s">
        <v>69</v>
      </c>
      <c r="E309" s="50">
        <v>19500000</v>
      </c>
      <c r="F309" s="50">
        <v>13945000</v>
      </c>
      <c r="G309" s="50">
        <v>2678454.27</v>
      </c>
      <c r="H309" s="50">
        <v>0</v>
      </c>
      <c r="I309" s="50">
        <v>1426615.85</v>
      </c>
      <c r="J309" s="50">
        <v>0</v>
      </c>
      <c r="K309" s="50">
        <v>0</v>
      </c>
      <c r="L309" s="152">
        <f t="shared" si="0"/>
        <v>0</v>
      </c>
      <c r="M309" s="50">
        <v>0</v>
      </c>
      <c r="N309" s="152">
        <f t="shared" si="1"/>
        <v>0</v>
      </c>
      <c r="O309" s="50">
        <v>12518384.15</v>
      </c>
      <c r="P309" s="152">
        <f t="shared" si="2"/>
        <v>0.89769696306920044</v>
      </c>
      <c r="Q309" s="50">
        <v>1251838.42</v>
      </c>
    </row>
    <row r="310" spans="1:17" hidden="1" x14ac:dyDescent="0.25">
      <c r="A310" s="49" t="s">
        <v>707</v>
      </c>
      <c r="B310" s="49" t="s">
        <v>182</v>
      </c>
      <c r="C310" s="49" t="s">
        <v>183</v>
      </c>
      <c r="D310" s="49" t="s">
        <v>69</v>
      </c>
      <c r="E310" s="50">
        <v>14390625</v>
      </c>
      <c r="F310" s="50">
        <v>14390625</v>
      </c>
      <c r="G310" s="50">
        <v>14390625</v>
      </c>
      <c r="H310" s="50">
        <v>0</v>
      </c>
      <c r="I310" s="50">
        <v>3185490.25</v>
      </c>
      <c r="J310" s="50">
        <v>0</v>
      </c>
      <c r="K310" s="50">
        <v>0</v>
      </c>
      <c r="L310" s="152">
        <f t="shared" si="0"/>
        <v>0</v>
      </c>
      <c r="M310" s="50">
        <v>0</v>
      </c>
      <c r="N310" s="152">
        <f t="shared" si="1"/>
        <v>0</v>
      </c>
      <c r="O310" s="50">
        <v>11205134.75</v>
      </c>
      <c r="P310" s="152">
        <f t="shared" si="2"/>
        <v>0.77864128555917478</v>
      </c>
      <c r="Q310" s="50">
        <v>11205134.75</v>
      </c>
    </row>
    <row r="311" spans="1:17" hidden="1" x14ac:dyDescent="0.25">
      <c r="A311" s="49" t="s">
        <v>707</v>
      </c>
      <c r="B311" s="49" t="s">
        <v>184</v>
      </c>
      <c r="C311" s="49" t="s">
        <v>185</v>
      </c>
      <c r="D311" s="49" t="s">
        <v>69</v>
      </c>
      <c r="E311" s="50">
        <v>5938711949</v>
      </c>
      <c r="F311" s="50">
        <v>5607355253</v>
      </c>
      <c r="G311" s="50">
        <v>5395933675.5500002</v>
      </c>
      <c r="H311" s="50">
        <v>26202326.640000001</v>
      </c>
      <c r="I311" s="50">
        <v>1147477919.8199999</v>
      </c>
      <c r="J311" s="50">
        <v>195014718.83000001</v>
      </c>
      <c r="K311" s="50">
        <v>3758184568.5</v>
      </c>
      <c r="L311" s="152">
        <f t="shared" si="0"/>
        <v>0.67022408942064582</v>
      </c>
      <c r="M311" s="50">
        <v>2824907951.3000002</v>
      </c>
      <c r="N311" s="152">
        <f t="shared" si="1"/>
        <v>0.50378615654655401</v>
      </c>
      <c r="O311" s="50">
        <v>480475719.20999998</v>
      </c>
      <c r="P311" s="152">
        <f t="shared" si="2"/>
        <v>8.5686691413557198E-2</v>
      </c>
      <c r="Q311" s="50">
        <v>269054141.75999999</v>
      </c>
    </row>
    <row r="312" spans="1:17" hidden="1" x14ac:dyDescent="0.25">
      <c r="A312" s="49" t="s">
        <v>707</v>
      </c>
      <c r="B312" s="49" t="s">
        <v>186</v>
      </c>
      <c r="C312" s="49" t="s">
        <v>187</v>
      </c>
      <c r="D312" s="49" t="s">
        <v>69</v>
      </c>
      <c r="E312" s="50">
        <v>1018969461</v>
      </c>
      <c r="F312" s="50">
        <v>1024605450</v>
      </c>
      <c r="G312" s="50">
        <v>867253786</v>
      </c>
      <c r="H312" s="50">
        <v>0</v>
      </c>
      <c r="I312" s="50">
        <v>115924394.43000001</v>
      </c>
      <c r="J312" s="50">
        <v>5722442</v>
      </c>
      <c r="K312" s="50">
        <v>619898443.22000003</v>
      </c>
      <c r="L312" s="152">
        <f t="shared" si="0"/>
        <v>0.60501185428986348</v>
      </c>
      <c r="M312" s="50">
        <v>602435961.14999998</v>
      </c>
      <c r="N312" s="152">
        <f t="shared" si="1"/>
        <v>0.58796872605938211</v>
      </c>
      <c r="O312" s="50">
        <v>283060170.35000002</v>
      </c>
      <c r="P312" s="152">
        <f t="shared" si="2"/>
        <v>0.27626260464454883</v>
      </c>
      <c r="Q312" s="50">
        <v>125708506.34999999</v>
      </c>
    </row>
    <row r="313" spans="1:17" hidden="1" x14ac:dyDescent="0.25">
      <c r="A313" s="49" t="s">
        <v>707</v>
      </c>
      <c r="B313" s="49" t="s">
        <v>188</v>
      </c>
      <c r="C313" s="49" t="s">
        <v>189</v>
      </c>
      <c r="D313" s="49" t="s">
        <v>69</v>
      </c>
      <c r="E313" s="50">
        <v>735778133</v>
      </c>
      <c r="F313" s="50">
        <v>749681315</v>
      </c>
      <c r="G313" s="50">
        <v>592329957</v>
      </c>
      <c r="H313" s="50">
        <v>0</v>
      </c>
      <c r="I313" s="50">
        <v>88380875.629999995</v>
      </c>
      <c r="J313" s="50">
        <v>4675000</v>
      </c>
      <c r="K313" s="50">
        <v>393836038.44</v>
      </c>
      <c r="L313" s="152">
        <f t="shared" si="0"/>
        <v>0.52533794101564346</v>
      </c>
      <c r="M313" s="50">
        <v>376373556.37</v>
      </c>
      <c r="N313" s="152">
        <f t="shared" si="1"/>
        <v>0.50204473399473748</v>
      </c>
      <c r="O313" s="50">
        <v>262789400.93000001</v>
      </c>
      <c r="P313" s="152">
        <f t="shared" si="2"/>
        <v>0.35053481482328264</v>
      </c>
      <c r="Q313" s="50">
        <v>105438042.93000001</v>
      </c>
    </row>
    <row r="314" spans="1:17" hidden="1" x14ac:dyDescent="0.25">
      <c r="A314" s="49" t="s">
        <v>707</v>
      </c>
      <c r="B314" s="49" t="s">
        <v>190</v>
      </c>
      <c r="C314" s="49" t="s">
        <v>191</v>
      </c>
      <c r="D314" s="49" t="s">
        <v>69</v>
      </c>
      <c r="E314" s="50">
        <v>224830540</v>
      </c>
      <c r="F314" s="50">
        <v>220146790</v>
      </c>
      <c r="G314" s="50">
        <v>220146790</v>
      </c>
      <c r="H314" s="50">
        <v>0</v>
      </c>
      <c r="I314" s="50">
        <v>25977601</v>
      </c>
      <c r="J314" s="50">
        <v>0</v>
      </c>
      <c r="K314" s="50">
        <v>186909564.38</v>
      </c>
      <c r="L314" s="152">
        <f t="shared" si="0"/>
        <v>0.84902243807415945</v>
      </c>
      <c r="M314" s="50">
        <v>186909564.38</v>
      </c>
      <c r="N314" s="152">
        <f t="shared" si="1"/>
        <v>0.84902243807415945</v>
      </c>
      <c r="O314" s="50">
        <v>7259624.6200000001</v>
      </c>
      <c r="P314" s="152">
        <f t="shared" si="2"/>
        <v>3.2976291046533088E-2</v>
      </c>
      <c r="Q314" s="50">
        <v>7259624.6200000001</v>
      </c>
    </row>
    <row r="315" spans="1:17" hidden="1" x14ac:dyDescent="0.25">
      <c r="A315" s="49" t="s">
        <v>707</v>
      </c>
      <c r="B315" s="49" t="s">
        <v>350</v>
      </c>
      <c r="C315" s="49" t="s">
        <v>351</v>
      </c>
      <c r="D315" s="49" t="s">
        <v>69</v>
      </c>
      <c r="E315" s="50">
        <v>12909188</v>
      </c>
      <c r="F315" s="50">
        <v>12909188</v>
      </c>
      <c r="G315" s="50">
        <v>12909188</v>
      </c>
      <c r="H315" s="50">
        <v>0</v>
      </c>
      <c r="I315" s="50">
        <v>120975</v>
      </c>
      <c r="J315" s="50">
        <v>0</v>
      </c>
      <c r="K315" s="50">
        <v>2016114.92</v>
      </c>
      <c r="L315" s="152">
        <f t="shared" si="0"/>
        <v>0.1561767417129567</v>
      </c>
      <c r="M315" s="50">
        <v>2016114.92</v>
      </c>
      <c r="N315" s="152">
        <f t="shared" si="1"/>
        <v>0.1561767417129567</v>
      </c>
      <c r="O315" s="50">
        <v>10772098.08</v>
      </c>
      <c r="P315" s="152">
        <f t="shared" si="2"/>
        <v>0.83445202595236823</v>
      </c>
      <c r="Q315" s="50">
        <v>10772098.08</v>
      </c>
    </row>
    <row r="316" spans="1:17" hidden="1" x14ac:dyDescent="0.25">
      <c r="A316" s="49" t="s">
        <v>707</v>
      </c>
      <c r="B316" s="49" t="s">
        <v>192</v>
      </c>
      <c r="C316" s="49" t="s">
        <v>193</v>
      </c>
      <c r="D316" s="49" t="s">
        <v>69</v>
      </c>
      <c r="E316" s="50">
        <v>40465200</v>
      </c>
      <c r="F316" s="50">
        <v>36881757</v>
      </c>
      <c r="G316" s="50">
        <v>36881451</v>
      </c>
      <c r="H316" s="50">
        <v>0</v>
      </c>
      <c r="I316" s="50">
        <v>1444942.8</v>
      </c>
      <c r="J316" s="50">
        <v>1047442</v>
      </c>
      <c r="K316" s="50">
        <v>34137152.119999997</v>
      </c>
      <c r="L316" s="152">
        <f t="shared" si="0"/>
        <v>0.92558367325070756</v>
      </c>
      <c r="M316" s="50">
        <v>34137152.119999997</v>
      </c>
      <c r="N316" s="152">
        <f t="shared" si="1"/>
        <v>0.92558367325070756</v>
      </c>
      <c r="O316" s="50">
        <v>252220.08</v>
      </c>
      <c r="P316" s="152">
        <f t="shared" si="2"/>
        <v>6.838613464103676E-3</v>
      </c>
      <c r="Q316" s="50">
        <v>251914.08</v>
      </c>
    </row>
    <row r="317" spans="1:17" hidden="1" x14ac:dyDescent="0.25">
      <c r="A317" s="49" t="s">
        <v>707</v>
      </c>
      <c r="B317" s="49" t="s">
        <v>194</v>
      </c>
      <c r="C317" s="49" t="s">
        <v>195</v>
      </c>
      <c r="D317" s="49" t="s">
        <v>69</v>
      </c>
      <c r="E317" s="50">
        <v>4986400</v>
      </c>
      <c r="F317" s="50">
        <v>4986400</v>
      </c>
      <c r="G317" s="50">
        <v>4986400</v>
      </c>
      <c r="H317" s="50">
        <v>0</v>
      </c>
      <c r="I317" s="50">
        <v>0</v>
      </c>
      <c r="J317" s="50">
        <v>0</v>
      </c>
      <c r="K317" s="50">
        <v>2999573.36</v>
      </c>
      <c r="L317" s="152">
        <f t="shared" si="0"/>
        <v>0.60155089042194765</v>
      </c>
      <c r="M317" s="50">
        <v>2999573.36</v>
      </c>
      <c r="N317" s="152">
        <f t="shared" si="1"/>
        <v>0.60155089042194765</v>
      </c>
      <c r="O317" s="50">
        <v>1986826.64</v>
      </c>
      <c r="P317" s="152">
        <f t="shared" si="2"/>
        <v>0.3984491095780523</v>
      </c>
      <c r="Q317" s="50">
        <v>1986826.64</v>
      </c>
    </row>
    <row r="318" spans="1:17" hidden="1" x14ac:dyDescent="0.25">
      <c r="A318" s="49" t="s">
        <v>707</v>
      </c>
      <c r="B318" s="49" t="s">
        <v>196</v>
      </c>
      <c r="C318" s="49" t="s">
        <v>197</v>
      </c>
      <c r="D318" s="49" t="s">
        <v>69</v>
      </c>
      <c r="E318" s="50">
        <v>1012911000</v>
      </c>
      <c r="F318" s="50">
        <v>1012911000</v>
      </c>
      <c r="G318" s="50">
        <v>1012900892.55</v>
      </c>
      <c r="H318" s="50">
        <v>0</v>
      </c>
      <c r="I318" s="50">
        <v>137357295.16</v>
      </c>
      <c r="J318" s="50">
        <v>36937802.990000002</v>
      </c>
      <c r="K318" s="50">
        <v>833555854.23000002</v>
      </c>
      <c r="L318" s="152">
        <f t="shared" si="0"/>
        <v>0.82293099218983701</v>
      </c>
      <c r="M318" s="50">
        <v>788626085.23000002</v>
      </c>
      <c r="N318" s="152">
        <f t="shared" si="1"/>
        <v>0.77857391738267234</v>
      </c>
      <c r="O318" s="50">
        <v>5060047.62</v>
      </c>
      <c r="P318" s="152">
        <f t="shared" si="2"/>
        <v>4.9955500730074019E-3</v>
      </c>
      <c r="Q318" s="50">
        <v>5049940.17</v>
      </c>
    </row>
    <row r="319" spans="1:17" hidden="1" x14ac:dyDescent="0.25">
      <c r="A319" s="49" t="s">
        <v>707</v>
      </c>
      <c r="B319" s="49" t="s">
        <v>198</v>
      </c>
      <c r="C319" s="49" t="s">
        <v>199</v>
      </c>
      <c r="D319" s="49" t="s">
        <v>69</v>
      </c>
      <c r="E319" s="50">
        <v>987000000</v>
      </c>
      <c r="F319" s="50">
        <v>987000000</v>
      </c>
      <c r="G319" s="50">
        <v>987000000</v>
      </c>
      <c r="H319" s="50">
        <v>0</v>
      </c>
      <c r="I319" s="50">
        <v>125138124.91</v>
      </c>
      <c r="J319" s="50">
        <v>36937802.990000002</v>
      </c>
      <c r="K319" s="50">
        <v>819875254.98000002</v>
      </c>
      <c r="L319" s="152">
        <f t="shared" si="0"/>
        <v>0.83067401720364742</v>
      </c>
      <c r="M319" s="50">
        <v>774945485.98000002</v>
      </c>
      <c r="N319" s="152">
        <f t="shared" si="1"/>
        <v>0.78515246806484296</v>
      </c>
      <c r="O319" s="50">
        <v>5048817.12</v>
      </c>
      <c r="P319" s="152">
        <f t="shared" si="2"/>
        <v>5.1153162310030396E-3</v>
      </c>
      <c r="Q319" s="50">
        <v>5048817.12</v>
      </c>
    </row>
    <row r="320" spans="1:17" hidden="1" x14ac:dyDescent="0.25">
      <c r="A320" s="49" t="s">
        <v>707</v>
      </c>
      <c r="B320" s="49" t="s">
        <v>352</v>
      </c>
      <c r="C320" s="49" t="s">
        <v>353</v>
      </c>
      <c r="D320" s="49" t="s">
        <v>69</v>
      </c>
      <c r="E320" s="50">
        <v>25911000</v>
      </c>
      <c r="F320" s="50">
        <v>25911000</v>
      </c>
      <c r="G320" s="50">
        <v>25900892.550000001</v>
      </c>
      <c r="H320" s="50">
        <v>0</v>
      </c>
      <c r="I320" s="50">
        <v>12219170.25</v>
      </c>
      <c r="J320" s="50">
        <v>0</v>
      </c>
      <c r="K320" s="50">
        <v>13680599.25</v>
      </c>
      <c r="L320" s="152">
        <f t="shared" si="0"/>
        <v>0.52798422484659024</v>
      </c>
      <c r="M320" s="50">
        <v>13680599.25</v>
      </c>
      <c r="N320" s="152">
        <f t="shared" si="1"/>
        <v>0.52798422484659024</v>
      </c>
      <c r="O320" s="50">
        <v>11230.5</v>
      </c>
      <c r="P320" s="152">
        <f t="shared" si="2"/>
        <v>4.3342595808729882E-4</v>
      </c>
      <c r="Q320" s="50">
        <v>1123.05</v>
      </c>
    </row>
    <row r="321" spans="1:17" hidden="1" x14ac:dyDescent="0.25">
      <c r="A321" s="49" t="s">
        <v>707</v>
      </c>
      <c r="B321" s="49" t="s">
        <v>200</v>
      </c>
      <c r="C321" s="49" t="s">
        <v>201</v>
      </c>
      <c r="D321" s="49" t="s">
        <v>69</v>
      </c>
      <c r="E321" s="50">
        <v>492133633</v>
      </c>
      <c r="F321" s="50">
        <v>532279085</v>
      </c>
      <c r="G321" s="50">
        <v>531798290</v>
      </c>
      <c r="H321" s="50">
        <v>0</v>
      </c>
      <c r="I321" s="50">
        <v>95783331.700000003</v>
      </c>
      <c r="J321" s="50">
        <v>19624639.780000001</v>
      </c>
      <c r="K321" s="50">
        <v>400050222.38</v>
      </c>
      <c r="L321" s="152">
        <f t="shared" si="0"/>
        <v>0.75157982654907429</v>
      </c>
      <c r="M321" s="50">
        <v>375575270.45999998</v>
      </c>
      <c r="N321" s="152">
        <f t="shared" si="1"/>
        <v>0.70559839949375425</v>
      </c>
      <c r="O321" s="50">
        <v>16820891.140000001</v>
      </c>
      <c r="P321" s="152">
        <f t="shared" si="2"/>
        <v>3.160163833978185E-2</v>
      </c>
      <c r="Q321" s="50">
        <v>16340096.140000001</v>
      </c>
    </row>
    <row r="322" spans="1:17" hidden="1" x14ac:dyDescent="0.25">
      <c r="A322" s="49" t="s">
        <v>707</v>
      </c>
      <c r="B322" s="49" t="s">
        <v>314</v>
      </c>
      <c r="C322" s="49" t="s">
        <v>315</v>
      </c>
      <c r="D322" s="49" t="s">
        <v>69</v>
      </c>
      <c r="E322" s="50">
        <v>116502163</v>
      </c>
      <c r="F322" s="50">
        <v>138638873</v>
      </c>
      <c r="G322" s="50">
        <v>138638873</v>
      </c>
      <c r="H322" s="50">
        <v>0</v>
      </c>
      <c r="I322" s="50">
        <v>22776710.98</v>
      </c>
      <c r="J322" s="50">
        <v>5589893.7999999998</v>
      </c>
      <c r="K322" s="50">
        <v>103410140.13</v>
      </c>
      <c r="L322" s="152">
        <f t="shared" si="0"/>
        <v>0.74589570653823767</v>
      </c>
      <c r="M322" s="50">
        <v>85138235.909999996</v>
      </c>
      <c r="N322" s="152">
        <f t="shared" si="1"/>
        <v>0.61410075015540555</v>
      </c>
      <c r="O322" s="50">
        <v>6862128.0899999999</v>
      </c>
      <c r="P322" s="152">
        <f t="shared" si="2"/>
        <v>4.9496421469034879E-2</v>
      </c>
      <c r="Q322" s="50">
        <v>6862128.0899999999</v>
      </c>
    </row>
    <row r="323" spans="1:17" hidden="1" x14ac:dyDescent="0.25">
      <c r="A323" s="49" t="s">
        <v>707</v>
      </c>
      <c r="B323" s="49" t="s">
        <v>316</v>
      </c>
      <c r="C323" s="49" t="s">
        <v>317</v>
      </c>
      <c r="D323" s="49" t="s">
        <v>69</v>
      </c>
      <c r="E323" s="50">
        <v>100168000</v>
      </c>
      <c r="F323" s="50">
        <v>100168000</v>
      </c>
      <c r="G323" s="50">
        <v>100168000</v>
      </c>
      <c r="H323" s="50">
        <v>0</v>
      </c>
      <c r="I323" s="50">
        <v>16846473</v>
      </c>
      <c r="J323" s="50">
        <v>1428000</v>
      </c>
      <c r="K323" s="50">
        <v>80079070.760000005</v>
      </c>
      <c r="L323" s="152">
        <f t="shared" si="0"/>
        <v>0.79944763557223875</v>
      </c>
      <c r="M323" s="50">
        <v>76044970.760000005</v>
      </c>
      <c r="N323" s="152">
        <f t="shared" si="1"/>
        <v>0.75917429478476162</v>
      </c>
      <c r="O323" s="50">
        <v>1814456.24</v>
      </c>
      <c r="P323" s="152">
        <f t="shared" si="2"/>
        <v>1.8114130660490377E-2</v>
      </c>
      <c r="Q323" s="50">
        <v>1814456.24</v>
      </c>
    </row>
    <row r="324" spans="1:17" hidden="1" x14ac:dyDescent="0.25">
      <c r="A324" s="49" t="s">
        <v>707</v>
      </c>
      <c r="B324" s="49" t="s">
        <v>318</v>
      </c>
      <c r="C324" s="49" t="s">
        <v>319</v>
      </c>
      <c r="D324" s="49" t="s">
        <v>69</v>
      </c>
      <c r="E324" s="50">
        <v>88546837</v>
      </c>
      <c r="F324" s="50">
        <v>124611598</v>
      </c>
      <c r="G324" s="50">
        <v>124589535</v>
      </c>
      <c r="H324" s="50">
        <v>0</v>
      </c>
      <c r="I324" s="50">
        <v>17759667.600000001</v>
      </c>
      <c r="J324" s="50">
        <v>0</v>
      </c>
      <c r="K324" s="50">
        <v>106729563.36</v>
      </c>
      <c r="L324" s="152">
        <f t="shared" si="0"/>
        <v>0.85649783064334029</v>
      </c>
      <c r="M324" s="50">
        <v>106729563.36</v>
      </c>
      <c r="N324" s="152">
        <f t="shared" si="1"/>
        <v>0.85649783064334029</v>
      </c>
      <c r="O324" s="50">
        <v>122367.03999999999</v>
      </c>
      <c r="P324" s="152">
        <f t="shared" si="2"/>
        <v>9.8198756748147948E-4</v>
      </c>
      <c r="Q324" s="50">
        <v>100304.04</v>
      </c>
    </row>
    <row r="325" spans="1:17" hidden="1" x14ac:dyDescent="0.25">
      <c r="A325" s="49" t="s">
        <v>707</v>
      </c>
      <c r="B325" s="49" t="s">
        <v>202</v>
      </c>
      <c r="C325" s="49" t="s">
        <v>203</v>
      </c>
      <c r="D325" s="49" t="s">
        <v>69</v>
      </c>
      <c r="E325" s="50">
        <v>110456300</v>
      </c>
      <c r="F325" s="50">
        <v>105456300</v>
      </c>
      <c r="G325" s="50">
        <v>105456299</v>
      </c>
      <c r="H325" s="50">
        <v>0</v>
      </c>
      <c r="I325" s="50">
        <v>34462435.770000003</v>
      </c>
      <c r="J325" s="50">
        <v>772759.46</v>
      </c>
      <c r="K325" s="50">
        <v>65667613.549999997</v>
      </c>
      <c r="L325" s="152">
        <f t="shared" si="0"/>
        <v>0.62269976805558314</v>
      </c>
      <c r="M325" s="50">
        <v>64515564.149999999</v>
      </c>
      <c r="N325" s="152">
        <f t="shared" si="1"/>
        <v>0.6117753434360963</v>
      </c>
      <c r="O325" s="50">
        <v>4553491.22</v>
      </c>
      <c r="P325" s="152">
        <f t="shared" si="2"/>
        <v>4.3178939712468577E-2</v>
      </c>
      <c r="Q325" s="50">
        <v>4553490.22</v>
      </c>
    </row>
    <row r="326" spans="1:17" hidden="1" x14ac:dyDescent="0.25">
      <c r="A326" s="49" t="s">
        <v>707</v>
      </c>
      <c r="B326" s="49" t="s">
        <v>320</v>
      </c>
      <c r="C326" s="49" t="s">
        <v>321</v>
      </c>
      <c r="D326" s="49" t="s">
        <v>69</v>
      </c>
      <c r="E326" s="50">
        <v>2261183</v>
      </c>
      <c r="F326" s="50">
        <v>1140592</v>
      </c>
      <c r="G326" s="50">
        <v>1091036</v>
      </c>
      <c r="H326" s="50">
        <v>0</v>
      </c>
      <c r="I326" s="50">
        <v>0</v>
      </c>
      <c r="J326" s="50">
        <v>0</v>
      </c>
      <c r="K326" s="50">
        <v>1016898.3</v>
      </c>
      <c r="L326" s="152">
        <f t="shared" si="0"/>
        <v>0.8915530706860999</v>
      </c>
      <c r="M326" s="50">
        <v>0</v>
      </c>
      <c r="N326" s="152">
        <f t="shared" si="1"/>
        <v>0</v>
      </c>
      <c r="O326" s="50">
        <v>123693.7</v>
      </c>
      <c r="P326" s="152">
        <f t="shared" si="2"/>
        <v>0.10844692931390015</v>
      </c>
      <c r="Q326" s="50">
        <v>74137.7</v>
      </c>
    </row>
    <row r="327" spans="1:17" hidden="1" x14ac:dyDescent="0.25">
      <c r="A327" s="49" t="s">
        <v>707</v>
      </c>
      <c r="B327" s="49" t="s">
        <v>204</v>
      </c>
      <c r="C327" s="49" t="s">
        <v>205</v>
      </c>
      <c r="D327" s="49" t="s">
        <v>69</v>
      </c>
      <c r="E327" s="50">
        <v>51120350</v>
      </c>
      <c r="F327" s="50">
        <v>39184922</v>
      </c>
      <c r="G327" s="50">
        <v>39184922</v>
      </c>
      <c r="H327" s="50">
        <v>0</v>
      </c>
      <c r="I327" s="50">
        <v>434275.95</v>
      </c>
      <c r="J327" s="50">
        <v>11833986.52</v>
      </c>
      <c r="K327" s="50">
        <v>24397936.649999999</v>
      </c>
      <c r="L327" s="152">
        <f t="shared" si="0"/>
        <v>0.62263583553898616</v>
      </c>
      <c r="M327" s="50">
        <v>24397936.649999999</v>
      </c>
      <c r="N327" s="152">
        <f t="shared" si="1"/>
        <v>0.62263583553898616</v>
      </c>
      <c r="O327" s="50">
        <v>2518722.88</v>
      </c>
      <c r="P327" s="152">
        <f t="shared" si="2"/>
        <v>6.4277858713103986E-2</v>
      </c>
      <c r="Q327" s="50">
        <v>2518722.88</v>
      </c>
    </row>
    <row r="328" spans="1:17" hidden="1" x14ac:dyDescent="0.25">
      <c r="A328" s="49" t="s">
        <v>707</v>
      </c>
      <c r="B328" s="49" t="s">
        <v>322</v>
      </c>
      <c r="C328" s="49" t="s">
        <v>323</v>
      </c>
      <c r="D328" s="49" t="s">
        <v>69</v>
      </c>
      <c r="E328" s="50">
        <v>23078800</v>
      </c>
      <c r="F328" s="50">
        <v>23078800</v>
      </c>
      <c r="G328" s="50">
        <v>22669625</v>
      </c>
      <c r="H328" s="50">
        <v>0</v>
      </c>
      <c r="I328" s="50">
        <v>3503768.4</v>
      </c>
      <c r="J328" s="50">
        <v>0</v>
      </c>
      <c r="K328" s="50">
        <v>18748999.629999999</v>
      </c>
      <c r="L328" s="152">
        <f t="shared" si="0"/>
        <v>0.81239057619980237</v>
      </c>
      <c r="M328" s="50">
        <v>18748999.629999999</v>
      </c>
      <c r="N328" s="152">
        <f t="shared" si="1"/>
        <v>0.81239057619980237</v>
      </c>
      <c r="O328" s="50">
        <v>826031.97</v>
      </c>
      <c r="P328" s="152">
        <f t="shared" si="2"/>
        <v>3.5791807632979185E-2</v>
      </c>
      <c r="Q328" s="50">
        <v>416856.97</v>
      </c>
    </row>
    <row r="329" spans="1:17" hidden="1" x14ac:dyDescent="0.25">
      <c r="A329" s="49" t="s">
        <v>707</v>
      </c>
      <c r="B329" s="49" t="s">
        <v>206</v>
      </c>
      <c r="C329" s="49" t="s">
        <v>207</v>
      </c>
      <c r="D329" s="49" t="s">
        <v>69</v>
      </c>
      <c r="E329" s="50">
        <v>144803139</v>
      </c>
      <c r="F329" s="50">
        <v>148458599</v>
      </c>
      <c r="G329" s="50">
        <v>147229775</v>
      </c>
      <c r="H329" s="50">
        <v>0</v>
      </c>
      <c r="I329" s="50">
        <v>23344130.640000001</v>
      </c>
      <c r="J329" s="50">
        <v>29243236.350000001</v>
      </c>
      <c r="K329" s="50">
        <v>69958566.379999995</v>
      </c>
      <c r="L329" s="152">
        <f t="shared" si="0"/>
        <v>0.47123283427994628</v>
      </c>
      <c r="M329" s="50">
        <v>69685512.200000003</v>
      </c>
      <c r="N329" s="152">
        <f t="shared" si="1"/>
        <v>0.4693935728168902</v>
      </c>
      <c r="O329" s="50">
        <v>25912665.629999999</v>
      </c>
      <c r="P329" s="152">
        <f t="shared" si="2"/>
        <v>0.17454472697805803</v>
      </c>
      <c r="Q329" s="50">
        <v>24683841.629999999</v>
      </c>
    </row>
    <row r="330" spans="1:17" hidden="1" x14ac:dyDescent="0.25">
      <c r="A330" s="49" t="s">
        <v>707</v>
      </c>
      <c r="B330" s="49" t="s">
        <v>208</v>
      </c>
      <c r="C330" s="49" t="s">
        <v>209</v>
      </c>
      <c r="D330" s="49" t="s">
        <v>69</v>
      </c>
      <c r="E330" s="50">
        <v>17162500</v>
      </c>
      <c r="F330" s="50">
        <v>22627960</v>
      </c>
      <c r="G330" s="50">
        <v>22413980</v>
      </c>
      <c r="H330" s="50">
        <v>0</v>
      </c>
      <c r="I330" s="50">
        <v>782.09</v>
      </c>
      <c r="J330" s="50">
        <v>0</v>
      </c>
      <c r="K330" s="50">
        <v>16190004.48</v>
      </c>
      <c r="L330" s="152">
        <f t="shared" si="0"/>
        <v>0.71548670229220845</v>
      </c>
      <c r="M330" s="50">
        <v>15919950.300000001</v>
      </c>
      <c r="N330" s="152">
        <f t="shared" si="1"/>
        <v>0.70355216731866244</v>
      </c>
      <c r="O330" s="50">
        <v>6437173.4299999997</v>
      </c>
      <c r="P330" s="152">
        <f t="shared" si="2"/>
        <v>0.28447873471581175</v>
      </c>
      <c r="Q330" s="50">
        <v>6223193.4299999997</v>
      </c>
    </row>
    <row r="331" spans="1:17" hidden="1" x14ac:dyDescent="0.25">
      <c r="A331" s="49" t="s">
        <v>707</v>
      </c>
      <c r="B331" s="49" t="s">
        <v>210</v>
      </c>
      <c r="C331" s="49" t="s">
        <v>211</v>
      </c>
      <c r="D331" s="49" t="s">
        <v>69</v>
      </c>
      <c r="E331" s="50">
        <v>127640639</v>
      </c>
      <c r="F331" s="50">
        <v>125830639</v>
      </c>
      <c r="G331" s="50">
        <v>124815795</v>
      </c>
      <c r="H331" s="50">
        <v>0</v>
      </c>
      <c r="I331" s="50">
        <v>23343348.550000001</v>
      </c>
      <c r="J331" s="50">
        <v>29243236.350000001</v>
      </c>
      <c r="K331" s="50">
        <v>53768561.899999999</v>
      </c>
      <c r="L331" s="152">
        <f t="shared" si="0"/>
        <v>0.42730897917477795</v>
      </c>
      <c r="M331" s="50">
        <v>53765561.899999999</v>
      </c>
      <c r="N331" s="152">
        <f t="shared" si="1"/>
        <v>0.42728513760468145</v>
      </c>
      <c r="O331" s="50">
        <v>19475492.199999999</v>
      </c>
      <c r="P331" s="152">
        <f t="shared" si="2"/>
        <v>0.15477543748307596</v>
      </c>
      <c r="Q331" s="50">
        <v>18460648.199999999</v>
      </c>
    </row>
    <row r="332" spans="1:17" hidden="1" x14ac:dyDescent="0.25">
      <c r="A332" s="49" t="s">
        <v>707</v>
      </c>
      <c r="B332" s="49" t="s">
        <v>212</v>
      </c>
      <c r="C332" s="49" t="s">
        <v>213</v>
      </c>
      <c r="D332" s="49" t="s">
        <v>69</v>
      </c>
      <c r="E332" s="50">
        <v>3269894716</v>
      </c>
      <c r="F332" s="50">
        <v>2889101119</v>
      </c>
      <c r="G332" s="50">
        <v>2836750932</v>
      </c>
      <c r="H332" s="50">
        <v>26202326.640000001</v>
      </c>
      <c r="I332" s="50">
        <v>775068767.88999999</v>
      </c>
      <c r="J332" s="50">
        <v>103486597.70999999</v>
      </c>
      <c r="K332" s="50">
        <v>1834721482.29</v>
      </c>
      <c r="L332" s="152">
        <f t="shared" si="0"/>
        <v>0.63504924428711207</v>
      </c>
      <c r="M332" s="50">
        <v>988585122.25999999</v>
      </c>
      <c r="N332" s="152">
        <f t="shared" si="1"/>
        <v>0.34217740450779977</v>
      </c>
      <c r="O332" s="50">
        <v>149621944.47</v>
      </c>
      <c r="P332" s="152">
        <f t="shared" si="2"/>
        <v>5.1788406949836496E-2</v>
      </c>
      <c r="Q332" s="50">
        <v>97271757.469999999</v>
      </c>
    </row>
    <row r="333" spans="1:17" hidden="1" x14ac:dyDescent="0.25">
      <c r="A333" s="49" t="s">
        <v>707</v>
      </c>
      <c r="B333" s="49" t="s">
        <v>214</v>
      </c>
      <c r="C333" s="49" t="s">
        <v>215</v>
      </c>
      <c r="D333" s="49" t="s">
        <v>69</v>
      </c>
      <c r="E333" s="50">
        <v>34070136</v>
      </c>
      <c r="F333" s="50">
        <v>14603063</v>
      </c>
      <c r="G333" s="50">
        <v>14603063</v>
      </c>
      <c r="H333" s="50">
        <v>0</v>
      </c>
      <c r="I333" s="50">
        <v>2632528.2599999998</v>
      </c>
      <c r="J333" s="50">
        <v>0</v>
      </c>
      <c r="K333" s="50">
        <v>11319225.75</v>
      </c>
      <c r="L333" s="152">
        <f t="shared" si="0"/>
        <v>0.77512681757245039</v>
      </c>
      <c r="M333" s="50">
        <v>11319225.75</v>
      </c>
      <c r="N333" s="152">
        <f t="shared" si="1"/>
        <v>0.77512681757245039</v>
      </c>
      <c r="O333" s="50">
        <v>651308.99</v>
      </c>
      <c r="P333" s="152">
        <f t="shared" si="2"/>
        <v>4.4600847781044291E-2</v>
      </c>
      <c r="Q333" s="50">
        <v>651308.99</v>
      </c>
    </row>
    <row r="334" spans="1:17" hidden="1" x14ac:dyDescent="0.25">
      <c r="A334" s="49" t="s">
        <v>707</v>
      </c>
      <c r="B334" s="49" t="s">
        <v>216</v>
      </c>
      <c r="C334" s="49" t="s">
        <v>217</v>
      </c>
      <c r="D334" s="49" t="s">
        <v>69</v>
      </c>
      <c r="E334" s="50">
        <v>26479307</v>
      </c>
      <c r="F334" s="50">
        <v>26479307</v>
      </c>
      <c r="G334" s="50">
        <v>26479307</v>
      </c>
      <c r="H334" s="50">
        <v>367855.77</v>
      </c>
      <c r="I334" s="50">
        <v>7582844.5499999998</v>
      </c>
      <c r="J334" s="50">
        <v>9040662.5600000005</v>
      </c>
      <c r="K334" s="50">
        <v>8783550.6600000001</v>
      </c>
      <c r="L334" s="152">
        <f t="shared" si="0"/>
        <v>0.33171376652719803</v>
      </c>
      <c r="M334" s="50">
        <v>6984477.6600000001</v>
      </c>
      <c r="N334" s="152">
        <f t="shared" si="1"/>
        <v>0.26377116515926946</v>
      </c>
      <c r="O334" s="50">
        <v>704393.46</v>
      </c>
      <c r="P334" s="152">
        <f t="shared" si="2"/>
        <v>2.6601657664228145E-2</v>
      </c>
      <c r="Q334" s="50">
        <v>704393.46</v>
      </c>
    </row>
    <row r="335" spans="1:17" hidden="1" x14ac:dyDescent="0.25">
      <c r="A335" s="49" t="s">
        <v>707</v>
      </c>
      <c r="B335" s="49" t="s">
        <v>218</v>
      </c>
      <c r="C335" s="49" t="s">
        <v>219</v>
      </c>
      <c r="D335" s="49" t="s">
        <v>69</v>
      </c>
      <c r="E335" s="50">
        <v>140601000</v>
      </c>
      <c r="F335" s="50">
        <v>120972732</v>
      </c>
      <c r="G335" s="50">
        <v>81947267</v>
      </c>
      <c r="H335" s="50">
        <v>0</v>
      </c>
      <c r="I335" s="50">
        <v>9298152</v>
      </c>
      <c r="J335" s="50">
        <v>0</v>
      </c>
      <c r="K335" s="50">
        <v>58483260.600000001</v>
      </c>
      <c r="L335" s="152">
        <f t="shared" si="0"/>
        <v>0.48344167841063557</v>
      </c>
      <c r="M335" s="50">
        <v>58214038.609999999</v>
      </c>
      <c r="N335" s="152">
        <f t="shared" si="1"/>
        <v>0.48121620176355112</v>
      </c>
      <c r="O335" s="50">
        <v>53191319.399999999</v>
      </c>
      <c r="P335" s="152">
        <f t="shared" si="2"/>
        <v>0.43969676902064175</v>
      </c>
      <c r="Q335" s="50">
        <v>14165854.4</v>
      </c>
    </row>
    <row r="336" spans="1:17" hidden="1" x14ac:dyDescent="0.25">
      <c r="A336" s="49" t="s">
        <v>707</v>
      </c>
      <c r="B336" s="49" t="s">
        <v>220</v>
      </c>
      <c r="C336" s="49" t="s">
        <v>221</v>
      </c>
      <c r="D336" s="49" t="s">
        <v>69</v>
      </c>
      <c r="E336" s="50">
        <v>1260371675</v>
      </c>
      <c r="F336" s="50">
        <v>1239367145</v>
      </c>
      <c r="G336" s="50">
        <v>1238685978</v>
      </c>
      <c r="H336" s="50">
        <v>13836663</v>
      </c>
      <c r="I336" s="50">
        <v>564847293.13</v>
      </c>
      <c r="J336" s="50">
        <v>1931367.75</v>
      </c>
      <c r="K336" s="50">
        <v>601695804.50999999</v>
      </c>
      <c r="L336" s="152">
        <f t="shared" si="0"/>
        <v>0.48548632819373311</v>
      </c>
      <c r="M336" s="50">
        <v>130096451.90000001</v>
      </c>
      <c r="N336" s="152">
        <f t="shared" si="1"/>
        <v>0.10497006671901087</v>
      </c>
      <c r="O336" s="50">
        <v>57056016.609999999</v>
      </c>
      <c r="P336" s="152">
        <f t="shared" si="2"/>
        <v>4.6036412083523479E-2</v>
      </c>
      <c r="Q336" s="50">
        <v>56374849.609999999</v>
      </c>
    </row>
    <row r="337" spans="1:17" hidden="1" x14ac:dyDescent="0.25">
      <c r="A337" s="49" t="s">
        <v>707</v>
      </c>
      <c r="B337" s="49" t="s">
        <v>222</v>
      </c>
      <c r="C337" s="49" t="s">
        <v>223</v>
      </c>
      <c r="D337" s="49" t="s">
        <v>69</v>
      </c>
      <c r="E337" s="50">
        <v>291010979</v>
      </c>
      <c r="F337" s="50">
        <v>313668508</v>
      </c>
      <c r="G337" s="50">
        <v>313668508</v>
      </c>
      <c r="H337" s="50">
        <v>5474950</v>
      </c>
      <c r="I337" s="50">
        <v>39686413.600000001</v>
      </c>
      <c r="J337" s="50">
        <v>38508456.539999999</v>
      </c>
      <c r="K337" s="50">
        <v>229954170.03999999</v>
      </c>
      <c r="L337" s="152">
        <f t="shared" si="0"/>
        <v>0.73311207269809819</v>
      </c>
      <c r="M337" s="50">
        <v>227856032.84</v>
      </c>
      <c r="N337" s="152">
        <f t="shared" si="1"/>
        <v>0.72642304544006053</v>
      </c>
      <c r="O337" s="50">
        <v>44517.82</v>
      </c>
      <c r="P337" s="152">
        <f t="shared" si="2"/>
        <v>1.4192632943566016E-4</v>
      </c>
      <c r="Q337" s="50">
        <v>44517.82</v>
      </c>
    </row>
    <row r="338" spans="1:17" hidden="1" x14ac:dyDescent="0.25">
      <c r="A338" s="49" t="s">
        <v>707</v>
      </c>
      <c r="B338" s="49" t="s">
        <v>224</v>
      </c>
      <c r="C338" s="49" t="s">
        <v>225</v>
      </c>
      <c r="D338" s="49" t="s">
        <v>69</v>
      </c>
      <c r="E338" s="50">
        <v>1243089320</v>
      </c>
      <c r="F338" s="50">
        <v>899738065</v>
      </c>
      <c r="G338" s="50">
        <v>887095368</v>
      </c>
      <c r="H338" s="50">
        <v>4523731.87</v>
      </c>
      <c r="I338" s="50">
        <v>85213627.430000007</v>
      </c>
      <c r="J338" s="50">
        <v>54006110.859999999</v>
      </c>
      <c r="K338" s="50">
        <v>718820247.65999997</v>
      </c>
      <c r="L338" s="152">
        <f t="shared" si="0"/>
        <v>0.79892168134511454</v>
      </c>
      <c r="M338" s="50">
        <v>348449672.43000001</v>
      </c>
      <c r="N338" s="152">
        <f t="shared" si="1"/>
        <v>0.38727901595449338</v>
      </c>
      <c r="O338" s="50">
        <v>37174347.18</v>
      </c>
      <c r="P338" s="152">
        <f t="shared" si="2"/>
        <v>4.1316855011574949E-2</v>
      </c>
      <c r="Q338" s="50">
        <v>24531650.18</v>
      </c>
    </row>
    <row r="339" spans="1:17" hidden="1" x14ac:dyDescent="0.25">
      <c r="A339" s="49" t="s">
        <v>707</v>
      </c>
      <c r="B339" s="49" t="s">
        <v>226</v>
      </c>
      <c r="C339" s="49" t="s">
        <v>227</v>
      </c>
      <c r="D339" s="49" t="s">
        <v>69</v>
      </c>
      <c r="E339" s="50">
        <v>90632447</v>
      </c>
      <c r="F339" s="50">
        <v>90632447</v>
      </c>
      <c r="G339" s="50">
        <v>90632447</v>
      </c>
      <c r="H339" s="50">
        <v>0</v>
      </c>
      <c r="I339" s="50">
        <v>4164190.25</v>
      </c>
      <c r="J339" s="50">
        <v>0</v>
      </c>
      <c r="K339" s="50">
        <v>86313998.739999995</v>
      </c>
      <c r="L339" s="152">
        <f t="shared" si="0"/>
        <v>0.95235207254196719</v>
      </c>
      <c r="M339" s="50">
        <v>86313998.739999995</v>
      </c>
      <c r="N339" s="152">
        <f t="shared" si="1"/>
        <v>0.95235207254196719</v>
      </c>
      <c r="O339" s="50">
        <v>154258.01</v>
      </c>
      <c r="P339" s="152">
        <f t="shared" si="2"/>
        <v>1.702017490491016E-3</v>
      </c>
      <c r="Q339" s="50">
        <v>154258.01</v>
      </c>
    </row>
    <row r="340" spans="1:17" hidden="1" x14ac:dyDescent="0.25">
      <c r="A340" s="49" t="s">
        <v>707</v>
      </c>
      <c r="B340" s="49" t="s">
        <v>228</v>
      </c>
      <c r="C340" s="49" t="s">
        <v>229</v>
      </c>
      <c r="D340" s="49" t="s">
        <v>69</v>
      </c>
      <c r="E340" s="50">
        <v>183639852</v>
      </c>
      <c r="F340" s="50">
        <v>183639852</v>
      </c>
      <c r="G340" s="50">
        <v>183638994</v>
      </c>
      <c r="H340" s="50">
        <v>1999126</v>
      </c>
      <c r="I340" s="50">
        <v>61643718.670000002</v>
      </c>
      <c r="J340" s="50">
        <v>0</v>
      </c>
      <c r="K340" s="50">
        <v>119351224.33</v>
      </c>
      <c r="L340" s="152">
        <f t="shared" si="0"/>
        <v>0.64992006381055023</v>
      </c>
      <c r="M340" s="50">
        <v>119351224.33</v>
      </c>
      <c r="N340" s="152">
        <f t="shared" si="1"/>
        <v>0.64992006381055023</v>
      </c>
      <c r="O340" s="50">
        <v>645783</v>
      </c>
      <c r="P340" s="152">
        <f t="shared" si="2"/>
        <v>3.516573298044261E-3</v>
      </c>
      <c r="Q340" s="50">
        <v>644925</v>
      </c>
    </row>
    <row r="341" spans="1:17" hidden="1" x14ac:dyDescent="0.25">
      <c r="A341" s="49" t="s">
        <v>707</v>
      </c>
      <c r="B341" s="49" t="s">
        <v>248</v>
      </c>
      <c r="C341" s="49" t="s">
        <v>249</v>
      </c>
      <c r="D341" s="49" t="s">
        <v>69</v>
      </c>
      <c r="E341" s="50">
        <v>13160774264</v>
      </c>
      <c r="F341" s="50">
        <v>13151348647</v>
      </c>
      <c r="G341" s="50">
        <v>13151348647</v>
      </c>
      <c r="H341" s="50">
        <v>0</v>
      </c>
      <c r="I341" s="50">
        <v>1146752164.97</v>
      </c>
      <c r="J341" s="50">
        <v>0</v>
      </c>
      <c r="K341" s="50">
        <v>9942424413.7099991</v>
      </c>
      <c r="L341" s="152">
        <f t="shared" si="0"/>
        <v>0.75600036776289103</v>
      </c>
      <c r="M341" s="50">
        <v>9942424413.7099991</v>
      </c>
      <c r="N341" s="152">
        <f t="shared" si="1"/>
        <v>0.75600036776289103</v>
      </c>
      <c r="O341" s="50">
        <v>2062172068.3199999</v>
      </c>
      <c r="P341" s="152">
        <f t="shared" si="2"/>
        <v>0.156803087171627</v>
      </c>
      <c r="Q341" s="50">
        <v>2062172068.3199999</v>
      </c>
    </row>
    <row r="342" spans="1:17" hidden="1" x14ac:dyDescent="0.25">
      <c r="A342" s="49" t="s">
        <v>707</v>
      </c>
      <c r="B342" s="49" t="s">
        <v>250</v>
      </c>
      <c r="C342" s="49" t="s">
        <v>251</v>
      </c>
      <c r="D342" s="49" t="s">
        <v>69</v>
      </c>
      <c r="E342" s="50">
        <v>11073271142</v>
      </c>
      <c r="F342" s="50">
        <v>11063845525</v>
      </c>
      <c r="G342" s="50">
        <v>11063845525</v>
      </c>
      <c r="H342" s="50">
        <v>0</v>
      </c>
      <c r="I342" s="50">
        <v>858944685.98000002</v>
      </c>
      <c r="J342" s="50">
        <v>0</v>
      </c>
      <c r="K342" s="50">
        <v>8925400355.0200005</v>
      </c>
      <c r="L342" s="152">
        <f t="shared" si="0"/>
        <v>0.80671773072500486</v>
      </c>
      <c r="M342" s="50">
        <v>8925400355.0200005</v>
      </c>
      <c r="N342" s="152">
        <f t="shared" si="1"/>
        <v>0.80671773072500486</v>
      </c>
      <c r="O342" s="50">
        <v>1279500484</v>
      </c>
      <c r="P342" s="152">
        <f t="shared" si="2"/>
        <v>0.11564699462847933</v>
      </c>
      <c r="Q342" s="50">
        <v>1279500484</v>
      </c>
    </row>
    <row r="343" spans="1:17" hidden="1" x14ac:dyDescent="0.25">
      <c r="A343" s="49" t="s">
        <v>707</v>
      </c>
      <c r="B343" s="49" t="s">
        <v>621</v>
      </c>
      <c r="C343" s="49" t="s">
        <v>708</v>
      </c>
      <c r="D343" s="49" t="s">
        <v>69</v>
      </c>
      <c r="E343" s="50">
        <v>44000000</v>
      </c>
      <c r="F343" s="50">
        <v>44000000</v>
      </c>
      <c r="G343" s="50">
        <v>44000000</v>
      </c>
      <c r="H343" s="50">
        <v>0</v>
      </c>
      <c r="I343" s="50">
        <v>19000000</v>
      </c>
      <c r="J343" s="50">
        <v>0</v>
      </c>
      <c r="K343" s="50">
        <v>25000000</v>
      </c>
      <c r="L343" s="152">
        <f t="shared" si="0"/>
        <v>0.56818181818181823</v>
      </c>
      <c r="M343" s="50">
        <v>25000000</v>
      </c>
      <c r="N343" s="152">
        <f t="shared" si="1"/>
        <v>0.56818181818181823</v>
      </c>
      <c r="O343" s="50">
        <v>0</v>
      </c>
      <c r="P343" s="152">
        <f t="shared" si="2"/>
        <v>0</v>
      </c>
      <c r="Q343" s="50">
        <v>0</v>
      </c>
    </row>
    <row r="344" spans="1:17" hidden="1" x14ac:dyDescent="0.25">
      <c r="A344" s="49" t="s">
        <v>707</v>
      </c>
      <c r="B344" s="49" t="s">
        <v>629</v>
      </c>
      <c r="C344" s="49" t="s">
        <v>702</v>
      </c>
      <c r="D344" s="49" t="s">
        <v>69</v>
      </c>
      <c r="E344" s="50">
        <v>540115935</v>
      </c>
      <c r="F344" s="50">
        <v>532109838</v>
      </c>
      <c r="G344" s="50">
        <v>532109838</v>
      </c>
      <c r="H344" s="50">
        <v>0</v>
      </c>
      <c r="I344" s="50">
        <v>96086142</v>
      </c>
      <c r="J344" s="50">
        <v>0</v>
      </c>
      <c r="K344" s="50">
        <v>431275239</v>
      </c>
      <c r="L344" s="152">
        <f t="shared" si="0"/>
        <v>0.81050040461758954</v>
      </c>
      <c r="M344" s="50">
        <v>431275239</v>
      </c>
      <c r="N344" s="152">
        <f t="shared" si="1"/>
        <v>0.81050040461758954</v>
      </c>
      <c r="O344" s="50">
        <v>4748457</v>
      </c>
      <c r="P344" s="152">
        <f t="shared" si="2"/>
        <v>8.9238286175043428E-3</v>
      </c>
      <c r="Q344" s="50">
        <v>4748457</v>
      </c>
    </row>
    <row r="345" spans="1:17" hidden="1" x14ac:dyDescent="0.25">
      <c r="A345" s="49" t="s">
        <v>707</v>
      </c>
      <c r="B345" s="49" t="s">
        <v>644</v>
      </c>
      <c r="C345" s="49" t="s">
        <v>703</v>
      </c>
      <c r="D345" s="49" t="s">
        <v>69</v>
      </c>
      <c r="E345" s="50">
        <v>95765207</v>
      </c>
      <c r="F345" s="50">
        <v>94345687</v>
      </c>
      <c r="G345" s="50">
        <v>94345687</v>
      </c>
      <c r="H345" s="50">
        <v>0</v>
      </c>
      <c r="I345" s="50">
        <v>15027216</v>
      </c>
      <c r="J345" s="50">
        <v>0</v>
      </c>
      <c r="K345" s="50">
        <v>78476546</v>
      </c>
      <c r="L345" s="152">
        <f t="shared" si="0"/>
        <v>0.83179791779988843</v>
      </c>
      <c r="M345" s="50">
        <v>78476546</v>
      </c>
      <c r="N345" s="152">
        <f t="shared" si="1"/>
        <v>0.83179791779988843</v>
      </c>
      <c r="O345" s="50">
        <v>841925</v>
      </c>
      <c r="P345" s="152">
        <f t="shared" si="2"/>
        <v>8.9238313564879764E-3</v>
      </c>
      <c r="Q345" s="50">
        <v>841925</v>
      </c>
    </row>
    <row r="346" spans="1:17" hidden="1" x14ac:dyDescent="0.25">
      <c r="A346" s="49" t="s">
        <v>707</v>
      </c>
      <c r="B346" s="49" t="s">
        <v>655</v>
      </c>
      <c r="C346" s="49" t="s">
        <v>709</v>
      </c>
      <c r="D346" s="49" t="s">
        <v>69</v>
      </c>
      <c r="E346" s="50">
        <v>10393390000</v>
      </c>
      <c r="F346" s="50">
        <v>10393390000</v>
      </c>
      <c r="G346" s="50">
        <v>10393390000</v>
      </c>
      <c r="H346" s="50">
        <v>0</v>
      </c>
      <c r="I346" s="50">
        <v>728831327.98000002</v>
      </c>
      <c r="J346" s="50">
        <v>0</v>
      </c>
      <c r="K346" s="50">
        <v>8390648570.0200005</v>
      </c>
      <c r="L346" s="152">
        <f t="shared" si="0"/>
        <v>0.80730623694675174</v>
      </c>
      <c r="M346" s="50">
        <v>8390648570.0200005</v>
      </c>
      <c r="N346" s="152">
        <f t="shared" si="1"/>
        <v>0.80730623694675174</v>
      </c>
      <c r="O346" s="50">
        <v>1273910102</v>
      </c>
      <c r="P346" s="152">
        <f t="shared" si="2"/>
        <v>0.12256925815349948</v>
      </c>
      <c r="Q346" s="50">
        <v>1273910102</v>
      </c>
    </row>
    <row r="347" spans="1:17" hidden="1" x14ac:dyDescent="0.25">
      <c r="A347" s="49" t="s">
        <v>707</v>
      </c>
      <c r="B347" s="49" t="s">
        <v>366</v>
      </c>
      <c r="C347" s="49" t="s">
        <v>367</v>
      </c>
      <c r="D347" s="49" t="s">
        <v>69</v>
      </c>
      <c r="E347" s="50">
        <v>666000000</v>
      </c>
      <c r="F347" s="50">
        <v>666000000</v>
      </c>
      <c r="G347" s="50">
        <v>666000000</v>
      </c>
      <c r="H347" s="50">
        <v>0</v>
      </c>
      <c r="I347" s="50">
        <v>149850000</v>
      </c>
      <c r="J347" s="50">
        <v>0</v>
      </c>
      <c r="K347" s="50">
        <v>499500000</v>
      </c>
      <c r="L347" s="152">
        <f t="shared" si="0"/>
        <v>0.75</v>
      </c>
      <c r="M347" s="50">
        <v>499500000</v>
      </c>
      <c r="N347" s="152">
        <f t="shared" si="1"/>
        <v>0.75</v>
      </c>
      <c r="O347" s="50">
        <v>16650000</v>
      </c>
      <c r="P347" s="152">
        <f t="shared" si="2"/>
        <v>2.5000000000000001E-2</v>
      </c>
      <c r="Q347" s="50">
        <v>16650000</v>
      </c>
    </row>
    <row r="348" spans="1:17" hidden="1" x14ac:dyDescent="0.25">
      <c r="A348" s="49" t="s">
        <v>707</v>
      </c>
      <c r="B348" s="49" t="s">
        <v>368</v>
      </c>
      <c r="C348" s="49" t="s">
        <v>369</v>
      </c>
      <c r="D348" s="49" t="s">
        <v>69</v>
      </c>
      <c r="E348" s="50">
        <v>666000000</v>
      </c>
      <c r="F348" s="50">
        <v>666000000</v>
      </c>
      <c r="G348" s="50">
        <v>666000000</v>
      </c>
      <c r="H348" s="50">
        <v>0</v>
      </c>
      <c r="I348" s="50">
        <v>149850000</v>
      </c>
      <c r="J348" s="50">
        <v>0</v>
      </c>
      <c r="K348" s="50">
        <v>499500000</v>
      </c>
      <c r="L348" s="152">
        <f t="shared" si="0"/>
        <v>0.75</v>
      </c>
      <c r="M348" s="50">
        <v>499500000</v>
      </c>
      <c r="N348" s="152">
        <f t="shared" si="1"/>
        <v>0.75</v>
      </c>
      <c r="O348" s="50">
        <v>16650000</v>
      </c>
      <c r="P348" s="152">
        <f t="shared" si="2"/>
        <v>2.5000000000000001E-2</v>
      </c>
      <c r="Q348" s="50">
        <v>16650000</v>
      </c>
    </row>
    <row r="349" spans="1:17" hidden="1" x14ac:dyDescent="0.25">
      <c r="A349" s="49" t="s">
        <v>707</v>
      </c>
      <c r="B349" s="49" t="s">
        <v>260</v>
      </c>
      <c r="C349" s="49" t="s">
        <v>261</v>
      </c>
      <c r="D349" s="49" t="s">
        <v>69</v>
      </c>
      <c r="E349" s="50">
        <v>1271503122</v>
      </c>
      <c r="F349" s="50">
        <v>1271503122</v>
      </c>
      <c r="G349" s="50">
        <v>1271503122</v>
      </c>
      <c r="H349" s="50">
        <v>0</v>
      </c>
      <c r="I349" s="50">
        <v>83755776.890000001</v>
      </c>
      <c r="J349" s="50">
        <v>0</v>
      </c>
      <c r="K349" s="50">
        <v>493968578.47000003</v>
      </c>
      <c r="L349" s="152">
        <f t="shared" si="0"/>
        <v>0.38849183295202322</v>
      </c>
      <c r="M349" s="50">
        <v>493968578.47000003</v>
      </c>
      <c r="N349" s="152">
        <f t="shared" si="1"/>
        <v>0.38849183295202322</v>
      </c>
      <c r="O349" s="50">
        <v>693778766.63999999</v>
      </c>
      <c r="P349" s="152">
        <f t="shared" si="2"/>
        <v>0.54563669930178904</v>
      </c>
      <c r="Q349" s="50">
        <v>693778766.63999999</v>
      </c>
    </row>
    <row r="350" spans="1:17" hidden="1" x14ac:dyDescent="0.25">
      <c r="A350" s="49" t="s">
        <v>707</v>
      </c>
      <c r="B350" s="49" t="s">
        <v>262</v>
      </c>
      <c r="C350" s="49" t="s">
        <v>263</v>
      </c>
      <c r="D350" s="49" t="s">
        <v>69</v>
      </c>
      <c r="E350" s="50">
        <v>1000003122</v>
      </c>
      <c r="F350" s="50">
        <v>1000003122</v>
      </c>
      <c r="G350" s="50">
        <v>1000003122</v>
      </c>
      <c r="H350" s="50">
        <v>0</v>
      </c>
      <c r="I350" s="50">
        <v>83755776.890000001</v>
      </c>
      <c r="J350" s="50">
        <v>0</v>
      </c>
      <c r="K350" s="50">
        <v>366245003.11000001</v>
      </c>
      <c r="L350" s="152">
        <f t="shared" si="0"/>
        <v>0.36624385969667006</v>
      </c>
      <c r="M350" s="50">
        <v>366245003.11000001</v>
      </c>
      <c r="N350" s="152">
        <f t="shared" si="1"/>
        <v>0.36624385969667006</v>
      </c>
      <c r="O350" s="50">
        <v>550002342</v>
      </c>
      <c r="P350" s="152">
        <f t="shared" si="2"/>
        <v>0.55000062489804902</v>
      </c>
      <c r="Q350" s="50">
        <v>550002342</v>
      </c>
    </row>
    <row r="351" spans="1:17" hidden="1" x14ac:dyDescent="0.25">
      <c r="A351" s="49" t="s">
        <v>707</v>
      </c>
      <c r="B351" s="49" t="s">
        <v>264</v>
      </c>
      <c r="C351" s="49" t="s">
        <v>265</v>
      </c>
      <c r="D351" s="49" t="s">
        <v>69</v>
      </c>
      <c r="E351" s="50">
        <v>271500000</v>
      </c>
      <c r="F351" s="50">
        <v>271500000</v>
      </c>
      <c r="G351" s="50">
        <v>271500000</v>
      </c>
      <c r="H351" s="50">
        <v>0</v>
      </c>
      <c r="I351" s="50">
        <v>0</v>
      </c>
      <c r="J351" s="50">
        <v>0</v>
      </c>
      <c r="K351" s="50">
        <v>127723575.36</v>
      </c>
      <c r="L351" s="152">
        <f t="shared" si="0"/>
        <v>0.47043674165745858</v>
      </c>
      <c r="M351" s="50">
        <v>127723575.36</v>
      </c>
      <c r="N351" s="152">
        <f t="shared" si="1"/>
        <v>0.47043674165745858</v>
      </c>
      <c r="O351" s="50">
        <v>143776424.63999999</v>
      </c>
      <c r="P351" s="152">
        <f t="shared" si="2"/>
        <v>0.52956325834254137</v>
      </c>
      <c r="Q351" s="50">
        <v>143776424.63999999</v>
      </c>
    </row>
    <row r="352" spans="1:17" hidden="1" x14ac:dyDescent="0.25">
      <c r="A352" s="49" t="s">
        <v>707</v>
      </c>
      <c r="B352" s="49" t="s">
        <v>286</v>
      </c>
      <c r="C352" s="49" t="s">
        <v>287</v>
      </c>
      <c r="D352" s="49" t="s">
        <v>69</v>
      </c>
      <c r="E352" s="50">
        <v>150000000</v>
      </c>
      <c r="F352" s="50">
        <v>150000000</v>
      </c>
      <c r="G352" s="50">
        <v>150000000</v>
      </c>
      <c r="H352" s="50">
        <v>0</v>
      </c>
      <c r="I352" s="50">
        <v>54201702.100000001</v>
      </c>
      <c r="J352" s="50">
        <v>0</v>
      </c>
      <c r="K352" s="50">
        <v>23555480.219999999</v>
      </c>
      <c r="L352" s="152">
        <f t="shared" si="0"/>
        <v>0.15703653479999999</v>
      </c>
      <c r="M352" s="50">
        <v>23555480.219999999</v>
      </c>
      <c r="N352" s="152">
        <f t="shared" si="1"/>
        <v>0.15703653479999999</v>
      </c>
      <c r="O352" s="50">
        <v>72242817.680000007</v>
      </c>
      <c r="P352" s="152">
        <f t="shared" si="2"/>
        <v>0.4816187845333334</v>
      </c>
      <c r="Q352" s="50">
        <v>72242817.680000007</v>
      </c>
    </row>
    <row r="353" spans="1:17" hidden="1" x14ac:dyDescent="0.25">
      <c r="A353" s="49" t="s">
        <v>707</v>
      </c>
      <c r="B353" s="49" t="s">
        <v>288</v>
      </c>
      <c r="C353" s="49" t="s">
        <v>289</v>
      </c>
      <c r="D353" s="49" t="s">
        <v>69</v>
      </c>
      <c r="E353" s="50">
        <v>100000000</v>
      </c>
      <c r="F353" s="50">
        <v>100000000</v>
      </c>
      <c r="G353" s="50">
        <v>100000000</v>
      </c>
      <c r="H353" s="50">
        <v>0</v>
      </c>
      <c r="I353" s="50">
        <v>47368336.640000001</v>
      </c>
      <c r="J353" s="50">
        <v>0</v>
      </c>
      <c r="K353" s="50">
        <v>2888845.68</v>
      </c>
      <c r="L353" s="152">
        <f t="shared" si="0"/>
        <v>2.88884568E-2</v>
      </c>
      <c r="M353" s="50">
        <v>2888845.68</v>
      </c>
      <c r="N353" s="152">
        <f t="shared" si="1"/>
        <v>2.88884568E-2</v>
      </c>
      <c r="O353" s="50">
        <v>49742817.68</v>
      </c>
      <c r="P353" s="152">
        <f t="shared" si="2"/>
        <v>0.49742817680000001</v>
      </c>
      <c r="Q353" s="50">
        <v>49742817.68</v>
      </c>
    </row>
    <row r="354" spans="1:17" hidden="1" x14ac:dyDescent="0.25">
      <c r="A354" s="49" t="s">
        <v>707</v>
      </c>
      <c r="B354" s="49" t="s">
        <v>370</v>
      </c>
      <c r="C354" s="49" t="s">
        <v>371</v>
      </c>
      <c r="D354" s="49" t="s">
        <v>69</v>
      </c>
      <c r="E354" s="50">
        <v>50000000</v>
      </c>
      <c r="F354" s="50">
        <v>50000000</v>
      </c>
      <c r="G354" s="50">
        <v>50000000</v>
      </c>
      <c r="H354" s="50">
        <v>0</v>
      </c>
      <c r="I354" s="50">
        <v>6833365.46</v>
      </c>
      <c r="J354" s="50">
        <v>0</v>
      </c>
      <c r="K354" s="50">
        <v>20666634.539999999</v>
      </c>
      <c r="L354" s="152">
        <f t="shared" si="0"/>
        <v>0.41333269079999996</v>
      </c>
      <c r="M354" s="50">
        <v>20666634.539999999</v>
      </c>
      <c r="N354" s="152">
        <f t="shared" si="1"/>
        <v>0.41333269079999996</v>
      </c>
      <c r="O354" s="50">
        <v>22500000</v>
      </c>
      <c r="P354" s="152">
        <f t="shared" si="2"/>
        <v>0.45</v>
      </c>
      <c r="Q354" s="50">
        <v>22500000</v>
      </c>
    </row>
    <row r="355" spans="1:17" hidden="1" x14ac:dyDescent="0.25">
      <c r="A355" s="49" t="s">
        <v>707</v>
      </c>
      <c r="B355" s="49" t="s">
        <v>230</v>
      </c>
      <c r="C355" s="49" t="s">
        <v>231</v>
      </c>
      <c r="D355" s="49" t="s">
        <v>85</v>
      </c>
      <c r="E355" s="50">
        <v>2053989952</v>
      </c>
      <c r="F355" s="50">
        <v>2052989131</v>
      </c>
      <c r="G355" s="50">
        <v>1885172702.24</v>
      </c>
      <c r="H355" s="50">
        <v>90899469.329999998</v>
      </c>
      <c r="I355" s="50">
        <v>426701231.42000002</v>
      </c>
      <c r="J355" s="50">
        <v>45037069.079999998</v>
      </c>
      <c r="K355" s="50">
        <v>928396899.49000001</v>
      </c>
      <c r="L355" s="152">
        <f t="shared" si="0"/>
        <v>0.45221715277069335</v>
      </c>
      <c r="M355" s="50">
        <v>879654295.13</v>
      </c>
      <c r="N355" s="152">
        <f t="shared" si="1"/>
        <v>0.42847489148738216</v>
      </c>
      <c r="O355" s="50">
        <v>561954461.67999995</v>
      </c>
      <c r="P355" s="152">
        <f t="shared" si="2"/>
        <v>0.27372500574626762</v>
      </c>
      <c r="Q355" s="50">
        <v>394138032.92000002</v>
      </c>
    </row>
    <row r="356" spans="1:17" hidden="1" x14ac:dyDescent="0.25">
      <c r="A356" s="49" t="s">
        <v>707</v>
      </c>
      <c r="B356" s="49" t="s">
        <v>232</v>
      </c>
      <c r="C356" s="49" t="s">
        <v>233</v>
      </c>
      <c r="D356" s="49" t="s">
        <v>85</v>
      </c>
      <c r="E356" s="50">
        <v>1511257014</v>
      </c>
      <c r="F356" s="50">
        <v>1463751731</v>
      </c>
      <c r="G356" s="50">
        <v>1296761440.8800001</v>
      </c>
      <c r="H356" s="50">
        <v>1134500</v>
      </c>
      <c r="I356" s="50">
        <v>223795167.18000001</v>
      </c>
      <c r="J356" s="50">
        <v>45037069.079999998</v>
      </c>
      <c r="K356" s="50">
        <v>922376265.74000001</v>
      </c>
      <c r="L356" s="152">
        <f t="shared" si="0"/>
        <v>0.63014529459162771</v>
      </c>
      <c r="M356" s="50">
        <v>873633661.38</v>
      </c>
      <c r="N356" s="152">
        <f t="shared" si="1"/>
        <v>0.59684551886620452</v>
      </c>
      <c r="O356" s="50">
        <v>271408729</v>
      </c>
      <c r="P356" s="152">
        <f t="shared" si="2"/>
        <v>0.18541992009435923</v>
      </c>
      <c r="Q356" s="50">
        <v>104418438.88</v>
      </c>
    </row>
    <row r="357" spans="1:17" hidden="1" x14ac:dyDescent="0.25">
      <c r="A357" s="49" t="s">
        <v>707</v>
      </c>
      <c r="B357" s="49" t="s">
        <v>234</v>
      </c>
      <c r="C357" s="49" t="s">
        <v>235</v>
      </c>
      <c r="D357" s="49" t="s">
        <v>85</v>
      </c>
      <c r="E357" s="50">
        <v>46000000</v>
      </c>
      <c r="F357" s="50">
        <v>46000000</v>
      </c>
      <c r="G357" s="50">
        <v>38692637.880000003</v>
      </c>
      <c r="H357" s="50">
        <v>0</v>
      </c>
      <c r="I357" s="50">
        <v>34130572.100000001</v>
      </c>
      <c r="J357" s="50">
        <v>0</v>
      </c>
      <c r="K357" s="50">
        <v>3750136.65</v>
      </c>
      <c r="L357" s="152">
        <f t="shared" si="0"/>
        <v>8.1524709782608687E-2</v>
      </c>
      <c r="M357" s="50">
        <v>3750136.65</v>
      </c>
      <c r="N357" s="152">
        <f t="shared" si="1"/>
        <v>8.1524709782608687E-2</v>
      </c>
      <c r="O357" s="50">
        <v>8119291.25</v>
      </c>
      <c r="P357" s="152">
        <f t="shared" si="2"/>
        <v>0.17650633152173914</v>
      </c>
      <c r="Q357" s="50">
        <v>811929.13</v>
      </c>
    </row>
    <row r="358" spans="1:17" hidden="1" x14ac:dyDescent="0.25">
      <c r="A358" s="49" t="s">
        <v>707</v>
      </c>
      <c r="B358" s="49" t="s">
        <v>324</v>
      </c>
      <c r="C358" s="49" t="s">
        <v>325</v>
      </c>
      <c r="D358" s="49" t="s">
        <v>85</v>
      </c>
      <c r="E358" s="50">
        <v>0</v>
      </c>
      <c r="F358" s="50">
        <v>815400</v>
      </c>
      <c r="G358" s="50">
        <v>815400</v>
      </c>
      <c r="H358" s="50">
        <v>0</v>
      </c>
      <c r="I358" s="50">
        <v>815400</v>
      </c>
      <c r="J358" s="50">
        <v>0</v>
      </c>
      <c r="K358" s="50">
        <v>0</v>
      </c>
      <c r="L358" s="152">
        <f t="shared" si="0"/>
        <v>0</v>
      </c>
      <c r="M358" s="50">
        <v>0</v>
      </c>
      <c r="N358" s="152">
        <f t="shared" si="1"/>
        <v>0</v>
      </c>
      <c r="O358" s="50">
        <v>0</v>
      </c>
      <c r="P358" s="152">
        <f t="shared" si="2"/>
        <v>0</v>
      </c>
      <c r="Q358" s="50">
        <v>0</v>
      </c>
    </row>
    <row r="359" spans="1:17" hidden="1" x14ac:dyDescent="0.25">
      <c r="A359" s="49" t="s">
        <v>707</v>
      </c>
      <c r="B359" s="49" t="s">
        <v>236</v>
      </c>
      <c r="C359" s="49" t="s">
        <v>237</v>
      </c>
      <c r="D359" s="49" t="s">
        <v>85</v>
      </c>
      <c r="E359" s="50">
        <v>302703422</v>
      </c>
      <c r="F359" s="50">
        <v>287003422</v>
      </c>
      <c r="G359" s="50">
        <v>284269894</v>
      </c>
      <c r="H359" s="50">
        <v>0</v>
      </c>
      <c r="I359" s="50">
        <v>3718716.02</v>
      </c>
      <c r="J359" s="50">
        <v>0</v>
      </c>
      <c r="K359" s="50">
        <v>258615757.62</v>
      </c>
      <c r="L359" s="152">
        <f t="shared" si="0"/>
        <v>0.90108945676612873</v>
      </c>
      <c r="M359" s="50">
        <v>258615757.62</v>
      </c>
      <c r="N359" s="152">
        <f t="shared" si="1"/>
        <v>0.90108945676612873</v>
      </c>
      <c r="O359" s="50">
        <v>24668948.359999999</v>
      </c>
      <c r="P359" s="152">
        <f t="shared" si="2"/>
        <v>8.5953499049220394E-2</v>
      </c>
      <c r="Q359" s="50">
        <v>21935420.359999999</v>
      </c>
    </row>
    <row r="360" spans="1:17" hidden="1" x14ac:dyDescent="0.25">
      <c r="A360" s="49" t="s">
        <v>707</v>
      </c>
      <c r="B360" s="49" t="s">
        <v>238</v>
      </c>
      <c r="C360" s="49" t="s">
        <v>239</v>
      </c>
      <c r="D360" s="49" t="s">
        <v>85</v>
      </c>
      <c r="E360" s="50">
        <v>68995579</v>
      </c>
      <c r="F360" s="50">
        <v>122129459</v>
      </c>
      <c r="G360" s="50">
        <v>122014297</v>
      </c>
      <c r="H360" s="50">
        <v>734500</v>
      </c>
      <c r="I360" s="50">
        <v>12461545.32</v>
      </c>
      <c r="J360" s="50">
        <v>34548750</v>
      </c>
      <c r="K360" s="50">
        <v>62113881.469999999</v>
      </c>
      <c r="L360" s="152">
        <f t="shared" si="0"/>
        <v>0.50859049060390904</v>
      </c>
      <c r="M360" s="50">
        <v>54073931.469999999</v>
      </c>
      <c r="N360" s="152">
        <f t="shared" si="1"/>
        <v>0.44275911735595258</v>
      </c>
      <c r="O360" s="50">
        <v>12270782.210000001</v>
      </c>
      <c r="P360" s="152">
        <f t="shared" si="2"/>
        <v>0.10047356559566846</v>
      </c>
      <c r="Q360" s="50">
        <v>12155620.210000001</v>
      </c>
    </row>
    <row r="361" spans="1:17" hidden="1" x14ac:dyDescent="0.25">
      <c r="A361" s="49" t="s">
        <v>707</v>
      </c>
      <c r="B361" s="49" t="s">
        <v>282</v>
      </c>
      <c r="C361" s="49" t="s">
        <v>283</v>
      </c>
      <c r="D361" s="49" t="s">
        <v>85</v>
      </c>
      <c r="E361" s="50">
        <v>100000000</v>
      </c>
      <c r="F361" s="50">
        <v>100000000</v>
      </c>
      <c r="G361" s="50">
        <v>100000000</v>
      </c>
      <c r="H361" s="50">
        <v>400000</v>
      </c>
      <c r="I361" s="50">
        <v>39796324.899999999</v>
      </c>
      <c r="J361" s="50">
        <v>0</v>
      </c>
      <c r="K361" s="50">
        <v>57151159.82</v>
      </c>
      <c r="L361" s="152">
        <f t="shared" si="0"/>
        <v>0.57151159819999997</v>
      </c>
      <c r="M361" s="50">
        <v>50942100.170000002</v>
      </c>
      <c r="N361" s="152">
        <f t="shared" si="1"/>
        <v>0.50942100170000004</v>
      </c>
      <c r="O361" s="50">
        <v>2652515.2799999998</v>
      </c>
      <c r="P361" s="152">
        <f t="shared" si="2"/>
        <v>2.6525152799999997E-2</v>
      </c>
      <c r="Q361" s="50">
        <v>2652515.2799999998</v>
      </c>
    </row>
    <row r="362" spans="1:17" hidden="1" x14ac:dyDescent="0.25">
      <c r="A362" s="49" t="s">
        <v>707</v>
      </c>
      <c r="B362" s="49" t="s">
        <v>326</v>
      </c>
      <c r="C362" s="49" t="s">
        <v>327</v>
      </c>
      <c r="D362" s="49" t="s">
        <v>85</v>
      </c>
      <c r="E362" s="50">
        <v>1200000</v>
      </c>
      <c r="F362" s="50">
        <v>1200000</v>
      </c>
      <c r="G362" s="50">
        <v>1200000</v>
      </c>
      <c r="H362" s="50">
        <v>0</v>
      </c>
      <c r="I362" s="50">
        <v>0</v>
      </c>
      <c r="J362" s="50">
        <v>888319.08</v>
      </c>
      <c r="K362" s="50">
        <v>39000</v>
      </c>
      <c r="L362" s="152">
        <f t="shared" si="0"/>
        <v>3.2500000000000001E-2</v>
      </c>
      <c r="M362" s="50">
        <v>39000</v>
      </c>
      <c r="N362" s="152">
        <f t="shared" si="1"/>
        <v>3.2500000000000001E-2</v>
      </c>
      <c r="O362" s="50">
        <v>272680.92</v>
      </c>
      <c r="P362" s="152">
        <f t="shared" si="2"/>
        <v>0.22723409999999999</v>
      </c>
      <c r="Q362" s="50">
        <v>272680.92</v>
      </c>
    </row>
    <row r="363" spans="1:17" hidden="1" x14ac:dyDescent="0.25">
      <c r="A363" s="49" t="s">
        <v>707</v>
      </c>
      <c r="B363" s="49" t="s">
        <v>240</v>
      </c>
      <c r="C363" s="49" t="s">
        <v>241</v>
      </c>
      <c r="D363" s="49" t="s">
        <v>85</v>
      </c>
      <c r="E363" s="50">
        <v>2700000</v>
      </c>
      <c r="F363" s="50">
        <v>2700000</v>
      </c>
      <c r="G363" s="50">
        <v>2700000</v>
      </c>
      <c r="H363" s="50">
        <v>0</v>
      </c>
      <c r="I363" s="50">
        <v>2575676.65</v>
      </c>
      <c r="J363" s="50">
        <v>0</v>
      </c>
      <c r="K363" s="50">
        <v>0</v>
      </c>
      <c r="L363" s="152">
        <f t="shared" si="0"/>
        <v>0</v>
      </c>
      <c r="M363" s="50">
        <v>0</v>
      </c>
      <c r="N363" s="152">
        <f t="shared" si="1"/>
        <v>0</v>
      </c>
      <c r="O363" s="50">
        <v>124323.35</v>
      </c>
      <c r="P363" s="152">
        <f t="shared" si="2"/>
        <v>4.6045685185185189E-2</v>
      </c>
      <c r="Q363" s="50">
        <v>124323.35</v>
      </c>
    </row>
    <row r="364" spans="1:17" hidden="1" x14ac:dyDescent="0.25">
      <c r="A364" s="49" t="s">
        <v>707</v>
      </c>
      <c r="B364" s="49" t="s">
        <v>242</v>
      </c>
      <c r="C364" s="49" t="s">
        <v>243</v>
      </c>
      <c r="D364" s="49" t="s">
        <v>85</v>
      </c>
      <c r="E364" s="50">
        <v>989658013</v>
      </c>
      <c r="F364" s="50">
        <v>903903450</v>
      </c>
      <c r="G364" s="50">
        <v>747069212</v>
      </c>
      <c r="H364" s="50">
        <v>0</v>
      </c>
      <c r="I364" s="50">
        <v>130296932.19</v>
      </c>
      <c r="J364" s="50">
        <v>9600000</v>
      </c>
      <c r="K364" s="50">
        <v>540706330.17999995</v>
      </c>
      <c r="L364" s="152">
        <f t="shared" si="0"/>
        <v>0.59819036002130532</v>
      </c>
      <c r="M364" s="50">
        <v>506212735.47000003</v>
      </c>
      <c r="N364" s="152">
        <f t="shared" si="1"/>
        <v>0.56002965302322949</v>
      </c>
      <c r="O364" s="50">
        <v>223300187.63</v>
      </c>
      <c r="P364" s="152">
        <f t="shared" si="2"/>
        <v>0.24703986651450438</v>
      </c>
      <c r="Q364" s="50">
        <v>66465949.630000003</v>
      </c>
    </row>
    <row r="365" spans="1:17" hidden="1" x14ac:dyDescent="0.25">
      <c r="A365" s="49" t="s">
        <v>707</v>
      </c>
      <c r="B365" s="49" t="s">
        <v>328</v>
      </c>
      <c r="C365" s="49" t="s">
        <v>329</v>
      </c>
      <c r="D365" s="49" t="s">
        <v>85</v>
      </c>
      <c r="E365" s="50">
        <v>94148000</v>
      </c>
      <c r="F365" s="50">
        <v>94148000</v>
      </c>
      <c r="G365" s="50">
        <v>93321861.359999999</v>
      </c>
      <c r="H365" s="50">
        <v>89764969.329999998</v>
      </c>
      <c r="I365" s="50">
        <v>0</v>
      </c>
      <c r="J365" s="50">
        <v>0</v>
      </c>
      <c r="K365" s="50">
        <v>3465098.52</v>
      </c>
      <c r="L365" s="152">
        <f t="shared" si="0"/>
        <v>3.6804802226282025E-2</v>
      </c>
      <c r="M365" s="50">
        <v>3465098.52</v>
      </c>
      <c r="N365" s="152">
        <f t="shared" si="1"/>
        <v>3.6804802226282025E-2</v>
      </c>
      <c r="O365" s="50">
        <v>917932.15</v>
      </c>
      <c r="P365" s="152">
        <f t="shared" si="2"/>
        <v>9.7498847559162171E-3</v>
      </c>
      <c r="Q365" s="50">
        <v>91793.51</v>
      </c>
    </row>
    <row r="366" spans="1:17" hidden="1" x14ac:dyDescent="0.25">
      <c r="A366" s="49" t="s">
        <v>707</v>
      </c>
      <c r="B366" s="49" t="s">
        <v>330</v>
      </c>
      <c r="C366" s="49" t="s">
        <v>331</v>
      </c>
      <c r="D366" s="49" t="s">
        <v>85</v>
      </c>
      <c r="E366" s="50">
        <v>92800000</v>
      </c>
      <c r="F366" s="50">
        <v>92800000</v>
      </c>
      <c r="G366" s="50">
        <v>92800000</v>
      </c>
      <c r="H366" s="50">
        <v>89764969.329999998</v>
      </c>
      <c r="I366" s="50">
        <v>0</v>
      </c>
      <c r="J366" s="50">
        <v>0</v>
      </c>
      <c r="K366" s="50">
        <v>3035030.34</v>
      </c>
      <c r="L366" s="152">
        <f t="shared" si="0"/>
        <v>3.2705068318965518E-2</v>
      </c>
      <c r="M366" s="50">
        <v>3035030.34</v>
      </c>
      <c r="N366" s="152">
        <f t="shared" si="1"/>
        <v>3.2705068318965518E-2</v>
      </c>
      <c r="O366" s="50">
        <v>0.33</v>
      </c>
      <c r="P366" s="152">
        <f t="shared" si="2"/>
        <v>3.5560344827586207E-9</v>
      </c>
      <c r="Q366" s="50">
        <v>0.33</v>
      </c>
    </row>
    <row r="367" spans="1:17" hidden="1" x14ac:dyDescent="0.25">
      <c r="A367" s="49" t="s">
        <v>707</v>
      </c>
      <c r="B367" s="49" t="s">
        <v>358</v>
      </c>
      <c r="C367" s="49" t="s">
        <v>359</v>
      </c>
      <c r="D367" s="49" t="s">
        <v>85</v>
      </c>
      <c r="E367" s="50">
        <v>1348000</v>
      </c>
      <c r="F367" s="50">
        <v>1348000</v>
      </c>
      <c r="G367" s="50">
        <v>521861.36</v>
      </c>
      <c r="H367" s="50">
        <v>0</v>
      </c>
      <c r="I367" s="50">
        <v>0</v>
      </c>
      <c r="J367" s="50">
        <v>0</v>
      </c>
      <c r="K367" s="50">
        <v>430068.18</v>
      </c>
      <c r="L367" s="152">
        <f t="shared" si="0"/>
        <v>0.31904167655786347</v>
      </c>
      <c r="M367" s="50">
        <v>430068.18</v>
      </c>
      <c r="N367" s="152">
        <f t="shared" si="1"/>
        <v>0.31904167655786347</v>
      </c>
      <c r="O367" s="50">
        <v>917931.82</v>
      </c>
      <c r="P367" s="152">
        <f t="shared" si="2"/>
        <v>0.68095832344213647</v>
      </c>
      <c r="Q367" s="50">
        <v>91793.18</v>
      </c>
    </row>
    <row r="368" spans="1:17" hidden="1" x14ac:dyDescent="0.25">
      <c r="A368" s="49" t="s">
        <v>707</v>
      </c>
      <c r="B368" s="49" t="s">
        <v>244</v>
      </c>
      <c r="C368" s="49" t="s">
        <v>245</v>
      </c>
      <c r="D368" s="49" t="s">
        <v>85</v>
      </c>
      <c r="E368" s="50">
        <v>448584938</v>
      </c>
      <c r="F368" s="50">
        <v>495089400</v>
      </c>
      <c r="G368" s="50">
        <v>495089400</v>
      </c>
      <c r="H368" s="50">
        <v>0</v>
      </c>
      <c r="I368" s="50">
        <v>202906064.24000001</v>
      </c>
      <c r="J368" s="50">
        <v>0</v>
      </c>
      <c r="K368" s="50">
        <v>2555535.23</v>
      </c>
      <c r="L368" s="152">
        <f t="shared" si="0"/>
        <v>5.1617651882670075E-3</v>
      </c>
      <c r="M368" s="50">
        <v>2555535.23</v>
      </c>
      <c r="N368" s="152">
        <f t="shared" si="1"/>
        <v>5.1617651882670075E-3</v>
      </c>
      <c r="O368" s="50">
        <v>289627800.52999997</v>
      </c>
      <c r="P368" s="152">
        <f t="shared" si="2"/>
        <v>0.58500101300896357</v>
      </c>
      <c r="Q368" s="50">
        <v>289627800.52999997</v>
      </c>
    </row>
    <row r="369" spans="1:17" hidden="1" x14ac:dyDescent="0.25">
      <c r="A369" s="49" t="s">
        <v>707</v>
      </c>
      <c r="B369" s="49" t="s">
        <v>246</v>
      </c>
      <c r="C369" s="49" t="s">
        <v>247</v>
      </c>
      <c r="D369" s="49" t="s">
        <v>85</v>
      </c>
      <c r="E369" s="50">
        <v>448584938</v>
      </c>
      <c r="F369" s="50">
        <v>495089400</v>
      </c>
      <c r="G369" s="50">
        <v>495089400</v>
      </c>
      <c r="H369" s="50">
        <v>0</v>
      </c>
      <c r="I369" s="50">
        <v>202906064.24000001</v>
      </c>
      <c r="J369" s="50">
        <v>0</v>
      </c>
      <c r="K369" s="50">
        <v>2555535.23</v>
      </c>
      <c r="L369" s="152">
        <f t="shared" si="0"/>
        <v>5.1617651882670075E-3</v>
      </c>
      <c r="M369" s="50">
        <v>2555535.23</v>
      </c>
      <c r="N369" s="152">
        <f t="shared" si="1"/>
        <v>5.1617651882670075E-3</v>
      </c>
      <c r="O369" s="50">
        <v>289627800.52999997</v>
      </c>
      <c r="P369" s="152">
        <f t="shared" si="2"/>
        <v>0.58500101300896357</v>
      </c>
      <c r="Q369" s="50">
        <v>289627800.52999997</v>
      </c>
    </row>
    <row r="370" spans="1:17" hidden="1" x14ac:dyDescent="0.25">
      <c r="A370" s="49" t="s">
        <v>707</v>
      </c>
      <c r="B370" s="49" t="s">
        <v>372</v>
      </c>
      <c r="C370" s="49" t="s">
        <v>373</v>
      </c>
      <c r="D370" s="49" t="s">
        <v>85</v>
      </c>
      <c r="E370" s="50">
        <v>581400000</v>
      </c>
      <c r="F370" s="50">
        <v>581400000</v>
      </c>
      <c r="G370" s="50">
        <v>581400000</v>
      </c>
      <c r="H370" s="50">
        <v>0</v>
      </c>
      <c r="I370" s="50">
        <v>463152406.95999998</v>
      </c>
      <c r="J370" s="50">
        <v>0</v>
      </c>
      <c r="K370" s="50">
        <v>118247593.04000001</v>
      </c>
      <c r="L370" s="152">
        <f t="shared" si="0"/>
        <v>0.20338423295493638</v>
      </c>
      <c r="M370" s="50">
        <v>118247593.04000001</v>
      </c>
      <c r="N370" s="152">
        <f t="shared" si="1"/>
        <v>0.20338423295493638</v>
      </c>
      <c r="O370" s="50">
        <v>0</v>
      </c>
      <c r="P370" s="152">
        <f t="shared" si="2"/>
        <v>0</v>
      </c>
      <c r="Q370" s="50">
        <v>0</v>
      </c>
    </row>
    <row r="371" spans="1:17" hidden="1" x14ac:dyDescent="0.25">
      <c r="A371" s="49" t="s">
        <v>707</v>
      </c>
      <c r="B371" s="49" t="s">
        <v>374</v>
      </c>
      <c r="C371" s="49" t="s">
        <v>375</v>
      </c>
      <c r="D371" s="49" t="s">
        <v>85</v>
      </c>
      <c r="E371" s="50">
        <v>581400000</v>
      </c>
      <c r="F371" s="50">
        <v>581400000</v>
      </c>
      <c r="G371" s="50">
        <v>581400000</v>
      </c>
      <c r="H371" s="50">
        <v>0</v>
      </c>
      <c r="I371" s="50">
        <v>463152406.95999998</v>
      </c>
      <c r="J371" s="50">
        <v>0</v>
      </c>
      <c r="K371" s="50">
        <v>118247593.04000001</v>
      </c>
      <c r="L371" s="152">
        <f t="shared" si="0"/>
        <v>0.20338423295493638</v>
      </c>
      <c r="M371" s="50">
        <v>118247593.04000001</v>
      </c>
      <c r="N371" s="152">
        <f t="shared" si="1"/>
        <v>0.20338423295493638</v>
      </c>
      <c r="O371" s="50">
        <v>0</v>
      </c>
      <c r="P371" s="152">
        <f t="shared" si="2"/>
        <v>0</v>
      </c>
      <c r="Q371" s="50">
        <v>0</v>
      </c>
    </row>
    <row r="372" spans="1:17" hidden="1" x14ac:dyDescent="0.25">
      <c r="A372" s="49" t="s">
        <v>707</v>
      </c>
      <c r="B372" s="49" t="s">
        <v>674</v>
      </c>
      <c r="C372" s="49" t="s">
        <v>710</v>
      </c>
      <c r="D372" s="49" t="s">
        <v>85</v>
      </c>
      <c r="E372" s="50">
        <v>581400000</v>
      </c>
      <c r="F372" s="50">
        <v>581400000</v>
      </c>
      <c r="G372" s="50">
        <v>581400000</v>
      </c>
      <c r="H372" s="50">
        <v>0</v>
      </c>
      <c r="I372" s="50">
        <v>463152406.95999998</v>
      </c>
      <c r="J372" s="50">
        <v>0</v>
      </c>
      <c r="K372" s="50">
        <v>118247593.04000001</v>
      </c>
      <c r="L372" s="152">
        <f t="shared" si="0"/>
        <v>0.20338423295493638</v>
      </c>
      <c r="M372" s="50">
        <v>118247593.04000001</v>
      </c>
      <c r="N372" s="152">
        <f t="shared" si="1"/>
        <v>0.20338423295493638</v>
      </c>
      <c r="O372" s="50">
        <v>0</v>
      </c>
      <c r="P372" s="152">
        <f t="shared" si="2"/>
        <v>0</v>
      </c>
      <c r="Q372" s="50">
        <v>0</v>
      </c>
    </row>
    <row r="373" spans="1:17" x14ac:dyDescent="0.25">
      <c r="A373" s="49">
        <v>214789001</v>
      </c>
      <c r="B373" s="49"/>
      <c r="C373" s="49"/>
      <c r="D373" s="49" t="s">
        <v>69</v>
      </c>
      <c r="E373" s="50">
        <v>27896892306</v>
      </c>
      <c r="F373" s="50">
        <v>27565207857</v>
      </c>
      <c r="G373" s="50">
        <v>27451956452.720001</v>
      </c>
      <c r="H373" s="50">
        <v>903102960.88</v>
      </c>
      <c r="I373" s="50">
        <v>1308543194.1199999</v>
      </c>
      <c r="J373" s="50">
        <v>3981836.43</v>
      </c>
      <c r="K373" s="50">
        <v>18639840292.529999</v>
      </c>
      <c r="L373" s="152">
        <f t="shared" si="0"/>
        <v>0.67620895112519663</v>
      </c>
      <c r="M373" s="50">
        <v>18617591489.009998</v>
      </c>
      <c r="N373" s="152">
        <f t="shared" si="1"/>
        <v>0.67540181759529838</v>
      </c>
      <c r="O373" s="50">
        <v>6709739573.04</v>
      </c>
      <c r="P373" s="152">
        <f t="shared" si="2"/>
        <v>0.24341334946023657</v>
      </c>
      <c r="Q373" s="50">
        <v>6596488168.7600002</v>
      </c>
    </row>
    <row r="374" spans="1:17" hidden="1" x14ac:dyDescent="0.25">
      <c r="A374" s="49" t="s">
        <v>711</v>
      </c>
      <c r="B374" s="49" t="s">
        <v>71</v>
      </c>
      <c r="C374" s="49" t="s">
        <v>72</v>
      </c>
      <c r="D374" s="49" t="s">
        <v>69</v>
      </c>
      <c r="E374" s="50">
        <v>13888392480</v>
      </c>
      <c r="F374" s="50">
        <v>13554210603</v>
      </c>
      <c r="G374" s="50">
        <v>13510210603</v>
      </c>
      <c r="H374" s="50">
        <v>0</v>
      </c>
      <c r="I374" s="50">
        <v>583709331</v>
      </c>
      <c r="J374" s="50">
        <v>0</v>
      </c>
      <c r="K374" s="50">
        <v>9694843797.4099998</v>
      </c>
      <c r="L374" s="152">
        <f t="shared" si="0"/>
        <v>0.71526436185551123</v>
      </c>
      <c r="M374" s="50">
        <v>9694843797.4099998</v>
      </c>
      <c r="N374" s="152">
        <f t="shared" si="1"/>
        <v>0.71526436185551123</v>
      </c>
      <c r="O374" s="50">
        <v>3275657474.5900002</v>
      </c>
      <c r="P374" s="152">
        <f t="shared" si="2"/>
        <v>0.24167084093152483</v>
      </c>
      <c r="Q374" s="50">
        <v>3231657474.5900002</v>
      </c>
    </row>
    <row r="375" spans="1:17" hidden="1" x14ac:dyDescent="0.25">
      <c r="A375" s="49" t="s">
        <v>711</v>
      </c>
      <c r="B375" s="49" t="s">
        <v>73</v>
      </c>
      <c r="C375" s="49" t="s">
        <v>74</v>
      </c>
      <c r="D375" s="49" t="s">
        <v>69</v>
      </c>
      <c r="E375" s="50">
        <v>5229936552</v>
      </c>
      <c r="F375" s="50">
        <v>5032025148</v>
      </c>
      <c r="G375" s="50">
        <v>5032025148</v>
      </c>
      <c r="H375" s="50">
        <v>0</v>
      </c>
      <c r="I375" s="50">
        <v>0</v>
      </c>
      <c r="J375" s="50">
        <v>0</v>
      </c>
      <c r="K375" s="50">
        <v>3948339191.1500001</v>
      </c>
      <c r="L375" s="152">
        <f t="shared" si="0"/>
        <v>0.78464218182997048</v>
      </c>
      <c r="M375" s="50">
        <v>3948339191.1500001</v>
      </c>
      <c r="N375" s="152">
        <f t="shared" si="1"/>
        <v>0.78464218182997048</v>
      </c>
      <c r="O375" s="50">
        <v>1083685956.8499999</v>
      </c>
      <c r="P375" s="152">
        <f t="shared" si="2"/>
        <v>0.21535781817002952</v>
      </c>
      <c r="Q375" s="50">
        <v>1083685956.8499999</v>
      </c>
    </row>
    <row r="376" spans="1:17" hidden="1" x14ac:dyDescent="0.25">
      <c r="A376" s="49" t="s">
        <v>711</v>
      </c>
      <c r="B376" s="49" t="s">
        <v>75</v>
      </c>
      <c r="C376" s="49" t="s">
        <v>76</v>
      </c>
      <c r="D376" s="49" t="s">
        <v>69</v>
      </c>
      <c r="E376" s="50">
        <v>5229936552</v>
      </c>
      <c r="F376" s="50">
        <v>5032025148</v>
      </c>
      <c r="G376" s="50">
        <v>5032025148</v>
      </c>
      <c r="H376" s="50">
        <v>0</v>
      </c>
      <c r="I376" s="50">
        <v>0</v>
      </c>
      <c r="J376" s="50">
        <v>0</v>
      </c>
      <c r="K376" s="50">
        <v>3948339191.1500001</v>
      </c>
      <c r="L376" s="152">
        <f t="shared" si="0"/>
        <v>0.78464218182997048</v>
      </c>
      <c r="M376" s="50">
        <v>3948339191.1500001</v>
      </c>
      <c r="N376" s="152">
        <f t="shared" si="1"/>
        <v>0.78464218182997048</v>
      </c>
      <c r="O376" s="50">
        <v>1083685956.8499999</v>
      </c>
      <c r="P376" s="152">
        <f t="shared" si="2"/>
        <v>0.21535781817002952</v>
      </c>
      <c r="Q376" s="50">
        <v>1083685956.8499999</v>
      </c>
    </row>
    <row r="377" spans="1:17" hidden="1" x14ac:dyDescent="0.25">
      <c r="A377" s="49" t="s">
        <v>711</v>
      </c>
      <c r="B377" s="49" t="s">
        <v>293</v>
      </c>
      <c r="C377" s="49" t="s">
        <v>294</v>
      </c>
      <c r="D377" s="49" t="s">
        <v>69</v>
      </c>
      <c r="E377" s="50">
        <v>26335200</v>
      </c>
      <c r="F377" s="50">
        <v>26335200</v>
      </c>
      <c r="G377" s="50">
        <v>26335200</v>
      </c>
      <c r="H377" s="50">
        <v>0</v>
      </c>
      <c r="I377" s="50">
        <v>0</v>
      </c>
      <c r="J377" s="50">
        <v>0</v>
      </c>
      <c r="K377" s="50">
        <v>4199753.17</v>
      </c>
      <c r="L377" s="152">
        <f t="shared" si="0"/>
        <v>0.15947299318023025</v>
      </c>
      <c r="M377" s="50">
        <v>4199753.17</v>
      </c>
      <c r="N377" s="152">
        <f t="shared" si="1"/>
        <v>0.15947299318023025</v>
      </c>
      <c r="O377" s="50">
        <v>22135446.829999998</v>
      </c>
      <c r="P377" s="152">
        <f t="shared" si="2"/>
        <v>0.84052700681976966</v>
      </c>
      <c r="Q377" s="50">
        <v>22135446.829999998</v>
      </c>
    </row>
    <row r="378" spans="1:17" hidden="1" x14ac:dyDescent="0.25">
      <c r="A378" s="49" t="s">
        <v>711</v>
      </c>
      <c r="B378" s="49" t="s">
        <v>339</v>
      </c>
      <c r="C378" s="49" t="s">
        <v>340</v>
      </c>
      <c r="D378" s="49" t="s">
        <v>69</v>
      </c>
      <c r="E378" s="50">
        <v>26335200</v>
      </c>
      <c r="F378" s="50">
        <v>26335200</v>
      </c>
      <c r="G378" s="50">
        <v>26335200</v>
      </c>
      <c r="H378" s="50">
        <v>0</v>
      </c>
      <c r="I378" s="50">
        <v>0</v>
      </c>
      <c r="J378" s="50">
        <v>0</v>
      </c>
      <c r="K378" s="50">
        <v>4199753.17</v>
      </c>
      <c r="L378" s="152">
        <f t="shared" si="0"/>
        <v>0.15947299318023025</v>
      </c>
      <c r="M378" s="50">
        <v>4199753.17</v>
      </c>
      <c r="N378" s="152">
        <f t="shared" si="1"/>
        <v>0.15947299318023025</v>
      </c>
      <c r="O378" s="50">
        <v>22135446.829999998</v>
      </c>
      <c r="P378" s="152">
        <f t="shared" si="2"/>
        <v>0.84052700681976966</v>
      </c>
      <c r="Q378" s="50">
        <v>22135446.829999998</v>
      </c>
    </row>
    <row r="379" spans="1:17" hidden="1" x14ac:dyDescent="0.25">
      <c r="A379" s="49" t="s">
        <v>711</v>
      </c>
      <c r="B379" s="49" t="s">
        <v>77</v>
      </c>
      <c r="C379" s="49" t="s">
        <v>78</v>
      </c>
      <c r="D379" s="49" t="s">
        <v>69</v>
      </c>
      <c r="E379" s="50">
        <v>6513497315</v>
      </c>
      <c r="F379" s="50">
        <v>6428205068</v>
      </c>
      <c r="G379" s="50">
        <v>6408205068</v>
      </c>
      <c r="H379" s="50">
        <v>0</v>
      </c>
      <c r="I379" s="50">
        <v>0</v>
      </c>
      <c r="J379" s="50">
        <v>0</v>
      </c>
      <c r="K379" s="50">
        <v>4298229101.0900002</v>
      </c>
      <c r="L379" s="152">
        <f t="shared" si="0"/>
        <v>0.66865152178900589</v>
      </c>
      <c r="M379" s="50">
        <v>4298229101.0900002</v>
      </c>
      <c r="N379" s="152">
        <f t="shared" si="1"/>
        <v>0.66865152178900589</v>
      </c>
      <c r="O379" s="50">
        <v>2129975966.9100001</v>
      </c>
      <c r="P379" s="152">
        <f t="shared" si="2"/>
        <v>0.33134847821099411</v>
      </c>
      <c r="Q379" s="50">
        <v>2109975966.9100001</v>
      </c>
    </row>
    <row r="380" spans="1:17" hidden="1" x14ac:dyDescent="0.25">
      <c r="A380" s="49" t="s">
        <v>711</v>
      </c>
      <c r="B380" s="49" t="s">
        <v>79</v>
      </c>
      <c r="C380" s="49" t="s">
        <v>80</v>
      </c>
      <c r="D380" s="49" t="s">
        <v>69</v>
      </c>
      <c r="E380" s="50">
        <v>1819317700</v>
      </c>
      <c r="F380" s="50">
        <v>1819317700</v>
      </c>
      <c r="G380" s="50">
        <v>1818117700</v>
      </c>
      <c r="H380" s="50">
        <v>0</v>
      </c>
      <c r="I380" s="50">
        <v>0</v>
      </c>
      <c r="J380" s="50">
        <v>0</v>
      </c>
      <c r="K380" s="50">
        <v>1258549177.51</v>
      </c>
      <c r="L380" s="152">
        <f t="shared" si="0"/>
        <v>0.69176987477778074</v>
      </c>
      <c r="M380" s="50">
        <v>1258549177.51</v>
      </c>
      <c r="N380" s="152">
        <f t="shared" si="1"/>
        <v>0.69176987477778074</v>
      </c>
      <c r="O380" s="50">
        <v>560768522.49000001</v>
      </c>
      <c r="P380" s="152">
        <f t="shared" si="2"/>
        <v>0.30823012522221932</v>
      </c>
      <c r="Q380" s="50">
        <v>559568522.49000001</v>
      </c>
    </row>
    <row r="381" spans="1:17" hidden="1" x14ac:dyDescent="0.25">
      <c r="A381" s="49" t="s">
        <v>711</v>
      </c>
      <c r="B381" s="49" t="s">
        <v>81</v>
      </c>
      <c r="C381" s="49" t="s">
        <v>82</v>
      </c>
      <c r="D381" s="49" t="s">
        <v>69</v>
      </c>
      <c r="E381" s="50">
        <v>1750176673</v>
      </c>
      <c r="F381" s="50">
        <v>1705397775</v>
      </c>
      <c r="G381" s="50">
        <v>1704597775</v>
      </c>
      <c r="H381" s="50">
        <v>0</v>
      </c>
      <c r="I381" s="50">
        <v>0</v>
      </c>
      <c r="J381" s="50">
        <v>0</v>
      </c>
      <c r="K381" s="50">
        <v>1302321586.1800001</v>
      </c>
      <c r="L381" s="152">
        <f t="shared" si="0"/>
        <v>0.7636468191006055</v>
      </c>
      <c r="M381" s="50">
        <v>1302321586.1800001</v>
      </c>
      <c r="N381" s="152">
        <f t="shared" si="1"/>
        <v>0.7636468191006055</v>
      </c>
      <c r="O381" s="50">
        <v>403076188.81999999</v>
      </c>
      <c r="P381" s="152">
        <f t="shared" si="2"/>
        <v>0.23635318089939455</v>
      </c>
      <c r="Q381" s="50">
        <v>402276188.81999999</v>
      </c>
    </row>
    <row r="382" spans="1:17" hidden="1" x14ac:dyDescent="0.25">
      <c r="A382" s="49" t="s">
        <v>711</v>
      </c>
      <c r="B382" s="49" t="s">
        <v>86</v>
      </c>
      <c r="C382" s="49" t="s">
        <v>87</v>
      </c>
      <c r="D382" s="49" t="s">
        <v>69</v>
      </c>
      <c r="E382" s="50">
        <v>831593600</v>
      </c>
      <c r="F382" s="50">
        <v>831593600</v>
      </c>
      <c r="G382" s="50">
        <v>813593600</v>
      </c>
      <c r="H382" s="50">
        <v>0</v>
      </c>
      <c r="I382" s="50">
        <v>0</v>
      </c>
      <c r="J382" s="50">
        <v>0</v>
      </c>
      <c r="K382" s="50">
        <v>804861075</v>
      </c>
      <c r="L382" s="152">
        <f t="shared" si="0"/>
        <v>0.96785385914465916</v>
      </c>
      <c r="M382" s="50">
        <v>804861075</v>
      </c>
      <c r="N382" s="152">
        <f t="shared" si="1"/>
        <v>0.96785385914465916</v>
      </c>
      <c r="O382" s="50">
        <v>26732525</v>
      </c>
      <c r="P382" s="152">
        <f t="shared" si="2"/>
        <v>3.2146140855340878E-2</v>
      </c>
      <c r="Q382" s="50">
        <v>8732525</v>
      </c>
    </row>
    <row r="383" spans="1:17" hidden="1" x14ac:dyDescent="0.25">
      <c r="A383" s="49" t="s">
        <v>711</v>
      </c>
      <c r="B383" s="49" t="s">
        <v>88</v>
      </c>
      <c r="C383" s="49" t="s">
        <v>89</v>
      </c>
      <c r="D383" s="49" t="s">
        <v>69</v>
      </c>
      <c r="E383" s="50">
        <v>1207376800</v>
      </c>
      <c r="F383" s="50">
        <v>1188640303</v>
      </c>
      <c r="G383" s="50">
        <v>1188640303</v>
      </c>
      <c r="H383" s="50">
        <v>0</v>
      </c>
      <c r="I383" s="50">
        <v>0</v>
      </c>
      <c r="J383" s="50">
        <v>0</v>
      </c>
      <c r="K383" s="50">
        <v>932108818.78999996</v>
      </c>
      <c r="L383" s="152">
        <f t="shared" si="0"/>
        <v>0.78418072854963594</v>
      </c>
      <c r="M383" s="50">
        <v>932108818.78999996</v>
      </c>
      <c r="N383" s="152">
        <f t="shared" si="1"/>
        <v>0.78418072854963594</v>
      </c>
      <c r="O383" s="50">
        <v>256531484.21000001</v>
      </c>
      <c r="P383" s="152">
        <f t="shared" si="2"/>
        <v>0.21581927145036409</v>
      </c>
      <c r="Q383" s="50">
        <v>256531484.21000001</v>
      </c>
    </row>
    <row r="384" spans="1:17" hidden="1" x14ac:dyDescent="0.25">
      <c r="A384" s="49" t="s">
        <v>711</v>
      </c>
      <c r="B384" s="49" t="s">
        <v>83</v>
      </c>
      <c r="C384" s="49" t="s">
        <v>84</v>
      </c>
      <c r="D384" s="49" t="s">
        <v>85</v>
      </c>
      <c r="E384" s="50">
        <v>905032542</v>
      </c>
      <c r="F384" s="50">
        <v>883255690</v>
      </c>
      <c r="G384" s="50">
        <v>883255690</v>
      </c>
      <c r="H384" s="50">
        <v>0</v>
      </c>
      <c r="I384" s="50">
        <v>0</v>
      </c>
      <c r="J384" s="50">
        <v>0</v>
      </c>
      <c r="K384" s="50">
        <v>388443.61</v>
      </c>
      <c r="L384" s="152">
        <f t="shared" si="0"/>
        <v>4.3978613939073518E-4</v>
      </c>
      <c r="M384" s="50">
        <v>388443.61</v>
      </c>
      <c r="N384" s="152">
        <f t="shared" si="1"/>
        <v>4.3978613939073518E-4</v>
      </c>
      <c r="O384" s="50">
        <v>882867246.38999999</v>
      </c>
      <c r="P384" s="152">
        <f t="shared" si="2"/>
        <v>0.99956021386060923</v>
      </c>
      <c r="Q384" s="50">
        <v>882867246.38999999</v>
      </c>
    </row>
    <row r="385" spans="1:17" hidden="1" x14ac:dyDescent="0.25">
      <c r="A385" s="49" t="s">
        <v>711</v>
      </c>
      <c r="B385" s="49" t="s">
        <v>90</v>
      </c>
      <c r="C385" s="49" t="s">
        <v>91</v>
      </c>
      <c r="D385" s="49" t="s">
        <v>69</v>
      </c>
      <c r="E385" s="50">
        <v>1059311707</v>
      </c>
      <c r="F385" s="50">
        <v>1033822594</v>
      </c>
      <c r="G385" s="50">
        <v>1033822594</v>
      </c>
      <c r="H385" s="50">
        <v>0</v>
      </c>
      <c r="I385" s="50">
        <v>303229660</v>
      </c>
      <c r="J385" s="50">
        <v>0</v>
      </c>
      <c r="K385" s="50">
        <v>722662882</v>
      </c>
      <c r="L385" s="152">
        <f t="shared" si="0"/>
        <v>0.69902020539512411</v>
      </c>
      <c r="M385" s="50">
        <v>722662882</v>
      </c>
      <c r="N385" s="152">
        <f t="shared" si="1"/>
        <v>0.69902020539512411</v>
      </c>
      <c r="O385" s="50">
        <v>7930052</v>
      </c>
      <c r="P385" s="152">
        <f t="shared" si="2"/>
        <v>7.6706120044422246E-3</v>
      </c>
      <c r="Q385" s="50">
        <v>7930052</v>
      </c>
    </row>
    <row r="386" spans="1:17" hidden="1" x14ac:dyDescent="0.25">
      <c r="A386" s="49" t="s">
        <v>711</v>
      </c>
      <c r="B386" s="49" t="s">
        <v>421</v>
      </c>
      <c r="C386" s="49" t="s">
        <v>697</v>
      </c>
      <c r="D386" s="49" t="s">
        <v>69</v>
      </c>
      <c r="E386" s="50">
        <v>1004988079</v>
      </c>
      <c r="F386" s="50">
        <v>980806100</v>
      </c>
      <c r="G386" s="50">
        <v>980806100</v>
      </c>
      <c r="H386" s="50">
        <v>0</v>
      </c>
      <c r="I386" s="50">
        <v>287679471</v>
      </c>
      <c r="J386" s="50">
        <v>0</v>
      </c>
      <c r="K386" s="50">
        <v>685603246</v>
      </c>
      <c r="L386" s="152">
        <f t="shared" si="0"/>
        <v>0.69902016922610899</v>
      </c>
      <c r="M386" s="50">
        <v>685603246</v>
      </c>
      <c r="N386" s="152">
        <f t="shared" si="1"/>
        <v>0.69902016922610899</v>
      </c>
      <c r="O386" s="50">
        <v>7523383</v>
      </c>
      <c r="P386" s="152">
        <f t="shared" si="2"/>
        <v>7.670611958877499E-3</v>
      </c>
      <c r="Q386" s="50">
        <v>7523383</v>
      </c>
    </row>
    <row r="387" spans="1:17" hidden="1" x14ac:dyDescent="0.25">
      <c r="A387" s="49" t="s">
        <v>711</v>
      </c>
      <c r="B387" s="49" t="s">
        <v>438</v>
      </c>
      <c r="C387" s="49" t="s">
        <v>95</v>
      </c>
      <c r="D387" s="49" t="s">
        <v>69</v>
      </c>
      <c r="E387" s="50">
        <v>54323628</v>
      </c>
      <c r="F387" s="50">
        <v>53016494</v>
      </c>
      <c r="G387" s="50">
        <v>53016494</v>
      </c>
      <c r="H387" s="50">
        <v>0</v>
      </c>
      <c r="I387" s="50">
        <v>15550189</v>
      </c>
      <c r="J387" s="50">
        <v>0</v>
      </c>
      <c r="K387" s="50">
        <v>37059636</v>
      </c>
      <c r="L387" s="152">
        <f t="shared" si="0"/>
        <v>0.69902087452255901</v>
      </c>
      <c r="M387" s="50">
        <v>37059636</v>
      </c>
      <c r="N387" s="152">
        <f t="shared" si="1"/>
        <v>0.69902087452255901</v>
      </c>
      <c r="O387" s="50">
        <v>406669</v>
      </c>
      <c r="P387" s="152">
        <f t="shared" si="2"/>
        <v>7.670612847390474E-3</v>
      </c>
      <c r="Q387" s="50">
        <v>406669</v>
      </c>
    </row>
    <row r="388" spans="1:17" hidden="1" x14ac:dyDescent="0.25">
      <c r="A388" s="49" t="s">
        <v>711</v>
      </c>
      <c r="B388" s="49" t="s">
        <v>96</v>
      </c>
      <c r="C388" s="49" t="s">
        <v>97</v>
      </c>
      <c r="D388" s="49" t="s">
        <v>69</v>
      </c>
      <c r="E388" s="50">
        <v>1059311706</v>
      </c>
      <c r="F388" s="50">
        <v>1033822593</v>
      </c>
      <c r="G388" s="50">
        <v>1009822593</v>
      </c>
      <c r="H388" s="50">
        <v>0</v>
      </c>
      <c r="I388" s="50">
        <v>280479671</v>
      </c>
      <c r="J388" s="50">
        <v>0</v>
      </c>
      <c r="K388" s="50">
        <v>721412870</v>
      </c>
      <c r="L388" s="152">
        <f t="shared" si="0"/>
        <v>0.69781108952800763</v>
      </c>
      <c r="M388" s="50">
        <v>721412870</v>
      </c>
      <c r="N388" s="152">
        <f t="shared" si="1"/>
        <v>0.69781108952800763</v>
      </c>
      <c r="O388" s="50">
        <v>31930052</v>
      </c>
      <c r="P388" s="152">
        <f t="shared" si="2"/>
        <v>3.0885426780376042E-2</v>
      </c>
      <c r="Q388" s="50">
        <v>7930052</v>
      </c>
    </row>
    <row r="389" spans="1:17" hidden="1" x14ac:dyDescent="0.25">
      <c r="A389" s="49" t="s">
        <v>711</v>
      </c>
      <c r="B389" s="49" t="s">
        <v>456</v>
      </c>
      <c r="C389" s="49" t="s">
        <v>698</v>
      </c>
      <c r="D389" s="49" t="s">
        <v>69</v>
      </c>
      <c r="E389" s="50">
        <v>570398650</v>
      </c>
      <c r="F389" s="50">
        <v>556673743</v>
      </c>
      <c r="G389" s="50">
        <v>556673743</v>
      </c>
      <c r="H389" s="50">
        <v>0</v>
      </c>
      <c r="I389" s="50">
        <v>164527559</v>
      </c>
      <c r="J389" s="50">
        <v>0</v>
      </c>
      <c r="K389" s="50">
        <v>387876156</v>
      </c>
      <c r="L389" s="152">
        <f t="shared" si="0"/>
        <v>0.69677465638971225</v>
      </c>
      <c r="M389" s="50">
        <v>387876156</v>
      </c>
      <c r="N389" s="152">
        <f t="shared" si="1"/>
        <v>0.69677465638971225</v>
      </c>
      <c r="O389" s="50">
        <v>4270028</v>
      </c>
      <c r="P389" s="152">
        <f t="shared" si="2"/>
        <v>7.6706114734066055E-3</v>
      </c>
      <c r="Q389" s="50">
        <v>4270028</v>
      </c>
    </row>
    <row r="390" spans="1:17" hidden="1" x14ac:dyDescent="0.25">
      <c r="A390" s="49" t="s">
        <v>711</v>
      </c>
      <c r="B390" s="49" t="s">
        <v>473</v>
      </c>
      <c r="C390" s="49" t="s">
        <v>699</v>
      </c>
      <c r="D390" s="49" t="s">
        <v>69</v>
      </c>
      <c r="E390" s="50">
        <v>162970985</v>
      </c>
      <c r="F390" s="50">
        <v>159049583</v>
      </c>
      <c r="G390" s="50">
        <v>159049583</v>
      </c>
      <c r="H390" s="50">
        <v>0</v>
      </c>
      <c r="I390" s="50">
        <v>46650670</v>
      </c>
      <c r="J390" s="50">
        <v>0</v>
      </c>
      <c r="K390" s="50">
        <v>111178905</v>
      </c>
      <c r="L390" s="152">
        <f t="shared" si="0"/>
        <v>0.69902041176681362</v>
      </c>
      <c r="M390" s="50">
        <v>111178905</v>
      </c>
      <c r="N390" s="152">
        <f t="shared" si="1"/>
        <v>0.69902041176681362</v>
      </c>
      <c r="O390" s="50">
        <v>1220008</v>
      </c>
      <c r="P390" s="152">
        <f t="shared" si="2"/>
        <v>7.670614263729318E-3</v>
      </c>
      <c r="Q390" s="50">
        <v>1220008</v>
      </c>
    </row>
    <row r="391" spans="1:17" hidden="1" x14ac:dyDescent="0.25">
      <c r="A391" s="49" t="s">
        <v>711</v>
      </c>
      <c r="B391" s="49" t="s">
        <v>490</v>
      </c>
      <c r="C391" s="49" t="s">
        <v>700</v>
      </c>
      <c r="D391" s="49" t="s">
        <v>69</v>
      </c>
      <c r="E391" s="50">
        <v>325942071</v>
      </c>
      <c r="F391" s="50">
        <v>318099267</v>
      </c>
      <c r="G391" s="50">
        <v>294099267</v>
      </c>
      <c r="H391" s="50">
        <v>0</v>
      </c>
      <c r="I391" s="50">
        <v>69301442</v>
      </c>
      <c r="J391" s="50">
        <v>0</v>
      </c>
      <c r="K391" s="50">
        <v>222357809</v>
      </c>
      <c r="L391" s="152">
        <f t="shared" si="0"/>
        <v>0.69902018667650689</v>
      </c>
      <c r="M391" s="50">
        <v>222357809</v>
      </c>
      <c r="N391" s="152">
        <f t="shared" si="1"/>
        <v>0.69902018667650689</v>
      </c>
      <c r="O391" s="50">
        <v>26440016</v>
      </c>
      <c r="P391" s="152">
        <f t="shared" si="2"/>
        <v>8.3118758019646743E-2</v>
      </c>
      <c r="Q391" s="50">
        <v>2440016</v>
      </c>
    </row>
    <row r="392" spans="1:17" hidden="1" x14ac:dyDescent="0.25">
      <c r="A392" s="49" t="s">
        <v>711</v>
      </c>
      <c r="B392" s="49" t="s">
        <v>104</v>
      </c>
      <c r="C392" s="49" t="s">
        <v>105</v>
      </c>
      <c r="D392" s="49" t="s">
        <v>69</v>
      </c>
      <c r="E392" s="50">
        <v>3955829992</v>
      </c>
      <c r="F392" s="50">
        <v>3999861533</v>
      </c>
      <c r="G392" s="50">
        <v>3940945577.71</v>
      </c>
      <c r="H392" s="50">
        <v>0</v>
      </c>
      <c r="I392" s="50">
        <v>92616114.680000007</v>
      </c>
      <c r="J392" s="50">
        <v>0</v>
      </c>
      <c r="K392" s="50">
        <v>2993294194.1500001</v>
      </c>
      <c r="L392" s="152">
        <f t="shared" si="0"/>
        <v>0.74834945396346053</v>
      </c>
      <c r="M392" s="50">
        <v>2993290158.1500001</v>
      </c>
      <c r="N392" s="152">
        <f t="shared" si="1"/>
        <v>0.74834844492853103</v>
      </c>
      <c r="O392" s="50">
        <v>913951224.16999996</v>
      </c>
      <c r="P392" s="152">
        <f t="shared" si="2"/>
        <v>0.22849571582157066</v>
      </c>
      <c r="Q392" s="50">
        <v>855035268.88</v>
      </c>
    </row>
    <row r="393" spans="1:17" hidden="1" x14ac:dyDescent="0.25">
      <c r="A393" s="49" t="s">
        <v>711</v>
      </c>
      <c r="B393" s="49" t="s">
        <v>112</v>
      </c>
      <c r="C393" s="49" t="s">
        <v>113</v>
      </c>
      <c r="D393" s="49" t="s">
        <v>69</v>
      </c>
      <c r="E393" s="50">
        <v>3954369992</v>
      </c>
      <c r="F393" s="50">
        <v>3999201533</v>
      </c>
      <c r="G393" s="50">
        <v>3940879577.71</v>
      </c>
      <c r="H393" s="50">
        <v>0</v>
      </c>
      <c r="I393" s="50">
        <v>92616114.680000007</v>
      </c>
      <c r="J393" s="50">
        <v>0</v>
      </c>
      <c r="K393" s="50">
        <v>2993294194.1500001</v>
      </c>
      <c r="L393" s="152">
        <f t="shared" si="0"/>
        <v>0.74847295627649479</v>
      </c>
      <c r="M393" s="50">
        <v>2993290158.1500001</v>
      </c>
      <c r="N393" s="152">
        <f t="shared" si="1"/>
        <v>0.74847194707504128</v>
      </c>
      <c r="O393" s="50">
        <v>913291224.16999996</v>
      </c>
      <c r="P393" s="152">
        <f t="shared" si="2"/>
        <v>0.22836839219875343</v>
      </c>
      <c r="Q393" s="50">
        <v>854969268.88</v>
      </c>
    </row>
    <row r="394" spans="1:17" hidden="1" x14ac:dyDescent="0.25">
      <c r="A394" s="49" t="s">
        <v>711</v>
      </c>
      <c r="B394" s="49" t="s">
        <v>114</v>
      </c>
      <c r="C394" s="49" t="s">
        <v>115</v>
      </c>
      <c r="D394" s="49" t="s">
        <v>69</v>
      </c>
      <c r="E394" s="50">
        <v>2664489000</v>
      </c>
      <c r="F394" s="50">
        <v>2664489000</v>
      </c>
      <c r="G394" s="50">
        <v>2664489000</v>
      </c>
      <c r="H394" s="50">
        <v>0</v>
      </c>
      <c r="I394" s="50">
        <v>5714032.5599999996</v>
      </c>
      <c r="J394" s="50">
        <v>0</v>
      </c>
      <c r="K394" s="50">
        <v>1981777046.3599999</v>
      </c>
      <c r="L394" s="152">
        <f t="shared" si="0"/>
        <v>0.74377377664535294</v>
      </c>
      <c r="M394" s="50">
        <v>1981777046.3599999</v>
      </c>
      <c r="N394" s="152">
        <f t="shared" si="1"/>
        <v>0.74377377664535294</v>
      </c>
      <c r="O394" s="50">
        <v>676997921.08000004</v>
      </c>
      <c r="P394" s="152">
        <f t="shared" si="2"/>
        <v>0.25408170988133189</v>
      </c>
      <c r="Q394" s="50">
        <v>676997921.08000004</v>
      </c>
    </row>
    <row r="395" spans="1:17" hidden="1" x14ac:dyDescent="0.25">
      <c r="A395" s="49" t="s">
        <v>711</v>
      </c>
      <c r="B395" s="49" t="s">
        <v>116</v>
      </c>
      <c r="C395" s="49" t="s">
        <v>117</v>
      </c>
      <c r="D395" s="49" t="s">
        <v>69</v>
      </c>
      <c r="E395" s="50">
        <v>1052390992</v>
      </c>
      <c r="F395" s="50">
        <v>1097222533</v>
      </c>
      <c r="G395" s="50">
        <v>1097222533</v>
      </c>
      <c r="H395" s="50">
        <v>0</v>
      </c>
      <c r="I395" s="50">
        <v>69373814.140000001</v>
      </c>
      <c r="J395" s="50">
        <v>0</v>
      </c>
      <c r="K395" s="50">
        <v>920704612.86000001</v>
      </c>
      <c r="L395" s="152">
        <f t="shared" si="0"/>
        <v>0.83912295379373147</v>
      </c>
      <c r="M395" s="50">
        <v>920704612.86000001</v>
      </c>
      <c r="N395" s="152">
        <f t="shared" si="1"/>
        <v>0.83912295379373147</v>
      </c>
      <c r="O395" s="50">
        <v>107144106</v>
      </c>
      <c r="P395" s="152">
        <f t="shared" si="2"/>
        <v>9.7650296797176697E-2</v>
      </c>
      <c r="Q395" s="50">
        <v>107144106</v>
      </c>
    </row>
    <row r="396" spans="1:17" hidden="1" x14ac:dyDescent="0.25">
      <c r="A396" s="49" t="s">
        <v>711</v>
      </c>
      <c r="B396" s="49" t="s">
        <v>120</v>
      </c>
      <c r="C396" s="49" t="s">
        <v>121</v>
      </c>
      <c r="D396" s="49" t="s">
        <v>69</v>
      </c>
      <c r="E396" s="50">
        <v>124690000</v>
      </c>
      <c r="F396" s="50">
        <v>124690000</v>
      </c>
      <c r="G396" s="50">
        <v>124690000</v>
      </c>
      <c r="H396" s="50">
        <v>0</v>
      </c>
      <c r="I396" s="50">
        <v>14772132.470000001</v>
      </c>
      <c r="J396" s="50">
        <v>0</v>
      </c>
      <c r="K396" s="50">
        <v>47572867.530000001</v>
      </c>
      <c r="L396" s="152">
        <f t="shared" si="0"/>
        <v>0.38152913248857168</v>
      </c>
      <c r="M396" s="50">
        <v>47572867.530000001</v>
      </c>
      <c r="N396" s="152">
        <f t="shared" si="1"/>
        <v>0.38152913248857168</v>
      </c>
      <c r="O396" s="50">
        <v>62345000</v>
      </c>
      <c r="P396" s="152">
        <f t="shared" si="2"/>
        <v>0.5</v>
      </c>
      <c r="Q396" s="50">
        <v>62345000</v>
      </c>
    </row>
    <row r="397" spans="1:17" hidden="1" x14ac:dyDescent="0.25">
      <c r="A397" s="49" t="s">
        <v>711</v>
      </c>
      <c r="B397" s="49" t="s">
        <v>122</v>
      </c>
      <c r="C397" s="49" t="s">
        <v>123</v>
      </c>
      <c r="D397" s="49" t="s">
        <v>69</v>
      </c>
      <c r="E397" s="50">
        <v>112800000</v>
      </c>
      <c r="F397" s="50">
        <v>112800000</v>
      </c>
      <c r="G397" s="50">
        <v>54478044.710000001</v>
      </c>
      <c r="H397" s="50">
        <v>0</v>
      </c>
      <c r="I397" s="50">
        <v>2756135.51</v>
      </c>
      <c r="J397" s="50">
        <v>0</v>
      </c>
      <c r="K397" s="50">
        <v>43239667.399999999</v>
      </c>
      <c r="L397" s="152">
        <f t="shared" si="0"/>
        <v>0.38333038475177306</v>
      </c>
      <c r="M397" s="50">
        <v>43235631.399999999</v>
      </c>
      <c r="N397" s="152">
        <f t="shared" si="1"/>
        <v>0.38329460460992909</v>
      </c>
      <c r="O397" s="50">
        <v>66804197.090000004</v>
      </c>
      <c r="P397" s="152">
        <f t="shared" si="2"/>
        <v>0.59223578980496461</v>
      </c>
      <c r="Q397" s="50">
        <v>8482241.8000000007</v>
      </c>
    </row>
    <row r="398" spans="1:17" hidden="1" x14ac:dyDescent="0.25">
      <c r="A398" s="49" t="s">
        <v>711</v>
      </c>
      <c r="B398" s="49" t="s">
        <v>134</v>
      </c>
      <c r="C398" s="49" t="s">
        <v>135</v>
      </c>
      <c r="D398" s="49" t="s">
        <v>69</v>
      </c>
      <c r="E398" s="50">
        <v>340000</v>
      </c>
      <c r="F398" s="50">
        <v>340000</v>
      </c>
      <c r="G398" s="50">
        <v>34000</v>
      </c>
      <c r="H398" s="50">
        <v>0</v>
      </c>
      <c r="I398" s="50">
        <v>0</v>
      </c>
      <c r="J398" s="50">
        <v>0</v>
      </c>
      <c r="K398" s="50">
        <v>0</v>
      </c>
      <c r="L398" s="152">
        <f t="shared" si="0"/>
        <v>0</v>
      </c>
      <c r="M398" s="50">
        <v>0</v>
      </c>
      <c r="N398" s="152">
        <f t="shared" si="1"/>
        <v>0</v>
      </c>
      <c r="O398" s="50">
        <v>340000</v>
      </c>
      <c r="P398" s="152">
        <f t="shared" si="2"/>
        <v>1</v>
      </c>
      <c r="Q398" s="50">
        <v>34000</v>
      </c>
    </row>
    <row r="399" spans="1:17" hidden="1" x14ac:dyDescent="0.25">
      <c r="A399" s="49" t="s">
        <v>711</v>
      </c>
      <c r="B399" s="49" t="s">
        <v>346</v>
      </c>
      <c r="C399" s="49" t="s">
        <v>347</v>
      </c>
      <c r="D399" s="49" t="s">
        <v>69</v>
      </c>
      <c r="E399" s="50">
        <v>180000</v>
      </c>
      <c r="F399" s="50">
        <v>180000</v>
      </c>
      <c r="G399" s="50">
        <v>18000</v>
      </c>
      <c r="H399" s="50">
        <v>0</v>
      </c>
      <c r="I399" s="50">
        <v>0</v>
      </c>
      <c r="J399" s="50">
        <v>0</v>
      </c>
      <c r="K399" s="50">
        <v>0</v>
      </c>
      <c r="L399" s="152">
        <f t="shared" si="0"/>
        <v>0</v>
      </c>
      <c r="M399" s="50">
        <v>0</v>
      </c>
      <c r="N399" s="152">
        <f t="shared" si="1"/>
        <v>0</v>
      </c>
      <c r="O399" s="50">
        <v>180000</v>
      </c>
      <c r="P399" s="152">
        <f t="shared" si="2"/>
        <v>1</v>
      </c>
      <c r="Q399" s="50">
        <v>18000</v>
      </c>
    </row>
    <row r="400" spans="1:17" hidden="1" x14ac:dyDescent="0.25">
      <c r="A400" s="49" t="s">
        <v>711</v>
      </c>
      <c r="B400" s="49" t="s">
        <v>138</v>
      </c>
      <c r="C400" s="49" t="s">
        <v>139</v>
      </c>
      <c r="D400" s="49" t="s">
        <v>69</v>
      </c>
      <c r="E400" s="50">
        <v>160000</v>
      </c>
      <c r="F400" s="50">
        <v>160000</v>
      </c>
      <c r="G400" s="50">
        <v>16000</v>
      </c>
      <c r="H400" s="50">
        <v>0</v>
      </c>
      <c r="I400" s="50">
        <v>0</v>
      </c>
      <c r="J400" s="50">
        <v>0</v>
      </c>
      <c r="K400" s="50">
        <v>0</v>
      </c>
      <c r="L400" s="152">
        <f t="shared" si="0"/>
        <v>0</v>
      </c>
      <c r="M400" s="50">
        <v>0</v>
      </c>
      <c r="N400" s="152">
        <f t="shared" si="1"/>
        <v>0</v>
      </c>
      <c r="O400" s="50">
        <v>160000</v>
      </c>
      <c r="P400" s="152">
        <f t="shared" si="2"/>
        <v>1</v>
      </c>
      <c r="Q400" s="50">
        <v>16000</v>
      </c>
    </row>
    <row r="401" spans="1:17" hidden="1" x14ac:dyDescent="0.25">
      <c r="A401" s="49" t="s">
        <v>711</v>
      </c>
      <c r="B401" s="49" t="s">
        <v>140</v>
      </c>
      <c r="C401" s="49" t="s">
        <v>141</v>
      </c>
      <c r="D401" s="49" t="s">
        <v>69</v>
      </c>
      <c r="E401" s="50">
        <v>0</v>
      </c>
      <c r="F401" s="50">
        <v>0</v>
      </c>
      <c r="G401" s="50">
        <v>0</v>
      </c>
      <c r="H401" s="50">
        <v>0</v>
      </c>
      <c r="I401" s="50">
        <v>0</v>
      </c>
      <c r="J401" s="50">
        <v>0</v>
      </c>
      <c r="K401" s="50">
        <v>0</v>
      </c>
      <c r="L401" s="152" t="e">
        <f t="shared" si="0"/>
        <v>#DIV/0!</v>
      </c>
      <c r="M401" s="50">
        <v>0</v>
      </c>
      <c r="N401" s="152" t="e">
        <f t="shared" si="1"/>
        <v>#DIV/0!</v>
      </c>
      <c r="O401" s="50">
        <v>0</v>
      </c>
      <c r="P401" s="152" t="e">
        <f t="shared" si="2"/>
        <v>#DIV/0!</v>
      </c>
      <c r="Q401" s="50">
        <v>0</v>
      </c>
    </row>
    <row r="402" spans="1:17" hidden="1" x14ac:dyDescent="0.25">
      <c r="A402" s="49" t="s">
        <v>711</v>
      </c>
      <c r="B402" s="49" t="s">
        <v>144</v>
      </c>
      <c r="C402" s="49" t="s">
        <v>145</v>
      </c>
      <c r="D402" s="49" t="s">
        <v>69</v>
      </c>
      <c r="E402" s="50">
        <v>0</v>
      </c>
      <c r="F402" s="50">
        <v>0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152" t="e">
        <f t="shared" si="0"/>
        <v>#DIV/0!</v>
      </c>
      <c r="M402" s="50">
        <v>0</v>
      </c>
      <c r="N402" s="152" t="e">
        <f t="shared" si="1"/>
        <v>#DIV/0!</v>
      </c>
      <c r="O402" s="50">
        <v>0</v>
      </c>
      <c r="P402" s="152" t="e">
        <f t="shared" si="2"/>
        <v>#DIV/0!</v>
      </c>
      <c r="Q402" s="50">
        <v>0</v>
      </c>
    </row>
    <row r="403" spans="1:17" hidden="1" x14ac:dyDescent="0.25">
      <c r="A403" s="49" t="s">
        <v>711</v>
      </c>
      <c r="B403" s="49" t="s">
        <v>162</v>
      </c>
      <c r="C403" s="49" t="s">
        <v>163</v>
      </c>
      <c r="D403" s="49" t="s">
        <v>69</v>
      </c>
      <c r="E403" s="50">
        <v>1120000</v>
      </c>
      <c r="F403" s="50">
        <v>320000</v>
      </c>
      <c r="G403" s="50">
        <v>32000</v>
      </c>
      <c r="H403" s="50">
        <v>0</v>
      </c>
      <c r="I403" s="50">
        <v>0</v>
      </c>
      <c r="J403" s="50">
        <v>0</v>
      </c>
      <c r="K403" s="50">
        <v>0</v>
      </c>
      <c r="L403" s="152">
        <f t="shared" si="0"/>
        <v>0</v>
      </c>
      <c r="M403" s="50">
        <v>0</v>
      </c>
      <c r="N403" s="152">
        <f t="shared" si="1"/>
        <v>0</v>
      </c>
      <c r="O403" s="50">
        <v>320000</v>
      </c>
      <c r="P403" s="152">
        <f t="shared" si="2"/>
        <v>1</v>
      </c>
      <c r="Q403" s="50">
        <v>32000</v>
      </c>
    </row>
    <row r="404" spans="1:17" hidden="1" x14ac:dyDescent="0.25">
      <c r="A404" s="49" t="s">
        <v>711</v>
      </c>
      <c r="B404" s="49" t="s">
        <v>164</v>
      </c>
      <c r="C404" s="49" t="s">
        <v>165</v>
      </c>
      <c r="D404" s="49" t="s">
        <v>69</v>
      </c>
      <c r="E404" s="50">
        <v>800000</v>
      </c>
      <c r="F404" s="50">
        <v>0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152" t="e">
        <f t="shared" si="0"/>
        <v>#DIV/0!</v>
      </c>
      <c r="M404" s="50">
        <v>0</v>
      </c>
      <c r="N404" s="152" t="e">
        <f t="shared" si="1"/>
        <v>#DIV/0!</v>
      </c>
      <c r="O404" s="50">
        <v>0</v>
      </c>
      <c r="P404" s="152" t="e">
        <f t="shared" si="2"/>
        <v>#DIV/0!</v>
      </c>
      <c r="Q404" s="50">
        <v>0</v>
      </c>
    </row>
    <row r="405" spans="1:17" hidden="1" x14ac:dyDescent="0.25">
      <c r="A405" s="49" t="s">
        <v>711</v>
      </c>
      <c r="B405" s="49" t="s">
        <v>172</v>
      </c>
      <c r="C405" s="49" t="s">
        <v>173</v>
      </c>
      <c r="D405" s="49" t="s">
        <v>69</v>
      </c>
      <c r="E405" s="50">
        <v>320000</v>
      </c>
      <c r="F405" s="50">
        <v>320000</v>
      </c>
      <c r="G405" s="50">
        <v>32000</v>
      </c>
      <c r="H405" s="50">
        <v>0</v>
      </c>
      <c r="I405" s="50">
        <v>0</v>
      </c>
      <c r="J405" s="50">
        <v>0</v>
      </c>
      <c r="K405" s="50">
        <v>0</v>
      </c>
      <c r="L405" s="152">
        <f t="shared" si="0"/>
        <v>0</v>
      </c>
      <c r="M405" s="50">
        <v>0</v>
      </c>
      <c r="N405" s="152">
        <f t="shared" si="1"/>
        <v>0</v>
      </c>
      <c r="O405" s="50">
        <v>320000</v>
      </c>
      <c r="P405" s="152">
        <f t="shared" si="2"/>
        <v>1</v>
      </c>
      <c r="Q405" s="50">
        <v>32000</v>
      </c>
    </row>
    <row r="406" spans="1:17" hidden="1" x14ac:dyDescent="0.25">
      <c r="A406" s="49" t="s">
        <v>711</v>
      </c>
      <c r="B406" s="49" t="s">
        <v>184</v>
      </c>
      <c r="C406" s="49" t="s">
        <v>185</v>
      </c>
      <c r="D406" s="49" t="s">
        <v>69</v>
      </c>
      <c r="E406" s="50">
        <v>9762991308</v>
      </c>
      <c r="F406" s="50">
        <v>9727778878</v>
      </c>
      <c r="G406" s="50">
        <v>9717630460.0100002</v>
      </c>
      <c r="H406" s="50">
        <v>861578892.89999998</v>
      </c>
      <c r="I406" s="50">
        <v>579341022.44000006</v>
      </c>
      <c r="J406" s="50">
        <v>3157842.52</v>
      </c>
      <c r="K406" s="50">
        <v>5765153806.4700003</v>
      </c>
      <c r="L406" s="152">
        <f t="shared" si="0"/>
        <v>0.59264852529782186</v>
      </c>
      <c r="M406" s="50">
        <v>5742909038.9499998</v>
      </c>
      <c r="N406" s="152">
        <f t="shared" si="1"/>
        <v>0.59036179902669861</v>
      </c>
      <c r="O406" s="50">
        <v>2518547313.6700001</v>
      </c>
      <c r="P406" s="152">
        <f t="shared" si="2"/>
        <v>0.25890260718876512</v>
      </c>
      <c r="Q406" s="50">
        <v>2508398895.6799998</v>
      </c>
    </row>
    <row r="407" spans="1:17" hidden="1" x14ac:dyDescent="0.25">
      <c r="A407" s="49" t="s">
        <v>711</v>
      </c>
      <c r="B407" s="49" t="s">
        <v>186</v>
      </c>
      <c r="C407" s="49" t="s">
        <v>187</v>
      </c>
      <c r="D407" s="49" t="s">
        <v>69</v>
      </c>
      <c r="E407" s="50">
        <v>20114885</v>
      </c>
      <c r="F407" s="50">
        <v>15114885</v>
      </c>
      <c r="G407" s="50">
        <v>11692175</v>
      </c>
      <c r="H407" s="50">
        <v>0</v>
      </c>
      <c r="I407" s="50">
        <v>6796085.2199999997</v>
      </c>
      <c r="J407" s="50">
        <v>0</v>
      </c>
      <c r="K407" s="50">
        <v>1170358.99</v>
      </c>
      <c r="L407" s="152">
        <f t="shared" si="0"/>
        <v>7.7430889484107882E-2</v>
      </c>
      <c r="M407" s="50">
        <v>1170358.99</v>
      </c>
      <c r="N407" s="152">
        <f t="shared" si="1"/>
        <v>7.7430889484107882E-2</v>
      </c>
      <c r="O407" s="50">
        <v>7148440.79</v>
      </c>
      <c r="P407" s="152">
        <f t="shared" si="2"/>
        <v>0.47294046828672531</v>
      </c>
      <c r="Q407" s="50">
        <v>3725730.79</v>
      </c>
    </row>
    <row r="408" spans="1:17" hidden="1" x14ac:dyDescent="0.25">
      <c r="A408" s="49" t="s">
        <v>711</v>
      </c>
      <c r="B408" s="49" t="s">
        <v>188</v>
      </c>
      <c r="C408" s="49" t="s">
        <v>189</v>
      </c>
      <c r="D408" s="49" t="s">
        <v>69</v>
      </c>
      <c r="E408" s="50">
        <v>4558400</v>
      </c>
      <c r="F408" s="50">
        <v>4558400</v>
      </c>
      <c r="G408" s="50">
        <v>1139600</v>
      </c>
      <c r="H408" s="50">
        <v>0</v>
      </c>
      <c r="I408" s="50">
        <v>0</v>
      </c>
      <c r="J408" s="50">
        <v>0</v>
      </c>
      <c r="K408" s="50">
        <v>0</v>
      </c>
      <c r="L408" s="152">
        <f t="shared" si="0"/>
        <v>0</v>
      </c>
      <c r="M408" s="50">
        <v>0</v>
      </c>
      <c r="N408" s="152">
        <f t="shared" si="1"/>
        <v>0</v>
      </c>
      <c r="O408" s="50">
        <v>4558400</v>
      </c>
      <c r="P408" s="152">
        <f t="shared" si="2"/>
        <v>1</v>
      </c>
      <c r="Q408" s="50">
        <v>1139600</v>
      </c>
    </row>
    <row r="409" spans="1:17" hidden="1" x14ac:dyDescent="0.25">
      <c r="A409" s="49" t="s">
        <v>711</v>
      </c>
      <c r="B409" s="49" t="s">
        <v>190</v>
      </c>
      <c r="C409" s="49" t="s">
        <v>191</v>
      </c>
      <c r="D409" s="49" t="s">
        <v>69</v>
      </c>
      <c r="E409" s="50">
        <v>1998283</v>
      </c>
      <c r="F409" s="50">
        <v>3620553</v>
      </c>
      <c r="G409" s="50">
        <v>3616643</v>
      </c>
      <c r="H409" s="50">
        <v>0</v>
      </c>
      <c r="I409" s="50">
        <v>1657639.52</v>
      </c>
      <c r="J409" s="50">
        <v>0</v>
      </c>
      <c r="K409" s="50">
        <v>0</v>
      </c>
      <c r="L409" s="152">
        <f t="shared" si="0"/>
        <v>0</v>
      </c>
      <c r="M409" s="50">
        <v>0</v>
      </c>
      <c r="N409" s="152">
        <f t="shared" si="1"/>
        <v>0</v>
      </c>
      <c r="O409" s="50">
        <v>1962913.48</v>
      </c>
      <c r="P409" s="152">
        <f t="shared" si="2"/>
        <v>0.54215847137163853</v>
      </c>
      <c r="Q409" s="50">
        <v>1959003.48</v>
      </c>
    </row>
    <row r="410" spans="1:17" hidden="1" x14ac:dyDescent="0.25">
      <c r="A410" s="49" t="s">
        <v>711</v>
      </c>
      <c r="B410" s="49" t="s">
        <v>350</v>
      </c>
      <c r="C410" s="49" t="s">
        <v>351</v>
      </c>
      <c r="D410" s="49" t="s">
        <v>69</v>
      </c>
      <c r="E410" s="50">
        <v>1432676</v>
      </c>
      <c r="F410" s="50">
        <v>1432676</v>
      </c>
      <c r="G410" s="50">
        <v>1432676</v>
      </c>
      <c r="H410" s="50">
        <v>0</v>
      </c>
      <c r="I410" s="50">
        <v>0</v>
      </c>
      <c r="J410" s="50">
        <v>0</v>
      </c>
      <c r="K410" s="50">
        <v>1170358.99</v>
      </c>
      <c r="L410" s="152">
        <f t="shared" si="0"/>
        <v>0.81690416395612131</v>
      </c>
      <c r="M410" s="50">
        <v>1170358.99</v>
      </c>
      <c r="N410" s="152">
        <f t="shared" si="1"/>
        <v>0.81690416395612131</v>
      </c>
      <c r="O410" s="50">
        <v>262317.01</v>
      </c>
      <c r="P410" s="152">
        <f t="shared" si="2"/>
        <v>0.18309583604387875</v>
      </c>
      <c r="Q410" s="50">
        <v>262317.01</v>
      </c>
    </row>
    <row r="411" spans="1:17" hidden="1" x14ac:dyDescent="0.25">
      <c r="A411" s="49" t="s">
        <v>711</v>
      </c>
      <c r="B411" s="49" t="s">
        <v>194</v>
      </c>
      <c r="C411" s="49" t="s">
        <v>195</v>
      </c>
      <c r="D411" s="49" t="s">
        <v>69</v>
      </c>
      <c r="E411" s="50">
        <v>12125526</v>
      </c>
      <c r="F411" s="50">
        <v>5503256</v>
      </c>
      <c r="G411" s="50">
        <v>5503256</v>
      </c>
      <c r="H411" s="50">
        <v>0</v>
      </c>
      <c r="I411" s="50">
        <v>5138445.7</v>
      </c>
      <c r="J411" s="50">
        <v>0</v>
      </c>
      <c r="K411" s="50">
        <v>0</v>
      </c>
      <c r="L411" s="152">
        <f t="shared" si="0"/>
        <v>0</v>
      </c>
      <c r="M411" s="50">
        <v>0</v>
      </c>
      <c r="N411" s="152">
        <f t="shared" si="1"/>
        <v>0</v>
      </c>
      <c r="O411" s="50">
        <v>364810.3</v>
      </c>
      <c r="P411" s="152">
        <f t="shared" si="2"/>
        <v>6.6289901832660522E-2</v>
      </c>
      <c r="Q411" s="50">
        <v>364810.3</v>
      </c>
    </row>
    <row r="412" spans="1:17" hidden="1" x14ac:dyDescent="0.25">
      <c r="A412" s="49" t="s">
        <v>711</v>
      </c>
      <c r="B412" s="49" t="s">
        <v>196</v>
      </c>
      <c r="C412" s="49" t="s">
        <v>197</v>
      </c>
      <c r="D412" s="49" t="s">
        <v>69</v>
      </c>
      <c r="E412" s="50">
        <v>9704809902</v>
      </c>
      <c r="F412" s="50">
        <v>9683827239</v>
      </c>
      <c r="G412" s="50">
        <v>9683525554</v>
      </c>
      <c r="H412" s="50">
        <v>861015002.98000002</v>
      </c>
      <c r="I412" s="50">
        <v>564990288.23000002</v>
      </c>
      <c r="J412" s="50">
        <v>3157842.52</v>
      </c>
      <c r="K412" s="50">
        <v>5755482218.1300001</v>
      </c>
      <c r="L412" s="152">
        <f t="shared" si="0"/>
        <v>0.59433962173042032</v>
      </c>
      <c r="M412" s="50">
        <v>5733249541.6099997</v>
      </c>
      <c r="N412" s="152">
        <f t="shared" si="1"/>
        <v>0.59204376535346404</v>
      </c>
      <c r="O412" s="50">
        <v>2499181887.1399999</v>
      </c>
      <c r="P412" s="152">
        <f t="shared" si="2"/>
        <v>0.25807790922528662</v>
      </c>
      <c r="Q412" s="50">
        <v>2498880202.1399999</v>
      </c>
    </row>
    <row r="413" spans="1:17" hidden="1" x14ac:dyDescent="0.25">
      <c r="A413" s="49" t="s">
        <v>711</v>
      </c>
      <c r="B413" s="49" t="s">
        <v>579</v>
      </c>
      <c r="C413" s="49" t="s">
        <v>580</v>
      </c>
      <c r="D413" s="49" t="s">
        <v>69</v>
      </c>
      <c r="E413" s="50">
        <v>3494885</v>
      </c>
      <c r="F413" s="50">
        <v>2843230</v>
      </c>
      <c r="G413" s="50">
        <v>2541545</v>
      </c>
      <c r="H413" s="50">
        <v>0</v>
      </c>
      <c r="I413" s="50">
        <v>327640</v>
      </c>
      <c r="J413" s="50">
        <v>0</v>
      </c>
      <c r="K413" s="50">
        <v>1863935</v>
      </c>
      <c r="L413" s="152">
        <f t="shared" si="0"/>
        <v>0.65556954590377847</v>
      </c>
      <c r="M413" s="50">
        <v>1863935</v>
      </c>
      <c r="N413" s="152">
        <f t="shared" si="1"/>
        <v>0.65556954590377847</v>
      </c>
      <c r="O413" s="50">
        <v>651655</v>
      </c>
      <c r="P413" s="152">
        <f t="shared" si="2"/>
        <v>0.22919531659415524</v>
      </c>
      <c r="Q413" s="50">
        <v>349970</v>
      </c>
    </row>
    <row r="414" spans="1:17" hidden="1" x14ac:dyDescent="0.25">
      <c r="A414" s="49" t="s">
        <v>711</v>
      </c>
      <c r="B414" s="49" t="s">
        <v>198</v>
      </c>
      <c r="C414" s="49" t="s">
        <v>199</v>
      </c>
      <c r="D414" s="49" t="s">
        <v>69</v>
      </c>
      <c r="E414" s="50">
        <v>9654391017</v>
      </c>
      <c r="F414" s="50">
        <v>9654391017</v>
      </c>
      <c r="G414" s="50">
        <v>9654391017</v>
      </c>
      <c r="H414" s="50">
        <v>861015002.98000002</v>
      </c>
      <c r="I414" s="50">
        <v>554906929.08000004</v>
      </c>
      <c r="J414" s="50">
        <v>0</v>
      </c>
      <c r="K414" s="50">
        <v>5744238853.7700005</v>
      </c>
      <c r="L414" s="152">
        <f t="shared" si="0"/>
        <v>0.59498717668004319</v>
      </c>
      <c r="M414" s="50">
        <v>5722006177.25</v>
      </c>
      <c r="N414" s="152">
        <f t="shared" si="1"/>
        <v>0.59268432024084861</v>
      </c>
      <c r="O414" s="50">
        <v>2494230231.1700001</v>
      </c>
      <c r="P414" s="152">
        <f t="shared" si="2"/>
        <v>0.25835189674605241</v>
      </c>
      <c r="Q414" s="50">
        <v>2494230231.1700001</v>
      </c>
    </row>
    <row r="415" spans="1:17" hidden="1" x14ac:dyDescent="0.25">
      <c r="A415" s="49" t="s">
        <v>711</v>
      </c>
      <c r="B415" s="49" t="s">
        <v>352</v>
      </c>
      <c r="C415" s="49" t="s">
        <v>353</v>
      </c>
      <c r="D415" s="49" t="s">
        <v>69</v>
      </c>
      <c r="E415" s="50">
        <v>46924000</v>
      </c>
      <c r="F415" s="50">
        <v>26592992</v>
      </c>
      <c r="G415" s="50">
        <v>26592992</v>
      </c>
      <c r="H415" s="50">
        <v>0</v>
      </c>
      <c r="I415" s="50">
        <v>9755719.1500000004</v>
      </c>
      <c r="J415" s="50">
        <v>3157842.52</v>
      </c>
      <c r="K415" s="50">
        <v>9379429.3599999994</v>
      </c>
      <c r="L415" s="152">
        <f t="shared" si="0"/>
        <v>0.35270304898373223</v>
      </c>
      <c r="M415" s="50">
        <v>9379429.3599999994</v>
      </c>
      <c r="N415" s="152">
        <f t="shared" si="1"/>
        <v>0.35270304898373223</v>
      </c>
      <c r="O415" s="50">
        <v>4300000.97</v>
      </c>
      <c r="P415" s="152">
        <f t="shared" si="2"/>
        <v>0.1616967722172819</v>
      </c>
      <c r="Q415" s="50">
        <v>4300000.97</v>
      </c>
    </row>
    <row r="416" spans="1:17" hidden="1" x14ac:dyDescent="0.25">
      <c r="A416" s="49" t="s">
        <v>711</v>
      </c>
      <c r="B416" s="49" t="s">
        <v>198</v>
      </c>
      <c r="C416" s="49" t="s">
        <v>199</v>
      </c>
      <c r="D416" s="49" t="s">
        <v>85</v>
      </c>
      <c r="E416" s="50">
        <v>0</v>
      </c>
      <c r="F416" s="50">
        <v>0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152" t="e">
        <f t="shared" si="0"/>
        <v>#DIV/0!</v>
      </c>
      <c r="M416" s="50">
        <v>0</v>
      </c>
      <c r="N416" s="152" t="e">
        <f t="shared" si="1"/>
        <v>#DIV/0!</v>
      </c>
      <c r="O416" s="50">
        <v>0</v>
      </c>
      <c r="P416" s="152" t="e">
        <f t="shared" si="2"/>
        <v>#DIV/0!</v>
      </c>
      <c r="Q416" s="50">
        <v>0</v>
      </c>
    </row>
    <row r="417" spans="1:17" hidden="1" x14ac:dyDescent="0.25">
      <c r="A417" s="49" t="s">
        <v>711</v>
      </c>
      <c r="B417" s="49" t="s">
        <v>200</v>
      </c>
      <c r="C417" s="49" t="s">
        <v>201</v>
      </c>
      <c r="D417" s="49" t="s">
        <v>69</v>
      </c>
      <c r="E417" s="50">
        <v>9701312</v>
      </c>
      <c r="F417" s="50">
        <v>8721992</v>
      </c>
      <c r="G417" s="50">
        <v>7078749.8099999996</v>
      </c>
      <c r="H417" s="50">
        <v>0</v>
      </c>
      <c r="I417" s="50">
        <v>196680.3</v>
      </c>
      <c r="J417" s="50">
        <v>0</v>
      </c>
      <c r="K417" s="50">
        <v>5501736.3300000001</v>
      </c>
      <c r="L417" s="152">
        <f t="shared" si="0"/>
        <v>0.63078896770370807</v>
      </c>
      <c r="M417" s="50">
        <v>5489645.3300000001</v>
      </c>
      <c r="N417" s="152">
        <f t="shared" si="1"/>
        <v>0.62940270181398927</v>
      </c>
      <c r="O417" s="50">
        <v>3023575.37</v>
      </c>
      <c r="P417" s="152">
        <f t="shared" si="2"/>
        <v>0.34666110333510969</v>
      </c>
      <c r="Q417" s="50">
        <v>1380333.18</v>
      </c>
    </row>
    <row r="418" spans="1:17" hidden="1" x14ac:dyDescent="0.25">
      <c r="A418" s="49" t="s">
        <v>711</v>
      </c>
      <c r="B418" s="49" t="s">
        <v>314</v>
      </c>
      <c r="C418" s="49" t="s">
        <v>315</v>
      </c>
      <c r="D418" s="49" t="s">
        <v>69</v>
      </c>
      <c r="E418" s="50">
        <v>3440012</v>
      </c>
      <c r="F418" s="50">
        <v>3440012</v>
      </c>
      <c r="G418" s="50">
        <v>2712257.31</v>
      </c>
      <c r="H418" s="50">
        <v>0</v>
      </c>
      <c r="I418" s="50">
        <v>196680.3</v>
      </c>
      <c r="J418" s="50">
        <v>0</v>
      </c>
      <c r="K418" s="50">
        <v>2418048.58</v>
      </c>
      <c r="L418" s="152">
        <f t="shared" si="0"/>
        <v>0.70291864679541816</v>
      </c>
      <c r="M418" s="50">
        <v>2418048.58</v>
      </c>
      <c r="N418" s="152">
        <f t="shared" si="1"/>
        <v>0.70291864679541816</v>
      </c>
      <c r="O418" s="50">
        <v>825283.12</v>
      </c>
      <c r="P418" s="152">
        <f t="shared" si="2"/>
        <v>0.23990704683588313</v>
      </c>
      <c r="Q418" s="50">
        <v>97528.43</v>
      </c>
    </row>
    <row r="419" spans="1:17" hidden="1" x14ac:dyDescent="0.25">
      <c r="A419" s="49" t="s">
        <v>711</v>
      </c>
      <c r="B419" s="49" t="s">
        <v>316</v>
      </c>
      <c r="C419" s="49" t="s">
        <v>317</v>
      </c>
      <c r="D419" s="49" t="s">
        <v>69</v>
      </c>
      <c r="E419" s="50">
        <v>678950</v>
      </c>
      <c r="F419" s="50">
        <v>0</v>
      </c>
      <c r="G419" s="50">
        <v>0</v>
      </c>
      <c r="H419" s="50">
        <v>0</v>
      </c>
      <c r="I419" s="50">
        <v>0</v>
      </c>
      <c r="J419" s="50">
        <v>0</v>
      </c>
      <c r="K419" s="50">
        <v>0</v>
      </c>
      <c r="L419" s="152" t="e">
        <f t="shared" si="0"/>
        <v>#DIV/0!</v>
      </c>
      <c r="M419" s="50">
        <v>0</v>
      </c>
      <c r="N419" s="152" t="e">
        <f t="shared" si="1"/>
        <v>#DIV/0!</v>
      </c>
      <c r="O419" s="50">
        <v>0</v>
      </c>
      <c r="P419" s="152" t="e">
        <f t="shared" si="2"/>
        <v>#DIV/0!</v>
      </c>
      <c r="Q419" s="50">
        <v>0</v>
      </c>
    </row>
    <row r="420" spans="1:17" hidden="1" x14ac:dyDescent="0.25">
      <c r="A420" s="49" t="s">
        <v>711</v>
      </c>
      <c r="B420" s="49" t="s">
        <v>318</v>
      </c>
      <c r="C420" s="49" t="s">
        <v>319</v>
      </c>
      <c r="D420" s="49" t="s">
        <v>69</v>
      </c>
      <c r="E420" s="50">
        <v>648835</v>
      </c>
      <c r="F420" s="50">
        <v>600000</v>
      </c>
      <c r="G420" s="50">
        <v>60000</v>
      </c>
      <c r="H420" s="50">
        <v>0</v>
      </c>
      <c r="I420" s="50">
        <v>0</v>
      </c>
      <c r="J420" s="50">
        <v>0</v>
      </c>
      <c r="K420" s="50">
        <v>0</v>
      </c>
      <c r="L420" s="152">
        <f t="shared" si="0"/>
        <v>0</v>
      </c>
      <c r="M420" s="50">
        <v>0</v>
      </c>
      <c r="N420" s="152">
        <f t="shared" si="1"/>
        <v>0</v>
      </c>
      <c r="O420" s="50">
        <v>600000</v>
      </c>
      <c r="P420" s="152">
        <f t="shared" si="2"/>
        <v>1</v>
      </c>
      <c r="Q420" s="50">
        <v>60000</v>
      </c>
    </row>
    <row r="421" spans="1:17" hidden="1" x14ac:dyDescent="0.25">
      <c r="A421" s="49" t="s">
        <v>711</v>
      </c>
      <c r="B421" s="49" t="s">
        <v>202</v>
      </c>
      <c r="C421" s="49" t="s">
        <v>203</v>
      </c>
      <c r="D421" s="49" t="s">
        <v>69</v>
      </c>
      <c r="E421" s="50">
        <v>274510</v>
      </c>
      <c r="F421" s="50">
        <v>274510</v>
      </c>
      <c r="G421" s="50">
        <v>271864</v>
      </c>
      <c r="H421" s="50">
        <v>0</v>
      </c>
      <c r="I421" s="50">
        <v>0</v>
      </c>
      <c r="J421" s="50">
        <v>0</v>
      </c>
      <c r="K421" s="50">
        <v>112924.29</v>
      </c>
      <c r="L421" s="152">
        <f t="shared" si="0"/>
        <v>0.41136676259516958</v>
      </c>
      <c r="M421" s="50">
        <v>112924.29</v>
      </c>
      <c r="N421" s="152">
        <f t="shared" si="1"/>
        <v>0.41136676259516958</v>
      </c>
      <c r="O421" s="50">
        <v>161585.71</v>
      </c>
      <c r="P421" s="152">
        <f t="shared" si="2"/>
        <v>0.58863323740483042</v>
      </c>
      <c r="Q421" s="50">
        <v>158939.71</v>
      </c>
    </row>
    <row r="422" spans="1:17" hidden="1" x14ac:dyDescent="0.25">
      <c r="A422" s="49" t="s">
        <v>711</v>
      </c>
      <c r="B422" s="49" t="s">
        <v>204</v>
      </c>
      <c r="C422" s="49" t="s">
        <v>205</v>
      </c>
      <c r="D422" s="49" t="s">
        <v>69</v>
      </c>
      <c r="E422" s="50">
        <v>4524220</v>
      </c>
      <c r="F422" s="50">
        <v>4272685</v>
      </c>
      <c r="G422" s="50">
        <v>4021150</v>
      </c>
      <c r="H422" s="50">
        <v>0</v>
      </c>
      <c r="I422" s="50">
        <v>0</v>
      </c>
      <c r="J422" s="50">
        <v>0</v>
      </c>
      <c r="K422" s="50">
        <v>2970763.46</v>
      </c>
      <c r="L422" s="152">
        <f t="shared" si="0"/>
        <v>0.69529194405859551</v>
      </c>
      <c r="M422" s="50">
        <v>2958672.46</v>
      </c>
      <c r="N422" s="152">
        <f t="shared" si="1"/>
        <v>0.69246210755063853</v>
      </c>
      <c r="O422" s="50">
        <v>1301921.54</v>
      </c>
      <c r="P422" s="152">
        <f t="shared" si="2"/>
        <v>0.30470805594140454</v>
      </c>
      <c r="Q422" s="50">
        <v>1050386.54</v>
      </c>
    </row>
    <row r="423" spans="1:17" hidden="1" x14ac:dyDescent="0.25">
      <c r="A423" s="49" t="s">
        <v>711</v>
      </c>
      <c r="B423" s="49" t="s">
        <v>322</v>
      </c>
      <c r="C423" s="49" t="s">
        <v>323</v>
      </c>
      <c r="D423" s="49" t="s">
        <v>69</v>
      </c>
      <c r="E423" s="50">
        <v>134785</v>
      </c>
      <c r="F423" s="50">
        <v>134785</v>
      </c>
      <c r="G423" s="50">
        <v>13478.5</v>
      </c>
      <c r="H423" s="50">
        <v>0</v>
      </c>
      <c r="I423" s="50">
        <v>0</v>
      </c>
      <c r="J423" s="50">
        <v>0</v>
      </c>
      <c r="K423" s="50">
        <v>0</v>
      </c>
      <c r="L423" s="152">
        <f t="shared" si="0"/>
        <v>0</v>
      </c>
      <c r="M423" s="50">
        <v>0</v>
      </c>
      <c r="N423" s="152">
        <f t="shared" si="1"/>
        <v>0</v>
      </c>
      <c r="O423" s="50">
        <v>134785</v>
      </c>
      <c r="P423" s="152">
        <f t="shared" si="2"/>
        <v>1</v>
      </c>
      <c r="Q423" s="50">
        <v>13478.5</v>
      </c>
    </row>
    <row r="424" spans="1:17" hidden="1" x14ac:dyDescent="0.25">
      <c r="A424" s="49" t="s">
        <v>711</v>
      </c>
      <c r="B424" s="49" t="s">
        <v>206</v>
      </c>
      <c r="C424" s="49" t="s">
        <v>207</v>
      </c>
      <c r="D424" s="49" t="s">
        <v>69</v>
      </c>
      <c r="E424" s="50">
        <v>4818247</v>
      </c>
      <c r="F424" s="50">
        <v>0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152" t="e">
        <f t="shared" si="0"/>
        <v>#DIV/0!</v>
      </c>
      <c r="M424" s="50">
        <v>0</v>
      </c>
      <c r="N424" s="152" t="e">
        <f t="shared" si="1"/>
        <v>#DIV/0!</v>
      </c>
      <c r="O424" s="50">
        <v>0</v>
      </c>
      <c r="P424" s="152" t="e">
        <f t="shared" si="2"/>
        <v>#DIV/0!</v>
      </c>
      <c r="Q424" s="50">
        <v>0</v>
      </c>
    </row>
    <row r="425" spans="1:17" hidden="1" x14ac:dyDescent="0.25">
      <c r="A425" s="49" t="s">
        <v>711</v>
      </c>
      <c r="B425" s="49" t="s">
        <v>208</v>
      </c>
      <c r="C425" s="49" t="s">
        <v>209</v>
      </c>
      <c r="D425" s="49" t="s">
        <v>69</v>
      </c>
      <c r="E425" s="50">
        <v>4818247</v>
      </c>
      <c r="F425" s="50">
        <v>0</v>
      </c>
      <c r="G425" s="50">
        <v>0</v>
      </c>
      <c r="H425" s="50">
        <v>0</v>
      </c>
      <c r="I425" s="50">
        <v>0</v>
      </c>
      <c r="J425" s="50">
        <v>0</v>
      </c>
      <c r="K425" s="50">
        <v>0</v>
      </c>
      <c r="L425" s="152" t="e">
        <f t="shared" si="0"/>
        <v>#DIV/0!</v>
      </c>
      <c r="M425" s="50">
        <v>0</v>
      </c>
      <c r="N425" s="152" t="e">
        <f t="shared" si="1"/>
        <v>#DIV/0!</v>
      </c>
      <c r="O425" s="50">
        <v>0</v>
      </c>
      <c r="P425" s="152" t="e">
        <f t="shared" si="2"/>
        <v>#DIV/0!</v>
      </c>
      <c r="Q425" s="50">
        <v>0</v>
      </c>
    </row>
    <row r="426" spans="1:17" hidden="1" x14ac:dyDescent="0.25">
      <c r="A426" s="49" t="s">
        <v>711</v>
      </c>
      <c r="B426" s="49" t="s">
        <v>354</v>
      </c>
      <c r="C426" s="49" t="s">
        <v>355</v>
      </c>
      <c r="D426" s="49" t="s">
        <v>69</v>
      </c>
      <c r="E426" s="50">
        <v>2859160</v>
      </c>
      <c r="F426" s="50">
        <v>859160</v>
      </c>
      <c r="G426" s="50">
        <v>0</v>
      </c>
      <c r="H426" s="50">
        <v>0</v>
      </c>
      <c r="I426" s="50">
        <v>0</v>
      </c>
      <c r="J426" s="50">
        <v>0</v>
      </c>
      <c r="K426" s="50">
        <v>0</v>
      </c>
      <c r="L426" s="152">
        <f t="shared" si="0"/>
        <v>0</v>
      </c>
      <c r="M426" s="50">
        <v>0</v>
      </c>
      <c r="N426" s="152">
        <f t="shared" si="1"/>
        <v>0</v>
      </c>
      <c r="O426" s="50">
        <v>859160</v>
      </c>
      <c r="P426" s="152">
        <f t="shared" si="2"/>
        <v>1</v>
      </c>
      <c r="Q426" s="50">
        <v>0</v>
      </c>
    </row>
    <row r="427" spans="1:17" hidden="1" x14ac:dyDescent="0.25">
      <c r="A427" s="49" t="s">
        <v>711</v>
      </c>
      <c r="B427" s="49" t="s">
        <v>356</v>
      </c>
      <c r="C427" s="49" t="s">
        <v>357</v>
      </c>
      <c r="D427" s="49" t="s">
        <v>69</v>
      </c>
      <c r="E427" s="50">
        <v>2859160</v>
      </c>
      <c r="F427" s="50">
        <v>859160</v>
      </c>
      <c r="G427" s="50">
        <v>0</v>
      </c>
      <c r="H427" s="50">
        <v>0</v>
      </c>
      <c r="I427" s="50">
        <v>0</v>
      </c>
      <c r="J427" s="50">
        <v>0</v>
      </c>
      <c r="K427" s="50">
        <v>0</v>
      </c>
      <c r="L427" s="152">
        <f t="shared" si="0"/>
        <v>0</v>
      </c>
      <c r="M427" s="50">
        <v>0</v>
      </c>
      <c r="N427" s="152">
        <f t="shared" si="1"/>
        <v>0</v>
      </c>
      <c r="O427" s="50">
        <v>859160</v>
      </c>
      <c r="P427" s="152">
        <f t="shared" si="2"/>
        <v>1</v>
      </c>
      <c r="Q427" s="50">
        <v>0</v>
      </c>
    </row>
    <row r="428" spans="1:17" hidden="1" x14ac:dyDescent="0.25">
      <c r="A428" s="49" t="s">
        <v>711</v>
      </c>
      <c r="B428" s="49" t="s">
        <v>212</v>
      </c>
      <c r="C428" s="49" t="s">
        <v>213</v>
      </c>
      <c r="D428" s="49" t="s">
        <v>69</v>
      </c>
      <c r="E428" s="50">
        <v>20687802</v>
      </c>
      <c r="F428" s="50">
        <v>19255602</v>
      </c>
      <c r="G428" s="50">
        <v>15333981.199999999</v>
      </c>
      <c r="H428" s="50">
        <v>563889.92000000004</v>
      </c>
      <c r="I428" s="50">
        <v>7357968.6900000004</v>
      </c>
      <c r="J428" s="50">
        <v>0</v>
      </c>
      <c r="K428" s="50">
        <v>2999493.02</v>
      </c>
      <c r="L428" s="152">
        <f t="shared" si="0"/>
        <v>0.15577248740392535</v>
      </c>
      <c r="M428" s="50">
        <v>2999493.02</v>
      </c>
      <c r="N428" s="152">
        <f t="shared" si="1"/>
        <v>0.15577248740392535</v>
      </c>
      <c r="O428" s="50">
        <v>8334250.3700000001</v>
      </c>
      <c r="P428" s="152">
        <f t="shared" si="2"/>
        <v>0.43282211431249984</v>
      </c>
      <c r="Q428" s="50">
        <v>4412629.57</v>
      </c>
    </row>
    <row r="429" spans="1:17" hidden="1" x14ac:dyDescent="0.25">
      <c r="A429" s="49" t="s">
        <v>711</v>
      </c>
      <c r="B429" s="49" t="s">
        <v>216</v>
      </c>
      <c r="C429" s="49" t="s">
        <v>217</v>
      </c>
      <c r="D429" s="49" t="s">
        <v>69</v>
      </c>
      <c r="E429" s="50">
        <v>9443712</v>
      </c>
      <c r="F429" s="50">
        <v>9443712</v>
      </c>
      <c r="G429" s="50">
        <v>5525693.2000000002</v>
      </c>
      <c r="H429" s="50">
        <v>310219.40000000002</v>
      </c>
      <c r="I429" s="50">
        <v>2605851.42</v>
      </c>
      <c r="J429" s="50">
        <v>0</v>
      </c>
      <c r="K429" s="50">
        <v>0</v>
      </c>
      <c r="L429" s="152">
        <f t="shared" si="0"/>
        <v>0</v>
      </c>
      <c r="M429" s="50">
        <v>0</v>
      </c>
      <c r="N429" s="152">
        <f t="shared" si="1"/>
        <v>0</v>
      </c>
      <c r="O429" s="50">
        <v>6527641.1799999997</v>
      </c>
      <c r="P429" s="152">
        <f t="shared" si="2"/>
        <v>0.69121561309790047</v>
      </c>
      <c r="Q429" s="50">
        <v>2609622.38</v>
      </c>
    </row>
    <row r="430" spans="1:17" hidden="1" x14ac:dyDescent="0.25">
      <c r="A430" s="49" t="s">
        <v>711</v>
      </c>
      <c r="B430" s="49" t="s">
        <v>218</v>
      </c>
      <c r="C430" s="49" t="s">
        <v>219</v>
      </c>
      <c r="D430" s="49" t="s">
        <v>69</v>
      </c>
      <c r="E430" s="50">
        <v>4708500</v>
      </c>
      <c r="F430" s="50">
        <v>4708500</v>
      </c>
      <c r="G430" s="50">
        <v>4706173</v>
      </c>
      <c r="H430" s="50">
        <v>253670.52</v>
      </c>
      <c r="I430" s="50">
        <v>3454713.4</v>
      </c>
      <c r="J430" s="50">
        <v>0</v>
      </c>
      <c r="K430" s="50">
        <v>0</v>
      </c>
      <c r="L430" s="152">
        <f t="shared" si="0"/>
        <v>0</v>
      </c>
      <c r="M430" s="50">
        <v>0</v>
      </c>
      <c r="N430" s="152">
        <f t="shared" si="1"/>
        <v>0</v>
      </c>
      <c r="O430" s="50">
        <v>1000116.08</v>
      </c>
      <c r="P430" s="152">
        <f t="shared" si="2"/>
        <v>0.21240651587554421</v>
      </c>
      <c r="Q430" s="50">
        <v>997789.08</v>
      </c>
    </row>
    <row r="431" spans="1:17" hidden="1" x14ac:dyDescent="0.25">
      <c r="A431" s="49" t="s">
        <v>711</v>
      </c>
      <c r="B431" s="49" t="s">
        <v>220</v>
      </c>
      <c r="C431" s="49" t="s">
        <v>221</v>
      </c>
      <c r="D431" s="49" t="s">
        <v>69</v>
      </c>
      <c r="E431" s="50">
        <v>4306450</v>
      </c>
      <c r="F431" s="50">
        <v>3981750</v>
      </c>
      <c r="G431" s="50">
        <v>3981750</v>
      </c>
      <c r="H431" s="50">
        <v>0</v>
      </c>
      <c r="I431" s="50">
        <v>1265600.02</v>
      </c>
      <c r="J431" s="50">
        <v>0</v>
      </c>
      <c r="K431" s="50">
        <v>2409124.52</v>
      </c>
      <c r="L431" s="152">
        <f t="shared" si="0"/>
        <v>0.60504163244804421</v>
      </c>
      <c r="M431" s="50">
        <v>2409124.52</v>
      </c>
      <c r="N431" s="152">
        <f t="shared" si="1"/>
        <v>0.60504163244804421</v>
      </c>
      <c r="O431" s="50">
        <v>307025.46000000002</v>
      </c>
      <c r="P431" s="152">
        <f t="shared" si="2"/>
        <v>7.710817103032587E-2</v>
      </c>
      <c r="Q431" s="50">
        <v>307025.46000000002</v>
      </c>
    </row>
    <row r="432" spans="1:17" hidden="1" x14ac:dyDescent="0.25">
      <c r="A432" s="49" t="s">
        <v>711</v>
      </c>
      <c r="B432" s="49" t="s">
        <v>222</v>
      </c>
      <c r="C432" s="49" t="s">
        <v>223</v>
      </c>
      <c r="D432" s="49" t="s">
        <v>69</v>
      </c>
      <c r="E432" s="50">
        <v>842640</v>
      </c>
      <c r="F432" s="50">
        <v>842640</v>
      </c>
      <c r="G432" s="50">
        <v>842640</v>
      </c>
      <c r="H432" s="50">
        <v>0</v>
      </c>
      <c r="I432" s="50">
        <v>0</v>
      </c>
      <c r="J432" s="50">
        <v>0</v>
      </c>
      <c r="K432" s="50">
        <v>590368.5</v>
      </c>
      <c r="L432" s="152">
        <f t="shared" si="0"/>
        <v>0.70061770150954139</v>
      </c>
      <c r="M432" s="50">
        <v>590368.5</v>
      </c>
      <c r="N432" s="152">
        <f t="shared" si="1"/>
        <v>0.70061770150954139</v>
      </c>
      <c r="O432" s="50">
        <v>252271.5</v>
      </c>
      <c r="P432" s="152">
        <f t="shared" si="2"/>
        <v>0.29938229849045855</v>
      </c>
      <c r="Q432" s="50">
        <v>252271.5</v>
      </c>
    </row>
    <row r="433" spans="1:17" hidden="1" x14ac:dyDescent="0.25">
      <c r="A433" s="49" t="s">
        <v>711</v>
      </c>
      <c r="B433" s="49" t="s">
        <v>224</v>
      </c>
      <c r="C433" s="49" t="s">
        <v>225</v>
      </c>
      <c r="D433" s="49" t="s">
        <v>69</v>
      </c>
      <c r="E433" s="50">
        <v>887300</v>
      </c>
      <c r="F433" s="50">
        <v>162000</v>
      </c>
      <c r="G433" s="50">
        <v>160725</v>
      </c>
      <c r="H433" s="50">
        <v>0</v>
      </c>
      <c r="I433" s="50">
        <v>31803.85</v>
      </c>
      <c r="J433" s="50">
        <v>0</v>
      </c>
      <c r="K433" s="50">
        <v>0</v>
      </c>
      <c r="L433" s="152">
        <f t="shared" si="0"/>
        <v>0</v>
      </c>
      <c r="M433" s="50">
        <v>0</v>
      </c>
      <c r="N433" s="152">
        <f t="shared" si="1"/>
        <v>0</v>
      </c>
      <c r="O433" s="50">
        <v>130196.15</v>
      </c>
      <c r="P433" s="152">
        <f t="shared" si="2"/>
        <v>0.80367993827160489</v>
      </c>
      <c r="Q433" s="50">
        <v>128921.15</v>
      </c>
    </row>
    <row r="434" spans="1:17" hidden="1" x14ac:dyDescent="0.25">
      <c r="A434" s="49" t="s">
        <v>711</v>
      </c>
      <c r="B434" s="49" t="s">
        <v>228</v>
      </c>
      <c r="C434" s="49" t="s">
        <v>229</v>
      </c>
      <c r="D434" s="49" t="s">
        <v>69</v>
      </c>
      <c r="E434" s="50">
        <v>499200</v>
      </c>
      <c r="F434" s="50">
        <v>117000</v>
      </c>
      <c r="G434" s="50">
        <v>117000</v>
      </c>
      <c r="H434" s="50">
        <v>0</v>
      </c>
      <c r="I434" s="50">
        <v>0</v>
      </c>
      <c r="J434" s="50">
        <v>0</v>
      </c>
      <c r="K434" s="50">
        <v>0</v>
      </c>
      <c r="L434" s="152">
        <f t="shared" si="0"/>
        <v>0</v>
      </c>
      <c r="M434" s="50">
        <v>0</v>
      </c>
      <c r="N434" s="152">
        <f t="shared" si="1"/>
        <v>0</v>
      </c>
      <c r="O434" s="50">
        <v>117000</v>
      </c>
      <c r="P434" s="152">
        <f t="shared" si="2"/>
        <v>1</v>
      </c>
      <c r="Q434" s="50">
        <v>117000</v>
      </c>
    </row>
    <row r="435" spans="1:17" hidden="1" x14ac:dyDescent="0.25">
      <c r="A435" s="49" t="s">
        <v>711</v>
      </c>
      <c r="B435" s="49" t="s">
        <v>222</v>
      </c>
      <c r="C435" s="49" t="s">
        <v>223</v>
      </c>
      <c r="D435" s="49" t="s">
        <v>85</v>
      </c>
      <c r="E435" s="50">
        <v>0</v>
      </c>
      <c r="F435" s="50">
        <v>0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152" t="e">
        <f t="shared" si="0"/>
        <v>#DIV/0!</v>
      </c>
      <c r="M435" s="50">
        <v>0</v>
      </c>
      <c r="N435" s="152" t="e">
        <f t="shared" si="1"/>
        <v>#DIV/0!</v>
      </c>
      <c r="O435" s="50">
        <v>0</v>
      </c>
      <c r="P435" s="152" t="e">
        <f t="shared" si="2"/>
        <v>#DIV/0!</v>
      </c>
      <c r="Q435" s="50">
        <v>0</v>
      </c>
    </row>
    <row r="436" spans="1:17" hidden="1" x14ac:dyDescent="0.25">
      <c r="A436" s="49" t="s">
        <v>711</v>
      </c>
      <c r="B436" s="49" t="s">
        <v>248</v>
      </c>
      <c r="C436" s="49" t="s">
        <v>249</v>
      </c>
      <c r="D436" s="49" t="s">
        <v>69</v>
      </c>
      <c r="E436" s="50">
        <v>236354526</v>
      </c>
      <c r="F436" s="50">
        <v>232014843</v>
      </c>
      <c r="G436" s="50">
        <v>231974843</v>
      </c>
      <c r="H436" s="50">
        <v>0</v>
      </c>
      <c r="I436" s="50">
        <v>52876726</v>
      </c>
      <c r="J436" s="50">
        <v>0</v>
      </c>
      <c r="K436" s="50">
        <v>177748494.5</v>
      </c>
      <c r="L436" s="152">
        <f t="shared" si="0"/>
        <v>0.76610828945973941</v>
      </c>
      <c r="M436" s="50">
        <v>177748494.5</v>
      </c>
      <c r="N436" s="152">
        <f t="shared" si="1"/>
        <v>0.76610828945973941</v>
      </c>
      <c r="O436" s="50">
        <v>1389622.5</v>
      </c>
      <c r="P436" s="152">
        <f t="shared" si="2"/>
        <v>5.9893689646399045E-3</v>
      </c>
      <c r="Q436" s="50">
        <v>1349622.5</v>
      </c>
    </row>
    <row r="437" spans="1:17" hidden="1" x14ac:dyDescent="0.25">
      <c r="A437" s="49" t="s">
        <v>711</v>
      </c>
      <c r="B437" s="49" t="s">
        <v>250</v>
      </c>
      <c r="C437" s="49" t="s">
        <v>251</v>
      </c>
      <c r="D437" s="49" t="s">
        <v>69</v>
      </c>
      <c r="E437" s="50">
        <v>180354526</v>
      </c>
      <c r="F437" s="50">
        <v>176014843</v>
      </c>
      <c r="G437" s="50">
        <v>175974843</v>
      </c>
      <c r="H437" s="50">
        <v>0</v>
      </c>
      <c r="I437" s="50">
        <v>52876726</v>
      </c>
      <c r="J437" s="50">
        <v>0</v>
      </c>
      <c r="K437" s="50">
        <v>121787975</v>
      </c>
      <c r="L437" s="152">
        <f t="shared" si="0"/>
        <v>0.69191877755445885</v>
      </c>
      <c r="M437" s="50">
        <v>121787975</v>
      </c>
      <c r="N437" s="152">
        <f t="shared" si="1"/>
        <v>0.69191877755445885</v>
      </c>
      <c r="O437" s="50">
        <v>1350142</v>
      </c>
      <c r="P437" s="152">
        <f t="shared" si="2"/>
        <v>7.6706144606225055E-3</v>
      </c>
      <c r="Q437" s="50">
        <v>1310142</v>
      </c>
    </row>
    <row r="438" spans="1:17" hidden="1" x14ac:dyDescent="0.25">
      <c r="A438" s="49" t="s">
        <v>711</v>
      </c>
      <c r="B438" s="49" t="s">
        <v>630</v>
      </c>
      <c r="C438" s="49" t="s">
        <v>702</v>
      </c>
      <c r="D438" s="49" t="s">
        <v>69</v>
      </c>
      <c r="E438" s="50">
        <v>153192762</v>
      </c>
      <c r="F438" s="50">
        <v>149506644</v>
      </c>
      <c r="G438" s="50">
        <v>149466644</v>
      </c>
      <c r="H438" s="50">
        <v>0</v>
      </c>
      <c r="I438" s="50">
        <v>45101678</v>
      </c>
      <c r="J438" s="50">
        <v>0</v>
      </c>
      <c r="K438" s="50">
        <v>103258158</v>
      </c>
      <c r="L438" s="152">
        <f t="shared" si="0"/>
        <v>0.69065932615008063</v>
      </c>
      <c r="M438" s="50">
        <v>103258158</v>
      </c>
      <c r="N438" s="152">
        <f t="shared" si="1"/>
        <v>0.69065932615008063</v>
      </c>
      <c r="O438" s="50">
        <v>1146808</v>
      </c>
      <c r="P438" s="152">
        <f t="shared" si="2"/>
        <v>7.6706156282927464E-3</v>
      </c>
      <c r="Q438" s="50">
        <v>1106808</v>
      </c>
    </row>
    <row r="439" spans="1:17" hidden="1" x14ac:dyDescent="0.25">
      <c r="A439" s="49" t="s">
        <v>711</v>
      </c>
      <c r="B439" s="49" t="s">
        <v>645</v>
      </c>
      <c r="C439" s="49" t="s">
        <v>703</v>
      </c>
      <c r="D439" s="49" t="s">
        <v>69</v>
      </c>
      <c r="E439" s="50">
        <v>27161764</v>
      </c>
      <c r="F439" s="50">
        <v>26508199</v>
      </c>
      <c r="G439" s="50">
        <v>26508199</v>
      </c>
      <c r="H439" s="50">
        <v>0</v>
      </c>
      <c r="I439" s="50">
        <v>7775048</v>
      </c>
      <c r="J439" s="50">
        <v>0</v>
      </c>
      <c r="K439" s="50">
        <v>18529817</v>
      </c>
      <c r="L439" s="152">
        <f t="shared" si="0"/>
        <v>0.69902210255777841</v>
      </c>
      <c r="M439" s="50">
        <v>18529817</v>
      </c>
      <c r="N439" s="152">
        <f t="shared" si="1"/>
        <v>0.69902210255777841</v>
      </c>
      <c r="O439" s="50">
        <v>203334</v>
      </c>
      <c r="P439" s="152">
        <f t="shared" si="2"/>
        <v>7.6706078749446543E-3</v>
      </c>
      <c r="Q439" s="50">
        <v>203334</v>
      </c>
    </row>
    <row r="440" spans="1:17" hidden="1" x14ac:dyDescent="0.25">
      <c r="A440" s="49" t="s">
        <v>711</v>
      </c>
      <c r="B440" s="49" t="s">
        <v>260</v>
      </c>
      <c r="C440" s="49" t="s">
        <v>261</v>
      </c>
      <c r="D440" s="49" t="s">
        <v>69</v>
      </c>
      <c r="E440" s="50">
        <v>56000000</v>
      </c>
      <c r="F440" s="50">
        <v>56000000</v>
      </c>
      <c r="G440" s="50">
        <v>56000000</v>
      </c>
      <c r="H440" s="50">
        <v>0</v>
      </c>
      <c r="I440" s="50">
        <v>0</v>
      </c>
      <c r="J440" s="50">
        <v>0</v>
      </c>
      <c r="K440" s="50">
        <v>55960519.5</v>
      </c>
      <c r="L440" s="152">
        <f t="shared" si="0"/>
        <v>0.99929499107142861</v>
      </c>
      <c r="M440" s="50">
        <v>55960519.5</v>
      </c>
      <c r="N440" s="152">
        <f t="shared" si="1"/>
        <v>0.99929499107142861</v>
      </c>
      <c r="O440" s="50">
        <v>39480.5</v>
      </c>
      <c r="P440" s="152">
        <f t="shared" si="2"/>
        <v>7.0500892857142854E-4</v>
      </c>
      <c r="Q440" s="50">
        <v>39480.5</v>
      </c>
    </row>
    <row r="441" spans="1:17" hidden="1" x14ac:dyDescent="0.25">
      <c r="A441" s="49" t="s">
        <v>711</v>
      </c>
      <c r="B441" s="49" t="s">
        <v>264</v>
      </c>
      <c r="C441" s="49" t="s">
        <v>265</v>
      </c>
      <c r="D441" s="49" t="s">
        <v>69</v>
      </c>
      <c r="E441" s="50">
        <v>56000000</v>
      </c>
      <c r="F441" s="50">
        <v>56000000</v>
      </c>
      <c r="G441" s="50">
        <v>56000000</v>
      </c>
      <c r="H441" s="50">
        <v>0</v>
      </c>
      <c r="I441" s="50">
        <v>0</v>
      </c>
      <c r="J441" s="50">
        <v>0</v>
      </c>
      <c r="K441" s="50">
        <v>55960519.5</v>
      </c>
      <c r="L441" s="152">
        <f t="shared" si="0"/>
        <v>0.99929499107142861</v>
      </c>
      <c r="M441" s="50">
        <v>55960519.5</v>
      </c>
      <c r="N441" s="152">
        <f t="shared" si="1"/>
        <v>0.99929499107142861</v>
      </c>
      <c r="O441" s="50">
        <v>39480.5</v>
      </c>
      <c r="P441" s="152">
        <f t="shared" si="2"/>
        <v>7.0500892857142854E-4</v>
      </c>
      <c r="Q441" s="50">
        <v>39480.5</v>
      </c>
    </row>
    <row r="442" spans="1:17" hidden="1" x14ac:dyDescent="0.25">
      <c r="A442" s="49" t="s">
        <v>711</v>
      </c>
      <c r="B442" s="49" t="s">
        <v>230</v>
      </c>
      <c r="C442" s="49" t="s">
        <v>231</v>
      </c>
      <c r="D442" s="49" t="s">
        <v>85</v>
      </c>
      <c r="E442" s="50">
        <v>53324000</v>
      </c>
      <c r="F442" s="50">
        <v>51342000</v>
      </c>
      <c r="G442" s="50">
        <v>51194969</v>
      </c>
      <c r="H442" s="50">
        <v>41524067.979999997</v>
      </c>
      <c r="I442" s="50">
        <v>0</v>
      </c>
      <c r="J442" s="50">
        <v>823993.91</v>
      </c>
      <c r="K442" s="50">
        <v>8800000</v>
      </c>
      <c r="L442" s="152">
        <f t="shared" si="0"/>
        <v>0.17139963382805501</v>
      </c>
      <c r="M442" s="50">
        <v>8800000</v>
      </c>
      <c r="N442" s="152">
        <f t="shared" si="1"/>
        <v>0.17139963382805501</v>
      </c>
      <c r="O442" s="50">
        <v>193938.11</v>
      </c>
      <c r="P442" s="152">
        <f t="shared" si="2"/>
        <v>3.7773773908301193E-3</v>
      </c>
      <c r="Q442" s="50">
        <v>46907.11</v>
      </c>
    </row>
    <row r="443" spans="1:17" hidden="1" x14ac:dyDescent="0.25">
      <c r="A443" s="49" t="s">
        <v>711</v>
      </c>
      <c r="B443" s="49" t="s">
        <v>232</v>
      </c>
      <c r="C443" s="49" t="s">
        <v>233</v>
      </c>
      <c r="D443" s="49" t="s">
        <v>85</v>
      </c>
      <c r="E443" s="50">
        <v>45824000</v>
      </c>
      <c r="F443" s="50">
        <v>42525000</v>
      </c>
      <c r="G443" s="50">
        <v>42377969</v>
      </c>
      <c r="H443" s="50">
        <v>41524067.979999997</v>
      </c>
      <c r="I443" s="50">
        <v>0</v>
      </c>
      <c r="J443" s="50">
        <v>823993.91</v>
      </c>
      <c r="K443" s="50">
        <v>0</v>
      </c>
      <c r="L443" s="152">
        <f t="shared" si="0"/>
        <v>0</v>
      </c>
      <c r="M443" s="50">
        <v>0</v>
      </c>
      <c r="N443" s="152">
        <f t="shared" si="1"/>
        <v>0</v>
      </c>
      <c r="O443" s="50">
        <v>176938.11</v>
      </c>
      <c r="P443" s="152">
        <f t="shared" si="2"/>
        <v>4.1608021164021161E-3</v>
      </c>
      <c r="Q443" s="50">
        <v>29907.11</v>
      </c>
    </row>
    <row r="444" spans="1:17" hidden="1" x14ac:dyDescent="0.25">
      <c r="A444" s="49" t="s">
        <v>711</v>
      </c>
      <c r="B444" s="49" t="s">
        <v>234</v>
      </c>
      <c r="C444" s="49" t="s">
        <v>235</v>
      </c>
      <c r="D444" s="49" t="s">
        <v>85</v>
      </c>
      <c r="E444" s="50">
        <v>3490000</v>
      </c>
      <c r="F444" s="50">
        <v>790000</v>
      </c>
      <c r="G444" s="50">
        <v>754000</v>
      </c>
      <c r="H444" s="50">
        <v>0</v>
      </c>
      <c r="I444" s="50">
        <v>0</v>
      </c>
      <c r="J444" s="50">
        <v>749985.6</v>
      </c>
      <c r="K444" s="50">
        <v>0</v>
      </c>
      <c r="L444" s="152">
        <f t="shared" si="0"/>
        <v>0</v>
      </c>
      <c r="M444" s="50">
        <v>0</v>
      </c>
      <c r="N444" s="152">
        <f t="shared" si="1"/>
        <v>0</v>
      </c>
      <c r="O444" s="50">
        <v>40014.400000000001</v>
      </c>
      <c r="P444" s="152">
        <f t="shared" si="2"/>
        <v>5.0651139240506328E-2</v>
      </c>
      <c r="Q444" s="50">
        <v>4014.4</v>
      </c>
    </row>
    <row r="445" spans="1:17" hidden="1" x14ac:dyDescent="0.25">
      <c r="A445" s="49" t="s">
        <v>711</v>
      </c>
      <c r="B445" s="49" t="s">
        <v>238</v>
      </c>
      <c r="C445" s="49" t="s">
        <v>239</v>
      </c>
      <c r="D445" s="49" t="s">
        <v>85</v>
      </c>
      <c r="E445" s="50">
        <v>420000</v>
      </c>
      <c r="F445" s="50">
        <v>0</v>
      </c>
      <c r="G445" s="50">
        <v>0</v>
      </c>
      <c r="H445" s="50">
        <v>0</v>
      </c>
      <c r="I445" s="50">
        <v>0</v>
      </c>
      <c r="J445" s="50">
        <v>0</v>
      </c>
      <c r="K445" s="50">
        <v>0</v>
      </c>
      <c r="L445" s="152" t="e">
        <f t="shared" si="0"/>
        <v>#DIV/0!</v>
      </c>
      <c r="M445" s="50">
        <v>0</v>
      </c>
      <c r="N445" s="152" t="e">
        <f t="shared" si="1"/>
        <v>#DIV/0!</v>
      </c>
      <c r="O445" s="50">
        <v>0</v>
      </c>
      <c r="P445" s="152" t="e">
        <f t="shared" si="2"/>
        <v>#DIV/0!</v>
      </c>
      <c r="Q445" s="50">
        <v>0</v>
      </c>
    </row>
    <row r="446" spans="1:17" hidden="1" x14ac:dyDescent="0.25">
      <c r="A446" s="49" t="s">
        <v>711</v>
      </c>
      <c r="B446" s="49" t="s">
        <v>326</v>
      </c>
      <c r="C446" s="49" t="s">
        <v>327</v>
      </c>
      <c r="D446" s="49" t="s">
        <v>85</v>
      </c>
      <c r="E446" s="50">
        <v>41125000</v>
      </c>
      <c r="F446" s="50">
        <v>41545000</v>
      </c>
      <c r="G446" s="50">
        <v>41524069</v>
      </c>
      <c r="H446" s="50">
        <v>41524067.979999997</v>
      </c>
      <c r="I446" s="50">
        <v>0</v>
      </c>
      <c r="J446" s="50">
        <v>0</v>
      </c>
      <c r="K446" s="50">
        <v>0</v>
      </c>
      <c r="L446" s="152">
        <f t="shared" si="0"/>
        <v>0</v>
      </c>
      <c r="M446" s="50">
        <v>0</v>
      </c>
      <c r="N446" s="152">
        <f t="shared" si="1"/>
        <v>0</v>
      </c>
      <c r="O446" s="50">
        <v>20932.02</v>
      </c>
      <c r="P446" s="152">
        <f t="shared" si="2"/>
        <v>5.0383969190034904E-4</v>
      </c>
      <c r="Q446" s="50">
        <v>1.02</v>
      </c>
    </row>
    <row r="447" spans="1:17" hidden="1" x14ac:dyDescent="0.25">
      <c r="A447" s="49" t="s">
        <v>711</v>
      </c>
      <c r="B447" s="49" t="s">
        <v>242</v>
      </c>
      <c r="C447" s="49" t="s">
        <v>243</v>
      </c>
      <c r="D447" s="49" t="s">
        <v>85</v>
      </c>
      <c r="E447" s="50">
        <v>789000</v>
      </c>
      <c r="F447" s="50">
        <v>190000</v>
      </c>
      <c r="G447" s="50">
        <v>99900</v>
      </c>
      <c r="H447" s="50">
        <v>0</v>
      </c>
      <c r="I447" s="50">
        <v>0</v>
      </c>
      <c r="J447" s="50">
        <v>74008.31</v>
      </c>
      <c r="K447" s="50">
        <v>0</v>
      </c>
      <c r="L447" s="152">
        <f t="shared" si="0"/>
        <v>0</v>
      </c>
      <c r="M447" s="50">
        <v>0</v>
      </c>
      <c r="N447" s="152">
        <f t="shared" si="1"/>
        <v>0</v>
      </c>
      <c r="O447" s="50">
        <v>115991.69</v>
      </c>
      <c r="P447" s="152">
        <f t="shared" si="2"/>
        <v>0.61048257894736846</v>
      </c>
      <c r="Q447" s="50">
        <v>25891.69</v>
      </c>
    </row>
    <row r="448" spans="1:17" hidden="1" x14ac:dyDescent="0.25">
      <c r="A448" s="49" t="s">
        <v>711</v>
      </c>
      <c r="B448" s="49" t="s">
        <v>244</v>
      </c>
      <c r="C448" s="49" t="s">
        <v>245</v>
      </c>
      <c r="D448" s="49" t="s">
        <v>85</v>
      </c>
      <c r="E448" s="50">
        <v>7500000</v>
      </c>
      <c r="F448" s="50">
        <v>8817000</v>
      </c>
      <c r="G448" s="50">
        <v>8817000</v>
      </c>
      <c r="H448" s="50">
        <v>0</v>
      </c>
      <c r="I448" s="50">
        <v>0</v>
      </c>
      <c r="J448" s="50">
        <v>0</v>
      </c>
      <c r="K448" s="50">
        <v>8800000</v>
      </c>
      <c r="L448" s="152">
        <f t="shared" si="0"/>
        <v>0.99807190654417599</v>
      </c>
      <c r="M448" s="50">
        <v>8800000</v>
      </c>
      <c r="N448" s="152">
        <f t="shared" si="1"/>
        <v>0.99807190654417599</v>
      </c>
      <c r="O448" s="50">
        <v>17000</v>
      </c>
      <c r="P448" s="152">
        <f t="shared" si="2"/>
        <v>1.9280934558239763E-3</v>
      </c>
      <c r="Q448" s="50">
        <v>17000</v>
      </c>
    </row>
    <row r="449" spans="1:17" hidden="1" x14ac:dyDescent="0.25">
      <c r="A449" s="49" t="s">
        <v>711</v>
      </c>
      <c r="B449" s="49" t="s">
        <v>611</v>
      </c>
      <c r="C449" s="49" t="s">
        <v>612</v>
      </c>
      <c r="D449" s="49" t="s">
        <v>85</v>
      </c>
      <c r="E449" s="50">
        <v>7500000</v>
      </c>
      <c r="F449" s="50">
        <v>8817000</v>
      </c>
      <c r="G449" s="50">
        <v>8817000</v>
      </c>
      <c r="H449" s="50">
        <v>0</v>
      </c>
      <c r="I449" s="50">
        <v>0</v>
      </c>
      <c r="J449" s="50">
        <v>0</v>
      </c>
      <c r="K449" s="50">
        <v>8800000</v>
      </c>
      <c r="L449" s="152">
        <f t="shared" si="0"/>
        <v>0.99807190654417599</v>
      </c>
      <c r="M449" s="50">
        <v>8800000</v>
      </c>
      <c r="N449" s="152">
        <f t="shared" si="1"/>
        <v>0.99807190654417599</v>
      </c>
      <c r="O449" s="50">
        <v>17000</v>
      </c>
      <c r="P449" s="152">
        <f t="shared" si="2"/>
        <v>1.9280934558239763E-3</v>
      </c>
      <c r="Q449" s="50">
        <v>17000</v>
      </c>
    </row>
    <row r="450" spans="1:17" x14ac:dyDescent="0.25">
      <c r="A450" s="49">
        <v>214789002</v>
      </c>
      <c r="B450" s="49"/>
      <c r="C450" s="49"/>
      <c r="D450" s="49" t="s">
        <v>69</v>
      </c>
      <c r="E450" s="50">
        <v>2218633702</v>
      </c>
      <c r="F450" s="50">
        <v>2188337693</v>
      </c>
      <c r="G450" s="50">
        <v>2007563728.8299999</v>
      </c>
      <c r="H450" s="50">
        <v>41427074.869999997</v>
      </c>
      <c r="I450" s="50">
        <v>108782117.02</v>
      </c>
      <c r="J450" s="50">
        <v>493765.37</v>
      </c>
      <c r="K450" s="50">
        <v>1432815921.23</v>
      </c>
      <c r="L450" s="152">
        <f t="shared" si="0"/>
        <v>0.65475083019099645</v>
      </c>
      <c r="M450" s="50">
        <v>1429589225.6099999</v>
      </c>
      <c r="N450" s="152">
        <f t="shared" si="1"/>
        <v>0.65327633398763552</v>
      </c>
      <c r="O450" s="50">
        <v>604818814.50999999</v>
      </c>
      <c r="P450" s="152">
        <f t="shared" si="2"/>
        <v>0.27638276141962886</v>
      </c>
      <c r="Q450" s="50">
        <v>424044850.33999997</v>
      </c>
    </row>
    <row r="451" spans="1:17" hidden="1" x14ac:dyDescent="0.25">
      <c r="A451" s="49" t="s">
        <v>712</v>
      </c>
      <c r="B451" s="49" t="s">
        <v>71</v>
      </c>
      <c r="C451" s="49" t="s">
        <v>72</v>
      </c>
      <c r="D451" s="49" t="s">
        <v>69</v>
      </c>
      <c r="E451" s="50">
        <v>1258145726</v>
      </c>
      <c r="F451" s="50">
        <v>1228348840</v>
      </c>
      <c r="G451" s="50">
        <v>1225548840</v>
      </c>
      <c r="H451" s="50">
        <v>0</v>
      </c>
      <c r="I451" s="50">
        <v>43145975</v>
      </c>
      <c r="J451" s="50">
        <v>0</v>
      </c>
      <c r="K451" s="50">
        <v>926047916.73000002</v>
      </c>
      <c r="L451" s="152">
        <f t="shared" si="0"/>
        <v>0.75389652073917379</v>
      </c>
      <c r="M451" s="50">
        <v>926047916.73000002</v>
      </c>
      <c r="N451" s="152">
        <f t="shared" si="1"/>
        <v>0.75389652073917379</v>
      </c>
      <c r="O451" s="50">
        <v>259154948.27000001</v>
      </c>
      <c r="P451" s="152">
        <f t="shared" si="2"/>
        <v>0.21097829853447822</v>
      </c>
      <c r="Q451" s="50">
        <v>256354948.27000001</v>
      </c>
    </row>
    <row r="452" spans="1:17" hidden="1" x14ac:dyDescent="0.25">
      <c r="A452" s="49" t="s">
        <v>712</v>
      </c>
      <c r="B452" s="49" t="s">
        <v>73</v>
      </c>
      <c r="C452" s="49" t="s">
        <v>74</v>
      </c>
      <c r="D452" s="49" t="s">
        <v>69</v>
      </c>
      <c r="E452" s="50">
        <v>493376624</v>
      </c>
      <c r="F452" s="50">
        <v>477092402</v>
      </c>
      <c r="G452" s="50">
        <v>477092402</v>
      </c>
      <c r="H452" s="50">
        <v>0</v>
      </c>
      <c r="I452" s="50">
        <v>0</v>
      </c>
      <c r="J452" s="50">
        <v>0</v>
      </c>
      <c r="K452" s="50">
        <v>381551464.77999997</v>
      </c>
      <c r="L452" s="152">
        <f t="shared" si="0"/>
        <v>0.79974332682833205</v>
      </c>
      <c r="M452" s="50">
        <v>381551464.77999997</v>
      </c>
      <c r="N452" s="152">
        <f t="shared" si="1"/>
        <v>0.79974332682833205</v>
      </c>
      <c r="O452" s="50">
        <v>95540937.219999999</v>
      </c>
      <c r="P452" s="152">
        <f t="shared" si="2"/>
        <v>0.2002566731716679</v>
      </c>
      <c r="Q452" s="50">
        <v>95540937.219999999</v>
      </c>
    </row>
    <row r="453" spans="1:17" hidden="1" x14ac:dyDescent="0.25">
      <c r="A453" s="49" t="s">
        <v>712</v>
      </c>
      <c r="B453" s="49" t="s">
        <v>75</v>
      </c>
      <c r="C453" s="49" t="s">
        <v>76</v>
      </c>
      <c r="D453" s="49" t="s">
        <v>69</v>
      </c>
      <c r="E453" s="50">
        <v>493376624</v>
      </c>
      <c r="F453" s="50">
        <v>477092402</v>
      </c>
      <c r="G453" s="50">
        <v>477092402</v>
      </c>
      <c r="H453" s="50">
        <v>0</v>
      </c>
      <c r="I453" s="50">
        <v>0</v>
      </c>
      <c r="J453" s="50">
        <v>0</v>
      </c>
      <c r="K453" s="50">
        <v>381551464.77999997</v>
      </c>
      <c r="L453" s="152">
        <f t="shared" si="0"/>
        <v>0.79974332682833205</v>
      </c>
      <c r="M453" s="50">
        <v>381551464.77999997</v>
      </c>
      <c r="N453" s="152">
        <f t="shared" si="1"/>
        <v>0.79974332682833205</v>
      </c>
      <c r="O453" s="50">
        <v>95540937.219999999</v>
      </c>
      <c r="P453" s="152">
        <f t="shared" si="2"/>
        <v>0.2002566731716679</v>
      </c>
      <c r="Q453" s="50">
        <v>95540937.219999999</v>
      </c>
    </row>
    <row r="454" spans="1:17" hidden="1" x14ac:dyDescent="0.25">
      <c r="A454" s="49" t="s">
        <v>712</v>
      </c>
      <c r="B454" s="49" t="s">
        <v>77</v>
      </c>
      <c r="C454" s="49" t="s">
        <v>78</v>
      </c>
      <c r="D454" s="49" t="s">
        <v>69</v>
      </c>
      <c r="E454" s="50">
        <v>572843880</v>
      </c>
      <c r="F454" s="50">
        <v>563876622</v>
      </c>
      <c r="G454" s="50">
        <v>563876622</v>
      </c>
      <c r="H454" s="50">
        <v>0</v>
      </c>
      <c r="I454" s="50">
        <v>0</v>
      </c>
      <c r="J454" s="50">
        <v>0</v>
      </c>
      <c r="K454" s="50">
        <v>404393440.94999999</v>
      </c>
      <c r="L454" s="152">
        <f t="shared" si="0"/>
        <v>0.71716653106785477</v>
      </c>
      <c r="M454" s="50">
        <v>404393440.94999999</v>
      </c>
      <c r="N454" s="152">
        <f t="shared" si="1"/>
        <v>0.71716653106785477</v>
      </c>
      <c r="O454" s="50">
        <v>159483181.05000001</v>
      </c>
      <c r="P454" s="152">
        <f t="shared" si="2"/>
        <v>0.28283346893214523</v>
      </c>
      <c r="Q454" s="50">
        <v>159483181.05000001</v>
      </c>
    </row>
    <row r="455" spans="1:17" hidden="1" x14ac:dyDescent="0.25">
      <c r="A455" s="49" t="s">
        <v>712</v>
      </c>
      <c r="B455" s="49" t="s">
        <v>79</v>
      </c>
      <c r="C455" s="49" t="s">
        <v>80</v>
      </c>
      <c r="D455" s="49" t="s">
        <v>69</v>
      </c>
      <c r="E455" s="50">
        <v>166263500</v>
      </c>
      <c r="F455" s="50">
        <v>166263500</v>
      </c>
      <c r="G455" s="50">
        <v>166263500</v>
      </c>
      <c r="H455" s="50">
        <v>0</v>
      </c>
      <c r="I455" s="50">
        <v>0</v>
      </c>
      <c r="J455" s="50">
        <v>0</v>
      </c>
      <c r="K455" s="50">
        <v>124221456.68000001</v>
      </c>
      <c r="L455" s="152">
        <f t="shared" si="0"/>
        <v>0.74713606221449691</v>
      </c>
      <c r="M455" s="50">
        <v>124221456.68000001</v>
      </c>
      <c r="N455" s="152">
        <f t="shared" si="1"/>
        <v>0.74713606221449691</v>
      </c>
      <c r="O455" s="50">
        <v>42042043.32</v>
      </c>
      <c r="P455" s="152">
        <f t="shared" si="2"/>
        <v>0.25286393778550315</v>
      </c>
      <c r="Q455" s="50">
        <v>42042043.32</v>
      </c>
    </row>
    <row r="456" spans="1:17" hidden="1" x14ac:dyDescent="0.25">
      <c r="A456" s="49" t="s">
        <v>712</v>
      </c>
      <c r="B456" s="49" t="s">
        <v>81</v>
      </c>
      <c r="C456" s="49" t="s">
        <v>82</v>
      </c>
      <c r="D456" s="49" t="s">
        <v>69</v>
      </c>
      <c r="E456" s="50">
        <v>139725380</v>
      </c>
      <c r="F456" s="50">
        <v>133724590</v>
      </c>
      <c r="G456" s="50">
        <v>133724590</v>
      </c>
      <c r="H456" s="50">
        <v>0</v>
      </c>
      <c r="I456" s="50">
        <v>0</v>
      </c>
      <c r="J456" s="50">
        <v>0</v>
      </c>
      <c r="K456" s="50">
        <v>121322307.91</v>
      </c>
      <c r="L456" s="152">
        <f t="shared" si="0"/>
        <v>0.90725503746169645</v>
      </c>
      <c r="M456" s="50">
        <v>121322307.91</v>
      </c>
      <c r="N456" s="152">
        <f t="shared" si="1"/>
        <v>0.90725503746169645</v>
      </c>
      <c r="O456" s="50">
        <v>12402282.09</v>
      </c>
      <c r="P456" s="152">
        <f t="shared" si="2"/>
        <v>9.2744962538303541E-2</v>
      </c>
      <c r="Q456" s="50">
        <v>12402282.09</v>
      </c>
    </row>
    <row r="457" spans="1:17" hidden="1" x14ac:dyDescent="0.25">
      <c r="A457" s="49" t="s">
        <v>712</v>
      </c>
      <c r="B457" s="49" t="s">
        <v>86</v>
      </c>
      <c r="C457" s="49" t="s">
        <v>87</v>
      </c>
      <c r="D457" s="49" t="s">
        <v>69</v>
      </c>
      <c r="E457" s="50">
        <v>75278800</v>
      </c>
      <c r="F457" s="50">
        <v>75278800</v>
      </c>
      <c r="G457" s="50">
        <v>75278800</v>
      </c>
      <c r="H457" s="50">
        <v>0</v>
      </c>
      <c r="I457" s="50">
        <v>0</v>
      </c>
      <c r="J457" s="50">
        <v>0</v>
      </c>
      <c r="K457" s="50">
        <v>63401849.280000001</v>
      </c>
      <c r="L457" s="152">
        <f t="shared" si="0"/>
        <v>0.84222715133609993</v>
      </c>
      <c r="M457" s="50">
        <v>63401849.280000001</v>
      </c>
      <c r="N457" s="152">
        <f t="shared" si="1"/>
        <v>0.84222715133609993</v>
      </c>
      <c r="O457" s="50">
        <v>11876950.720000001</v>
      </c>
      <c r="P457" s="152">
        <f t="shared" si="2"/>
        <v>0.15777284866390007</v>
      </c>
      <c r="Q457" s="50">
        <v>11876950.720000001</v>
      </c>
    </row>
    <row r="458" spans="1:17" hidden="1" x14ac:dyDescent="0.25">
      <c r="A458" s="49" t="s">
        <v>712</v>
      </c>
      <c r="B458" s="49" t="s">
        <v>88</v>
      </c>
      <c r="C458" s="49" t="s">
        <v>89</v>
      </c>
      <c r="D458" s="49" t="s">
        <v>69</v>
      </c>
      <c r="E458" s="50">
        <v>109589600</v>
      </c>
      <c r="F458" s="50">
        <v>108564836</v>
      </c>
      <c r="G458" s="50">
        <v>108564836</v>
      </c>
      <c r="H458" s="50">
        <v>0</v>
      </c>
      <c r="I458" s="50">
        <v>0</v>
      </c>
      <c r="J458" s="50">
        <v>0</v>
      </c>
      <c r="K458" s="50">
        <v>95405343.769999996</v>
      </c>
      <c r="L458" s="152">
        <f t="shared" si="0"/>
        <v>0.87878679031947315</v>
      </c>
      <c r="M458" s="50">
        <v>95405343.769999996</v>
      </c>
      <c r="N458" s="152">
        <f t="shared" si="1"/>
        <v>0.87878679031947315</v>
      </c>
      <c r="O458" s="50">
        <v>13159492.23</v>
      </c>
      <c r="P458" s="152">
        <f t="shared" si="2"/>
        <v>0.12121320968052676</v>
      </c>
      <c r="Q458" s="50">
        <v>13159492.23</v>
      </c>
    </row>
    <row r="459" spans="1:17" hidden="1" x14ac:dyDescent="0.25">
      <c r="A459" s="49" t="s">
        <v>712</v>
      </c>
      <c r="B459" s="49" t="s">
        <v>83</v>
      </c>
      <c r="C459" s="49" t="s">
        <v>84</v>
      </c>
      <c r="D459" s="49" t="s">
        <v>85</v>
      </c>
      <c r="E459" s="50">
        <v>81986600</v>
      </c>
      <c r="F459" s="50">
        <v>80044896</v>
      </c>
      <c r="G459" s="50">
        <v>80044896</v>
      </c>
      <c r="H459" s="50">
        <v>0</v>
      </c>
      <c r="I459" s="50">
        <v>0</v>
      </c>
      <c r="J459" s="50">
        <v>0</v>
      </c>
      <c r="K459" s="50">
        <v>42483.31</v>
      </c>
      <c r="L459" s="152">
        <f t="shared" si="0"/>
        <v>5.3074352173560196E-4</v>
      </c>
      <c r="M459" s="50">
        <v>42483.31</v>
      </c>
      <c r="N459" s="152">
        <f t="shared" si="1"/>
        <v>5.3074352173560196E-4</v>
      </c>
      <c r="O459" s="50">
        <v>80002412.689999998</v>
      </c>
      <c r="P459" s="152">
        <f t="shared" si="2"/>
        <v>0.99946925647826435</v>
      </c>
      <c r="Q459" s="50">
        <v>80002412.689999998</v>
      </c>
    </row>
    <row r="460" spans="1:17" hidden="1" x14ac:dyDescent="0.25">
      <c r="A460" s="49" t="s">
        <v>712</v>
      </c>
      <c r="B460" s="49" t="s">
        <v>90</v>
      </c>
      <c r="C460" s="49" t="s">
        <v>91</v>
      </c>
      <c r="D460" s="49" t="s">
        <v>69</v>
      </c>
      <c r="E460" s="50">
        <v>95962711</v>
      </c>
      <c r="F460" s="50">
        <v>93690008</v>
      </c>
      <c r="G460" s="50">
        <v>93690008</v>
      </c>
      <c r="H460" s="50">
        <v>0</v>
      </c>
      <c r="I460" s="50">
        <v>22909849</v>
      </c>
      <c r="J460" s="50">
        <v>0</v>
      </c>
      <c r="K460" s="50">
        <v>70114744</v>
      </c>
      <c r="L460" s="152">
        <f t="shared" si="0"/>
        <v>0.74836949528278407</v>
      </c>
      <c r="M460" s="50">
        <v>70114744</v>
      </c>
      <c r="N460" s="152">
        <f t="shared" si="1"/>
        <v>0.74836949528278407</v>
      </c>
      <c r="O460" s="50">
        <v>665415</v>
      </c>
      <c r="P460" s="152">
        <f t="shared" si="2"/>
        <v>7.1023048690528447E-3</v>
      </c>
      <c r="Q460" s="50">
        <v>665415</v>
      </c>
    </row>
    <row r="461" spans="1:17" hidden="1" x14ac:dyDescent="0.25">
      <c r="A461" s="49" t="s">
        <v>712</v>
      </c>
      <c r="B461" s="49" t="s">
        <v>422</v>
      </c>
      <c r="C461" s="49" t="s">
        <v>697</v>
      </c>
      <c r="D461" s="49" t="s">
        <v>69</v>
      </c>
      <c r="E461" s="50">
        <v>91041575</v>
      </c>
      <c r="F461" s="50">
        <v>88885421</v>
      </c>
      <c r="G461" s="50">
        <v>88885421</v>
      </c>
      <c r="H461" s="50">
        <v>0</v>
      </c>
      <c r="I461" s="50">
        <v>21735012</v>
      </c>
      <c r="J461" s="50">
        <v>0</v>
      </c>
      <c r="K461" s="50">
        <v>66519117</v>
      </c>
      <c r="L461" s="152">
        <f t="shared" si="0"/>
        <v>0.7483692629413321</v>
      </c>
      <c r="M461" s="50">
        <v>66519117</v>
      </c>
      <c r="N461" s="152">
        <f t="shared" si="1"/>
        <v>0.7483692629413321</v>
      </c>
      <c r="O461" s="50">
        <v>631292</v>
      </c>
      <c r="P461" s="152">
        <f t="shared" si="2"/>
        <v>7.1023120878282164E-3</v>
      </c>
      <c r="Q461" s="50">
        <v>631292</v>
      </c>
    </row>
    <row r="462" spans="1:17" hidden="1" x14ac:dyDescent="0.25">
      <c r="A462" s="49" t="s">
        <v>712</v>
      </c>
      <c r="B462" s="49" t="s">
        <v>439</v>
      </c>
      <c r="C462" s="49" t="s">
        <v>95</v>
      </c>
      <c r="D462" s="49" t="s">
        <v>69</v>
      </c>
      <c r="E462" s="50">
        <v>4921136</v>
      </c>
      <c r="F462" s="50">
        <v>4804587</v>
      </c>
      <c r="G462" s="50">
        <v>4804587</v>
      </c>
      <c r="H462" s="50">
        <v>0</v>
      </c>
      <c r="I462" s="50">
        <v>1174837</v>
      </c>
      <c r="J462" s="50">
        <v>0</v>
      </c>
      <c r="K462" s="50">
        <v>3595627</v>
      </c>
      <c r="L462" s="152">
        <f t="shared" si="0"/>
        <v>0.74837379362679868</v>
      </c>
      <c r="M462" s="50">
        <v>3595627</v>
      </c>
      <c r="N462" s="152">
        <f t="shared" si="1"/>
        <v>0.74837379362679868</v>
      </c>
      <c r="O462" s="50">
        <v>34123</v>
      </c>
      <c r="P462" s="152">
        <f t="shared" si="2"/>
        <v>7.1021713208648321E-3</v>
      </c>
      <c r="Q462" s="50">
        <v>34123</v>
      </c>
    </row>
    <row r="463" spans="1:17" hidden="1" x14ac:dyDescent="0.25">
      <c r="A463" s="49" t="s">
        <v>712</v>
      </c>
      <c r="B463" s="49" t="s">
        <v>96</v>
      </c>
      <c r="C463" s="49" t="s">
        <v>97</v>
      </c>
      <c r="D463" s="49" t="s">
        <v>69</v>
      </c>
      <c r="E463" s="50">
        <v>95962511</v>
      </c>
      <c r="F463" s="50">
        <v>93689808</v>
      </c>
      <c r="G463" s="50">
        <v>90889808</v>
      </c>
      <c r="H463" s="50">
        <v>0</v>
      </c>
      <c r="I463" s="50">
        <v>20236126</v>
      </c>
      <c r="J463" s="50">
        <v>0</v>
      </c>
      <c r="K463" s="50">
        <v>69988267</v>
      </c>
      <c r="L463" s="152">
        <f t="shared" si="0"/>
        <v>0.7470211380943379</v>
      </c>
      <c r="M463" s="50">
        <v>69988267</v>
      </c>
      <c r="N463" s="152">
        <f t="shared" si="1"/>
        <v>0.7470211380943379</v>
      </c>
      <c r="O463" s="50">
        <v>3465415</v>
      </c>
      <c r="P463" s="152">
        <f t="shared" si="2"/>
        <v>3.6988174850352988E-2</v>
      </c>
      <c r="Q463" s="50">
        <v>665415</v>
      </c>
    </row>
    <row r="464" spans="1:17" hidden="1" x14ac:dyDescent="0.25">
      <c r="A464" s="49" t="s">
        <v>712</v>
      </c>
      <c r="B464" s="49" t="s">
        <v>457</v>
      </c>
      <c r="C464" s="49" t="s">
        <v>698</v>
      </c>
      <c r="D464" s="49" t="s">
        <v>69</v>
      </c>
      <c r="E464" s="50">
        <v>51672183</v>
      </c>
      <c r="F464" s="50">
        <v>50448420</v>
      </c>
      <c r="G464" s="50">
        <v>50448420</v>
      </c>
      <c r="H464" s="50">
        <v>0</v>
      </c>
      <c r="I464" s="50">
        <v>12462504</v>
      </c>
      <c r="J464" s="50">
        <v>0</v>
      </c>
      <c r="K464" s="50">
        <v>37627615</v>
      </c>
      <c r="L464" s="152">
        <f t="shared" si="0"/>
        <v>0.74586310136174727</v>
      </c>
      <c r="M464" s="50">
        <v>37627615</v>
      </c>
      <c r="N464" s="152">
        <f t="shared" si="1"/>
        <v>0.74586310136174727</v>
      </c>
      <c r="O464" s="50">
        <v>358301</v>
      </c>
      <c r="P464" s="152">
        <f t="shared" si="2"/>
        <v>7.1023235217277372E-3</v>
      </c>
      <c r="Q464" s="50">
        <v>358301</v>
      </c>
    </row>
    <row r="465" spans="1:17" hidden="1" x14ac:dyDescent="0.25">
      <c r="A465" s="49" t="s">
        <v>712</v>
      </c>
      <c r="B465" s="49" t="s">
        <v>474</v>
      </c>
      <c r="C465" s="49" t="s">
        <v>699</v>
      </c>
      <c r="D465" s="49" t="s">
        <v>69</v>
      </c>
      <c r="E465" s="50">
        <v>14763409</v>
      </c>
      <c r="F465" s="50">
        <v>14413762</v>
      </c>
      <c r="G465" s="50">
        <v>14413762</v>
      </c>
      <c r="H465" s="50">
        <v>0</v>
      </c>
      <c r="I465" s="50">
        <v>3524508</v>
      </c>
      <c r="J465" s="50">
        <v>0</v>
      </c>
      <c r="K465" s="50">
        <v>10786883</v>
      </c>
      <c r="L465" s="152">
        <f t="shared" si="0"/>
        <v>0.74837388046229703</v>
      </c>
      <c r="M465" s="50">
        <v>10786883</v>
      </c>
      <c r="N465" s="152">
        <f t="shared" si="1"/>
        <v>0.74837388046229703</v>
      </c>
      <c r="O465" s="50">
        <v>102371</v>
      </c>
      <c r="P465" s="152">
        <f t="shared" si="2"/>
        <v>7.1023095844096771E-3</v>
      </c>
      <c r="Q465" s="50">
        <v>102371</v>
      </c>
    </row>
    <row r="466" spans="1:17" hidden="1" x14ac:dyDescent="0.25">
      <c r="A466" s="49" t="s">
        <v>712</v>
      </c>
      <c r="B466" s="49" t="s">
        <v>491</v>
      </c>
      <c r="C466" s="49" t="s">
        <v>700</v>
      </c>
      <c r="D466" s="49" t="s">
        <v>69</v>
      </c>
      <c r="E466" s="50">
        <v>29526919</v>
      </c>
      <c r="F466" s="50">
        <v>28827626</v>
      </c>
      <c r="G466" s="50">
        <v>26027626</v>
      </c>
      <c r="H466" s="50">
        <v>0</v>
      </c>
      <c r="I466" s="50">
        <v>4249114</v>
      </c>
      <c r="J466" s="50">
        <v>0</v>
      </c>
      <c r="K466" s="50">
        <v>21573769</v>
      </c>
      <c r="L466" s="152">
        <f t="shared" si="0"/>
        <v>0.74837133657832244</v>
      </c>
      <c r="M466" s="50">
        <v>21573769</v>
      </c>
      <c r="N466" s="152">
        <f t="shared" si="1"/>
        <v>0.74837133657832244</v>
      </c>
      <c r="O466" s="50">
        <v>3004743</v>
      </c>
      <c r="P466" s="152">
        <f t="shared" si="2"/>
        <v>0.10423137167104915</v>
      </c>
      <c r="Q466" s="50">
        <v>204743</v>
      </c>
    </row>
    <row r="467" spans="1:17" hidden="1" x14ac:dyDescent="0.25">
      <c r="A467" s="49" t="s">
        <v>712</v>
      </c>
      <c r="B467" s="49" t="s">
        <v>104</v>
      </c>
      <c r="C467" s="49" t="s">
        <v>105</v>
      </c>
      <c r="D467" s="49" t="s">
        <v>69</v>
      </c>
      <c r="E467" s="50">
        <v>306630000</v>
      </c>
      <c r="F467" s="50">
        <v>306606621</v>
      </c>
      <c r="G467" s="50">
        <v>306606620.5</v>
      </c>
      <c r="H467" s="50">
        <v>0</v>
      </c>
      <c r="I467" s="50">
        <v>21919648.710000001</v>
      </c>
      <c r="J467" s="50">
        <v>0</v>
      </c>
      <c r="K467" s="50">
        <v>239490358.86000001</v>
      </c>
      <c r="L467" s="152">
        <f t="shared" si="0"/>
        <v>0.78109976255209446</v>
      </c>
      <c r="M467" s="50">
        <v>238277169</v>
      </c>
      <c r="N467" s="152">
        <f t="shared" si="1"/>
        <v>0.77714293390944089</v>
      </c>
      <c r="O467" s="50">
        <v>45196613.43</v>
      </c>
      <c r="P467" s="152">
        <f t="shared" si="2"/>
        <v>0.1474091240514992</v>
      </c>
      <c r="Q467" s="50">
        <v>45196612.93</v>
      </c>
    </row>
    <row r="468" spans="1:17" hidden="1" x14ac:dyDescent="0.25">
      <c r="A468" s="49" t="s">
        <v>712</v>
      </c>
      <c r="B468" s="49" t="s">
        <v>112</v>
      </c>
      <c r="C468" s="49" t="s">
        <v>113</v>
      </c>
      <c r="D468" s="49" t="s">
        <v>69</v>
      </c>
      <c r="E468" s="50">
        <v>291630000</v>
      </c>
      <c r="F468" s="50">
        <v>291640000</v>
      </c>
      <c r="G468" s="50">
        <v>291639999.5</v>
      </c>
      <c r="H468" s="50">
        <v>0</v>
      </c>
      <c r="I468" s="50">
        <v>10050220.77</v>
      </c>
      <c r="J468" s="50">
        <v>0</v>
      </c>
      <c r="K468" s="50">
        <v>237118825.34999999</v>
      </c>
      <c r="L468" s="152">
        <f t="shared" si="0"/>
        <v>0.81305316606089695</v>
      </c>
      <c r="M468" s="50">
        <v>237118825.34999999</v>
      </c>
      <c r="N468" s="152">
        <f t="shared" si="1"/>
        <v>0.81305316606089695</v>
      </c>
      <c r="O468" s="50">
        <v>44470953.880000003</v>
      </c>
      <c r="P468" s="152">
        <f t="shared" si="2"/>
        <v>0.15248578343162805</v>
      </c>
      <c r="Q468" s="50">
        <v>44470953.380000003</v>
      </c>
    </row>
    <row r="469" spans="1:17" hidden="1" x14ac:dyDescent="0.25">
      <c r="A469" s="49" t="s">
        <v>712</v>
      </c>
      <c r="B469" s="49" t="s">
        <v>114</v>
      </c>
      <c r="C469" s="49" t="s">
        <v>115</v>
      </c>
      <c r="D469" s="49" t="s">
        <v>69</v>
      </c>
      <c r="E469" s="50">
        <v>221840000</v>
      </c>
      <c r="F469" s="50">
        <v>221840000</v>
      </c>
      <c r="G469" s="50">
        <v>221839999.5</v>
      </c>
      <c r="H469" s="50">
        <v>0</v>
      </c>
      <c r="I469" s="50">
        <v>4904956.12</v>
      </c>
      <c r="J469" s="50">
        <v>0</v>
      </c>
      <c r="K469" s="50">
        <v>192059090</v>
      </c>
      <c r="L469" s="152">
        <f t="shared" si="0"/>
        <v>0.86575500360620272</v>
      </c>
      <c r="M469" s="50">
        <v>192059090</v>
      </c>
      <c r="N469" s="152">
        <f t="shared" si="1"/>
        <v>0.86575500360620272</v>
      </c>
      <c r="O469" s="50">
        <v>24875953.879999999</v>
      </c>
      <c r="P469" s="152">
        <f t="shared" si="2"/>
        <v>0.11213466408222142</v>
      </c>
      <c r="Q469" s="50">
        <v>24875953.379999999</v>
      </c>
    </row>
    <row r="470" spans="1:17" hidden="1" x14ac:dyDescent="0.25">
      <c r="A470" s="49" t="s">
        <v>712</v>
      </c>
      <c r="B470" s="49" t="s">
        <v>116</v>
      </c>
      <c r="C470" s="49" t="s">
        <v>117</v>
      </c>
      <c r="D470" s="49" t="s">
        <v>69</v>
      </c>
      <c r="E470" s="50">
        <v>52200000</v>
      </c>
      <c r="F470" s="50">
        <v>52200000</v>
      </c>
      <c r="G470" s="50">
        <v>52200000</v>
      </c>
      <c r="H470" s="50">
        <v>0</v>
      </c>
      <c r="I470" s="50">
        <v>3589310</v>
      </c>
      <c r="J470" s="50">
        <v>0</v>
      </c>
      <c r="K470" s="50">
        <v>35560690</v>
      </c>
      <c r="L470" s="152">
        <f t="shared" si="0"/>
        <v>0.68123927203065138</v>
      </c>
      <c r="M470" s="50">
        <v>35560690</v>
      </c>
      <c r="N470" s="152">
        <f t="shared" si="1"/>
        <v>0.68123927203065138</v>
      </c>
      <c r="O470" s="50">
        <v>13050000</v>
      </c>
      <c r="P470" s="152">
        <f t="shared" si="2"/>
        <v>0.25</v>
      </c>
      <c r="Q470" s="50">
        <v>13050000</v>
      </c>
    </row>
    <row r="471" spans="1:17" hidden="1" x14ac:dyDescent="0.25">
      <c r="A471" s="49" t="s">
        <v>712</v>
      </c>
      <c r="B471" s="49" t="s">
        <v>120</v>
      </c>
      <c r="C471" s="49" t="s">
        <v>121</v>
      </c>
      <c r="D471" s="49" t="s">
        <v>69</v>
      </c>
      <c r="E471" s="50">
        <v>13090000</v>
      </c>
      <c r="F471" s="50">
        <v>13090000</v>
      </c>
      <c r="G471" s="50">
        <v>13090000</v>
      </c>
      <c r="H471" s="50">
        <v>0</v>
      </c>
      <c r="I471" s="50">
        <v>1553779.65</v>
      </c>
      <c r="J471" s="50">
        <v>0</v>
      </c>
      <c r="K471" s="50">
        <v>4991220.3499999996</v>
      </c>
      <c r="L471" s="152">
        <f t="shared" si="0"/>
        <v>0.38130025592055</v>
      </c>
      <c r="M471" s="50">
        <v>4991220.3499999996</v>
      </c>
      <c r="N471" s="152">
        <f t="shared" si="1"/>
        <v>0.38130025592055</v>
      </c>
      <c r="O471" s="50">
        <v>6545000</v>
      </c>
      <c r="P471" s="152">
        <f t="shared" si="2"/>
        <v>0.5</v>
      </c>
      <c r="Q471" s="50">
        <v>6545000</v>
      </c>
    </row>
    <row r="472" spans="1:17" hidden="1" x14ac:dyDescent="0.25">
      <c r="A472" s="49" t="s">
        <v>712</v>
      </c>
      <c r="B472" s="49" t="s">
        <v>122</v>
      </c>
      <c r="C472" s="49" t="s">
        <v>123</v>
      </c>
      <c r="D472" s="49" t="s">
        <v>69</v>
      </c>
      <c r="E472" s="50">
        <v>4500000</v>
      </c>
      <c r="F472" s="50">
        <v>4510000</v>
      </c>
      <c r="G472" s="50">
        <v>4510000</v>
      </c>
      <c r="H472" s="50">
        <v>0</v>
      </c>
      <c r="I472" s="50">
        <v>2175</v>
      </c>
      <c r="J472" s="50">
        <v>0</v>
      </c>
      <c r="K472" s="50">
        <v>4507825</v>
      </c>
      <c r="L472" s="152">
        <f t="shared" si="0"/>
        <v>0.99951773835920177</v>
      </c>
      <c r="M472" s="50">
        <v>4507825</v>
      </c>
      <c r="N472" s="152">
        <f t="shared" si="1"/>
        <v>0.99951773835920177</v>
      </c>
      <c r="O472" s="50">
        <v>0</v>
      </c>
      <c r="P472" s="152">
        <f t="shared" si="2"/>
        <v>0</v>
      </c>
      <c r="Q472" s="50">
        <v>0</v>
      </c>
    </row>
    <row r="473" spans="1:17" hidden="1" x14ac:dyDescent="0.25">
      <c r="A473" s="49" t="s">
        <v>712</v>
      </c>
      <c r="B473" s="49" t="s">
        <v>162</v>
      </c>
      <c r="C473" s="49" t="s">
        <v>163</v>
      </c>
      <c r="D473" s="49" t="s">
        <v>69</v>
      </c>
      <c r="E473" s="50">
        <v>15000000</v>
      </c>
      <c r="F473" s="50">
        <v>14966621</v>
      </c>
      <c r="G473" s="50">
        <v>14966621</v>
      </c>
      <c r="H473" s="50">
        <v>0</v>
      </c>
      <c r="I473" s="50">
        <v>11869427.939999999</v>
      </c>
      <c r="J473" s="50">
        <v>0</v>
      </c>
      <c r="K473" s="50">
        <v>2371533.5099999998</v>
      </c>
      <c r="L473" s="152">
        <f t="shared" si="0"/>
        <v>0.15845483826977377</v>
      </c>
      <c r="M473" s="50">
        <v>1158343.6499999999</v>
      </c>
      <c r="N473" s="152">
        <f t="shared" si="1"/>
        <v>7.7395134813663016E-2</v>
      </c>
      <c r="O473" s="50">
        <v>725659.55</v>
      </c>
      <c r="P473" s="152">
        <f t="shared" si="2"/>
        <v>4.848519582342601E-2</v>
      </c>
      <c r="Q473" s="50">
        <v>725659.55</v>
      </c>
    </row>
    <row r="474" spans="1:17" hidden="1" x14ac:dyDescent="0.25">
      <c r="A474" s="49" t="s">
        <v>712</v>
      </c>
      <c r="B474" s="49" t="s">
        <v>164</v>
      </c>
      <c r="C474" s="49" t="s">
        <v>165</v>
      </c>
      <c r="D474" s="49" t="s">
        <v>69</v>
      </c>
      <c r="E474" s="50">
        <v>15000000</v>
      </c>
      <c r="F474" s="50">
        <v>14966621</v>
      </c>
      <c r="G474" s="50">
        <v>14966621</v>
      </c>
      <c r="H474" s="50">
        <v>0</v>
      </c>
      <c r="I474" s="50">
        <v>11869427.939999999</v>
      </c>
      <c r="J474" s="50">
        <v>0</v>
      </c>
      <c r="K474" s="50">
        <v>2371533.5099999998</v>
      </c>
      <c r="L474" s="152">
        <f t="shared" si="0"/>
        <v>0.15845483826977377</v>
      </c>
      <c r="M474" s="50">
        <v>1158343.6499999999</v>
      </c>
      <c r="N474" s="152">
        <f t="shared" si="1"/>
        <v>7.7395134813663016E-2</v>
      </c>
      <c r="O474" s="50">
        <v>725659.55</v>
      </c>
      <c r="P474" s="152">
        <f t="shared" si="2"/>
        <v>4.848519582342601E-2</v>
      </c>
      <c r="Q474" s="50">
        <v>725659.55</v>
      </c>
    </row>
    <row r="475" spans="1:17" hidden="1" x14ac:dyDescent="0.25">
      <c r="A475" s="49" t="s">
        <v>712</v>
      </c>
      <c r="B475" s="49" t="s">
        <v>184</v>
      </c>
      <c r="C475" s="49" t="s">
        <v>185</v>
      </c>
      <c r="D475" s="49" t="s">
        <v>69</v>
      </c>
      <c r="E475" s="50">
        <v>621407272</v>
      </c>
      <c r="F475" s="50">
        <v>621318468</v>
      </c>
      <c r="G475" s="50">
        <v>443344504.32999998</v>
      </c>
      <c r="H475" s="50">
        <v>38347074.869999997</v>
      </c>
      <c r="I475" s="50">
        <v>39689527.310000002</v>
      </c>
      <c r="J475" s="50">
        <v>493765.37</v>
      </c>
      <c r="K475" s="50">
        <v>245972618.63999999</v>
      </c>
      <c r="L475" s="152">
        <f t="shared" si="0"/>
        <v>0.3958881496501726</v>
      </c>
      <c r="M475" s="50">
        <v>243959112.88</v>
      </c>
      <c r="N475" s="152">
        <f t="shared" si="1"/>
        <v>0.39264745125844225</v>
      </c>
      <c r="O475" s="50">
        <v>296815481.81</v>
      </c>
      <c r="P475" s="152">
        <f t="shared" si="2"/>
        <v>0.47771874987949015</v>
      </c>
      <c r="Q475" s="50">
        <v>118841518.14</v>
      </c>
    </row>
    <row r="476" spans="1:17" hidden="1" x14ac:dyDescent="0.25">
      <c r="A476" s="49" t="s">
        <v>712</v>
      </c>
      <c r="B476" s="49" t="s">
        <v>186</v>
      </c>
      <c r="C476" s="49" t="s">
        <v>187</v>
      </c>
      <c r="D476" s="49" t="s">
        <v>69</v>
      </c>
      <c r="E476" s="50">
        <v>25251750</v>
      </c>
      <c r="F476" s="50">
        <v>25251750</v>
      </c>
      <c r="G476" s="50">
        <v>9185560.1999999993</v>
      </c>
      <c r="H476" s="50">
        <v>0</v>
      </c>
      <c r="I476" s="50">
        <v>142476.37</v>
      </c>
      <c r="J476" s="50">
        <v>0</v>
      </c>
      <c r="K476" s="50">
        <v>0</v>
      </c>
      <c r="L476" s="152">
        <f t="shared" si="0"/>
        <v>0</v>
      </c>
      <c r="M476" s="50">
        <v>0</v>
      </c>
      <c r="N476" s="152">
        <f t="shared" si="1"/>
        <v>0</v>
      </c>
      <c r="O476" s="50">
        <v>25109273.629999999</v>
      </c>
      <c r="P476" s="152">
        <f t="shared" si="2"/>
        <v>0.9943577625313097</v>
      </c>
      <c r="Q476" s="50">
        <v>9043083.8300000001</v>
      </c>
    </row>
    <row r="477" spans="1:17" hidden="1" x14ac:dyDescent="0.25">
      <c r="A477" s="49" t="s">
        <v>712</v>
      </c>
      <c r="B477" s="49" t="s">
        <v>188</v>
      </c>
      <c r="C477" s="49" t="s">
        <v>189</v>
      </c>
      <c r="D477" s="49" t="s">
        <v>69</v>
      </c>
      <c r="E477" s="50">
        <v>24819750</v>
      </c>
      <c r="F477" s="50">
        <v>24819750</v>
      </c>
      <c r="G477" s="50">
        <v>8754186.1999999993</v>
      </c>
      <c r="H477" s="50">
        <v>0</v>
      </c>
      <c r="I477" s="50">
        <v>0</v>
      </c>
      <c r="J477" s="50">
        <v>0</v>
      </c>
      <c r="K477" s="50">
        <v>0</v>
      </c>
      <c r="L477" s="152">
        <f t="shared" si="0"/>
        <v>0</v>
      </c>
      <c r="M477" s="50">
        <v>0</v>
      </c>
      <c r="N477" s="152">
        <f t="shared" si="1"/>
        <v>0</v>
      </c>
      <c r="O477" s="50">
        <v>24819750</v>
      </c>
      <c r="P477" s="152">
        <f t="shared" si="2"/>
        <v>1</v>
      </c>
      <c r="Q477" s="50">
        <v>8754186.1999999993</v>
      </c>
    </row>
    <row r="478" spans="1:17" hidden="1" x14ac:dyDescent="0.25">
      <c r="A478" s="49" t="s">
        <v>712</v>
      </c>
      <c r="B478" s="49" t="s">
        <v>190</v>
      </c>
      <c r="C478" s="49" t="s">
        <v>191</v>
      </c>
      <c r="D478" s="49" t="s">
        <v>69</v>
      </c>
      <c r="E478" s="50">
        <v>197000</v>
      </c>
      <c r="F478" s="50">
        <v>432000</v>
      </c>
      <c r="G478" s="50">
        <v>431374</v>
      </c>
      <c r="H478" s="50">
        <v>0</v>
      </c>
      <c r="I478" s="50">
        <v>142476.37</v>
      </c>
      <c r="J478" s="50">
        <v>0</v>
      </c>
      <c r="K478" s="50">
        <v>0</v>
      </c>
      <c r="L478" s="152">
        <f t="shared" si="0"/>
        <v>0</v>
      </c>
      <c r="M478" s="50">
        <v>0</v>
      </c>
      <c r="N478" s="152">
        <f t="shared" si="1"/>
        <v>0</v>
      </c>
      <c r="O478" s="50">
        <v>289523.63</v>
      </c>
      <c r="P478" s="152">
        <f t="shared" si="2"/>
        <v>0.67019358796296302</v>
      </c>
      <c r="Q478" s="50">
        <v>288897.63</v>
      </c>
    </row>
    <row r="479" spans="1:17" hidden="1" x14ac:dyDescent="0.25">
      <c r="A479" s="49" t="s">
        <v>712</v>
      </c>
      <c r="B479" s="49" t="s">
        <v>194</v>
      </c>
      <c r="C479" s="49" t="s">
        <v>195</v>
      </c>
      <c r="D479" s="49" t="s">
        <v>69</v>
      </c>
      <c r="E479" s="50">
        <v>235000</v>
      </c>
      <c r="F479" s="50">
        <v>0</v>
      </c>
      <c r="G479" s="50">
        <v>0</v>
      </c>
      <c r="H479" s="50">
        <v>0</v>
      </c>
      <c r="I479" s="50">
        <v>0</v>
      </c>
      <c r="J479" s="50">
        <v>0</v>
      </c>
      <c r="K479" s="50">
        <v>0</v>
      </c>
      <c r="L479" s="152" t="e">
        <f t="shared" si="0"/>
        <v>#DIV/0!</v>
      </c>
      <c r="M479" s="50">
        <v>0</v>
      </c>
      <c r="N479" s="152" t="e">
        <f t="shared" si="1"/>
        <v>#DIV/0!</v>
      </c>
      <c r="O479" s="50">
        <v>0</v>
      </c>
      <c r="P479" s="152" t="e">
        <f t="shared" si="2"/>
        <v>#DIV/0!</v>
      </c>
      <c r="Q479" s="50">
        <v>0</v>
      </c>
    </row>
    <row r="480" spans="1:17" hidden="1" x14ac:dyDescent="0.25">
      <c r="A480" s="49" t="s">
        <v>712</v>
      </c>
      <c r="B480" s="49" t="s">
        <v>196</v>
      </c>
      <c r="C480" s="49" t="s">
        <v>197</v>
      </c>
      <c r="D480" s="49" t="s">
        <v>69</v>
      </c>
      <c r="E480" s="50">
        <v>582942552</v>
      </c>
      <c r="F480" s="50">
        <v>582942552</v>
      </c>
      <c r="G480" s="50">
        <v>421043122.13</v>
      </c>
      <c r="H480" s="50">
        <v>38314164.869999997</v>
      </c>
      <c r="I480" s="50">
        <v>38695073.789999999</v>
      </c>
      <c r="J480" s="50">
        <v>493765.37</v>
      </c>
      <c r="K480" s="50">
        <v>235942395.12</v>
      </c>
      <c r="L480" s="152">
        <f t="shared" si="0"/>
        <v>0.40474381962770151</v>
      </c>
      <c r="M480" s="50">
        <v>233928889.36000001</v>
      </c>
      <c r="N480" s="152">
        <f t="shared" si="1"/>
        <v>0.40128978157010575</v>
      </c>
      <c r="O480" s="50">
        <v>269497152.85000002</v>
      </c>
      <c r="P480" s="152">
        <f t="shared" si="2"/>
        <v>0.46230482219112395</v>
      </c>
      <c r="Q480" s="50">
        <v>107597722.98</v>
      </c>
    </row>
    <row r="481" spans="1:17" hidden="1" x14ac:dyDescent="0.25">
      <c r="A481" s="49" t="s">
        <v>712</v>
      </c>
      <c r="B481" s="49" t="s">
        <v>198</v>
      </c>
      <c r="C481" s="49" t="s">
        <v>199</v>
      </c>
      <c r="D481" s="49" t="s">
        <v>69</v>
      </c>
      <c r="E481" s="50">
        <v>582942552</v>
      </c>
      <c r="F481" s="50">
        <v>582942552</v>
      </c>
      <c r="G481" s="50">
        <v>421043122.13</v>
      </c>
      <c r="H481" s="50">
        <v>38314164.869999997</v>
      </c>
      <c r="I481" s="50">
        <v>38695073.789999999</v>
      </c>
      <c r="J481" s="50">
        <v>493765.37</v>
      </c>
      <c r="K481" s="50">
        <v>235942395.12</v>
      </c>
      <c r="L481" s="152">
        <f t="shared" si="0"/>
        <v>0.40474381962770151</v>
      </c>
      <c r="M481" s="50">
        <v>233928889.36000001</v>
      </c>
      <c r="N481" s="152">
        <f t="shared" si="1"/>
        <v>0.40128978157010575</v>
      </c>
      <c r="O481" s="50">
        <v>269497152.85000002</v>
      </c>
      <c r="P481" s="152">
        <f t="shared" si="2"/>
        <v>0.46230482219112395</v>
      </c>
      <c r="Q481" s="50">
        <v>107597722.98</v>
      </c>
    </row>
    <row r="482" spans="1:17" hidden="1" x14ac:dyDescent="0.25">
      <c r="A482" s="49" t="s">
        <v>712</v>
      </c>
      <c r="B482" s="49" t="s">
        <v>206</v>
      </c>
      <c r="C482" s="49" t="s">
        <v>207</v>
      </c>
      <c r="D482" s="49" t="s">
        <v>69</v>
      </c>
      <c r="E482" s="50">
        <v>367200</v>
      </c>
      <c r="F482" s="50">
        <v>367200</v>
      </c>
      <c r="G482" s="50">
        <v>367200</v>
      </c>
      <c r="H482" s="50">
        <v>0</v>
      </c>
      <c r="I482" s="50">
        <v>0</v>
      </c>
      <c r="J482" s="50">
        <v>0</v>
      </c>
      <c r="K482" s="50">
        <v>0</v>
      </c>
      <c r="L482" s="152">
        <f t="shared" si="0"/>
        <v>0</v>
      </c>
      <c r="M482" s="50">
        <v>0</v>
      </c>
      <c r="N482" s="152">
        <f t="shared" si="1"/>
        <v>0</v>
      </c>
      <c r="O482" s="50">
        <v>367200</v>
      </c>
      <c r="P482" s="152">
        <f t="shared" si="2"/>
        <v>1</v>
      </c>
      <c r="Q482" s="50">
        <v>367200</v>
      </c>
    </row>
    <row r="483" spans="1:17" hidden="1" x14ac:dyDescent="0.25">
      <c r="A483" s="49" t="s">
        <v>712</v>
      </c>
      <c r="B483" s="49" t="s">
        <v>208</v>
      </c>
      <c r="C483" s="49" t="s">
        <v>209</v>
      </c>
      <c r="D483" s="49" t="s">
        <v>69</v>
      </c>
      <c r="E483" s="50">
        <v>367200</v>
      </c>
      <c r="F483" s="50">
        <v>367200</v>
      </c>
      <c r="G483" s="50">
        <v>367200</v>
      </c>
      <c r="H483" s="50">
        <v>0</v>
      </c>
      <c r="I483" s="50">
        <v>0</v>
      </c>
      <c r="J483" s="50">
        <v>0</v>
      </c>
      <c r="K483" s="50">
        <v>0</v>
      </c>
      <c r="L483" s="152">
        <f t="shared" si="0"/>
        <v>0</v>
      </c>
      <c r="M483" s="50">
        <v>0</v>
      </c>
      <c r="N483" s="152">
        <f t="shared" si="1"/>
        <v>0</v>
      </c>
      <c r="O483" s="50">
        <v>367200</v>
      </c>
      <c r="P483" s="152">
        <f t="shared" si="2"/>
        <v>1</v>
      </c>
      <c r="Q483" s="50">
        <v>367200</v>
      </c>
    </row>
    <row r="484" spans="1:17" hidden="1" x14ac:dyDescent="0.25">
      <c r="A484" s="49" t="s">
        <v>712</v>
      </c>
      <c r="B484" s="49" t="s">
        <v>354</v>
      </c>
      <c r="C484" s="49" t="s">
        <v>355</v>
      </c>
      <c r="D484" s="49" t="s">
        <v>69</v>
      </c>
      <c r="E484" s="50">
        <v>6280000</v>
      </c>
      <c r="F484" s="50">
        <v>6277196</v>
      </c>
      <c r="G484" s="50">
        <v>6277196</v>
      </c>
      <c r="H484" s="50">
        <v>0</v>
      </c>
      <c r="I484" s="50">
        <v>0</v>
      </c>
      <c r="J484" s="50">
        <v>0</v>
      </c>
      <c r="K484" s="50">
        <v>6277195.2000000002</v>
      </c>
      <c r="L484" s="152">
        <f t="shared" si="0"/>
        <v>0.99999987255456102</v>
      </c>
      <c r="M484" s="50">
        <v>6277195.2000000002</v>
      </c>
      <c r="N484" s="152">
        <f t="shared" si="1"/>
        <v>0.99999987255456102</v>
      </c>
      <c r="O484" s="50">
        <v>0.8</v>
      </c>
      <c r="P484" s="152">
        <f t="shared" si="2"/>
        <v>1.2744543901448992E-7</v>
      </c>
      <c r="Q484" s="50">
        <v>0.8</v>
      </c>
    </row>
    <row r="485" spans="1:17" hidden="1" x14ac:dyDescent="0.25">
      <c r="A485" s="49" t="s">
        <v>712</v>
      </c>
      <c r="B485" s="49" t="s">
        <v>356</v>
      </c>
      <c r="C485" s="49" t="s">
        <v>357</v>
      </c>
      <c r="D485" s="49" t="s">
        <v>69</v>
      </c>
      <c r="E485" s="50">
        <v>6280000</v>
      </c>
      <c r="F485" s="50">
        <v>6277196</v>
      </c>
      <c r="G485" s="50">
        <v>6277196</v>
      </c>
      <c r="H485" s="50">
        <v>0</v>
      </c>
      <c r="I485" s="50">
        <v>0</v>
      </c>
      <c r="J485" s="50">
        <v>0</v>
      </c>
      <c r="K485" s="50">
        <v>6277195.2000000002</v>
      </c>
      <c r="L485" s="152">
        <f t="shared" si="0"/>
        <v>0.99999987255456102</v>
      </c>
      <c r="M485" s="50">
        <v>6277195.2000000002</v>
      </c>
      <c r="N485" s="152">
        <f t="shared" si="1"/>
        <v>0.99999987255456102</v>
      </c>
      <c r="O485" s="50">
        <v>0.8</v>
      </c>
      <c r="P485" s="152">
        <f t="shared" si="2"/>
        <v>1.2744543901448992E-7</v>
      </c>
      <c r="Q485" s="50">
        <v>0.8</v>
      </c>
    </row>
    <row r="486" spans="1:17" hidden="1" x14ac:dyDescent="0.25">
      <c r="A486" s="49" t="s">
        <v>712</v>
      </c>
      <c r="B486" s="49" t="s">
        <v>212</v>
      </c>
      <c r="C486" s="49" t="s">
        <v>213</v>
      </c>
      <c r="D486" s="49" t="s">
        <v>69</v>
      </c>
      <c r="E486" s="50">
        <v>6565770</v>
      </c>
      <c r="F486" s="50">
        <v>6479770</v>
      </c>
      <c r="G486" s="50">
        <v>6471426</v>
      </c>
      <c r="H486" s="50">
        <v>32910</v>
      </c>
      <c r="I486" s="50">
        <v>851977.15</v>
      </c>
      <c r="J486" s="50">
        <v>0</v>
      </c>
      <c r="K486" s="50">
        <v>3753028.32</v>
      </c>
      <c r="L486" s="152">
        <f t="shared" si="0"/>
        <v>0.57919159476339432</v>
      </c>
      <c r="M486" s="50">
        <v>3753028.32</v>
      </c>
      <c r="N486" s="152">
        <f t="shared" si="1"/>
        <v>0.57919159476339432</v>
      </c>
      <c r="O486" s="50">
        <v>1841854.53</v>
      </c>
      <c r="P486" s="152">
        <f t="shared" si="2"/>
        <v>0.28424689919549612</v>
      </c>
      <c r="Q486" s="50">
        <v>1833510.53</v>
      </c>
    </row>
    <row r="487" spans="1:17" hidden="1" x14ac:dyDescent="0.25">
      <c r="A487" s="49" t="s">
        <v>712</v>
      </c>
      <c r="B487" s="49" t="s">
        <v>216</v>
      </c>
      <c r="C487" s="49" t="s">
        <v>217</v>
      </c>
      <c r="D487" s="49" t="s">
        <v>69</v>
      </c>
      <c r="E487" s="50">
        <v>1076170</v>
      </c>
      <c r="F487" s="50">
        <v>1076170</v>
      </c>
      <c r="G487" s="50">
        <v>1076170</v>
      </c>
      <c r="H487" s="50">
        <v>32910</v>
      </c>
      <c r="I487" s="50">
        <v>604425</v>
      </c>
      <c r="J487" s="50">
        <v>0</v>
      </c>
      <c r="K487" s="50">
        <v>0</v>
      </c>
      <c r="L487" s="152">
        <f t="shared" si="0"/>
        <v>0</v>
      </c>
      <c r="M487" s="50">
        <v>0</v>
      </c>
      <c r="N487" s="152">
        <f t="shared" si="1"/>
        <v>0</v>
      </c>
      <c r="O487" s="50">
        <v>438835</v>
      </c>
      <c r="P487" s="152">
        <f t="shared" si="2"/>
        <v>0.40777479394519456</v>
      </c>
      <c r="Q487" s="50">
        <v>438835</v>
      </c>
    </row>
    <row r="488" spans="1:17" hidden="1" x14ac:dyDescent="0.25">
      <c r="A488" s="49" t="s">
        <v>712</v>
      </c>
      <c r="B488" s="49" t="s">
        <v>218</v>
      </c>
      <c r="C488" s="49" t="s">
        <v>219</v>
      </c>
      <c r="D488" s="49" t="s">
        <v>69</v>
      </c>
      <c r="E488" s="50">
        <v>333500</v>
      </c>
      <c r="F488" s="50">
        <v>333500</v>
      </c>
      <c r="G488" s="50">
        <v>328569</v>
      </c>
      <c r="H488" s="50">
        <v>0</v>
      </c>
      <c r="I488" s="50">
        <v>242970</v>
      </c>
      <c r="J488" s="50">
        <v>0</v>
      </c>
      <c r="K488" s="50">
        <v>0</v>
      </c>
      <c r="L488" s="152">
        <f t="shared" si="0"/>
        <v>0</v>
      </c>
      <c r="M488" s="50">
        <v>0</v>
      </c>
      <c r="N488" s="152">
        <f t="shared" si="1"/>
        <v>0</v>
      </c>
      <c r="O488" s="50">
        <v>90530</v>
      </c>
      <c r="P488" s="152">
        <f t="shared" si="2"/>
        <v>0.27145427286356821</v>
      </c>
      <c r="Q488" s="50">
        <v>85599</v>
      </c>
    </row>
    <row r="489" spans="1:17" hidden="1" x14ac:dyDescent="0.25">
      <c r="A489" s="49" t="s">
        <v>712</v>
      </c>
      <c r="B489" s="49" t="s">
        <v>220</v>
      </c>
      <c r="C489" s="49" t="s">
        <v>221</v>
      </c>
      <c r="D489" s="49" t="s">
        <v>69</v>
      </c>
      <c r="E489" s="50">
        <v>2531700</v>
      </c>
      <c r="F489" s="50">
        <v>2530600</v>
      </c>
      <c r="G489" s="50">
        <v>2530600</v>
      </c>
      <c r="H489" s="50">
        <v>0</v>
      </c>
      <c r="I489" s="50">
        <v>0</v>
      </c>
      <c r="J489" s="50">
        <v>0</v>
      </c>
      <c r="K489" s="50">
        <v>2280937.77</v>
      </c>
      <c r="L489" s="152">
        <f t="shared" si="0"/>
        <v>0.90134267367422749</v>
      </c>
      <c r="M489" s="50">
        <v>2280937.77</v>
      </c>
      <c r="N489" s="152">
        <f t="shared" si="1"/>
        <v>0.90134267367422749</v>
      </c>
      <c r="O489" s="50">
        <v>249662.23</v>
      </c>
      <c r="P489" s="152">
        <f t="shared" si="2"/>
        <v>9.8657326325772551E-2</v>
      </c>
      <c r="Q489" s="50">
        <v>249662.23</v>
      </c>
    </row>
    <row r="490" spans="1:17" hidden="1" x14ac:dyDescent="0.25">
      <c r="A490" s="49" t="s">
        <v>712</v>
      </c>
      <c r="B490" s="49" t="s">
        <v>224</v>
      </c>
      <c r="C490" s="49" t="s">
        <v>225</v>
      </c>
      <c r="D490" s="49" t="s">
        <v>69</v>
      </c>
      <c r="E490" s="50">
        <v>525000</v>
      </c>
      <c r="F490" s="50">
        <v>495000</v>
      </c>
      <c r="G490" s="50">
        <v>491587</v>
      </c>
      <c r="H490" s="50">
        <v>0</v>
      </c>
      <c r="I490" s="50">
        <v>4582.1499999999996</v>
      </c>
      <c r="J490" s="50">
        <v>0</v>
      </c>
      <c r="K490" s="50">
        <v>176280</v>
      </c>
      <c r="L490" s="152">
        <f t="shared" si="0"/>
        <v>0.35612121212121212</v>
      </c>
      <c r="M490" s="50">
        <v>176280</v>
      </c>
      <c r="N490" s="152">
        <f t="shared" si="1"/>
        <v>0.35612121212121212</v>
      </c>
      <c r="O490" s="50">
        <v>314137.84999999998</v>
      </c>
      <c r="P490" s="152">
        <f t="shared" si="2"/>
        <v>0.63462191919191913</v>
      </c>
      <c r="Q490" s="50">
        <v>310724.84999999998</v>
      </c>
    </row>
    <row r="491" spans="1:17" hidden="1" x14ac:dyDescent="0.25">
      <c r="A491" s="49" t="s">
        <v>712</v>
      </c>
      <c r="B491" s="49" t="s">
        <v>226</v>
      </c>
      <c r="C491" s="49" t="s">
        <v>227</v>
      </c>
      <c r="D491" s="49" t="s">
        <v>69</v>
      </c>
      <c r="E491" s="50">
        <v>2094900</v>
      </c>
      <c r="F491" s="50">
        <v>2040000</v>
      </c>
      <c r="G491" s="50">
        <v>2040000</v>
      </c>
      <c r="H491" s="50">
        <v>0</v>
      </c>
      <c r="I491" s="50">
        <v>0</v>
      </c>
      <c r="J491" s="50">
        <v>0</v>
      </c>
      <c r="K491" s="50">
        <v>1295810.55</v>
      </c>
      <c r="L491" s="152">
        <f t="shared" si="0"/>
        <v>0.63520125000000005</v>
      </c>
      <c r="M491" s="50">
        <v>1295810.55</v>
      </c>
      <c r="N491" s="152">
        <f t="shared" si="1"/>
        <v>0.63520125000000005</v>
      </c>
      <c r="O491" s="50">
        <v>744189.45</v>
      </c>
      <c r="P491" s="152">
        <f t="shared" si="2"/>
        <v>0.36479874999999995</v>
      </c>
      <c r="Q491" s="50">
        <v>744189.45</v>
      </c>
    </row>
    <row r="492" spans="1:17" hidden="1" x14ac:dyDescent="0.25">
      <c r="A492" s="49" t="s">
        <v>712</v>
      </c>
      <c r="B492" s="49" t="s">
        <v>228</v>
      </c>
      <c r="C492" s="49" t="s">
        <v>229</v>
      </c>
      <c r="D492" s="49" t="s">
        <v>69</v>
      </c>
      <c r="E492" s="50">
        <v>4500</v>
      </c>
      <c r="F492" s="50">
        <v>4500</v>
      </c>
      <c r="G492" s="50">
        <v>4500</v>
      </c>
      <c r="H492" s="50">
        <v>0</v>
      </c>
      <c r="I492" s="50">
        <v>0</v>
      </c>
      <c r="J492" s="50">
        <v>0</v>
      </c>
      <c r="K492" s="50">
        <v>0</v>
      </c>
      <c r="L492" s="152">
        <f t="shared" si="0"/>
        <v>0</v>
      </c>
      <c r="M492" s="50">
        <v>0</v>
      </c>
      <c r="N492" s="152">
        <f t="shared" si="1"/>
        <v>0</v>
      </c>
      <c r="O492" s="50">
        <v>4500</v>
      </c>
      <c r="P492" s="152">
        <f t="shared" si="2"/>
        <v>1</v>
      </c>
      <c r="Q492" s="50">
        <v>4500</v>
      </c>
    </row>
    <row r="493" spans="1:17" hidden="1" x14ac:dyDescent="0.25">
      <c r="A493" s="49" t="s">
        <v>712</v>
      </c>
      <c r="B493" s="49" t="s">
        <v>248</v>
      </c>
      <c r="C493" s="49" t="s">
        <v>249</v>
      </c>
      <c r="D493" s="49" t="s">
        <v>69</v>
      </c>
      <c r="E493" s="50">
        <v>21838204</v>
      </c>
      <c r="F493" s="50">
        <v>21451264</v>
      </c>
      <c r="G493" s="50">
        <v>21451264</v>
      </c>
      <c r="H493" s="50">
        <v>0</v>
      </c>
      <c r="I493" s="50">
        <v>4026966</v>
      </c>
      <c r="J493" s="50">
        <v>0</v>
      </c>
      <c r="K493" s="50">
        <v>15486227</v>
      </c>
      <c r="L493" s="152">
        <f t="shared" si="0"/>
        <v>0.72192608323686658</v>
      </c>
      <c r="M493" s="50">
        <v>15486227</v>
      </c>
      <c r="N493" s="152">
        <f t="shared" si="1"/>
        <v>0.72192608323686658</v>
      </c>
      <c r="O493" s="50">
        <v>1938071</v>
      </c>
      <c r="P493" s="152">
        <f t="shared" si="2"/>
        <v>9.0347636391030384E-2</v>
      </c>
      <c r="Q493" s="50">
        <v>1938071</v>
      </c>
    </row>
    <row r="494" spans="1:17" hidden="1" x14ac:dyDescent="0.25">
      <c r="A494" s="49" t="s">
        <v>712</v>
      </c>
      <c r="B494" s="49" t="s">
        <v>250</v>
      </c>
      <c r="C494" s="49" t="s">
        <v>251</v>
      </c>
      <c r="D494" s="49" t="s">
        <v>69</v>
      </c>
      <c r="E494" s="50">
        <v>16338204</v>
      </c>
      <c r="F494" s="50">
        <v>15951264</v>
      </c>
      <c r="G494" s="50">
        <v>15951264</v>
      </c>
      <c r="H494" s="50">
        <v>0</v>
      </c>
      <c r="I494" s="50">
        <v>4026966</v>
      </c>
      <c r="J494" s="50">
        <v>0</v>
      </c>
      <c r="K494" s="50">
        <v>11811007</v>
      </c>
      <c r="L494" s="152">
        <f t="shared" si="0"/>
        <v>0.74044332787671252</v>
      </c>
      <c r="M494" s="50">
        <v>11811007</v>
      </c>
      <c r="N494" s="152">
        <f t="shared" si="1"/>
        <v>0.74044332787671252</v>
      </c>
      <c r="O494" s="50">
        <v>113291</v>
      </c>
      <c r="P494" s="152">
        <f t="shared" si="2"/>
        <v>7.1023211702846874E-3</v>
      </c>
      <c r="Q494" s="50">
        <v>113291</v>
      </c>
    </row>
    <row r="495" spans="1:17" hidden="1" x14ac:dyDescent="0.25">
      <c r="A495" s="49" t="s">
        <v>712</v>
      </c>
      <c r="B495" s="49" t="s">
        <v>631</v>
      </c>
      <c r="C495" s="49" t="s">
        <v>702</v>
      </c>
      <c r="D495" s="49" t="s">
        <v>69</v>
      </c>
      <c r="E495" s="50">
        <v>13877686</v>
      </c>
      <c r="F495" s="50">
        <v>13549019</v>
      </c>
      <c r="G495" s="50">
        <v>13549019</v>
      </c>
      <c r="H495" s="50">
        <v>0</v>
      </c>
      <c r="I495" s="50">
        <v>3439599</v>
      </c>
      <c r="J495" s="50">
        <v>0</v>
      </c>
      <c r="K495" s="50">
        <v>10013191</v>
      </c>
      <c r="L495" s="152">
        <f t="shared" si="0"/>
        <v>0.73903439060791043</v>
      </c>
      <c r="M495" s="50">
        <v>10013191</v>
      </c>
      <c r="N495" s="152">
        <f t="shared" si="1"/>
        <v>0.73903439060791043</v>
      </c>
      <c r="O495" s="50">
        <v>96229</v>
      </c>
      <c r="P495" s="152">
        <f t="shared" si="2"/>
        <v>7.1022854126929777E-3</v>
      </c>
      <c r="Q495" s="50">
        <v>96229</v>
      </c>
    </row>
    <row r="496" spans="1:17" hidden="1" x14ac:dyDescent="0.25">
      <c r="A496" s="49" t="s">
        <v>712</v>
      </c>
      <c r="B496" s="49" t="s">
        <v>646</v>
      </c>
      <c r="C496" s="49" t="s">
        <v>703</v>
      </c>
      <c r="D496" s="49" t="s">
        <v>69</v>
      </c>
      <c r="E496" s="50">
        <v>2460518</v>
      </c>
      <c r="F496" s="50">
        <v>2402245</v>
      </c>
      <c r="G496" s="50">
        <v>2402245</v>
      </c>
      <c r="H496" s="50">
        <v>0</v>
      </c>
      <c r="I496" s="50">
        <v>587367</v>
      </c>
      <c r="J496" s="50">
        <v>0</v>
      </c>
      <c r="K496" s="50">
        <v>1797816</v>
      </c>
      <c r="L496" s="152">
        <f t="shared" si="0"/>
        <v>0.74838994357361555</v>
      </c>
      <c r="M496" s="50">
        <v>1797816</v>
      </c>
      <c r="N496" s="152">
        <f t="shared" si="1"/>
        <v>0.74838994357361555</v>
      </c>
      <c r="O496" s="50">
        <v>17062</v>
      </c>
      <c r="P496" s="152">
        <f t="shared" si="2"/>
        <v>7.1025228484188751E-3</v>
      </c>
      <c r="Q496" s="50">
        <v>17062</v>
      </c>
    </row>
    <row r="497" spans="1:17" hidden="1" x14ac:dyDescent="0.25">
      <c r="A497" s="49" t="s">
        <v>712</v>
      </c>
      <c r="B497" s="49" t="s">
        <v>260</v>
      </c>
      <c r="C497" s="49" t="s">
        <v>261</v>
      </c>
      <c r="D497" s="49" t="s">
        <v>69</v>
      </c>
      <c r="E497" s="50">
        <v>5500000</v>
      </c>
      <c r="F497" s="50">
        <v>5500000</v>
      </c>
      <c r="G497" s="50">
        <v>5500000</v>
      </c>
      <c r="H497" s="50">
        <v>0</v>
      </c>
      <c r="I497" s="50">
        <v>0</v>
      </c>
      <c r="J497" s="50">
        <v>0</v>
      </c>
      <c r="K497" s="50">
        <v>3675220</v>
      </c>
      <c r="L497" s="152">
        <f t="shared" si="0"/>
        <v>0.66822181818181814</v>
      </c>
      <c r="M497" s="50">
        <v>3675220</v>
      </c>
      <c r="N497" s="152">
        <f t="shared" si="1"/>
        <v>0.66822181818181814</v>
      </c>
      <c r="O497" s="50">
        <v>1824780</v>
      </c>
      <c r="P497" s="152">
        <f t="shared" si="2"/>
        <v>0.33177818181818181</v>
      </c>
      <c r="Q497" s="50">
        <v>1824780</v>
      </c>
    </row>
    <row r="498" spans="1:17" hidden="1" x14ac:dyDescent="0.25">
      <c r="A498" s="49" t="s">
        <v>712</v>
      </c>
      <c r="B498" s="49" t="s">
        <v>264</v>
      </c>
      <c r="C498" s="49" t="s">
        <v>265</v>
      </c>
      <c r="D498" s="49" t="s">
        <v>69</v>
      </c>
      <c r="E498" s="50">
        <v>5500000</v>
      </c>
      <c r="F498" s="50">
        <v>5500000</v>
      </c>
      <c r="G498" s="50">
        <v>5500000</v>
      </c>
      <c r="H498" s="50">
        <v>0</v>
      </c>
      <c r="I498" s="50">
        <v>0</v>
      </c>
      <c r="J498" s="50">
        <v>0</v>
      </c>
      <c r="K498" s="50">
        <v>3675220</v>
      </c>
      <c r="L498" s="152">
        <f t="shared" si="0"/>
        <v>0.66822181818181814</v>
      </c>
      <c r="M498" s="50">
        <v>3675220</v>
      </c>
      <c r="N498" s="152">
        <f t="shared" si="1"/>
        <v>0.66822181818181814</v>
      </c>
      <c r="O498" s="50">
        <v>1824780</v>
      </c>
      <c r="P498" s="152">
        <f t="shared" si="2"/>
        <v>0.33177818181818181</v>
      </c>
      <c r="Q498" s="50">
        <v>1824780</v>
      </c>
    </row>
    <row r="499" spans="1:17" hidden="1" x14ac:dyDescent="0.25">
      <c r="A499" s="49" t="s">
        <v>712</v>
      </c>
      <c r="B499" s="49" t="s">
        <v>230</v>
      </c>
      <c r="C499" s="49" t="s">
        <v>231</v>
      </c>
      <c r="D499" s="49" t="s">
        <v>85</v>
      </c>
      <c r="E499" s="50">
        <v>10612500</v>
      </c>
      <c r="F499" s="50">
        <v>10612500</v>
      </c>
      <c r="G499" s="50">
        <v>10612500</v>
      </c>
      <c r="H499" s="50">
        <v>3080000</v>
      </c>
      <c r="I499" s="50">
        <v>0</v>
      </c>
      <c r="J499" s="50">
        <v>0</v>
      </c>
      <c r="K499" s="50">
        <v>5818800</v>
      </c>
      <c r="L499" s="152">
        <f t="shared" si="0"/>
        <v>0.54829681978798583</v>
      </c>
      <c r="M499" s="50">
        <v>5818800</v>
      </c>
      <c r="N499" s="152">
        <f t="shared" si="1"/>
        <v>0.54829681978798583</v>
      </c>
      <c r="O499" s="50">
        <v>1713700</v>
      </c>
      <c r="P499" s="152">
        <f t="shared" si="2"/>
        <v>0.16147938751472321</v>
      </c>
      <c r="Q499" s="50">
        <v>1713700</v>
      </c>
    </row>
    <row r="500" spans="1:17" hidden="1" x14ac:dyDescent="0.25">
      <c r="A500" s="49" t="s">
        <v>712</v>
      </c>
      <c r="B500" s="49" t="s">
        <v>232</v>
      </c>
      <c r="C500" s="49" t="s">
        <v>233</v>
      </c>
      <c r="D500" s="49" t="s">
        <v>85</v>
      </c>
      <c r="E500" s="50">
        <v>10612500</v>
      </c>
      <c r="F500" s="50">
        <v>10612500</v>
      </c>
      <c r="G500" s="50">
        <v>10612500</v>
      </c>
      <c r="H500" s="50">
        <v>3080000</v>
      </c>
      <c r="I500" s="50">
        <v>0</v>
      </c>
      <c r="J500" s="50">
        <v>0</v>
      </c>
      <c r="K500" s="50">
        <v>5818800</v>
      </c>
      <c r="L500" s="152">
        <f t="shared" si="0"/>
        <v>0.54829681978798583</v>
      </c>
      <c r="M500" s="50">
        <v>5818800</v>
      </c>
      <c r="N500" s="152">
        <f t="shared" si="1"/>
        <v>0.54829681978798583</v>
      </c>
      <c r="O500" s="50">
        <v>1713700</v>
      </c>
      <c r="P500" s="152">
        <f t="shared" si="2"/>
        <v>0.16147938751472321</v>
      </c>
      <c r="Q500" s="50">
        <v>1713700</v>
      </c>
    </row>
    <row r="501" spans="1:17" hidden="1" x14ac:dyDescent="0.25">
      <c r="A501" s="49" t="s">
        <v>712</v>
      </c>
      <c r="B501" s="49" t="s">
        <v>234</v>
      </c>
      <c r="C501" s="49" t="s">
        <v>235</v>
      </c>
      <c r="D501" s="49" t="s">
        <v>85</v>
      </c>
      <c r="E501" s="50">
        <v>6650000</v>
      </c>
      <c r="F501" s="50">
        <v>6650000</v>
      </c>
      <c r="G501" s="50">
        <v>6650000</v>
      </c>
      <c r="H501" s="50">
        <v>0</v>
      </c>
      <c r="I501" s="50">
        <v>0</v>
      </c>
      <c r="J501" s="50">
        <v>0</v>
      </c>
      <c r="K501" s="50">
        <v>5152800</v>
      </c>
      <c r="L501" s="152">
        <f t="shared" si="0"/>
        <v>0.77485714285714291</v>
      </c>
      <c r="M501" s="50">
        <v>5152800</v>
      </c>
      <c r="N501" s="152">
        <f t="shared" si="1"/>
        <v>0.77485714285714291</v>
      </c>
      <c r="O501" s="50">
        <v>1497200</v>
      </c>
      <c r="P501" s="152">
        <f t="shared" si="2"/>
        <v>0.22514285714285714</v>
      </c>
      <c r="Q501" s="50">
        <v>1497200</v>
      </c>
    </row>
    <row r="502" spans="1:17" hidden="1" x14ac:dyDescent="0.25">
      <c r="A502" s="49" t="s">
        <v>712</v>
      </c>
      <c r="B502" s="49" t="s">
        <v>326</v>
      </c>
      <c r="C502" s="49" t="s">
        <v>327</v>
      </c>
      <c r="D502" s="49" t="s">
        <v>85</v>
      </c>
      <c r="E502" s="50">
        <v>760000</v>
      </c>
      <c r="F502" s="50">
        <v>760000</v>
      </c>
      <c r="G502" s="50">
        <v>760000</v>
      </c>
      <c r="H502" s="50">
        <v>0</v>
      </c>
      <c r="I502" s="50">
        <v>0</v>
      </c>
      <c r="J502" s="50">
        <v>0</v>
      </c>
      <c r="K502" s="50">
        <v>666000</v>
      </c>
      <c r="L502" s="152">
        <f t="shared" si="0"/>
        <v>0.87631578947368416</v>
      </c>
      <c r="M502" s="50">
        <v>666000</v>
      </c>
      <c r="N502" s="152">
        <f t="shared" si="1"/>
        <v>0.87631578947368416</v>
      </c>
      <c r="O502" s="50">
        <v>94000</v>
      </c>
      <c r="P502" s="152">
        <f t="shared" si="2"/>
        <v>0.12368421052631579</v>
      </c>
      <c r="Q502" s="50">
        <v>94000</v>
      </c>
    </row>
    <row r="503" spans="1:17" hidden="1" x14ac:dyDescent="0.25">
      <c r="A503" s="49" t="s">
        <v>712</v>
      </c>
      <c r="B503" s="49" t="s">
        <v>242</v>
      </c>
      <c r="C503" s="49" t="s">
        <v>243</v>
      </c>
      <c r="D503" s="49" t="s">
        <v>85</v>
      </c>
      <c r="E503" s="50">
        <v>3202500</v>
      </c>
      <c r="F503" s="50">
        <v>3202500</v>
      </c>
      <c r="G503" s="50">
        <v>3202500</v>
      </c>
      <c r="H503" s="50">
        <v>3080000</v>
      </c>
      <c r="I503" s="50">
        <v>0</v>
      </c>
      <c r="J503" s="50">
        <v>0</v>
      </c>
      <c r="K503" s="50">
        <v>0</v>
      </c>
      <c r="L503" s="152">
        <f t="shared" si="0"/>
        <v>0</v>
      </c>
      <c r="M503" s="50">
        <v>0</v>
      </c>
      <c r="N503" s="152">
        <f t="shared" si="1"/>
        <v>0</v>
      </c>
      <c r="O503" s="50">
        <v>122500</v>
      </c>
      <c r="P503" s="152">
        <f t="shared" si="2"/>
        <v>3.825136612021858E-2</v>
      </c>
      <c r="Q503" s="50">
        <v>122500</v>
      </c>
    </row>
    <row r="504" spans="1:17" x14ac:dyDescent="0.25">
      <c r="A504" s="49">
        <v>214789003</v>
      </c>
      <c r="B504" s="49"/>
      <c r="C504" s="49"/>
      <c r="D504" s="49" t="s">
        <v>69</v>
      </c>
      <c r="E504" s="50">
        <v>1434240030</v>
      </c>
      <c r="F504" s="50">
        <v>1423727288</v>
      </c>
      <c r="G504" s="50">
        <v>1418093499.5899999</v>
      </c>
      <c r="H504" s="50">
        <v>18223.88</v>
      </c>
      <c r="I504" s="50">
        <v>88899062.689999998</v>
      </c>
      <c r="J504" s="50">
        <v>12300455.289999999</v>
      </c>
      <c r="K504" s="50">
        <v>999425163.77999997</v>
      </c>
      <c r="L504" s="152">
        <f t="shared" si="0"/>
        <v>0.70197795055537349</v>
      </c>
      <c r="M504" s="50">
        <v>999174163.77999997</v>
      </c>
      <c r="N504" s="152">
        <f t="shared" si="1"/>
        <v>0.70180165274741857</v>
      </c>
      <c r="O504" s="50">
        <v>323084382.36000001</v>
      </c>
      <c r="P504" s="152">
        <f t="shared" si="2"/>
        <v>0.22692855934078299</v>
      </c>
      <c r="Q504" s="50">
        <v>317450593.94999999</v>
      </c>
    </row>
    <row r="505" spans="1:17" hidden="1" x14ac:dyDescent="0.25">
      <c r="A505" s="49" t="s">
        <v>713</v>
      </c>
      <c r="B505" s="49" t="s">
        <v>71</v>
      </c>
      <c r="C505" s="49" t="s">
        <v>72</v>
      </c>
      <c r="D505" s="49" t="s">
        <v>69</v>
      </c>
      <c r="E505" s="50">
        <v>1171265212</v>
      </c>
      <c r="F505" s="50">
        <v>1160887237</v>
      </c>
      <c r="G505" s="50">
        <v>1155687237</v>
      </c>
      <c r="H505" s="50">
        <v>0</v>
      </c>
      <c r="I505" s="50">
        <v>50266979</v>
      </c>
      <c r="J505" s="50">
        <v>0</v>
      </c>
      <c r="K505" s="50">
        <v>819964836.33000004</v>
      </c>
      <c r="L505" s="152">
        <f t="shared" si="0"/>
        <v>0.70632599807796836</v>
      </c>
      <c r="M505" s="50">
        <v>819964836.33000004</v>
      </c>
      <c r="N505" s="152">
        <f t="shared" si="1"/>
        <v>0.70632599807796836</v>
      </c>
      <c r="O505" s="50">
        <v>290655421.67000002</v>
      </c>
      <c r="P505" s="152">
        <f t="shared" si="2"/>
        <v>0.25037351812146763</v>
      </c>
      <c r="Q505" s="50">
        <v>285455421.67000002</v>
      </c>
    </row>
    <row r="506" spans="1:17" hidden="1" x14ac:dyDescent="0.25">
      <c r="A506" s="49" t="s">
        <v>713</v>
      </c>
      <c r="B506" s="49" t="s">
        <v>73</v>
      </c>
      <c r="C506" s="49" t="s">
        <v>74</v>
      </c>
      <c r="D506" s="49" t="s">
        <v>69</v>
      </c>
      <c r="E506" s="50">
        <v>419650432</v>
      </c>
      <c r="F506" s="50">
        <v>414102244</v>
      </c>
      <c r="G506" s="50">
        <v>414102244</v>
      </c>
      <c r="H506" s="50">
        <v>0</v>
      </c>
      <c r="I506" s="50">
        <v>0</v>
      </c>
      <c r="J506" s="50">
        <v>0</v>
      </c>
      <c r="K506" s="50">
        <v>330161655.10000002</v>
      </c>
      <c r="L506" s="152">
        <f t="shared" si="0"/>
        <v>0.79729501562420901</v>
      </c>
      <c r="M506" s="50">
        <v>330161655.10000002</v>
      </c>
      <c r="N506" s="152">
        <f t="shared" si="1"/>
        <v>0.79729501562420901</v>
      </c>
      <c r="O506" s="50">
        <v>83940588.900000006</v>
      </c>
      <c r="P506" s="152">
        <f t="shared" si="2"/>
        <v>0.20270498437579104</v>
      </c>
      <c r="Q506" s="50">
        <v>83940588.900000006</v>
      </c>
    </row>
    <row r="507" spans="1:17" hidden="1" x14ac:dyDescent="0.25">
      <c r="A507" s="49" t="s">
        <v>713</v>
      </c>
      <c r="B507" s="49" t="s">
        <v>75</v>
      </c>
      <c r="C507" s="49" t="s">
        <v>76</v>
      </c>
      <c r="D507" s="49" t="s">
        <v>69</v>
      </c>
      <c r="E507" s="50">
        <v>419650432</v>
      </c>
      <c r="F507" s="50">
        <v>414102244</v>
      </c>
      <c r="G507" s="50">
        <v>414102244</v>
      </c>
      <c r="H507" s="50">
        <v>0</v>
      </c>
      <c r="I507" s="50">
        <v>0</v>
      </c>
      <c r="J507" s="50">
        <v>0</v>
      </c>
      <c r="K507" s="50">
        <v>330161655.10000002</v>
      </c>
      <c r="L507" s="152">
        <f t="shared" si="0"/>
        <v>0.79729501562420901</v>
      </c>
      <c r="M507" s="50">
        <v>330161655.10000002</v>
      </c>
      <c r="N507" s="152">
        <f t="shared" si="1"/>
        <v>0.79729501562420901</v>
      </c>
      <c r="O507" s="50">
        <v>83940588.900000006</v>
      </c>
      <c r="P507" s="152">
        <f t="shared" si="2"/>
        <v>0.20270498437579104</v>
      </c>
      <c r="Q507" s="50">
        <v>83940588.900000006</v>
      </c>
    </row>
    <row r="508" spans="1:17" hidden="1" x14ac:dyDescent="0.25">
      <c r="A508" s="49" t="s">
        <v>713</v>
      </c>
      <c r="B508" s="49" t="s">
        <v>293</v>
      </c>
      <c r="C508" s="49" t="s">
        <v>294</v>
      </c>
      <c r="D508" s="49" t="s">
        <v>69</v>
      </c>
      <c r="E508" s="50">
        <v>5204100</v>
      </c>
      <c r="F508" s="50">
        <v>5204100</v>
      </c>
      <c r="G508" s="50">
        <v>5204100</v>
      </c>
      <c r="H508" s="50">
        <v>0</v>
      </c>
      <c r="I508" s="50">
        <v>0</v>
      </c>
      <c r="J508" s="50">
        <v>0</v>
      </c>
      <c r="K508" s="50">
        <v>0</v>
      </c>
      <c r="L508" s="152">
        <f t="shared" si="0"/>
        <v>0</v>
      </c>
      <c r="M508" s="50">
        <v>0</v>
      </c>
      <c r="N508" s="152">
        <f t="shared" si="1"/>
        <v>0</v>
      </c>
      <c r="O508" s="50">
        <v>5204100</v>
      </c>
      <c r="P508" s="152">
        <f t="shared" si="2"/>
        <v>1</v>
      </c>
      <c r="Q508" s="50">
        <v>5204100</v>
      </c>
    </row>
    <row r="509" spans="1:17" hidden="1" x14ac:dyDescent="0.25">
      <c r="A509" s="49" t="s">
        <v>713</v>
      </c>
      <c r="B509" s="49" t="s">
        <v>339</v>
      </c>
      <c r="C509" s="49" t="s">
        <v>340</v>
      </c>
      <c r="D509" s="49" t="s">
        <v>69</v>
      </c>
      <c r="E509" s="50">
        <v>5204100</v>
      </c>
      <c r="F509" s="50">
        <v>5204100</v>
      </c>
      <c r="G509" s="50">
        <v>5204100</v>
      </c>
      <c r="H509" s="50">
        <v>0</v>
      </c>
      <c r="I509" s="50">
        <v>0</v>
      </c>
      <c r="J509" s="50">
        <v>0</v>
      </c>
      <c r="K509" s="50">
        <v>0</v>
      </c>
      <c r="L509" s="152">
        <f t="shared" si="0"/>
        <v>0</v>
      </c>
      <c r="M509" s="50">
        <v>0</v>
      </c>
      <c r="N509" s="152">
        <f t="shared" si="1"/>
        <v>0</v>
      </c>
      <c r="O509" s="50">
        <v>5204100</v>
      </c>
      <c r="P509" s="152">
        <f t="shared" si="2"/>
        <v>1</v>
      </c>
      <c r="Q509" s="50">
        <v>5204100</v>
      </c>
    </row>
    <row r="510" spans="1:17" hidden="1" x14ac:dyDescent="0.25">
      <c r="A510" s="49" t="s">
        <v>713</v>
      </c>
      <c r="B510" s="49" t="s">
        <v>77</v>
      </c>
      <c r="C510" s="49" t="s">
        <v>78</v>
      </c>
      <c r="D510" s="49" t="s">
        <v>69</v>
      </c>
      <c r="E510" s="50">
        <v>567738543</v>
      </c>
      <c r="F510" s="50">
        <v>564491876</v>
      </c>
      <c r="G510" s="50">
        <v>561491876</v>
      </c>
      <c r="H510" s="50">
        <v>0</v>
      </c>
      <c r="I510" s="50">
        <v>0</v>
      </c>
      <c r="J510" s="50">
        <v>0</v>
      </c>
      <c r="K510" s="50">
        <v>366444454.23000002</v>
      </c>
      <c r="L510" s="152">
        <f t="shared" si="0"/>
        <v>0.64915806552723532</v>
      </c>
      <c r="M510" s="50">
        <v>366444454.23000002</v>
      </c>
      <c r="N510" s="152">
        <f t="shared" si="1"/>
        <v>0.64915806552723532</v>
      </c>
      <c r="O510" s="50">
        <v>198047421.77000001</v>
      </c>
      <c r="P510" s="152">
        <f t="shared" si="2"/>
        <v>0.35084193447276468</v>
      </c>
      <c r="Q510" s="50">
        <v>195047421.77000001</v>
      </c>
    </row>
    <row r="511" spans="1:17" hidden="1" x14ac:dyDescent="0.25">
      <c r="A511" s="49" t="s">
        <v>713</v>
      </c>
      <c r="B511" s="49" t="s">
        <v>79</v>
      </c>
      <c r="C511" s="49" t="s">
        <v>80</v>
      </c>
      <c r="D511" s="49" t="s">
        <v>69</v>
      </c>
      <c r="E511" s="50">
        <v>176537100</v>
      </c>
      <c r="F511" s="50">
        <v>176537100</v>
      </c>
      <c r="G511" s="50">
        <v>176537100</v>
      </c>
      <c r="H511" s="50">
        <v>0</v>
      </c>
      <c r="I511" s="50">
        <v>0</v>
      </c>
      <c r="J511" s="50">
        <v>0</v>
      </c>
      <c r="K511" s="50">
        <v>122766999.54000001</v>
      </c>
      <c r="L511" s="152">
        <f t="shared" si="0"/>
        <v>0.6954175611811908</v>
      </c>
      <c r="M511" s="50">
        <v>122766999.54000001</v>
      </c>
      <c r="N511" s="152">
        <f t="shared" si="1"/>
        <v>0.6954175611811908</v>
      </c>
      <c r="O511" s="50">
        <v>53770100.460000001</v>
      </c>
      <c r="P511" s="152">
        <f t="shared" si="2"/>
        <v>0.3045824388188092</v>
      </c>
      <c r="Q511" s="50">
        <v>53770100.460000001</v>
      </c>
    </row>
    <row r="512" spans="1:17" hidden="1" x14ac:dyDescent="0.25">
      <c r="A512" s="49" t="s">
        <v>713</v>
      </c>
      <c r="B512" s="49" t="s">
        <v>81</v>
      </c>
      <c r="C512" s="49" t="s">
        <v>82</v>
      </c>
      <c r="D512" s="49" t="s">
        <v>69</v>
      </c>
      <c r="E512" s="50">
        <v>145353690</v>
      </c>
      <c r="F512" s="50">
        <v>142783300</v>
      </c>
      <c r="G512" s="50">
        <v>142783300</v>
      </c>
      <c r="H512" s="50">
        <v>0</v>
      </c>
      <c r="I512" s="50">
        <v>0</v>
      </c>
      <c r="J512" s="50">
        <v>0</v>
      </c>
      <c r="K512" s="50">
        <v>105836094.15000001</v>
      </c>
      <c r="L512" s="152">
        <f t="shared" si="0"/>
        <v>0.74123580383700338</v>
      </c>
      <c r="M512" s="50">
        <v>105836094.15000001</v>
      </c>
      <c r="N512" s="152">
        <f t="shared" si="1"/>
        <v>0.74123580383700338</v>
      </c>
      <c r="O512" s="50">
        <v>36947205.850000001</v>
      </c>
      <c r="P512" s="152">
        <f t="shared" si="2"/>
        <v>0.25876419616299667</v>
      </c>
      <c r="Q512" s="50">
        <v>36947205.850000001</v>
      </c>
    </row>
    <row r="513" spans="1:17" hidden="1" x14ac:dyDescent="0.25">
      <c r="A513" s="49" t="s">
        <v>713</v>
      </c>
      <c r="B513" s="49" t="s">
        <v>86</v>
      </c>
      <c r="C513" s="49" t="s">
        <v>87</v>
      </c>
      <c r="D513" s="49" t="s">
        <v>69</v>
      </c>
      <c r="E513" s="50">
        <v>70126000</v>
      </c>
      <c r="F513" s="50">
        <v>70126000</v>
      </c>
      <c r="G513" s="50">
        <v>67126000</v>
      </c>
      <c r="H513" s="50">
        <v>0</v>
      </c>
      <c r="I513" s="50">
        <v>0</v>
      </c>
      <c r="J513" s="50">
        <v>0</v>
      </c>
      <c r="K513" s="50">
        <v>62351269.950000003</v>
      </c>
      <c r="L513" s="152">
        <f t="shared" si="0"/>
        <v>0.88913199027464851</v>
      </c>
      <c r="M513" s="50">
        <v>62351269.950000003</v>
      </c>
      <c r="N513" s="152">
        <f t="shared" si="1"/>
        <v>0.88913199027464851</v>
      </c>
      <c r="O513" s="50">
        <v>7774730.0499999998</v>
      </c>
      <c r="P513" s="152">
        <f t="shared" si="2"/>
        <v>0.1108680097253515</v>
      </c>
      <c r="Q513" s="50">
        <v>4774730.05</v>
      </c>
    </row>
    <row r="514" spans="1:17" hidden="1" x14ac:dyDescent="0.25">
      <c r="A514" s="49" t="s">
        <v>713</v>
      </c>
      <c r="B514" s="49" t="s">
        <v>88</v>
      </c>
      <c r="C514" s="49" t="s">
        <v>89</v>
      </c>
      <c r="D514" s="49" t="s">
        <v>69</v>
      </c>
      <c r="E514" s="50">
        <v>99397100</v>
      </c>
      <c r="F514" s="50">
        <v>99397100</v>
      </c>
      <c r="G514" s="50">
        <v>99397100</v>
      </c>
      <c r="H514" s="50">
        <v>0</v>
      </c>
      <c r="I514" s="50">
        <v>0</v>
      </c>
      <c r="J514" s="50">
        <v>0</v>
      </c>
      <c r="K514" s="50">
        <v>75490090.590000004</v>
      </c>
      <c r="L514" s="152">
        <f t="shared" si="0"/>
        <v>0.7594798096725156</v>
      </c>
      <c r="M514" s="50">
        <v>75490090.590000004</v>
      </c>
      <c r="N514" s="152">
        <f t="shared" si="1"/>
        <v>0.7594798096725156</v>
      </c>
      <c r="O514" s="50">
        <v>23907009.41</v>
      </c>
      <c r="P514" s="152">
        <f t="shared" si="2"/>
        <v>0.2405201903274844</v>
      </c>
      <c r="Q514" s="50">
        <v>23907009.41</v>
      </c>
    </row>
    <row r="515" spans="1:17" hidden="1" x14ac:dyDescent="0.25">
      <c r="A515" s="49" t="s">
        <v>713</v>
      </c>
      <c r="B515" s="49" t="s">
        <v>83</v>
      </c>
      <c r="C515" s="49" t="s">
        <v>84</v>
      </c>
      <c r="D515" s="49" t="s">
        <v>85</v>
      </c>
      <c r="E515" s="50">
        <v>76324653</v>
      </c>
      <c r="F515" s="50">
        <v>75648376</v>
      </c>
      <c r="G515" s="50">
        <v>75648376</v>
      </c>
      <c r="H515" s="50">
        <v>0</v>
      </c>
      <c r="I515" s="50">
        <v>0</v>
      </c>
      <c r="J515" s="50">
        <v>0</v>
      </c>
      <c r="K515" s="50">
        <v>0</v>
      </c>
      <c r="L515" s="152">
        <f t="shared" si="0"/>
        <v>0</v>
      </c>
      <c r="M515" s="50">
        <v>0</v>
      </c>
      <c r="N515" s="152">
        <f t="shared" si="1"/>
        <v>0</v>
      </c>
      <c r="O515" s="50">
        <v>75648376</v>
      </c>
      <c r="P515" s="152">
        <f t="shared" si="2"/>
        <v>1</v>
      </c>
      <c r="Q515" s="50">
        <v>75648376</v>
      </c>
    </row>
    <row r="516" spans="1:17" hidden="1" x14ac:dyDescent="0.25">
      <c r="A516" s="49" t="s">
        <v>713</v>
      </c>
      <c r="B516" s="49" t="s">
        <v>90</v>
      </c>
      <c r="C516" s="49" t="s">
        <v>91</v>
      </c>
      <c r="D516" s="49" t="s">
        <v>69</v>
      </c>
      <c r="E516" s="50">
        <v>89336069</v>
      </c>
      <c r="F516" s="50">
        <v>88544509</v>
      </c>
      <c r="G516" s="50">
        <v>88544509</v>
      </c>
      <c r="H516" s="50">
        <v>0</v>
      </c>
      <c r="I516" s="50">
        <v>26179649</v>
      </c>
      <c r="J516" s="50">
        <v>0</v>
      </c>
      <c r="K516" s="50">
        <v>61733204</v>
      </c>
      <c r="L516" s="152">
        <f t="shared" si="0"/>
        <v>0.69719968744758642</v>
      </c>
      <c r="M516" s="50">
        <v>61733204</v>
      </c>
      <c r="N516" s="152">
        <f t="shared" si="1"/>
        <v>0.69719968744758642</v>
      </c>
      <c r="O516" s="50">
        <v>631656</v>
      </c>
      <c r="P516" s="152">
        <f t="shared" si="2"/>
        <v>7.1337681707625712E-3</v>
      </c>
      <c r="Q516" s="50">
        <v>631656</v>
      </c>
    </row>
    <row r="517" spans="1:17" hidden="1" x14ac:dyDescent="0.25">
      <c r="A517" s="49" t="s">
        <v>713</v>
      </c>
      <c r="B517" s="49" t="s">
        <v>423</v>
      </c>
      <c r="C517" s="49" t="s">
        <v>697</v>
      </c>
      <c r="D517" s="49" t="s">
        <v>69</v>
      </c>
      <c r="E517" s="50">
        <v>84754804</v>
      </c>
      <c r="F517" s="50">
        <v>84003836</v>
      </c>
      <c r="G517" s="50">
        <v>84003836</v>
      </c>
      <c r="H517" s="50">
        <v>0</v>
      </c>
      <c r="I517" s="50">
        <v>24837174</v>
      </c>
      <c r="J517" s="50">
        <v>0</v>
      </c>
      <c r="K517" s="50">
        <v>58567399</v>
      </c>
      <c r="L517" s="152">
        <f t="shared" si="0"/>
        <v>0.69719910171721211</v>
      </c>
      <c r="M517" s="50">
        <v>58567399</v>
      </c>
      <c r="N517" s="152">
        <f t="shared" si="1"/>
        <v>0.69719910171721211</v>
      </c>
      <c r="O517" s="50">
        <v>599263</v>
      </c>
      <c r="P517" s="152">
        <f t="shared" si="2"/>
        <v>7.1337575584048329E-3</v>
      </c>
      <c r="Q517" s="50">
        <v>599263</v>
      </c>
    </row>
    <row r="518" spans="1:17" hidden="1" x14ac:dyDescent="0.25">
      <c r="A518" s="49" t="s">
        <v>713</v>
      </c>
      <c r="B518" s="49" t="s">
        <v>440</v>
      </c>
      <c r="C518" s="49" t="s">
        <v>95</v>
      </c>
      <c r="D518" s="49" t="s">
        <v>69</v>
      </c>
      <c r="E518" s="50">
        <v>4581265</v>
      </c>
      <c r="F518" s="50">
        <v>4540673</v>
      </c>
      <c r="G518" s="50">
        <v>4540673</v>
      </c>
      <c r="H518" s="50">
        <v>0</v>
      </c>
      <c r="I518" s="50">
        <v>1342475</v>
      </c>
      <c r="J518" s="50">
        <v>0</v>
      </c>
      <c r="K518" s="50">
        <v>3165805</v>
      </c>
      <c r="L518" s="152">
        <f t="shared" si="0"/>
        <v>0.69721052363823599</v>
      </c>
      <c r="M518" s="50">
        <v>3165805</v>
      </c>
      <c r="N518" s="152">
        <f t="shared" si="1"/>
        <v>0.69721052363823599</v>
      </c>
      <c r="O518" s="50">
        <v>32393</v>
      </c>
      <c r="P518" s="152">
        <f t="shared" si="2"/>
        <v>7.1339645026188853E-3</v>
      </c>
      <c r="Q518" s="50">
        <v>32393</v>
      </c>
    </row>
    <row r="519" spans="1:17" hidden="1" x14ac:dyDescent="0.25">
      <c r="A519" s="49" t="s">
        <v>713</v>
      </c>
      <c r="B519" s="49" t="s">
        <v>96</v>
      </c>
      <c r="C519" s="49" t="s">
        <v>97</v>
      </c>
      <c r="D519" s="49" t="s">
        <v>69</v>
      </c>
      <c r="E519" s="50">
        <v>89336068</v>
      </c>
      <c r="F519" s="50">
        <v>88544508</v>
      </c>
      <c r="G519" s="50">
        <v>86344508</v>
      </c>
      <c r="H519" s="50">
        <v>0</v>
      </c>
      <c r="I519" s="50">
        <v>24087330</v>
      </c>
      <c r="J519" s="50">
        <v>0</v>
      </c>
      <c r="K519" s="50">
        <v>61625523</v>
      </c>
      <c r="L519" s="152">
        <f t="shared" si="0"/>
        <v>0.69598357246504772</v>
      </c>
      <c r="M519" s="50">
        <v>61625523</v>
      </c>
      <c r="N519" s="152">
        <f t="shared" si="1"/>
        <v>0.69598357246504772</v>
      </c>
      <c r="O519" s="50">
        <v>2831655</v>
      </c>
      <c r="P519" s="152">
        <f t="shared" si="2"/>
        <v>3.198001845580304E-2</v>
      </c>
      <c r="Q519" s="50">
        <v>631655</v>
      </c>
    </row>
    <row r="520" spans="1:17" hidden="1" x14ac:dyDescent="0.25">
      <c r="A520" s="49" t="s">
        <v>713</v>
      </c>
      <c r="B520" s="49" t="s">
        <v>458</v>
      </c>
      <c r="C520" s="49" t="s">
        <v>698</v>
      </c>
      <c r="D520" s="49" t="s">
        <v>69</v>
      </c>
      <c r="E520" s="50">
        <v>48104083</v>
      </c>
      <c r="F520" s="50">
        <v>47677858</v>
      </c>
      <c r="G520" s="50">
        <v>47677858</v>
      </c>
      <c r="H520" s="50">
        <v>0</v>
      </c>
      <c r="I520" s="50">
        <v>14204463</v>
      </c>
      <c r="J520" s="50">
        <v>0</v>
      </c>
      <c r="K520" s="50">
        <v>33133273</v>
      </c>
      <c r="L520" s="152">
        <f t="shared" si="0"/>
        <v>0.69494046901184192</v>
      </c>
      <c r="M520" s="50">
        <v>33133273</v>
      </c>
      <c r="N520" s="152">
        <f t="shared" si="1"/>
        <v>0.69494046901184192</v>
      </c>
      <c r="O520" s="50">
        <v>340122</v>
      </c>
      <c r="P520" s="152">
        <f t="shared" si="2"/>
        <v>7.1337516882574717E-3</v>
      </c>
      <c r="Q520" s="50">
        <v>340122</v>
      </c>
    </row>
    <row r="521" spans="1:17" hidden="1" x14ac:dyDescent="0.25">
      <c r="A521" s="49" t="s">
        <v>713</v>
      </c>
      <c r="B521" s="49" t="s">
        <v>475</v>
      </c>
      <c r="C521" s="49" t="s">
        <v>699</v>
      </c>
      <c r="D521" s="49" t="s">
        <v>69</v>
      </c>
      <c r="E521" s="50">
        <v>13743995</v>
      </c>
      <c r="F521" s="50">
        <v>13622217</v>
      </c>
      <c r="G521" s="50">
        <v>13622217</v>
      </c>
      <c r="H521" s="50">
        <v>0</v>
      </c>
      <c r="I521" s="50">
        <v>4027622</v>
      </c>
      <c r="J521" s="50">
        <v>0</v>
      </c>
      <c r="K521" s="50">
        <v>9497417</v>
      </c>
      <c r="L521" s="152">
        <f t="shared" si="0"/>
        <v>0.69720053644718771</v>
      </c>
      <c r="M521" s="50">
        <v>9497417</v>
      </c>
      <c r="N521" s="152">
        <f t="shared" si="1"/>
        <v>0.69720053644718771</v>
      </c>
      <c r="O521" s="50">
        <v>97178</v>
      </c>
      <c r="P521" s="152">
        <f t="shared" si="2"/>
        <v>7.1337874003915809E-3</v>
      </c>
      <c r="Q521" s="50">
        <v>97178</v>
      </c>
    </row>
    <row r="522" spans="1:17" hidden="1" x14ac:dyDescent="0.25">
      <c r="A522" s="49" t="s">
        <v>713</v>
      </c>
      <c r="B522" s="49" t="s">
        <v>492</v>
      </c>
      <c r="C522" s="49" t="s">
        <v>700</v>
      </c>
      <c r="D522" s="49" t="s">
        <v>69</v>
      </c>
      <c r="E522" s="50">
        <v>27487990</v>
      </c>
      <c r="F522" s="50">
        <v>27244433</v>
      </c>
      <c r="G522" s="50">
        <v>25044433</v>
      </c>
      <c r="H522" s="50">
        <v>0</v>
      </c>
      <c r="I522" s="50">
        <v>5855245</v>
      </c>
      <c r="J522" s="50">
        <v>0</v>
      </c>
      <c r="K522" s="50">
        <v>18994833</v>
      </c>
      <c r="L522" s="152">
        <f t="shared" si="0"/>
        <v>0.69720052533301025</v>
      </c>
      <c r="M522" s="50">
        <v>18994833</v>
      </c>
      <c r="N522" s="152">
        <f t="shared" si="1"/>
        <v>0.69720052533301025</v>
      </c>
      <c r="O522" s="50">
        <v>2394355</v>
      </c>
      <c r="P522" s="152">
        <f t="shared" si="2"/>
        <v>8.7884192708286499E-2</v>
      </c>
      <c r="Q522" s="50">
        <v>194355</v>
      </c>
    </row>
    <row r="523" spans="1:17" hidden="1" x14ac:dyDescent="0.25">
      <c r="A523" s="49" t="s">
        <v>713</v>
      </c>
      <c r="B523" s="49" t="s">
        <v>104</v>
      </c>
      <c r="C523" s="49" t="s">
        <v>105</v>
      </c>
      <c r="D523" s="49" t="s">
        <v>69</v>
      </c>
      <c r="E523" s="50">
        <v>92630000</v>
      </c>
      <c r="F523" s="50">
        <v>92630000</v>
      </c>
      <c r="G523" s="50">
        <v>92229999.400000006</v>
      </c>
      <c r="H523" s="50">
        <v>0</v>
      </c>
      <c r="I523" s="50">
        <v>11970054.550000001</v>
      </c>
      <c r="J523" s="50">
        <v>0</v>
      </c>
      <c r="K523" s="50">
        <v>70084271.450000003</v>
      </c>
      <c r="L523" s="152">
        <f t="shared" si="0"/>
        <v>0.75660446345676347</v>
      </c>
      <c r="M523" s="50">
        <v>70084271.450000003</v>
      </c>
      <c r="N523" s="152">
        <f t="shared" si="1"/>
        <v>0.75660446345676347</v>
      </c>
      <c r="O523" s="50">
        <v>10575674</v>
      </c>
      <c r="P523" s="152">
        <f t="shared" si="2"/>
        <v>0.11417115405376228</v>
      </c>
      <c r="Q523" s="50">
        <v>10175673.4</v>
      </c>
    </row>
    <row r="524" spans="1:17" hidden="1" x14ac:dyDescent="0.25">
      <c r="A524" s="49" t="s">
        <v>713</v>
      </c>
      <c r="B524" s="49" t="s">
        <v>112</v>
      </c>
      <c r="C524" s="49" t="s">
        <v>113</v>
      </c>
      <c r="D524" s="49" t="s">
        <v>69</v>
      </c>
      <c r="E524" s="50">
        <v>92630000</v>
      </c>
      <c r="F524" s="50">
        <v>92630000</v>
      </c>
      <c r="G524" s="50">
        <v>92229999.400000006</v>
      </c>
      <c r="H524" s="50">
        <v>0</v>
      </c>
      <c r="I524" s="50">
        <v>11970054.550000001</v>
      </c>
      <c r="J524" s="50">
        <v>0</v>
      </c>
      <c r="K524" s="50">
        <v>70084271.450000003</v>
      </c>
      <c r="L524" s="152">
        <f t="shared" si="0"/>
        <v>0.75660446345676347</v>
      </c>
      <c r="M524" s="50">
        <v>70084271.450000003</v>
      </c>
      <c r="N524" s="152">
        <f t="shared" si="1"/>
        <v>0.75660446345676347</v>
      </c>
      <c r="O524" s="50">
        <v>10575674</v>
      </c>
      <c r="P524" s="152">
        <f t="shared" si="2"/>
        <v>0.11417115405376228</v>
      </c>
      <c r="Q524" s="50">
        <v>10175673.4</v>
      </c>
    </row>
    <row r="525" spans="1:17" hidden="1" x14ac:dyDescent="0.25">
      <c r="A525" s="49" t="s">
        <v>713</v>
      </c>
      <c r="B525" s="49" t="s">
        <v>114</v>
      </c>
      <c r="C525" s="49" t="s">
        <v>115</v>
      </c>
      <c r="D525" s="49" t="s">
        <v>69</v>
      </c>
      <c r="E525" s="50">
        <v>54520000</v>
      </c>
      <c r="F525" s="50">
        <v>54520000</v>
      </c>
      <c r="G525" s="50">
        <v>54519999.399999999</v>
      </c>
      <c r="H525" s="50">
        <v>0</v>
      </c>
      <c r="I525" s="50">
        <v>1803171</v>
      </c>
      <c r="J525" s="50">
        <v>0</v>
      </c>
      <c r="K525" s="50">
        <v>43809065</v>
      </c>
      <c r="L525" s="152">
        <f t="shared" si="0"/>
        <v>0.80354117754952314</v>
      </c>
      <c r="M525" s="50">
        <v>43809065</v>
      </c>
      <c r="N525" s="152">
        <f t="shared" si="1"/>
        <v>0.80354117754952314</v>
      </c>
      <c r="O525" s="50">
        <v>8907764</v>
      </c>
      <c r="P525" s="152">
        <f t="shared" si="2"/>
        <v>0.1633852531181218</v>
      </c>
      <c r="Q525" s="50">
        <v>8907763.4000000004</v>
      </c>
    </row>
    <row r="526" spans="1:17" hidden="1" x14ac:dyDescent="0.25">
      <c r="A526" s="49" t="s">
        <v>713</v>
      </c>
      <c r="B526" s="49" t="s">
        <v>116</v>
      </c>
      <c r="C526" s="49" t="s">
        <v>117</v>
      </c>
      <c r="D526" s="49" t="s">
        <v>69</v>
      </c>
      <c r="E526" s="50">
        <v>34800000</v>
      </c>
      <c r="F526" s="50">
        <v>34800000</v>
      </c>
      <c r="G526" s="50">
        <v>34800000</v>
      </c>
      <c r="H526" s="50">
        <v>0</v>
      </c>
      <c r="I526" s="50">
        <v>9943978.1999999993</v>
      </c>
      <c r="J526" s="50">
        <v>0</v>
      </c>
      <c r="K526" s="50">
        <v>24856021.800000001</v>
      </c>
      <c r="L526" s="152">
        <f t="shared" si="0"/>
        <v>0.71425349999999999</v>
      </c>
      <c r="M526" s="50">
        <v>24856021.800000001</v>
      </c>
      <c r="N526" s="152">
        <f t="shared" si="1"/>
        <v>0.71425349999999999</v>
      </c>
      <c r="O526" s="50">
        <v>0</v>
      </c>
      <c r="P526" s="152">
        <f t="shared" si="2"/>
        <v>0</v>
      </c>
      <c r="Q526" s="50">
        <v>0</v>
      </c>
    </row>
    <row r="527" spans="1:17" hidden="1" x14ac:dyDescent="0.25">
      <c r="A527" s="49" t="s">
        <v>713</v>
      </c>
      <c r="B527" s="49" t="s">
        <v>120</v>
      </c>
      <c r="C527" s="49" t="s">
        <v>121</v>
      </c>
      <c r="D527" s="49" t="s">
        <v>69</v>
      </c>
      <c r="E527" s="50">
        <v>2310000</v>
      </c>
      <c r="F527" s="50">
        <v>2310000</v>
      </c>
      <c r="G527" s="50">
        <v>2310000</v>
      </c>
      <c r="H527" s="50">
        <v>0</v>
      </c>
      <c r="I527" s="50">
        <v>222905.35</v>
      </c>
      <c r="J527" s="50">
        <v>0</v>
      </c>
      <c r="K527" s="50">
        <v>932094.65</v>
      </c>
      <c r="L527" s="152">
        <f t="shared" si="0"/>
        <v>0.4035041774891775</v>
      </c>
      <c r="M527" s="50">
        <v>932094.65</v>
      </c>
      <c r="N527" s="152">
        <f t="shared" si="1"/>
        <v>0.4035041774891775</v>
      </c>
      <c r="O527" s="50">
        <v>1155000</v>
      </c>
      <c r="P527" s="152">
        <f t="shared" si="2"/>
        <v>0.5</v>
      </c>
      <c r="Q527" s="50">
        <v>1155000</v>
      </c>
    </row>
    <row r="528" spans="1:17" hidden="1" x14ac:dyDescent="0.25">
      <c r="A528" s="49" t="s">
        <v>713</v>
      </c>
      <c r="B528" s="49" t="s">
        <v>122</v>
      </c>
      <c r="C528" s="49" t="s">
        <v>123</v>
      </c>
      <c r="D528" s="49" t="s">
        <v>69</v>
      </c>
      <c r="E528" s="50">
        <v>1000000</v>
      </c>
      <c r="F528" s="50">
        <v>1000000</v>
      </c>
      <c r="G528" s="50">
        <v>600000</v>
      </c>
      <c r="H528" s="50">
        <v>0</v>
      </c>
      <c r="I528" s="50">
        <v>0</v>
      </c>
      <c r="J528" s="50">
        <v>0</v>
      </c>
      <c r="K528" s="50">
        <v>487090</v>
      </c>
      <c r="L528" s="152">
        <f t="shared" si="0"/>
        <v>0.48709000000000002</v>
      </c>
      <c r="M528" s="50">
        <v>487090</v>
      </c>
      <c r="N528" s="152">
        <f t="shared" si="1"/>
        <v>0.48709000000000002</v>
      </c>
      <c r="O528" s="50">
        <v>512910</v>
      </c>
      <c r="P528" s="152">
        <f t="shared" si="2"/>
        <v>0.51290999999999998</v>
      </c>
      <c r="Q528" s="50">
        <v>112910</v>
      </c>
    </row>
    <row r="529" spans="1:17" hidden="1" x14ac:dyDescent="0.25">
      <c r="A529" s="49" t="s">
        <v>713</v>
      </c>
      <c r="B529" s="49" t="s">
        <v>140</v>
      </c>
      <c r="C529" s="49" t="s">
        <v>141</v>
      </c>
      <c r="D529" s="49" t="s">
        <v>69</v>
      </c>
      <c r="E529" s="50">
        <v>0</v>
      </c>
      <c r="F529" s="50">
        <v>0</v>
      </c>
      <c r="G529" s="50">
        <v>0</v>
      </c>
      <c r="H529" s="50">
        <v>0</v>
      </c>
      <c r="I529" s="50">
        <v>0</v>
      </c>
      <c r="J529" s="50">
        <v>0</v>
      </c>
      <c r="K529" s="50">
        <v>0</v>
      </c>
      <c r="L529" s="152" t="e">
        <f t="shared" si="0"/>
        <v>#DIV/0!</v>
      </c>
      <c r="M529" s="50">
        <v>0</v>
      </c>
      <c r="N529" s="152" t="e">
        <f t="shared" si="1"/>
        <v>#DIV/0!</v>
      </c>
      <c r="O529" s="50">
        <v>0</v>
      </c>
      <c r="P529" s="152" t="e">
        <f t="shared" si="2"/>
        <v>#DIV/0!</v>
      </c>
      <c r="Q529" s="50">
        <v>0</v>
      </c>
    </row>
    <row r="530" spans="1:17" hidden="1" x14ac:dyDescent="0.25">
      <c r="A530" s="49" t="s">
        <v>713</v>
      </c>
      <c r="B530" s="49" t="s">
        <v>144</v>
      </c>
      <c r="C530" s="49" t="s">
        <v>145</v>
      </c>
      <c r="D530" s="49" t="s">
        <v>69</v>
      </c>
      <c r="E530" s="50">
        <v>0</v>
      </c>
      <c r="F530" s="50">
        <v>0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152" t="e">
        <f t="shared" si="0"/>
        <v>#DIV/0!</v>
      </c>
      <c r="M530" s="50">
        <v>0</v>
      </c>
      <c r="N530" s="152" t="e">
        <f t="shared" si="1"/>
        <v>#DIV/0!</v>
      </c>
      <c r="O530" s="50">
        <v>0</v>
      </c>
      <c r="P530" s="152" t="e">
        <f t="shared" si="2"/>
        <v>#DIV/0!</v>
      </c>
      <c r="Q530" s="50">
        <v>0</v>
      </c>
    </row>
    <row r="531" spans="1:17" hidden="1" x14ac:dyDescent="0.25">
      <c r="A531" s="49" t="s">
        <v>713</v>
      </c>
      <c r="B531" s="49" t="s">
        <v>184</v>
      </c>
      <c r="C531" s="49" t="s">
        <v>185</v>
      </c>
      <c r="D531" s="49" t="s">
        <v>69</v>
      </c>
      <c r="E531" s="50">
        <v>150099855</v>
      </c>
      <c r="F531" s="50">
        <v>150099855</v>
      </c>
      <c r="G531" s="50">
        <v>150087013.19</v>
      </c>
      <c r="H531" s="50">
        <v>18223.88</v>
      </c>
      <c r="I531" s="50">
        <v>21986459.16</v>
      </c>
      <c r="J531" s="50">
        <v>12300455.289999999</v>
      </c>
      <c r="K531" s="50">
        <v>94504583</v>
      </c>
      <c r="L531" s="152">
        <f t="shared" si="0"/>
        <v>0.62961142101036671</v>
      </c>
      <c r="M531" s="50">
        <v>94504583</v>
      </c>
      <c r="N531" s="152">
        <f t="shared" si="1"/>
        <v>0.62961142101036671</v>
      </c>
      <c r="O531" s="50">
        <v>21290133.670000002</v>
      </c>
      <c r="P531" s="152">
        <f t="shared" si="2"/>
        <v>0.14183980171066787</v>
      </c>
      <c r="Q531" s="50">
        <v>21277291.859999999</v>
      </c>
    </row>
    <row r="532" spans="1:17" hidden="1" x14ac:dyDescent="0.25">
      <c r="A532" s="49" t="s">
        <v>713</v>
      </c>
      <c r="B532" s="49" t="s">
        <v>186</v>
      </c>
      <c r="C532" s="49" t="s">
        <v>187</v>
      </c>
      <c r="D532" s="49" t="s">
        <v>69</v>
      </c>
      <c r="E532" s="50">
        <v>568000</v>
      </c>
      <c r="F532" s="50">
        <v>568000</v>
      </c>
      <c r="G532" s="50">
        <v>560093</v>
      </c>
      <c r="H532" s="50">
        <v>0</v>
      </c>
      <c r="I532" s="50">
        <v>271486.58</v>
      </c>
      <c r="J532" s="50">
        <v>0</v>
      </c>
      <c r="K532" s="50">
        <v>0</v>
      </c>
      <c r="L532" s="152">
        <f t="shared" si="0"/>
        <v>0</v>
      </c>
      <c r="M532" s="50">
        <v>0</v>
      </c>
      <c r="N532" s="152">
        <f t="shared" si="1"/>
        <v>0</v>
      </c>
      <c r="O532" s="50">
        <v>296513.42</v>
      </c>
      <c r="P532" s="152">
        <f t="shared" si="2"/>
        <v>0.52203066901408446</v>
      </c>
      <c r="Q532" s="50">
        <v>288606.42</v>
      </c>
    </row>
    <row r="533" spans="1:17" hidden="1" x14ac:dyDescent="0.25">
      <c r="A533" s="49" t="s">
        <v>713</v>
      </c>
      <c r="B533" s="49" t="s">
        <v>188</v>
      </c>
      <c r="C533" s="49" t="s">
        <v>189</v>
      </c>
      <c r="D533" s="49" t="s">
        <v>69</v>
      </c>
      <c r="E533" s="50">
        <v>5500</v>
      </c>
      <c r="F533" s="50">
        <v>5500</v>
      </c>
      <c r="G533" s="50">
        <v>550</v>
      </c>
      <c r="H533" s="50">
        <v>0</v>
      </c>
      <c r="I533" s="50">
        <v>0</v>
      </c>
      <c r="J533" s="50">
        <v>0</v>
      </c>
      <c r="K533" s="50">
        <v>0</v>
      </c>
      <c r="L533" s="152">
        <f t="shared" si="0"/>
        <v>0</v>
      </c>
      <c r="M533" s="50">
        <v>0</v>
      </c>
      <c r="N533" s="152">
        <f t="shared" si="1"/>
        <v>0</v>
      </c>
      <c r="O533" s="50">
        <v>5500</v>
      </c>
      <c r="P533" s="152">
        <f t="shared" si="2"/>
        <v>1</v>
      </c>
      <c r="Q533" s="50">
        <v>550</v>
      </c>
    </row>
    <row r="534" spans="1:17" hidden="1" x14ac:dyDescent="0.25">
      <c r="A534" s="49" t="s">
        <v>713</v>
      </c>
      <c r="B534" s="49" t="s">
        <v>190</v>
      </c>
      <c r="C534" s="49" t="s">
        <v>191</v>
      </c>
      <c r="D534" s="49" t="s">
        <v>69</v>
      </c>
      <c r="E534" s="50">
        <v>147500</v>
      </c>
      <c r="F534" s="50">
        <v>562500</v>
      </c>
      <c r="G534" s="50">
        <v>559543</v>
      </c>
      <c r="H534" s="50">
        <v>0</v>
      </c>
      <c r="I534" s="50">
        <v>271486.58</v>
      </c>
      <c r="J534" s="50">
        <v>0</v>
      </c>
      <c r="K534" s="50">
        <v>0</v>
      </c>
      <c r="L534" s="152">
        <f t="shared" si="0"/>
        <v>0</v>
      </c>
      <c r="M534" s="50">
        <v>0</v>
      </c>
      <c r="N534" s="152">
        <f t="shared" si="1"/>
        <v>0</v>
      </c>
      <c r="O534" s="50">
        <v>291013.42</v>
      </c>
      <c r="P534" s="152">
        <f t="shared" si="2"/>
        <v>0.51735719111111111</v>
      </c>
      <c r="Q534" s="50">
        <v>288056.42</v>
      </c>
    </row>
    <row r="535" spans="1:17" hidden="1" x14ac:dyDescent="0.25">
      <c r="A535" s="49" t="s">
        <v>713</v>
      </c>
      <c r="B535" s="49" t="s">
        <v>194</v>
      </c>
      <c r="C535" s="49" t="s">
        <v>195</v>
      </c>
      <c r="D535" s="49" t="s">
        <v>69</v>
      </c>
      <c r="E535" s="50">
        <v>415000</v>
      </c>
      <c r="F535" s="50">
        <v>0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152" t="e">
        <f t="shared" si="0"/>
        <v>#DIV/0!</v>
      </c>
      <c r="M535" s="50">
        <v>0</v>
      </c>
      <c r="N535" s="152" t="e">
        <f t="shared" si="1"/>
        <v>#DIV/0!</v>
      </c>
      <c r="O535" s="50">
        <v>0</v>
      </c>
      <c r="P535" s="152" t="e">
        <f t="shared" si="2"/>
        <v>#DIV/0!</v>
      </c>
      <c r="Q535" s="50">
        <v>0</v>
      </c>
    </row>
    <row r="536" spans="1:17" hidden="1" x14ac:dyDescent="0.25">
      <c r="A536" s="49" t="s">
        <v>713</v>
      </c>
      <c r="B536" s="49" t="s">
        <v>196</v>
      </c>
      <c r="C536" s="49" t="s">
        <v>197</v>
      </c>
      <c r="D536" s="49" t="s">
        <v>69</v>
      </c>
      <c r="E536" s="50">
        <v>148180115</v>
      </c>
      <c r="F536" s="50">
        <v>148180115</v>
      </c>
      <c r="G536" s="50">
        <v>148180115</v>
      </c>
      <c r="H536" s="50">
        <v>0</v>
      </c>
      <c r="I536" s="50">
        <v>21024145.43</v>
      </c>
      <c r="J536" s="50">
        <v>12300455.289999999</v>
      </c>
      <c r="K536" s="50">
        <v>94504583</v>
      </c>
      <c r="L536" s="152">
        <f t="shared" si="0"/>
        <v>0.637768319993543</v>
      </c>
      <c r="M536" s="50">
        <v>94504583</v>
      </c>
      <c r="N536" s="152">
        <f t="shared" si="1"/>
        <v>0.637768319993543</v>
      </c>
      <c r="O536" s="50">
        <v>20350931.280000001</v>
      </c>
      <c r="P536" s="152">
        <f t="shared" si="2"/>
        <v>0.13733915161288679</v>
      </c>
      <c r="Q536" s="50">
        <v>20350931.280000001</v>
      </c>
    </row>
    <row r="537" spans="1:17" hidden="1" x14ac:dyDescent="0.25">
      <c r="A537" s="49" t="s">
        <v>713</v>
      </c>
      <c r="B537" s="49" t="s">
        <v>198</v>
      </c>
      <c r="C537" s="49" t="s">
        <v>199</v>
      </c>
      <c r="D537" s="49" t="s">
        <v>69</v>
      </c>
      <c r="E537" s="50">
        <v>148180115</v>
      </c>
      <c r="F537" s="50">
        <v>148180115</v>
      </c>
      <c r="G537" s="50">
        <v>148180115</v>
      </c>
      <c r="H537" s="50">
        <v>0</v>
      </c>
      <c r="I537" s="50">
        <v>21024145.43</v>
      </c>
      <c r="J537" s="50">
        <v>12300455.289999999</v>
      </c>
      <c r="K537" s="50">
        <v>94504583</v>
      </c>
      <c r="L537" s="152">
        <f t="shared" si="0"/>
        <v>0.637768319993543</v>
      </c>
      <c r="M537" s="50">
        <v>94504583</v>
      </c>
      <c r="N537" s="152">
        <f t="shared" si="1"/>
        <v>0.637768319993543</v>
      </c>
      <c r="O537" s="50">
        <v>20350931.280000001</v>
      </c>
      <c r="P537" s="152">
        <f t="shared" si="2"/>
        <v>0.13733915161288679</v>
      </c>
      <c r="Q537" s="50">
        <v>20350931.280000001</v>
      </c>
    </row>
    <row r="538" spans="1:17" hidden="1" x14ac:dyDescent="0.25">
      <c r="A538" s="49" t="s">
        <v>713</v>
      </c>
      <c r="B538" s="49" t="s">
        <v>212</v>
      </c>
      <c r="C538" s="49" t="s">
        <v>213</v>
      </c>
      <c r="D538" s="49" t="s">
        <v>69</v>
      </c>
      <c r="E538" s="50">
        <v>1351740</v>
      </c>
      <c r="F538" s="50">
        <v>1351740</v>
      </c>
      <c r="G538" s="50">
        <v>1346805.19</v>
      </c>
      <c r="H538" s="50">
        <v>18223.88</v>
      </c>
      <c r="I538" s="50">
        <v>690827.15</v>
      </c>
      <c r="J538" s="50">
        <v>0</v>
      </c>
      <c r="K538" s="50">
        <v>0</v>
      </c>
      <c r="L538" s="152">
        <f t="shared" si="0"/>
        <v>0</v>
      </c>
      <c r="M538" s="50">
        <v>0</v>
      </c>
      <c r="N538" s="152">
        <f t="shared" si="1"/>
        <v>0</v>
      </c>
      <c r="O538" s="50">
        <v>642688.97</v>
      </c>
      <c r="P538" s="152">
        <f t="shared" si="2"/>
        <v>0.47545309748916209</v>
      </c>
      <c r="Q538" s="50">
        <v>637754.16</v>
      </c>
    </row>
    <row r="539" spans="1:17" hidden="1" x14ac:dyDescent="0.25">
      <c r="A539" s="49" t="s">
        <v>713</v>
      </c>
      <c r="B539" s="49" t="s">
        <v>216</v>
      </c>
      <c r="C539" s="49" t="s">
        <v>217</v>
      </c>
      <c r="D539" s="49" t="s">
        <v>69</v>
      </c>
      <c r="E539" s="50">
        <v>708740</v>
      </c>
      <c r="F539" s="50">
        <v>708740</v>
      </c>
      <c r="G539" s="50">
        <v>708740</v>
      </c>
      <c r="H539" s="50">
        <v>18223.88</v>
      </c>
      <c r="I539" s="50">
        <v>302775</v>
      </c>
      <c r="J539" s="50">
        <v>0</v>
      </c>
      <c r="K539" s="50">
        <v>0</v>
      </c>
      <c r="L539" s="152">
        <f t="shared" si="0"/>
        <v>0</v>
      </c>
      <c r="M539" s="50">
        <v>0</v>
      </c>
      <c r="N539" s="152">
        <f t="shared" si="1"/>
        <v>0</v>
      </c>
      <c r="O539" s="50">
        <v>387741.12</v>
      </c>
      <c r="P539" s="152">
        <f t="shared" si="2"/>
        <v>0.54708513700369665</v>
      </c>
      <c r="Q539" s="50">
        <v>387741.12</v>
      </c>
    </row>
    <row r="540" spans="1:17" hidden="1" x14ac:dyDescent="0.25">
      <c r="A540" s="49" t="s">
        <v>713</v>
      </c>
      <c r="B540" s="49" t="s">
        <v>218</v>
      </c>
      <c r="C540" s="49" t="s">
        <v>219</v>
      </c>
      <c r="D540" s="49" t="s">
        <v>69</v>
      </c>
      <c r="E540" s="50">
        <v>616000</v>
      </c>
      <c r="F540" s="50">
        <v>616000</v>
      </c>
      <c r="G540" s="50">
        <v>611779</v>
      </c>
      <c r="H540" s="50">
        <v>0</v>
      </c>
      <c r="I540" s="50">
        <v>383470</v>
      </c>
      <c r="J540" s="50">
        <v>0</v>
      </c>
      <c r="K540" s="50">
        <v>0</v>
      </c>
      <c r="L540" s="152">
        <f t="shared" si="0"/>
        <v>0</v>
      </c>
      <c r="M540" s="50">
        <v>0</v>
      </c>
      <c r="N540" s="152">
        <f t="shared" si="1"/>
        <v>0</v>
      </c>
      <c r="O540" s="50">
        <v>232530</v>
      </c>
      <c r="P540" s="152">
        <f t="shared" si="2"/>
        <v>0.37748376623376623</v>
      </c>
      <c r="Q540" s="50">
        <v>228309</v>
      </c>
    </row>
    <row r="541" spans="1:17" hidden="1" x14ac:dyDescent="0.25">
      <c r="A541" s="49" t="s">
        <v>713</v>
      </c>
      <c r="B541" s="49" t="s">
        <v>224</v>
      </c>
      <c r="C541" s="49" t="s">
        <v>225</v>
      </c>
      <c r="D541" s="49" t="s">
        <v>69</v>
      </c>
      <c r="E541" s="50">
        <v>27000</v>
      </c>
      <c r="F541" s="50">
        <v>27000</v>
      </c>
      <c r="G541" s="50">
        <v>26286.19</v>
      </c>
      <c r="H541" s="50">
        <v>0</v>
      </c>
      <c r="I541" s="50">
        <v>4582.1499999999996</v>
      </c>
      <c r="J541" s="50">
        <v>0</v>
      </c>
      <c r="K541" s="50">
        <v>0</v>
      </c>
      <c r="L541" s="152">
        <f t="shared" si="0"/>
        <v>0</v>
      </c>
      <c r="M541" s="50">
        <v>0</v>
      </c>
      <c r="N541" s="152">
        <f t="shared" si="1"/>
        <v>0</v>
      </c>
      <c r="O541" s="50">
        <v>22417.85</v>
      </c>
      <c r="P541" s="152">
        <f t="shared" si="2"/>
        <v>0.83029074074074072</v>
      </c>
      <c r="Q541" s="50">
        <v>21704.04</v>
      </c>
    </row>
    <row r="542" spans="1:17" hidden="1" x14ac:dyDescent="0.25">
      <c r="A542" s="49" t="s">
        <v>713</v>
      </c>
      <c r="B542" s="49" t="s">
        <v>248</v>
      </c>
      <c r="C542" s="49" t="s">
        <v>249</v>
      </c>
      <c r="D542" s="49" t="s">
        <v>69</v>
      </c>
      <c r="E542" s="50">
        <v>19709963</v>
      </c>
      <c r="F542" s="50">
        <v>19575196</v>
      </c>
      <c r="G542" s="50">
        <v>19556625</v>
      </c>
      <c r="H542" s="50">
        <v>0</v>
      </c>
      <c r="I542" s="50">
        <v>4564860</v>
      </c>
      <c r="J542" s="50">
        <v>0</v>
      </c>
      <c r="K542" s="50">
        <v>14545473</v>
      </c>
      <c r="L542" s="152">
        <f t="shared" si="0"/>
        <v>0.7430563147362611</v>
      </c>
      <c r="M542" s="50">
        <v>14545473</v>
      </c>
      <c r="N542" s="152">
        <f t="shared" si="1"/>
        <v>0.7430563147362611</v>
      </c>
      <c r="O542" s="50">
        <v>464863</v>
      </c>
      <c r="P542" s="152">
        <f t="shared" si="2"/>
        <v>2.3747552770352849E-2</v>
      </c>
      <c r="Q542" s="50">
        <v>446292</v>
      </c>
    </row>
    <row r="543" spans="1:17" hidden="1" x14ac:dyDescent="0.25">
      <c r="A543" s="49" t="s">
        <v>713</v>
      </c>
      <c r="B543" s="49" t="s">
        <v>250</v>
      </c>
      <c r="C543" s="49" t="s">
        <v>251</v>
      </c>
      <c r="D543" s="49" t="s">
        <v>69</v>
      </c>
      <c r="E543" s="50">
        <v>15209963</v>
      </c>
      <c r="F543" s="50">
        <v>15075196</v>
      </c>
      <c r="G543" s="50">
        <v>15056625</v>
      </c>
      <c r="H543" s="50">
        <v>0</v>
      </c>
      <c r="I543" s="50">
        <v>4564860</v>
      </c>
      <c r="J543" s="50">
        <v>0</v>
      </c>
      <c r="K543" s="50">
        <v>10402792</v>
      </c>
      <c r="L543" s="152">
        <f t="shared" si="0"/>
        <v>0.69006014913504277</v>
      </c>
      <c r="M543" s="50">
        <v>10402792</v>
      </c>
      <c r="N543" s="152">
        <f t="shared" si="1"/>
        <v>0.69006014913504277</v>
      </c>
      <c r="O543" s="50">
        <v>107544</v>
      </c>
      <c r="P543" s="152">
        <f t="shared" si="2"/>
        <v>7.1338375965393748E-3</v>
      </c>
      <c r="Q543" s="50">
        <v>88973</v>
      </c>
    </row>
    <row r="544" spans="1:17" hidden="1" x14ac:dyDescent="0.25">
      <c r="A544" s="49" t="s">
        <v>713</v>
      </c>
      <c r="B544" s="49" t="s">
        <v>632</v>
      </c>
      <c r="C544" s="49" t="s">
        <v>702</v>
      </c>
      <c r="D544" s="49" t="s">
        <v>69</v>
      </c>
      <c r="E544" s="50">
        <v>12919331</v>
      </c>
      <c r="F544" s="50">
        <v>12804860</v>
      </c>
      <c r="G544" s="50">
        <v>12802485</v>
      </c>
      <c r="H544" s="50">
        <v>0</v>
      </c>
      <c r="I544" s="50">
        <v>3893623</v>
      </c>
      <c r="J544" s="50">
        <v>0</v>
      </c>
      <c r="K544" s="50">
        <v>8819889</v>
      </c>
      <c r="L544" s="152">
        <f t="shared" si="0"/>
        <v>0.68879230229772137</v>
      </c>
      <c r="M544" s="50">
        <v>8819889</v>
      </c>
      <c r="N544" s="152">
        <f t="shared" si="1"/>
        <v>0.68879230229772137</v>
      </c>
      <c r="O544" s="50">
        <v>91348</v>
      </c>
      <c r="P544" s="152">
        <f t="shared" si="2"/>
        <v>7.1338538648606856E-3</v>
      </c>
      <c r="Q544" s="50">
        <v>88973</v>
      </c>
    </row>
    <row r="545" spans="1:17" hidden="1" x14ac:dyDescent="0.25">
      <c r="A545" s="49" t="s">
        <v>713</v>
      </c>
      <c r="B545" s="49" t="s">
        <v>647</v>
      </c>
      <c r="C545" s="49" t="s">
        <v>703</v>
      </c>
      <c r="D545" s="49" t="s">
        <v>69</v>
      </c>
      <c r="E545" s="50">
        <v>2290632</v>
      </c>
      <c r="F545" s="50">
        <v>2270336</v>
      </c>
      <c r="G545" s="50">
        <v>2254140</v>
      </c>
      <c r="H545" s="50">
        <v>0</v>
      </c>
      <c r="I545" s="50">
        <v>671237</v>
      </c>
      <c r="J545" s="50">
        <v>0</v>
      </c>
      <c r="K545" s="50">
        <v>1582903</v>
      </c>
      <c r="L545" s="152">
        <f t="shared" si="0"/>
        <v>0.69721089741782716</v>
      </c>
      <c r="M545" s="50">
        <v>1582903</v>
      </c>
      <c r="N545" s="152">
        <f t="shared" si="1"/>
        <v>0.69721089741782716</v>
      </c>
      <c r="O545" s="50">
        <v>16196</v>
      </c>
      <c r="P545" s="152">
        <f t="shared" si="2"/>
        <v>7.1337458420251453E-3</v>
      </c>
      <c r="Q545" s="50">
        <v>0</v>
      </c>
    </row>
    <row r="546" spans="1:17" hidden="1" x14ac:dyDescent="0.25">
      <c r="A546" s="49" t="s">
        <v>713</v>
      </c>
      <c r="B546" s="49" t="s">
        <v>260</v>
      </c>
      <c r="C546" s="49" t="s">
        <v>261</v>
      </c>
      <c r="D546" s="49" t="s">
        <v>69</v>
      </c>
      <c r="E546" s="50">
        <v>4500000</v>
      </c>
      <c r="F546" s="50">
        <v>4500000</v>
      </c>
      <c r="G546" s="50">
        <v>4500000</v>
      </c>
      <c r="H546" s="50">
        <v>0</v>
      </c>
      <c r="I546" s="50">
        <v>0</v>
      </c>
      <c r="J546" s="50">
        <v>0</v>
      </c>
      <c r="K546" s="50">
        <v>4142681</v>
      </c>
      <c r="L546" s="152">
        <f t="shared" si="0"/>
        <v>0.92059577777777779</v>
      </c>
      <c r="M546" s="50">
        <v>4142681</v>
      </c>
      <c r="N546" s="152">
        <f t="shared" si="1"/>
        <v>0.92059577777777779</v>
      </c>
      <c r="O546" s="50">
        <v>357319</v>
      </c>
      <c r="P546" s="152">
        <f t="shared" si="2"/>
        <v>7.9404222222222223E-2</v>
      </c>
      <c r="Q546" s="50">
        <v>357319</v>
      </c>
    </row>
    <row r="547" spans="1:17" hidden="1" x14ac:dyDescent="0.25">
      <c r="A547" s="49" t="s">
        <v>713</v>
      </c>
      <c r="B547" s="49" t="s">
        <v>264</v>
      </c>
      <c r="C547" s="49" t="s">
        <v>265</v>
      </c>
      <c r="D547" s="49" t="s">
        <v>69</v>
      </c>
      <c r="E547" s="50">
        <v>4500000</v>
      </c>
      <c r="F547" s="50">
        <v>4500000</v>
      </c>
      <c r="G547" s="50">
        <v>4500000</v>
      </c>
      <c r="H547" s="50">
        <v>0</v>
      </c>
      <c r="I547" s="50">
        <v>0</v>
      </c>
      <c r="J547" s="50">
        <v>0</v>
      </c>
      <c r="K547" s="50">
        <v>4142681</v>
      </c>
      <c r="L547" s="152">
        <f t="shared" si="0"/>
        <v>0.92059577777777779</v>
      </c>
      <c r="M547" s="50">
        <v>4142681</v>
      </c>
      <c r="N547" s="152">
        <f t="shared" si="1"/>
        <v>0.92059577777777779</v>
      </c>
      <c r="O547" s="50">
        <v>357319</v>
      </c>
      <c r="P547" s="152">
        <f t="shared" si="2"/>
        <v>7.9404222222222223E-2</v>
      </c>
      <c r="Q547" s="50">
        <v>357319</v>
      </c>
    </row>
    <row r="548" spans="1:17" hidden="1" x14ac:dyDescent="0.25">
      <c r="A548" s="49" t="s">
        <v>713</v>
      </c>
      <c r="B548" s="49" t="s">
        <v>230</v>
      </c>
      <c r="C548" s="49" t="s">
        <v>231</v>
      </c>
      <c r="D548" s="49" t="s">
        <v>85</v>
      </c>
      <c r="E548" s="50">
        <v>535000</v>
      </c>
      <c r="F548" s="50">
        <v>535000</v>
      </c>
      <c r="G548" s="50">
        <v>532625</v>
      </c>
      <c r="H548" s="50">
        <v>0</v>
      </c>
      <c r="I548" s="50">
        <v>110709.98</v>
      </c>
      <c r="J548" s="50">
        <v>0</v>
      </c>
      <c r="K548" s="50">
        <v>326000</v>
      </c>
      <c r="L548" s="152">
        <f t="shared" si="0"/>
        <v>0.60934579439252334</v>
      </c>
      <c r="M548" s="50">
        <v>75000</v>
      </c>
      <c r="N548" s="152">
        <f t="shared" si="1"/>
        <v>0.14018691588785046</v>
      </c>
      <c r="O548" s="50">
        <v>98290.02</v>
      </c>
      <c r="P548" s="152">
        <f t="shared" si="2"/>
        <v>0.18371966355140187</v>
      </c>
      <c r="Q548" s="50">
        <v>95915.02</v>
      </c>
    </row>
    <row r="549" spans="1:17" hidden="1" x14ac:dyDescent="0.25">
      <c r="A549" s="49" t="s">
        <v>713</v>
      </c>
      <c r="B549" s="49" t="s">
        <v>232</v>
      </c>
      <c r="C549" s="49" t="s">
        <v>233</v>
      </c>
      <c r="D549" s="49" t="s">
        <v>85</v>
      </c>
      <c r="E549" s="50">
        <v>535000</v>
      </c>
      <c r="F549" s="50">
        <v>535000</v>
      </c>
      <c r="G549" s="50">
        <v>532625</v>
      </c>
      <c r="H549" s="50">
        <v>0</v>
      </c>
      <c r="I549" s="50">
        <v>110709.98</v>
      </c>
      <c r="J549" s="50">
        <v>0</v>
      </c>
      <c r="K549" s="50">
        <v>326000</v>
      </c>
      <c r="L549" s="152">
        <f t="shared" si="0"/>
        <v>0.60934579439252334</v>
      </c>
      <c r="M549" s="50">
        <v>75000</v>
      </c>
      <c r="N549" s="152">
        <f t="shared" si="1"/>
        <v>0.14018691588785046</v>
      </c>
      <c r="O549" s="50">
        <v>98290.02</v>
      </c>
      <c r="P549" s="152">
        <f t="shared" si="2"/>
        <v>0.18371966355140187</v>
      </c>
      <c r="Q549" s="50">
        <v>95915.02</v>
      </c>
    </row>
    <row r="550" spans="1:17" hidden="1" x14ac:dyDescent="0.25">
      <c r="A550" s="49" t="s">
        <v>713</v>
      </c>
      <c r="B550" s="49" t="s">
        <v>326</v>
      </c>
      <c r="C550" s="49" t="s">
        <v>327</v>
      </c>
      <c r="D550" s="49" t="s">
        <v>85</v>
      </c>
      <c r="E550" s="50">
        <v>535000</v>
      </c>
      <c r="F550" s="50">
        <v>535000</v>
      </c>
      <c r="G550" s="50">
        <v>532625</v>
      </c>
      <c r="H550" s="50">
        <v>0</v>
      </c>
      <c r="I550" s="50">
        <v>110709.98</v>
      </c>
      <c r="J550" s="50">
        <v>0</v>
      </c>
      <c r="K550" s="50">
        <v>326000</v>
      </c>
      <c r="L550" s="152">
        <f t="shared" si="0"/>
        <v>0.60934579439252334</v>
      </c>
      <c r="M550" s="50">
        <v>75000</v>
      </c>
      <c r="N550" s="152">
        <f t="shared" si="1"/>
        <v>0.14018691588785046</v>
      </c>
      <c r="O550" s="50">
        <v>98290.02</v>
      </c>
      <c r="P550" s="152">
        <f t="shared" si="2"/>
        <v>0.18371966355140187</v>
      </c>
      <c r="Q550" s="50">
        <v>95915.02</v>
      </c>
    </row>
    <row r="551" spans="1:17" x14ac:dyDescent="0.25">
      <c r="A551" s="49">
        <v>214789004</v>
      </c>
      <c r="B551" s="49"/>
      <c r="C551" s="49"/>
      <c r="D551" s="49" t="s">
        <v>69</v>
      </c>
      <c r="E551" s="50">
        <v>2343912564</v>
      </c>
      <c r="F551" s="50">
        <v>2285498408</v>
      </c>
      <c r="G551" s="50">
        <v>2202114165.73</v>
      </c>
      <c r="H551" s="50">
        <v>0</v>
      </c>
      <c r="I551" s="50">
        <v>109218317.97</v>
      </c>
      <c r="J551" s="50">
        <v>357054.25</v>
      </c>
      <c r="K551" s="50">
        <v>1584394231.4100001</v>
      </c>
      <c r="L551" s="152">
        <f t="shared" si="0"/>
        <v>0.69323795013993295</v>
      </c>
      <c r="M551" s="50">
        <v>1584221346.4100001</v>
      </c>
      <c r="N551" s="152">
        <f t="shared" si="1"/>
        <v>0.69316230580809057</v>
      </c>
      <c r="O551" s="50">
        <v>591528804.37</v>
      </c>
      <c r="P551" s="152">
        <f t="shared" si="2"/>
        <v>0.25881829639410536</v>
      </c>
      <c r="Q551" s="50">
        <v>508144562.10000002</v>
      </c>
    </row>
    <row r="552" spans="1:17" hidden="1" x14ac:dyDescent="0.25">
      <c r="A552" s="49" t="s">
        <v>714</v>
      </c>
      <c r="B552" s="49" t="s">
        <v>71</v>
      </c>
      <c r="C552" s="49" t="s">
        <v>72</v>
      </c>
      <c r="D552" s="49" t="s">
        <v>69</v>
      </c>
      <c r="E552" s="50">
        <v>1911246104</v>
      </c>
      <c r="F552" s="50">
        <v>1874431575</v>
      </c>
      <c r="G552" s="50">
        <v>1863206575</v>
      </c>
      <c r="H552" s="50">
        <v>0</v>
      </c>
      <c r="I552" s="50">
        <v>71548356</v>
      </c>
      <c r="J552" s="50">
        <v>0</v>
      </c>
      <c r="K552" s="50">
        <v>1376623030.0599999</v>
      </c>
      <c r="L552" s="152">
        <f t="shared" si="0"/>
        <v>0.73442159661656359</v>
      </c>
      <c r="M552" s="50">
        <v>1376623030.0599999</v>
      </c>
      <c r="N552" s="152">
        <f t="shared" si="1"/>
        <v>0.73442159661656359</v>
      </c>
      <c r="O552" s="50">
        <v>426260188.94</v>
      </c>
      <c r="P552" s="152">
        <f t="shared" si="2"/>
        <v>0.22740770835553173</v>
      </c>
      <c r="Q552" s="50">
        <v>415035188.94</v>
      </c>
    </row>
    <row r="553" spans="1:17" hidden="1" x14ac:dyDescent="0.25">
      <c r="A553" s="49" t="s">
        <v>714</v>
      </c>
      <c r="B553" s="49" t="s">
        <v>73</v>
      </c>
      <c r="C553" s="49" t="s">
        <v>74</v>
      </c>
      <c r="D553" s="49" t="s">
        <v>69</v>
      </c>
      <c r="E553" s="50">
        <v>693088616</v>
      </c>
      <c r="F553" s="50">
        <v>672914792</v>
      </c>
      <c r="G553" s="50">
        <v>672914792</v>
      </c>
      <c r="H553" s="50">
        <v>0</v>
      </c>
      <c r="I553" s="50">
        <v>0</v>
      </c>
      <c r="J553" s="50">
        <v>0</v>
      </c>
      <c r="K553" s="50">
        <v>540064261.36000001</v>
      </c>
      <c r="L553" s="152">
        <f t="shared" si="0"/>
        <v>0.80257451282182546</v>
      </c>
      <c r="M553" s="50">
        <v>540064261.36000001</v>
      </c>
      <c r="N553" s="152">
        <f t="shared" si="1"/>
        <v>0.80257451282182546</v>
      </c>
      <c r="O553" s="50">
        <v>132850530.64</v>
      </c>
      <c r="P553" s="152">
        <f t="shared" si="2"/>
        <v>0.19742548717817457</v>
      </c>
      <c r="Q553" s="50">
        <v>132850530.64</v>
      </c>
    </row>
    <row r="554" spans="1:17" hidden="1" x14ac:dyDescent="0.25">
      <c r="A554" s="49" t="s">
        <v>714</v>
      </c>
      <c r="B554" s="49" t="s">
        <v>75</v>
      </c>
      <c r="C554" s="49" t="s">
        <v>76</v>
      </c>
      <c r="D554" s="49" t="s">
        <v>69</v>
      </c>
      <c r="E554" s="50">
        <v>693088616</v>
      </c>
      <c r="F554" s="50">
        <v>672914792</v>
      </c>
      <c r="G554" s="50">
        <v>672914792</v>
      </c>
      <c r="H554" s="50">
        <v>0</v>
      </c>
      <c r="I554" s="50">
        <v>0</v>
      </c>
      <c r="J554" s="50">
        <v>0</v>
      </c>
      <c r="K554" s="50">
        <v>540064261.36000001</v>
      </c>
      <c r="L554" s="152">
        <f t="shared" si="0"/>
        <v>0.80257451282182546</v>
      </c>
      <c r="M554" s="50">
        <v>540064261.36000001</v>
      </c>
      <c r="N554" s="152">
        <f t="shared" si="1"/>
        <v>0.80257451282182546</v>
      </c>
      <c r="O554" s="50">
        <v>132850530.64</v>
      </c>
      <c r="P554" s="152">
        <f t="shared" si="2"/>
        <v>0.19742548717817457</v>
      </c>
      <c r="Q554" s="50">
        <v>132850530.64</v>
      </c>
    </row>
    <row r="555" spans="1:17" hidden="1" x14ac:dyDescent="0.25">
      <c r="A555" s="49" t="s">
        <v>714</v>
      </c>
      <c r="B555" s="49" t="s">
        <v>293</v>
      </c>
      <c r="C555" s="49" t="s">
        <v>294</v>
      </c>
      <c r="D555" s="49" t="s">
        <v>69</v>
      </c>
      <c r="E555" s="50">
        <v>2572600</v>
      </c>
      <c r="F555" s="50">
        <v>2572600</v>
      </c>
      <c r="G555" s="50">
        <v>2572600</v>
      </c>
      <c r="H555" s="50">
        <v>0</v>
      </c>
      <c r="I555" s="50">
        <v>0</v>
      </c>
      <c r="J555" s="50">
        <v>0</v>
      </c>
      <c r="K555" s="50">
        <v>1538912.5</v>
      </c>
      <c r="L555" s="152">
        <f t="shared" si="0"/>
        <v>0.59819346186737155</v>
      </c>
      <c r="M555" s="50">
        <v>1538912.5</v>
      </c>
      <c r="N555" s="152">
        <f t="shared" si="1"/>
        <v>0.59819346186737155</v>
      </c>
      <c r="O555" s="50">
        <v>1033687.5</v>
      </c>
      <c r="P555" s="152">
        <f t="shared" si="2"/>
        <v>0.40180653813262845</v>
      </c>
      <c r="Q555" s="50">
        <v>1033687.5</v>
      </c>
    </row>
    <row r="556" spans="1:17" hidden="1" x14ac:dyDescent="0.25">
      <c r="A556" s="49" t="s">
        <v>714</v>
      </c>
      <c r="B556" s="49" t="s">
        <v>339</v>
      </c>
      <c r="C556" s="49" t="s">
        <v>340</v>
      </c>
      <c r="D556" s="49" t="s">
        <v>69</v>
      </c>
      <c r="E556" s="50">
        <v>2572600</v>
      </c>
      <c r="F556" s="50">
        <v>2572600</v>
      </c>
      <c r="G556" s="50">
        <v>2572600</v>
      </c>
      <c r="H556" s="50">
        <v>0</v>
      </c>
      <c r="I556" s="50">
        <v>0</v>
      </c>
      <c r="J556" s="50">
        <v>0</v>
      </c>
      <c r="K556" s="50">
        <v>1538912.5</v>
      </c>
      <c r="L556" s="152">
        <f t="shared" si="0"/>
        <v>0.59819346186737155</v>
      </c>
      <c r="M556" s="50">
        <v>1538912.5</v>
      </c>
      <c r="N556" s="152">
        <f t="shared" si="1"/>
        <v>0.59819346186737155</v>
      </c>
      <c r="O556" s="50">
        <v>1033687.5</v>
      </c>
      <c r="P556" s="152">
        <f t="shared" si="2"/>
        <v>0.40180653813262845</v>
      </c>
      <c r="Q556" s="50">
        <v>1033687.5</v>
      </c>
    </row>
    <row r="557" spans="1:17" hidden="1" x14ac:dyDescent="0.25">
      <c r="A557" s="49" t="s">
        <v>714</v>
      </c>
      <c r="B557" s="49" t="s">
        <v>77</v>
      </c>
      <c r="C557" s="49" t="s">
        <v>78</v>
      </c>
      <c r="D557" s="49" t="s">
        <v>69</v>
      </c>
      <c r="E557" s="50">
        <v>924031359</v>
      </c>
      <c r="F557" s="50">
        <v>913006573</v>
      </c>
      <c r="G557" s="50">
        <v>905581573</v>
      </c>
      <c r="H557" s="50">
        <v>0</v>
      </c>
      <c r="I557" s="50">
        <v>0</v>
      </c>
      <c r="J557" s="50">
        <v>0</v>
      </c>
      <c r="K557" s="50">
        <v>626590406.20000005</v>
      </c>
      <c r="L557" s="152">
        <f t="shared" si="0"/>
        <v>0.68629342299379048</v>
      </c>
      <c r="M557" s="50">
        <v>626590406.20000005</v>
      </c>
      <c r="N557" s="152">
        <f t="shared" si="1"/>
        <v>0.68629342299379048</v>
      </c>
      <c r="O557" s="50">
        <v>286416166.80000001</v>
      </c>
      <c r="P557" s="152">
        <f t="shared" si="2"/>
        <v>0.31370657700620957</v>
      </c>
      <c r="Q557" s="50">
        <v>278991166.80000001</v>
      </c>
    </row>
    <row r="558" spans="1:17" hidden="1" x14ac:dyDescent="0.25">
      <c r="A558" s="49" t="s">
        <v>714</v>
      </c>
      <c r="B558" s="49" t="s">
        <v>79</v>
      </c>
      <c r="C558" s="49" t="s">
        <v>80</v>
      </c>
      <c r="D558" s="49" t="s">
        <v>69</v>
      </c>
      <c r="E558" s="50">
        <v>322806400</v>
      </c>
      <c r="F558" s="50">
        <v>322806400</v>
      </c>
      <c r="G558" s="50">
        <v>322806400</v>
      </c>
      <c r="H558" s="50">
        <v>0</v>
      </c>
      <c r="I558" s="50">
        <v>0</v>
      </c>
      <c r="J558" s="50">
        <v>0</v>
      </c>
      <c r="K558" s="50">
        <v>230969726.81</v>
      </c>
      <c r="L558" s="152">
        <f t="shared" si="0"/>
        <v>0.71550541380220467</v>
      </c>
      <c r="M558" s="50">
        <v>230969726.81</v>
      </c>
      <c r="N558" s="152">
        <f t="shared" si="1"/>
        <v>0.71550541380220467</v>
      </c>
      <c r="O558" s="50">
        <v>91836673.189999998</v>
      </c>
      <c r="P558" s="152">
        <f t="shared" si="2"/>
        <v>0.28449458619779533</v>
      </c>
      <c r="Q558" s="50">
        <v>91836673.189999998</v>
      </c>
    </row>
    <row r="559" spans="1:17" hidden="1" x14ac:dyDescent="0.25">
      <c r="A559" s="49" t="s">
        <v>714</v>
      </c>
      <c r="B559" s="49" t="s">
        <v>81</v>
      </c>
      <c r="C559" s="49" t="s">
        <v>82</v>
      </c>
      <c r="D559" s="49" t="s">
        <v>69</v>
      </c>
      <c r="E559" s="50">
        <v>234712205</v>
      </c>
      <c r="F559" s="50">
        <v>227111190</v>
      </c>
      <c r="G559" s="50">
        <v>227111190</v>
      </c>
      <c r="H559" s="50">
        <v>0</v>
      </c>
      <c r="I559" s="50">
        <v>0</v>
      </c>
      <c r="J559" s="50">
        <v>0</v>
      </c>
      <c r="K559" s="50">
        <v>193268044.55000001</v>
      </c>
      <c r="L559" s="152">
        <f t="shared" si="0"/>
        <v>0.85098424498590319</v>
      </c>
      <c r="M559" s="50">
        <v>193268044.55000001</v>
      </c>
      <c r="N559" s="152">
        <f t="shared" si="1"/>
        <v>0.85098424498590319</v>
      </c>
      <c r="O559" s="50">
        <v>33843145.450000003</v>
      </c>
      <c r="P559" s="152">
        <f t="shared" si="2"/>
        <v>0.14901575501409686</v>
      </c>
      <c r="Q559" s="50">
        <v>33843145.450000003</v>
      </c>
    </row>
    <row r="560" spans="1:17" hidden="1" x14ac:dyDescent="0.25">
      <c r="A560" s="49" t="s">
        <v>714</v>
      </c>
      <c r="B560" s="49" t="s">
        <v>86</v>
      </c>
      <c r="C560" s="49" t="s">
        <v>87</v>
      </c>
      <c r="D560" s="49" t="s">
        <v>69</v>
      </c>
      <c r="E560" s="50">
        <v>114340800</v>
      </c>
      <c r="F560" s="50">
        <v>114340800</v>
      </c>
      <c r="G560" s="50">
        <v>106915800</v>
      </c>
      <c r="H560" s="50">
        <v>0</v>
      </c>
      <c r="I560" s="50">
        <v>0</v>
      </c>
      <c r="J560" s="50">
        <v>0</v>
      </c>
      <c r="K560" s="50">
        <v>100891549.97</v>
      </c>
      <c r="L560" s="152">
        <f t="shared" si="0"/>
        <v>0.88237575712256688</v>
      </c>
      <c r="M560" s="50">
        <v>100891549.97</v>
      </c>
      <c r="N560" s="152">
        <f t="shared" si="1"/>
        <v>0.88237575712256688</v>
      </c>
      <c r="O560" s="50">
        <v>13449250.029999999</v>
      </c>
      <c r="P560" s="152">
        <f t="shared" si="2"/>
        <v>0.11762424287743307</v>
      </c>
      <c r="Q560" s="50">
        <v>6024250.0300000003</v>
      </c>
    </row>
    <row r="561" spans="1:17" hidden="1" x14ac:dyDescent="0.25">
      <c r="A561" s="49" t="s">
        <v>714</v>
      </c>
      <c r="B561" s="49" t="s">
        <v>88</v>
      </c>
      <c r="C561" s="49" t="s">
        <v>89</v>
      </c>
      <c r="D561" s="49" t="s">
        <v>69</v>
      </c>
      <c r="E561" s="50">
        <v>127626300</v>
      </c>
      <c r="F561" s="50">
        <v>126601536</v>
      </c>
      <c r="G561" s="50">
        <v>126601536</v>
      </c>
      <c r="H561" s="50">
        <v>0</v>
      </c>
      <c r="I561" s="50">
        <v>0</v>
      </c>
      <c r="J561" s="50">
        <v>0</v>
      </c>
      <c r="K561" s="50">
        <v>101461084.87</v>
      </c>
      <c r="L561" s="152">
        <f t="shared" si="0"/>
        <v>0.80142064682374792</v>
      </c>
      <c r="M561" s="50">
        <v>101461084.87</v>
      </c>
      <c r="N561" s="152">
        <f t="shared" si="1"/>
        <v>0.80142064682374792</v>
      </c>
      <c r="O561" s="50">
        <v>25140451.129999999</v>
      </c>
      <c r="P561" s="152">
        <f t="shared" si="2"/>
        <v>0.19857935317625214</v>
      </c>
      <c r="Q561" s="50">
        <v>25140451.129999999</v>
      </c>
    </row>
    <row r="562" spans="1:17" hidden="1" x14ac:dyDescent="0.25">
      <c r="A562" s="49" t="s">
        <v>714</v>
      </c>
      <c r="B562" s="49" t="s">
        <v>83</v>
      </c>
      <c r="C562" s="49" t="s">
        <v>84</v>
      </c>
      <c r="D562" s="49" t="s">
        <v>85</v>
      </c>
      <c r="E562" s="50">
        <v>124545654</v>
      </c>
      <c r="F562" s="50">
        <v>122146647</v>
      </c>
      <c r="G562" s="50">
        <v>122146647</v>
      </c>
      <c r="H562" s="50">
        <v>0</v>
      </c>
      <c r="I562" s="50">
        <v>0</v>
      </c>
      <c r="J562" s="50">
        <v>0</v>
      </c>
      <c r="K562" s="50">
        <v>0</v>
      </c>
      <c r="L562" s="152">
        <f t="shared" si="0"/>
        <v>0</v>
      </c>
      <c r="M562" s="50">
        <v>0</v>
      </c>
      <c r="N562" s="152">
        <f t="shared" si="1"/>
        <v>0</v>
      </c>
      <c r="O562" s="50">
        <v>122146647</v>
      </c>
      <c r="P562" s="152">
        <f t="shared" si="2"/>
        <v>1</v>
      </c>
      <c r="Q562" s="50">
        <v>122146647</v>
      </c>
    </row>
    <row r="563" spans="1:17" hidden="1" x14ac:dyDescent="0.25">
      <c r="A563" s="49" t="s">
        <v>714</v>
      </c>
      <c r="B563" s="49" t="s">
        <v>90</v>
      </c>
      <c r="C563" s="49" t="s">
        <v>91</v>
      </c>
      <c r="D563" s="49" t="s">
        <v>69</v>
      </c>
      <c r="E563" s="50">
        <v>145776815</v>
      </c>
      <c r="F563" s="50">
        <v>142968855</v>
      </c>
      <c r="G563" s="50">
        <v>142968855</v>
      </c>
      <c r="H563" s="50">
        <v>0</v>
      </c>
      <c r="I563" s="50">
        <v>37580676</v>
      </c>
      <c r="J563" s="50">
        <v>0</v>
      </c>
      <c r="K563" s="50">
        <v>104308277</v>
      </c>
      <c r="L563" s="152">
        <f t="shared" si="0"/>
        <v>0.72958741258716797</v>
      </c>
      <c r="M563" s="50">
        <v>104308277</v>
      </c>
      <c r="N563" s="152">
        <f t="shared" si="1"/>
        <v>0.72958741258716797</v>
      </c>
      <c r="O563" s="50">
        <v>1079902</v>
      </c>
      <c r="P563" s="152">
        <f t="shared" si="2"/>
        <v>7.5534073487543846E-3</v>
      </c>
      <c r="Q563" s="50">
        <v>1079902</v>
      </c>
    </row>
    <row r="564" spans="1:17" hidden="1" x14ac:dyDescent="0.25">
      <c r="A564" s="49" t="s">
        <v>714</v>
      </c>
      <c r="B564" s="49" t="s">
        <v>424</v>
      </c>
      <c r="C564" s="49" t="s">
        <v>697</v>
      </c>
      <c r="D564" s="49" t="s">
        <v>69</v>
      </c>
      <c r="E564" s="50">
        <v>138301084</v>
      </c>
      <c r="F564" s="50">
        <v>135637121</v>
      </c>
      <c r="G564" s="50">
        <v>135637121</v>
      </c>
      <c r="H564" s="50">
        <v>0</v>
      </c>
      <c r="I564" s="50">
        <v>35653465</v>
      </c>
      <c r="J564" s="50">
        <v>0</v>
      </c>
      <c r="K564" s="50">
        <v>98959134</v>
      </c>
      <c r="L564" s="152">
        <f t="shared" si="0"/>
        <v>0.72958739665375238</v>
      </c>
      <c r="M564" s="50">
        <v>98959134</v>
      </c>
      <c r="N564" s="152">
        <f t="shared" si="1"/>
        <v>0.72958739665375238</v>
      </c>
      <c r="O564" s="50">
        <v>1024522</v>
      </c>
      <c r="P564" s="152">
        <f t="shared" si="2"/>
        <v>7.5534042041485085E-3</v>
      </c>
      <c r="Q564" s="50">
        <v>1024522</v>
      </c>
    </row>
    <row r="565" spans="1:17" hidden="1" x14ac:dyDescent="0.25">
      <c r="A565" s="49" t="s">
        <v>714</v>
      </c>
      <c r="B565" s="49" t="s">
        <v>441</v>
      </c>
      <c r="C565" s="49" t="s">
        <v>95</v>
      </c>
      <c r="D565" s="49" t="s">
        <v>69</v>
      </c>
      <c r="E565" s="50">
        <v>7475731</v>
      </c>
      <c r="F565" s="50">
        <v>7331734</v>
      </c>
      <c r="G565" s="50">
        <v>7331734</v>
      </c>
      <c r="H565" s="50">
        <v>0</v>
      </c>
      <c r="I565" s="50">
        <v>1927211</v>
      </c>
      <c r="J565" s="50">
        <v>0</v>
      </c>
      <c r="K565" s="50">
        <v>5349143</v>
      </c>
      <c r="L565" s="152">
        <f t="shared" si="0"/>
        <v>0.72958770735544964</v>
      </c>
      <c r="M565" s="50">
        <v>5349143</v>
      </c>
      <c r="N565" s="152">
        <f t="shared" si="1"/>
        <v>0.72958770735544964</v>
      </c>
      <c r="O565" s="50">
        <v>55380</v>
      </c>
      <c r="P565" s="152">
        <f t="shared" si="2"/>
        <v>7.5534655239810934E-3</v>
      </c>
      <c r="Q565" s="50">
        <v>55380</v>
      </c>
    </row>
    <row r="566" spans="1:17" hidden="1" x14ac:dyDescent="0.25">
      <c r="A566" s="49" t="s">
        <v>714</v>
      </c>
      <c r="B566" s="49" t="s">
        <v>96</v>
      </c>
      <c r="C566" s="49" t="s">
        <v>97</v>
      </c>
      <c r="D566" s="49" t="s">
        <v>69</v>
      </c>
      <c r="E566" s="50">
        <v>145776714</v>
      </c>
      <c r="F566" s="50">
        <v>142968755</v>
      </c>
      <c r="G566" s="50">
        <v>139168755</v>
      </c>
      <c r="H566" s="50">
        <v>0</v>
      </c>
      <c r="I566" s="50">
        <v>33967680</v>
      </c>
      <c r="J566" s="50">
        <v>0</v>
      </c>
      <c r="K566" s="50">
        <v>104121173</v>
      </c>
      <c r="L566" s="152">
        <f t="shared" si="0"/>
        <v>0.7282792173716558</v>
      </c>
      <c r="M566" s="50">
        <v>104121173</v>
      </c>
      <c r="N566" s="152">
        <f t="shared" si="1"/>
        <v>0.7282792173716558</v>
      </c>
      <c r="O566" s="50">
        <v>4879902</v>
      </c>
      <c r="P566" s="152">
        <f t="shared" si="2"/>
        <v>3.413264667514241E-2</v>
      </c>
      <c r="Q566" s="50">
        <v>1079902</v>
      </c>
    </row>
    <row r="567" spans="1:17" hidden="1" x14ac:dyDescent="0.25">
      <c r="A567" s="49" t="s">
        <v>714</v>
      </c>
      <c r="B567" s="49" t="s">
        <v>459</v>
      </c>
      <c r="C567" s="49" t="s">
        <v>698</v>
      </c>
      <c r="D567" s="49" t="s">
        <v>69</v>
      </c>
      <c r="E567" s="50">
        <v>78495131</v>
      </c>
      <c r="F567" s="50">
        <v>76983152</v>
      </c>
      <c r="G567" s="50">
        <v>76983152</v>
      </c>
      <c r="H567" s="50">
        <v>0</v>
      </c>
      <c r="I567" s="50">
        <v>20422775</v>
      </c>
      <c r="J567" s="50">
        <v>0</v>
      </c>
      <c r="K567" s="50">
        <v>55978892</v>
      </c>
      <c r="L567" s="152">
        <f t="shared" si="0"/>
        <v>0.72715770328551887</v>
      </c>
      <c r="M567" s="50">
        <v>55978892</v>
      </c>
      <c r="N567" s="152">
        <f t="shared" si="1"/>
        <v>0.72715770328551887</v>
      </c>
      <c r="O567" s="50">
        <v>581485</v>
      </c>
      <c r="P567" s="152">
        <f t="shared" si="2"/>
        <v>7.5534059712182222E-3</v>
      </c>
      <c r="Q567" s="50">
        <v>581485</v>
      </c>
    </row>
    <row r="568" spans="1:17" hidden="1" x14ac:dyDescent="0.25">
      <c r="A568" s="49" t="s">
        <v>714</v>
      </c>
      <c r="B568" s="49" t="s">
        <v>476</v>
      </c>
      <c r="C568" s="49" t="s">
        <v>699</v>
      </c>
      <c r="D568" s="49" t="s">
        <v>69</v>
      </c>
      <c r="E568" s="50">
        <v>22427194</v>
      </c>
      <c r="F568" s="50">
        <v>21995201</v>
      </c>
      <c r="G568" s="50">
        <v>21995201</v>
      </c>
      <c r="H568" s="50">
        <v>0</v>
      </c>
      <c r="I568" s="50">
        <v>5781635</v>
      </c>
      <c r="J568" s="50">
        <v>0</v>
      </c>
      <c r="K568" s="50">
        <v>16047427</v>
      </c>
      <c r="L568" s="152">
        <f t="shared" si="0"/>
        <v>0.72958764959683708</v>
      </c>
      <c r="M568" s="50">
        <v>16047427</v>
      </c>
      <c r="N568" s="152">
        <f t="shared" si="1"/>
        <v>0.72958764959683708</v>
      </c>
      <c r="O568" s="50">
        <v>166139</v>
      </c>
      <c r="P568" s="152">
        <f t="shared" si="2"/>
        <v>7.5534204029324399E-3</v>
      </c>
      <c r="Q568" s="50">
        <v>166139</v>
      </c>
    </row>
    <row r="569" spans="1:17" hidden="1" x14ac:dyDescent="0.25">
      <c r="A569" s="49" t="s">
        <v>714</v>
      </c>
      <c r="B569" s="49" t="s">
        <v>493</v>
      </c>
      <c r="C569" s="49" t="s">
        <v>700</v>
      </c>
      <c r="D569" s="49" t="s">
        <v>69</v>
      </c>
      <c r="E569" s="50">
        <v>44854389</v>
      </c>
      <c r="F569" s="50">
        <v>43990402</v>
      </c>
      <c r="G569" s="50">
        <v>40190402</v>
      </c>
      <c r="H569" s="50">
        <v>0</v>
      </c>
      <c r="I569" s="50">
        <v>7763270</v>
      </c>
      <c r="J569" s="50">
        <v>0</v>
      </c>
      <c r="K569" s="50">
        <v>32094854</v>
      </c>
      <c r="L569" s="152">
        <f t="shared" si="0"/>
        <v>0.72958764959683708</v>
      </c>
      <c r="M569" s="50">
        <v>32094854</v>
      </c>
      <c r="N569" s="152">
        <f t="shared" si="1"/>
        <v>0.72958764959683708</v>
      </c>
      <c r="O569" s="50">
        <v>4132278</v>
      </c>
      <c r="P569" s="152">
        <f t="shared" si="2"/>
        <v>9.3935899926533978E-2</v>
      </c>
      <c r="Q569" s="50">
        <v>332278</v>
      </c>
    </row>
    <row r="570" spans="1:17" hidden="1" x14ac:dyDescent="0.25">
      <c r="A570" s="49" t="s">
        <v>714</v>
      </c>
      <c r="B570" s="49" t="s">
        <v>104</v>
      </c>
      <c r="C570" s="49" t="s">
        <v>105</v>
      </c>
      <c r="D570" s="49" t="s">
        <v>69</v>
      </c>
      <c r="E570" s="50">
        <v>93714000</v>
      </c>
      <c r="F570" s="50">
        <v>91126500</v>
      </c>
      <c r="G570" s="50">
        <v>89907500</v>
      </c>
      <c r="H570" s="50">
        <v>0</v>
      </c>
      <c r="I570" s="50">
        <v>16643034.869999999</v>
      </c>
      <c r="J570" s="50">
        <v>0</v>
      </c>
      <c r="K570" s="50">
        <v>60900427.07</v>
      </c>
      <c r="L570" s="152">
        <f t="shared" si="0"/>
        <v>0.66830644291177654</v>
      </c>
      <c r="M570" s="50">
        <v>60900427.07</v>
      </c>
      <c r="N570" s="152">
        <f t="shared" si="1"/>
        <v>0.66830644291177654</v>
      </c>
      <c r="O570" s="50">
        <v>13583038.060000001</v>
      </c>
      <c r="P570" s="152">
        <f t="shared" si="2"/>
        <v>0.1490569489665465</v>
      </c>
      <c r="Q570" s="50">
        <v>12364038.060000001</v>
      </c>
    </row>
    <row r="571" spans="1:17" hidden="1" x14ac:dyDescent="0.25">
      <c r="A571" s="49" t="s">
        <v>714</v>
      </c>
      <c r="B571" s="49" t="s">
        <v>112</v>
      </c>
      <c r="C571" s="49" t="s">
        <v>113</v>
      </c>
      <c r="D571" s="49" t="s">
        <v>69</v>
      </c>
      <c r="E571" s="50">
        <v>92804000</v>
      </c>
      <c r="F571" s="50">
        <v>90216500</v>
      </c>
      <c r="G571" s="50">
        <v>89816500</v>
      </c>
      <c r="H571" s="50">
        <v>0</v>
      </c>
      <c r="I571" s="50">
        <v>16643034.869999999</v>
      </c>
      <c r="J571" s="50">
        <v>0</v>
      </c>
      <c r="K571" s="50">
        <v>60900427.07</v>
      </c>
      <c r="L571" s="152">
        <f t="shared" si="0"/>
        <v>0.67504754751071039</v>
      </c>
      <c r="M571" s="50">
        <v>60900427.07</v>
      </c>
      <c r="N571" s="152">
        <f t="shared" si="1"/>
        <v>0.67504754751071039</v>
      </c>
      <c r="O571" s="50">
        <v>12673038.060000001</v>
      </c>
      <c r="P571" s="152">
        <f t="shared" si="2"/>
        <v>0.14047361691043214</v>
      </c>
      <c r="Q571" s="50">
        <v>12273038.060000001</v>
      </c>
    </row>
    <row r="572" spans="1:17" hidden="1" x14ac:dyDescent="0.25">
      <c r="A572" s="49" t="s">
        <v>714</v>
      </c>
      <c r="B572" s="49" t="s">
        <v>114</v>
      </c>
      <c r="C572" s="49" t="s">
        <v>115</v>
      </c>
      <c r="D572" s="49" t="s">
        <v>69</v>
      </c>
      <c r="E572" s="50">
        <v>36754000</v>
      </c>
      <c r="F572" s="50">
        <v>36754000</v>
      </c>
      <c r="G572" s="50">
        <v>36754000</v>
      </c>
      <c r="H572" s="50">
        <v>0</v>
      </c>
      <c r="I572" s="50">
        <v>1653818.61</v>
      </c>
      <c r="J572" s="50">
        <v>0</v>
      </c>
      <c r="K572" s="50">
        <v>35100181.390000001</v>
      </c>
      <c r="L572" s="152">
        <f t="shared" si="0"/>
        <v>0.95500303069053705</v>
      </c>
      <c r="M572" s="50">
        <v>35100181.390000001</v>
      </c>
      <c r="N572" s="152">
        <f t="shared" si="1"/>
        <v>0.95500303069053705</v>
      </c>
      <c r="O572" s="50">
        <v>0</v>
      </c>
      <c r="P572" s="152">
        <f t="shared" si="2"/>
        <v>0</v>
      </c>
      <c r="Q572" s="50">
        <v>0</v>
      </c>
    </row>
    <row r="573" spans="1:17" hidden="1" x14ac:dyDescent="0.25">
      <c r="A573" s="49" t="s">
        <v>714</v>
      </c>
      <c r="B573" s="49" t="s">
        <v>116</v>
      </c>
      <c r="C573" s="49" t="s">
        <v>117</v>
      </c>
      <c r="D573" s="49" t="s">
        <v>69</v>
      </c>
      <c r="E573" s="50">
        <v>43500000</v>
      </c>
      <c r="F573" s="50">
        <v>40922500</v>
      </c>
      <c r="G573" s="50">
        <v>40922500</v>
      </c>
      <c r="H573" s="50">
        <v>0</v>
      </c>
      <c r="I573" s="50">
        <v>12461369.75</v>
      </c>
      <c r="J573" s="50">
        <v>0</v>
      </c>
      <c r="K573" s="50">
        <v>22067576.02</v>
      </c>
      <c r="L573" s="152">
        <f t="shared" si="0"/>
        <v>0.53925288093347179</v>
      </c>
      <c r="M573" s="50">
        <v>22067576.02</v>
      </c>
      <c r="N573" s="152">
        <f t="shared" si="1"/>
        <v>0.53925288093347179</v>
      </c>
      <c r="O573" s="50">
        <v>6393554.2300000004</v>
      </c>
      <c r="P573" s="152">
        <f t="shared" si="2"/>
        <v>0.15623567059685992</v>
      </c>
      <c r="Q573" s="50">
        <v>6393554.2300000004</v>
      </c>
    </row>
    <row r="574" spans="1:17" hidden="1" x14ac:dyDescent="0.25">
      <c r="A574" s="49" t="s">
        <v>714</v>
      </c>
      <c r="B574" s="49" t="s">
        <v>120</v>
      </c>
      <c r="C574" s="49" t="s">
        <v>121</v>
      </c>
      <c r="D574" s="49" t="s">
        <v>69</v>
      </c>
      <c r="E574" s="50">
        <v>11550000</v>
      </c>
      <c r="F574" s="50">
        <v>11550000</v>
      </c>
      <c r="G574" s="50">
        <v>11550000</v>
      </c>
      <c r="H574" s="50">
        <v>0</v>
      </c>
      <c r="I574" s="50">
        <v>2493527.61</v>
      </c>
      <c r="J574" s="50">
        <v>0</v>
      </c>
      <c r="K574" s="50">
        <v>3281472.39</v>
      </c>
      <c r="L574" s="152">
        <f t="shared" si="0"/>
        <v>0.28411016363636366</v>
      </c>
      <c r="M574" s="50">
        <v>3281472.39</v>
      </c>
      <c r="N574" s="152">
        <f t="shared" si="1"/>
        <v>0.28411016363636366</v>
      </c>
      <c r="O574" s="50">
        <v>5775000</v>
      </c>
      <c r="P574" s="152">
        <f t="shared" si="2"/>
        <v>0.5</v>
      </c>
      <c r="Q574" s="50">
        <v>5775000</v>
      </c>
    </row>
    <row r="575" spans="1:17" hidden="1" x14ac:dyDescent="0.25">
      <c r="A575" s="49" t="s">
        <v>714</v>
      </c>
      <c r="B575" s="49" t="s">
        <v>122</v>
      </c>
      <c r="C575" s="49" t="s">
        <v>123</v>
      </c>
      <c r="D575" s="49" t="s">
        <v>69</v>
      </c>
      <c r="E575" s="50">
        <v>1000000</v>
      </c>
      <c r="F575" s="50">
        <v>990000</v>
      </c>
      <c r="G575" s="50">
        <v>590000</v>
      </c>
      <c r="H575" s="50">
        <v>0</v>
      </c>
      <c r="I575" s="50">
        <v>34318.9</v>
      </c>
      <c r="J575" s="50">
        <v>0</v>
      </c>
      <c r="K575" s="50">
        <v>451197.27</v>
      </c>
      <c r="L575" s="152">
        <f t="shared" si="0"/>
        <v>0.45575481818181818</v>
      </c>
      <c r="M575" s="50">
        <v>451197.27</v>
      </c>
      <c r="N575" s="152">
        <f t="shared" si="1"/>
        <v>0.45575481818181818</v>
      </c>
      <c r="O575" s="50">
        <v>504483.83</v>
      </c>
      <c r="P575" s="152">
        <f t="shared" si="2"/>
        <v>0.50957962626262632</v>
      </c>
      <c r="Q575" s="50">
        <v>104483.83</v>
      </c>
    </row>
    <row r="576" spans="1:17" hidden="1" x14ac:dyDescent="0.25">
      <c r="A576" s="49" t="s">
        <v>714</v>
      </c>
      <c r="B576" s="49" t="s">
        <v>116</v>
      </c>
      <c r="C576" s="49" t="s">
        <v>117</v>
      </c>
      <c r="D576" s="49" t="s">
        <v>85</v>
      </c>
      <c r="E576" s="50">
        <v>0</v>
      </c>
      <c r="F576" s="50">
        <v>0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152" t="e">
        <f t="shared" si="0"/>
        <v>#DIV/0!</v>
      </c>
      <c r="M576" s="50">
        <v>0</v>
      </c>
      <c r="N576" s="152" t="e">
        <f t="shared" si="1"/>
        <v>#DIV/0!</v>
      </c>
      <c r="O576" s="50">
        <v>0</v>
      </c>
      <c r="P576" s="152" t="e">
        <f t="shared" si="2"/>
        <v>#DIV/0!</v>
      </c>
      <c r="Q576" s="50">
        <v>0</v>
      </c>
    </row>
    <row r="577" spans="1:17" hidden="1" x14ac:dyDescent="0.25">
      <c r="A577" s="49" t="s">
        <v>714</v>
      </c>
      <c r="B577" s="49" t="s">
        <v>134</v>
      </c>
      <c r="C577" s="49" t="s">
        <v>135</v>
      </c>
      <c r="D577" s="49" t="s">
        <v>69</v>
      </c>
      <c r="E577" s="50">
        <v>410000</v>
      </c>
      <c r="F577" s="50">
        <v>410000</v>
      </c>
      <c r="G577" s="50">
        <v>41000</v>
      </c>
      <c r="H577" s="50">
        <v>0</v>
      </c>
      <c r="I577" s="50">
        <v>0</v>
      </c>
      <c r="J577" s="50">
        <v>0</v>
      </c>
      <c r="K577" s="50">
        <v>0</v>
      </c>
      <c r="L577" s="152">
        <f t="shared" si="0"/>
        <v>0</v>
      </c>
      <c r="M577" s="50">
        <v>0</v>
      </c>
      <c r="N577" s="152">
        <f t="shared" si="1"/>
        <v>0</v>
      </c>
      <c r="O577" s="50">
        <v>410000</v>
      </c>
      <c r="P577" s="152">
        <f t="shared" si="2"/>
        <v>1</v>
      </c>
      <c r="Q577" s="50">
        <v>41000</v>
      </c>
    </row>
    <row r="578" spans="1:17" hidden="1" x14ac:dyDescent="0.25">
      <c r="A578" s="49" t="s">
        <v>714</v>
      </c>
      <c r="B578" s="49" t="s">
        <v>346</v>
      </c>
      <c r="C578" s="49" t="s">
        <v>347</v>
      </c>
      <c r="D578" s="49" t="s">
        <v>69</v>
      </c>
      <c r="E578" s="50">
        <v>20000</v>
      </c>
      <c r="F578" s="50">
        <v>20000</v>
      </c>
      <c r="G578" s="50">
        <v>2000</v>
      </c>
      <c r="H578" s="50">
        <v>0</v>
      </c>
      <c r="I578" s="50">
        <v>0</v>
      </c>
      <c r="J578" s="50">
        <v>0</v>
      </c>
      <c r="K578" s="50">
        <v>0</v>
      </c>
      <c r="L578" s="152">
        <f t="shared" si="0"/>
        <v>0</v>
      </c>
      <c r="M578" s="50">
        <v>0</v>
      </c>
      <c r="N578" s="152">
        <f t="shared" si="1"/>
        <v>0</v>
      </c>
      <c r="O578" s="50">
        <v>20000</v>
      </c>
      <c r="P578" s="152">
        <f t="shared" si="2"/>
        <v>1</v>
      </c>
      <c r="Q578" s="50">
        <v>2000</v>
      </c>
    </row>
    <row r="579" spans="1:17" hidden="1" x14ac:dyDescent="0.25">
      <c r="A579" s="49" t="s">
        <v>714</v>
      </c>
      <c r="B579" s="49" t="s">
        <v>136</v>
      </c>
      <c r="C579" s="49" t="s">
        <v>137</v>
      </c>
      <c r="D579" s="49" t="s">
        <v>69</v>
      </c>
      <c r="E579" s="50">
        <v>350000</v>
      </c>
      <c r="F579" s="50">
        <v>350000</v>
      </c>
      <c r="G579" s="50">
        <v>35000</v>
      </c>
      <c r="H579" s="50">
        <v>0</v>
      </c>
      <c r="I579" s="50">
        <v>0</v>
      </c>
      <c r="J579" s="50">
        <v>0</v>
      </c>
      <c r="K579" s="50">
        <v>0</v>
      </c>
      <c r="L579" s="152">
        <f t="shared" si="0"/>
        <v>0</v>
      </c>
      <c r="M579" s="50">
        <v>0</v>
      </c>
      <c r="N579" s="152">
        <f t="shared" si="1"/>
        <v>0</v>
      </c>
      <c r="O579" s="50">
        <v>350000</v>
      </c>
      <c r="P579" s="152">
        <f t="shared" si="2"/>
        <v>1</v>
      </c>
      <c r="Q579" s="50">
        <v>35000</v>
      </c>
    </row>
    <row r="580" spans="1:17" hidden="1" x14ac:dyDescent="0.25">
      <c r="A580" s="49" t="s">
        <v>714</v>
      </c>
      <c r="B580" s="49" t="s">
        <v>138</v>
      </c>
      <c r="C580" s="49" t="s">
        <v>139</v>
      </c>
      <c r="D580" s="49" t="s">
        <v>69</v>
      </c>
      <c r="E580" s="50">
        <v>40000</v>
      </c>
      <c r="F580" s="50">
        <v>40000</v>
      </c>
      <c r="G580" s="50">
        <v>4000</v>
      </c>
      <c r="H580" s="50">
        <v>0</v>
      </c>
      <c r="I580" s="50">
        <v>0</v>
      </c>
      <c r="J580" s="50">
        <v>0</v>
      </c>
      <c r="K580" s="50">
        <v>0</v>
      </c>
      <c r="L580" s="152">
        <f t="shared" si="0"/>
        <v>0</v>
      </c>
      <c r="M580" s="50">
        <v>0</v>
      </c>
      <c r="N580" s="152">
        <f t="shared" si="1"/>
        <v>0</v>
      </c>
      <c r="O580" s="50">
        <v>40000</v>
      </c>
      <c r="P580" s="152">
        <f t="shared" si="2"/>
        <v>1</v>
      </c>
      <c r="Q580" s="50">
        <v>4000</v>
      </c>
    </row>
    <row r="581" spans="1:17" hidden="1" x14ac:dyDescent="0.25">
      <c r="A581" s="49" t="s">
        <v>714</v>
      </c>
      <c r="B581" s="49" t="s">
        <v>140</v>
      </c>
      <c r="C581" s="49" t="s">
        <v>141</v>
      </c>
      <c r="D581" s="49" t="s">
        <v>69</v>
      </c>
      <c r="E581" s="50">
        <v>0</v>
      </c>
      <c r="F581" s="50">
        <v>0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152" t="e">
        <f t="shared" si="0"/>
        <v>#DIV/0!</v>
      </c>
      <c r="M581" s="50">
        <v>0</v>
      </c>
      <c r="N581" s="152" t="e">
        <f t="shared" si="1"/>
        <v>#DIV/0!</v>
      </c>
      <c r="O581" s="50">
        <v>0</v>
      </c>
      <c r="P581" s="152" t="e">
        <f t="shared" si="2"/>
        <v>#DIV/0!</v>
      </c>
      <c r="Q581" s="50">
        <v>0</v>
      </c>
    </row>
    <row r="582" spans="1:17" hidden="1" x14ac:dyDescent="0.25">
      <c r="A582" s="49" t="s">
        <v>714</v>
      </c>
      <c r="B582" s="49" t="s">
        <v>144</v>
      </c>
      <c r="C582" s="49" t="s">
        <v>145</v>
      </c>
      <c r="D582" s="49" t="s">
        <v>69</v>
      </c>
      <c r="E582" s="50">
        <v>0</v>
      </c>
      <c r="F582" s="50">
        <v>0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152" t="e">
        <f t="shared" si="0"/>
        <v>#DIV/0!</v>
      </c>
      <c r="M582" s="50">
        <v>0</v>
      </c>
      <c r="N582" s="152" t="e">
        <f t="shared" si="1"/>
        <v>#DIV/0!</v>
      </c>
      <c r="O582" s="50">
        <v>0</v>
      </c>
      <c r="P582" s="152" t="e">
        <f t="shared" si="2"/>
        <v>#DIV/0!</v>
      </c>
      <c r="Q582" s="50">
        <v>0</v>
      </c>
    </row>
    <row r="583" spans="1:17" hidden="1" x14ac:dyDescent="0.25">
      <c r="A583" s="49" t="s">
        <v>714</v>
      </c>
      <c r="B583" s="49" t="s">
        <v>162</v>
      </c>
      <c r="C583" s="49" t="s">
        <v>163</v>
      </c>
      <c r="D583" s="49" t="s">
        <v>69</v>
      </c>
      <c r="E583" s="50">
        <v>500000</v>
      </c>
      <c r="F583" s="50">
        <v>500000</v>
      </c>
      <c r="G583" s="50">
        <v>50000</v>
      </c>
      <c r="H583" s="50">
        <v>0</v>
      </c>
      <c r="I583" s="50">
        <v>0</v>
      </c>
      <c r="J583" s="50">
        <v>0</v>
      </c>
      <c r="K583" s="50">
        <v>0</v>
      </c>
      <c r="L583" s="152">
        <f t="shared" si="0"/>
        <v>0</v>
      </c>
      <c r="M583" s="50">
        <v>0</v>
      </c>
      <c r="N583" s="152">
        <f t="shared" si="1"/>
        <v>0</v>
      </c>
      <c r="O583" s="50">
        <v>500000</v>
      </c>
      <c r="P583" s="152">
        <f t="shared" si="2"/>
        <v>1</v>
      </c>
      <c r="Q583" s="50">
        <v>50000</v>
      </c>
    </row>
    <row r="584" spans="1:17" hidden="1" x14ac:dyDescent="0.25">
      <c r="A584" s="49" t="s">
        <v>714</v>
      </c>
      <c r="B584" s="49" t="s">
        <v>164</v>
      </c>
      <c r="C584" s="49" t="s">
        <v>165</v>
      </c>
      <c r="D584" s="49" t="s">
        <v>69</v>
      </c>
      <c r="E584" s="50">
        <v>100000</v>
      </c>
      <c r="F584" s="50">
        <v>100000</v>
      </c>
      <c r="G584" s="50">
        <v>10000</v>
      </c>
      <c r="H584" s="50">
        <v>0</v>
      </c>
      <c r="I584" s="50">
        <v>0</v>
      </c>
      <c r="J584" s="50">
        <v>0</v>
      </c>
      <c r="K584" s="50">
        <v>0</v>
      </c>
      <c r="L584" s="152">
        <f t="shared" si="0"/>
        <v>0</v>
      </c>
      <c r="M584" s="50">
        <v>0</v>
      </c>
      <c r="N584" s="152">
        <f t="shared" si="1"/>
        <v>0</v>
      </c>
      <c r="O584" s="50">
        <v>100000</v>
      </c>
      <c r="P584" s="152">
        <f t="shared" si="2"/>
        <v>1</v>
      </c>
      <c r="Q584" s="50">
        <v>10000</v>
      </c>
    </row>
    <row r="585" spans="1:17" hidden="1" x14ac:dyDescent="0.25">
      <c r="A585" s="49" t="s">
        <v>714</v>
      </c>
      <c r="B585" s="49" t="s">
        <v>172</v>
      </c>
      <c r="C585" s="49" t="s">
        <v>173</v>
      </c>
      <c r="D585" s="49" t="s">
        <v>69</v>
      </c>
      <c r="E585" s="50">
        <v>400000</v>
      </c>
      <c r="F585" s="50">
        <v>400000</v>
      </c>
      <c r="G585" s="50">
        <v>40000</v>
      </c>
      <c r="H585" s="50">
        <v>0</v>
      </c>
      <c r="I585" s="50">
        <v>0</v>
      </c>
      <c r="J585" s="50">
        <v>0</v>
      </c>
      <c r="K585" s="50">
        <v>0</v>
      </c>
      <c r="L585" s="152">
        <f t="shared" si="0"/>
        <v>0</v>
      </c>
      <c r="M585" s="50">
        <v>0</v>
      </c>
      <c r="N585" s="152">
        <f t="shared" si="1"/>
        <v>0</v>
      </c>
      <c r="O585" s="50">
        <v>400000</v>
      </c>
      <c r="P585" s="152">
        <f t="shared" si="2"/>
        <v>1</v>
      </c>
      <c r="Q585" s="50">
        <v>40000</v>
      </c>
    </row>
    <row r="586" spans="1:17" hidden="1" x14ac:dyDescent="0.25">
      <c r="A586" s="49" t="s">
        <v>714</v>
      </c>
      <c r="B586" s="49" t="s">
        <v>184</v>
      </c>
      <c r="C586" s="49" t="s">
        <v>185</v>
      </c>
      <c r="D586" s="49" t="s">
        <v>69</v>
      </c>
      <c r="E586" s="50">
        <v>301595100</v>
      </c>
      <c r="F586" s="50">
        <v>287370045</v>
      </c>
      <c r="G586" s="50">
        <v>217267663.72999999</v>
      </c>
      <c r="H586" s="50">
        <v>0</v>
      </c>
      <c r="I586" s="50">
        <v>14441551.1</v>
      </c>
      <c r="J586" s="50">
        <v>357054.25</v>
      </c>
      <c r="K586" s="50">
        <v>124631543.28</v>
      </c>
      <c r="L586" s="152">
        <f t="shared" si="0"/>
        <v>0.43369705871744568</v>
      </c>
      <c r="M586" s="50">
        <v>124458658.28</v>
      </c>
      <c r="N586" s="152">
        <f t="shared" si="1"/>
        <v>0.43309544764834484</v>
      </c>
      <c r="O586" s="50">
        <v>147939896.37</v>
      </c>
      <c r="P586" s="152">
        <f t="shared" si="2"/>
        <v>0.51480625397125157</v>
      </c>
      <c r="Q586" s="50">
        <v>77837515.099999994</v>
      </c>
    </row>
    <row r="587" spans="1:17" hidden="1" x14ac:dyDescent="0.25">
      <c r="A587" s="49" t="s">
        <v>714</v>
      </c>
      <c r="B587" s="49" t="s">
        <v>186</v>
      </c>
      <c r="C587" s="49" t="s">
        <v>187</v>
      </c>
      <c r="D587" s="49" t="s">
        <v>69</v>
      </c>
      <c r="E587" s="50">
        <v>6620568</v>
      </c>
      <c r="F587" s="50">
        <v>4620568</v>
      </c>
      <c r="G587" s="50">
        <v>2826639</v>
      </c>
      <c r="H587" s="50">
        <v>0</v>
      </c>
      <c r="I587" s="50">
        <v>1071878.6599999999</v>
      </c>
      <c r="J587" s="50">
        <v>0</v>
      </c>
      <c r="K587" s="50">
        <v>0</v>
      </c>
      <c r="L587" s="152">
        <f t="shared" si="0"/>
        <v>0</v>
      </c>
      <c r="M587" s="50">
        <v>0</v>
      </c>
      <c r="N587" s="152">
        <f t="shared" si="1"/>
        <v>0</v>
      </c>
      <c r="O587" s="50">
        <v>3548689.34</v>
      </c>
      <c r="P587" s="152">
        <f t="shared" si="2"/>
        <v>0.76802015250073152</v>
      </c>
      <c r="Q587" s="50">
        <v>1754760.34</v>
      </c>
    </row>
    <row r="588" spans="1:17" hidden="1" x14ac:dyDescent="0.25">
      <c r="A588" s="49" t="s">
        <v>714</v>
      </c>
      <c r="B588" s="49" t="s">
        <v>188</v>
      </c>
      <c r="C588" s="49" t="s">
        <v>189</v>
      </c>
      <c r="D588" s="49" t="s">
        <v>69</v>
      </c>
      <c r="E588" s="50">
        <v>2413000</v>
      </c>
      <c r="F588" s="50">
        <v>2413000</v>
      </c>
      <c r="G588" s="50">
        <v>619071</v>
      </c>
      <c r="H588" s="50">
        <v>0</v>
      </c>
      <c r="I588" s="50">
        <v>0</v>
      </c>
      <c r="J588" s="50">
        <v>0</v>
      </c>
      <c r="K588" s="50">
        <v>0</v>
      </c>
      <c r="L588" s="152">
        <f t="shared" si="0"/>
        <v>0</v>
      </c>
      <c r="M588" s="50">
        <v>0</v>
      </c>
      <c r="N588" s="152">
        <f t="shared" si="1"/>
        <v>0</v>
      </c>
      <c r="O588" s="50">
        <v>2413000</v>
      </c>
      <c r="P588" s="152">
        <f t="shared" si="2"/>
        <v>1</v>
      </c>
      <c r="Q588" s="50">
        <v>619071</v>
      </c>
    </row>
    <row r="589" spans="1:17" hidden="1" x14ac:dyDescent="0.25">
      <c r="A589" s="49" t="s">
        <v>714</v>
      </c>
      <c r="B589" s="49" t="s">
        <v>350</v>
      </c>
      <c r="C589" s="49" t="s">
        <v>351</v>
      </c>
      <c r="D589" s="49" t="s">
        <v>69</v>
      </c>
      <c r="E589" s="50">
        <v>63287</v>
      </c>
      <c r="F589" s="50">
        <v>63287</v>
      </c>
      <c r="G589" s="50">
        <v>63287</v>
      </c>
      <c r="H589" s="50">
        <v>0</v>
      </c>
      <c r="I589" s="50">
        <v>0</v>
      </c>
      <c r="J589" s="50">
        <v>0</v>
      </c>
      <c r="K589" s="50">
        <v>0</v>
      </c>
      <c r="L589" s="152">
        <f t="shared" si="0"/>
        <v>0</v>
      </c>
      <c r="M589" s="50">
        <v>0</v>
      </c>
      <c r="N589" s="152">
        <f t="shared" si="1"/>
        <v>0</v>
      </c>
      <c r="O589" s="50">
        <v>63287</v>
      </c>
      <c r="P589" s="152">
        <f t="shared" si="2"/>
        <v>1</v>
      </c>
      <c r="Q589" s="50">
        <v>63287</v>
      </c>
    </row>
    <row r="590" spans="1:17" hidden="1" x14ac:dyDescent="0.25">
      <c r="A590" s="49" t="s">
        <v>714</v>
      </c>
      <c r="B590" s="49" t="s">
        <v>194</v>
      </c>
      <c r="C590" s="49" t="s">
        <v>195</v>
      </c>
      <c r="D590" s="49" t="s">
        <v>69</v>
      </c>
      <c r="E590" s="50">
        <v>4144281</v>
      </c>
      <c r="F590" s="50">
        <v>2144281</v>
      </c>
      <c r="G590" s="50">
        <v>2144281</v>
      </c>
      <c r="H590" s="50">
        <v>0</v>
      </c>
      <c r="I590" s="50">
        <v>1071878.6599999999</v>
      </c>
      <c r="J590" s="50">
        <v>0</v>
      </c>
      <c r="K590" s="50">
        <v>0</v>
      </c>
      <c r="L590" s="152">
        <f t="shared" si="0"/>
        <v>0</v>
      </c>
      <c r="M590" s="50">
        <v>0</v>
      </c>
      <c r="N590" s="152">
        <f t="shared" si="1"/>
        <v>0</v>
      </c>
      <c r="O590" s="50">
        <v>1072402.3400000001</v>
      </c>
      <c r="P590" s="152">
        <f t="shared" si="2"/>
        <v>0.50012211086140301</v>
      </c>
      <c r="Q590" s="50">
        <v>1072402.3400000001</v>
      </c>
    </row>
    <row r="591" spans="1:17" hidden="1" x14ac:dyDescent="0.25">
      <c r="A591" s="49" t="s">
        <v>714</v>
      </c>
      <c r="B591" s="49" t="s">
        <v>196</v>
      </c>
      <c r="C591" s="49" t="s">
        <v>197</v>
      </c>
      <c r="D591" s="49" t="s">
        <v>69</v>
      </c>
      <c r="E591" s="50">
        <v>280709986</v>
      </c>
      <c r="F591" s="50">
        <v>280086240</v>
      </c>
      <c r="G591" s="50">
        <v>211969919.72999999</v>
      </c>
      <c r="H591" s="50">
        <v>0</v>
      </c>
      <c r="I591" s="50">
        <v>13109433.43</v>
      </c>
      <c r="J591" s="50">
        <v>357054.25</v>
      </c>
      <c r="K591" s="50">
        <v>122855419.95</v>
      </c>
      <c r="L591" s="152">
        <f t="shared" si="0"/>
        <v>0.43863425761294095</v>
      </c>
      <c r="M591" s="50">
        <v>122682534.95</v>
      </c>
      <c r="N591" s="152">
        <f t="shared" si="1"/>
        <v>0.43801700129931409</v>
      </c>
      <c r="O591" s="50">
        <v>143764332.37</v>
      </c>
      <c r="P591" s="152">
        <f t="shared" si="2"/>
        <v>0.51328595210532302</v>
      </c>
      <c r="Q591" s="50">
        <v>75648012.099999994</v>
      </c>
    </row>
    <row r="592" spans="1:17" hidden="1" x14ac:dyDescent="0.25">
      <c r="A592" s="49" t="s">
        <v>714</v>
      </c>
      <c r="B592" s="49" t="s">
        <v>579</v>
      </c>
      <c r="C592" s="49" t="s">
        <v>580</v>
      </c>
      <c r="D592" s="49" t="s">
        <v>69</v>
      </c>
      <c r="E592" s="50">
        <v>1988520</v>
      </c>
      <c r="F592" s="50">
        <v>1444180</v>
      </c>
      <c r="G592" s="50">
        <v>1327860</v>
      </c>
      <c r="H592" s="50">
        <v>0</v>
      </c>
      <c r="I592" s="50">
        <v>0</v>
      </c>
      <c r="J592" s="50">
        <v>0</v>
      </c>
      <c r="K592" s="50">
        <v>899840</v>
      </c>
      <c r="L592" s="152">
        <f t="shared" si="0"/>
        <v>0.62308022545666053</v>
      </c>
      <c r="M592" s="50">
        <v>899840</v>
      </c>
      <c r="N592" s="152">
        <f t="shared" si="1"/>
        <v>0.62308022545666053</v>
      </c>
      <c r="O592" s="50">
        <v>544340</v>
      </c>
      <c r="P592" s="152">
        <f t="shared" si="2"/>
        <v>0.37691977454333947</v>
      </c>
      <c r="Q592" s="50">
        <v>428020</v>
      </c>
    </row>
    <row r="593" spans="1:17" hidden="1" x14ac:dyDescent="0.25">
      <c r="A593" s="49" t="s">
        <v>714</v>
      </c>
      <c r="B593" s="49" t="s">
        <v>198</v>
      </c>
      <c r="C593" s="49" t="s">
        <v>199</v>
      </c>
      <c r="D593" s="49" t="s">
        <v>69</v>
      </c>
      <c r="E593" s="50">
        <v>278273098</v>
      </c>
      <c r="F593" s="50">
        <v>278273098</v>
      </c>
      <c r="G593" s="50">
        <v>210273097.72999999</v>
      </c>
      <c r="H593" s="50">
        <v>0</v>
      </c>
      <c r="I593" s="50">
        <v>13109433.42</v>
      </c>
      <c r="J593" s="50">
        <v>357054.25</v>
      </c>
      <c r="K593" s="50">
        <v>121586618.28</v>
      </c>
      <c r="L593" s="152">
        <f t="shared" si="0"/>
        <v>0.43693270802627138</v>
      </c>
      <c r="M593" s="50">
        <v>121413733.28</v>
      </c>
      <c r="N593" s="152">
        <f t="shared" si="1"/>
        <v>0.43631142986017285</v>
      </c>
      <c r="O593" s="50">
        <v>143219992.05000001</v>
      </c>
      <c r="P593" s="152">
        <f t="shared" si="2"/>
        <v>0.51467422858820511</v>
      </c>
      <c r="Q593" s="50">
        <v>75219991.780000001</v>
      </c>
    </row>
    <row r="594" spans="1:17" hidden="1" x14ac:dyDescent="0.25">
      <c r="A594" s="49" t="s">
        <v>714</v>
      </c>
      <c r="B594" s="49" t="s">
        <v>352</v>
      </c>
      <c r="C594" s="49" t="s">
        <v>353</v>
      </c>
      <c r="D594" s="49" t="s">
        <v>69</v>
      </c>
      <c r="E594" s="50">
        <v>448368</v>
      </c>
      <c r="F594" s="50">
        <v>368962</v>
      </c>
      <c r="G594" s="50">
        <v>368962</v>
      </c>
      <c r="H594" s="50">
        <v>0</v>
      </c>
      <c r="I594" s="50">
        <v>0.01</v>
      </c>
      <c r="J594" s="50">
        <v>0</v>
      </c>
      <c r="K594" s="50">
        <v>368961.67</v>
      </c>
      <c r="L594" s="152">
        <f t="shared" si="0"/>
        <v>0.99999910559895056</v>
      </c>
      <c r="M594" s="50">
        <v>368961.67</v>
      </c>
      <c r="N594" s="152">
        <f t="shared" si="1"/>
        <v>0.99999910559895056</v>
      </c>
      <c r="O594" s="50">
        <v>0.32</v>
      </c>
      <c r="P594" s="152">
        <f t="shared" si="2"/>
        <v>8.6729798732660822E-7</v>
      </c>
      <c r="Q594" s="50">
        <v>0.32</v>
      </c>
    </row>
    <row r="595" spans="1:17" hidden="1" x14ac:dyDescent="0.25">
      <c r="A595" s="49" t="s">
        <v>714</v>
      </c>
      <c r="B595" s="49" t="s">
        <v>200</v>
      </c>
      <c r="C595" s="49" t="s">
        <v>201</v>
      </c>
      <c r="D595" s="49" t="s">
        <v>69</v>
      </c>
      <c r="E595" s="50">
        <v>8117062</v>
      </c>
      <c r="F595" s="50">
        <v>1522387</v>
      </c>
      <c r="G595" s="50">
        <v>1417655</v>
      </c>
      <c r="H595" s="50">
        <v>0</v>
      </c>
      <c r="I595" s="50">
        <v>0</v>
      </c>
      <c r="J595" s="50">
        <v>0</v>
      </c>
      <c r="K595" s="50">
        <v>1110192.48</v>
      </c>
      <c r="L595" s="152">
        <f t="shared" si="0"/>
        <v>0.72924458761142863</v>
      </c>
      <c r="M595" s="50">
        <v>1110192.48</v>
      </c>
      <c r="N595" s="152">
        <f t="shared" si="1"/>
        <v>0.72924458761142863</v>
      </c>
      <c r="O595" s="50">
        <v>412194.52</v>
      </c>
      <c r="P595" s="152">
        <f t="shared" si="2"/>
        <v>0.27075541238857137</v>
      </c>
      <c r="Q595" s="50">
        <v>307462.52</v>
      </c>
    </row>
    <row r="596" spans="1:17" hidden="1" x14ac:dyDescent="0.25">
      <c r="A596" s="49" t="s">
        <v>714</v>
      </c>
      <c r="B596" s="49" t="s">
        <v>314</v>
      </c>
      <c r="C596" s="49" t="s">
        <v>315</v>
      </c>
      <c r="D596" s="49" t="s">
        <v>69</v>
      </c>
      <c r="E596" s="50">
        <v>2959825</v>
      </c>
      <c r="F596" s="50">
        <v>0</v>
      </c>
      <c r="G596" s="50">
        <v>0</v>
      </c>
      <c r="H596" s="50">
        <v>0</v>
      </c>
      <c r="I596" s="50">
        <v>0</v>
      </c>
      <c r="J596" s="50">
        <v>0</v>
      </c>
      <c r="K596" s="50">
        <v>0</v>
      </c>
      <c r="L596" s="152" t="e">
        <f t="shared" si="0"/>
        <v>#DIV/0!</v>
      </c>
      <c r="M596" s="50">
        <v>0</v>
      </c>
      <c r="N596" s="152" t="e">
        <f t="shared" si="1"/>
        <v>#DIV/0!</v>
      </c>
      <c r="O596" s="50">
        <v>0</v>
      </c>
      <c r="P596" s="152" t="e">
        <f t="shared" si="2"/>
        <v>#DIV/0!</v>
      </c>
      <c r="Q596" s="50">
        <v>0</v>
      </c>
    </row>
    <row r="597" spans="1:17" hidden="1" x14ac:dyDescent="0.25">
      <c r="A597" s="49" t="s">
        <v>714</v>
      </c>
      <c r="B597" s="49" t="s">
        <v>202</v>
      </c>
      <c r="C597" s="49" t="s">
        <v>203</v>
      </c>
      <c r="D597" s="49" t="s">
        <v>69</v>
      </c>
      <c r="E597" s="50">
        <v>1322500</v>
      </c>
      <c r="F597" s="50">
        <v>22500</v>
      </c>
      <c r="G597" s="50">
        <v>0</v>
      </c>
      <c r="H597" s="50">
        <v>0</v>
      </c>
      <c r="I597" s="50">
        <v>0</v>
      </c>
      <c r="J597" s="50">
        <v>0</v>
      </c>
      <c r="K597" s="50">
        <v>0</v>
      </c>
      <c r="L597" s="152">
        <f t="shared" si="0"/>
        <v>0</v>
      </c>
      <c r="M597" s="50">
        <v>0</v>
      </c>
      <c r="N597" s="152">
        <f t="shared" si="1"/>
        <v>0</v>
      </c>
      <c r="O597" s="50">
        <v>22500</v>
      </c>
      <c r="P597" s="152">
        <f t="shared" si="2"/>
        <v>1</v>
      </c>
      <c r="Q597" s="50">
        <v>0</v>
      </c>
    </row>
    <row r="598" spans="1:17" hidden="1" x14ac:dyDescent="0.25">
      <c r="A598" s="49" t="s">
        <v>714</v>
      </c>
      <c r="B598" s="49" t="s">
        <v>320</v>
      </c>
      <c r="C598" s="49" t="s">
        <v>321</v>
      </c>
      <c r="D598" s="49" t="s">
        <v>69</v>
      </c>
      <c r="E598" s="50">
        <v>220000</v>
      </c>
      <c r="F598" s="50">
        <v>0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152" t="e">
        <f t="shared" si="0"/>
        <v>#DIV/0!</v>
      </c>
      <c r="M598" s="50">
        <v>0</v>
      </c>
      <c r="N598" s="152" t="e">
        <f t="shared" si="1"/>
        <v>#DIV/0!</v>
      </c>
      <c r="O598" s="50">
        <v>0</v>
      </c>
      <c r="P598" s="152" t="e">
        <f t="shared" si="2"/>
        <v>#DIV/0!</v>
      </c>
      <c r="Q598" s="50">
        <v>0</v>
      </c>
    </row>
    <row r="599" spans="1:17" hidden="1" x14ac:dyDescent="0.25">
      <c r="A599" s="49" t="s">
        <v>714</v>
      </c>
      <c r="B599" s="49" t="s">
        <v>204</v>
      </c>
      <c r="C599" s="49" t="s">
        <v>205</v>
      </c>
      <c r="D599" s="49" t="s">
        <v>69</v>
      </c>
      <c r="E599" s="50">
        <v>1532505</v>
      </c>
      <c r="F599" s="50">
        <v>1417655</v>
      </c>
      <c r="G599" s="50">
        <v>1417655</v>
      </c>
      <c r="H599" s="50">
        <v>0</v>
      </c>
      <c r="I599" s="50">
        <v>0</v>
      </c>
      <c r="J599" s="50">
        <v>0</v>
      </c>
      <c r="K599" s="50">
        <v>1110192.48</v>
      </c>
      <c r="L599" s="152">
        <f t="shared" si="0"/>
        <v>0.7831189393752358</v>
      </c>
      <c r="M599" s="50">
        <v>1110192.48</v>
      </c>
      <c r="N599" s="152">
        <f t="shared" si="1"/>
        <v>0.7831189393752358</v>
      </c>
      <c r="O599" s="50">
        <v>307462.52</v>
      </c>
      <c r="P599" s="152">
        <f t="shared" si="2"/>
        <v>0.21688106062476414</v>
      </c>
      <c r="Q599" s="50">
        <v>307462.52</v>
      </c>
    </row>
    <row r="600" spans="1:17" hidden="1" x14ac:dyDescent="0.25">
      <c r="A600" s="49" t="s">
        <v>714</v>
      </c>
      <c r="B600" s="49" t="s">
        <v>322</v>
      </c>
      <c r="C600" s="49" t="s">
        <v>323</v>
      </c>
      <c r="D600" s="49" t="s">
        <v>69</v>
      </c>
      <c r="E600" s="50">
        <v>2082232</v>
      </c>
      <c r="F600" s="50">
        <v>82232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152">
        <f t="shared" si="0"/>
        <v>0</v>
      </c>
      <c r="M600" s="50">
        <v>0</v>
      </c>
      <c r="N600" s="152">
        <f t="shared" si="1"/>
        <v>0</v>
      </c>
      <c r="O600" s="50">
        <v>82232</v>
      </c>
      <c r="P600" s="152">
        <f t="shared" si="2"/>
        <v>1</v>
      </c>
      <c r="Q600" s="50">
        <v>0</v>
      </c>
    </row>
    <row r="601" spans="1:17" hidden="1" x14ac:dyDescent="0.25">
      <c r="A601" s="49" t="s">
        <v>714</v>
      </c>
      <c r="B601" s="49" t="s">
        <v>206</v>
      </c>
      <c r="C601" s="49" t="s">
        <v>207</v>
      </c>
      <c r="D601" s="49" t="s">
        <v>69</v>
      </c>
      <c r="E601" s="50">
        <v>1362914</v>
      </c>
      <c r="F601" s="50">
        <v>91500</v>
      </c>
      <c r="G601" s="50">
        <v>91500</v>
      </c>
      <c r="H601" s="50">
        <v>0</v>
      </c>
      <c r="I601" s="50">
        <v>0</v>
      </c>
      <c r="J601" s="50">
        <v>0</v>
      </c>
      <c r="K601" s="50">
        <v>0</v>
      </c>
      <c r="L601" s="152">
        <f t="shared" si="0"/>
        <v>0</v>
      </c>
      <c r="M601" s="50">
        <v>0</v>
      </c>
      <c r="N601" s="152">
        <f t="shared" si="1"/>
        <v>0</v>
      </c>
      <c r="O601" s="50">
        <v>91500</v>
      </c>
      <c r="P601" s="152">
        <f t="shared" si="2"/>
        <v>1</v>
      </c>
      <c r="Q601" s="50">
        <v>91500</v>
      </c>
    </row>
    <row r="602" spans="1:17" hidden="1" x14ac:dyDescent="0.25">
      <c r="A602" s="49" t="s">
        <v>714</v>
      </c>
      <c r="B602" s="49" t="s">
        <v>208</v>
      </c>
      <c r="C602" s="49" t="s">
        <v>209</v>
      </c>
      <c r="D602" s="49" t="s">
        <v>69</v>
      </c>
      <c r="E602" s="50">
        <v>571414</v>
      </c>
      <c r="F602" s="50">
        <v>0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152" t="e">
        <f t="shared" si="0"/>
        <v>#DIV/0!</v>
      </c>
      <c r="M602" s="50">
        <v>0</v>
      </c>
      <c r="N602" s="152" t="e">
        <f t="shared" si="1"/>
        <v>#DIV/0!</v>
      </c>
      <c r="O602" s="50">
        <v>0</v>
      </c>
      <c r="P602" s="152" t="e">
        <f t="shared" si="2"/>
        <v>#DIV/0!</v>
      </c>
      <c r="Q602" s="50">
        <v>0</v>
      </c>
    </row>
    <row r="603" spans="1:17" hidden="1" x14ac:dyDescent="0.25">
      <c r="A603" s="49" t="s">
        <v>714</v>
      </c>
      <c r="B603" s="49" t="s">
        <v>210</v>
      </c>
      <c r="C603" s="49" t="s">
        <v>211</v>
      </c>
      <c r="D603" s="49" t="s">
        <v>69</v>
      </c>
      <c r="E603" s="50">
        <v>791500</v>
      </c>
      <c r="F603" s="50">
        <v>91500</v>
      </c>
      <c r="G603" s="50">
        <v>91500</v>
      </c>
      <c r="H603" s="50">
        <v>0</v>
      </c>
      <c r="I603" s="50">
        <v>0</v>
      </c>
      <c r="J603" s="50">
        <v>0</v>
      </c>
      <c r="K603" s="50">
        <v>0</v>
      </c>
      <c r="L603" s="152">
        <f t="shared" si="0"/>
        <v>0</v>
      </c>
      <c r="M603" s="50">
        <v>0</v>
      </c>
      <c r="N603" s="152">
        <f t="shared" si="1"/>
        <v>0</v>
      </c>
      <c r="O603" s="50">
        <v>91500</v>
      </c>
      <c r="P603" s="152">
        <f t="shared" si="2"/>
        <v>1</v>
      </c>
      <c r="Q603" s="50">
        <v>91500</v>
      </c>
    </row>
    <row r="604" spans="1:17" hidden="1" x14ac:dyDescent="0.25">
      <c r="A604" s="49" t="s">
        <v>714</v>
      </c>
      <c r="B604" s="49" t="s">
        <v>354</v>
      </c>
      <c r="C604" s="49" t="s">
        <v>355</v>
      </c>
      <c r="D604" s="49" t="s">
        <v>69</v>
      </c>
      <c r="E604" s="50">
        <v>585840</v>
      </c>
      <c r="F604" s="50">
        <v>0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152" t="e">
        <f t="shared" si="0"/>
        <v>#DIV/0!</v>
      </c>
      <c r="M604" s="50">
        <v>0</v>
      </c>
      <c r="N604" s="152" t="e">
        <f t="shared" si="1"/>
        <v>#DIV/0!</v>
      </c>
      <c r="O604" s="50">
        <v>0</v>
      </c>
      <c r="P604" s="152" t="e">
        <f t="shared" si="2"/>
        <v>#DIV/0!</v>
      </c>
      <c r="Q604" s="50">
        <v>0</v>
      </c>
    </row>
    <row r="605" spans="1:17" hidden="1" x14ac:dyDescent="0.25">
      <c r="A605" s="49" t="s">
        <v>714</v>
      </c>
      <c r="B605" s="49" t="s">
        <v>356</v>
      </c>
      <c r="C605" s="49" t="s">
        <v>357</v>
      </c>
      <c r="D605" s="49" t="s">
        <v>69</v>
      </c>
      <c r="E605" s="50">
        <v>585840</v>
      </c>
      <c r="F605" s="50">
        <v>0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152" t="e">
        <f t="shared" si="0"/>
        <v>#DIV/0!</v>
      </c>
      <c r="M605" s="50">
        <v>0</v>
      </c>
      <c r="N605" s="152" t="e">
        <f t="shared" si="1"/>
        <v>#DIV/0!</v>
      </c>
      <c r="O605" s="50">
        <v>0</v>
      </c>
      <c r="P605" s="152" t="e">
        <f t="shared" si="2"/>
        <v>#DIV/0!</v>
      </c>
      <c r="Q605" s="50">
        <v>0</v>
      </c>
    </row>
    <row r="606" spans="1:17" hidden="1" x14ac:dyDescent="0.25">
      <c r="A606" s="49" t="s">
        <v>714</v>
      </c>
      <c r="B606" s="49" t="s">
        <v>212</v>
      </c>
      <c r="C606" s="49" t="s">
        <v>213</v>
      </c>
      <c r="D606" s="49" t="s">
        <v>69</v>
      </c>
      <c r="E606" s="50">
        <v>4198730</v>
      </c>
      <c r="F606" s="50">
        <v>1049350</v>
      </c>
      <c r="G606" s="50">
        <v>961950</v>
      </c>
      <c r="H606" s="50">
        <v>0</v>
      </c>
      <c r="I606" s="50">
        <v>260239.01</v>
      </c>
      <c r="J606" s="50">
        <v>0</v>
      </c>
      <c r="K606" s="50">
        <v>665930.85</v>
      </c>
      <c r="L606" s="152">
        <f t="shared" si="0"/>
        <v>0.63461271263162911</v>
      </c>
      <c r="M606" s="50">
        <v>665930.85</v>
      </c>
      <c r="N606" s="152">
        <f t="shared" si="1"/>
        <v>0.63461271263162911</v>
      </c>
      <c r="O606" s="50">
        <v>123180.14</v>
      </c>
      <c r="P606" s="152">
        <f t="shared" si="2"/>
        <v>0.11738708724448468</v>
      </c>
      <c r="Q606" s="50">
        <v>35780.14</v>
      </c>
    </row>
    <row r="607" spans="1:17" hidden="1" x14ac:dyDescent="0.25">
      <c r="A607" s="49" t="s">
        <v>714</v>
      </c>
      <c r="B607" s="49" t="s">
        <v>220</v>
      </c>
      <c r="C607" s="49" t="s">
        <v>221</v>
      </c>
      <c r="D607" s="49" t="s">
        <v>69</v>
      </c>
      <c r="E607" s="50">
        <v>1076090</v>
      </c>
      <c r="F607" s="50">
        <v>926190</v>
      </c>
      <c r="G607" s="50">
        <v>926190</v>
      </c>
      <c r="H607" s="50">
        <v>0</v>
      </c>
      <c r="I607" s="50">
        <v>260239.01</v>
      </c>
      <c r="J607" s="50">
        <v>0</v>
      </c>
      <c r="K607" s="50">
        <v>665930.85</v>
      </c>
      <c r="L607" s="152">
        <f t="shared" si="0"/>
        <v>0.71900025912609722</v>
      </c>
      <c r="M607" s="50">
        <v>665930.85</v>
      </c>
      <c r="N607" s="152">
        <f t="shared" si="1"/>
        <v>0.71900025912609722</v>
      </c>
      <c r="O607" s="50">
        <v>20.14</v>
      </c>
      <c r="P607" s="152">
        <f t="shared" si="2"/>
        <v>2.174499832647729E-5</v>
      </c>
      <c r="Q607" s="50">
        <v>20.14</v>
      </c>
    </row>
    <row r="608" spans="1:17" hidden="1" x14ac:dyDescent="0.25">
      <c r="A608" s="49" t="s">
        <v>714</v>
      </c>
      <c r="B608" s="49" t="s">
        <v>222</v>
      </c>
      <c r="C608" s="49" t="s">
        <v>223</v>
      </c>
      <c r="D608" s="49" t="s">
        <v>69</v>
      </c>
      <c r="E608" s="50">
        <v>35760</v>
      </c>
      <c r="F608" s="50">
        <v>35760</v>
      </c>
      <c r="G608" s="50">
        <v>35760</v>
      </c>
      <c r="H608" s="50">
        <v>0</v>
      </c>
      <c r="I608" s="50">
        <v>0</v>
      </c>
      <c r="J608" s="50">
        <v>0</v>
      </c>
      <c r="K608" s="50">
        <v>0</v>
      </c>
      <c r="L608" s="152">
        <f t="shared" si="0"/>
        <v>0</v>
      </c>
      <c r="M608" s="50">
        <v>0</v>
      </c>
      <c r="N608" s="152">
        <f t="shared" si="1"/>
        <v>0</v>
      </c>
      <c r="O608" s="50">
        <v>35760</v>
      </c>
      <c r="P608" s="152">
        <f t="shared" si="2"/>
        <v>1</v>
      </c>
      <c r="Q608" s="50">
        <v>35760</v>
      </c>
    </row>
    <row r="609" spans="1:17" hidden="1" x14ac:dyDescent="0.25">
      <c r="A609" s="49" t="s">
        <v>714</v>
      </c>
      <c r="B609" s="49" t="s">
        <v>224</v>
      </c>
      <c r="C609" s="49" t="s">
        <v>225</v>
      </c>
      <c r="D609" s="49" t="s">
        <v>69</v>
      </c>
      <c r="E609" s="50">
        <v>2587400</v>
      </c>
      <c r="F609" s="50">
        <v>87400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152">
        <f t="shared" si="0"/>
        <v>0</v>
      </c>
      <c r="M609" s="50">
        <v>0</v>
      </c>
      <c r="N609" s="152">
        <f t="shared" si="1"/>
        <v>0</v>
      </c>
      <c r="O609" s="50">
        <v>87400</v>
      </c>
      <c r="P609" s="152">
        <f t="shared" si="2"/>
        <v>1</v>
      </c>
      <c r="Q609" s="50">
        <v>0</v>
      </c>
    </row>
    <row r="610" spans="1:17" hidden="1" x14ac:dyDescent="0.25">
      <c r="A610" s="49" t="s">
        <v>714</v>
      </c>
      <c r="B610" s="49" t="s">
        <v>228</v>
      </c>
      <c r="C610" s="49" t="s">
        <v>229</v>
      </c>
      <c r="D610" s="49" t="s">
        <v>69</v>
      </c>
      <c r="E610" s="50">
        <v>499480</v>
      </c>
      <c r="F610" s="50">
        <v>0</v>
      </c>
      <c r="G610" s="50">
        <v>0</v>
      </c>
      <c r="H610" s="50">
        <v>0</v>
      </c>
      <c r="I610" s="50">
        <v>0</v>
      </c>
      <c r="J610" s="50">
        <v>0</v>
      </c>
      <c r="K610" s="50">
        <v>0</v>
      </c>
      <c r="L610" s="152" t="e">
        <f t="shared" si="0"/>
        <v>#DIV/0!</v>
      </c>
      <c r="M610" s="50">
        <v>0</v>
      </c>
      <c r="N610" s="152" t="e">
        <f t="shared" si="1"/>
        <v>#DIV/0!</v>
      </c>
      <c r="O610" s="50">
        <v>0</v>
      </c>
      <c r="P610" s="152" t="e">
        <f t="shared" si="2"/>
        <v>#DIV/0!</v>
      </c>
      <c r="Q610" s="50">
        <v>0</v>
      </c>
    </row>
    <row r="611" spans="1:17" hidden="1" x14ac:dyDescent="0.25">
      <c r="A611" s="49" t="s">
        <v>714</v>
      </c>
      <c r="B611" s="49" t="s">
        <v>248</v>
      </c>
      <c r="C611" s="49" t="s">
        <v>249</v>
      </c>
      <c r="D611" s="49" t="s">
        <v>69</v>
      </c>
      <c r="E611" s="50">
        <v>32319360</v>
      </c>
      <c r="F611" s="50">
        <v>31841288</v>
      </c>
      <c r="G611" s="50">
        <v>31657427</v>
      </c>
      <c r="H611" s="50">
        <v>0</v>
      </c>
      <c r="I611" s="50">
        <v>6585376</v>
      </c>
      <c r="J611" s="50">
        <v>0</v>
      </c>
      <c r="K611" s="50">
        <v>22164231</v>
      </c>
      <c r="L611" s="152">
        <f t="shared" si="0"/>
        <v>0.69608462446619623</v>
      </c>
      <c r="M611" s="50">
        <v>22164231</v>
      </c>
      <c r="N611" s="152">
        <f t="shared" si="1"/>
        <v>0.69608462446619623</v>
      </c>
      <c r="O611" s="50">
        <v>3091681</v>
      </c>
      <c r="P611" s="152">
        <f t="shared" si="2"/>
        <v>9.7096606142314343E-2</v>
      </c>
      <c r="Q611" s="50">
        <v>2907820</v>
      </c>
    </row>
    <row r="612" spans="1:17" hidden="1" x14ac:dyDescent="0.25">
      <c r="A612" s="49" t="s">
        <v>714</v>
      </c>
      <c r="B612" s="49" t="s">
        <v>250</v>
      </c>
      <c r="C612" s="49" t="s">
        <v>251</v>
      </c>
      <c r="D612" s="49" t="s">
        <v>69</v>
      </c>
      <c r="E612" s="50">
        <v>24819360</v>
      </c>
      <c r="F612" s="50">
        <v>24341288</v>
      </c>
      <c r="G612" s="50">
        <v>24157427</v>
      </c>
      <c r="H612" s="50">
        <v>0</v>
      </c>
      <c r="I612" s="50">
        <v>6585376</v>
      </c>
      <c r="J612" s="50">
        <v>0</v>
      </c>
      <c r="K612" s="50">
        <v>17572051</v>
      </c>
      <c r="L612" s="152">
        <f t="shared" si="0"/>
        <v>0.72190308910522727</v>
      </c>
      <c r="M612" s="50">
        <v>17572051</v>
      </c>
      <c r="N612" s="152">
        <f t="shared" si="1"/>
        <v>0.72190308910522727</v>
      </c>
      <c r="O612" s="50">
        <v>183861</v>
      </c>
      <c r="P612" s="152">
        <f t="shared" si="2"/>
        <v>7.5534622489984915E-3</v>
      </c>
      <c r="Q612" s="50">
        <v>0</v>
      </c>
    </row>
    <row r="613" spans="1:17" hidden="1" x14ac:dyDescent="0.25">
      <c r="A613" s="49" t="s">
        <v>714</v>
      </c>
      <c r="B613" s="49" t="s">
        <v>633</v>
      </c>
      <c r="C613" s="49" t="s">
        <v>702</v>
      </c>
      <c r="D613" s="49" t="s">
        <v>69</v>
      </c>
      <c r="E613" s="50">
        <v>21081545</v>
      </c>
      <c r="F613" s="50">
        <v>20675471</v>
      </c>
      <c r="G613" s="50">
        <v>20519300</v>
      </c>
      <c r="H613" s="50">
        <v>0</v>
      </c>
      <c r="I613" s="50">
        <v>5621819</v>
      </c>
      <c r="J613" s="50">
        <v>0</v>
      </c>
      <c r="K613" s="50">
        <v>14897481</v>
      </c>
      <c r="L613" s="152">
        <f t="shared" si="0"/>
        <v>0.72053889364842039</v>
      </c>
      <c r="M613" s="50">
        <v>14897481</v>
      </c>
      <c r="N613" s="152">
        <f t="shared" si="1"/>
        <v>0.72053889364842039</v>
      </c>
      <c r="O613" s="50">
        <v>156171</v>
      </c>
      <c r="P613" s="152">
        <f t="shared" si="2"/>
        <v>7.553443401603765E-3</v>
      </c>
      <c r="Q613" s="50">
        <v>0</v>
      </c>
    </row>
    <row r="614" spans="1:17" hidden="1" x14ac:dyDescent="0.25">
      <c r="A614" s="49" t="s">
        <v>714</v>
      </c>
      <c r="B614" s="49" t="s">
        <v>648</v>
      </c>
      <c r="C614" s="49" t="s">
        <v>703</v>
      </c>
      <c r="D614" s="49" t="s">
        <v>69</v>
      </c>
      <c r="E614" s="50">
        <v>3737815</v>
      </c>
      <c r="F614" s="50">
        <v>3665817</v>
      </c>
      <c r="G614" s="50">
        <v>3638127</v>
      </c>
      <c r="H614" s="50">
        <v>0</v>
      </c>
      <c r="I614" s="50">
        <v>963557</v>
      </c>
      <c r="J614" s="50">
        <v>0</v>
      </c>
      <c r="K614" s="50">
        <v>2674570</v>
      </c>
      <c r="L614" s="152">
        <f t="shared" si="0"/>
        <v>0.72959724939897441</v>
      </c>
      <c r="M614" s="50">
        <v>2674570</v>
      </c>
      <c r="N614" s="152">
        <f t="shared" si="1"/>
        <v>0.72959724939897441</v>
      </c>
      <c r="O614" s="50">
        <v>27690</v>
      </c>
      <c r="P614" s="152">
        <f t="shared" si="2"/>
        <v>7.5535685496575522E-3</v>
      </c>
      <c r="Q614" s="50">
        <v>0</v>
      </c>
    </row>
    <row r="615" spans="1:17" hidden="1" x14ac:dyDescent="0.25">
      <c r="A615" s="49" t="s">
        <v>714</v>
      </c>
      <c r="B615" s="49" t="s">
        <v>260</v>
      </c>
      <c r="C615" s="49" t="s">
        <v>261</v>
      </c>
      <c r="D615" s="49" t="s">
        <v>69</v>
      </c>
      <c r="E615" s="50">
        <v>7500000</v>
      </c>
      <c r="F615" s="50">
        <v>7500000</v>
      </c>
      <c r="G615" s="50">
        <v>7500000</v>
      </c>
      <c r="H615" s="50">
        <v>0</v>
      </c>
      <c r="I615" s="50">
        <v>0</v>
      </c>
      <c r="J615" s="50">
        <v>0</v>
      </c>
      <c r="K615" s="50">
        <v>4592180</v>
      </c>
      <c r="L615" s="152">
        <f t="shared" si="0"/>
        <v>0.61229066666666665</v>
      </c>
      <c r="M615" s="50">
        <v>4592180</v>
      </c>
      <c r="N615" s="152">
        <f t="shared" si="1"/>
        <v>0.61229066666666665</v>
      </c>
      <c r="O615" s="50">
        <v>2907820</v>
      </c>
      <c r="P615" s="152">
        <f t="shared" si="2"/>
        <v>0.38770933333333335</v>
      </c>
      <c r="Q615" s="50">
        <v>2907820</v>
      </c>
    </row>
    <row r="616" spans="1:17" hidden="1" x14ac:dyDescent="0.25">
      <c r="A616" s="49" t="s">
        <v>714</v>
      </c>
      <c r="B616" s="49" t="s">
        <v>264</v>
      </c>
      <c r="C616" s="49" t="s">
        <v>265</v>
      </c>
      <c r="D616" s="49" t="s">
        <v>69</v>
      </c>
      <c r="E616" s="50">
        <v>7500000</v>
      </c>
      <c r="F616" s="50">
        <v>7500000</v>
      </c>
      <c r="G616" s="50">
        <v>7500000</v>
      </c>
      <c r="H616" s="50">
        <v>0</v>
      </c>
      <c r="I616" s="50">
        <v>0</v>
      </c>
      <c r="J616" s="50">
        <v>0</v>
      </c>
      <c r="K616" s="50">
        <v>4592180</v>
      </c>
      <c r="L616" s="152">
        <f t="shared" si="0"/>
        <v>0.61229066666666665</v>
      </c>
      <c r="M616" s="50">
        <v>4592180</v>
      </c>
      <c r="N616" s="152">
        <f t="shared" si="1"/>
        <v>0.61229066666666665</v>
      </c>
      <c r="O616" s="50">
        <v>2907820</v>
      </c>
      <c r="P616" s="152">
        <f t="shared" si="2"/>
        <v>0.38770933333333335</v>
      </c>
      <c r="Q616" s="50">
        <v>2907820</v>
      </c>
    </row>
    <row r="617" spans="1:17" hidden="1" x14ac:dyDescent="0.25">
      <c r="A617" s="49" t="s">
        <v>714</v>
      </c>
      <c r="B617" s="49" t="s">
        <v>230</v>
      </c>
      <c r="C617" s="49" t="s">
        <v>231</v>
      </c>
      <c r="D617" s="49" t="s">
        <v>85</v>
      </c>
      <c r="E617" s="50">
        <v>5038000</v>
      </c>
      <c r="F617" s="50">
        <v>729000</v>
      </c>
      <c r="G617" s="50">
        <v>75000</v>
      </c>
      <c r="H617" s="50">
        <v>0</v>
      </c>
      <c r="I617" s="50">
        <v>0</v>
      </c>
      <c r="J617" s="50">
        <v>0</v>
      </c>
      <c r="K617" s="50">
        <v>75000</v>
      </c>
      <c r="L617" s="152">
        <f t="shared" si="0"/>
        <v>0.102880658436214</v>
      </c>
      <c r="M617" s="50">
        <v>75000</v>
      </c>
      <c r="N617" s="152">
        <f t="shared" si="1"/>
        <v>0.102880658436214</v>
      </c>
      <c r="O617" s="50">
        <v>654000</v>
      </c>
      <c r="P617" s="152">
        <f t="shared" si="2"/>
        <v>0.89711934156378603</v>
      </c>
      <c r="Q617" s="50">
        <v>0</v>
      </c>
    </row>
    <row r="618" spans="1:17" hidden="1" x14ac:dyDescent="0.25">
      <c r="A618" s="49" t="s">
        <v>714</v>
      </c>
      <c r="B618" s="49" t="s">
        <v>232</v>
      </c>
      <c r="C618" s="49" t="s">
        <v>233</v>
      </c>
      <c r="D618" s="49" t="s">
        <v>85</v>
      </c>
      <c r="E618" s="50">
        <v>4954000</v>
      </c>
      <c r="F618" s="50">
        <v>654000</v>
      </c>
      <c r="G618" s="50">
        <v>0</v>
      </c>
      <c r="H618" s="50">
        <v>0</v>
      </c>
      <c r="I618" s="50">
        <v>0</v>
      </c>
      <c r="J618" s="50">
        <v>0</v>
      </c>
      <c r="K618" s="50">
        <v>0</v>
      </c>
      <c r="L618" s="152">
        <f t="shared" si="0"/>
        <v>0</v>
      </c>
      <c r="M618" s="50">
        <v>0</v>
      </c>
      <c r="N618" s="152">
        <f t="shared" si="1"/>
        <v>0</v>
      </c>
      <c r="O618" s="50">
        <v>654000</v>
      </c>
      <c r="P618" s="152">
        <f t="shared" si="2"/>
        <v>1</v>
      </c>
      <c r="Q618" s="50">
        <v>0</v>
      </c>
    </row>
    <row r="619" spans="1:17" hidden="1" x14ac:dyDescent="0.25">
      <c r="A619" s="49" t="s">
        <v>714</v>
      </c>
      <c r="B619" s="49" t="s">
        <v>234</v>
      </c>
      <c r="C619" s="49" t="s">
        <v>235</v>
      </c>
      <c r="D619" s="49" t="s">
        <v>85</v>
      </c>
      <c r="E619" s="50">
        <v>3565000</v>
      </c>
      <c r="F619" s="50">
        <v>565000</v>
      </c>
      <c r="G619" s="50">
        <v>0</v>
      </c>
      <c r="H619" s="50">
        <v>0</v>
      </c>
      <c r="I619" s="50">
        <v>0</v>
      </c>
      <c r="J619" s="50">
        <v>0</v>
      </c>
      <c r="K619" s="50">
        <v>0</v>
      </c>
      <c r="L619" s="152">
        <f t="shared" si="0"/>
        <v>0</v>
      </c>
      <c r="M619" s="50">
        <v>0</v>
      </c>
      <c r="N619" s="152">
        <f t="shared" si="1"/>
        <v>0</v>
      </c>
      <c r="O619" s="50">
        <v>565000</v>
      </c>
      <c r="P619" s="152">
        <f t="shared" si="2"/>
        <v>1</v>
      </c>
      <c r="Q619" s="50">
        <v>0</v>
      </c>
    </row>
    <row r="620" spans="1:17" hidden="1" x14ac:dyDescent="0.25">
      <c r="A620" s="49" t="s">
        <v>714</v>
      </c>
      <c r="B620" s="49" t="s">
        <v>242</v>
      </c>
      <c r="C620" s="49" t="s">
        <v>243</v>
      </c>
      <c r="D620" s="49" t="s">
        <v>85</v>
      </c>
      <c r="E620" s="50">
        <v>1389000</v>
      </c>
      <c r="F620" s="50">
        <v>89000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152">
        <f t="shared" si="0"/>
        <v>0</v>
      </c>
      <c r="M620" s="50">
        <v>0</v>
      </c>
      <c r="N620" s="152">
        <f t="shared" si="1"/>
        <v>0</v>
      </c>
      <c r="O620" s="50">
        <v>89000</v>
      </c>
      <c r="P620" s="152">
        <f t="shared" si="2"/>
        <v>1</v>
      </c>
      <c r="Q620" s="50">
        <v>0</v>
      </c>
    </row>
    <row r="621" spans="1:17" hidden="1" x14ac:dyDescent="0.25">
      <c r="A621" s="49" t="s">
        <v>714</v>
      </c>
      <c r="B621" s="49" t="s">
        <v>244</v>
      </c>
      <c r="C621" s="49" t="s">
        <v>245</v>
      </c>
      <c r="D621" s="49" t="s">
        <v>85</v>
      </c>
      <c r="E621" s="50">
        <v>84000</v>
      </c>
      <c r="F621" s="50">
        <v>75000</v>
      </c>
      <c r="G621" s="50">
        <v>75000</v>
      </c>
      <c r="H621" s="50">
        <v>0</v>
      </c>
      <c r="I621" s="50">
        <v>0</v>
      </c>
      <c r="J621" s="50">
        <v>0</v>
      </c>
      <c r="K621" s="50">
        <v>75000</v>
      </c>
      <c r="L621" s="152">
        <f t="shared" si="0"/>
        <v>1</v>
      </c>
      <c r="M621" s="50">
        <v>75000</v>
      </c>
      <c r="N621" s="152">
        <f t="shared" si="1"/>
        <v>1</v>
      </c>
      <c r="O621" s="50">
        <v>0</v>
      </c>
      <c r="P621" s="152">
        <f t="shared" si="2"/>
        <v>0</v>
      </c>
      <c r="Q621" s="50">
        <v>0</v>
      </c>
    </row>
    <row r="622" spans="1:17" hidden="1" x14ac:dyDescent="0.25">
      <c r="A622" s="49" t="s">
        <v>714</v>
      </c>
      <c r="B622" s="49" t="s">
        <v>611</v>
      </c>
      <c r="C622" s="49" t="s">
        <v>612</v>
      </c>
      <c r="D622" s="49" t="s">
        <v>85</v>
      </c>
      <c r="E622" s="50">
        <v>84000</v>
      </c>
      <c r="F622" s="50">
        <v>75000</v>
      </c>
      <c r="G622" s="50">
        <v>75000</v>
      </c>
      <c r="H622" s="50">
        <v>0</v>
      </c>
      <c r="I622" s="50">
        <v>0</v>
      </c>
      <c r="J622" s="50">
        <v>0</v>
      </c>
      <c r="K622" s="50">
        <v>75000</v>
      </c>
      <c r="L622" s="152">
        <f t="shared" si="0"/>
        <v>1</v>
      </c>
      <c r="M622" s="50">
        <v>75000</v>
      </c>
      <c r="N622" s="152">
        <f t="shared" si="1"/>
        <v>1</v>
      </c>
      <c r="O622" s="50">
        <v>0</v>
      </c>
      <c r="P622" s="152">
        <f t="shared" si="2"/>
        <v>0</v>
      </c>
      <c r="Q622" s="50">
        <v>0</v>
      </c>
    </row>
    <row r="623" spans="1:17" x14ac:dyDescent="0.25">
      <c r="A623" s="49">
        <v>214789005</v>
      </c>
      <c r="B623" s="49"/>
      <c r="C623" s="49"/>
      <c r="D623" s="49" t="s">
        <v>69</v>
      </c>
      <c r="E623" s="50">
        <v>1188120522</v>
      </c>
      <c r="F623" s="50">
        <v>1159548072</v>
      </c>
      <c r="G623" s="50">
        <v>1150955337.8599999</v>
      </c>
      <c r="H623" s="50">
        <v>0</v>
      </c>
      <c r="I623" s="50">
        <v>57315983.740000002</v>
      </c>
      <c r="J623" s="50">
        <v>0</v>
      </c>
      <c r="K623" s="50">
        <v>811101553.25999999</v>
      </c>
      <c r="L623" s="152">
        <f t="shared" si="0"/>
        <v>0.69949799654360512</v>
      </c>
      <c r="M623" s="50">
        <v>811082043.25999999</v>
      </c>
      <c r="N623" s="152">
        <f t="shared" si="1"/>
        <v>0.69948117102298113</v>
      </c>
      <c r="O623" s="50">
        <v>291130535</v>
      </c>
      <c r="P623" s="152">
        <f t="shared" si="2"/>
        <v>0.25107241521936663</v>
      </c>
      <c r="Q623" s="50">
        <v>282537800.86000001</v>
      </c>
    </row>
    <row r="624" spans="1:17" hidden="1" x14ac:dyDescent="0.25">
      <c r="A624" s="49" t="s">
        <v>715</v>
      </c>
      <c r="B624" s="49" t="s">
        <v>71</v>
      </c>
      <c r="C624" s="49" t="s">
        <v>72</v>
      </c>
      <c r="D624" s="49" t="s">
        <v>69</v>
      </c>
      <c r="E624" s="50">
        <v>1139557000</v>
      </c>
      <c r="F624" s="50">
        <v>1115820185</v>
      </c>
      <c r="G624" s="50">
        <v>1110120185</v>
      </c>
      <c r="H624" s="50">
        <v>0</v>
      </c>
      <c r="I624" s="50">
        <v>48402694</v>
      </c>
      <c r="J624" s="50">
        <v>0</v>
      </c>
      <c r="K624" s="50">
        <v>787298385.60000002</v>
      </c>
      <c r="L624" s="152">
        <f t="shared" si="0"/>
        <v>0.70557818919542137</v>
      </c>
      <c r="M624" s="50">
        <v>787298385.60000002</v>
      </c>
      <c r="N624" s="152">
        <f t="shared" si="1"/>
        <v>0.70557818919542137</v>
      </c>
      <c r="O624" s="50">
        <v>280119105.39999998</v>
      </c>
      <c r="P624" s="152">
        <f t="shared" si="2"/>
        <v>0.25104323184474386</v>
      </c>
      <c r="Q624" s="50">
        <v>274419105.39999998</v>
      </c>
    </row>
    <row r="625" spans="1:17" hidden="1" x14ac:dyDescent="0.25">
      <c r="A625" s="49" t="s">
        <v>715</v>
      </c>
      <c r="B625" s="49" t="s">
        <v>73</v>
      </c>
      <c r="C625" s="49" t="s">
        <v>74</v>
      </c>
      <c r="D625" s="49" t="s">
        <v>69</v>
      </c>
      <c r="E625" s="50">
        <v>400867000</v>
      </c>
      <c r="F625" s="50">
        <v>388692700</v>
      </c>
      <c r="G625" s="50">
        <v>388692700</v>
      </c>
      <c r="H625" s="50">
        <v>0</v>
      </c>
      <c r="I625" s="50">
        <v>0</v>
      </c>
      <c r="J625" s="50">
        <v>0</v>
      </c>
      <c r="K625" s="50">
        <v>307339008.31</v>
      </c>
      <c r="L625" s="152">
        <f t="shared" si="0"/>
        <v>0.79069920353533785</v>
      </c>
      <c r="M625" s="50">
        <v>307339008.31</v>
      </c>
      <c r="N625" s="152">
        <f t="shared" si="1"/>
        <v>0.79069920353533785</v>
      </c>
      <c r="O625" s="50">
        <v>81353691.689999998</v>
      </c>
      <c r="P625" s="152">
        <f t="shared" si="2"/>
        <v>0.20930079646466218</v>
      </c>
      <c r="Q625" s="50">
        <v>81353691.689999998</v>
      </c>
    </row>
    <row r="626" spans="1:17" hidden="1" x14ac:dyDescent="0.25">
      <c r="A626" s="49" t="s">
        <v>715</v>
      </c>
      <c r="B626" s="49" t="s">
        <v>75</v>
      </c>
      <c r="C626" s="49" t="s">
        <v>76</v>
      </c>
      <c r="D626" s="49" t="s">
        <v>69</v>
      </c>
      <c r="E626" s="50">
        <v>400867000</v>
      </c>
      <c r="F626" s="50">
        <v>388692700</v>
      </c>
      <c r="G626" s="50">
        <v>388692700</v>
      </c>
      <c r="H626" s="50">
        <v>0</v>
      </c>
      <c r="I626" s="50">
        <v>0</v>
      </c>
      <c r="J626" s="50">
        <v>0</v>
      </c>
      <c r="K626" s="50">
        <v>307339008.31</v>
      </c>
      <c r="L626" s="152">
        <f t="shared" si="0"/>
        <v>0.79069920353533785</v>
      </c>
      <c r="M626" s="50">
        <v>307339008.31</v>
      </c>
      <c r="N626" s="152">
        <f t="shared" si="1"/>
        <v>0.79069920353533785</v>
      </c>
      <c r="O626" s="50">
        <v>81353691.689999998</v>
      </c>
      <c r="P626" s="152">
        <f t="shared" si="2"/>
        <v>0.20930079646466218</v>
      </c>
      <c r="Q626" s="50">
        <v>81353691.689999998</v>
      </c>
    </row>
    <row r="627" spans="1:17" hidden="1" x14ac:dyDescent="0.25">
      <c r="A627" s="49" t="s">
        <v>715</v>
      </c>
      <c r="B627" s="49" t="s">
        <v>77</v>
      </c>
      <c r="C627" s="49" t="s">
        <v>78</v>
      </c>
      <c r="D627" s="49" t="s">
        <v>69</v>
      </c>
      <c r="E627" s="50">
        <v>564855020</v>
      </c>
      <c r="F627" s="50">
        <v>556913468</v>
      </c>
      <c r="G627" s="50">
        <v>553413468</v>
      </c>
      <c r="H627" s="50">
        <v>0</v>
      </c>
      <c r="I627" s="50">
        <v>0</v>
      </c>
      <c r="J627" s="50">
        <v>0</v>
      </c>
      <c r="K627" s="50">
        <v>361561850.29000002</v>
      </c>
      <c r="L627" s="152">
        <f t="shared" si="0"/>
        <v>0.6492244685488554</v>
      </c>
      <c r="M627" s="50">
        <v>361561850.29000002</v>
      </c>
      <c r="N627" s="152">
        <f t="shared" si="1"/>
        <v>0.6492244685488554</v>
      </c>
      <c r="O627" s="50">
        <v>195351617.71000001</v>
      </c>
      <c r="P627" s="152">
        <f t="shared" si="2"/>
        <v>0.3507755314511446</v>
      </c>
      <c r="Q627" s="50">
        <v>191851617.71000001</v>
      </c>
    </row>
    <row r="628" spans="1:17" hidden="1" x14ac:dyDescent="0.25">
      <c r="A628" s="49" t="s">
        <v>715</v>
      </c>
      <c r="B628" s="49" t="s">
        <v>79</v>
      </c>
      <c r="C628" s="49" t="s">
        <v>80</v>
      </c>
      <c r="D628" s="49" t="s">
        <v>69</v>
      </c>
      <c r="E628" s="50">
        <v>153608900</v>
      </c>
      <c r="F628" s="50">
        <v>153608900</v>
      </c>
      <c r="G628" s="50">
        <v>153608900</v>
      </c>
      <c r="H628" s="50">
        <v>0</v>
      </c>
      <c r="I628" s="50">
        <v>0</v>
      </c>
      <c r="J628" s="50">
        <v>0</v>
      </c>
      <c r="K628" s="50">
        <v>100372198.23999999</v>
      </c>
      <c r="L628" s="152">
        <f t="shared" si="0"/>
        <v>0.65342697096327096</v>
      </c>
      <c r="M628" s="50">
        <v>100372198.23999999</v>
      </c>
      <c r="N628" s="152">
        <f t="shared" si="1"/>
        <v>0.65342697096327096</v>
      </c>
      <c r="O628" s="50">
        <v>53236701.759999998</v>
      </c>
      <c r="P628" s="152">
        <f t="shared" si="2"/>
        <v>0.34657302903672899</v>
      </c>
      <c r="Q628" s="50">
        <v>53236701.759999998</v>
      </c>
    </row>
    <row r="629" spans="1:17" hidden="1" x14ac:dyDescent="0.25">
      <c r="A629" s="49" t="s">
        <v>715</v>
      </c>
      <c r="B629" s="49" t="s">
        <v>81</v>
      </c>
      <c r="C629" s="49" t="s">
        <v>82</v>
      </c>
      <c r="D629" s="49" t="s">
        <v>69</v>
      </c>
      <c r="E629" s="50">
        <v>194052109</v>
      </c>
      <c r="F629" s="50">
        <v>188799681</v>
      </c>
      <c r="G629" s="50">
        <v>188799681</v>
      </c>
      <c r="H629" s="50">
        <v>0</v>
      </c>
      <c r="I629" s="50">
        <v>0</v>
      </c>
      <c r="J629" s="50">
        <v>0</v>
      </c>
      <c r="K629" s="50">
        <v>147198233.88999999</v>
      </c>
      <c r="L629" s="152">
        <f t="shared" si="0"/>
        <v>0.7796529798691767</v>
      </c>
      <c r="M629" s="50">
        <v>147198233.88999999</v>
      </c>
      <c r="N629" s="152">
        <f t="shared" si="1"/>
        <v>0.7796529798691767</v>
      </c>
      <c r="O629" s="50">
        <v>41601447.109999999</v>
      </c>
      <c r="P629" s="152">
        <f t="shared" si="2"/>
        <v>0.22034702013082322</v>
      </c>
      <c r="Q629" s="50">
        <v>41601447.109999999</v>
      </c>
    </row>
    <row r="630" spans="1:17" hidden="1" x14ac:dyDescent="0.25">
      <c r="A630" s="49" t="s">
        <v>715</v>
      </c>
      <c r="B630" s="49" t="s">
        <v>86</v>
      </c>
      <c r="C630" s="49" t="s">
        <v>87</v>
      </c>
      <c r="D630" s="49" t="s">
        <v>69</v>
      </c>
      <c r="E630" s="50">
        <v>68267000</v>
      </c>
      <c r="F630" s="50">
        <v>68267000</v>
      </c>
      <c r="G630" s="50">
        <v>64767000</v>
      </c>
      <c r="H630" s="50">
        <v>0</v>
      </c>
      <c r="I630" s="50">
        <v>0</v>
      </c>
      <c r="J630" s="50">
        <v>0</v>
      </c>
      <c r="K630" s="50">
        <v>61310698.509999998</v>
      </c>
      <c r="L630" s="152">
        <f t="shared" si="0"/>
        <v>0.89810154994360381</v>
      </c>
      <c r="M630" s="50">
        <v>61310698.509999998</v>
      </c>
      <c r="N630" s="152">
        <f t="shared" si="1"/>
        <v>0.89810154994360381</v>
      </c>
      <c r="O630" s="50">
        <v>6956301.4900000002</v>
      </c>
      <c r="P630" s="152">
        <f t="shared" si="2"/>
        <v>0.10189845005639621</v>
      </c>
      <c r="Q630" s="50">
        <v>3456301.49</v>
      </c>
    </row>
    <row r="631" spans="1:17" hidden="1" x14ac:dyDescent="0.25">
      <c r="A631" s="49" t="s">
        <v>715</v>
      </c>
      <c r="B631" s="49" t="s">
        <v>88</v>
      </c>
      <c r="C631" s="49" t="s">
        <v>89</v>
      </c>
      <c r="D631" s="49" t="s">
        <v>69</v>
      </c>
      <c r="E631" s="50">
        <v>74668200</v>
      </c>
      <c r="F631" s="50">
        <v>73525878</v>
      </c>
      <c r="G631" s="50">
        <v>73525878</v>
      </c>
      <c r="H631" s="50">
        <v>0</v>
      </c>
      <c r="I631" s="50">
        <v>0</v>
      </c>
      <c r="J631" s="50">
        <v>0</v>
      </c>
      <c r="K631" s="50">
        <v>52680719.649999999</v>
      </c>
      <c r="L631" s="152">
        <f t="shared" si="0"/>
        <v>0.71649222128296108</v>
      </c>
      <c r="M631" s="50">
        <v>52680719.649999999</v>
      </c>
      <c r="N631" s="152">
        <f t="shared" si="1"/>
        <v>0.71649222128296108</v>
      </c>
      <c r="O631" s="50">
        <v>20845158.350000001</v>
      </c>
      <c r="P631" s="152">
        <f t="shared" si="2"/>
        <v>0.28350777871703892</v>
      </c>
      <c r="Q631" s="50">
        <v>20845158.350000001</v>
      </c>
    </row>
    <row r="632" spans="1:17" hidden="1" x14ac:dyDescent="0.25">
      <c r="A632" s="49" t="s">
        <v>715</v>
      </c>
      <c r="B632" s="49" t="s">
        <v>83</v>
      </c>
      <c r="C632" s="49" t="s">
        <v>84</v>
      </c>
      <c r="D632" s="49" t="s">
        <v>85</v>
      </c>
      <c r="E632" s="50">
        <v>74258811</v>
      </c>
      <c r="F632" s="50">
        <v>72712009</v>
      </c>
      <c r="G632" s="50">
        <v>72712009</v>
      </c>
      <c r="H632" s="50">
        <v>0</v>
      </c>
      <c r="I632" s="50">
        <v>0</v>
      </c>
      <c r="J632" s="50">
        <v>0</v>
      </c>
      <c r="K632" s="50">
        <v>0</v>
      </c>
      <c r="L632" s="152">
        <f t="shared" si="0"/>
        <v>0</v>
      </c>
      <c r="M632" s="50">
        <v>0</v>
      </c>
      <c r="N632" s="152">
        <f t="shared" si="1"/>
        <v>0</v>
      </c>
      <c r="O632" s="50">
        <v>72712009</v>
      </c>
      <c r="P632" s="152">
        <f t="shared" si="2"/>
        <v>1</v>
      </c>
      <c r="Q632" s="50">
        <v>72712009</v>
      </c>
    </row>
    <row r="633" spans="1:17" hidden="1" x14ac:dyDescent="0.25">
      <c r="A633" s="49" t="s">
        <v>715</v>
      </c>
      <c r="B633" s="49" t="s">
        <v>90</v>
      </c>
      <c r="C633" s="49" t="s">
        <v>91</v>
      </c>
      <c r="D633" s="49" t="s">
        <v>69</v>
      </c>
      <c r="E633" s="50">
        <v>86917540</v>
      </c>
      <c r="F633" s="50">
        <v>85107058</v>
      </c>
      <c r="G633" s="50">
        <v>85107058</v>
      </c>
      <c r="H633" s="50">
        <v>0</v>
      </c>
      <c r="I633" s="50">
        <v>25246044</v>
      </c>
      <c r="J633" s="50">
        <v>0</v>
      </c>
      <c r="K633" s="50">
        <v>59254116</v>
      </c>
      <c r="L633" s="152">
        <f t="shared" si="0"/>
        <v>0.69623034084905155</v>
      </c>
      <c r="M633" s="50">
        <v>59254116</v>
      </c>
      <c r="N633" s="152">
        <f t="shared" si="1"/>
        <v>0.69623034084905155</v>
      </c>
      <c r="O633" s="50">
        <v>606898</v>
      </c>
      <c r="P633" s="152">
        <f t="shared" si="2"/>
        <v>7.1309949405136295E-3</v>
      </c>
      <c r="Q633" s="50">
        <v>606898</v>
      </c>
    </row>
    <row r="634" spans="1:17" hidden="1" x14ac:dyDescent="0.25">
      <c r="A634" s="49" t="s">
        <v>715</v>
      </c>
      <c r="B634" s="49" t="s">
        <v>425</v>
      </c>
      <c r="C634" s="49" t="s">
        <v>697</v>
      </c>
      <c r="D634" s="49" t="s">
        <v>69</v>
      </c>
      <c r="E634" s="50">
        <v>82460320</v>
      </c>
      <c r="F634" s="50">
        <v>80742683</v>
      </c>
      <c r="G634" s="50">
        <v>80742683</v>
      </c>
      <c r="H634" s="50">
        <v>0</v>
      </c>
      <c r="I634" s="50">
        <v>23951466</v>
      </c>
      <c r="J634" s="50">
        <v>0</v>
      </c>
      <c r="K634" s="50">
        <v>56215442</v>
      </c>
      <c r="L634" s="152">
        <f t="shared" si="0"/>
        <v>0.69622955184682178</v>
      </c>
      <c r="M634" s="50">
        <v>56215442</v>
      </c>
      <c r="N634" s="152">
        <f t="shared" si="1"/>
        <v>0.69622955184682178</v>
      </c>
      <c r="O634" s="50">
        <v>575775</v>
      </c>
      <c r="P634" s="152">
        <f t="shared" si="2"/>
        <v>7.1309867173970426E-3</v>
      </c>
      <c r="Q634" s="50">
        <v>575775</v>
      </c>
    </row>
    <row r="635" spans="1:17" hidden="1" x14ac:dyDescent="0.25">
      <c r="A635" s="49" t="s">
        <v>715</v>
      </c>
      <c r="B635" s="49" t="s">
        <v>442</v>
      </c>
      <c r="C635" s="49" t="s">
        <v>95</v>
      </c>
      <c r="D635" s="49" t="s">
        <v>69</v>
      </c>
      <c r="E635" s="50">
        <v>4457220</v>
      </c>
      <c r="F635" s="50">
        <v>4364375</v>
      </c>
      <c r="G635" s="50">
        <v>4364375</v>
      </c>
      <c r="H635" s="50">
        <v>0</v>
      </c>
      <c r="I635" s="50">
        <v>1294578</v>
      </c>
      <c r="J635" s="50">
        <v>0</v>
      </c>
      <c r="K635" s="50">
        <v>3038674</v>
      </c>
      <c r="L635" s="152">
        <f t="shared" si="0"/>
        <v>0.69624493770585705</v>
      </c>
      <c r="M635" s="50">
        <v>3038674</v>
      </c>
      <c r="N635" s="152">
        <f t="shared" si="1"/>
        <v>0.69624493770585705</v>
      </c>
      <c r="O635" s="50">
        <v>31123</v>
      </c>
      <c r="P635" s="152">
        <f t="shared" si="2"/>
        <v>7.1311470714592578E-3</v>
      </c>
      <c r="Q635" s="50">
        <v>31123</v>
      </c>
    </row>
    <row r="636" spans="1:17" hidden="1" x14ac:dyDescent="0.25">
      <c r="A636" s="49" t="s">
        <v>715</v>
      </c>
      <c r="B636" s="49" t="s">
        <v>96</v>
      </c>
      <c r="C636" s="49" t="s">
        <v>97</v>
      </c>
      <c r="D636" s="49" t="s">
        <v>69</v>
      </c>
      <c r="E636" s="50">
        <v>86917440</v>
      </c>
      <c r="F636" s="50">
        <v>85106959</v>
      </c>
      <c r="G636" s="50">
        <v>82906959</v>
      </c>
      <c r="H636" s="50">
        <v>0</v>
      </c>
      <c r="I636" s="50">
        <v>23156650</v>
      </c>
      <c r="J636" s="50">
        <v>0</v>
      </c>
      <c r="K636" s="50">
        <v>59143411</v>
      </c>
      <c r="L636" s="152">
        <f t="shared" si="0"/>
        <v>0.69493037578748407</v>
      </c>
      <c r="M636" s="50">
        <v>59143411</v>
      </c>
      <c r="N636" s="152">
        <f t="shared" si="1"/>
        <v>0.69493037578748407</v>
      </c>
      <c r="O636" s="50">
        <v>2806898</v>
      </c>
      <c r="P636" s="152">
        <f t="shared" si="2"/>
        <v>3.2980828277509013E-2</v>
      </c>
      <c r="Q636" s="50">
        <v>606898</v>
      </c>
    </row>
    <row r="637" spans="1:17" hidden="1" x14ac:dyDescent="0.25">
      <c r="A637" s="49" t="s">
        <v>715</v>
      </c>
      <c r="B637" s="49" t="s">
        <v>460</v>
      </c>
      <c r="C637" s="49" t="s">
        <v>698</v>
      </c>
      <c r="D637" s="49" t="s">
        <v>69</v>
      </c>
      <c r="E637" s="50">
        <v>46801760</v>
      </c>
      <c r="F637" s="50">
        <v>45826885</v>
      </c>
      <c r="G637" s="50">
        <v>45826885</v>
      </c>
      <c r="H637" s="50">
        <v>0</v>
      </c>
      <c r="I637" s="50">
        <v>13704736</v>
      </c>
      <c r="J637" s="50">
        <v>0</v>
      </c>
      <c r="K637" s="50">
        <v>31795358</v>
      </c>
      <c r="L637" s="152">
        <f t="shared" si="0"/>
        <v>0.69381451521306758</v>
      </c>
      <c r="M637" s="50">
        <v>31795358</v>
      </c>
      <c r="N637" s="152">
        <f t="shared" si="1"/>
        <v>0.69381451521306758</v>
      </c>
      <c r="O637" s="50">
        <v>326791</v>
      </c>
      <c r="P637" s="152">
        <f t="shared" si="2"/>
        <v>7.1309887198311647E-3</v>
      </c>
      <c r="Q637" s="50">
        <v>326791</v>
      </c>
    </row>
    <row r="638" spans="1:17" hidden="1" x14ac:dyDescent="0.25">
      <c r="A638" s="49" t="s">
        <v>715</v>
      </c>
      <c r="B638" s="49" t="s">
        <v>477</v>
      </c>
      <c r="C638" s="49" t="s">
        <v>699</v>
      </c>
      <c r="D638" s="49" t="s">
        <v>69</v>
      </c>
      <c r="E638" s="50">
        <v>13371860</v>
      </c>
      <c r="F638" s="50">
        <v>13093325</v>
      </c>
      <c r="G638" s="50">
        <v>13093325</v>
      </c>
      <c r="H638" s="50">
        <v>0</v>
      </c>
      <c r="I638" s="50">
        <v>3883937</v>
      </c>
      <c r="J638" s="50">
        <v>0</v>
      </c>
      <c r="K638" s="50">
        <v>9116019</v>
      </c>
      <c r="L638" s="152">
        <f t="shared" si="0"/>
        <v>0.69623407346873312</v>
      </c>
      <c r="M638" s="50">
        <v>9116019</v>
      </c>
      <c r="N638" s="152">
        <f t="shared" si="1"/>
        <v>0.69623407346873312</v>
      </c>
      <c r="O638" s="50">
        <v>93369</v>
      </c>
      <c r="P638" s="152">
        <f t="shared" si="2"/>
        <v>7.1310381434815072E-3</v>
      </c>
      <c r="Q638" s="50">
        <v>93369</v>
      </c>
    </row>
    <row r="639" spans="1:17" hidden="1" x14ac:dyDescent="0.25">
      <c r="A639" s="49" t="s">
        <v>715</v>
      </c>
      <c r="B639" s="49" t="s">
        <v>494</v>
      </c>
      <c r="C639" s="49" t="s">
        <v>700</v>
      </c>
      <c r="D639" s="49" t="s">
        <v>69</v>
      </c>
      <c r="E639" s="50">
        <v>26743820</v>
      </c>
      <c r="F639" s="50">
        <v>26186749</v>
      </c>
      <c r="G639" s="50">
        <v>23986749</v>
      </c>
      <c r="H639" s="50">
        <v>0</v>
      </c>
      <c r="I639" s="50">
        <v>5567977</v>
      </c>
      <c r="J639" s="50">
        <v>0</v>
      </c>
      <c r="K639" s="50">
        <v>18232034</v>
      </c>
      <c r="L639" s="152">
        <f t="shared" si="0"/>
        <v>0.69623128858034267</v>
      </c>
      <c r="M639" s="50">
        <v>18232034</v>
      </c>
      <c r="N639" s="152">
        <f t="shared" si="1"/>
        <v>0.69623128858034267</v>
      </c>
      <c r="O639" s="50">
        <v>2386738</v>
      </c>
      <c r="P639" s="152">
        <f t="shared" si="2"/>
        <v>9.1142967002127678E-2</v>
      </c>
      <c r="Q639" s="50">
        <v>186738</v>
      </c>
    </row>
    <row r="640" spans="1:17" hidden="1" x14ac:dyDescent="0.25">
      <c r="A640" s="49" t="s">
        <v>715</v>
      </c>
      <c r="B640" s="49" t="s">
        <v>104</v>
      </c>
      <c r="C640" s="49" t="s">
        <v>105</v>
      </c>
      <c r="D640" s="49" t="s">
        <v>69</v>
      </c>
      <c r="E640" s="50">
        <v>30265400</v>
      </c>
      <c r="F640" s="50">
        <v>25738010</v>
      </c>
      <c r="G640" s="50">
        <v>22845275.859999999</v>
      </c>
      <c r="H640" s="50">
        <v>0</v>
      </c>
      <c r="I640" s="50">
        <v>4504431.74</v>
      </c>
      <c r="J640" s="50">
        <v>0</v>
      </c>
      <c r="K640" s="50">
        <v>10378103.66</v>
      </c>
      <c r="L640" s="152">
        <f t="shared" si="0"/>
        <v>0.40322090402482552</v>
      </c>
      <c r="M640" s="50">
        <v>10358593.66</v>
      </c>
      <c r="N640" s="152">
        <f t="shared" si="1"/>
        <v>0.40246288116291817</v>
      </c>
      <c r="O640" s="50">
        <v>10855474.6</v>
      </c>
      <c r="P640" s="152">
        <f t="shared" si="2"/>
        <v>0.42176821751176563</v>
      </c>
      <c r="Q640" s="50">
        <v>7962740.46</v>
      </c>
    </row>
    <row r="641" spans="1:17" hidden="1" x14ac:dyDescent="0.25">
      <c r="A641" s="49" t="s">
        <v>715</v>
      </c>
      <c r="B641" s="49" t="s">
        <v>112</v>
      </c>
      <c r="C641" s="49" t="s">
        <v>113</v>
      </c>
      <c r="D641" s="49" t="s">
        <v>69</v>
      </c>
      <c r="E641" s="50">
        <v>30265400</v>
      </c>
      <c r="F641" s="50">
        <v>25738010</v>
      </c>
      <c r="G641" s="50">
        <v>22845275.859999999</v>
      </c>
      <c r="H641" s="50">
        <v>0</v>
      </c>
      <c r="I641" s="50">
        <v>4504431.74</v>
      </c>
      <c r="J641" s="50">
        <v>0</v>
      </c>
      <c r="K641" s="50">
        <v>10378103.66</v>
      </c>
      <c r="L641" s="152">
        <f t="shared" si="0"/>
        <v>0.40322090402482552</v>
      </c>
      <c r="M641" s="50">
        <v>10358593.66</v>
      </c>
      <c r="N641" s="152">
        <f t="shared" si="1"/>
        <v>0.40246288116291817</v>
      </c>
      <c r="O641" s="50">
        <v>10855474.6</v>
      </c>
      <c r="P641" s="152">
        <f t="shared" si="2"/>
        <v>0.42176821751176563</v>
      </c>
      <c r="Q641" s="50">
        <v>7962740.46</v>
      </c>
    </row>
    <row r="642" spans="1:17" hidden="1" x14ac:dyDescent="0.25">
      <c r="A642" s="49" t="s">
        <v>715</v>
      </c>
      <c r="B642" s="49" t="s">
        <v>114</v>
      </c>
      <c r="C642" s="49" t="s">
        <v>115</v>
      </c>
      <c r="D642" s="49" t="s">
        <v>69</v>
      </c>
      <c r="E642" s="50">
        <v>3196000</v>
      </c>
      <c r="F642" s="50">
        <v>3196000</v>
      </c>
      <c r="G642" s="50">
        <v>3196000</v>
      </c>
      <c r="H642" s="50">
        <v>0</v>
      </c>
      <c r="I642" s="50">
        <v>729064</v>
      </c>
      <c r="J642" s="50">
        <v>0</v>
      </c>
      <c r="K642" s="50">
        <v>2342936</v>
      </c>
      <c r="L642" s="152">
        <f t="shared" si="0"/>
        <v>0.73308385481852312</v>
      </c>
      <c r="M642" s="50">
        <v>2336834</v>
      </c>
      <c r="N642" s="152">
        <f t="shared" si="1"/>
        <v>0.73117459324155198</v>
      </c>
      <c r="O642" s="50">
        <v>124000</v>
      </c>
      <c r="P642" s="152">
        <f t="shared" si="2"/>
        <v>3.8798498122653319E-2</v>
      </c>
      <c r="Q642" s="50">
        <v>124000</v>
      </c>
    </row>
    <row r="643" spans="1:17" hidden="1" x14ac:dyDescent="0.25">
      <c r="A643" s="49" t="s">
        <v>715</v>
      </c>
      <c r="B643" s="49" t="s">
        <v>116</v>
      </c>
      <c r="C643" s="49" t="s">
        <v>117</v>
      </c>
      <c r="D643" s="49" t="s">
        <v>69</v>
      </c>
      <c r="E643" s="50">
        <v>21749400</v>
      </c>
      <c r="F643" s="50">
        <v>17222010</v>
      </c>
      <c r="G643" s="50">
        <v>14529275.859999999</v>
      </c>
      <c r="H643" s="50">
        <v>0</v>
      </c>
      <c r="I643" s="50">
        <v>2378012.38</v>
      </c>
      <c r="J643" s="50">
        <v>0</v>
      </c>
      <c r="K643" s="50">
        <v>6713913.0199999996</v>
      </c>
      <c r="L643" s="152">
        <f t="shared" si="0"/>
        <v>0.38984491473411059</v>
      </c>
      <c r="M643" s="50">
        <v>6713913.0199999996</v>
      </c>
      <c r="N643" s="152">
        <f t="shared" si="1"/>
        <v>0.38984491473411059</v>
      </c>
      <c r="O643" s="50">
        <v>8130084.5999999996</v>
      </c>
      <c r="P643" s="152">
        <f t="shared" si="2"/>
        <v>0.4720752455723809</v>
      </c>
      <c r="Q643" s="50">
        <v>5437350.46</v>
      </c>
    </row>
    <row r="644" spans="1:17" hidden="1" x14ac:dyDescent="0.25">
      <c r="A644" s="49" t="s">
        <v>715</v>
      </c>
      <c r="B644" s="49" t="s">
        <v>120</v>
      </c>
      <c r="C644" s="49" t="s">
        <v>121</v>
      </c>
      <c r="D644" s="49" t="s">
        <v>69</v>
      </c>
      <c r="E644" s="50">
        <v>4620000</v>
      </c>
      <c r="F644" s="50">
        <v>4620000</v>
      </c>
      <c r="G644" s="50">
        <v>4620000</v>
      </c>
      <c r="H644" s="50">
        <v>0</v>
      </c>
      <c r="I644" s="50">
        <v>1261553.28</v>
      </c>
      <c r="J644" s="50">
        <v>0</v>
      </c>
      <c r="K644" s="50">
        <v>1048446.72</v>
      </c>
      <c r="L644" s="152">
        <f t="shared" si="0"/>
        <v>0.22693651948051946</v>
      </c>
      <c r="M644" s="50">
        <v>1048446.72</v>
      </c>
      <c r="N644" s="152">
        <f t="shared" si="1"/>
        <v>0.22693651948051946</v>
      </c>
      <c r="O644" s="50">
        <v>2310000</v>
      </c>
      <c r="P644" s="152">
        <f t="shared" si="2"/>
        <v>0.5</v>
      </c>
      <c r="Q644" s="50">
        <v>2310000</v>
      </c>
    </row>
    <row r="645" spans="1:17" hidden="1" x14ac:dyDescent="0.25">
      <c r="A645" s="49" t="s">
        <v>715</v>
      </c>
      <c r="B645" s="49" t="s">
        <v>122</v>
      </c>
      <c r="C645" s="49" t="s">
        <v>123</v>
      </c>
      <c r="D645" s="49" t="s">
        <v>69</v>
      </c>
      <c r="E645" s="50">
        <v>700000</v>
      </c>
      <c r="F645" s="50">
        <v>700000</v>
      </c>
      <c r="G645" s="50">
        <v>500000</v>
      </c>
      <c r="H645" s="50">
        <v>0</v>
      </c>
      <c r="I645" s="50">
        <v>135802.07999999999</v>
      </c>
      <c r="J645" s="50">
        <v>0</v>
      </c>
      <c r="K645" s="50">
        <v>272807.92</v>
      </c>
      <c r="L645" s="152">
        <f t="shared" si="0"/>
        <v>0.38972559999999995</v>
      </c>
      <c r="M645" s="50">
        <v>259399.92</v>
      </c>
      <c r="N645" s="152">
        <f t="shared" si="1"/>
        <v>0.37057131428571433</v>
      </c>
      <c r="O645" s="50">
        <v>291390</v>
      </c>
      <c r="P645" s="152">
        <f t="shared" si="2"/>
        <v>0.41627142857142857</v>
      </c>
      <c r="Q645" s="50">
        <v>91390</v>
      </c>
    </row>
    <row r="646" spans="1:17" hidden="1" x14ac:dyDescent="0.25">
      <c r="A646" s="49" t="s">
        <v>715</v>
      </c>
      <c r="B646" s="49" t="s">
        <v>140</v>
      </c>
      <c r="C646" s="49" t="s">
        <v>141</v>
      </c>
      <c r="D646" s="49" t="s">
        <v>69</v>
      </c>
      <c r="E646" s="50">
        <v>0</v>
      </c>
      <c r="F646" s="50">
        <v>0</v>
      </c>
      <c r="G646" s="50">
        <v>0</v>
      </c>
      <c r="H646" s="50">
        <v>0</v>
      </c>
      <c r="I646" s="50">
        <v>0</v>
      </c>
      <c r="J646" s="50">
        <v>0</v>
      </c>
      <c r="K646" s="50">
        <v>0</v>
      </c>
      <c r="L646" s="152" t="e">
        <f t="shared" si="0"/>
        <v>#DIV/0!</v>
      </c>
      <c r="M646" s="50">
        <v>0</v>
      </c>
      <c r="N646" s="152" t="e">
        <f t="shared" si="1"/>
        <v>#DIV/0!</v>
      </c>
      <c r="O646" s="50">
        <v>0</v>
      </c>
      <c r="P646" s="152" t="e">
        <f t="shared" si="2"/>
        <v>#DIV/0!</v>
      </c>
      <c r="Q646" s="50">
        <v>0</v>
      </c>
    </row>
    <row r="647" spans="1:17" hidden="1" x14ac:dyDescent="0.25">
      <c r="A647" s="49" t="s">
        <v>715</v>
      </c>
      <c r="B647" s="49" t="s">
        <v>144</v>
      </c>
      <c r="C647" s="49" t="s">
        <v>145</v>
      </c>
      <c r="D647" s="49" t="s">
        <v>69</v>
      </c>
      <c r="E647" s="50">
        <v>0</v>
      </c>
      <c r="F647" s="50">
        <v>0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152" t="e">
        <f t="shared" si="0"/>
        <v>#DIV/0!</v>
      </c>
      <c r="M647" s="50">
        <v>0</v>
      </c>
      <c r="N647" s="152" t="e">
        <f t="shared" si="1"/>
        <v>#DIV/0!</v>
      </c>
      <c r="O647" s="50">
        <v>0</v>
      </c>
      <c r="P647" s="152" t="e">
        <f t="shared" si="2"/>
        <v>#DIV/0!</v>
      </c>
      <c r="Q647" s="50">
        <v>0</v>
      </c>
    </row>
    <row r="648" spans="1:17" hidden="1" x14ac:dyDescent="0.25">
      <c r="A648" s="49" t="s">
        <v>715</v>
      </c>
      <c r="B648" s="49" t="s">
        <v>248</v>
      </c>
      <c r="C648" s="49" t="s">
        <v>249</v>
      </c>
      <c r="D648" s="49" t="s">
        <v>69</v>
      </c>
      <c r="E648" s="50">
        <v>18298122</v>
      </c>
      <c r="F648" s="50">
        <v>17989877</v>
      </c>
      <c r="G648" s="50">
        <v>17989877</v>
      </c>
      <c r="H648" s="50">
        <v>0</v>
      </c>
      <c r="I648" s="50">
        <v>4408858</v>
      </c>
      <c r="J648" s="50">
        <v>0</v>
      </c>
      <c r="K648" s="50">
        <v>13425064</v>
      </c>
      <c r="L648" s="152">
        <f t="shared" si="0"/>
        <v>0.74625657529509515</v>
      </c>
      <c r="M648" s="50">
        <v>13425064</v>
      </c>
      <c r="N648" s="152">
        <f t="shared" si="1"/>
        <v>0.74625657529509515</v>
      </c>
      <c r="O648" s="50">
        <v>155955</v>
      </c>
      <c r="P648" s="152">
        <f t="shared" si="2"/>
        <v>8.6690420395870403E-3</v>
      </c>
      <c r="Q648" s="50">
        <v>155955</v>
      </c>
    </row>
    <row r="649" spans="1:17" hidden="1" x14ac:dyDescent="0.25">
      <c r="A649" s="49" t="s">
        <v>715</v>
      </c>
      <c r="B649" s="49" t="s">
        <v>250</v>
      </c>
      <c r="C649" s="49" t="s">
        <v>251</v>
      </c>
      <c r="D649" s="49" t="s">
        <v>69</v>
      </c>
      <c r="E649" s="50">
        <v>14798122</v>
      </c>
      <c r="F649" s="50">
        <v>14489877</v>
      </c>
      <c r="G649" s="50">
        <v>14489877</v>
      </c>
      <c r="H649" s="50">
        <v>0</v>
      </c>
      <c r="I649" s="50">
        <v>4408858</v>
      </c>
      <c r="J649" s="50">
        <v>0</v>
      </c>
      <c r="K649" s="50">
        <v>9977690</v>
      </c>
      <c r="L649" s="152">
        <f t="shared" si="0"/>
        <v>0.68859728760982586</v>
      </c>
      <c r="M649" s="50">
        <v>9977690</v>
      </c>
      <c r="N649" s="152">
        <f t="shared" si="1"/>
        <v>0.68859728760982586</v>
      </c>
      <c r="O649" s="50">
        <v>103329</v>
      </c>
      <c r="P649" s="152">
        <f t="shared" si="2"/>
        <v>7.1311164339076171E-3</v>
      </c>
      <c r="Q649" s="50">
        <v>103329</v>
      </c>
    </row>
    <row r="650" spans="1:17" hidden="1" x14ac:dyDescent="0.25">
      <c r="A650" s="49" t="s">
        <v>715</v>
      </c>
      <c r="B650" s="49" t="s">
        <v>634</v>
      </c>
      <c r="C650" s="49" t="s">
        <v>702</v>
      </c>
      <c r="D650" s="49" t="s">
        <v>69</v>
      </c>
      <c r="E650" s="50">
        <v>12569562</v>
      </c>
      <c r="F650" s="50">
        <v>12307739</v>
      </c>
      <c r="G650" s="50">
        <v>12307739</v>
      </c>
      <c r="H650" s="50">
        <v>0</v>
      </c>
      <c r="I650" s="50">
        <v>3761617</v>
      </c>
      <c r="J650" s="50">
        <v>0</v>
      </c>
      <c r="K650" s="50">
        <v>8458355</v>
      </c>
      <c r="L650" s="152">
        <f t="shared" si="0"/>
        <v>0.68723873653804324</v>
      </c>
      <c r="M650" s="50">
        <v>8458355</v>
      </c>
      <c r="N650" s="152">
        <f t="shared" si="1"/>
        <v>0.68723873653804324</v>
      </c>
      <c r="O650" s="50">
        <v>87767</v>
      </c>
      <c r="P650" s="152">
        <f t="shared" si="2"/>
        <v>7.1310416966105638E-3</v>
      </c>
      <c r="Q650" s="50">
        <v>87767</v>
      </c>
    </row>
    <row r="651" spans="1:17" hidden="1" x14ac:dyDescent="0.25">
      <c r="A651" s="49" t="s">
        <v>715</v>
      </c>
      <c r="B651" s="49" t="s">
        <v>649</v>
      </c>
      <c r="C651" s="49" t="s">
        <v>703</v>
      </c>
      <c r="D651" s="49" t="s">
        <v>69</v>
      </c>
      <c r="E651" s="50">
        <v>2228560</v>
      </c>
      <c r="F651" s="50">
        <v>2182138</v>
      </c>
      <c r="G651" s="50">
        <v>2182138</v>
      </c>
      <c r="H651" s="50">
        <v>0</v>
      </c>
      <c r="I651" s="50">
        <v>647241</v>
      </c>
      <c r="J651" s="50">
        <v>0</v>
      </c>
      <c r="K651" s="50">
        <v>1519335</v>
      </c>
      <c r="L651" s="152">
        <f t="shared" si="0"/>
        <v>0.69625981491546363</v>
      </c>
      <c r="M651" s="50">
        <v>1519335</v>
      </c>
      <c r="N651" s="152">
        <f t="shared" si="1"/>
        <v>0.69625981491546363</v>
      </c>
      <c r="O651" s="50">
        <v>15562</v>
      </c>
      <c r="P651" s="152">
        <f t="shared" si="2"/>
        <v>7.131537968726084E-3</v>
      </c>
      <c r="Q651" s="50">
        <v>15562</v>
      </c>
    </row>
    <row r="652" spans="1:17" hidden="1" x14ac:dyDescent="0.25">
      <c r="A652" s="49" t="s">
        <v>715</v>
      </c>
      <c r="B652" s="49" t="s">
        <v>260</v>
      </c>
      <c r="C652" s="49" t="s">
        <v>261</v>
      </c>
      <c r="D652" s="49" t="s">
        <v>69</v>
      </c>
      <c r="E652" s="50">
        <v>3500000</v>
      </c>
      <c r="F652" s="50">
        <v>3500000</v>
      </c>
      <c r="G652" s="50">
        <v>3500000</v>
      </c>
      <c r="H652" s="50">
        <v>0</v>
      </c>
      <c r="I652" s="50">
        <v>0</v>
      </c>
      <c r="J652" s="50">
        <v>0</v>
      </c>
      <c r="K652" s="50">
        <v>3447374</v>
      </c>
      <c r="L652" s="152">
        <f t="shared" si="0"/>
        <v>0.98496399999999995</v>
      </c>
      <c r="M652" s="50">
        <v>3447374</v>
      </c>
      <c r="N652" s="152">
        <f t="shared" si="1"/>
        <v>0.98496399999999995</v>
      </c>
      <c r="O652" s="50">
        <v>52626</v>
      </c>
      <c r="P652" s="152">
        <f t="shared" si="2"/>
        <v>1.5036000000000001E-2</v>
      </c>
      <c r="Q652" s="50">
        <v>52626</v>
      </c>
    </row>
    <row r="653" spans="1:17" hidden="1" x14ac:dyDescent="0.25">
      <c r="A653" s="49" t="s">
        <v>715</v>
      </c>
      <c r="B653" s="49" t="s">
        <v>264</v>
      </c>
      <c r="C653" s="49" t="s">
        <v>265</v>
      </c>
      <c r="D653" s="49" t="s">
        <v>69</v>
      </c>
      <c r="E653" s="50">
        <v>3500000</v>
      </c>
      <c r="F653" s="50">
        <v>3500000</v>
      </c>
      <c r="G653" s="50">
        <v>3500000</v>
      </c>
      <c r="H653" s="50">
        <v>0</v>
      </c>
      <c r="I653" s="50">
        <v>0</v>
      </c>
      <c r="J653" s="50">
        <v>0</v>
      </c>
      <c r="K653" s="50">
        <v>3447374</v>
      </c>
      <c r="L653" s="152">
        <f t="shared" si="0"/>
        <v>0.98496399999999995</v>
      </c>
      <c r="M653" s="50">
        <v>3447374</v>
      </c>
      <c r="N653" s="152">
        <f t="shared" si="1"/>
        <v>0.98496399999999995</v>
      </c>
      <c r="O653" s="50">
        <v>52626</v>
      </c>
      <c r="P653" s="152">
        <f t="shared" si="2"/>
        <v>1.5036000000000001E-2</v>
      </c>
      <c r="Q653" s="50">
        <v>52626</v>
      </c>
    </row>
    <row r="654" spans="1:17" hidden="1" x14ac:dyDescent="0.25">
      <c r="A654" s="49">
        <v>214789006</v>
      </c>
      <c r="B654" s="49"/>
      <c r="C654" s="49"/>
      <c r="D654" s="49" t="s">
        <v>69</v>
      </c>
      <c r="E654" s="50">
        <v>7207746597</v>
      </c>
      <c r="F654" s="50">
        <v>6961566789</v>
      </c>
      <c r="G654" s="50">
        <v>6960966789</v>
      </c>
      <c r="H654" s="50">
        <v>0</v>
      </c>
      <c r="I654" s="50">
        <v>11974639.24</v>
      </c>
      <c r="J654" s="50">
        <v>0</v>
      </c>
      <c r="K654" s="50">
        <v>4327272226.9499998</v>
      </c>
      <c r="L654" s="152">
        <f t="shared" si="0"/>
        <v>0.62159458611925411</v>
      </c>
      <c r="M654" s="50">
        <v>4327272226.9499998</v>
      </c>
      <c r="N654" s="152">
        <f t="shared" si="1"/>
        <v>0.62159458611925411</v>
      </c>
      <c r="O654" s="50">
        <v>2622319922.8099999</v>
      </c>
      <c r="P654" s="152">
        <f t="shared" si="2"/>
        <v>0.37668530695612062</v>
      </c>
      <c r="Q654" s="50">
        <v>2621719922.8099999</v>
      </c>
    </row>
    <row r="655" spans="1:17" hidden="1" x14ac:dyDescent="0.25">
      <c r="A655" s="49" t="s">
        <v>716</v>
      </c>
      <c r="B655" s="49" t="s">
        <v>71</v>
      </c>
      <c r="C655" s="49" t="s">
        <v>72</v>
      </c>
      <c r="D655" s="49" t="s">
        <v>69</v>
      </c>
      <c r="E655" s="50">
        <v>273249937</v>
      </c>
      <c r="F655" s="50">
        <v>271537368</v>
      </c>
      <c r="G655" s="50">
        <v>270937368</v>
      </c>
      <c r="H655" s="50">
        <v>0</v>
      </c>
      <c r="I655" s="50">
        <v>10703537</v>
      </c>
      <c r="J655" s="50">
        <v>0</v>
      </c>
      <c r="K655" s="50">
        <v>192268716.83000001</v>
      </c>
      <c r="L655" s="152">
        <f t="shared" si="0"/>
        <v>0.70807461325175702</v>
      </c>
      <c r="M655" s="50">
        <v>192268716.83000001</v>
      </c>
      <c r="N655" s="152">
        <f t="shared" si="1"/>
        <v>0.70807461325175702</v>
      </c>
      <c r="O655" s="50">
        <v>68565114.170000002</v>
      </c>
      <c r="P655" s="152">
        <f t="shared" si="2"/>
        <v>0.25250710307393126</v>
      </c>
      <c r="Q655" s="50">
        <v>67965114.170000002</v>
      </c>
    </row>
    <row r="656" spans="1:17" hidden="1" x14ac:dyDescent="0.25">
      <c r="A656" s="49" t="s">
        <v>716</v>
      </c>
      <c r="B656" s="49" t="s">
        <v>73</v>
      </c>
      <c r="C656" s="49" t="s">
        <v>74</v>
      </c>
      <c r="D656" s="49" t="s">
        <v>69</v>
      </c>
      <c r="E656" s="50">
        <v>97637632</v>
      </c>
      <c r="F656" s="50">
        <v>96661384</v>
      </c>
      <c r="G656" s="50">
        <v>96661384</v>
      </c>
      <c r="H656" s="50">
        <v>0</v>
      </c>
      <c r="I656" s="50">
        <v>0</v>
      </c>
      <c r="J656" s="50">
        <v>0</v>
      </c>
      <c r="K656" s="50">
        <v>77238050.890000001</v>
      </c>
      <c r="L656" s="152">
        <f t="shared" si="0"/>
        <v>0.79905798669301076</v>
      </c>
      <c r="M656" s="50">
        <v>77238050.890000001</v>
      </c>
      <c r="N656" s="152">
        <f t="shared" si="1"/>
        <v>0.79905798669301076</v>
      </c>
      <c r="O656" s="50">
        <v>19423333.109999999</v>
      </c>
      <c r="P656" s="152">
        <f t="shared" si="2"/>
        <v>0.20094201330698927</v>
      </c>
      <c r="Q656" s="50">
        <v>19423333.109999999</v>
      </c>
    </row>
    <row r="657" spans="1:17" hidden="1" x14ac:dyDescent="0.25">
      <c r="A657" s="49" t="s">
        <v>716</v>
      </c>
      <c r="B657" s="49" t="s">
        <v>75</v>
      </c>
      <c r="C657" s="49" t="s">
        <v>76</v>
      </c>
      <c r="D657" s="49" t="s">
        <v>69</v>
      </c>
      <c r="E657" s="50">
        <v>97637632</v>
      </c>
      <c r="F657" s="50">
        <v>96661384</v>
      </c>
      <c r="G657" s="50">
        <v>96661384</v>
      </c>
      <c r="H657" s="50">
        <v>0</v>
      </c>
      <c r="I657" s="50">
        <v>0</v>
      </c>
      <c r="J657" s="50">
        <v>0</v>
      </c>
      <c r="K657" s="50">
        <v>77238050.890000001</v>
      </c>
      <c r="L657" s="152">
        <f t="shared" si="0"/>
        <v>0.79905798669301076</v>
      </c>
      <c r="M657" s="50">
        <v>77238050.890000001</v>
      </c>
      <c r="N657" s="152">
        <f t="shared" si="1"/>
        <v>0.79905798669301076</v>
      </c>
      <c r="O657" s="50">
        <v>19423333.109999999</v>
      </c>
      <c r="P657" s="152">
        <f t="shared" si="2"/>
        <v>0.20094201330698927</v>
      </c>
      <c r="Q657" s="50">
        <v>19423333.109999999</v>
      </c>
    </row>
    <row r="658" spans="1:17" hidden="1" x14ac:dyDescent="0.25">
      <c r="A658" s="49" t="s">
        <v>716</v>
      </c>
      <c r="B658" s="49" t="s">
        <v>77</v>
      </c>
      <c r="C658" s="49" t="s">
        <v>78</v>
      </c>
      <c r="D658" s="49" t="s">
        <v>69</v>
      </c>
      <c r="E658" s="50">
        <v>133929275</v>
      </c>
      <c r="F658" s="50">
        <v>133454197</v>
      </c>
      <c r="G658" s="50">
        <v>133454197</v>
      </c>
      <c r="H658" s="50">
        <v>0</v>
      </c>
      <c r="I658" s="50">
        <v>0</v>
      </c>
      <c r="J658" s="50">
        <v>0</v>
      </c>
      <c r="K658" s="50">
        <v>85173940.939999998</v>
      </c>
      <c r="L658" s="152">
        <f t="shared" si="0"/>
        <v>0.63822601952338742</v>
      </c>
      <c r="M658" s="50">
        <v>85173940.939999998</v>
      </c>
      <c r="N658" s="152">
        <f t="shared" si="1"/>
        <v>0.63822601952338742</v>
      </c>
      <c r="O658" s="50">
        <v>48280256.060000002</v>
      </c>
      <c r="P658" s="152">
        <f t="shared" si="2"/>
        <v>0.36177398047661252</v>
      </c>
      <c r="Q658" s="50">
        <v>48280256.060000002</v>
      </c>
    </row>
    <row r="659" spans="1:17" hidden="1" x14ac:dyDescent="0.25">
      <c r="A659" s="49" t="s">
        <v>716</v>
      </c>
      <c r="B659" s="49" t="s">
        <v>79</v>
      </c>
      <c r="C659" s="49" t="s">
        <v>80</v>
      </c>
      <c r="D659" s="49" t="s">
        <v>69</v>
      </c>
      <c r="E659" s="50">
        <v>34862400</v>
      </c>
      <c r="F659" s="50">
        <v>34862400</v>
      </c>
      <c r="G659" s="50">
        <v>34862400</v>
      </c>
      <c r="H659" s="50">
        <v>0</v>
      </c>
      <c r="I659" s="50">
        <v>0</v>
      </c>
      <c r="J659" s="50">
        <v>0</v>
      </c>
      <c r="K659" s="50">
        <v>27133984.949999999</v>
      </c>
      <c r="L659" s="152">
        <f t="shared" si="0"/>
        <v>0.77831660901142774</v>
      </c>
      <c r="M659" s="50">
        <v>27133984.949999999</v>
      </c>
      <c r="N659" s="152">
        <f t="shared" si="1"/>
        <v>0.77831660901142774</v>
      </c>
      <c r="O659" s="50">
        <v>7728415.0499999998</v>
      </c>
      <c r="P659" s="152">
        <f t="shared" si="2"/>
        <v>0.2216833909885722</v>
      </c>
      <c r="Q659" s="50">
        <v>7728415.0499999998</v>
      </c>
    </row>
    <row r="660" spans="1:17" hidden="1" x14ac:dyDescent="0.25">
      <c r="A660" s="49" t="s">
        <v>716</v>
      </c>
      <c r="B660" s="49" t="s">
        <v>81</v>
      </c>
      <c r="C660" s="49" t="s">
        <v>82</v>
      </c>
      <c r="D660" s="49" t="s">
        <v>69</v>
      </c>
      <c r="E660" s="50">
        <v>32733979</v>
      </c>
      <c r="F660" s="50">
        <v>32370500</v>
      </c>
      <c r="G660" s="50">
        <v>32370500</v>
      </c>
      <c r="H660" s="50">
        <v>0</v>
      </c>
      <c r="I660" s="50">
        <v>0</v>
      </c>
      <c r="J660" s="50">
        <v>0</v>
      </c>
      <c r="K660" s="50">
        <v>23014384.949999999</v>
      </c>
      <c r="L660" s="152">
        <f t="shared" si="0"/>
        <v>0.71096785499142734</v>
      </c>
      <c r="M660" s="50">
        <v>23014384.949999999</v>
      </c>
      <c r="N660" s="152">
        <f t="shared" si="1"/>
        <v>0.71096785499142734</v>
      </c>
      <c r="O660" s="50">
        <v>9356115.0500000007</v>
      </c>
      <c r="P660" s="152">
        <f t="shared" si="2"/>
        <v>0.28903214500857266</v>
      </c>
      <c r="Q660" s="50">
        <v>9356115.0500000007</v>
      </c>
    </row>
    <row r="661" spans="1:17" hidden="1" x14ac:dyDescent="0.25">
      <c r="A661" s="49" t="s">
        <v>716</v>
      </c>
      <c r="B661" s="49" t="s">
        <v>86</v>
      </c>
      <c r="C661" s="49" t="s">
        <v>87</v>
      </c>
      <c r="D661" s="49" t="s">
        <v>69</v>
      </c>
      <c r="E661" s="50">
        <v>16387600</v>
      </c>
      <c r="F661" s="50">
        <v>16387600</v>
      </c>
      <c r="G661" s="50">
        <v>16387600</v>
      </c>
      <c r="H661" s="50">
        <v>0</v>
      </c>
      <c r="I661" s="50">
        <v>0</v>
      </c>
      <c r="J661" s="50">
        <v>0</v>
      </c>
      <c r="K661" s="50">
        <v>9494365.5</v>
      </c>
      <c r="L661" s="152">
        <f t="shared" si="0"/>
        <v>0.57936278039493272</v>
      </c>
      <c r="M661" s="50">
        <v>9494365.5</v>
      </c>
      <c r="N661" s="152">
        <f t="shared" si="1"/>
        <v>0.57936278039493272</v>
      </c>
      <c r="O661" s="50">
        <v>6893234.5</v>
      </c>
      <c r="P661" s="152">
        <f t="shared" si="2"/>
        <v>0.42063721960506723</v>
      </c>
      <c r="Q661" s="50">
        <v>6893234.5</v>
      </c>
    </row>
    <row r="662" spans="1:17" hidden="1" x14ac:dyDescent="0.25">
      <c r="A662" s="49" t="s">
        <v>716</v>
      </c>
      <c r="B662" s="49" t="s">
        <v>88</v>
      </c>
      <c r="C662" s="49" t="s">
        <v>89</v>
      </c>
      <c r="D662" s="49" t="s">
        <v>69</v>
      </c>
      <c r="E662" s="50">
        <v>32139100</v>
      </c>
      <c r="F662" s="50">
        <v>32139100</v>
      </c>
      <c r="G662" s="50">
        <v>32139100</v>
      </c>
      <c r="H662" s="50">
        <v>0</v>
      </c>
      <c r="I662" s="50">
        <v>0</v>
      </c>
      <c r="J662" s="50">
        <v>0</v>
      </c>
      <c r="K662" s="50">
        <v>25531205.539999999</v>
      </c>
      <c r="L662" s="152">
        <f t="shared" si="0"/>
        <v>0.79439702854155836</v>
      </c>
      <c r="M662" s="50">
        <v>25531205.539999999</v>
      </c>
      <c r="N662" s="152">
        <f t="shared" si="1"/>
        <v>0.79439702854155836</v>
      </c>
      <c r="O662" s="50">
        <v>6607894.46</v>
      </c>
      <c r="P662" s="152">
        <f t="shared" si="2"/>
        <v>0.20560297145844159</v>
      </c>
      <c r="Q662" s="50">
        <v>6607894.46</v>
      </c>
    </row>
    <row r="663" spans="1:17" hidden="1" x14ac:dyDescent="0.25">
      <c r="A663" s="49" t="s">
        <v>716</v>
      </c>
      <c r="B663" s="49" t="s">
        <v>83</v>
      </c>
      <c r="C663" s="49" t="s">
        <v>84</v>
      </c>
      <c r="D663" s="49" t="s">
        <v>85</v>
      </c>
      <c r="E663" s="50">
        <v>17806196</v>
      </c>
      <c r="F663" s="50">
        <v>17694597</v>
      </c>
      <c r="G663" s="50">
        <v>17694597</v>
      </c>
      <c r="H663" s="50">
        <v>0</v>
      </c>
      <c r="I663" s="50">
        <v>0</v>
      </c>
      <c r="J663" s="50">
        <v>0</v>
      </c>
      <c r="K663" s="50">
        <v>0</v>
      </c>
      <c r="L663" s="152">
        <f t="shared" si="0"/>
        <v>0</v>
      </c>
      <c r="M663" s="50">
        <v>0</v>
      </c>
      <c r="N663" s="152">
        <f t="shared" si="1"/>
        <v>0</v>
      </c>
      <c r="O663" s="50">
        <v>17694597</v>
      </c>
      <c r="P663" s="152">
        <f t="shared" si="2"/>
        <v>1</v>
      </c>
      <c r="Q663" s="50">
        <v>17694597</v>
      </c>
    </row>
    <row r="664" spans="1:17" hidden="1" x14ac:dyDescent="0.25">
      <c r="A664" s="49" t="s">
        <v>716</v>
      </c>
      <c r="B664" s="49" t="s">
        <v>90</v>
      </c>
      <c r="C664" s="49" t="s">
        <v>91</v>
      </c>
      <c r="D664" s="49" t="s">
        <v>69</v>
      </c>
      <c r="E664" s="50">
        <v>20841515</v>
      </c>
      <c r="F664" s="50">
        <v>20710893</v>
      </c>
      <c r="G664" s="50">
        <v>20710893</v>
      </c>
      <c r="H664" s="50">
        <v>0</v>
      </c>
      <c r="I664" s="50">
        <v>5638356</v>
      </c>
      <c r="J664" s="50">
        <v>0</v>
      </c>
      <c r="K664" s="50">
        <v>14941775</v>
      </c>
      <c r="L664" s="152">
        <f t="shared" si="0"/>
        <v>0.72144523174350816</v>
      </c>
      <c r="M664" s="50">
        <v>14941775</v>
      </c>
      <c r="N664" s="152">
        <f t="shared" si="1"/>
        <v>0.72144523174350816</v>
      </c>
      <c r="O664" s="50">
        <v>130762</v>
      </c>
      <c r="P664" s="152">
        <f t="shared" si="2"/>
        <v>6.3136823699489926E-3</v>
      </c>
      <c r="Q664" s="50">
        <v>130762</v>
      </c>
    </row>
    <row r="665" spans="1:17" hidden="1" x14ac:dyDescent="0.25">
      <c r="A665" s="49" t="s">
        <v>716</v>
      </c>
      <c r="B665" s="49" t="s">
        <v>426</v>
      </c>
      <c r="C665" s="49" t="s">
        <v>697</v>
      </c>
      <c r="D665" s="49" t="s">
        <v>69</v>
      </c>
      <c r="E665" s="50">
        <v>19772804</v>
      </c>
      <c r="F665" s="50">
        <v>19648880</v>
      </c>
      <c r="G665" s="50">
        <v>19648880</v>
      </c>
      <c r="H665" s="50">
        <v>0</v>
      </c>
      <c r="I665" s="50">
        <v>5349293</v>
      </c>
      <c r="J665" s="50">
        <v>0</v>
      </c>
      <c r="K665" s="50">
        <v>14175531</v>
      </c>
      <c r="L665" s="152">
        <f t="shared" si="0"/>
        <v>0.72144218907133639</v>
      </c>
      <c r="M665" s="50">
        <v>14175531</v>
      </c>
      <c r="N665" s="152">
        <f t="shared" si="1"/>
        <v>0.72144218907133639</v>
      </c>
      <c r="O665" s="50">
        <v>124056</v>
      </c>
      <c r="P665" s="152">
        <f t="shared" si="2"/>
        <v>6.3136423042941892E-3</v>
      </c>
      <c r="Q665" s="50">
        <v>124056</v>
      </c>
    </row>
    <row r="666" spans="1:17" hidden="1" x14ac:dyDescent="0.25">
      <c r="A666" s="49" t="s">
        <v>716</v>
      </c>
      <c r="B666" s="49" t="s">
        <v>443</v>
      </c>
      <c r="C666" s="49" t="s">
        <v>95</v>
      </c>
      <c r="D666" s="49" t="s">
        <v>69</v>
      </c>
      <c r="E666" s="50">
        <v>1068711</v>
      </c>
      <c r="F666" s="50">
        <v>1062013</v>
      </c>
      <c r="G666" s="50">
        <v>1062013</v>
      </c>
      <c r="H666" s="50">
        <v>0</v>
      </c>
      <c r="I666" s="50">
        <v>289063</v>
      </c>
      <c r="J666" s="50">
        <v>0</v>
      </c>
      <c r="K666" s="50">
        <v>766244</v>
      </c>
      <c r="L666" s="152">
        <f t="shared" si="0"/>
        <v>0.72150152587586025</v>
      </c>
      <c r="M666" s="50">
        <v>766244</v>
      </c>
      <c r="N666" s="152">
        <f t="shared" si="1"/>
        <v>0.72150152587586025</v>
      </c>
      <c r="O666" s="50">
        <v>6706</v>
      </c>
      <c r="P666" s="152">
        <f t="shared" si="2"/>
        <v>6.3144236464148743E-3</v>
      </c>
      <c r="Q666" s="50">
        <v>6706</v>
      </c>
    </row>
    <row r="667" spans="1:17" hidden="1" x14ac:dyDescent="0.25">
      <c r="A667" s="49" t="s">
        <v>716</v>
      </c>
      <c r="B667" s="49" t="s">
        <v>96</v>
      </c>
      <c r="C667" s="49" t="s">
        <v>97</v>
      </c>
      <c r="D667" s="49" t="s">
        <v>69</v>
      </c>
      <c r="E667" s="50">
        <v>20841515</v>
      </c>
      <c r="F667" s="50">
        <v>20710894</v>
      </c>
      <c r="G667" s="50">
        <v>20110894</v>
      </c>
      <c r="H667" s="50">
        <v>0</v>
      </c>
      <c r="I667" s="50">
        <v>5065181</v>
      </c>
      <c r="J667" s="50">
        <v>0</v>
      </c>
      <c r="K667" s="50">
        <v>14914950</v>
      </c>
      <c r="L667" s="152">
        <f t="shared" si="0"/>
        <v>0.72014998483406845</v>
      </c>
      <c r="M667" s="50">
        <v>14914950</v>
      </c>
      <c r="N667" s="152">
        <f t="shared" si="1"/>
        <v>0.72014998483406845</v>
      </c>
      <c r="O667" s="50">
        <v>730763</v>
      </c>
      <c r="P667" s="152">
        <f t="shared" si="2"/>
        <v>3.5283991120808211E-2</v>
      </c>
      <c r="Q667" s="50">
        <v>130763</v>
      </c>
    </row>
    <row r="668" spans="1:17" hidden="1" x14ac:dyDescent="0.25">
      <c r="A668" s="49" t="s">
        <v>716</v>
      </c>
      <c r="B668" s="49" t="s">
        <v>461</v>
      </c>
      <c r="C668" s="49" t="s">
        <v>698</v>
      </c>
      <c r="D668" s="49" t="s">
        <v>69</v>
      </c>
      <c r="E668" s="50">
        <v>11222416</v>
      </c>
      <c r="F668" s="50">
        <v>11152081</v>
      </c>
      <c r="G668" s="50">
        <v>11152081</v>
      </c>
      <c r="H668" s="50">
        <v>0</v>
      </c>
      <c r="I668" s="50">
        <v>3062925</v>
      </c>
      <c r="J668" s="50">
        <v>0</v>
      </c>
      <c r="K668" s="50">
        <v>8018746</v>
      </c>
      <c r="L668" s="152">
        <f t="shared" si="0"/>
        <v>0.719035846314244</v>
      </c>
      <c r="M668" s="50">
        <v>8018746</v>
      </c>
      <c r="N668" s="152">
        <f t="shared" si="1"/>
        <v>0.719035846314244</v>
      </c>
      <c r="O668" s="50">
        <v>70410</v>
      </c>
      <c r="P668" s="152">
        <f t="shared" si="2"/>
        <v>6.3136198526535089E-3</v>
      </c>
      <c r="Q668" s="50">
        <v>70410</v>
      </c>
    </row>
    <row r="669" spans="1:17" hidden="1" x14ac:dyDescent="0.25">
      <c r="A669" s="49" t="s">
        <v>716</v>
      </c>
      <c r="B669" s="49" t="s">
        <v>478</v>
      </c>
      <c r="C669" s="49" t="s">
        <v>699</v>
      </c>
      <c r="D669" s="49" t="s">
        <v>69</v>
      </c>
      <c r="E669" s="50">
        <v>3206333</v>
      </c>
      <c r="F669" s="50">
        <v>3186238</v>
      </c>
      <c r="G669" s="50">
        <v>3186238</v>
      </c>
      <c r="H669" s="50">
        <v>0</v>
      </c>
      <c r="I669" s="50">
        <v>867386</v>
      </c>
      <c r="J669" s="50">
        <v>0</v>
      </c>
      <c r="K669" s="50">
        <v>2298734</v>
      </c>
      <c r="L669" s="152">
        <f t="shared" si="0"/>
        <v>0.72145709140371816</v>
      </c>
      <c r="M669" s="50">
        <v>2298734</v>
      </c>
      <c r="N669" s="152">
        <f t="shared" si="1"/>
        <v>0.72145709140371816</v>
      </c>
      <c r="O669" s="50">
        <v>20118</v>
      </c>
      <c r="P669" s="152">
        <f t="shared" si="2"/>
        <v>6.3140292721384902E-3</v>
      </c>
      <c r="Q669" s="50">
        <v>20118</v>
      </c>
    </row>
    <row r="670" spans="1:17" hidden="1" x14ac:dyDescent="0.25">
      <c r="A670" s="49" t="s">
        <v>716</v>
      </c>
      <c r="B670" s="49" t="s">
        <v>495</v>
      </c>
      <c r="C670" s="49" t="s">
        <v>700</v>
      </c>
      <c r="D670" s="49" t="s">
        <v>69</v>
      </c>
      <c r="E670" s="50">
        <v>6412766</v>
      </c>
      <c r="F670" s="50">
        <v>6372575</v>
      </c>
      <c r="G670" s="50">
        <v>5772575</v>
      </c>
      <c r="H670" s="50">
        <v>0</v>
      </c>
      <c r="I670" s="50">
        <v>1134870</v>
      </c>
      <c r="J670" s="50">
        <v>0</v>
      </c>
      <c r="K670" s="50">
        <v>4597470</v>
      </c>
      <c r="L670" s="152">
        <f t="shared" si="0"/>
        <v>0.72144619718088843</v>
      </c>
      <c r="M670" s="50">
        <v>4597470</v>
      </c>
      <c r="N670" s="152">
        <f t="shared" si="1"/>
        <v>0.72144619718088843</v>
      </c>
      <c r="O670" s="50">
        <v>640235</v>
      </c>
      <c r="P670" s="152">
        <f t="shared" si="2"/>
        <v>0.10046723655665096</v>
      </c>
      <c r="Q670" s="50">
        <v>40235</v>
      </c>
    </row>
    <row r="671" spans="1:17" hidden="1" x14ac:dyDescent="0.25">
      <c r="A671" s="49" t="s">
        <v>716</v>
      </c>
      <c r="B671" s="49" t="s">
        <v>104</v>
      </c>
      <c r="C671" s="49" t="s">
        <v>105</v>
      </c>
      <c r="D671" s="49" t="s">
        <v>69</v>
      </c>
      <c r="E671" s="50">
        <v>6929448400</v>
      </c>
      <c r="F671" s="50">
        <v>6685003400</v>
      </c>
      <c r="G671" s="50">
        <v>6685003400</v>
      </c>
      <c r="H671" s="50">
        <v>0</v>
      </c>
      <c r="I671" s="50">
        <v>284451.24</v>
      </c>
      <c r="J671" s="50">
        <v>0</v>
      </c>
      <c r="K671" s="50">
        <v>4132300092.1199999</v>
      </c>
      <c r="L671" s="152">
        <f t="shared" si="0"/>
        <v>0.61814480036315311</v>
      </c>
      <c r="M671" s="50">
        <v>4132300092.1199999</v>
      </c>
      <c r="N671" s="152">
        <f t="shared" si="1"/>
        <v>0.61814480036315311</v>
      </c>
      <c r="O671" s="50">
        <v>2552418856.6399999</v>
      </c>
      <c r="P671" s="152">
        <f t="shared" si="2"/>
        <v>0.3818126489868352</v>
      </c>
      <c r="Q671" s="50">
        <v>2552418856.6399999</v>
      </c>
    </row>
    <row r="672" spans="1:17" hidden="1" x14ac:dyDescent="0.25">
      <c r="A672" s="49" t="s">
        <v>716</v>
      </c>
      <c r="B672" s="49" t="s">
        <v>106</v>
      </c>
      <c r="C672" s="49" t="s">
        <v>107</v>
      </c>
      <c r="D672" s="49" t="s">
        <v>69</v>
      </c>
      <c r="E672" s="50">
        <v>6927908871</v>
      </c>
      <c r="F672" s="50">
        <v>6677908871</v>
      </c>
      <c r="G672" s="50">
        <v>6677908871</v>
      </c>
      <c r="H672" s="50">
        <v>0</v>
      </c>
      <c r="I672" s="50">
        <v>0</v>
      </c>
      <c r="J672" s="50">
        <v>0</v>
      </c>
      <c r="K672" s="50">
        <v>4131814779.3600001</v>
      </c>
      <c r="L672" s="152">
        <f t="shared" si="0"/>
        <v>0.61872883550464974</v>
      </c>
      <c r="M672" s="50">
        <v>4131814779.3600001</v>
      </c>
      <c r="N672" s="152">
        <f t="shared" si="1"/>
        <v>0.61872883550464974</v>
      </c>
      <c r="O672" s="50">
        <v>2546094091.6399999</v>
      </c>
      <c r="P672" s="152">
        <f t="shared" si="2"/>
        <v>0.38127116449535026</v>
      </c>
      <c r="Q672" s="50">
        <v>2546094091.6399999</v>
      </c>
    </row>
    <row r="673" spans="1:17" hidden="1" x14ac:dyDescent="0.25">
      <c r="A673" s="49" t="s">
        <v>716</v>
      </c>
      <c r="B673" s="49" t="s">
        <v>110</v>
      </c>
      <c r="C673" s="49" t="s">
        <v>111</v>
      </c>
      <c r="D673" s="49" t="s">
        <v>69</v>
      </c>
      <c r="E673" s="50">
        <v>6927908871</v>
      </c>
      <c r="F673" s="50">
        <v>6677908871</v>
      </c>
      <c r="G673" s="50">
        <v>6677908871</v>
      </c>
      <c r="H673" s="50">
        <v>0</v>
      </c>
      <c r="I673" s="50">
        <v>0</v>
      </c>
      <c r="J673" s="50">
        <v>0</v>
      </c>
      <c r="K673" s="50">
        <v>4131814779.3600001</v>
      </c>
      <c r="L673" s="152">
        <f t="shared" si="0"/>
        <v>0.61872883550464974</v>
      </c>
      <c r="M673" s="50">
        <v>4131814779.3600001</v>
      </c>
      <c r="N673" s="152">
        <f t="shared" si="1"/>
        <v>0.61872883550464974</v>
      </c>
      <c r="O673" s="50">
        <v>2546094091.6399999</v>
      </c>
      <c r="P673" s="152">
        <f t="shared" si="2"/>
        <v>0.38127116449535026</v>
      </c>
      <c r="Q673" s="50">
        <v>2546094091.6399999</v>
      </c>
    </row>
    <row r="674" spans="1:17" hidden="1" x14ac:dyDescent="0.25">
      <c r="A674" s="49" t="s">
        <v>716</v>
      </c>
      <c r="B674" s="49" t="s">
        <v>112</v>
      </c>
      <c r="C674" s="49" t="s">
        <v>113</v>
      </c>
      <c r="D674" s="49" t="s">
        <v>69</v>
      </c>
      <c r="E674" s="50">
        <v>1539529</v>
      </c>
      <c r="F674" s="50">
        <v>1539529</v>
      </c>
      <c r="G674" s="50">
        <v>1539529</v>
      </c>
      <c r="H674" s="50">
        <v>0</v>
      </c>
      <c r="I674" s="50">
        <v>284451.24</v>
      </c>
      <c r="J674" s="50">
        <v>0</v>
      </c>
      <c r="K674" s="50">
        <v>485312.76</v>
      </c>
      <c r="L674" s="152">
        <f t="shared" si="0"/>
        <v>0.31523456849464998</v>
      </c>
      <c r="M674" s="50">
        <v>485312.76</v>
      </c>
      <c r="N674" s="152">
        <f t="shared" si="1"/>
        <v>0.31523456849464998</v>
      </c>
      <c r="O674" s="50">
        <v>769765</v>
      </c>
      <c r="P674" s="152">
        <f t="shared" si="2"/>
        <v>0.50000032477465506</v>
      </c>
      <c r="Q674" s="50">
        <v>769765</v>
      </c>
    </row>
    <row r="675" spans="1:17" hidden="1" x14ac:dyDescent="0.25">
      <c r="A675" s="49" t="s">
        <v>716</v>
      </c>
      <c r="B675" s="49" t="s">
        <v>120</v>
      </c>
      <c r="C675" s="49" t="s">
        <v>121</v>
      </c>
      <c r="D675" s="49" t="s">
        <v>69</v>
      </c>
      <c r="E675" s="50">
        <v>1539529</v>
      </c>
      <c r="F675" s="50">
        <v>1539529</v>
      </c>
      <c r="G675" s="50">
        <v>1539529</v>
      </c>
      <c r="H675" s="50">
        <v>0</v>
      </c>
      <c r="I675" s="50">
        <v>284451.24</v>
      </c>
      <c r="J675" s="50">
        <v>0</v>
      </c>
      <c r="K675" s="50">
        <v>485312.76</v>
      </c>
      <c r="L675" s="152">
        <f t="shared" si="0"/>
        <v>0.31523456849464998</v>
      </c>
      <c r="M675" s="50">
        <v>485312.76</v>
      </c>
      <c r="N675" s="152">
        <f t="shared" si="1"/>
        <v>0.31523456849464998</v>
      </c>
      <c r="O675" s="50">
        <v>769765</v>
      </c>
      <c r="P675" s="152">
        <f t="shared" si="2"/>
        <v>0.50000032477465506</v>
      </c>
      <c r="Q675" s="50">
        <v>769765</v>
      </c>
    </row>
    <row r="676" spans="1:17" hidden="1" x14ac:dyDescent="0.25">
      <c r="A676" s="49" t="s">
        <v>716</v>
      </c>
      <c r="B676" s="49" t="s">
        <v>140</v>
      </c>
      <c r="C676" s="49" t="s">
        <v>141</v>
      </c>
      <c r="D676" s="49" t="s">
        <v>69</v>
      </c>
      <c r="E676" s="50">
        <v>0</v>
      </c>
      <c r="F676" s="50">
        <v>0</v>
      </c>
      <c r="G676" s="50">
        <v>0</v>
      </c>
      <c r="H676" s="50">
        <v>0</v>
      </c>
      <c r="I676" s="50">
        <v>0</v>
      </c>
      <c r="J676" s="50">
        <v>0</v>
      </c>
      <c r="K676" s="50">
        <v>0</v>
      </c>
      <c r="L676" s="152" t="e">
        <f t="shared" si="0"/>
        <v>#DIV/0!</v>
      </c>
      <c r="M676" s="50">
        <v>0</v>
      </c>
      <c r="N676" s="152" t="e">
        <f t="shared" si="1"/>
        <v>#DIV/0!</v>
      </c>
      <c r="O676" s="50">
        <v>0</v>
      </c>
      <c r="P676" s="152" t="e">
        <f t="shared" si="2"/>
        <v>#DIV/0!</v>
      </c>
      <c r="Q676" s="50">
        <v>0</v>
      </c>
    </row>
    <row r="677" spans="1:17" hidden="1" x14ac:dyDescent="0.25">
      <c r="A677" s="49" t="s">
        <v>716</v>
      </c>
      <c r="B677" s="49" t="s">
        <v>144</v>
      </c>
      <c r="C677" s="49" t="s">
        <v>145</v>
      </c>
      <c r="D677" s="49" t="s">
        <v>69</v>
      </c>
      <c r="E677" s="50">
        <v>0</v>
      </c>
      <c r="F677" s="50">
        <v>0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152" t="e">
        <f t="shared" si="0"/>
        <v>#DIV/0!</v>
      </c>
      <c r="M677" s="50">
        <v>0</v>
      </c>
      <c r="N677" s="152" t="e">
        <f t="shared" si="1"/>
        <v>#DIV/0!</v>
      </c>
      <c r="O677" s="50">
        <v>0</v>
      </c>
      <c r="P677" s="152" t="e">
        <f t="shared" si="2"/>
        <v>#DIV/0!</v>
      </c>
      <c r="Q677" s="50">
        <v>0</v>
      </c>
    </row>
    <row r="678" spans="1:17" hidden="1" x14ac:dyDescent="0.25">
      <c r="A678" s="49" t="s">
        <v>716</v>
      </c>
      <c r="B678" s="49" t="s">
        <v>178</v>
      </c>
      <c r="C678" s="49" t="s">
        <v>179</v>
      </c>
      <c r="D678" s="49" t="s">
        <v>69</v>
      </c>
      <c r="E678" s="50">
        <v>0</v>
      </c>
      <c r="F678" s="50">
        <v>5555000</v>
      </c>
      <c r="G678" s="50">
        <v>5555000</v>
      </c>
      <c r="H678" s="50">
        <v>0</v>
      </c>
      <c r="I678" s="50">
        <v>0</v>
      </c>
      <c r="J678" s="50">
        <v>0</v>
      </c>
      <c r="K678" s="50">
        <v>0</v>
      </c>
      <c r="L678" s="152">
        <f t="shared" si="0"/>
        <v>0</v>
      </c>
      <c r="M678" s="50">
        <v>0</v>
      </c>
      <c r="N678" s="152">
        <f t="shared" si="1"/>
        <v>0</v>
      </c>
      <c r="O678" s="50">
        <v>5555000</v>
      </c>
      <c r="P678" s="152">
        <f t="shared" si="2"/>
        <v>1</v>
      </c>
      <c r="Q678" s="50">
        <v>5555000</v>
      </c>
    </row>
    <row r="679" spans="1:17" hidden="1" x14ac:dyDescent="0.25">
      <c r="A679" s="49" t="s">
        <v>716</v>
      </c>
      <c r="B679" s="49" t="s">
        <v>180</v>
      </c>
      <c r="C679" s="49" t="s">
        <v>181</v>
      </c>
      <c r="D679" s="49" t="s">
        <v>69</v>
      </c>
      <c r="E679" s="50">
        <v>0</v>
      </c>
      <c r="F679" s="50">
        <v>5555000</v>
      </c>
      <c r="G679" s="50">
        <v>5555000</v>
      </c>
      <c r="H679" s="50">
        <v>0</v>
      </c>
      <c r="I679" s="50">
        <v>0</v>
      </c>
      <c r="J679" s="50">
        <v>0</v>
      </c>
      <c r="K679" s="50">
        <v>0</v>
      </c>
      <c r="L679" s="152">
        <f t="shared" si="0"/>
        <v>0</v>
      </c>
      <c r="M679" s="50">
        <v>0</v>
      </c>
      <c r="N679" s="152">
        <f t="shared" si="1"/>
        <v>0</v>
      </c>
      <c r="O679" s="50">
        <v>5555000</v>
      </c>
      <c r="P679" s="152">
        <f t="shared" si="2"/>
        <v>1</v>
      </c>
      <c r="Q679" s="50">
        <v>5555000</v>
      </c>
    </row>
    <row r="680" spans="1:17" hidden="1" x14ac:dyDescent="0.25">
      <c r="A680" s="49" t="s">
        <v>716</v>
      </c>
      <c r="B680" s="49" t="s">
        <v>248</v>
      </c>
      <c r="C680" s="49" t="s">
        <v>249</v>
      </c>
      <c r="D680" s="49" t="s">
        <v>69</v>
      </c>
      <c r="E680" s="50">
        <v>5048260</v>
      </c>
      <c r="F680" s="50">
        <v>5026021</v>
      </c>
      <c r="G680" s="50">
        <v>5026021</v>
      </c>
      <c r="H680" s="50">
        <v>0</v>
      </c>
      <c r="I680" s="50">
        <v>986651</v>
      </c>
      <c r="J680" s="50">
        <v>0</v>
      </c>
      <c r="K680" s="50">
        <v>2703418</v>
      </c>
      <c r="L680" s="152">
        <f t="shared" si="0"/>
        <v>0.53788434230577231</v>
      </c>
      <c r="M680" s="50">
        <v>2703418</v>
      </c>
      <c r="N680" s="152">
        <f t="shared" si="1"/>
        <v>0.53788434230577231</v>
      </c>
      <c r="O680" s="50">
        <v>1335952</v>
      </c>
      <c r="P680" s="152">
        <f t="shared" si="2"/>
        <v>0.26580708675908837</v>
      </c>
      <c r="Q680" s="50">
        <v>1335952</v>
      </c>
    </row>
    <row r="681" spans="1:17" hidden="1" x14ac:dyDescent="0.25">
      <c r="A681" s="49" t="s">
        <v>716</v>
      </c>
      <c r="B681" s="49" t="s">
        <v>250</v>
      </c>
      <c r="C681" s="49" t="s">
        <v>251</v>
      </c>
      <c r="D681" s="49" t="s">
        <v>69</v>
      </c>
      <c r="E681" s="50">
        <v>3548260</v>
      </c>
      <c r="F681" s="50">
        <v>3526021</v>
      </c>
      <c r="G681" s="50">
        <v>3526021</v>
      </c>
      <c r="H681" s="50">
        <v>0</v>
      </c>
      <c r="I681" s="50">
        <v>986651</v>
      </c>
      <c r="J681" s="50">
        <v>0</v>
      </c>
      <c r="K681" s="50">
        <v>2517107</v>
      </c>
      <c r="L681" s="152">
        <f t="shared" si="0"/>
        <v>0.71386613976490776</v>
      </c>
      <c r="M681" s="50">
        <v>2517107</v>
      </c>
      <c r="N681" s="152">
        <f t="shared" si="1"/>
        <v>0.71386613976490776</v>
      </c>
      <c r="O681" s="50">
        <v>22263</v>
      </c>
      <c r="P681" s="152">
        <f t="shared" si="2"/>
        <v>6.313915884221903E-3</v>
      </c>
      <c r="Q681" s="50">
        <v>22263</v>
      </c>
    </row>
    <row r="682" spans="1:17" hidden="1" x14ac:dyDescent="0.25">
      <c r="A682" s="49" t="s">
        <v>716</v>
      </c>
      <c r="B682" s="49" t="s">
        <v>635</v>
      </c>
      <c r="C682" s="49" t="s">
        <v>702</v>
      </c>
      <c r="D682" s="49" t="s">
        <v>69</v>
      </c>
      <c r="E682" s="50">
        <v>3013955</v>
      </c>
      <c r="F682" s="50">
        <v>2995065</v>
      </c>
      <c r="G682" s="50">
        <v>2995065</v>
      </c>
      <c r="H682" s="50">
        <v>0</v>
      </c>
      <c r="I682" s="50">
        <v>842170</v>
      </c>
      <c r="J682" s="50">
        <v>0</v>
      </c>
      <c r="K682" s="50">
        <v>2133985</v>
      </c>
      <c r="L682" s="152">
        <f t="shared" si="0"/>
        <v>0.71250039648555208</v>
      </c>
      <c r="M682" s="50">
        <v>2133985</v>
      </c>
      <c r="N682" s="152">
        <f t="shared" si="1"/>
        <v>0.71250039648555208</v>
      </c>
      <c r="O682" s="50">
        <v>18910</v>
      </c>
      <c r="P682" s="152">
        <f t="shared" si="2"/>
        <v>6.3137194017492109E-3</v>
      </c>
      <c r="Q682" s="50">
        <v>18910</v>
      </c>
    </row>
    <row r="683" spans="1:17" hidden="1" x14ac:dyDescent="0.25">
      <c r="A683" s="49" t="s">
        <v>716</v>
      </c>
      <c r="B683" s="49" t="s">
        <v>650</v>
      </c>
      <c r="C683" s="49" t="s">
        <v>703</v>
      </c>
      <c r="D683" s="49" t="s">
        <v>69</v>
      </c>
      <c r="E683" s="50">
        <v>534305</v>
      </c>
      <c r="F683" s="50">
        <v>530956</v>
      </c>
      <c r="G683" s="50">
        <v>530956</v>
      </c>
      <c r="H683" s="50">
        <v>0</v>
      </c>
      <c r="I683" s="50">
        <v>144481</v>
      </c>
      <c r="J683" s="50">
        <v>0</v>
      </c>
      <c r="K683" s="50">
        <v>383122</v>
      </c>
      <c r="L683" s="152">
        <f t="shared" si="0"/>
        <v>0.72157014893889515</v>
      </c>
      <c r="M683" s="50">
        <v>383122</v>
      </c>
      <c r="N683" s="152">
        <f t="shared" si="1"/>
        <v>0.72157014893889515</v>
      </c>
      <c r="O683" s="50">
        <v>3353</v>
      </c>
      <c r="P683" s="152">
        <f t="shared" si="2"/>
        <v>6.3150242204627121E-3</v>
      </c>
      <c r="Q683" s="50">
        <v>3353</v>
      </c>
    </row>
    <row r="684" spans="1:17" hidden="1" x14ac:dyDescent="0.25">
      <c r="A684" s="49" t="s">
        <v>716</v>
      </c>
      <c r="B684" s="49" t="s">
        <v>260</v>
      </c>
      <c r="C684" s="49" t="s">
        <v>261</v>
      </c>
      <c r="D684" s="49" t="s">
        <v>69</v>
      </c>
      <c r="E684" s="50">
        <v>1500000</v>
      </c>
      <c r="F684" s="50">
        <v>1500000</v>
      </c>
      <c r="G684" s="50">
        <v>1500000</v>
      </c>
      <c r="H684" s="50">
        <v>0</v>
      </c>
      <c r="I684" s="50">
        <v>0</v>
      </c>
      <c r="J684" s="50">
        <v>0</v>
      </c>
      <c r="K684" s="50">
        <v>186311</v>
      </c>
      <c r="L684" s="152">
        <f t="shared" si="0"/>
        <v>0.12420733333333334</v>
      </c>
      <c r="M684" s="50">
        <v>186311</v>
      </c>
      <c r="N684" s="152">
        <f t="shared" si="1"/>
        <v>0.12420733333333334</v>
      </c>
      <c r="O684" s="50">
        <v>1313689</v>
      </c>
      <c r="P684" s="152">
        <f t="shared" si="2"/>
        <v>0.87579266666666666</v>
      </c>
      <c r="Q684" s="50">
        <v>1313689</v>
      </c>
    </row>
    <row r="685" spans="1:17" hidden="1" x14ac:dyDescent="0.25">
      <c r="A685" s="49" t="s">
        <v>716</v>
      </c>
      <c r="B685" s="49" t="s">
        <v>264</v>
      </c>
      <c r="C685" s="49" t="s">
        <v>265</v>
      </c>
      <c r="D685" s="49" t="s">
        <v>69</v>
      </c>
      <c r="E685" s="50">
        <v>1500000</v>
      </c>
      <c r="F685" s="50">
        <v>1500000</v>
      </c>
      <c r="G685" s="50">
        <v>1500000</v>
      </c>
      <c r="H685" s="50">
        <v>0</v>
      </c>
      <c r="I685" s="50">
        <v>0</v>
      </c>
      <c r="J685" s="50">
        <v>0</v>
      </c>
      <c r="K685" s="50">
        <v>186311</v>
      </c>
      <c r="L685" s="152">
        <f t="shared" si="0"/>
        <v>0.12420733333333334</v>
      </c>
      <c r="M685" s="50">
        <v>186311</v>
      </c>
      <c r="N685" s="152">
        <f t="shared" si="1"/>
        <v>0.12420733333333334</v>
      </c>
      <c r="O685" s="50">
        <v>1313689</v>
      </c>
      <c r="P685" s="152">
        <f t="shared" si="2"/>
        <v>0.87579266666666666</v>
      </c>
      <c r="Q685" s="50">
        <v>1313689</v>
      </c>
    </row>
    <row r="686" spans="1:17" x14ac:dyDescent="0.25">
      <c r="A686" s="49">
        <v>214790</v>
      </c>
      <c r="B686" s="49"/>
      <c r="C686" s="49"/>
      <c r="D686" s="49" t="s">
        <v>69</v>
      </c>
      <c r="E686" s="50">
        <v>1417740073</v>
      </c>
      <c r="F686" s="50">
        <v>1271491809</v>
      </c>
      <c r="G686" s="50">
        <v>1252450256.0799999</v>
      </c>
      <c r="H686" s="50">
        <v>2472306.2599999998</v>
      </c>
      <c r="I686" s="50">
        <v>83185998.980000004</v>
      </c>
      <c r="J686" s="50">
        <v>87710.11</v>
      </c>
      <c r="K686" s="50">
        <v>846428577.73000002</v>
      </c>
      <c r="L686" s="152">
        <f t="shared" si="0"/>
        <v>0.6656972319748542</v>
      </c>
      <c r="M686" s="50">
        <v>840741397.77999997</v>
      </c>
      <c r="N686" s="152">
        <f t="shared" si="1"/>
        <v>0.66122439156035484</v>
      </c>
      <c r="O686" s="50">
        <v>339317215.92000002</v>
      </c>
      <c r="P686" s="152">
        <f t="shared" si="2"/>
        <v>0.26686543595342976</v>
      </c>
      <c r="Q686" s="50">
        <v>320275663</v>
      </c>
    </row>
    <row r="687" spans="1:17" hidden="1" x14ac:dyDescent="0.25">
      <c r="A687" s="49" t="s">
        <v>717</v>
      </c>
      <c r="B687" s="49" t="s">
        <v>71</v>
      </c>
      <c r="C687" s="49" t="s">
        <v>72</v>
      </c>
      <c r="D687" s="49" t="s">
        <v>69</v>
      </c>
      <c r="E687" s="50">
        <v>1125132721</v>
      </c>
      <c r="F687" s="50">
        <v>1096513206</v>
      </c>
      <c r="G687" s="50">
        <v>1077550819</v>
      </c>
      <c r="H687" s="50">
        <v>0</v>
      </c>
      <c r="I687" s="50">
        <v>36287488</v>
      </c>
      <c r="J687" s="50">
        <v>0</v>
      </c>
      <c r="K687" s="50">
        <v>779065680.96000004</v>
      </c>
      <c r="L687" s="152">
        <f t="shared" si="0"/>
        <v>0.71049365999154235</v>
      </c>
      <c r="M687" s="50">
        <v>779065680.96000004</v>
      </c>
      <c r="N687" s="152">
        <f t="shared" si="1"/>
        <v>0.71049365999154235</v>
      </c>
      <c r="O687" s="50">
        <v>281160037.04000002</v>
      </c>
      <c r="P687" s="152">
        <f t="shared" si="2"/>
        <v>0.25641281427485152</v>
      </c>
      <c r="Q687" s="50">
        <v>262197650.03999999</v>
      </c>
    </row>
    <row r="688" spans="1:17" hidden="1" x14ac:dyDescent="0.25">
      <c r="A688" s="49" t="s">
        <v>717</v>
      </c>
      <c r="B688" s="49" t="s">
        <v>73</v>
      </c>
      <c r="C688" s="49" t="s">
        <v>74</v>
      </c>
      <c r="D688" s="49" t="s">
        <v>69</v>
      </c>
      <c r="E688" s="50">
        <v>456307400</v>
      </c>
      <c r="F688" s="50">
        <v>441766100</v>
      </c>
      <c r="G688" s="50">
        <v>438060200</v>
      </c>
      <c r="H688" s="50">
        <v>0</v>
      </c>
      <c r="I688" s="50">
        <v>0</v>
      </c>
      <c r="J688" s="50">
        <v>0</v>
      </c>
      <c r="K688" s="50">
        <v>341578725.36000001</v>
      </c>
      <c r="L688" s="152">
        <f t="shared" si="0"/>
        <v>0.77321171850895765</v>
      </c>
      <c r="M688" s="50">
        <v>341578725.36000001</v>
      </c>
      <c r="N688" s="152">
        <f t="shared" si="1"/>
        <v>0.77321171850895765</v>
      </c>
      <c r="O688" s="50">
        <v>100187374.64</v>
      </c>
      <c r="P688" s="152">
        <f t="shared" si="2"/>
        <v>0.22678828149104244</v>
      </c>
      <c r="Q688" s="50">
        <v>96481474.640000001</v>
      </c>
    </row>
    <row r="689" spans="1:17" hidden="1" x14ac:dyDescent="0.25">
      <c r="A689" s="49" t="s">
        <v>717</v>
      </c>
      <c r="B689" s="49" t="s">
        <v>75</v>
      </c>
      <c r="C689" s="49" t="s">
        <v>76</v>
      </c>
      <c r="D689" s="49" t="s">
        <v>69</v>
      </c>
      <c r="E689" s="50">
        <v>456307400</v>
      </c>
      <c r="F689" s="50">
        <v>441766100</v>
      </c>
      <c r="G689" s="50">
        <v>438060200</v>
      </c>
      <c r="H689" s="50">
        <v>0</v>
      </c>
      <c r="I689" s="50">
        <v>0</v>
      </c>
      <c r="J689" s="50">
        <v>0</v>
      </c>
      <c r="K689" s="50">
        <v>341578725.36000001</v>
      </c>
      <c r="L689" s="152">
        <f t="shared" si="0"/>
        <v>0.77321171850895765</v>
      </c>
      <c r="M689" s="50">
        <v>341578725.36000001</v>
      </c>
      <c r="N689" s="152">
        <f t="shared" si="1"/>
        <v>0.77321171850895765</v>
      </c>
      <c r="O689" s="50">
        <v>100187374.64</v>
      </c>
      <c r="P689" s="152">
        <f t="shared" si="2"/>
        <v>0.22678828149104244</v>
      </c>
      <c r="Q689" s="50">
        <v>96481474.640000001</v>
      </c>
    </row>
    <row r="690" spans="1:17" hidden="1" x14ac:dyDescent="0.25">
      <c r="A690" s="49" t="s">
        <v>717</v>
      </c>
      <c r="B690" s="49" t="s">
        <v>77</v>
      </c>
      <c r="C690" s="49" t="s">
        <v>78</v>
      </c>
      <c r="D690" s="49" t="s">
        <v>69</v>
      </c>
      <c r="E690" s="50">
        <v>497190642</v>
      </c>
      <c r="F690" s="50">
        <v>488516531</v>
      </c>
      <c r="G690" s="50">
        <v>476489960</v>
      </c>
      <c r="H690" s="50">
        <v>0</v>
      </c>
      <c r="I690" s="50">
        <v>0</v>
      </c>
      <c r="J690" s="50">
        <v>0</v>
      </c>
      <c r="K690" s="50">
        <v>310773784.60000002</v>
      </c>
      <c r="L690" s="152">
        <f t="shared" si="0"/>
        <v>0.6361581745531556</v>
      </c>
      <c r="M690" s="50">
        <v>310773784.60000002</v>
      </c>
      <c r="N690" s="152">
        <f t="shared" si="1"/>
        <v>0.6361581745531556</v>
      </c>
      <c r="O690" s="50">
        <v>177742746.40000001</v>
      </c>
      <c r="P690" s="152">
        <f t="shared" si="2"/>
        <v>0.36384182544684451</v>
      </c>
      <c r="Q690" s="50">
        <v>165716175.40000001</v>
      </c>
    </row>
    <row r="691" spans="1:17" hidden="1" x14ac:dyDescent="0.25">
      <c r="A691" s="49" t="s">
        <v>717</v>
      </c>
      <c r="B691" s="49" t="s">
        <v>79</v>
      </c>
      <c r="C691" s="49" t="s">
        <v>80</v>
      </c>
      <c r="D691" s="49" t="s">
        <v>69</v>
      </c>
      <c r="E691" s="50">
        <v>91313600</v>
      </c>
      <c r="F691" s="50">
        <v>91313600</v>
      </c>
      <c r="G691" s="50">
        <v>84507129</v>
      </c>
      <c r="H691" s="50">
        <v>0</v>
      </c>
      <c r="I691" s="50">
        <v>0</v>
      </c>
      <c r="J691" s="50">
        <v>0</v>
      </c>
      <c r="K691" s="50">
        <v>70917177.519999996</v>
      </c>
      <c r="L691" s="152">
        <f t="shared" si="0"/>
        <v>0.77663324543112955</v>
      </c>
      <c r="M691" s="50">
        <v>70917177.519999996</v>
      </c>
      <c r="N691" s="152">
        <f t="shared" si="1"/>
        <v>0.77663324543112955</v>
      </c>
      <c r="O691" s="50">
        <v>20396422.48</v>
      </c>
      <c r="P691" s="152">
        <f t="shared" si="2"/>
        <v>0.22336675456887037</v>
      </c>
      <c r="Q691" s="50">
        <v>13589951.48</v>
      </c>
    </row>
    <row r="692" spans="1:17" hidden="1" x14ac:dyDescent="0.25">
      <c r="A692" s="49" t="s">
        <v>717</v>
      </c>
      <c r="B692" s="49" t="s">
        <v>81</v>
      </c>
      <c r="C692" s="49" t="s">
        <v>82</v>
      </c>
      <c r="D692" s="49" t="s">
        <v>69</v>
      </c>
      <c r="E692" s="50">
        <v>214869984</v>
      </c>
      <c r="F692" s="50">
        <v>209049915</v>
      </c>
      <c r="G692" s="50">
        <v>208123437</v>
      </c>
      <c r="H692" s="50">
        <v>0</v>
      </c>
      <c r="I692" s="50">
        <v>0</v>
      </c>
      <c r="J692" s="50">
        <v>0</v>
      </c>
      <c r="K692" s="50">
        <v>155772389.27000001</v>
      </c>
      <c r="L692" s="152">
        <f t="shared" si="0"/>
        <v>0.74514447551916019</v>
      </c>
      <c r="M692" s="50">
        <v>155772389.27000001</v>
      </c>
      <c r="N692" s="152">
        <f t="shared" si="1"/>
        <v>0.74514447551916019</v>
      </c>
      <c r="O692" s="50">
        <v>53277525.729999997</v>
      </c>
      <c r="P692" s="152">
        <f t="shared" si="2"/>
        <v>0.25485552448083987</v>
      </c>
      <c r="Q692" s="50">
        <v>52351047.729999997</v>
      </c>
    </row>
    <row r="693" spans="1:17" hidden="1" x14ac:dyDescent="0.25">
      <c r="A693" s="49" t="s">
        <v>717</v>
      </c>
      <c r="B693" s="49" t="s">
        <v>86</v>
      </c>
      <c r="C693" s="49" t="s">
        <v>87</v>
      </c>
      <c r="D693" s="49" t="s">
        <v>69</v>
      </c>
      <c r="E693" s="50">
        <v>67452900</v>
      </c>
      <c r="F693" s="50">
        <v>67452900</v>
      </c>
      <c r="G693" s="50">
        <v>67452900</v>
      </c>
      <c r="H693" s="50">
        <v>0</v>
      </c>
      <c r="I693" s="50">
        <v>0</v>
      </c>
      <c r="J693" s="50">
        <v>0</v>
      </c>
      <c r="K693" s="50">
        <v>49771766.130000003</v>
      </c>
      <c r="L693" s="152">
        <f t="shared" si="0"/>
        <v>0.7378743705607913</v>
      </c>
      <c r="M693" s="50">
        <v>49771766.130000003</v>
      </c>
      <c r="N693" s="152">
        <f t="shared" si="1"/>
        <v>0.7378743705607913</v>
      </c>
      <c r="O693" s="50">
        <v>17681133.870000001</v>
      </c>
      <c r="P693" s="152">
        <f t="shared" si="2"/>
        <v>0.2621256294392087</v>
      </c>
      <c r="Q693" s="50">
        <v>17681133.870000001</v>
      </c>
    </row>
    <row r="694" spans="1:17" hidden="1" x14ac:dyDescent="0.25">
      <c r="A694" s="49" t="s">
        <v>717</v>
      </c>
      <c r="B694" s="49" t="s">
        <v>88</v>
      </c>
      <c r="C694" s="49" t="s">
        <v>89</v>
      </c>
      <c r="D694" s="49" t="s">
        <v>69</v>
      </c>
      <c r="E694" s="50">
        <v>50235300</v>
      </c>
      <c r="F694" s="50">
        <v>49689780</v>
      </c>
      <c r="G694" s="50">
        <v>49553400</v>
      </c>
      <c r="H694" s="50">
        <v>0</v>
      </c>
      <c r="I694" s="50">
        <v>0</v>
      </c>
      <c r="J694" s="50">
        <v>0</v>
      </c>
      <c r="K694" s="50">
        <v>34278004.579999998</v>
      </c>
      <c r="L694" s="152">
        <f t="shared" si="0"/>
        <v>0.68984013573817393</v>
      </c>
      <c r="M694" s="50">
        <v>34278004.579999998</v>
      </c>
      <c r="N694" s="152">
        <f t="shared" si="1"/>
        <v>0.68984013573817393</v>
      </c>
      <c r="O694" s="50">
        <v>15411775.42</v>
      </c>
      <c r="P694" s="152">
        <f t="shared" si="2"/>
        <v>0.31015986426182607</v>
      </c>
      <c r="Q694" s="50">
        <v>15275395.42</v>
      </c>
    </row>
    <row r="695" spans="1:17" hidden="1" x14ac:dyDescent="0.25">
      <c r="A695" s="49" t="s">
        <v>717</v>
      </c>
      <c r="B695" s="49" t="s">
        <v>83</v>
      </c>
      <c r="C695" s="49" t="s">
        <v>84</v>
      </c>
      <c r="D695" s="49" t="s">
        <v>85</v>
      </c>
      <c r="E695" s="50">
        <v>73318858</v>
      </c>
      <c r="F695" s="50">
        <v>71010336</v>
      </c>
      <c r="G695" s="50">
        <v>66853094</v>
      </c>
      <c r="H695" s="50">
        <v>0</v>
      </c>
      <c r="I695" s="50">
        <v>0</v>
      </c>
      <c r="J695" s="50">
        <v>0</v>
      </c>
      <c r="K695" s="50">
        <v>34447.1</v>
      </c>
      <c r="L695" s="152">
        <f t="shared" si="0"/>
        <v>4.8509980293573034E-4</v>
      </c>
      <c r="M695" s="50">
        <v>34447.1</v>
      </c>
      <c r="N695" s="152">
        <f t="shared" si="1"/>
        <v>4.8509980293573034E-4</v>
      </c>
      <c r="O695" s="50">
        <v>70975888.900000006</v>
      </c>
      <c r="P695" s="152">
        <f t="shared" si="2"/>
        <v>0.99951490019706435</v>
      </c>
      <c r="Q695" s="50">
        <v>66818646.899999999</v>
      </c>
    </row>
    <row r="696" spans="1:17" hidden="1" x14ac:dyDescent="0.25">
      <c r="A696" s="49" t="s">
        <v>717</v>
      </c>
      <c r="B696" s="49" t="s">
        <v>90</v>
      </c>
      <c r="C696" s="49" t="s">
        <v>91</v>
      </c>
      <c r="D696" s="49" t="s">
        <v>69</v>
      </c>
      <c r="E696" s="50">
        <v>85817390</v>
      </c>
      <c r="F696" s="50">
        <v>83115337</v>
      </c>
      <c r="G696" s="50">
        <v>82650379</v>
      </c>
      <c r="H696" s="50">
        <v>0</v>
      </c>
      <c r="I696" s="50">
        <v>19201327</v>
      </c>
      <c r="J696" s="50">
        <v>0</v>
      </c>
      <c r="K696" s="50">
        <v>63449052</v>
      </c>
      <c r="L696" s="152">
        <f t="shared" si="0"/>
        <v>0.76338560715936221</v>
      </c>
      <c r="M696" s="50">
        <v>63449052</v>
      </c>
      <c r="N696" s="152">
        <f t="shared" si="1"/>
        <v>0.76338560715936221</v>
      </c>
      <c r="O696" s="50">
        <v>464958</v>
      </c>
      <c r="P696" s="152">
        <f t="shared" si="2"/>
        <v>5.5941299979328724E-3</v>
      </c>
      <c r="Q696" s="50">
        <v>0</v>
      </c>
    </row>
    <row r="697" spans="1:17" hidden="1" x14ac:dyDescent="0.25">
      <c r="A697" s="49" t="s">
        <v>717</v>
      </c>
      <c r="B697" s="49" t="s">
        <v>427</v>
      </c>
      <c r="C697" s="49" t="s">
        <v>697</v>
      </c>
      <c r="D697" s="49" t="s">
        <v>69</v>
      </c>
      <c r="E697" s="50">
        <v>81416555</v>
      </c>
      <c r="F697" s="50">
        <v>78853069</v>
      </c>
      <c r="G697" s="50">
        <v>78411955</v>
      </c>
      <c r="H697" s="50">
        <v>0</v>
      </c>
      <c r="I697" s="50">
        <v>18216731</v>
      </c>
      <c r="J697" s="50">
        <v>0</v>
      </c>
      <c r="K697" s="50">
        <v>60195224</v>
      </c>
      <c r="L697" s="152">
        <f t="shared" si="0"/>
        <v>0.76338466927647419</v>
      </c>
      <c r="M697" s="50">
        <v>60195224</v>
      </c>
      <c r="N697" s="152">
        <f t="shared" si="1"/>
        <v>0.76338466927647419</v>
      </c>
      <c r="O697" s="50">
        <v>441114</v>
      </c>
      <c r="P697" s="152">
        <f t="shared" si="2"/>
        <v>5.594125955959939E-3</v>
      </c>
      <c r="Q697" s="50">
        <v>0</v>
      </c>
    </row>
    <row r="698" spans="1:17" hidden="1" x14ac:dyDescent="0.25">
      <c r="A698" s="49" t="s">
        <v>717</v>
      </c>
      <c r="B698" s="49" t="s">
        <v>444</v>
      </c>
      <c r="C698" s="49" t="s">
        <v>95</v>
      </c>
      <c r="D698" s="49" t="s">
        <v>69</v>
      </c>
      <c r="E698" s="50">
        <v>4400835</v>
      </c>
      <c r="F698" s="50">
        <v>4262268</v>
      </c>
      <c r="G698" s="50">
        <v>4238424</v>
      </c>
      <c r="H698" s="50">
        <v>0</v>
      </c>
      <c r="I698" s="50">
        <v>984596</v>
      </c>
      <c r="J698" s="50">
        <v>0</v>
      </c>
      <c r="K698" s="50">
        <v>3253828</v>
      </c>
      <c r="L698" s="152">
        <f t="shared" si="0"/>
        <v>0.76340295823725768</v>
      </c>
      <c r="M698" s="50">
        <v>3253828</v>
      </c>
      <c r="N698" s="152">
        <f t="shared" si="1"/>
        <v>0.76340295823725768</v>
      </c>
      <c r="O698" s="50">
        <v>23844</v>
      </c>
      <c r="P698" s="152">
        <f t="shared" si="2"/>
        <v>5.594204775485727E-3</v>
      </c>
      <c r="Q698" s="50">
        <v>0</v>
      </c>
    </row>
    <row r="699" spans="1:17" hidden="1" x14ac:dyDescent="0.25">
      <c r="A699" s="49" t="s">
        <v>717</v>
      </c>
      <c r="B699" s="49" t="s">
        <v>96</v>
      </c>
      <c r="C699" s="49" t="s">
        <v>97</v>
      </c>
      <c r="D699" s="49" t="s">
        <v>69</v>
      </c>
      <c r="E699" s="50">
        <v>85817289</v>
      </c>
      <c r="F699" s="50">
        <v>83115238</v>
      </c>
      <c r="G699" s="50">
        <v>80350280</v>
      </c>
      <c r="H699" s="50">
        <v>0</v>
      </c>
      <c r="I699" s="50">
        <v>17086161</v>
      </c>
      <c r="J699" s="50">
        <v>0</v>
      </c>
      <c r="K699" s="50">
        <v>63264119</v>
      </c>
      <c r="L699" s="152">
        <f t="shared" si="0"/>
        <v>0.76116149724554716</v>
      </c>
      <c r="M699" s="50">
        <v>63264119</v>
      </c>
      <c r="N699" s="152">
        <f t="shared" si="1"/>
        <v>0.76116149724554716</v>
      </c>
      <c r="O699" s="50">
        <v>2764958</v>
      </c>
      <c r="P699" s="152">
        <f t="shared" si="2"/>
        <v>3.3266559376272258E-2</v>
      </c>
      <c r="Q699" s="50">
        <v>0</v>
      </c>
    </row>
    <row r="700" spans="1:17" hidden="1" x14ac:dyDescent="0.25">
      <c r="A700" s="49" t="s">
        <v>717</v>
      </c>
      <c r="B700" s="49" t="s">
        <v>462</v>
      </c>
      <c r="C700" s="49" t="s">
        <v>698</v>
      </c>
      <c r="D700" s="49" t="s">
        <v>69</v>
      </c>
      <c r="E700" s="50">
        <v>46209371</v>
      </c>
      <c r="F700" s="50">
        <v>44754420</v>
      </c>
      <c r="G700" s="50">
        <v>44504058</v>
      </c>
      <c r="H700" s="50">
        <v>0</v>
      </c>
      <c r="I700" s="50">
        <v>10524077</v>
      </c>
      <c r="J700" s="50">
        <v>0</v>
      </c>
      <c r="K700" s="50">
        <v>33979981</v>
      </c>
      <c r="L700" s="152">
        <f t="shared" si="0"/>
        <v>0.75925419209990874</v>
      </c>
      <c r="M700" s="50">
        <v>33979981</v>
      </c>
      <c r="N700" s="152">
        <f t="shared" si="1"/>
        <v>0.75925419209990874</v>
      </c>
      <c r="O700" s="50">
        <v>250362</v>
      </c>
      <c r="P700" s="152">
        <f t="shared" si="2"/>
        <v>5.5941290268089723E-3</v>
      </c>
      <c r="Q700" s="50">
        <v>0</v>
      </c>
    </row>
    <row r="701" spans="1:17" hidden="1" x14ac:dyDescent="0.25">
      <c r="A701" s="49" t="s">
        <v>717</v>
      </c>
      <c r="B701" s="49" t="s">
        <v>479</v>
      </c>
      <c r="C701" s="49" t="s">
        <v>699</v>
      </c>
      <c r="D701" s="49" t="s">
        <v>69</v>
      </c>
      <c r="E701" s="50">
        <v>13202606</v>
      </c>
      <c r="F701" s="50">
        <v>12786906</v>
      </c>
      <c r="G701" s="50">
        <v>12715374</v>
      </c>
      <c r="H701" s="50">
        <v>0</v>
      </c>
      <c r="I701" s="50">
        <v>2954014</v>
      </c>
      <c r="J701" s="50">
        <v>0</v>
      </c>
      <c r="K701" s="50">
        <v>9761360</v>
      </c>
      <c r="L701" s="152">
        <f t="shared" si="0"/>
        <v>0.7633871712203093</v>
      </c>
      <c r="M701" s="50">
        <v>9761360</v>
      </c>
      <c r="N701" s="152">
        <f t="shared" si="1"/>
        <v>0.7633871712203093</v>
      </c>
      <c r="O701" s="50">
        <v>71532</v>
      </c>
      <c r="P701" s="152">
        <f t="shared" si="2"/>
        <v>5.5941601510169853E-3</v>
      </c>
      <c r="Q701" s="50">
        <v>0</v>
      </c>
    </row>
    <row r="702" spans="1:17" hidden="1" x14ac:dyDescent="0.25">
      <c r="A702" s="49" t="s">
        <v>717</v>
      </c>
      <c r="B702" s="49" t="s">
        <v>496</v>
      </c>
      <c r="C702" s="49" t="s">
        <v>700</v>
      </c>
      <c r="D702" s="49" t="s">
        <v>69</v>
      </c>
      <c r="E702" s="50">
        <v>26405312</v>
      </c>
      <c r="F702" s="50">
        <v>25573912</v>
      </c>
      <c r="G702" s="50">
        <v>23130848</v>
      </c>
      <c r="H702" s="50">
        <v>0</v>
      </c>
      <c r="I702" s="50">
        <v>3608070</v>
      </c>
      <c r="J702" s="50">
        <v>0</v>
      </c>
      <c r="K702" s="50">
        <v>19522778</v>
      </c>
      <c r="L702" s="152">
        <f t="shared" si="0"/>
        <v>0.76338645413341533</v>
      </c>
      <c r="M702" s="50">
        <v>19522778</v>
      </c>
      <c r="N702" s="152">
        <f t="shared" si="1"/>
        <v>0.76338645413341533</v>
      </c>
      <c r="O702" s="50">
        <v>2443064</v>
      </c>
      <c r="P702" s="152">
        <f t="shared" si="2"/>
        <v>9.5529538069889341E-2</v>
      </c>
      <c r="Q702" s="50">
        <v>0</v>
      </c>
    </row>
    <row r="703" spans="1:17" hidden="1" x14ac:dyDescent="0.25">
      <c r="A703" s="49" t="s">
        <v>717</v>
      </c>
      <c r="B703" s="49" t="s">
        <v>104</v>
      </c>
      <c r="C703" s="49" t="s">
        <v>105</v>
      </c>
      <c r="D703" s="49" t="s">
        <v>69</v>
      </c>
      <c r="E703" s="50">
        <v>143937951</v>
      </c>
      <c r="F703" s="50">
        <v>91784695</v>
      </c>
      <c r="G703" s="50">
        <v>91784695</v>
      </c>
      <c r="H703" s="50">
        <v>2342367.2599999998</v>
      </c>
      <c r="I703" s="50">
        <v>26783983.670000002</v>
      </c>
      <c r="J703" s="50">
        <v>43640.11</v>
      </c>
      <c r="K703" s="50">
        <v>37279383.130000003</v>
      </c>
      <c r="L703" s="152">
        <f t="shared" si="0"/>
        <v>0.40616121380585296</v>
      </c>
      <c r="M703" s="50">
        <v>32443074.899999999</v>
      </c>
      <c r="N703" s="152">
        <f t="shared" si="1"/>
        <v>0.35346933276838799</v>
      </c>
      <c r="O703" s="50">
        <v>25335320.829999998</v>
      </c>
      <c r="P703" s="152">
        <f t="shared" si="2"/>
        <v>0.27602990705585501</v>
      </c>
      <c r="Q703" s="50">
        <v>25335320.829999998</v>
      </c>
    </row>
    <row r="704" spans="1:17" hidden="1" x14ac:dyDescent="0.25">
      <c r="A704" s="49" t="s">
        <v>717</v>
      </c>
      <c r="B704" s="49" t="s">
        <v>106</v>
      </c>
      <c r="C704" s="49" t="s">
        <v>107</v>
      </c>
      <c r="D704" s="49" t="s">
        <v>69</v>
      </c>
      <c r="E704" s="50">
        <v>60469231</v>
      </c>
      <c r="F704" s="50">
        <v>50315823</v>
      </c>
      <c r="G704" s="50">
        <v>50315823</v>
      </c>
      <c r="H704" s="50">
        <v>2220367.2599999998</v>
      </c>
      <c r="I704" s="50">
        <v>12486617.75</v>
      </c>
      <c r="J704" s="50">
        <v>43640.11</v>
      </c>
      <c r="K704" s="50">
        <v>21879397.489999998</v>
      </c>
      <c r="L704" s="152">
        <f t="shared" si="0"/>
        <v>0.43484129217164941</v>
      </c>
      <c r="M704" s="50">
        <v>17701508.620000001</v>
      </c>
      <c r="N704" s="152">
        <f t="shared" si="1"/>
        <v>0.35180799129530288</v>
      </c>
      <c r="O704" s="50">
        <v>13685800.390000001</v>
      </c>
      <c r="P704" s="152">
        <f t="shared" si="2"/>
        <v>0.2719979436687342</v>
      </c>
      <c r="Q704" s="50">
        <v>13685800.390000001</v>
      </c>
    </row>
    <row r="705" spans="1:17" hidden="1" x14ac:dyDescent="0.25">
      <c r="A705" s="49" t="s">
        <v>717</v>
      </c>
      <c r="B705" s="49" t="s">
        <v>108</v>
      </c>
      <c r="C705" s="49" t="s">
        <v>109</v>
      </c>
      <c r="D705" s="49" t="s">
        <v>69</v>
      </c>
      <c r="E705" s="50">
        <v>60469231</v>
      </c>
      <c r="F705" s="50">
        <v>50315823</v>
      </c>
      <c r="G705" s="50">
        <v>50315823</v>
      </c>
      <c r="H705" s="50">
        <v>2220367.2599999998</v>
      </c>
      <c r="I705" s="50">
        <v>12486617.75</v>
      </c>
      <c r="J705" s="50">
        <v>43640.11</v>
      </c>
      <c r="K705" s="50">
        <v>21879397.489999998</v>
      </c>
      <c r="L705" s="152">
        <f t="shared" si="0"/>
        <v>0.43484129217164941</v>
      </c>
      <c r="M705" s="50">
        <v>17701508.620000001</v>
      </c>
      <c r="N705" s="152">
        <f t="shared" si="1"/>
        <v>0.35180799129530288</v>
      </c>
      <c r="O705" s="50">
        <v>13685800.390000001</v>
      </c>
      <c r="P705" s="152">
        <f t="shared" si="2"/>
        <v>0.2719979436687342</v>
      </c>
      <c r="Q705" s="50">
        <v>13685800.390000001</v>
      </c>
    </row>
    <row r="706" spans="1:17" hidden="1" x14ac:dyDescent="0.25">
      <c r="A706" s="49" t="s">
        <v>717</v>
      </c>
      <c r="B706" s="49" t="s">
        <v>112</v>
      </c>
      <c r="C706" s="49" t="s">
        <v>113</v>
      </c>
      <c r="D706" s="49" t="s">
        <v>69</v>
      </c>
      <c r="E706" s="50">
        <v>12862800</v>
      </c>
      <c r="F706" s="50">
        <v>13016208</v>
      </c>
      <c r="G706" s="50">
        <v>13016208</v>
      </c>
      <c r="H706" s="50">
        <v>0</v>
      </c>
      <c r="I706" s="50">
        <v>5935092.0300000003</v>
      </c>
      <c r="J706" s="50">
        <v>0</v>
      </c>
      <c r="K706" s="50">
        <v>3255411.38</v>
      </c>
      <c r="L706" s="152">
        <f t="shared" si="0"/>
        <v>0.25010443748286748</v>
      </c>
      <c r="M706" s="50">
        <v>3255411.38</v>
      </c>
      <c r="N706" s="152">
        <f t="shared" si="1"/>
        <v>0.25010443748286748</v>
      </c>
      <c r="O706" s="50">
        <v>3825704.59</v>
      </c>
      <c r="P706" s="152">
        <f t="shared" si="2"/>
        <v>0.29391851989458068</v>
      </c>
      <c r="Q706" s="50">
        <v>3825704.59</v>
      </c>
    </row>
    <row r="707" spans="1:17" hidden="1" x14ac:dyDescent="0.25">
      <c r="A707" s="49" t="s">
        <v>717</v>
      </c>
      <c r="B707" s="49" t="s">
        <v>114</v>
      </c>
      <c r="C707" s="49" t="s">
        <v>115</v>
      </c>
      <c r="D707" s="49" t="s">
        <v>69</v>
      </c>
      <c r="E707" s="50">
        <v>0</v>
      </c>
      <c r="F707" s="50">
        <v>153408</v>
      </c>
      <c r="G707" s="50">
        <v>153408</v>
      </c>
      <c r="H707" s="50">
        <v>0</v>
      </c>
      <c r="I707" s="50">
        <v>0</v>
      </c>
      <c r="J707" s="50">
        <v>0</v>
      </c>
      <c r="K707" s="50">
        <v>89146</v>
      </c>
      <c r="L707" s="152">
        <f t="shared" si="0"/>
        <v>0.58110398414685027</v>
      </c>
      <c r="M707" s="50">
        <v>89146</v>
      </c>
      <c r="N707" s="152">
        <f t="shared" si="1"/>
        <v>0.58110398414685027</v>
      </c>
      <c r="O707" s="50">
        <v>64262</v>
      </c>
      <c r="P707" s="152">
        <f t="shared" si="2"/>
        <v>0.41889601585314978</v>
      </c>
      <c r="Q707" s="50">
        <v>64262</v>
      </c>
    </row>
    <row r="708" spans="1:17" hidden="1" x14ac:dyDescent="0.25">
      <c r="A708" s="49" t="s">
        <v>717</v>
      </c>
      <c r="B708" s="49" t="s">
        <v>116</v>
      </c>
      <c r="C708" s="49" t="s">
        <v>117</v>
      </c>
      <c r="D708" s="49" t="s">
        <v>69</v>
      </c>
      <c r="E708" s="50">
        <v>500000</v>
      </c>
      <c r="F708" s="50">
        <v>500000</v>
      </c>
      <c r="G708" s="50">
        <v>500000</v>
      </c>
      <c r="H708" s="50">
        <v>0</v>
      </c>
      <c r="I708" s="50">
        <v>56314</v>
      </c>
      <c r="J708" s="50">
        <v>0</v>
      </c>
      <c r="K708" s="50">
        <v>443094.75</v>
      </c>
      <c r="L708" s="152">
        <f t="shared" si="0"/>
        <v>0.88618949999999996</v>
      </c>
      <c r="M708" s="50">
        <v>443094.75</v>
      </c>
      <c r="N708" s="152">
        <f t="shared" si="1"/>
        <v>0.88618949999999996</v>
      </c>
      <c r="O708" s="50">
        <v>591.25</v>
      </c>
      <c r="P708" s="152">
        <f t="shared" si="2"/>
        <v>1.1825E-3</v>
      </c>
      <c r="Q708" s="50">
        <v>591.25</v>
      </c>
    </row>
    <row r="709" spans="1:17" hidden="1" x14ac:dyDescent="0.25">
      <c r="A709" s="49" t="s">
        <v>717</v>
      </c>
      <c r="B709" s="49" t="s">
        <v>120</v>
      </c>
      <c r="C709" s="49" t="s">
        <v>121</v>
      </c>
      <c r="D709" s="49" t="s">
        <v>69</v>
      </c>
      <c r="E709" s="50">
        <v>12362800</v>
      </c>
      <c r="F709" s="50">
        <v>12362800</v>
      </c>
      <c r="G709" s="50">
        <v>12362800</v>
      </c>
      <c r="H709" s="50">
        <v>0</v>
      </c>
      <c r="I709" s="50">
        <v>5878778.0300000003</v>
      </c>
      <c r="J709" s="50">
        <v>0</v>
      </c>
      <c r="K709" s="50">
        <v>2723170.63</v>
      </c>
      <c r="L709" s="152">
        <f t="shared" si="0"/>
        <v>0.22027134872359011</v>
      </c>
      <c r="M709" s="50">
        <v>2723170.63</v>
      </c>
      <c r="N709" s="152">
        <f t="shared" si="1"/>
        <v>0.22027134872359011</v>
      </c>
      <c r="O709" s="50">
        <v>3760851.34</v>
      </c>
      <c r="P709" s="152">
        <f t="shared" si="2"/>
        <v>0.30420708415569286</v>
      </c>
      <c r="Q709" s="50">
        <v>3760851.34</v>
      </c>
    </row>
    <row r="710" spans="1:17" hidden="1" x14ac:dyDescent="0.25">
      <c r="A710" s="49" t="s">
        <v>717</v>
      </c>
      <c r="B710" s="49" t="s">
        <v>124</v>
      </c>
      <c r="C710" s="49" t="s">
        <v>125</v>
      </c>
      <c r="D710" s="49" t="s">
        <v>69</v>
      </c>
      <c r="E710" s="50">
        <v>4286000</v>
      </c>
      <c r="F710" s="50">
        <v>1559050</v>
      </c>
      <c r="G710" s="50">
        <v>1559050</v>
      </c>
      <c r="H710" s="50">
        <v>0</v>
      </c>
      <c r="I710" s="50">
        <v>197120</v>
      </c>
      <c r="J710" s="50">
        <v>0</v>
      </c>
      <c r="K710" s="50">
        <v>1188511.8</v>
      </c>
      <c r="L710" s="152">
        <f t="shared" si="0"/>
        <v>0.76233077835861585</v>
      </c>
      <c r="M710" s="50">
        <v>1157181.8</v>
      </c>
      <c r="N710" s="152">
        <f t="shared" si="1"/>
        <v>0.74223520733780191</v>
      </c>
      <c r="O710" s="50">
        <v>173418.2</v>
      </c>
      <c r="P710" s="152">
        <f t="shared" si="2"/>
        <v>0.1112332510182483</v>
      </c>
      <c r="Q710" s="50">
        <v>173418.2</v>
      </c>
    </row>
    <row r="711" spans="1:17" hidden="1" x14ac:dyDescent="0.25">
      <c r="A711" s="49" t="s">
        <v>717</v>
      </c>
      <c r="B711" s="49" t="s">
        <v>126</v>
      </c>
      <c r="C711" s="49" t="s">
        <v>127</v>
      </c>
      <c r="D711" s="49" t="s">
        <v>69</v>
      </c>
      <c r="E711" s="50">
        <v>450000</v>
      </c>
      <c r="F711" s="50">
        <v>350000</v>
      </c>
      <c r="G711" s="50">
        <v>350000</v>
      </c>
      <c r="H711" s="50">
        <v>0</v>
      </c>
      <c r="I711" s="50">
        <v>128900</v>
      </c>
      <c r="J711" s="50">
        <v>0</v>
      </c>
      <c r="K711" s="50">
        <v>49630</v>
      </c>
      <c r="L711" s="152">
        <f t="shared" si="0"/>
        <v>0.14180000000000001</v>
      </c>
      <c r="M711" s="50">
        <v>25080</v>
      </c>
      <c r="N711" s="152">
        <f t="shared" si="1"/>
        <v>7.1657142857142864E-2</v>
      </c>
      <c r="O711" s="50">
        <v>171470</v>
      </c>
      <c r="P711" s="152">
        <f t="shared" si="2"/>
        <v>0.48991428571428569</v>
      </c>
      <c r="Q711" s="50">
        <v>171470</v>
      </c>
    </row>
    <row r="712" spans="1:17" hidden="1" x14ac:dyDescent="0.25">
      <c r="A712" s="49" t="s">
        <v>717</v>
      </c>
      <c r="B712" s="49" t="s">
        <v>532</v>
      </c>
      <c r="C712" s="49" t="s">
        <v>718</v>
      </c>
      <c r="D712" s="49" t="s">
        <v>69</v>
      </c>
      <c r="E712" s="50">
        <v>1336000</v>
      </c>
      <c r="F712" s="50">
        <v>209050</v>
      </c>
      <c r="G712" s="50">
        <v>209050</v>
      </c>
      <c r="H712" s="50">
        <v>0</v>
      </c>
      <c r="I712" s="50">
        <v>0</v>
      </c>
      <c r="J712" s="50">
        <v>0</v>
      </c>
      <c r="K712" s="50">
        <v>209050</v>
      </c>
      <c r="L712" s="152">
        <f t="shared" si="0"/>
        <v>1</v>
      </c>
      <c r="M712" s="50">
        <v>209050</v>
      </c>
      <c r="N712" s="152">
        <f t="shared" si="1"/>
        <v>1</v>
      </c>
      <c r="O712" s="50">
        <v>0</v>
      </c>
      <c r="P712" s="152">
        <f t="shared" si="2"/>
        <v>0</v>
      </c>
      <c r="Q712" s="50">
        <v>0</v>
      </c>
    </row>
    <row r="713" spans="1:17" hidden="1" x14ac:dyDescent="0.25">
      <c r="A713" s="49" t="s">
        <v>717</v>
      </c>
      <c r="B713" s="49" t="s">
        <v>128</v>
      </c>
      <c r="C713" s="49" t="s">
        <v>129</v>
      </c>
      <c r="D713" s="49" t="s">
        <v>69</v>
      </c>
      <c r="E713" s="50">
        <v>2500000</v>
      </c>
      <c r="F713" s="50">
        <v>1000000</v>
      </c>
      <c r="G713" s="50">
        <v>1000000</v>
      </c>
      <c r="H713" s="50">
        <v>0</v>
      </c>
      <c r="I713" s="50">
        <v>68220</v>
      </c>
      <c r="J713" s="50">
        <v>0</v>
      </c>
      <c r="K713" s="50">
        <v>929831.8</v>
      </c>
      <c r="L713" s="152">
        <f t="shared" si="0"/>
        <v>0.9298318000000001</v>
      </c>
      <c r="M713" s="50">
        <v>923051.8</v>
      </c>
      <c r="N713" s="152">
        <f t="shared" si="1"/>
        <v>0.92305180000000009</v>
      </c>
      <c r="O713" s="50">
        <v>1948.2</v>
      </c>
      <c r="P713" s="152">
        <f t="shared" si="2"/>
        <v>1.9482E-3</v>
      </c>
      <c r="Q713" s="50">
        <v>1948.2</v>
      </c>
    </row>
    <row r="714" spans="1:17" hidden="1" x14ac:dyDescent="0.25">
      <c r="A714" s="49" t="s">
        <v>717</v>
      </c>
      <c r="B714" s="49" t="s">
        <v>134</v>
      </c>
      <c r="C714" s="49" t="s">
        <v>135</v>
      </c>
      <c r="D714" s="49" t="s">
        <v>69</v>
      </c>
      <c r="E714" s="50">
        <v>3625200</v>
      </c>
      <c r="F714" s="50">
        <v>75000</v>
      </c>
      <c r="G714" s="50">
        <v>75000</v>
      </c>
      <c r="H714" s="50">
        <v>0</v>
      </c>
      <c r="I714" s="50">
        <v>22653.25</v>
      </c>
      <c r="J714" s="50">
        <v>0</v>
      </c>
      <c r="K714" s="50">
        <v>42346.75</v>
      </c>
      <c r="L714" s="152">
        <f t="shared" si="0"/>
        <v>0.56462333333333337</v>
      </c>
      <c r="M714" s="50">
        <v>42346.75</v>
      </c>
      <c r="N714" s="152">
        <f t="shared" si="1"/>
        <v>0.56462333333333337</v>
      </c>
      <c r="O714" s="50">
        <v>10000</v>
      </c>
      <c r="P714" s="152">
        <f t="shared" si="2"/>
        <v>0.13333333333333333</v>
      </c>
      <c r="Q714" s="50">
        <v>10000</v>
      </c>
    </row>
    <row r="715" spans="1:17" hidden="1" x14ac:dyDescent="0.25">
      <c r="A715" s="49" t="s">
        <v>717</v>
      </c>
      <c r="B715" s="49" t="s">
        <v>138</v>
      </c>
      <c r="C715" s="49" t="s">
        <v>139</v>
      </c>
      <c r="D715" s="49" t="s">
        <v>69</v>
      </c>
      <c r="E715" s="50">
        <v>3625200</v>
      </c>
      <c r="F715" s="50">
        <v>75000</v>
      </c>
      <c r="G715" s="50">
        <v>75000</v>
      </c>
      <c r="H715" s="50">
        <v>0</v>
      </c>
      <c r="I715" s="50">
        <v>22653.25</v>
      </c>
      <c r="J715" s="50">
        <v>0</v>
      </c>
      <c r="K715" s="50">
        <v>42346.75</v>
      </c>
      <c r="L715" s="152">
        <f t="shared" si="0"/>
        <v>0.56462333333333337</v>
      </c>
      <c r="M715" s="50">
        <v>42346.75</v>
      </c>
      <c r="N715" s="152">
        <f t="shared" si="1"/>
        <v>0.56462333333333337</v>
      </c>
      <c r="O715" s="50">
        <v>10000</v>
      </c>
      <c r="P715" s="152">
        <f t="shared" si="2"/>
        <v>0.13333333333333333</v>
      </c>
      <c r="Q715" s="50">
        <v>10000</v>
      </c>
    </row>
    <row r="716" spans="1:17" hidden="1" x14ac:dyDescent="0.25">
      <c r="A716" s="49" t="s">
        <v>717</v>
      </c>
      <c r="B716" s="49" t="s">
        <v>140</v>
      </c>
      <c r="C716" s="49" t="s">
        <v>141</v>
      </c>
      <c r="D716" s="49" t="s">
        <v>69</v>
      </c>
      <c r="E716" s="50">
        <v>18004720</v>
      </c>
      <c r="F716" s="50">
        <v>9119755</v>
      </c>
      <c r="G716" s="50">
        <v>9119755</v>
      </c>
      <c r="H716" s="50">
        <v>122000</v>
      </c>
      <c r="I716" s="50">
        <v>2729860</v>
      </c>
      <c r="J716" s="50">
        <v>0</v>
      </c>
      <c r="K716" s="50">
        <v>3138960</v>
      </c>
      <c r="L716" s="152">
        <f t="shared" si="0"/>
        <v>0.34419345695142028</v>
      </c>
      <c r="M716" s="50">
        <v>3072860</v>
      </c>
      <c r="N716" s="152">
        <f t="shared" si="1"/>
        <v>0.33694545522330371</v>
      </c>
      <c r="O716" s="50">
        <v>3128935</v>
      </c>
      <c r="P716" s="152">
        <f t="shared" si="2"/>
        <v>0.34309419496466736</v>
      </c>
      <c r="Q716" s="50">
        <v>3128935</v>
      </c>
    </row>
    <row r="717" spans="1:17" hidden="1" x14ac:dyDescent="0.25">
      <c r="A717" s="49" t="s">
        <v>717</v>
      </c>
      <c r="B717" s="49" t="s">
        <v>142</v>
      </c>
      <c r="C717" s="49" t="s">
        <v>143</v>
      </c>
      <c r="D717" s="49" t="s">
        <v>69</v>
      </c>
      <c r="E717" s="50">
        <v>1560220</v>
      </c>
      <c r="F717" s="50">
        <v>394680</v>
      </c>
      <c r="G717" s="50">
        <v>394680</v>
      </c>
      <c r="H717" s="50">
        <v>0</v>
      </c>
      <c r="I717" s="50">
        <v>234360</v>
      </c>
      <c r="J717" s="50">
        <v>0</v>
      </c>
      <c r="K717" s="50">
        <v>160160</v>
      </c>
      <c r="L717" s="152">
        <f t="shared" si="0"/>
        <v>0.40579710144927539</v>
      </c>
      <c r="M717" s="50">
        <v>160160</v>
      </c>
      <c r="N717" s="152">
        <f t="shared" si="1"/>
        <v>0.40579710144927539</v>
      </c>
      <c r="O717" s="50">
        <v>160</v>
      </c>
      <c r="P717" s="152">
        <f t="shared" si="2"/>
        <v>4.0539170973953581E-4</v>
      </c>
      <c r="Q717" s="50">
        <v>160</v>
      </c>
    </row>
    <row r="718" spans="1:17" hidden="1" x14ac:dyDescent="0.25">
      <c r="A718" s="49" t="s">
        <v>717</v>
      </c>
      <c r="B718" s="49" t="s">
        <v>144</v>
      </c>
      <c r="C718" s="49" t="s">
        <v>145</v>
      </c>
      <c r="D718" s="49" t="s">
        <v>69</v>
      </c>
      <c r="E718" s="50">
        <v>16444500</v>
      </c>
      <c r="F718" s="50">
        <v>8725075</v>
      </c>
      <c r="G718" s="50">
        <v>8725075</v>
      </c>
      <c r="H718" s="50">
        <v>122000</v>
      </c>
      <c r="I718" s="50">
        <v>2495500</v>
      </c>
      <c r="J718" s="50">
        <v>0</v>
      </c>
      <c r="K718" s="50">
        <v>2978800</v>
      </c>
      <c r="L718" s="152">
        <f t="shared" si="0"/>
        <v>0.34140680739134049</v>
      </c>
      <c r="M718" s="50">
        <v>2912700</v>
      </c>
      <c r="N718" s="152">
        <f t="shared" si="1"/>
        <v>0.33383094128130703</v>
      </c>
      <c r="O718" s="50">
        <v>3128775</v>
      </c>
      <c r="P718" s="152">
        <f t="shared" si="2"/>
        <v>0.35859577138305404</v>
      </c>
      <c r="Q718" s="50">
        <v>3128775</v>
      </c>
    </row>
    <row r="719" spans="1:17" hidden="1" x14ac:dyDescent="0.25">
      <c r="A719" s="49" t="s">
        <v>717</v>
      </c>
      <c r="B719" s="49" t="s">
        <v>150</v>
      </c>
      <c r="C719" s="49" t="s">
        <v>151</v>
      </c>
      <c r="D719" s="49" t="s">
        <v>69</v>
      </c>
      <c r="E719" s="50">
        <v>6000000</v>
      </c>
      <c r="F719" s="50">
        <v>5900000</v>
      </c>
      <c r="G719" s="50">
        <v>5900000</v>
      </c>
      <c r="H719" s="50">
        <v>0</v>
      </c>
      <c r="I719" s="50">
        <v>692786</v>
      </c>
      <c r="J719" s="50">
        <v>0</v>
      </c>
      <c r="K719" s="50">
        <v>4707214</v>
      </c>
      <c r="L719" s="152">
        <f t="shared" si="0"/>
        <v>0.79783288135593222</v>
      </c>
      <c r="M719" s="50">
        <v>4707214</v>
      </c>
      <c r="N719" s="152">
        <f t="shared" si="1"/>
        <v>0.79783288135593222</v>
      </c>
      <c r="O719" s="50">
        <v>500000</v>
      </c>
      <c r="P719" s="152">
        <f t="shared" si="2"/>
        <v>8.4745762711864403E-2</v>
      </c>
      <c r="Q719" s="50">
        <v>500000</v>
      </c>
    </row>
    <row r="720" spans="1:17" hidden="1" x14ac:dyDescent="0.25">
      <c r="A720" s="49" t="s">
        <v>717</v>
      </c>
      <c r="B720" s="49" t="s">
        <v>152</v>
      </c>
      <c r="C720" s="49" t="s">
        <v>153</v>
      </c>
      <c r="D720" s="49" t="s">
        <v>69</v>
      </c>
      <c r="E720" s="50">
        <v>6000000</v>
      </c>
      <c r="F720" s="50">
        <v>5900000</v>
      </c>
      <c r="G720" s="50">
        <v>5900000</v>
      </c>
      <c r="H720" s="50">
        <v>0</v>
      </c>
      <c r="I720" s="50">
        <v>692786</v>
      </c>
      <c r="J720" s="50">
        <v>0</v>
      </c>
      <c r="K720" s="50">
        <v>4707214</v>
      </c>
      <c r="L720" s="152">
        <f t="shared" si="0"/>
        <v>0.79783288135593222</v>
      </c>
      <c r="M720" s="50">
        <v>4707214</v>
      </c>
      <c r="N720" s="152">
        <f t="shared" si="1"/>
        <v>0.79783288135593222</v>
      </c>
      <c r="O720" s="50">
        <v>500000</v>
      </c>
      <c r="P720" s="152">
        <f t="shared" si="2"/>
        <v>8.4745762711864403E-2</v>
      </c>
      <c r="Q720" s="50">
        <v>500000</v>
      </c>
    </row>
    <row r="721" spans="1:17" hidden="1" x14ac:dyDescent="0.25">
      <c r="A721" s="49" t="s">
        <v>717</v>
      </c>
      <c r="B721" s="49" t="s">
        <v>154</v>
      </c>
      <c r="C721" s="49" t="s">
        <v>155</v>
      </c>
      <c r="D721" s="49" t="s">
        <v>69</v>
      </c>
      <c r="E721" s="50">
        <v>27190000</v>
      </c>
      <c r="F721" s="50">
        <v>3418859</v>
      </c>
      <c r="G721" s="50">
        <v>3418859</v>
      </c>
      <c r="H721" s="50">
        <v>0</v>
      </c>
      <c r="I721" s="50">
        <v>0</v>
      </c>
      <c r="J721" s="50">
        <v>0</v>
      </c>
      <c r="K721" s="50">
        <v>350300</v>
      </c>
      <c r="L721" s="152">
        <f t="shared" si="0"/>
        <v>0.10246108423892299</v>
      </c>
      <c r="M721" s="50">
        <v>350300</v>
      </c>
      <c r="N721" s="152">
        <f t="shared" si="1"/>
        <v>0.10246108423892299</v>
      </c>
      <c r="O721" s="50">
        <v>3068559</v>
      </c>
      <c r="P721" s="152">
        <f t="shared" si="2"/>
        <v>0.89753891576107703</v>
      </c>
      <c r="Q721" s="50">
        <v>3068559</v>
      </c>
    </row>
    <row r="722" spans="1:17" hidden="1" x14ac:dyDescent="0.25">
      <c r="A722" s="49" t="s">
        <v>717</v>
      </c>
      <c r="B722" s="49" t="s">
        <v>156</v>
      </c>
      <c r="C722" s="49" t="s">
        <v>157</v>
      </c>
      <c r="D722" s="49" t="s">
        <v>69</v>
      </c>
      <c r="E722" s="50">
        <v>27190000</v>
      </c>
      <c r="F722" s="50">
        <v>3418859</v>
      </c>
      <c r="G722" s="50">
        <v>3418859</v>
      </c>
      <c r="H722" s="50">
        <v>0</v>
      </c>
      <c r="I722" s="50">
        <v>0</v>
      </c>
      <c r="J722" s="50">
        <v>0</v>
      </c>
      <c r="K722" s="50">
        <v>350300</v>
      </c>
      <c r="L722" s="152">
        <f t="shared" si="0"/>
        <v>0.10246108423892299</v>
      </c>
      <c r="M722" s="50">
        <v>350300</v>
      </c>
      <c r="N722" s="152">
        <f t="shared" si="1"/>
        <v>0.10246108423892299</v>
      </c>
      <c r="O722" s="50">
        <v>3068559</v>
      </c>
      <c r="P722" s="152">
        <f t="shared" si="2"/>
        <v>0.89753891576107703</v>
      </c>
      <c r="Q722" s="50">
        <v>3068559</v>
      </c>
    </row>
    <row r="723" spans="1:17" hidden="1" x14ac:dyDescent="0.25">
      <c r="A723" s="49" t="s">
        <v>717</v>
      </c>
      <c r="B723" s="49" t="s">
        <v>162</v>
      </c>
      <c r="C723" s="49" t="s">
        <v>163</v>
      </c>
      <c r="D723" s="49" t="s">
        <v>69</v>
      </c>
      <c r="E723" s="50">
        <v>9500000</v>
      </c>
      <c r="F723" s="50">
        <v>7000000</v>
      </c>
      <c r="G723" s="50">
        <v>7000000</v>
      </c>
      <c r="H723" s="50">
        <v>0</v>
      </c>
      <c r="I723" s="50">
        <v>4135939.64</v>
      </c>
      <c r="J723" s="50">
        <v>0</v>
      </c>
      <c r="K723" s="50">
        <v>2471156.71</v>
      </c>
      <c r="L723" s="152">
        <f t="shared" si="0"/>
        <v>0.35302238714285716</v>
      </c>
      <c r="M723" s="50">
        <v>1910167.35</v>
      </c>
      <c r="N723" s="152">
        <f t="shared" si="1"/>
        <v>0.27288105000000001</v>
      </c>
      <c r="O723" s="50">
        <v>392903.65</v>
      </c>
      <c r="P723" s="152">
        <f t="shared" si="2"/>
        <v>5.6129092857142862E-2</v>
      </c>
      <c r="Q723" s="50">
        <v>392903.65</v>
      </c>
    </row>
    <row r="724" spans="1:17" hidden="1" x14ac:dyDescent="0.25">
      <c r="A724" s="49" t="s">
        <v>717</v>
      </c>
      <c r="B724" s="49" t="s">
        <v>166</v>
      </c>
      <c r="C724" s="49" t="s">
        <v>167</v>
      </c>
      <c r="D724" s="49" t="s">
        <v>69</v>
      </c>
      <c r="E724" s="50">
        <v>4500000</v>
      </c>
      <c r="F724" s="50">
        <v>2000000</v>
      </c>
      <c r="G724" s="50">
        <v>2000000</v>
      </c>
      <c r="H724" s="50">
        <v>0</v>
      </c>
      <c r="I724" s="50">
        <v>835565</v>
      </c>
      <c r="J724" s="50">
        <v>0</v>
      </c>
      <c r="K724" s="50">
        <v>1161104.6000000001</v>
      </c>
      <c r="L724" s="152">
        <f t="shared" si="0"/>
        <v>0.58055230000000002</v>
      </c>
      <c r="M724" s="50">
        <v>1161104.6000000001</v>
      </c>
      <c r="N724" s="152">
        <f t="shared" si="1"/>
        <v>0.58055230000000002</v>
      </c>
      <c r="O724" s="50">
        <v>3330.4</v>
      </c>
      <c r="P724" s="152">
        <f t="shared" si="2"/>
        <v>1.6652000000000001E-3</v>
      </c>
      <c r="Q724" s="50">
        <v>3330.4</v>
      </c>
    </row>
    <row r="725" spans="1:17" hidden="1" x14ac:dyDescent="0.25">
      <c r="A725" s="49" t="s">
        <v>717</v>
      </c>
      <c r="B725" s="49" t="s">
        <v>170</v>
      </c>
      <c r="C725" s="49" t="s">
        <v>171</v>
      </c>
      <c r="D725" s="49" t="s">
        <v>69</v>
      </c>
      <c r="E725" s="50">
        <v>5000000</v>
      </c>
      <c r="F725" s="50">
        <v>5000000</v>
      </c>
      <c r="G725" s="50">
        <v>5000000</v>
      </c>
      <c r="H725" s="50">
        <v>0</v>
      </c>
      <c r="I725" s="50">
        <v>3300374.64</v>
      </c>
      <c r="J725" s="50">
        <v>0</v>
      </c>
      <c r="K725" s="50">
        <v>1310052.1100000001</v>
      </c>
      <c r="L725" s="152">
        <f t="shared" si="0"/>
        <v>0.26201042200000002</v>
      </c>
      <c r="M725" s="50">
        <v>749062.75</v>
      </c>
      <c r="N725" s="152">
        <f t="shared" si="1"/>
        <v>0.14981254999999999</v>
      </c>
      <c r="O725" s="50">
        <v>389573.25</v>
      </c>
      <c r="P725" s="152">
        <f t="shared" si="2"/>
        <v>7.7914650000000002E-2</v>
      </c>
      <c r="Q725" s="50">
        <v>389573.25</v>
      </c>
    </row>
    <row r="726" spans="1:17" hidden="1" x14ac:dyDescent="0.25">
      <c r="A726" s="49" t="s">
        <v>717</v>
      </c>
      <c r="B726" s="49" t="s">
        <v>174</v>
      </c>
      <c r="C726" s="49" t="s">
        <v>175</v>
      </c>
      <c r="D726" s="49" t="s">
        <v>69</v>
      </c>
      <c r="E726" s="50">
        <v>500000</v>
      </c>
      <c r="F726" s="50">
        <v>380000</v>
      </c>
      <c r="G726" s="50">
        <v>380000</v>
      </c>
      <c r="H726" s="50">
        <v>0</v>
      </c>
      <c r="I726" s="50">
        <v>283915</v>
      </c>
      <c r="J726" s="50">
        <v>0</v>
      </c>
      <c r="K726" s="50">
        <v>46085</v>
      </c>
      <c r="L726" s="152">
        <f t="shared" si="0"/>
        <v>0.12127631578947369</v>
      </c>
      <c r="M726" s="50">
        <v>46085</v>
      </c>
      <c r="N726" s="152">
        <f t="shared" si="1"/>
        <v>0.12127631578947369</v>
      </c>
      <c r="O726" s="50">
        <v>50000</v>
      </c>
      <c r="P726" s="152">
        <f t="shared" si="2"/>
        <v>0.13157894736842105</v>
      </c>
      <c r="Q726" s="50">
        <v>50000</v>
      </c>
    </row>
    <row r="727" spans="1:17" hidden="1" x14ac:dyDescent="0.25">
      <c r="A727" s="49" t="s">
        <v>717</v>
      </c>
      <c r="B727" s="49" t="s">
        <v>176</v>
      </c>
      <c r="C727" s="49" t="s">
        <v>177</v>
      </c>
      <c r="D727" s="49" t="s">
        <v>69</v>
      </c>
      <c r="E727" s="50">
        <v>500000</v>
      </c>
      <c r="F727" s="50">
        <v>380000</v>
      </c>
      <c r="G727" s="50">
        <v>380000</v>
      </c>
      <c r="H727" s="50">
        <v>0</v>
      </c>
      <c r="I727" s="50">
        <v>283915</v>
      </c>
      <c r="J727" s="50">
        <v>0</v>
      </c>
      <c r="K727" s="50">
        <v>46085</v>
      </c>
      <c r="L727" s="152">
        <f t="shared" si="0"/>
        <v>0.12127631578947369</v>
      </c>
      <c r="M727" s="50">
        <v>46085</v>
      </c>
      <c r="N727" s="152">
        <f t="shared" si="1"/>
        <v>0.12127631578947369</v>
      </c>
      <c r="O727" s="50">
        <v>50000</v>
      </c>
      <c r="P727" s="152">
        <f t="shared" si="2"/>
        <v>0.13157894736842105</v>
      </c>
      <c r="Q727" s="50">
        <v>50000</v>
      </c>
    </row>
    <row r="728" spans="1:17" hidden="1" x14ac:dyDescent="0.25">
      <c r="A728" s="49" t="s">
        <v>717</v>
      </c>
      <c r="B728" s="49" t="s">
        <v>178</v>
      </c>
      <c r="C728" s="49" t="s">
        <v>179</v>
      </c>
      <c r="D728" s="49" t="s">
        <v>69</v>
      </c>
      <c r="E728" s="50">
        <v>1500000</v>
      </c>
      <c r="F728" s="50">
        <v>1000000</v>
      </c>
      <c r="G728" s="50">
        <v>1000000</v>
      </c>
      <c r="H728" s="50">
        <v>0</v>
      </c>
      <c r="I728" s="50">
        <v>300000</v>
      </c>
      <c r="J728" s="50">
        <v>0</v>
      </c>
      <c r="K728" s="50">
        <v>200000</v>
      </c>
      <c r="L728" s="152">
        <f t="shared" si="0"/>
        <v>0.2</v>
      </c>
      <c r="M728" s="50">
        <v>200000</v>
      </c>
      <c r="N728" s="152">
        <f t="shared" si="1"/>
        <v>0.2</v>
      </c>
      <c r="O728" s="50">
        <v>500000</v>
      </c>
      <c r="P728" s="152">
        <f t="shared" si="2"/>
        <v>0.5</v>
      </c>
      <c r="Q728" s="50">
        <v>500000</v>
      </c>
    </row>
    <row r="729" spans="1:17" hidden="1" x14ac:dyDescent="0.25">
      <c r="A729" s="49" t="s">
        <v>717</v>
      </c>
      <c r="B729" s="49" t="s">
        <v>182</v>
      </c>
      <c r="C729" s="49" t="s">
        <v>183</v>
      </c>
      <c r="D729" s="49" t="s">
        <v>69</v>
      </c>
      <c r="E729" s="50">
        <v>1500000</v>
      </c>
      <c r="F729" s="50">
        <v>1000000</v>
      </c>
      <c r="G729" s="50">
        <v>1000000</v>
      </c>
      <c r="H729" s="50">
        <v>0</v>
      </c>
      <c r="I729" s="50">
        <v>300000</v>
      </c>
      <c r="J729" s="50">
        <v>0</v>
      </c>
      <c r="K729" s="50">
        <v>200000</v>
      </c>
      <c r="L729" s="152">
        <f t="shared" si="0"/>
        <v>0.2</v>
      </c>
      <c r="M729" s="50">
        <v>200000</v>
      </c>
      <c r="N729" s="152">
        <f t="shared" si="1"/>
        <v>0.2</v>
      </c>
      <c r="O729" s="50">
        <v>500000</v>
      </c>
      <c r="P729" s="152">
        <f t="shared" si="2"/>
        <v>0.5</v>
      </c>
      <c r="Q729" s="50">
        <v>500000</v>
      </c>
    </row>
    <row r="730" spans="1:17" hidden="1" x14ac:dyDescent="0.25">
      <c r="A730" s="49" t="s">
        <v>717</v>
      </c>
      <c r="B730" s="49" t="s">
        <v>184</v>
      </c>
      <c r="C730" s="49" t="s">
        <v>185</v>
      </c>
      <c r="D730" s="49" t="s">
        <v>69</v>
      </c>
      <c r="E730" s="50">
        <v>52884335</v>
      </c>
      <c r="F730" s="50">
        <v>30715753</v>
      </c>
      <c r="G730" s="50">
        <v>30715751.079999998</v>
      </c>
      <c r="H730" s="50">
        <v>129939</v>
      </c>
      <c r="I730" s="50">
        <v>8821086.9399999995</v>
      </c>
      <c r="J730" s="50">
        <v>44070</v>
      </c>
      <c r="K730" s="50">
        <v>13040337.390000001</v>
      </c>
      <c r="L730" s="152">
        <f t="shared" si="0"/>
        <v>0.42454884273877319</v>
      </c>
      <c r="M730" s="50">
        <v>12189465.67</v>
      </c>
      <c r="N730" s="152">
        <f t="shared" si="1"/>
        <v>0.3968473659102546</v>
      </c>
      <c r="O730" s="50">
        <v>8680319.6699999999</v>
      </c>
      <c r="P730" s="152">
        <f t="shared" si="2"/>
        <v>0.28260155855531199</v>
      </c>
      <c r="Q730" s="50">
        <v>8680317.75</v>
      </c>
    </row>
    <row r="731" spans="1:17" hidden="1" x14ac:dyDescent="0.25">
      <c r="A731" s="49" t="s">
        <v>717</v>
      </c>
      <c r="B731" s="49" t="s">
        <v>186</v>
      </c>
      <c r="C731" s="49" t="s">
        <v>187</v>
      </c>
      <c r="D731" s="49" t="s">
        <v>69</v>
      </c>
      <c r="E731" s="50">
        <v>21308004</v>
      </c>
      <c r="F731" s="50">
        <v>10787684</v>
      </c>
      <c r="G731" s="50">
        <v>10787684</v>
      </c>
      <c r="H731" s="50">
        <v>0</v>
      </c>
      <c r="I731" s="50">
        <v>3621600.88</v>
      </c>
      <c r="J731" s="50">
        <v>44070</v>
      </c>
      <c r="K731" s="50">
        <v>3988966.3</v>
      </c>
      <c r="L731" s="152">
        <f t="shared" si="0"/>
        <v>0.36977040669711864</v>
      </c>
      <c r="M731" s="50">
        <v>3988966.3</v>
      </c>
      <c r="N731" s="152">
        <f t="shared" si="1"/>
        <v>0.36977040669711864</v>
      </c>
      <c r="O731" s="50">
        <v>3133046.82</v>
      </c>
      <c r="P731" s="152">
        <f t="shared" si="2"/>
        <v>0.29042812340443047</v>
      </c>
      <c r="Q731" s="50">
        <v>3133046.82</v>
      </c>
    </row>
    <row r="732" spans="1:17" hidden="1" x14ac:dyDescent="0.25">
      <c r="A732" s="49" t="s">
        <v>717</v>
      </c>
      <c r="B732" s="49" t="s">
        <v>188</v>
      </c>
      <c r="C732" s="49" t="s">
        <v>189</v>
      </c>
      <c r="D732" s="49" t="s">
        <v>69</v>
      </c>
      <c r="E732" s="50">
        <v>9500000</v>
      </c>
      <c r="F732" s="50">
        <v>5710000</v>
      </c>
      <c r="G732" s="50">
        <v>5710000</v>
      </c>
      <c r="H732" s="50">
        <v>0</v>
      </c>
      <c r="I732" s="50">
        <v>1006757.98</v>
      </c>
      <c r="J732" s="50">
        <v>0</v>
      </c>
      <c r="K732" s="50">
        <v>1694873.02</v>
      </c>
      <c r="L732" s="152">
        <f t="shared" si="0"/>
        <v>0.29682539754816112</v>
      </c>
      <c r="M732" s="50">
        <v>1694873.02</v>
      </c>
      <c r="N732" s="152">
        <f t="shared" si="1"/>
        <v>0.29682539754816112</v>
      </c>
      <c r="O732" s="50">
        <v>3008369</v>
      </c>
      <c r="P732" s="152">
        <f t="shared" si="2"/>
        <v>0.52685971978984236</v>
      </c>
      <c r="Q732" s="50">
        <v>3008369</v>
      </c>
    </row>
    <row r="733" spans="1:17" hidden="1" x14ac:dyDescent="0.25">
      <c r="A733" s="49" t="s">
        <v>717</v>
      </c>
      <c r="B733" s="49" t="s">
        <v>192</v>
      </c>
      <c r="C733" s="49" t="s">
        <v>193</v>
      </c>
      <c r="D733" s="49" t="s">
        <v>69</v>
      </c>
      <c r="E733" s="50">
        <v>11808004</v>
      </c>
      <c r="F733" s="50">
        <v>5077684</v>
      </c>
      <c r="G733" s="50">
        <v>5077684</v>
      </c>
      <c r="H733" s="50">
        <v>0</v>
      </c>
      <c r="I733" s="50">
        <v>2614842.9</v>
      </c>
      <c r="J733" s="50">
        <v>44070</v>
      </c>
      <c r="K733" s="50">
        <v>2294093.2799999998</v>
      </c>
      <c r="L733" s="152">
        <f t="shared" si="0"/>
        <v>0.45179914307388958</v>
      </c>
      <c r="M733" s="50">
        <v>2294093.2799999998</v>
      </c>
      <c r="N733" s="152">
        <f t="shared" si="1"/>
        <v>0.45179914307388958</v>
      </c>
      <c r="O733" s="50">
        <v>124677.82</v>
      </c>
      <c r="P733" s="152">
        <f t="shared" si="2"/>
        <v>2.4554072289650165E-2</v>
      </c>
      <c r="Q733" s="50">
        <v>124677.82</v>
      </c>
    </row>
    <row r="734" spans="1:17" hidden="1" x14ac:dyDescent="0.25">
      <c r="A734" s="49" t="s">
        <v>717</v>
      </c>
      <c r="B734" s="49" t="s">
        <v>196</v>
      </c>
      <c r="C734" s="49" t="s">
        <v>197</v>
      </c>
      <c r="D734" s="49" t="s">
        <v>69</v>
      </c>
      <c r="E734" s="50">
        <v>7008325</v>
      </c>
      <c r="F734" s="50">
        <v>6008325</v>
      </c>
      <c r="G734" s="50">
        <v>6008325</v>
      </c>
      <c r="H734" s="50">
        <v>0</v>
      </c>
      <c r="I734" s="50">
        <v>713330.7</v>
      </c>
      <c r="J734" s="50">
        <v>0</v>
      </c>
      <c r="K734" s="50">
        <v>2255383</v>
      </c>
      <c r="L734" s="152">
        <f t="shared" si="0"/>
        <v>0.37537633200600834</v>
      </c>
      <c r="M734" s="50">
        <v>2255383</v>
      </c>
      <c r="N734" s="152">
        <f t="shared" si="1"/>
        <v>0.37537633200600834</v>
      </c>
      <c r="O734" s="50">
        <v>3039611.3</v>
      </c>
      <c r="P734" s="152">
        <f t="shared" si="2"/>
        <v>0.50589994715665343</v>
      </c>
      <c r="Q734" s="50">
        <v>3039611.3</v>
      </c>
    </row>
    <row r="735" spans="1:17" hidden="1" x14ac:dyDescent="0.25">
      <c r="A735" s="49" t="s">
        <v>717</v>
      </c>
      <c r="B735" s="49" t="s">
        <v>198</v>
      </c>
      <c r="C735" s="49" t="s">
        <v>199</v>
      </c>
      <c r="D735" s="49" t="s">
        <v>69</v>
      </c>
      <c r="E735" s="50">
        <v>7008325</v>
      </c>
      <c r="F735" s="50">
        <v>6008325</v>
      </c>
      <c r="G735" s="50">
        <v>6008325</v>
      </c>
      <c r="H735" s="50">
        <v>0</v>
      </c>
      <c r="I735" s="50">
        <v>713330.7</v>
      </c>
      <c r="J735" s="50">
        <v>0</v>
      </c>
      <c r="K735" s="50">
        <v>2255383</v>
      </c>
      <c r="L735" s="152">
        <f t="shared" si="0"/>
        <v>0.37537633200600834</v>
      </c>
      <c r="M735" s="50">
        <v>2255383</v>
      </c>
      <c r="N735" s="152">
        <f t="shared" si="1"/>
        <v>0.37537633200600834</v>
      </c>
      <c r="O735" s="50">
        <v>3039611.3</v>
      </c>
      <c r="P735" s="152">
        <f t="shared" si="2"/>
        <v>0.50589994715665343</v>
      </c>
      <c r="Q735" s="50">
        <v>3039611.3</v>
      </c>
    </row>
    <row r="736" spans="1:17" hidden="1" x14ac:dyDescent="0.25">
      <c r="A736" s="49" t="s">
        <v>717</v>
      </c>
      <c r="B736" s="49" t="s">
        <v>200</v>
      </c>
      <c r="C736" s="49" t="s">
        <v>201</v>
      </c>
      <c r="D736" s="49" t="s">
        <v>69</v>
      </c>
      <c r="E736" s="50">
        <v>900000</v>
      </c>
      <c r="F736" s="50">
        <v>152954</v>
      </c>
      <c r="G736" s="50">
        <v>152953.01</v>
      </c>
      <c r="H736" s="50">
        <v>129939</v>
      </c>
      <c r="I736" s="50">
        <v>0</v>
      </c>
      <c r="J736" s="50">
        <v>0</v>
      </c>
      <c r="K736" s="50">
        <v>0</v>
      </c>
      <c r="L736" s="152">
        <f t="shared" si="0"/>
        <v>0</v>
      </c>
      <c r="M736" s="50">
        <v>0</v>
      </c>
      <c r="N736" s="152">
        <f t="shared" si="1"/>
        <v>0</v>
      </c>
      <c r="O736" s="50">
        <v>23015</v>
      </c>
      <c r="P736" s="152">
        <f t="shared" si="2"/>
        <v>0.15047007597055323</v>
      </c>
      <c r="Q736" s="50">
        <v>23014.01</v>
      </c>
    </row>
    <row r="737" spans="1:17" hidden="1" x14ac:dyDescent="0.25">
      <c r="A737" s="49" t="s">
        <v>717</v>
      </c>
      <c r="B737" s="49" t="s">
        <v>316</v>
      </c>
      <c r="C737" s="49" t="s">
        <v>317</v>
      </c>
      <c r="D737" s="49" t="s">
        <v>69</v>
      </c>
      <c r="E737" s="50">
        <v>420000</v>
      </c>
      <c r="F737" s="50">
        <v>20000</v>
      </c>
      <c r="G737" s="50">
        <v>19999.009999999998</v>
      </c>
      <c r="H737" s="50">
        <v>0</v>
      </c>
      <c r="I737" s="50">
        <v>0</v>
      </c>
      <c r="J737" s="50">
        <v>0</v>
      </c>
      <c r="K737" s="50">
        <v>0</v>
      </c>
      <c r="L737" s="152">
        <f t="shared" si="0"/>
        <v>0</v>
      </c>
      <c r="M737" s="50">
        <v>0</v>
      </c>
      <c r="N737" s="152">
        <f t="shared" si="1"/>
        <v>0</v>
      </c>
      <c r="O737" s="50">
        <v>20000</v>
      </c>
      <c r="P737" s="152">
        <f t="shared" si="2"/>
        <v>1</v>
      </c>
      <c r="Q737" s="50">
        <v>19999.009999999998</v>
      </c>
    </row>
    <row r="738" spans="1:17" hidden="1" x14ac:dyDescent="0.25">
      <c r="A738" s="49" t="s">
        <v>717</v>
      </c>
      <c r="B738" s="49" t="s">
        <v>202</v>
      </c>
      <c r="C738" s="49" t="s">
        <v>203</v>
      </c>
      <c r="D738" s="49" t="s">
        <v>69</v>
      </c>
      <c r="E738" s="50">
        <v>480000</v>
      </c>
      <c r="F738" s="50">
        <v>132954</v>
      </c>
      <c r="G738" s="50">
        <v>132954</v>
      </c>
      <c r="H738" s="50">
        <v>129939</v>
      </c>
      <c r="I738" s="50">
        <v>0</v>
      </c>
      <c r="J738" s="50">
        <v>0</v>
      </c>
      <c r="K738" s="50">
        <v>0</v>
      </c>
      <c r="L738" s="152">
        <f t="shared" si="0"/>
        <v>0</v>
      </c>
      <c r="M738" s="50">
        <v>0</v>
      </c>
      <c r="N738" s="152">
        <f t="shared" si="1"/>
        <v>0</v>
      </c>
      <c r="O738" s="50">
        <v>3015</v>
      </c>
      <c r="P738" s="152">
        <f t="shared" si="2"/>
        <v>2.2677016110835325E-2</v>
      </c>
      <c r="Q738" s="50">
        <v>3015</v>
      </c>
    </row>
    <row r="739" spans="1:17" hidden="1" x14ac:dyDescent="0.25">
      <c r="A739" s="49" t="s">
        <v>717</v>
      </c>
      <c r="B739" s="49" t="s">
        <v>206</v>
      </c>
      <c r="C739" s="49" t="s">
        <v>207</v>
      </c>
      <c r="D739" s="49" t="s">
        <v>69</v>
      </c>
      <c r="E739" s="50">
        <v>3052196</v>
      </c>
      <c r="F739" s="50">
        <v>0</v>
      </c>
      <c r="G739" s="50">
        <v>0</v>
      </c>
      <c r="H739" s="50">
        <v>0</v>
      </c>
      <c r="I739" s="50">
        <v>0</v>
      </c>
      <c r="J739" s="50">
        <v>0</v>
      </c>
      <c r="K739" s="50">
        <v>0</v>
      </c>
      <c r="L739" s="152" t="e">
        <f t="shared" si="0"/>
        <v>#DIV/0!</v>
      </c>
      <c r="M739" s="50">
        <v>0</v>
      </c>
      <c r="N739" s="152" t="e">
        <f t="shared" si="1"/>
        <v>#DIV/0!</v>
      </c>
      <c r="O739" s="50">
        <v>0</v>
      </c>
      <c r="P739" s="152" t="e">
        <f t="shared" si="2"/>
        <v>#DIV/0!</v>
      </c>
      <c r="Q739" s="50">
        <v>0</v>
      </c>
    </row>
    <row r="740" spans="1:17" hidden="1" x14ac:dyDescent="0.25">
      <c r="A740" s="49" t="s">
        <v>717</v>
      </c>
      <c r="B740" s="49" t="s">
        <v>208</v>
      </c>
      <c r="C740" s="49" t="s">
        <v>209</v>
      </c>
      <c r="D740" s="49" t="s">
        <v>69</v>
      </c>
      <c r="E740" s="50">
        <v>885321</v>
      </c>
      <c r="F740" s="50">
        <v>0</v>
      </c>
      <c r="G740" s="50">
        <v>0</v>
      </c>
      <c r="H740" s="50">
        <v>0</v>
      </c>
      <c r="I740" s="50">
        <v>0</v>
      </c>
      <c r="J740" s="50">
        <v>0</v>
      </c>
      <c r="K740" s="50">
        <v>0</v>
      </c>
      <c r="L740" s="152" t="e">
        <f t="shared" si="0"/>
        <v>#DIV/0!</v>
      </c>
      <c r="M740" s="50">
        <v>0</v>
      </c>
      <c r="N740" s="152" t="e">
        <f t="shared" si="1"/>
        <v>#DIV/0!</v>
      </c>
      <c r="O740" s="50">
        <v>0</v>
      </c>
      <c r="P740" s="152" t="e">
        <f t="shared" si="2"/>
        <v>#DIV/0!</v>
      </c>
      <c r="Q740" s="50">
        <v>0</v>
      </c>
    </row>
    <row r="741" spans="1:17" hidden="1" x14ac:dyDescent="0.25">
      <c r="A741" s="49" t="s">
        <v>717</v>
      </c>
      <c r="B741" s="49" t="s">
        <v>210</v>
      </c>
      <c r="C741" s="49" t="s">
        <v>211</v>
      </c>
      <c r="D741" s="49" t="s">
        <v>69</v>
      </c>
      <c r="E741" s="50">
        <v>2166875</v>
      </c>
      <c r="F741" s="50">
        <v>0</v>
      </c>
      <c r="G741" s="50">
        <v>0</v>
      </c>
      <c r="H741" s="50">
        <v>0</v>
      </c>
      <c r="I741" s="50">
        <v>0</v>
      </c>
      <c r="J741" s="50">
        <v>0</v>
      </c>
      <c r="K741" s="50">
        <v>0</v>
      </c>
      <c r="L741" s="152" t="e">
        <f t="shared" si="0"/>
        <v>#DIV/0!</v>
      </c>
      <c r="M741" s="50">
        <v>0</v>
      </c>
      <c r="N741" s="152" t="e">
        <f t="shared" si="1"/>
        <v>#DIV/0!</v>
      </c>
      <c r="O741" s="50">
        <v>0</v>
      </c>
      <c r="P741" s="152" t="e">
        <f t="shared" si="2"/>
        <v>#DIV/0!</v>
      </c>
      <c r="Q741" s="50">
        <v>0</v>
      </c>
    </row>
    <row r="742" spans="1:17" hidden="1" x14ac:dyDescent="0.25">
      <c r="A742" s="49" t="s">
        <v>717</v>
      </c>
      <c r="B742" s="49" t="s">
        <v>212</v>
      </c>
      <c r="C742" s="49" t="s">
        <v>213</v>
      </c>
      <c r="D742" s="49" t="s">
        <v>69</v>
      </c>
      <c r="E742" s="50">
        <v>20615810</v>
      </c>
      <c r="F742" s="50">
        <v>13766790</v>
      </c>
      <c r="G742" s="50">
        <v>13766789.07</v>
      </c>
      <c r="H742" s="50">
        <v>0</v>
      </c>
      <c r="I742" s="50">
        <v>4486155.3600000003</v>
      </c>
      <c r="J742" s="50">
        <v>0</v>
      </c>
      <c r="K742" s="50">
        <v>6795988.0899999999</v>
      </c>
      <c r="L742" s="152">
        <f t="shared" si="0"/>
        <v>0.49365088666275869</v>
      </c>
      <c r="M742" s="50">
        <v>5945116.3700000001</v>
      </c>
      <c r="N742" s="152">
        <f t="shared" si="1"/>
        <v>0.43184477790392678</v>
      </c>
      <c r="O742" s="50">
        <v>2484646.5499999998</v>
      </c>
      <c r="P742" s="152">
        <f t="shared" si="2"/>
        <v>0.18048118334048821</v>
      </c>
      <c r="Q742" s="50">
        <v>2484645.62</v>
      </c>
    </row>
    <row r="743" spans="1:17" hidden="1" x14ac:dyDescent="0.25">
      <c r="A743" s="49" t="s">
        <v>717</v>
      </c>
      <c r="B743" s="49" t="s">
        <v>214</v>
      </c>
      <c r="C743" s="49" t="s">
        <v>215</v>
      </c>
      <c r="D743" s="49" t="s">
        <v>69</v>
      </c>
      <c r="E743" s="50">
        <v>8014742</v>
      </c>
      <c r="F743" s="50">
        <v>5474742</v>
      </c>
      <c r="G743" s="50">
        <v>5474742</v>
      </c>
      <c r="H743" s="50">
        <v>0</v>
      </c>
      <c r="I743" s="50">
        <v>2567890.17</v>
      </c>
      <c r="J743" s="50">
        <v>0</v>
      </c>
      <c r="K743" s="50">
        <v>2871009.33</v>
      </c>
      <c r="L743" s="152">
        <f t="shared" si="0"/>
        <v>0.52440997767566033</v>
      </c>
      <c r="M743" s="50">
        <v>2113927.61</v>
      </c>
      <c r="N743" s="152">
        <f t="shared" si="1"/>
        <v>0.38612369496133331</v>
      </c>
      <c r="O743" s="50">
        <v>35842.5</v>
      </c>
      <c r="P743" s="152">
        <f t="shared" si="2"/>
        <v>6.5468838531569156E-3</v>
      </c>
      <c r="Q743" s="50">
        <v>35842.5</v>
      </c>
    </row>
    <row r="744" spans="1:17" hidden="1" x14ac:dyDescent="0.25">
      <c r="A744" s="49" t="s">
        <v>717</v>
      </c>
      <c r="B744" s="49" t="s">
        <v>218</v>
      </c>
      <c r="C744" s="49" t="s">
        <v>219</v>
      </c>
      <c r="D744" s="49" t="s">
        <v>69</v>
      </c>
      <c r="E744" s="50">
        <v>5268045</v>
      </c>
      <c r="F744" s="50">
        <v>3698045</v>
      </c>
      <c r="G744" s="50">
        <v>3698044.47</v>
      </c>
      <c r="H744" s="50">
        <v>0</v>
      </c>
      <c r="I744" s="50">
        <v>642040.21</v>
      </c>
      <c r="J744" s="50">
        <v>0</v>
      </c>
      <c r="K744" s="50">
        <v>1636547.61</v>
      </c>
      <c r="L744" s="152">
        <f t="shared" si="0"/>
        <v>0.44254399554359131</v>
      </c>
      <c r="M744" s="50">
        <v>1542757.61</v>
      </c>
      <c r="N744" s="152">
        <f t="shared" si="1"/>
        <v>0.41718194613640452</v>
      </c>
      <c r="O744" s="50">
        <v>1419457.18</v>
      </c>
      <c r="P744" s="152">
        <f t="shared" si="2"/>
        <v>0.38383988837345134</v>
      </c>
      <c r="Q744" s="50">
        <v>1419456.65</v>
      </c>
    </row>
    <row r="745" spans="1:17" hidden="1" x14ac:dyDescent="0.25">
      <c r="A745" s="49" t="s">
        <v>717</v>
      </c>
      <c r="B745" s="49" t="s">
        <v>220</v>
      </c>
      <c r="C745" s="49" t="s">
        <v>221</v>
      </c>
      <c r="D745" s="49" t="s">
        <v>69</v>
      </c>
      <c r="E745" s="50">
        <v>3038980</v>
      </c>
      <c r="F745" s="50">
        <v>3980</v>
      </c>
      <c r="G745" s="50">
        <v>3979.6</v>
      </c>
      <c r="H745" s="50">
        <v>0</v>
      </c>
      <c r="I745" s="50">
        <v>0</v>
      </c>
      <c r="J745" s="50">
        <v>0</v>
      </c>
      <c r="K745" s="50">
        <v>0</v>
      </c>
      <c r="L745" s="152">
        <f t="shared" si="0"/>
        <v>0</v>
      </c>
      <c r="M745" s="50">
        <v>0</v>
      </c>
      <c r="N745" s="152">
        <f t="shared" si="1"/>
        <v>0</v>
      </c>
      <c r="O745" s="50">
        <v>3980</v>
      </c>
      <c r="P745" s="152">
        <f t="shared" si="2"/>
        <v>1</v>
      </c>
      <c r="Q745" s="50">
        <v>3979.6</v>
      </c>
    </row>
    <row r="746" spans="1:17" hidden="1" x14ac:dyDescent="0.25">
      <c r="A746" s="49" t="s">
        <v>717</v>
      </c>
      <c r="B746" s="49" t="s">
        <v>222</v>
      </c>
      <c r="C746" s="49" t="s">
        <v>223</v>
      </c>
      <c r="D746" s="49" t="s">
        <v>69</v>
      </c>
      <c r="E746" s="50">
        <v>2590023</v>
      </c>
      <c r="F746" s="50">
        <v>4590023</v>
      </c>
      <c r="G746" s="50">
        <v>4590023</v>
      </c>
      <c r="H746" s="50">
        <v>0</v>
      </c>
      <c r="I746" s="50">
        <v>1276224.98</v>
      </c>
      <c r="J746" s="50">
        <v>0</v>
      </c>
      <c r="K746" s="50">
        <v>2288431.15</v>
      </c>
      <c r="L746" s="152">
        <f t="shared" si="0"/>
        <v>0.49856637973273771</v>
      </c>
      <c r="M746" s="50">
        <v>2288431.15</v>
      </c>
      <c r="N746" s="152">
        <f t="shared" si="1"/>
        <v>0.49856637973273771</v>
      </c>
      <c r="O746" s="50">
        <v>1025366.87</v>
      </c>
      <c r="P746" s="152">
        <f t="shared" si="2"/>
        <v>0.22339035556030984</v>
      </c>
      <c r="Q746" s="50">
        <v>1025366.87</v>
      </c>
    </row>
    <row r="747" spans="1:17" hidden="1" x14ac:dyDescent="0.25">
      <c r="A747" s="49" t="s">
        <v>717</v>
      </c>
      <c r="B747" s="49" t="s">
        <v>226</v>
      </c>
      <c r="C747" s="49" t="s">
        <v>227</v>
      </c>
      <c r="D747" s="49" t="s">
        <v>69</v>
      </c>
      <c r="E747" s="50">
        <v>774300</v>
      </c>
      <c r="F747" s="50">
        <v>0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152" t="e">
        <f t="shared" si="0"/>
        <v>#DIV/0!</v>
      </c>
      <c r="M747" s="50">
        <v>0</v>
      </c>
      <c r="N747" s="152" t="e">
        <f t="shared" si="1"/>
        <v>#DIV/0!</v>
      </c>
      <c r="O747" s="50">
        <v>0</v>
      </c>
      <c r="P747" s="152" t="e">
        <f t="shared" si="2"/>
        <v>#DIV/0!</v>
      </c>
      <c r="Q747" s="50">
        <v>0</v>
      </c>
    </row>
    <row r="748" spans="1:17" hidden="1" x14ac:dyDescent="0.25">
      <c r="A748" s="49" t="s">
        <v>717</v>
      </c>
      <c r="B748" s="49" t="s">
        <v>228</v>
      </c>
      <c r="C748" s="49" t="s">
        <v>229</v>
      </c>
      <c r="D748" s="49" t="s">
        <v>69</v>
      </c>
      <c r="E748" s="50">
        <v>929720</v>
      </c>
      <c r="F748" s="50">
        <v>0</v>
      </c>
      <c r="G748" s="50">
        <v>0</v>
      </c>
      <c r="H748" s="50">
        <v>0</v>
      </c>
      <c r="I748" s="50">
        <v>0</v>
      </c>
      <c r="J748" s="50">
        <v>0</v>
      </c>
      <c r="K748" s="50">
        <v>0</v>
      </c>
      <c r="L748" s="152" t="e">
        <f t="shared" si="0"/>
        <v>#DIV/0!</v>
      </c>
      <c r="M748" s="50">
        <v>0</v>
      </c>
      <c r="N748" s="152" t="e">
        <f t="shared" si="1"/>
        <v>#DIV/0!</v>
      </c>
      <c r="O748" s="50">
        <v>0</v>
      </c>
      <c r="P748" s="152" t="e">
        <f t="shared" si="2"/>
        <v>#DIV/0!</v>
      </c>
      <c r="Q748" s="50">
        <v>0</v>
      </c>
    </row>
    <row r="749" spans="1:17" hidden="1" x14ac:dyDescent="0.25">
      <c r="A749" s="49" t="s">
        <v>717</v>
      </c>
      <c r="B749" s="49" t="s">
        <v>248</v>
      </c>
      <c r="C749" s="49" t="s">
        <v>249</v>
      </c>
      <c r="D749" s="49" t="s">
        <v>69</v>
      </c>
      <c r="E749" s="50">
        <v>50610852</v>
      </c>
      <c r="F749" s="50">
        <v>43150811</v>
      </c>
      <c r="G749" s="50">
        <v>43071647</v>
      </c>
      <c r="H749" s="50">
        <v>0</v>
      </c>
      <c r="I749" s="50">
        <v>3453997</v>
      </c>
      <c r="J749" s="50">
        <v>0</v>
      </c>
      <c r="K749" s="50">
        <v>15827809.5</v>
      </c>
      <c r="L749" s="152">
        <f t="shared" si="0"/>
        <v>0.36680213264126138</v>
      </c>
      <c r="M749" s="50">
        <v>15827809.5</v>
      </c>
      <c r="N749" s="152">
        <f t="shared" si="1"/>
        <v>0.36680213264126138</v>
      </c>
      <c r="O749" s="50">
        <v>23869004.5</v>
      </c>
      <c r="P749" s="152">
        <f t="shared" si="2"/>
        <v>0.55315309137526991</v>
      </c>
      <c r="Q749" s="50">
        <v>23789840.5</v>
      </c>
    </row>
    <row r="750" spans="1:17" hidden="1" x14ac:dyDescent="0.25">
      <c r="A750" s="49" t="s">
        <v>717</v>
      </c>
      <c r="B750" s="49" t="s">
        <v>250</v>
      </c>
      <c r="C750" s="49" t="s">
        <v>251</v>
      </c>
      <c r="D750" s="49" t="s">
        <v>69</v>
      </c>
      <c r="E750" s="50">
        <v>14610852</v>
      </c>
      <c r="F750" s="50">
        <v>14150811</v>
      </c>
      <c r="G750" s="50">
        <v>14071647</v>
      </c>
      <c r="H750" s="50">
        <v>0</v>
      </c>
      <c r="I750" s="50">
        <v>3453997</v>
      </c>
      <c r="J750" s="50">
        <v>0</v>
      </c>
      <c r="K750" s="50">
        <v>10617650</v>
      </c>
      <c r="L750" s="152">
        <f t="shared" si="0"/>
        <v>0.75032095333617277</v>
      </c>
      <c r="M750" s="50">
        <v>10617650</v>
      </c>
      <c r="N750" s="152">
        <f t="shared" si="1"/>
        <v>0.75032095333617277</v>
      </c>
      <c r="O750" s="50">
        <v>79164</v>
      </c>
      <c r="P750" s="152">
        <f t="shared" si="2"/>
        <v>5.5943083403488325E-3</v>
      </c>
      <c r="Q750" s="50">
        <v>0</v>
      </c>
    </row>
    <row r="751" spans="1:17" hidden="1" x14ac:dyDescent="0.25">
      <c r="A751" s="49" t="s">
        <v>717</v>
      </c>
      <c r="B751" s="49" t="s">
        <v>636</v>
      </c>
      <c r="C751" s="49" t="s">
        <v>702</v>
      </c>
      <c r="D751" s="49" t="s">
        <v>69</v>
      </c>
      <c r="E751" s="50">
        <v>12410435</v>
      </c>
      <c r="F751" s="50">
        <v>12019677</v>
      </c>
      <c r="G751" s="50">
        <v>11952435</v>
      </c>
      <c r="H751" s="50">
        <v>0</v>
      </c>
      <c r="I751" s="50">
        <v>2961685</v>
      </c>
      <c r="J751" s="50">
        <v>0</v>
      </c>
      <c r="K751" s="50">
        <v>8990750</v>
      </c>
      <c r="L751" s="152">
        <f t="shared" si="0"/>
        <v>0.74800262935518147</v>
      </c>
      <c r="M751" s="50">
        <v>8990750</v>
      </c>
      <c r="N751" s="152">
        <f t="shared" si="1"/>
        <v>0.74800262935518147</v>
      </c>
      <c r="O751" s="50">
        <v>67242</v>
      </c>
      <c r="P751" s="152">
        <f t="shared" si="2"/>
        <v>5.5943267027891014E-3</v>
      </c>
      <c r="Q751" s="50">
        <v>0</v>
      </c>
    </row>
    <row r="752" spans="1:17" hidden="1" x14ac:dyDescent="0.25">
      <c r="A752" s="49" t="s">
        <v>717</v>
      </c>
      <c r="B752" s="49" t="s">
        <v>651</v>
      </c>
      <c r="C752" s="49" t="s">
        <v>703</v>
      </c>
      <c r="D752" s="49" t="s">
        <v>69</v>
      </c>
      <c r="E752" s="50">
        <v>2200417</v>
      </c>
      <c r="F752" s="50">
        <v>2131134</v>
      </c>
      <c r="G752" s="50">
        <v>2119212</v>
      </c>
      <c r="H752" s="50">
        <v>0</v>
      </c>
      <c r="I752" s="50">
        <v>492312</v>
      </c>
      <c r="J752" s="50">
        <v>0</v>
      </c>
      <c r="K752" s="50">
        <v>1626900</v>
      </c>
      <c r="L752" s="152">
        <f t="shared" si="0"/>
        <v>0.76339638896474837</v>
      </c>
      <c r="M752" s="50">
        <v>1626900</v>
      </c>
      <c r="N752" s="152">
        <f t="shared" si="1"/>
        <v>0.76339638896474837</v>
      </c>
      <c r="O752" s="50">
        <v>11922</v>
      </c>
      <c r="P752" s="152">
        <f t="shared" si="2"/>
        <v>5.594204775485727E-3</v>
      </c>
      <c r="Q752" s="50">
        <v>0</v>
      </c>
    </row>
    <row r="753" spans="1:17" hidden="1" x14ac:dyDescent="0.25">
      <c r="A753" s="49" t="s">
        <v>717</v>
      </c>
      <c r="B753" s="49" t="s">
        <v>260</v>
      </c>
      <c r="C753" s="49" t="s">
        <v>261</v>
      </c>
      <c r="D753" s="49" t="s">
        <v>69</v>
      </c>
      <c r="E753" s="50">
        <v>26000000</v>
      </c>
      <c r="F753" s="50">
        <v>21500000</v>
      </c>
      <c r="G753" s="50">
        <v>21500000</v>
      </c>
      <c r="H753" s="50">
        <v>0</v>
      </c>
      <c r="I753" s="50">
        <v>0</v>
      </c>
      <c r="J753" s="50">
        <v>0</v>
      </c>
      <c r="K753" s="50">
        <v>5210159.5</v>
      </c>
      <c r="L753" s="152">
        <f t="shared" si="0"/>
        <v>0.24233299999999999</v>
      </c>
      <c r="M753" s="50">
        <v>5210159.5</v>
      </c>
      <c r="N753" s="152">
        <f t="shared" si="1"/>
        <v>0.24233299999999999</v>
      </c>
      <c r="O753" s="50">
        <v>16289840.5</v>
      </c>
      <c r="P753" s="152">
        <f t="shared" si="2"/>
        <v>0.75766699999999998</v>
      </c>
      <c r="Q753" s="50">
        <v>16289840.5</v>
      </c>
    </row>
    <row r="754" spans="1:17" hidden="1" x14ac:dyDescent="0.25">
      <c r="A754" s="49" t="s">
        <v>717</v>
      </c>
      <c r="B754" s="49" t="s">
        <v>262</v>
      </c>
      <c r="C754" s="49" t="s">
        <v>263</v>
      </c>
      <c r="D754" s="49" t="s">
        <v>69</v>
      </c>
      <c r="E754" s="50">
        <v>18000000</v>
      </c>
      <c r="F754" s="50">
        <v>13500000</v>
      </c>
      <c r="G754" s="50">
        <v>13500000</v>
      </c>
      <c r="H754" s="50">
        <v>0</v>
      </c>
      <c r="I754" s="50">
        <v>0</v>
      </c>
      <c r="J754" s="50">
        <v>0</v>
      </c>
      <c r="K754" s="50">
        <v>0</v>
      </c>
      <c r="L754" s="152">
        <f t="shared" si="0"/>
        <v>0</v>
      </c>
      <c r="M754" s="50">
        <v>0</v>
      </c>
      <c r="N754" s="152">
        <f t="shared" si="1"/>
        <v>0</v>
      </c>
      <c r="O754" s="50">
        <v>13500000</v>
      </c>
      <c r="P754" s="152">
        <f t="shared" si="2"/>
        <v>1</v>
      </c>
      <c r="Q754" s="50">
        <v>13500000</v>
      </c>
    </row>
    <row r="755" spans="1:17" hidden="1" x14ac:dyDescent="0.25">
      <c r="A755" s="49" t="s">
        <v>717</v>
      </c>
      <c r="B755" s="49" t="s">
        <v>264</v>
      </c>
      <c r="C755" s="49" t="s">
        <v>265</v>
      </c>
      <c r="D755" s="49" t="s">
        <v>69</v>
      </c>
      <c r="E755" s="50">
        <v>8000000</v>
      </c>
      <c r="F755" s="50">
        <v>8000000</v>
      </c>
      <c r="G755" s="50">
        <v>8000000</v>
      </c>
      <c r="H755" s="50">
        <v>0</v>
      </c>
      <c r="I755" s="50">
        <v>0</v>
      </c>
      <c r="J755" s="50">
        <v>0</v>
      </c>
      <c r="K755" s="50">
        <v>5210159.5</v>
      </c>
      <c r="L755" s="152">
        <f t="shared" si="0"/>
        <v>0.65126993749999995</v>
      </c>
      <c r="M755" s="50">
        <v>5210159.5</v>
      </c>
      <c r="N755" s="152">
        <f t="shared" si="1"/>
        <v>0.65126993749999995</v>
      </c>
      <c r="O755" s="50">
        <v>2789840.5</v>
      </c>
      <c r="P755" s="152">
        <f t="shared" si="2"/>
        <v>0.34873006249999999</v>
      </c>
      <c r="Q755" s="50">
        <v>2789840.5</v>
      </c>
    </row>
    <row r="756" spans="1:17" hidden="1" x14ac:dyDescent="0.25">
      <c r="A756" s="49" t="s">
        <v>717</v>
      </c>
      <c r="B756" s="49" t="s">
        <v>286</v>
      </c>
      <c r="C756" s="49" t="s">
        <v>287</v>
      </c>
      <c r="D756" s="49" t="s">
        <v>69</v>
      </c>
      <c r="E756" s="50">
        <v>10000000</v>
      </c>
      <c r="F756" s="50">
        <v>7500000</v>
      </c>
      <c r="G756" s="50">
        <v>7500000</v>
      </c>
      <c r="H756" s="50">
        <v>0</v>
      </c>
      <c r="I756" s="50">
        <v>0</v>
      </c>
      <c r="J756" s="50">
        <v>0</v>
      </c>
      <c r="K756" s="50">
        <v>0</v>
      </c>
      <c r="L756" s="152">
        <f t="shared" si="0"/>
        <v>0</v>
      </c>
      <c r="M756" s="50">
        <v>0</v>
      </c>
      <c r="N756" s="152">
        <f t="shared" si="1"/>
        <v>0</v>
      </c>
      <c r="O756" s="50">
        <v>7500000</v>
      </c>
      <c r="P756" s="152">
        <f t="shared" si="2"/>
        <v>1</v>
      </c>
      <c r="Q756" s="50">
        <v>7500000</v>
      </c>
    </row>
    <row r="757" spans="1:17" hidden="1" x14ac:dyDescent="0.25">
      <c r="A757" s="49" t="s">
        <v>717</v>
      </c>
      <c r="B757" s="49" t="s">
        <v>288</v>
      </c>
      <c r="C757" s="49" t="s">
        <v>289</v>
      </c>
      <c r="D757" s="49" t="s">
        <v>69</v>
      </c>
      <c r="E757" s="50">
        <v>10000000</v>
      </c>
      <c r="F757" s="50">
        <v>7500000</v>
      </c>
      <c r="G757" s="50">
        <v>7500000</v>
      </c>
      <c r="H757" s="50">
        <v>0</v>
      </c>
      <c r="I757" s="50">
        <v>0</v>
      </c>
      <c r="J757" s="50">
        <v>0</v>
      </c>
      <c r="K757" s="50">
        <v>0</v>
      </c>
      <c r="L757" s="152">
        <f t="shared" si="0"/>
        <v>0</v>
      </c>
      <c r="M757" s="50">
        <v>0</v>
      </c>
      <c r="N757" s="152">
        <f t="shared" si="1"/>
        <v>0</v>
      </c>
      <c r="O757" s="50">
        <v>7500000</v>
      </c>
      <c r="P757" s="152">
        <f t="shared" si="2"/>
        <v>1</v>
      </c>
      <c r="Q757" s="50">
        <v>7500000</v>
      </c>
    </row>
    <row r="758" spans="1:17" hidden="1" x14ac:dyDescent="0.25">
      <c r="A758" s="49" t="s">
        <v>717</v>
      </c>
      <c r="B758" s="49" t="s">
        <v>230</v>
      </c>
      <c r="C758" s="49" t="s">
        <v>231</v>
      </c>
      <c r="D758" s="49" t="s">
        <v>85</v>
      </c>
      <c r="E758" s="50">
        <v>45174214</v>
      </c>
      <c r="F758" s="50">
        <v>9327344</v>
      </c>
      <c r="G758" s="50">
        <v>9327344</v>
      </c>
      <c r="H758" s="50">
        <v>0</v>
      </c>
      <c r="I758" s="50">
        <v>7839443.3700000001</v>
      </c>
      <c r="J758" s="50">
        <v>0</v>
      </c>
      <c r="K758" s="50">
        <v>1215366.75</v>
      </c>
      <c r="L758" s="152">
        <f t="shared" si="0"/>
        <v>0.13030148239413064</v>
      </c>
      <c r="M758" s="50">
        <v>1215366.75</v>
      </c>
      <c r="N758" s="152">
        <f t="shared" si="1"/>
        <v>0.13030148239413064</v>
      </c>
      <c r="O758" s="50">
        <v>272533.88</v>
      </c>
      <c r="P758" s="152">
        <f t="shared" si="2"/>
        <v>2.9218808698381876E-2</v>
      </c>
      <c r="Q758" s="50">
        <v>272533.88</v>
      </c>
    </row>
    <row r="759" spans="1:17" hidden="1" x14ac:dyDescent="0.25">
      <c r="A759" s="49" t="s">
        <v>717</v>
      </c>
      <c r="B759" s="49" t="s">
        <v>232</v>
      </c>
      <c r="C759" s="49" t="s">
        <v>233</v>
      </c>
      <c r="D759" s="49" t="s">
        <v>85</v>
      </c>
      <c r="E759" s="50">
        <v>45174214</v>
      </c>
      <c r="F759" s="50">
        <v>9327344</v>
      </c>
      <c r="G759" s="50">
        <v>9327344</v>
      </c>
      <c r="H759" s="50">
        <v>0</v>
      </c>
      <c r="I759" s="50">
        <v>7839443.3700000001</v>
      </c>
      <c r="J759" s="50">
        <v>0</v>
      </c>
      <c r="K759" s="50">
        <v>1215366.75</v>
      </c>
      <c r="L759" s="152">
        <f t="shared" si="0"/>
        <v>0.13030148239413064</v>
      </c>
      <c r="M759" s="50">
        <v>1215366.75</v>
      </c>
      <c r="N759" s="152">
        <f t="shared" si="1"/>
        <v>0.13030148239413064</v>
      </c>
      <c r="O759" s="50">
        <v>272533.88</v>
      </c>
      <c r="P759" s="152">
        <f t="shared" si="2"/>
        <v>2.9218808698381876E-2</v>
      </c>
      <c r="Q759" s="50">
        <v>272533.88</v>
      </c>
    </row>
    <row r="760" spans="1:17" hidden="1" x14ac:dyDescent="0.25">
      <c r="A760" s="49" t="s">
        <v>717</v>
      </c>
      <c r="B760" s="49" t="s">
        <v>324</v>
      </c>
      <c r="C760" s="49" t="s">
        <v>325</v>
      </c>
      <c r="D760" s="49" t="s">
        <v>85</v>
      </c>
      <c r="E760" s="50">
        <v>400000</v>
      </c>
      <c r="F760" s="50">
        <v>0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152" t="e">
        <f t="shared" si="0"/>
        <v>#DIV/0!</v>
      </c>
      <c r="M760" s="50">
        <v>0</v>
      </c>
      <c r="N760" s="152" t="e">
        <f t="shared" si="1"/>
        <v>#DIV/0!</v>
      </c>
      <c r="O760" s="50">
        <v>0</v>
      </c>
      <c r="P760" s="152" t="e">
        <f t="shared" si="2"/>
        <v>#DIV/0!</v>
      </c>
      <c r="Q760" s="50">
        <v>0</v>
      </c>
    </row>
    <row r="761" spans="1:17" hidden="1" x14ac:dyDescent="0.25">
      <c r="A761" s="49" t="s">
        <v>717</v>
      </c>
      <c r="B761" s="49" t="s">
        <v>236</v>
      </c>
      <c r="C761" s="49" t="s">
        <v>237</v>
      </c>
      <c r="D761" s="49" t="s">
        <v>85</v>
      </c>
      <c r="E761" s="50">
        <v>10235014</v>
      </c>
      <c r="F761" s="50">
        <v>1010184</v>
      </c>
      <c r="G761" s="50">
        <v>1010184</v>
      </c>
      <c r="H761" s="50">
        <v>0</v>
      </c>
      <c r="I761" s="50">
        <v>0</v>
      </c>
      <c r="J761" s="50">
        <v>0</v>
      </c>
      <c r="K761" s="50">
        <v>1010183.4</v>
      </c>
      <c r="L761" s="152">
        <f t="shared" si="0"/>
        <v>0.999999406048799</v>
      </c>
      <c r="M761" s="50">
        <v>1010183.4</v>
      </c>
      <c r="N761" s="152">
        <f t="shared" si="1"/>
        <v>0.999999406048799</v>
      </c>
      <c r="O761" s="50">
        <v>0.60000000000000009</v>
      </c>
      <c r="P761" s="152">
        <f t="shared" si="2"/>
        <v>5.9395120096932847E-7</v>
      </c>
      <c r="Q761" s="50">
        <v>0.60000000000000009</v>
      </c>
    </row>
    <row r="762" spans="1:17" hidden="1" x14ac:dyDescent="0.25">
      <c r="A762" s="49" t="s">
        <v>717</v>
      </c>
      <c r="B762" s="49" t="s">
        <v>238</v>
      </c>
      <c r="C762" s="49" t="s">
        <v>239</v>
      </c>
      <c r="D762" s="49" t="s">
        <v>85</v>
      </c>
      <c r="E762" s="50">
        <v>3243620</v>
      </c>
      <c r="F762" s="50">
        <v>243620</v>
      </c>
      <c r="G762" s="50">
        <v>243620</v>
      </c>
      <c r="H762" s="50">
        <v>0</v>
      </c>
      <c r="I762" s="50">
        <v>22870.37</v>
      </c>
      <c r="J762" s="50">
        <v>0</v>
      </c>
      <c r="K762" s="50">
        <v>205183.35</v>
      </c>
      <c r="L762" s="152">
        <f t="shared" si="0"/>
        <v>0.84222703390526232</v>
      </c>
      <c r="M762" s="50">
        <v>205183.35</v>
      </c>
      <c r="N762" s="152">
        <f t="shared" si="1"/>
        <v>0.84222703390526232</v>
      </c>
      <c r="O762" s="50">
        <v>15566.28</v>
      </c>
      <c r="P762" s="152">
        <f t="shared" si="2"/>
        <v>6.3895739266070117E-2</v>
      </c>
      <c r="Q762" s="50">
        <v>15566.28</v>
      </c>
    </row>
    <row r="763" spans="1:17" hidden="1" x14ac:dyDescent="0.25">
      <c r="A763" s="49" t="s">
        <v>717</v>
      </c>
      <c r="B763" s="49" t="s">
        <v>282</v>
      </c>
      <c r="C763" s="49" t="s">
        <v>283</v>
      </c>
      <c r="D763" s="49" t="s">
        <v>85</v>
      </c>
      <c r="E763" s="50">
        <v>414480</v>
      </c>
      <c r="F763" s="50">
        <v>480</v>
      </c>
      <c r="G763" s="50">
        <v>480</v>
      </c>
      <c r="H763" s="50">
        <v>0</v>
      </c>
      <c r="I763" s="50">
        <v>0</v>
      </c>
      <c r="J763" s="50">
        <v>0</v>
      </c>
      <c r="K763" s="50">
        <v>0</v>
      </c>
      <c r="L763" s="152">
        <f t="shared" si="0"/>
        <v>0</v>
      </c>
      <c r="M763" s="50">
        <v>0</v>
      </c>
      <c r="N763" s="152">
        <f t="shared" si="1"/>
        <v>0</v>
      </c>
      <c r="O763" s="50">
        <v>480</v>
      </c>
      <c r="P763" s="152">
        <f t="shared" si="2"/>
        <v>1</v>
      </c>
      <c r="Q763" s="50">
        <v>480</v>
      </c>
    </row>
    <row r="764" spans="1:17" hidden="1" x14ac:dyDescent="0.25">
      <c r="A764" s="49" t="s">
        <v>717</v>
      </c>
      <c r="B764" s="49" t="s">
        <v>240</v>
      </c>
      <c r="C764" s="49" t="s">
        <v>241</v>
      </c>
      <c r="D764" s="49" t="s">
        <v>85</v>
      </c>
      <c r="E764" s="50">
        <v>27531100</v>
      </c>
      <c r="F764" s="50">
        <v>8010660</v>
      </c>
      <c r="G764" s="50">
        <v>8010660</v>
      </c>
      <c r="H764" s="50">
        <v>0</v>
      </c>
      <c r="I764" s="50">
        <v>7754173</v>
      </c>
      <c r="J764" s="50">
        <v>0</v>
      </c>
      <c r="K764" s="50">
        <v>0</v>
      </c>
      <c r="L764" s="152">
        <f t="shared" si="0"/>
        <v>0</v>
      </c>
      <c r="M764" s="50">
        <v>0</v>
      </c>
      <c r="N764" s="152">
        <f t="shared" si="1"/>
        <v>0</v>
      </c>
      <c r="O764" s="50">
        <v>256487</v>
      </c>
      <c r="P764" s="152">
        <f t="shared" si="2"/>
        <v>3.2018210734196681E-2</v>
      </c>
      <c r="Q764" s="50">
        <v>256487</v>
      </c>
    </row>
    <row r="765" spans="1:17" hidden="1" x14ac:dyDescent="0.25">
      <c r="A765" s="49" t="s">
        <v>717</v>
      </c>
      <c r="B765" s="49" t="s">
        <v>242</v>
      </c>
      <c r="C765" s="49" t="s">
        <v>243</v>
      </c>
      <c r="D765" s="49" t="s">
        <v>85</v>
      </c>
      <c r="E765" s="50">
        <v>3350000</v>
      </c>
      <c r="F765" s="50">
        <v>62400</v>
      </c>
      <c r="G765" s="50">
        <v>62400</v>
      </c>
      <c r="H765" s="50">
        <v>0</v>
      </c>
      <c r="I765" s="50">
        <v>62400</v>
      </c>
      <c r="J765" s="50">
        <v>0</v>
      </c>
      <c r="K765" s="50">
        <v>0</v>
      </c>
      <c r="L765" s="152">
        <f t="shared" si="0"/>
        <v>0</v>
      </c>
      <c r="M765" s="50">
        <v>0</v>
      </c>
      <c r="N765" s="152">
        <f t="shared" si="1"/>
        <v>0</v>
      </c>
      <c r="O765" s="50">
        <v>0</v>
      </c>
      <c r="P765" s="152">
        <f t="shared" si="2"/>
        <v>0</v>
      </c>
      <c r="Q765" s="50">
        <v>0</v>
      </c>
    </row>
    <row r="766" spans="1:17" x14ac:dyDescent="0.25">
      <c r="A766" s="49">
        <v>214791</v>
      </c>
      <c r="B766" s="49"/>
      <c r="C766" s="49"/>
      <c r="D766" s="49" t="s">
        <v>69</v>
      </c>
      <c r="E766" s="50">
        <v>7826709762</v>
      </c>
      <c r="F766" s="50">
        <v>7640097492</v>
      </c>
      <c r="G766" s="50">
        <v>7514632632</v>
      </c>
      <c r="H766" s="50">
        <v>0</v>
      </c>
      <c r="I766" s="50">
        <v>232236333.03</v>
      </c>
      <c r="J766" s="50">
        <v>0</v>
      </c>
      <c r="K766" s="50">
        <v>5693036434.3999996</v>
      </c>
      <c r="L766" s="152">
        <f t="shared" si="0"/>
        <v>0.74515232827345701</v>
      </c>
      <c r="M766" s="50">
        <v>5693036434.3999996</v>
      </c>
      <c r="N766" s="152">
        <f t="shared" si="1"/>
        <v>0.74515232827345701</v>
      </c>
      <c r="O766" s="50">
        <v>1714824724.5699999</v>
      </c>
      <c r="P766" s="152">
        <f t="shared" si="2"/>
        <v>0.22445063382576008</v>
      </c>
      <c r="Q766" s="50">
        <v>1589359864.5699999</v>
      </c>
    </row>
    <row r="767" spans="1:17" hidden="1" x14ac:dyDescent="0.25">
      <c r="A767" s="49" t="s">
        <v>719</v>
      </c>
      <c r="B767" s="49" t="s">
        <v>71</v>
      </c>
      <c r="C767" s="49" t="s">
        <v>72</v>
      </c>
      <c r="D767" s="49" t="s">
        <v>69</v>
      </c>
      <c r="E767" s="50">
        <v>7726375169</v>
      </c>
      <c r="F767" s="50">
        <v>7475052781</v>
      </c>
      <c r="G767" s="50">
        <v>7350230001</v>
      </c>
      <c r="H767" s="50">
        <v>0</v>
      </c>
      <c r="I767" s="50">
        <v>211739138.11000001</v>
      </c>
      <c r="J767" s="50">
        <v>0</v>
      </c>
      <c r="K767" s="50">
        <v>5575090809</v>
      </c>
      <c r="L767" s="152">
        <f t="shared" si="0"/>
        <v>0.74582628007265706</v>
      </c>
      <c r="M767" s="50">
        <v>5575090809</v>
      </c>
      <c r="N767" s="152">
        <f t="shared" si="1"/>
        <v>0.74582628007265706</v>
      </c>
      <c r="O767" s="50">
        <v>1688222833.8900001</v>
      </c>
      <c r="P767" s="152">
        <f t="shared" si="2"/>
        <v>0.22584761383640056</v>
      </c>
      <c r="Q767" s="50">
        <v>1563400053.8900001</v>
      </c>
    </row>
    <row r="768" spans="1:17" hidden="1" x14ac:dyDescent="0.25">
      <c r="A768" s="49" t="s">
        <v>719</v>
      </c>
      <c r="B768" s="49" t="s">
        <v>73</v>
      </c>
      <c r="C768" s="49" t="s">
        <v>74</v>
      </c>
      <c r="D768" s="49" t="s">
        <v>69</v>
      </c>
      <c r="E768" s="50">
        <v>2598911346</v>
      </c>
      <c r="F768" s="50">
        <v>2502453188</v>
      </c>
      <c r="G768" s="50">
        <v>2482450977</v>
      </c>
      <c r="H768" s="50">
        <v>0</v>
      </c>
      <c r="I768" s="50">
        <v>0</v>
      </c>
      <c r="J768" s="50">
        <v>0</v>
      </c>
      <c r="K768" s="50">
        <v>2015777600.4000001</v>
      </c>
      <c r="L768" s="152">
        <f t="shared" si="0"/>
        <v>0.8055206027694134</v>
      </c>
      <c r="M768" s="50">
        <v>2015777600.4000001</v>
      </c>
      <c r="N768" s="152">
        <f t="shared" si="1"/>
        <v>0.8055206027694134</v>
      </c>
      <c r="O768" s="50">
        <v>486675587.60000002</v>
      </c>
      <c r="P768" s="152">
        <f t="shared" si="2"/>
        <v>0.19447939723058669</v>
      </c>
      <c r="Q768" s="50">
        <v>466673376.60000002</v>
      </c>
    </row>
    <row r="769" spans="1:17" hidden="1" x14ac:dyDescent="0.25">
      <c r="A769" s="49" t="s">
        <v>719</v>
      </c>
      <c r="B769" s="49" t="s">
        <v>75</v>
      </c>
      <c r="C769" s="49" t="s">
        <v>76</v>
      </c>
      <c r="D769" s="49" t="s">
        <v>69</v>
      </c>
      <c r="E769" s="50">
        <v>2598911346</v>
      </c>
      <c r="F769" s="50">
        <v>2498453188</v>
      </c>
      <c r="G769" s="50">
        <v>2478450977</v>
      </c>
      <c r="H769" s="50">
        <v>0</v>
      </c>
      <c r="I769" s="50">
        <v>0</v>
      </c>
      <c r="J769" s="50">
        <v>0</v>
      </c>
      <c r="K769" s="50">
        <v>2015777600.4000001</v>
      </c>
      <c r="L769" s="152">
        <f t="shared" si="0"/>
        <v>0.80681023366045956</v>
      </c>
      <c r="M769" s="50">
        <v>2015777600.4000001</v>
      </c>
      <c r="N769" s="152">
        <f t="shared" si="1"/>
        <v>0.80681023366045956</v>
      </c>
      <c r="O769" s="50">
        <v>482675587.60000002</v>
      </c>
      <c r="P769" s="152">
        <f t="shared" si="2"/>
        <v>0.19318976633954049</v>
      </c>
      <c r="Q769" s="50">
        <v>462673376.60000002</v>
      </c>
    </row>
    <row r="770" spans="1:17" hidden="1" x14ac:dyDescent="0.25">
      <c r="A770" s="49" t="s">
        <v>719</v>
      </c>
      <c r="B770" s="49" t="s">
        <v>291</v>
      </c>
      <c r="C770" s="49" t="s">
        <v>292</v>
      </c>
      <c r="D770" s="49" t="s">
        <v>69</v>
      </c>
      <c r="E770" s="50">
        <v>0</v>
      </c>
      <c r="F770" s="50">
        <v>4000000</v>
      </c>
      <c r="G770" s="50">
        <v>4000000</v>
      </c>
      <c r="H770" s="50">
        <v>0</v>
      </c>
      <c r="I770" s="50">
        <v>0</v>
      </c>
      <c r="J770" s="50">
        <v>0</v>
      </c>
      <c r="K770" s="50">
        <v>0</v>
      </c>
      <c r="L770" s="152">
        <f t="shared" si="0"/>
        <v>0</v>
      </c>
      <c r="M770" s="50">
        <v>0</v>
      </c>
      <c r="N770" s="152">
        <f t="shared" si="1"/>
        <v>0</v>
      </c>
      <c r="O770" s="50">
        <v>4000000</v>
      </c>
      <c r="P770" s="152">
        <f t="shared" si="2"/>
        <v>1</v>
      </c>
      <c r="Q770" s="50">
        <v>4000000</v>
      </c>
    </row>
    <row r="771" spans="1:17" hidden="1" x14ac:dyDescent="0.25">
      <c r="A771" s="49" t="s">
        <v>719</v>
      </c>
      <c r="B771" s="49" t="s">
        <v>77</v>
      </c>
      <c r="C771" s="49" t="s">
        <v>78</v>
      </c>
      <c r="D771" s="49" t="s">
        <v>69</v>
      </c>
      <c r="E771" s="50">
        <v>3948833757</v>
      </c>
      <c r="F771" s="50">
        <v>3832615733</v>
      </c>
      <c r="G771" s="50">
        <v>3752585672</v>
      </c>
      <c r="H771" s="50">
        <v>0</v>
      </c>
      <c r="I771" s="50">
        <v>0</v>
      </c>
      <c r="J771" s="50">
        <v>0</v>
      </c>
      <c r="K771" s="50">
        <v>2655858994.71</v>
      </c>
      <c r="L771" s="152">
        <f t="shared" si="0"/>
        <v>0.69296250386967773</v>
      </c>
      <c r="M771" s="50">
        <v>2655858994.71</v>
      </c>
      <c r="N771" s="152">
        <f t="shared" si="1"/>
        <v>0.69296250386967773</v>
      </c>
      <c r="O771" s="50">
        <v>1176756738.29</v>
      </c>
      <c r="P771" s="152">
        <f t="shared" si="2"/>
        <v>0.30703749613032233</v>
      </c>
      <c r="Q771" s="50">
        <v>1096726677.29</v>
      </c>
    </row>
    <row r="772" spans="1:17" hidden="1" x14ac:dyDescent="0.25">
      <c r="A772" s="49" t="s">
        <v>719</v>
      </c>
      <c r="B772" s="49" t="s">
        <v>79</v>
      </c>
      <c r="C772" s="49" t="s">
        <v>80</v>
      </c>
      <c r="D772" s="49" t="s">
        <v>69</v>
      </c>
      <c r="E772" s="50">
        <v>655368000</v>
      </c>
      <c r="F772" s="50">
        <v>650465123</v>
      </c>
      <c r="G772" s="50">
        <v>610346014</v>
      </c>
      <c r="H772" s="50">
        <v>0</v>
      </c>
      <c r="I772" s="50">
        <v>0</v>
      </c>
      <c r="J772" s="50">
        <v>0</v>
      </c>
      <c r="K772" s="50">
        <v>489905511.56999999</v>
      </c>
      <c r="L772" s="152">
        <f t="shared" si="0"/>
        <v>0.75316184411320086</v>
      </c>
      <c r="M772" s="50">
        <v>489905511.56999999</v>
      </c>
      <c r="N772" s="152">
        <f t="shared" si="1"/>
        <v>0.75316184411320086</v>
      </c>
      <c r="O772" s="50">
        <v>160559611.43000001</v>
      </c>
      <c r="P772" s="152">
        <f t="shared" si="2"/>
        <v>0.24683815588679919</v>
      </c>
      <c r="Q772" s="50">
        <v>120440502.43000001</v>
      </c>
    </row>
    <row r="773" spans="1:17" hidden="1" x14ac:dyDescent="0.25">
      <c r="A773" s="49" t="s">
        <v>719</v>
      </c>
      <c r="B773" s="49" t="s">
        <v>81</v>
      </c>
      <c r="C773" s="49" t="s">
        <v>82</v>
      </c>
      <c r="D773" s="49" t="s">
        <v>69</v>
      </c>
      <c r="E773" s="50">
        <v>1818533000</v>
      </c>
      <c r="F773" s="50">
        <v>1762721460</v>
      </c>
      <c r="G773" s="50">
        <v>1746049014</v>
      </c>
      <c r="H773" s="50">
        <v>0</v>
      </c>
      <c r="I773" s="50">
        <v>0</v>
      </c>
      <c r="J773" s="50">
        <v>0</v>
      </c>
      <c r="K773" s="50">
        <v>1372189920.53</v>
      </c>
      <c r="L773" s="152">
        <f t="shared" si="0"/>
        <v>0.7784496596132664</v>
      </c>
      <c r="M773" s="50">
        <v>1372189920.53</v>
      </c>
      <c r="N773" s="152">
        <f t="shared" si="1"/>
        <v>0.7784496596132664</v>
      </c>
      <c r="O773" s="50">
        <v>390531539.47000003</v>
      </c>
      <c r="P773" s="152">
        <f t="shared" si="2"/>
        <v>0.2215503403867336</v>
      </c>
      <c r="Q773" s="50">
        <v>373859093.47000003</v>
      </c>
    </row>
    <row r="774" spans="1:17" hidden="1" x14ac:dyDescent="0.25">
      <c r="A774" s="49" t="s">
        <v>719</v>
      </c>
      <c r="B774" s="49" t="s">
        <v>86</v>
      </c>
      <c r="C774" s="49" t="s">
        <v>87</v>
      </c>
      <c r="D774" s="49" t="s">
        <v>69</v>
      </c>
      <c r="E774" s="50">
        <v>463338500</v>
      </c>
      <c r="F774" s="50">
        <v>434338500</v>
      </c>
      <c r="G774" s="50">
        <v>434338500</v>
      </c>
      <c r="H774" s="50">
        <v>0</v>
      </c>
      <c r="I774" s="50">
        <v>0</v>
      </c>
      <c r="J774" s="50">
        <v>0</v>
      </c>
      <c r="K774" s="50">
        <v>408928931.39999998</v>
      </c>
      <c r="L774" s="152">
        <f t="shared" si="0"/>
        <v>0.94149823559274615</v>
      </c>
      <c r="M774" s="50">
        <v>408928931.39999998</v>
      </c>
      <c r="N774" s="152">
        <f t="shared" si="1"/>
        <v>0.94149823559274615</v>
      </c>
      <c r="O774" s="50">
        <v>25409568.600000001</v>
      </c>
      <c r="P774" s="152">
        <f t="shared" si="2"/>
        <v>5.8501764407253791E-2</v>
      </c>
      <c r="Q774" s="50">
        <v>25409568.600000001</v>
      </c>
    </row>
    <row r="775" spans="1:17" hidden="1" x14ac:dyDescent="0.25">
      <c r="A775" s="49" t="s">
        <v>719</v>
      </c>
      <c r="B775" s="49" t="s">
        <v>88</v>
      </c>
      <c r="C775" s="49" t="s">
        <v>89</v>
      </c>
      <c r="D775" s="49" t="s">
        <v>69</v>
      </c>
      <c r="E775" s="50">
        <v>508107900</v>
      </c>
      <c r="F775" s="50">
        <v>498113161</v>
      </c>
      <c r="G775" s="50">
        <v>495809043</v>
      </c>
      <c r="H775" s="50">
        <v>0</v>
      </c>
      <c r="I775" s="50">
        <v>0</v>
      </c>
      <c r="J775" s="50">
        <v>0</v>
      </c>
      <c r="K775" s="50">
        <v>384742948.73000002</v>
      </c>
      <c r="L775" s="152">
        <f t="shared" si="0"/>
        <v>0.77240068894706437</v>
      </c>
      <c r="M775" s="50">
        <v>384742948.73000002</v>
      </c>
      <c r="N775" s="152">
        <f t="shared" si="1"/>
        <v>0.77240068894706437</v>
      </c>
      <c r="O775" s="50">
        <v>113370212.27</v>
      </c>
      <c r="P775" s="152">
        <f t="shared" si="2"/>
        <v>0.2275993110529356</v>
      </c>
      <c r="Q775" s="50">
        <v>111066094.27</v>
      </c>
    </row>
    <row r="776" spans="1:17" hidden="1" x14ac:dyDescent="0.25">
      <c r="A776" s="49" t="s">
        <v>719</v>
      </c>
      <c r="B776" s="49" t="s">
        <v>83</v>
      </c>
      <c r="C776" s="49" t="s">
        <v>84</v>
      </c>
      <c r="D776" s="49" t="s">
        <v>85</v>
      </c>
      <c r="E776" s="50">
        <v>503486357</v>
      </c>
      <c r="F776" s="50">
        <v>486977489</v>
      </c>
      <c r="G776" s="50">
        <v>466043101</v>
      </c>
      <c r="H776" s="50">
        <v>0</v>
      </c>
      <c r="I776" s="50">
        <v>0</v>
      </c>
      <c r="J776" s="50">
        <v>0</v>
      </c>
      <c r="K776" s="50">
        <v>91682.48</v>
      </c>
      <c r="L776" s="152">
        <f t="shared" si="0"/>
        <v>1.8826841501086306E-4</v>
      </c>
      <c r="M776" s="50">
        <v>91682.48</v>
      </c>
      <c r="N776" s="152">
        <f t="shared" si="1"/>
        <v>1.8826841501086306E-4</v>
      </c>
      <c r="O776" s="50">
        <v>486885806.51999998</v>
      </c>
      <c r="P776" s="152">
        <f t="shared" si="2"/>
        <v>0.99981173158498915</v>
      </c>
      <c r="Q776" s="50">
        <v>465951418.51999998</v>
      </c>
    </row>
    <row r="777" spans="1:17" hidden="1" x14ac:dyDescent="0.25">
      <c r="A777" s="49" t="s">
        <v>719</v>
      </c>
      <c r="B777" s="49" t="s">
        <v>90</v>
      </c>
      <c r="C777" s="49" t="s">
        <v>91</v>
      </c>
      <c r="D777" s="49" t="s">
        <v>69</v>
      </c>
      <c r="E777" s="50">
        <v>589315133</v>
      </c>
      <c r="F777" s="50">
        <v>569992030</v>
      </c>
      <c r="G777" s="50">
        <v>566220775</v>
      </c>
      <c r="H777" s="50">
        <v>0</v>
      </c>
      <c r="I777" s="50">
        <v>112101209.45999999</v>
      </c>
      <c r="J777" s="50">
        <v>0</v>
      </c>
      <c r="K777" s="50">
        <v>454119565.54000002</v>
      </c>
      <c r="L777" s="152">
        <f t="shared" si="0"/>
        <v>0.79671213216788317</v>
      </c>
      <c r="M777" s="50">
        <v>454119565.54000002</v>
      </c>
      <c r="N777" s="152">
        <f t="shared" si="1"/>
        <v>0.79671213216788317</v>
      </c>
      <c r="O777" s="50">
        <v>3771255</v>
      </c>
      <c r="P777" s="152">
        <f t="shared" si="2"/>
        <v>6.6163293546402744E-3</v>
      </c>
      <c r="Q777" s="50">
        <v>0</v>
      </c>
    </row>
    <row r="778" spans="1:17" hidden="1" x14ac:dyDescent="0.25">
      <c r="A778" s="49" t="s">
        <v>719</v>
      </c>
      <c r="B778" s="49" t="s">
        <v>428</v>
      </c>
      <c r="C778" s="49" t="s">
        <v>697</v>
      </c>
      <c r="D778" s="49" t="s">
        <v>69</v>
      </c>
      <c r="E778" s="50">
        <v>559093873</v>
      </c>
      <c r="F778" s="50">
        <v>540761697</v>
      </c>
      <c r="G778" s="50">
        <v>537183840</v>
      </c>
      <c r="H778" s="50">
        <v>0</v>
      </c>
      <c r="I778" s="50">
        <v>106351836.90000001</v>
      </c>
      <c r="J778" s="50">
        <v>0</v>
      </c>
      <c r="K778" s="50">
        <v>430832003.10000002</v>
      </c>
      <c r="L778" s="152">
        <f t="shared" si="0"/>
        <v>0.79671323891862111</v>
      </c>
      <c r="M778" s="50">
        <v>430832003.10000002</v>
      </c>
      <c r="N778" s="152">
        <f t="shared" si="1"/>
        <v>0.79671323891862111</v>
      </c>
      <c r="O778" s="50">
        <v>3577857</v>
      </c>
      <c r="P778" s="152">
        <f t="shared" si="2"/>
        <v>6.6163284490173497E-3</v>
      </c>
      <c r="Q778" s="50">
        <v>0</v>
      </c>
    </row>
    <row r="779" spans="1:17" hidden="1" x14ac:dyDescent="0.25">
      <c r="A779" s="49" t="s">
        <v>719</v>
      </c>
      <c r="B779" s="49" t="s">
        <v>445</v>
      </c>
      <c r="C779" s="49" t="s">
        <v>95</v>
      </c>
      <c r="D779" s="49" t="s">
        <v>69</v>
      </c>
      <c r="E779" s="50">
        <v>30221260</v>
      </c>
      <c r="F779" s="50">
        <v>29230333</v>
      </c>
      <c r="G779" s="50">
        <v>29036935</v>
      </c>
      <c r="H779" s="50">
        <v>0</v>
      </c>
      <c r="I779" s="50">
        <v>5749372.5599999996</v>
      </c>
      <c r="J779" s="50">
        <v>0</v>
      </c>
      <c r="K779" s="50">
        <v>23287562.440000001</v>
      </c>
      <c r="L779" s="152">
        <f t="shared" si="0"/>
        <v>0.79669165725891666</v>
      </c>
      <c r="M779" s="50">
        <v>23287562.440000001</v>
      </c>
      <c r="N779" s="152">
        <f t="shared" si="1"/>
        <v>0.79669165725891666</v>
      </c>
      <c r="O779" s="50">
        <v>193398</v>
      </c>
      <c r="P779" s="152">
        <f t="shared" si="2"/>
        <v>6.6163461086810064E-3</v>
      </c>
      <c r="Q779" s="50">
        <v>0</v>
      </c>
    </row>
    <row r="780" spans="1:17" hidden="1" x14ac:dyDescent="0.25">
      <c r="A780" s="49" t="s">
        <v>719</v>
      </c>
      <c r="B780" s="49" t="s">
        <v>96</v>
      </c>
      <c r="C780" s="49" t="s">
        <v>97</v>
      </c>
      <c r="D780" s="49" t="s">
        <v>69</v>
      </c>
      <c r="E780" s="50">
        <v>589314933</v>
      </c>
      <c r="F780" s="50">
        <v>569991830</v>
      </c>
      <c r="G780" s="50">
        <v>548972577</v>
      </c>
      <c r="H780" s="50">
        <v>0</v>
      </c>
      <c r="I780" s="50">
        <v>99637928.650000006</v>
      </c>
      <c r="J780" s="50">
        <v>0</v>
      </c>
      <c r="K780" s="50">
        <v>449334648.35000002</v>
      </c>
      <c r="L780" s="152">
        <f t="shared" si="0"/>
        <v>0.78831769983439948</v>
      </c>
      <c r="M780" s="50">
        <v>449334648.35000002</v>
      </c>
      <c r="N780" s="152">
        <f t="shared" si="1"/>
        <v>0.78831769983439948</v>
      </c>
      <c r="O780" s="50">
        <v>21019253</v>
      </c>
      <c r="P780" s="152">
        <f t="shared" si="2"/>
        <v>3.6876411018031609E-2</v>
      </c>
      <c r="Q780" s="50">
        <v>0</v>
      </c>
    </row>
    <row r="781" spans="1:17" hidden="1" x14ac:dyDescent="0.25">
      <c r="A781" s="49" t="s">
        <v>719</v>
      </c>
      <c r="B781" s="49" t="s">
        <v>463</v>
      </c>
      <c r="C781" s="49" t="s">
        <v>698</v>
      </c>
      <c r="D781" s="49" t="s">
        <v>69</v>
      </c>
      <c r="E781" s="50">
        <v>317323487</v>
      </c>
      <c r="F781" s="50">
        <v>306918739</v>
      </c>
      <c r="G781" s="50">
        <v>304888065</v>
      </c>
      <c r="H781" s="50">
        <v>0</v>
      </c>
      <c r="I781" s="50">
        <v>65141900.909999996</v>
      </c>
      <c r="J781" s="50">
        <v>0</v>
      </c>
      <c r="K781" s="50">
        <v>239746164.09</v>
      </c>
      <c r="L781" s="152">
        <f t="shared" si="0"/>
        <v>0.78113889321694363</v>
      </c>
      <c r="M781" s="50">
        <v>239746164.09</v>
      </c>
      <c r="N781" s="152">
        <f t="shared" si="1"/>
        <v>0.78113889321694363</v>
      </c>
      <c r="O781" s="50">
        <v>2030674</v>
      </c>
      <c r="P781" s="152">
        <f t="shared" si="2"/>
        <v>6.6163245900733355E-3</v>
      </c>
      <c r="Q781" s="50">
        <v>0</v>
      </c>
    </row>
    <row r="782" spans="1:17" hidden="1" x14ac:dyDescent="0.25">
      <c r="A782" s="49" t="s">
        <v>719</v>
      </c>
      <c r="B782" s="49" t="s">
        <v>480</v>
      </c>
      <c r="C782" s="49" t="s">
        <v>699</v>
      </c>
      <c r="D782" s="49" t="s">
        <v>69</v>
      </c>
      <c r="E782" s="50">
        <v>90663782</v>
      </c>
      <c r="F782" s="50">
        <v>87690997</v>
      </c>
      <c r="G782" s="50">
        <v>87110804</v>
      </c>
      <c r="H782" s="50">
        <v>0</v>
      </c>
      <c r="I782" s="50">
        <v>17247926.670000002</v>
      </c>
      <c r="J782" s="50">
        <v>0</v>
      </c>
      <c r="K782" s="50">
        <v>69862877.329999998</v>
      </c>
      <c r="L782" s="152">
        <f t="shared" si="0"/>
        <v>0.79669384224243678</v>
      </c>
      <c r="M782" s="50">
        <v>69862877.329999998</v>
      </c>
      <c r="N782" s="152">
        <f t="shared" si="1"/>
        <v>0.79669384224243678</v>
      </c>
      <c r="O782" s="50">
        <v>580193</v>
      </c>
      <c r="P782" s="152">
        <f t="shared" si="2"/>
        <v>6.6163348559031667E-3</v>
      </c>
      <c r="Q782" s="50">
        <v>0</v>
      </c>
    </row>
    <row r="783" spans="1:17" hidden="1" x14ac:dyDescent="0.25">
      <c r="A783" s="49" t="s">
        <v>719</v>
      </c>
      <c r="B783" s="49" t="s">
        <v>497</v>
      </c>
      <c r="C783" s="49" t="s">
        <v>700</v>
      </c>
      <c r="D783" s="49" t="s">
        <v>69</v>
      </c>
      <c r="E783" s="50">
        <v>181327664</v>
      </c>
      <c r="F783" s="50">
        <v>175382094</v>
      </c>
      <c r="G783" s="50">
        <v>156973708</v>
      </c>
      <c r="H783" s="50">
        <v>0</v>
      </c>
      <c r="I783" s="50">
        <v>17248101.07</v>
      </c>
      <c r="J783" s="50">
        <v>0</v>
      </c>
      <c r="K783" s="50">
        <v>139725606.93000001</v>
      </c>
      <c r="L783" s="152">
        <f t="shared" si="0"/>
        <v>0.79669254564836023</v>
      </c>
      <c r="M783" s="50">
        <v>139725606.93000001</v>
      </c>
      <c r="N783" s="152">
        <f t="shared" si="1"/>
        <v>0.79669254564836023</v>
      </c>
      <c r="O783" s="50">
        <v>18408386</v>
      </c>
      <c r="P783" s="152">
        <f t="shared" si="2"/>
        <v>0.10496160457520823</v>
      </c>
      <c r="Q783" s="50">
        <v>0</v>
      </c>
    </row>
    <row r="784" spans="1:17" hidden="1" x14ac:dyDescent="0.25">
      <c r="A784" s="49" t="s">
        <v>719</v>
      </c>
      <c r="B784" s="49" t="s">
        <v>248</v>
      </c>
      <c r="C784" s="49" t="s">
        <v>249</v>
      </c>
      <c r="D784" s="49" t="s">
        <v>69</v>
      </c>
      <c r="E784" s="50">
        <v>100334593</v>
      </c>
      <c r="F784" s="50">
        <v>165044711</v>
      </c>
      <c r="G784" s="50">
        <v>164402631</v>
      </c>
      <c r="H784" s="50">
        <v>0</v>
      </c>
      <c r="I784" s="50">
        <v>20497194.920000002</v>
      </c>
      <c r="J784" s="50">
        <v>0</v>
      </c>
      <c r="K784" s="50">
        <v>117945625.40000001</v>
      </c>
      <c r="L784" s="152">
        <f t="shared" si="0"/>
        <v>0.71462832516941432</v>
      </c>
      <c r="M784" s="50">
        <v>117945625.40000001</v>
      </c>
      <c r="N784" s="152">
        <f t="shared" si="1"/>
        <v>0.71462832516941432</v>
      </c>
      <c r="O784" s="50">
        <v>26601890.68</v>
      </c>
      <c r="P784" s="152">
        <f t="shared" si="2"/>
        <v>0.16117990403218677</v>
      </c>
      <c r="Q784" s="50">
        <v>25959810.68</v>
      </c>
    </row>
    <row r="785" spans="1:17" hidden="1" x14ac:dyDescent="0.25">
      <c r="A785" s="49" t="s">
        <v>719</v>
      </c>
      <c r="B785" s="49" t="s">
        <v>250</v>
      </c>
      <c r="C785" s="49" t="s">
        <v>251</v>
      </c>
      <c r="D785" s="49" t="s">
        <v>69</v>
      </c>
      <c r="E785" s="50">
        <v>100334593</v>
      </c>
      <c r="F785" s="50">
        <v>97044711</v>
      </c>
      <c r="G785" s="50">
        <v>96402631</v>
      </c>
      <c r="H785" s="50">
        <v>0</v>
      </c>
      <c r="I785" s="50">
        <v>20497194.920000002</v>
      </c>
      <c r="J785" s="50">
        <v>0</v>
      </c>
      <c r="K785" s="50">
        <v>75905436.079999998</v>
      </c>
      <c r="L785" s="152">
        <f t="shared" si="0"/>
        <v>0.78216973699885606</v>
      </c>
      <c r="M785" s="50">
        <v>75905436.079999998</v>
      </c>
      <c r="N785" s="152">
        <f t="shared" si="1"/>
        <v>0.78216973699885606</v>
      </c>
      <c r="O785" s="50">
        <v>642080</v>
      </c>
      <c r="P785" s="152">
        <f t="shared" si="2"/>
        <v>6.6163317236320072E-3</v>
      </c>
      <c r="Q785" s="50">
        <v>0</v>
      </c>
    </row>
    <row r="786" spans="1:17" hidden="1" x14ac:dyDescent="0.25">
      <c r="A786" s="49" t="s">
        <v>719</v>
      </c>
      <c r="B786" s="49" t="s">
        <v>637</v>
      </c>
      <c r="C786" s="49" t="s">
        <v>702</v>
      </c>
      <c r="D786" s="49" t="s">
        <v>69</v>
      </c>
      <c r="E786" s="50">
        <v>85224013</v>
      </c>
      <c r="F786" s="50">
        <v>82429595</v>
      </c>
      <c r="G786" s="50">
        <v>81884214</v>
      </c>
      <c r="H786" s="50">
        <v>0</v>
      </c>
      <c r="I786" s="50">
        <v>17622619.280000001</v>
      </c>
      <c r="J786" s="50">
        <v>0</v>
      </c>
      <c r="K786" s="50">
        <v>64261594.719999999</v>
      </c>
      <c r="L786" s="152">
        <f t="shared" si="0"/>
        <v>0.77959372140552186</v>
      </c>
      <c r="M786" s="50">
        <v>64261594.719999999</v>
      </c>
      <c r="N786" s="152">
        <f t="shared" si="1"/>
        <v>0.77959372140552186</v>
      </c>
      <c r="O786" s="50">
        <v>545381</v>
      </c>
      <c r="P786" s="152">
        <f t="shared" si="2"/>
        <v>6.6163251196369463E-3</v>
      </c>
      <c r="Q786" s="50">
        <v>0</v>
      </c>
    </row>
    <row r="787" spans="1:17" hidden="1" x14ac:dyDescent="0.25">
      <c r="A787" s="49" t="s">
        <v>719</v>
      </c>
      <c r="B787" s="49" t="s">
        <v>652</v>
      </c>
      <c r="C787" s="49" t="s">
        <v>703</v>
      </c>
      <c r="D787" s="49" t="s">
        <v>69</v>
      </c>
      <c r="E787" s="50">
        <v>15110580</v>
      </c>
      <c r="F787" s="50">
        <v>14615116</v>
      </c>
      <c r="G787" s="50">
        <v>14518417</v>
      </c>
      <c r="H787" s="50">
        <v>0</v>
      </c>
      <c r="I787" s="50">
        <v>2874575.64</v>
      </c>
      <c r="J787" s="50">
        <v>0</v>
      </c>
      <c r="K787" s="50">
        <v>11643841.359999999</v>
      </c>
      <c r="L787" s="152">
        <f t="shared" si="0"/>
        <v>0.79669852500657534</v>
      </c>
      <c r="M787" s="50">
        <v>11643841.359999999</v>
      </c>
      <c r="N787" s="152">
        <f t="shared" si="1"/>
        <v>0.79669852500657534</v>
      </c>
      <c r="O787" s="50">
        <v>96699</v>
      </c>
      <c r="P787" s="152">
        <f t="shared" si="2"/>
        <v>6.616368970318128E-3</v>
      </c>
      <c r="Q787" s="50">
        <v>0</v>
      </c>
    </row>
    <row r="788" spans="1:17" hidden="1" x14ac:dyDescent="0.25">
      <c r="A788" s="49" t="s">
        <v>719</v>
      </c>
      <c r="B788" s="49" t="s">
        <v>260</v>
      </c>
      <c r="C788" s="49" t="s">
        <v>261</v>
      </c>
      <c r="D788" s="49" t="s">
        <v>69</v>
      </c>
      <c r="E788" s="50">
        <v>0</v>
      </c>
      <c r="F788" s="50">
        <v>68000000</v>
      </c>
      <c r="G788" s="50">
        <v>68000000</v>
      </c>
      <c r="H788" s="50">
        <v>0</v>
      </c>
      <c r="I788" s="50">
        <v>0</v>
      </c>
      <c r="J788" s="50">
        <v>0</v>
      </c>
      <c r="K788" s="50">
        <v>42040189.32</v>
      </c>
      <c r="L788" s="152">
        <f t="shared" si="0"/>
        <v>0.61823807823529409</v>
      </c>
      <c r="M788" s="50">
        <v>42040189.32</v>
      </c>
      <c r="N788" s="152">
        <f t="shared" si="1"/>
        <v>0.61823807823529409</v>
      </c>
      <c r="O788" s="50">
        <v>25959810.68</v>
      </c>
      <c r="P788" s="152">
        <f t="shared" si="2"/>
        <v>0.38176192176470586</v>
      </c>
      <c r="Q788" s="50">
        <v>25959810.68</v>
      </c>
    </row>
    <row r="789" spans="1:17" hidden="1" x14ac:dyDescent="0.25">
      <c r="A789" s="49" t="s">
        <v>719</v>
      </c>
      <c r="B789" s="49" t="s">
        <v>262</v>
      </c>
      <c r="C789" s="49" t="s">
        <v>263</v>
      </c>
      <c r="D789" s="49" t="s">
        <v>69</v>
      </c>
      <c r="E789" s="50">
        <v>0</v>
      </c>
      <c r="F789" s="50">
        <v>43000000</v>
      </c>
      <c r="G789" s="50">
        <v>43000000</v>
      </c>
      <c r="H789" s="50">
        <v>0</v>
      </c>
      <c r="I789" s="50">
        <v>0</v>
      </c>
      <c r="J789" s="50">
        <v>0</v>
      </c>
      <c r="K789" s="50">
        <v>26489294.82</v>
      </c>
      <c r="L789" s="152">
        <f t="shared" si="0"/>
        <v>0.61603011209302327</v>
      </c>
      <c r="M789" s="50">
        <v>26489294.82</v>
      </c>
      <c r="N789" s="152">
        <f t="shared" si="1"/>
        <v>0.61603011209302327</v>
      </c>
      <c r="O789" s="50">
        <v>16510705.18</v>
      </c>
      <c r="P789" s="152">
        <f t="shared" si="2"/>
        <v>0.38396988790697673</v>
      </c>
      <c r="Q789" s="50">
        <v>16510705.18</v>
      </c>
    </row>
    <row r="790" spans="1:17" hidden="1" x14ac:dyDescent="0.25">
      <c r="A790" s="49" t="s">
        <v>719</v>
      </c>
      <c r="B790" s="49" t="s">
        <v>264</v>
      </c>
      <c r="C790" s="49" t="s">
        <v>265</v>
      </c>
      <c r="D790" s="49" t="s">
        <v>69</v>
      </c>
      <c r="E790" s="50">
        <v>0</v>
      </c>
      <c r="F790" s="50">
        <v>25000000</v>
      </c>
      <c r="G790" s="50">
        <v>25000000</v>
      </c>
      <c r="H790" s="50">
        <v>0</v>
      </c>
      <c r="I790" s="50">
        <v>0</v>
      </c>
      <c r="J790" s="50">
        <v>0</v>
      </c>
      <c r="K790" s="50">
        <v>15550894.5</v>
      </c>
      <c r="L790" s="152">
        <f t="shared" si="0"/>
        <v>0.62203578000000004</v>
      </c>
      <c r="M790" s="50">
        <v>15550894.5</v>
      </c>
      <c r="N790" s="152">
        <f t="shared" si="1"/>
        <v>0.62203578000000004</v>
      </c>
      <c r="O790" s="50">
        <v>9449105.5</v>
      </c>
      <c r="P790" s="152">
        <f t="shared" si="2"/>
        <v>0.37796422000000002</v>
      </c>
      <c r="Q790" s="50">
        <v>9449105.5</v>
      </c>
    </row>
    <row r="791" spans="1:17" x14ac:dyDescent="0.25">
      <c r="A791" s="49">
        <v>214793</v>
      </c>
      <c r="B791" s="49"/>
      <c r="C791" s="49"/>
      <c r="D791" s="49" t="s">
        <v>69</v>
      </c>
      <c r="E791" s="50">
        <v>918243709</v>
      </c>
      <c r="F791" s="50">
        <v>895550765</v>
      </c>
      <c r="G791" s="50">
        <v>888471208</v>
      </c>
      <c r="H791" s="50">
        <v>0</v>
      </c>
      <c r="I791" s="50">
        <v>21527643.32</v>
      </c>
      <c r="J791" s="50">
        <v>0</v>
      </c>
      <c r="K791" s="50">
        <v>696638758.39999998</v>
      </c>
      <c r="L791" s="152">
        <f t="shared" si="0"/>
        <v>0.77788863080252069</v>
      </c>
      <c r="M791" s="50">
        <v>696638758.39999998</v>
      </c>
      <c r="N791" s="152">
        <f t="shared" si="1"/>
        <v>0.77788863080252069</v>
      </c>
      <c r="O791" s="50">
        <v>177384363.28</v>
      </c>
      <c r="P791" s="152">
        <f t="shared" si="2"/>
        <v>0.19807292921021624</v>
      </c>
      <c r="Q791" s="50">
        <v>170304806.28</v>
      </c>
    </row>
    <row r="792" spans="1:17" hidden="1" x14ac:dyDescent="0.25">
      <c r="A792" s="49" t="s">
        <v>720</v>
      </c>
      <c r="B792" s="49" t="s">
        <v>71</v>
      </c>
      <c r="C792" s="49" t="s">
        <v>72</v>
      </c>
      <c r="D792" s="49" t="s">
        <v>69</v>
      </c>
      <c r="E792" s="50">
        <v>899027714</v>
      </c>
      <c r="F792" s="50">
        <v>878789381</v>
      </c>
      <c r="G792" s="50">
        <v>871709824</v>
      </c>
      <c r="H792" s="50">
        <v>0</v>
      </c>
      <c r="I792" s="50">
        <v>19534563.960000001</v>
      </c>
      <c r="J792" s="50">
        <v>0</v>
      </c>
      <c r="K792" s="50">
        <v>685119812.03999996</v>
      </c>
      <c r="L792" s="152">
        <f t="shared" si="0"/>
        <v>0.77961776376995151</v>
      </c>
      <c r="M792" s="50">
        <v>685119812.03999996</v>
      </c>
      <c r="N792" s="152">
        <f t="shared" si="1"/>
        <v>0.77961776376995151</v>
      </c>
      <c r="O792" s="50">
        <v>174135005</v>
      </c>
      <c r="P792" s="152">
        <f t="shared" si="2"/>
        <v>0.19815328765334728</v>
      </c>
      <c r="Q792" s="50">
        <v>167055448</v>
      </c>
    </row>
    <row r="793" spans="1:17" hidden="1" x14ac:dyDescent="0.25">
      <c r="A793" s="49" t="s">
        <v>720</v>
      </c>
      <c r="B793" s="49" t="s">
        <v>73</v>
      </c>
      <c r="C793" s="49" t="s">
        <v>74</v>
      </c>
      <c r="D793" s="49" t="s">
        <v>69</v>
      </c>
      <c r="E793" s="50">
        <v>305726500</v>
      </c>
      <c r="F793" s="50">
        <v>299696000</v>
      </c>
      <c r="G793" s="50">
        <v>299696000</v>
      </c>
      <c r="H793" s="50">
        <v>0</v>
      </c>
      <c r="I793" s="50">
        <v>0</v>
      </c>
      <c r="J793" s="50">
        <v>0</v>
      </c>
      <c r="K793" s="50">
        <v>246978845.63</v>
      </c>
      <c r="L793" s="152">
        <f t="shared" si="0"/>
        <v>0.82409790464337196</v>
      </c>
      <c r="M793" s="50">
        <v>246978845.63</v>
      </c>
      <c r="N793" s="152">
        <f t="shared" si="1"/>
        <v>0.82409790464337196</v>
      </c>
      <c r="O793" s="50">
        <v>52717154.369999997</v>
      </c>
      <c r="P793" s="152">
        <f t="shared" si="2"/>
        <v>0.17590209535662804</v>
      </c>
      <c r="Q793" s="50">
        <v>52717154.369999997</v>
      </c>
    </row>
    <row r="794" spans="1:17" hidden="1" x14ac:dyDescent="0.25">
      <c r="A794" s="49" t="s">
        <v>720</v>
      </c>
      <c r="B794" s="49" t="s">
        <v>75</v>
      </c>
      <c r="C794" s="49" t="s">
        <v>76</v>
      </c>
      <c r="D794" s="49" t="s">
        <v>69</v>
      </c>
      <c r="E794" s="50">
        <v>305726500</v>
      </c>
      <c r="F794" s="50">
        <v>298196000</v>
      </c>
      <c r="G794" s="50">
        <v>298196000</v>
      </c>
      <c r="H794" s="50">
        <v>0</v>
      </c>
      <c r="I794" s="50">
        <v>0</v>
      </c>
      <c r="J794" s="50">
        <v>0</v>
      </c>
      <c r="K794" s="50">
        <v>246978845.63</v>
      </c>
      <c r="L794" s="152">
        <f t="shared" si="0"/>
        <v>0.82824332194261496</v>
      </c>
      <c r="M794" s="50">
        <v>246978845.63</v>
      </c>
      <c r="N794" s="152">
        <f t="shared" si="1"/>
        <v>0.82824332194261496</v>
      </c>
      <c r="O794" s="50">
        <v>51217154.369999997</v>
      </c>
      <c r="P794" s="152">
        <f t="shared" si="2"/>
        <v>0.17175667805738506</v>
      </c>
      <c r="Q794" s="50">
        <v>51217154.369999997</v>
      </c>
    </row>
    <row r="795" spans="1:17" hidden="1" x14ac:dyDescent="0.25">
      <c r="A795" s="49" t="s">
        <v>720</v>
      </c>
      <c r="B795" s="49" t="s">
        <v>291</v>
      </c>
      <c r="C795" s="49" t="s">
        <v>292</v>
      </c>
      <c r="D795" s="49" t="s">
        <v>69</v>
      </c>
      <c r="E795" s="50">
        <v>0</v>
      </c>
      <c r="F795" s="50">
        <v>1500000</v>
      </c>
      <c r="G795" s="50">
        <v>1500000</v>
      </c>
      <c r="H795" s="50">
        <v>0</v>
      </c>
      <c r="I795" s="50">
        <v>0</v>
      </c>
      <c r="J795" s="50">
        <v>0</v>
      </c>
      <c r="K795" s="50">
        <v>0</v>
      </c>
      <c r="L795" s="152">
        <f t="shared" si="0"/>
        <v>0</v>
      </c>
      <c r="M795" s="50">
        <v>0</v>
      </c>
      <c r="N795" s="152">
        <f t="shared" si="1"/>
        <v>0</v>
      </c>
      <c r="O795" s="50">
        <v>1500000</v>
      </c>
      <c r="P795" s="152">
        <f t="shared" si="2"/>
        <v>1</v>
      </c>
      <c r="Q795" s="50">
        <v>1500000</v>
      </c>
    </row>
    <row r="796" spans="1:17" hidden="1" x14ac:dyDescent="0.25">
      <c r="A796" s="49" t="s">
        <v>720</v>
      </c>
      <c r="B796" s="49" t="s">
        <v>77</v>
      </c>
      <c r="C796" s="49" t="s">
        <v>78</v>
      </c>
      <c r="D796" s="49" t="s">
        <v>69</v>
      </c>
      <c r="E796" s="50">
        <v>456157950</v>
      </c>
      <c r="F796" s="50">
        <v>444960170</v>
      </c>
      <c r="G796" s="50">
        <v>439466413</v>
      </c>
      <c r="H796" s="50">
        <v>0</v>
      </c>
      <c r="I796" s="50">
        <v>0</v>
      </c>
      <c r="J796" s="50">
        <v>0</v>
      </c>
      <c r="K796" s="50">
        <v>325128119.37</v>
      </c>
      <c r="L796" s="152">
        <f t="shared" si="0"/>
        <v>0.73069038824306454</v>
      </c>
      <c r="M796" s="50">
        <v>325128119.37</v>
      </c>
      <c r="N796" s="152">
        <f t="shared" si="1"/>
        <v>0.73069038824306454</v>
      </c>
      <c r="O796" s="50">
        <v>119832050.63</v>
      </c>
      <c r="P796" s="152">
        <f t="shared" si="2"/>
        <v>0.26930961175693546</v>
      </c>
      <c r="Q796" s="50">
        <v>114338293.63</v>
      </c>
    </row>
    <row r="797" spans="1:17" hidden="1" x14ac:dyDescent="0.25">
      <c r="A797" s="49" t="s">
        <v>720</v>
      </c>
      <c r="B797" s="49" t="s">
        <v>79</v>
      </c>
      <c r="C797" s="49" t="s">
        <v>80</v>
      </c>
      <c r="D797" s="49" t="s">
        <v>69</v>
      </c>
      <c r="E797" s="50">
        <v>79360300</v>
      </c>
      <c r="F797" s="50">
        <v>79213355</v>
      </c>
      <c r="G797" s="50">
        <v>73719598</v>
      </c>
      <c r="H797" s="50">
        <v>0</v>
      </c>
      <c r="I797" s="50">
        <v>0</v>
      </c>
      <c r="J797" s="50">
        <v>0</v>
      </c>
      <c r="K797" s="50">
        <v>62262122.25</v>
      </c>
      <c r="L797" s="152">
        <f t="shared" si="0"/>
        <v>0.78600536803421595</v>
      </c>
      <c r="M797" s="50">
        <v>62262122.25</v>
      </c>
      <c r="N797" s="152">
        <f t="shared" si="1"/>
        <v>0.78600536803421595</v>
      </c>
      <c r="O797" s="50">
        <v>16951232.75</v>
      </c>
      <c r="P797" s="152">
        <f t="shared" si="2"/>
        <v>0.21399463196578405</v>
      </c>
      <c r="Q797" s="50">
        <v>11457475.75</v>
      </c>
    </row>
    <row r="798" spans="1:17" hidden="1" x14ac:dyDescent="0.25">
      <c r="A798" s="49" t="s">
        <v>720</v>
      </c>
      <c r="B798" s="49" t="s">
        <v>81</v>
      </c>
      <c r="C798" s="49" t="s">
        <v>82</v>
      </c>
      <c r="D798" s="49" t="s">
        <v>69</v>
      </c>
      <c r="E798" s="50">
        <v>203715000</v>
      </c>
      <c r="F798" s="50">
        <v>199884143</v>
      </c>
      <c r="G798" s="50">
        <v>199884143</v>
      </c>
      <c r="H798" s="50">
        <v>0</v>
      </c>
      <c r="I798" s="50">
        <v>0</v>
      </c>
      <c r="J798" s="50">
        <v>0</v>
      </c>
      <c r="K798" s="50">
        <v>166777408.93000001</v>
      </c>
      <c r="L798" s="152">
        <f t="shared" si="0"/>
        <v>0.83437038289725662</v>
      </c>
      <c r="M798" s="50">
        <v>166777408.93000001</v>
      </c>
      <c r="N798" s="152">
        <f t="shared" si="1"/>
        <v>0.83437038289725662</v>
      </c>
      <c r="O798" s="50">
        <v>33106734.07</v>
      </c>
      <c r="P798" s="152">
        <f t="shared" si="2"/>
        <v>0.16562961710274338</v>
      </c>
      <c r="Q798" s="50">
        <v>33106734.07</v>
      </c>
    </row>
    <row r="799" spans="1:17" hidden="1" x14ac:dyDescent="0.25">
      <c r="A799" s="49" t="s">
        <v>720</v>
      </c>
      <c r="B799" s="49" t="s">
        <v>86</v>
      </c>
      <c r="C799" s="49" t="s">
        <v>87</v>
      </c>
      <c r="D799" s="49" t="s">
        <v>69</v>
      </c>
      <c r="E799" s="50">
        <v>53908100</v>
      </c>
      <c r="F799" s="50">
        <v>48408100</v>
      </c>
      <c r="G799" s="50">
        <v>48408100</v>
      </c>
      <c r="H799" s="50">
        <v>0</v>
      </c>
      <c r="I799" s="50">
        <v>0</v>
      </c>
      <c r="J799" s="50">
        <v>0</v>
      </c>
      <c r="K799" s="50">
        <v>47507997.909999996</v>
      </c>
      <c r="L799" s="152">
        <f t="shared" si="0"/>
        <v>0.98140596119244494</v>
      </c>
      <c r="M799" s="50">
        <v>47507997.909999996</v>
      </c>
      <c r="N799" s="152">
        <f t="shared" si="1"/>
        <v>0.98140596119244494</v>
      </c>
      <c r="O799" s="50">
        <v>900102.09</v>
      </c>
      <c r="P799" s="152">
        <f t="shared" si="2"/>
        <v>1.8594038807554933E-2</v>
      </c>
      <c r="Q799" s="50">
        <v>900102.09</v>
      </c>
    </row>
    <row r="800" spans="1:17" hidden="1" x14ac:dyDescent="0.25">
      <c r="A800" s="49" t="s">
        <v>720</v>
      </c>
      <c r="B800" s="49" t="s">
        <v>88</v>
      </c>
      <c r="C800" s="49" t="s">
        <v>89</v>
      </c>
      <c r="D800" s="49" t="s">
        <v>69</v>
      </c>
      <c r="E800" s="50">
        <v>60590000</v>
      </c>
      <c r="F800" s="50">
        <v>60155857</v>
      </c>
      <c r="G800" s="50">
        <v>60155857</v>
      </c>
      <c r="H800" s="50">
        <v>0</v>
      </c>
      <c r="I800" s="50">
        <v>0</v>
      </c>
      <c r="J800" s="50">
        <v>0</v>
      </c>
      <c r="K800" s="50">
        <v>48580590.280000001</v>
      </c>
      <c r="L800" s="152">
        <f t="shared" si="0"/>
        <v>0.80757872471171011</v>
      </c>
      <c r="M800" s="50">
        <v>48580590.280000001</v>
      </c>
      <c r="N800" s="152">
        <f t="shared" si="1"/>
        <v>0.80757872471171011</v>
      </c>
      <c r="O800" s="50">
        <v>11575266.720000001</v>
      </c>
      <c r="P800" s="152">
        <f t="shared" si="2"/>
        <v>0.19242127528828989</v>
      </c>
      <c r="Q800" s="50">
        <v>11575266.720000001</v>
      </c>
    </row>
    <row r="801" spans="1:17" hidden="1" x14ac:dyDescent="0.25">
      <c r="A801" s="49" t="s">
        <v>720</v>
      </c>
      <c r="B801" s="49" t="s">
        <v>83</v>
      </c>
      <c r="C801" s="49" t="s">
        <v>84</v>
      </c>
      <c r="D801" s="49" t="s">
        <v>85</v>
      </c>
      <c r="E801" s="50">
        <v>58584550</v>
      </c>
      <c r="F801" s="50">
        <v>57298715</v>
      </c>
      <c r="G801" s="50">
        <v>57298715</v>
      </c>
      <c r="H801" s="50">
        <v>0</v>
      </c>
      <c r="I801" s="50">
        <v>0</v>
      </c>
      <c r="J801" s="50">
        <v>0</v>
      </c>
      <c r="K801" s="50">
        <v>0</v>
      </c>
      <c r="L801" s="152">
        <f t="shared" si="0"/>
        <v>0</v>
      </c>
      <c r="M801" s="50">
        <v>0</v>
      </c>
      <c r="N801" s="152">
        <f t="shared" si="1"/>
        <v>0</v>
      </c>
      <c r="O801" s="50">
        <v>57298715</v>
      </c>
      <c r="P801" s="152">
        <f t="shared" si="2"/>
        <v>1</v>
      </c>
      <c r="Q801" s="50">
        <v>57298715</v>
      </c>
    </row>
    <row r="802" spans="1:17" hidden="1" x14ac:dyDescent="0.25">
      <c r="A802" s="49" t="s">
        <v>720</v>
      </c>
      <c r="B802" s="49" t="s">
        <v>90</v>
      </c>
      <c r="C802" s="49" t="s">
        <v>91</v>
      </c>
      <c r="D802" s="49" t="s">
        <v>69</v>
      </c>
      <c r="E802" s="50">
        <v>68571682</v>
      </c>
      <c r="F802" s="50">
        <v>67066655</v>
      </c>
      <c r="G802" s="50">
        <v>67066655</v>
      </c>
      <c r="H802" s="50">
        <v>0</v>
      </c>
      <c r="I802" s="50">
        <v>10305630.529999999</v>
      </c>
      <c r="J802" s="50">
        <v>0</v>
      </c>
      <c r="K802" s="50">
        <v>56761024.469999999</v>
      </c>
      <c r="L802" s="152">
        <f t="shared" si="0"/>
        <v>0.84633749021775428</v>
      </c>
      <c r="M802" s="50">
        <v>56761024.469999999</v>
      </c>
      <c r="N802" s="152">
        <f t="shared" si="1"/>
        <v>0.84633749021775428</v>
      </c>
      <c r="O802" s="50">
        <v>0</v>
      </c>
      <c r="P802" s="152">
        <f t="shared" si="2"/>
        <v>0</v>
      </c>
      <c r="Q802" s="50">
        <v>0</v>
      </c>
    </row>
    <row r="803" spans="1:17" hidden="1" x14ac:dyDescent="0.25">
      <c r="A803" s="49" t="s">
        <v>720</v>
      </c>
      <c r="B803" s="49" t="s">
        <v>429</v>
      </c>
      <c r="C803" s="49" t="s">
        <v>697</v>
      </c>
      <c r="D803" s="49" t="s">
        <v>69</v>
      </c>
      <c r="E803" s="50">
        <v>65055209</v>
      </c>
      <c r="F803" s="50">
        <v>63627362</v>
      </c>
      <c r="G803" s="50">
        <v>63627362</v>
      </c>
      <c r="H803" s="50">
        <v>0</v>
      </c>
      <c r="I803" s="50">
        <v>9778030.0600000005</v>
      </c>
      <c r="J803" s="50">
        <v>0</v>
      </c>
      <c r="K803" s="50">
        <v>53849331.939999998</v>
      </c>
      <c r="L803" s="152">
        <f t="shared" si="0"/>
        <v>0.84632350371527265</v>
      </c>
      <c r="M803" s="50">
        <v>53849331.939999998</v>
      </c>
      <c r="N803" s="152">
        <f t="shared" si="1"/>
        <v>0.84632350371527265</v>
      </c>
      <c r="O803" s="50">
        <v>0</v>
      </c>
      <c r="P803" s="152">
        <f t="shared" si="2"/>
        <v>0</v>
      </c>
      <c r="Q803" s="50">
        <v>0</v>
      </c>
    </row>
    <row r="804" spans="1:17" hidden="1" x14ac:dyDescent="0.25">
      <c r="A804" s="49" t="s">
        <v>720</v>
      </c>
      <c r="B804" s="49" t="s">
        <v>446</v>
      </c>
      <c r="C804" s="49" t="s">
        <v>95</v>
      </c>
      <c r="D804" s="49" t="s">
        <v>69</v>
      </c>
      <c r="E804" s="50">
        <v>3516473</v>
      </c>
      <c r="F804" s="50">
        <v>3439293</v>
      </c>
      <c r="G804" s="50">
        <v>3439293</v>
      </c>
      <c r="H804" s="50">
        <v>0</v>
      </c>
      <c r="I804" s="50">
        <v>527600.47</v>
      </c>
      <c r="J804" s="50">
        <v>0</v>
      </c>
      <c r="K804" s="50">
        <v>2911692.53</v>
      </c>
      <c r="L804" s="152">
        <f t="shared" si="0"/>
        <v>0.84659624230910246</v>
      </c>
      <c r="M804" s="50">
        <v>2911692.53</v>
      </c>
      <c r="N804" s="152">
        <f t="shared" si="1"/>
        <v>0.84659624230910246</v>
      </c>
      <c r="O804" s="50">
        <v>0</v>
      </c>
      <c r="P804" s="152">
        <f t="shared" si="2"/>
        <v>0</v>
      </c>
      <c r="Q804" s="50">
        <v>0</v>
      </c>
    </row>
    <row r="805" spans="1:17" hidden="1" x14ac:dyDescent="0.25">
      <c r="A805" s="49" t="s">
        <v>720</v>
      </c>
      <c r="B805" s="49" t="s">
        <v>96</v>
      </c>
      <c r="C805" s="49" t="s">
        <v>97</v>
      </c>
      <c r="D805" s="49" t="s">
        <v>69</v>
      </c>
      <c r="E805" s="50">
        <v>68571582</v>
      </c>
      <c r="F805" s="50">
        <v>67066556</v>
      </c>
      <c r="G805" s="50">
        <v>65480756</v>
      </c>
      <c r="H805" s="50">
        <v>0</v>
      </c>
      <c r="I805" s="50">
        <v>9228933.4299999997</v>
      </c>
      <c r="J805" s="50">
        <v>0</v>
      </c>
      <c r="K805" s="50">
        <v>56251822.57</v>
      </c>
      <c r="L805" s="152">
        <f t="shared" si="0"/>
        <v>0.83874625334868846</v>
      </c>
      <c r="M805" s="50">
        <v>56251822.57</v>
      </c>
      <c r="N805" s="152">
        <f t="shared" si="1"/>
        <v>0.83874625334868846</v>
      </c>
      <c r="O805" s="50">
        <v>1585800</v>
      </c>
      <c r="P805" s="152">
        <f t="shared" si="2"/>
        <v>2.3645168241530099E-2</v>
      </c>
      <c r="Q805" s="50">
        <v>0</v>
      </c>
    </row>
    <row r="806" spans="1:17" hidden="1" x14ac:dyDescent="0.25">
      <c r="A806" s="49" t="s">
        <v>720</v>
      </c>
      <c r="B806" s="49" t="s">
        <v>464</v>
      </c>
      <c r="C806" s="49" t="s">
        <v>698</v>
      </c>
      <c r="D806" s="49" t="s">
        <v>69</v>
      </c>
      <c r="E806" s="50">
        <v>36923221</v>
      </c>
      <c r="F806" s="50">
        <v>36112821</v>
      </c>
      <c r="G806" s="50">
        <v>36112821</v>
      </c>
      <c r="H806" s="50">
        <v>0</v>
      </c>
      <c r="I806" s="50">
        <v>6057325.21</v>
      </c>
      <c r="J806" s="50">
        <v>0</v>
      </c>
      <c r="K806" s="50">
        <v>30055495.789999999</v>
      </c>
      <c r="L806" s="152">
        <f t="shared" si="0"/>
        <v>0.83226662879645985</v>
      </c>
      <c r="M806" s="50">
        <v>30055495.789999999</v>
      </c>
      <c r="N806" s="152">
        <f t="shared" si="1"/>
        <v>0.83226662879645985</v>
      </c>
      <c r="O806" s="50">
        <v>0</v>
      </c>
      <c r="P806" s="152">
        <f t="shared" si="2"/>
        <v>0</v>
      </c>
      <c r="Q806" s="50">
        <v>0</v>
      </c>
    </row>
    <row r="807" spans="1:17" hidden="1" x14ac:dyDescent="0.25">
      <c r="A807" s="49" t="s">
        <v>720</v>
      </c>
      <c r="B807" s="49" t="s">
        <v>481</v>
      </c>
      <c r="C807" s="49" t="s">
        <v>699</v>
      </c>
      <c r="D807" s="49" t="s">
        <v>69</v>
      </c>
      <c r="E807" s="50">
        <v>10549420</v>
      </c>
      <c r="F807" s="50">
        <v>10317878</v>
      </c>
      <c r="G807" s="50">
        <v>10317878</v>
      </c>
      <c r="H807" s="50">
        <v>0</v>
      </c>
      <c r="I807" s="50">
        <v>1585764.25</v>
      </c>
      <c r="J807" s="50">
        <v>0</v>
      </c>
      <c r="K807" s="50">
        <v>8732113.75</v>
      </c>
      <c r="L807" s="152">
        <f t="shared" si="0"/>
        <v>0.84630907149706558</v>
      </c>
      <c r="M807" s="50">
        <v>8732113.75</v>
      </c>
      <c r="N807" s="152">
        <f t="shared" si="1"/>
        <v>0.84630907149706558</v>
      </c>
      <c r="O807" s="50">
        <v>0</v>
      </c>
      <c r="P807" s="152">
        <f t="shared" si="2"/>
        <v>0</v>
      </c>
      <c r="Q807" s="50">
        <v>0</v>
      </c>
    </row>
    <row r="808" spans="1:17" hidden="1" x14ac:dyDescent="0.25">
      <c r="A808" s="49" t="s">
        <v>720</v>
      </c>
      <c r="B808" s="49" t="s">
        <v>498</v>
      </c>
      <c r="C808" s="49" t="s">
        <v>700</v>
      </c>
      <c r="D808" s="49" t="s">
        <v>69</v>
      </c>
      <c r="E808" s="50">
        <v>21098941</v>
      </c>
      <c r="F808" s="50">
        <v>20635857</v>
      </c>
      <c r="G808" s="50">
        <v>19050057</v>
      </c>
      <c r="H808" s="50">
        <v>0</v>
      </c>
      <c r="I808" s="50">
        <v>1585843.97</v>
      </c>
      <c r="J808" s="50">
        <v>0</v>
      </c>
      <c r="K808" s="50">
        <v>17464213.030000001</v>
      </c>
      <c r="L808" s="152">
        <f t="shared" si="0"/>
        <v>0.84630422812098383</v>
      </c>
      <c r="M808" s="50">
        <v>17464213.030000001</v>
      </c>
      <c r="N808" s="152">
        <f t="shared" si="1"/>
        <v>0.84630422812098383</v>
      </c>
      <c r="O808" s="50">
        <v>1585800</v>
      </c>
      <c r="P808" s="152">
        <f t="shared" si="2"/>
        <v>7.6846820560929452E-2</v>
      </c>
      <c r="Q808" s="50">
        <v>0</v>
      </c>
    </row>
    <row r="809" spans="1:17" hidden="1" x14ac:dyDescent="0.25">
      <c r="A809" s="49" t="s">
        <v>720</v>
      </c>
      <c r="B809" s="49" t="s">
        <v>104</v>
      </c>
      <c r="C809" s="49" t="s">
        <v>105</v>
      </c>
      <c r="D809" s="49" t="s">
        <v>69</v>
      </c>
      <c r="E809" s="50">
        <v>7541300</v>
      </c>
      <c r="F809" s="50">
        <v>1342928</v>
      </c>
      <c r="G809" s="50">
        <v>1342928</v>
      </c>
      <c r="H809" s="50">
        <v>0</v>
      </c>
      <c r="I809" s="50">
        <v>0</v>
      </c>
      <c r="J809" s="50">
        <v>0</v>
      </c>
      <c r="K809" s="50">
        <v>1342926.72</v>
      </c>
      <c r="L809" s="152">
        <f t="shared" si="0"/>
        <v>0.99999904685880403</v>
      </c>
      <c r="M809" s="50">
        <v>1342926.72</v>
      </c>
      <c r="N809" s="152">
        <f t="shared" si="1"/>
        <v>0.99999904685880403</v>
      </c>
      <c r="O809" s="50">
        <v>1.28</v>
      </c>
      <c r="P809" s="152">
        <f t="shared" si="2"/>
        <v>9.5314119595391566E-7</v>
      </c>
      <c r="Q809" s="50">
        <v>1.28</v>
      </c>
    </row>
    <row r="810" spans="1:17" hidden="1" x14ac:dyDescent="0.25">
      <c r="A810" s="49" t="s">
        <v>720</v>
      </c>
      <c r="B810" s="49" t="s">
        <v>140</v>
      </c>
      <c r="C810" s="49" t="s">
        <v>141</v>
      </c>
      <c r="D810" s="49" t="s">
        <v>69</v>
      </c>
      <c r="E810" s="50">
        <v>7541300</v>
      </c>
      <c r="F810" s="50">
        <v>1342928</v>
      </c>
      <c r="G810" s="50">
        <v>1342928</v>
      </c>
      <c r="H810" s="50">
        <v>0</v>
      </c>
      <c r="I810" s="50">
        <v>0</v>
      </c>
      <c r="J810" s="50">
        <v>0</v>
      </c>
      <c r="K810" s="50">
        <v>1342926.72</v>
      </c>
      <c r="L810" s="152">
        <f t="shared" si="0"/>
        <v>0.99999904685880403</v>
      </c>
      <c r="M810" s="50">
        <v>1342926.72</v>
      </c>
      <c r="N810" s="152">
        <f t="shared" si="1"/>
        <v>0.99999904685880403</v>
      </c>
      <c r="O810" s="50">
        <v>1.28</v>
      </c>
      <c r="P810" s="152">
        <f t="shared" si="2"/>
        <v>9.5314119595391566E-7</v>
      </c>
      <c r="Q810" s="50">
        <v>1.28</v>
      </c>
    </row>
    <row r="811" spans="1:17" hidden="1" x14ac:dyDescent="0.25">
      <c r="A811" s="49" t="s">
        <v>720</v>
      </c>
      <c r="B811" s="49" t="s">
        <v>146</v>
      </c>
      <c r="C811" s="49" t="s">
        <v>147</v>
      </c>
      <c r="D811" s="49" t="s">
        <v>69</v>
      </c>
      <c r="E811" s="50">
        <v>2513800</v>
      </c>
      <c r="F811" s="50">
        <v>434386</v>
      </c>
      <c r="G811" s="50">
        <v>434386</v>
      </c>
      <c r="H811" s="50">
        <v>0</v>
      </c>
      <c r="I811" s="50">
        <v>0</v>
      </c>
      <c r="J811" s="50">
        <v>0</v>
      </c>
      <c r="K811" s="50">
        <v>434385.63</v>
      </c>
      <c r="L811" s="152">
        <f t="shared" si="0"/>
        <v>0.99999914822300906</v>
      </c>
      <c r="M811" s="50">
        <v>434385.63</v>
      </c>
      <c r="N811" s="152">
        <f t="shared" si="1"/>
        <v>0.99999914822300906</v>
      </c>
      <c r="O811" s="50">
        <v>0.37</v>
      </c>
      <c r="P811" s="152">
        <f t="shared" si="2"/>
        <v>8.5177699097116383E-7</v>
      </c>
      <c r="Q811" s="50">
        <v>0.37</v>
      </c>
    </row>
    <row r="812" spans="1:17" hidden="1" x14ac:dyDescent="0.25">
      <c r="A812" s="49" t="s">
        <v>720</v>
      </c>
      <c r="B812" s="49" t="s">
        <v>148</v>
      </c>
      <c r="C812" s="49" t="s">
        <v>149</v>
      </c>
      <c r="D812" s="49" t="s">
        <v>69</v>
      </c>
      <c r="E812" s="50">
        <v>5027500</v>
      </c>
      <c r="F812" s="50">
        <v>908542</v>
      </c>
      <c r="G812" s="50">
        <v>908542</v>
      </c>
      <c r="H812" s="50">
        <v>0</v>
      </c>
      <c r="I812" s="50">
        <v>0</v>
      </c>
      <c r="J812" s="50">
        <v>0</v>
      </c>
      <c r="K812" s="50">
        <v>908541.09</v>
      </c>
      <c r="L812" s="152">
        <f t="shared" si="0"/>
        <v>0.99999899839523099</v>
      </c>
      <c r="M812" s="50">
        <v>908541.09</v>
      </c>
      <c r="N812" s="152">
        <f t="shared" si="1"/>
        <v>0.99999899839523099</v>
      </c>
      <c r="O812" s="50">
        <v>0.91</v>
      </c>
      <c r="P812" s="152">
        <f t="shared" si="2"/>
        <v>1.0016047689594978E-6</v>
      </c>
      <c r="Q812" s="50">
        <v>0.91</v>
      </c>
    </row>
    <row r="813" spans="1:17" hidden="1" x14ac:dyDescent="0.25">
      <c r="A813" s="49" t="s">
        <v>720</v>
      </c>
      <c r="B813" s="49" t="s">
        <v>248</v>
      </c>
      <c r="C813" s="49" t="s">
        <v>249</v>
      </c>
      <c r="D813" s="49" t="s">
        <v>69</v>
      </c>
      <c r="E813" s="50">
        <v>11674695</v>
      </c>
      <c r="F813" s="50">
        <v>15418456</v>
      </c>
      <c r="G813" s="50">
        <v>15418456</v>
      </c>
      <c r="H813" s="50">
        <v>0</v>
      </c>
      <c r="I813" s="50">
        <v>1993079.36</v>
      </c>
      <c r="J813" s="50">
        <v>0</v>
      </c>
      <c r="K813" s="50">
        <v>10176019.640000001</v>
      </c>
      <c r="L813" s="152">
        <f t="shared" si="0"/>
        <v>0.65998953721436182</v>
      </c>
      <c r="M813" s="50">
        <v>10176019.640000001</v>
      </c>
      <c r="N813" s="152">
        <f t="shared" si="1"/>
        <v>0.65998953721436182</v>
      </c>
      <c r="O813" s="50">
        <v>3249357</v>
      </c>
      <c r="P813" s="152">
        <f t="shared" si="2"/>
        <v>0.21074464265423204</v>
      </c>
      <c r="Q813" s="50">
        <v>3249357</v>
      </c>
    </row>
    <row r="814" spans="1:17" hidden="1" x14ac:dyDescent="0.25">
      <c r="A814" s="49" t="s">
        <v>720</v>
      </c>
      <c r="B814" s="49" t="s">
        <v>250</v>
      </c>
      <c r="C814" s="49" t="s">
        <v>251</v>
      </c>
      <c r="D814" s="49" t="s">
        <v>69</v>
      </c>
      <c r="E814" s="50">
        <v>11674695</v>
      </c>
      <c r="F814" s="50">
        <v>11418456</v>
      </c>
      <c r="G814" s="50">
        <v>11418456</v>
      </c>
      <c r="H814" s="50">
        <v>0</v>
      </c>
      <c r="I814" s="50">
        <v>1993079.36</v>
      </c>
      <c r="J814" s="50">
        <v>0</v>
      </c>
      <c r="K814" s="50">
        <v>9425376.6400000006</v>
      </c>
      <c r="L814" s="152">
        <f t="shared" si="0"/>
        <v>0.82545106273562741</v>
      </c>
      <c r="M814" s="50">
        <v>9425376.6400000006</v>
      </c>
      <c r="N814" s="152">
        <f t="shared" si="1"/>
        <v>0.82545106273562741</v>
      </c>
      <c r="O814" s="50">
        <v>0</v>
      </c>
      <c r="P814" s="152">
        <f t="shared" si="2"/>
        <v>0</v>
      </c>
      <c r="Q814" s="50">
        <v>0</v>
      </c>
    </row>
    <row r="815" spans="1:17" hidden="1" x14ac:dyDescent="0.25">
      <c r="A815" s="49" t="s">
        <v>720</v>
      </c>
      <c r="B815" s="49" t="s">
        <v>638</v>
      </c>
      <c r="C815" s="49" t="s">
        <v>702</v>
      </c>
      <c r="D815" s="49" t="s">
        <v>69</v>
      </c>
      <c r="E815" s="50">
        <v>9916509</v>
      </c>
      <c r="F815" s="50">
        <v>9698859</v>
      </c>
      <c r="G815" s="50">
        <v>9698859</v>
      </c>
      <c r="H815" s="50">
        <v>0</v>
      </c>
      <c r="I815" s="50">
        <v>1719887.18</v>
      </c>
      <c r="J815" s="50">
        <v>0</v>
      </c>
      <c r="K815" s="50">
        <v>7978971.8200000003</v>
      </c>
      <c r="L815" s="152">
        <f t="shared" si="0"/>
        <v>0.82267118431147424</v>
      </c>
      <c r="M815" s="50">
        <v>7978971.8200000003</v>
      </c>
      <c r="N815" s="152">
        <f t="shared" si="1"/>
        <v>0.82267118431147424</v>
      </c>
      <c r="O815" s="50">
        <v>0</v>
      </c>
      <c r="P815" s="152">
        <f t="shared" si="2"/>
        <v>0</v>
      </c>
      <c r="Q815" s="50">
        <v>0</v>
      </c>
    </row>
    <row r="816" spans="1:17" hidden="1" x14ac:dyDescent="0.25">
      <c r="A816" s="49" t="s">
        <v>720</v>
      </c>
      <c r="B816" s="49" t="s">
        <v>653</v>
      </c>
      <c r="C816" s="49" t="s">
        <v>703</v>
      </c>
      <c r="D816" s="49" t="s">
        <v>69</v>
      </c>
      <c r="E816" s="50">
        <v>1758186</v>
      </c>
      <c r="F816" s="50">
        <v>1719597</v>
      </c>
      <c r="G816" s="50">
        <v>1719597</v>
      </c>
      <c r="H816" s="50">
        <v>0</v>
      </c>
      <c r="I816" s="50">
        <v>273192.18</v>
      </c>
      <c r="J816" s="50">
        <v>0</v>
      </c>
      <c r="K816" s="50">
        <v>1446404.82</v>
      </c>
      <c r="L816" s="152">
        <f t="shared" si="0"/>
        <v>0.84113011362545997</v>
      </c>
      <c r="M816" s="50">
        <v>1446404.82</v>
      </c>
      <c r="N816" s="152">
        <f t="shared" si="1"/>
        <v>0.84113011362545997</v>
      </c>
      <c r="O816" s="50">
        <v>0</v>
      </c>
      <c r="P816" s="152">
        <f t="shared" si="2"/>
        <v>0</v>
      </c>
      <c r="Q816" s="50">
        <v>0</v>
      </c>
    </row>
    <row r="817" spans="1:17" hidden="1" x14ac:dyDescent="0.25">
      <c r="A817" s="49" t="s">
        <v>720</v>
      </c>
      <c r="B817" s="49" t="s">
        <v>260</v>
      </c>
      <c r="C817" s="49" t="s">
        <v>261</v>
      </c>
      <c r="D817" s="49" t="s">
        <v>69</v>
      </c>
      <c r="E817" s="50">
        <v>0</v>
      </c>
      <c r="F817" s="50">
        <v>4000000</v>
      </c>
      <c r="G817" s="50">
        <v>4000000</v>
      </c>
      <c r="H817" s="50">
        <v>0</v>
      </c>
      <c r="I817" s="50">
        <v>0</v>
      </c>
      <c r="J817" s="50">
        <v>0</v>
      </c>
      <c r="K817" s="50">
        <v>750643</v>
      </c>
      <c r="L817" s="152">
        <f t="shared" si="0"/>
        <v>0.18766074999999999</v>
      </c>
      <c r="M817" s="50">
        <v>750643</v>
      </c>
      <c r="N817" s="152">
        <f t="shared" si="1"/>
        <v>0.18766074999999999</v>
      </c>
      <c r="O817" s="50">
        <v>3249357</v>
      </c>
      <c r="P817" s="152">
        <f t="shared" si="2"/>
        <v>0.81233924999999996</v>
      </c>
      <c r="Q817" s="50">
        <v>3249357</v>
      </c>
    </row>
    <row r="818" spans="1:17" hidden="1" x14ac:dyDescent="0.25">
      <c r="A818" s="49" t="s">
        <v>720</v>
      </c>
      <c r="B818" s="49" t="s">
        <v>264</v>
      </c>
      <c r="C818" s="49" t="s">
        <v>265</v>
      </c>
      <c r="D818" s="49" t="s">
        <v>69</v>
      </c>
      <c r="E818" s="50">
        <v>0</v>
      </c>
      <c r="F818" s="50">
        <v>4000000</v>
      </c>
      <c r="G818" s="50">
        <v>4000000</v>
      </c>
      <c r="H818" s="50">
        <v>0</v>
      </c>
      <c r="I818" s="50">
        <v>0</v>
      </c>
      <c r="J818" s="50">
        <v>0</v>
      </c>
      <c r="K818" s="50">
        <v>750643</v>
      </c>
      <c r="L818" s="152">
        <f t="shared" si="0"/>
        <v>0.18766074999999999</v>
      </c>
      <c r="M818" s="50">
        <v>750643</v>
      </c>
      <c r="N818" s="152">
        <f t="shared" si="1"/>
        <v>0.18766074999999999</v>
      </c>
      <c r="O818" s="50">
        <v>3249357</v>
      </c>
      <c r="P818" s="152">
        <f t="shared" si="2"/>
        <v>0.81233924999999996</v>
      </c>
      <c r="Q818" s="50">
        <v>3249357</v>
      </c>
    </row>
    <row r="819" spans="1:17" x14ac:dyDescent="0.25">
      <c r="A819" s="49">
        <v>214794</v>
      </c>
      <c r="B819" s="49"/>
      <c r="C819" s="49"/>
      <c r="D819" s="49" t="s">
        <v>69</v>
      </c>
      <c r="E819" s="50">
        <v>13895221022</v>
      </c>
      <c r="F819" s="50">
        <v>12934636749</v>
      </c>
      <c r="G819" s="50">
        <v>12641812223</v>
      </c>
      <c r="H819" s="50">
        <v>0</v>
      </c>
      <c r="I819" s="50">
        <v>406303233.66000003</v>
      </c>
      <c r="J819" s="50">
        <v>0</v>
      </c>
      <c r="K819" s="50">
        <v>9542149050.0400009</v>
      </c>
      <c r="L819" s="152">
        <f t="shared" si="0"/>
        <v>0.73772068247511635</v>
      </c>
      <c r="M819" s="50">
        <v>9542149050.0400009</v>
      </c>
      <c r="N819" s="152">
        <f t="shared" si="1"/>
        <v>0.73772068247511635</v>
      </c>
      <c r="O819" s="50">
        <v>2986184465.3000002</v>
      </c>
      <c r="P819" s="152">
        <f t="shared" si="2"/>
        <v>0.23086728473691906</v>
      </c>
      <c r="Q819" s="50">
        <v>2693359939.3000002</v>
      </c>
    </row>
    <row r="820" spans="1:17" hidden="1" x14ac:dyDescent="0.25">
      <c r="A820" s="49" t="s">
        <v>721</v>
      </c>
      <c r="B820" s="49" t="s">
        <v>71</v>
      </c>
      <c r="C820" s="49" t="s">
        <v>72</v>
      </c>
      <c r="D820" s="49" t="s">
        <v>69</v>
      </c>
      <c r="E820" s="50">
        <v>13427888280</v>
      </c>
      <c r="F820" s="50">
        <v>12413006668</v>
      </c>
      <c r="G820" s="50">
        <v>12122112181</v>
      </c>
      <c r="H820" s="50">
        <v>0</v>
      </c>
      <c r="I820" s="50">
        <v>355557005.42000002</v>
      </c>
      <c r="J820" s="50">
        <v>0</v>
      </c>
      <c r="K820" s="50">
        <v>9108621938.7800007</v>
      </c>
      <c r="L820" s="152">
        <f t="shared" si="0"/>
        <v>0.73379658791785651</v>
      </c>
      <c r="M820" s="50">
        <v>9108621938.7800007</v>
      </c>
      <c r="N820" s="152">
        <f t="shared" si="1"/>
        <v>0.73379658791785651</v>
      </c>
      <c r="O820" s="50">
        <v>2948827723.8000002</v>
      </c>
      <c r="P820" s="152">
        <f t="shared" si="2"/>
        <v>0.23755950533740583</v>
      </c>
      <c r="Q820" s="50">
        <v>2657933236.8000002</v>
      </c>
    </row>
    <row r="821" spans="1:17" hidden="1" x14ac:dyDescent="0.25">
      <c r="A821" s="49" t="s">
        <v>721</v>
      </c>
      <c r="B821" s="49" t="s">
        <v>73</v>
      </c>
      <c r="C821" s="49" t="s">
        <v>74</v>
      </c>
      <c r="D821" s="49" t="s">
        <v>69</v>
      </c>
      <c r="E821" s="50">
        <v>4501527400</v>
      </c>
      <c r="F821" s="50">
        <v>4029440306</v>
      </c>
      <c r="G821" s="50">
        <v>3967779098</v>
      </c>
      <c r="H821" s="50">
        <v>0</v>
      </c>
      <c r="I821" s="50">
        <v>0</v>
      </c>
      <c r="J821" s="50">
        <v>0</v>
      </c>
      <c r="K821" s="50">
        <v>3146311612.0799999</v>
      </c>
      <c r="L821" s="152">
        <f t="shared" si="0"/>
        <v>0.78083092765886475</v>
      </c>
      <c r="M821" s="50">
        <v>3146311612.0799999</v>
      </c>
      <c r="N821" s="152">
        <f t="shared" si="1"/>
        <v>0.78083092765886475</v>
      </c>
      <c r="O821" s="50">
        <v>883128693.91999996</v>
      </c>
      <c r="P821" s="152">
        <f t="shared" si="2"/>
        <v>0.2191690723411352</v>
      </c>
      <c r="Q821" s="50">
        <v>821467485.91999996</v>
      </c>
    </row>
    <row r="822" spans="1:17" hidden="1" x14ac:dyDescent="0.25">
      <c r="A822" s="49" t="s">
        <v>721</v>
      </c>
      <c r="B822" s="49" t="s">
        <v>75</v>
      </c>
      <c r="C822" s="49" t="s">
        <v>76</v>
      </c>
      <c r="D822" s="49" t="s">
        <v>69</v>
      </c>
      <c r="E822" s="50">
        <v>4501527400</v>
      </c>
      <c r="F822" s="50">
        <v>4029440306</v>
      </c>
      <c r="G822" s="50">
        <v>3967779098</v>
      </c>
      <c r="H822" s="50">
        <v>0</v>
      </c>
      <c r="I822" s="50">
        <v>0</v>
      </c>
      <c r="J822" s="50">
        <v>0</v>
      </c>
      <c r="K822" s="50">
        <v>3146311612.0799999</v>
      </c>
      <c r="L822" s="152">
        <f t="shared" si="0"/>
        <v>0.78083092765886475</v>
      </c>
      <c r="M822" s="50">
        <v>3146311612.0799999</v>
      </c>
      <c r="N822" s="152">
        <f t="shared" si="1"/>
        <v>0.78083092765886475</v>
      </c>
      <c r="O822" s="50">
        <v>883128693.91999996</v>
      </c>
      <c r="P822" s="152">
        <f t="shared" si="2"/>
        <v>0.2191690723411352</v>
      </c>
      <c r="Q822" s="50">
        <v>821467485.91999996</v>
      </c>
    </row>
    <row r="823" spans="1:17" hidden="1" x14ac:dyDescent="0.25">
      <c r="A823" s="49" t="s">
        <v>721</v>
      </c>
      <c r="B823" s="49" t="s">
        <v>77</v>
      </c>
      <c r="C823" s="49" t="s">
        <v>78</v>
      </c>
      <c r="D823" s="49" t="s">
        <v>69</v>
      </c>
      <c r="E823" s="50">
        <v>6803353044</v>
      </c>
      <c r="F823" s="50">
        <v>6417455879</v>
      </c>
      <c r="G823" s="50">
        <v>6260815407</v>
      </c>
      <c r="H823" s="50">
        <v>0</v>
      </c>
      <c r="I823" s="50">
        <v>1406971.99</v>
      </c>
      <c r="J823" s="50">
        <v>0</v>
      </c>
      <c r="K823" s="50">
        <v>4448745332.1300001</v>
      </c>
      <c r="L823" s="152">
        <f t="shared" si="0"/>
        <v>0.69322569815987978</v>
      </c>
      <c r="M823" s="50">
        <v>4448745332.1300001</v>
      </c>
      <c r="N823" s="152">
        <f t="shared" si="1"/>
        <v>0.69322569815987978</v>
      </c>
      <c r="O823" s="50">
        <v>1967303574.8800001</v>
      </c>
      <c r="P823" s="152">
        <f t="shared" si="2"/>
        <v>0.3065550604434471</v>
      </c>
      <c r="Q823" s="50">
        <v>1810663102.8800001</v>
      </c>
    </row>
    <row r="824" spans="1:17" hidden="1" x14ac:dyDescent="0.25">
      <c r="A824" s="49" t="s">
        <v>721</v>
      </c>
      <c r="B824" s="49" t="s">
        <v>79</v>
      </c>
      <c r="C824" s="49" t="s">
        <v>80</v>
      </c>
      <c r="D824" s="49" t="s">
        <v>69</v>
      </c>
      <c r="E824" s="50">
        <v>1381150100</v>
      </c>
      <c r="F824" s="50">
        <v>1294704804</v>
      </c>
      <c r="G824" s="50">
        <v>1277656872</v>
      </c>
      <c r="H824" s="50">
        <v>0</v>
      </c>
      <c r="I824" s="50">
        <v>0</v>
      </c>
      <c r="J824" s="50">
        <v>0</v>
      </c>
      <c r="K824" s="50">
        <v>1023623949.96</v>
      </c>
      <c r="L824" s="152">
        <f t="shared" si="0"/>
        <v>0.79062342767054417</v>
      </c>
      <c r="M824" s="50">
        <v>1023623949.96</v>
      </c>
      <c r="N824" s="152">
        <f t="shared" si="1"/>
        <v>0.79062342767054417</v>
      </c>
      <c r="O824" s="50">
        <v>271080854.04000002</v>
      </c>
      <c r="P824" s="152">
        <f t="shared" si="2"/>
        <v>0.20937657232945589</v>
      </c>
      <c r="Q824" s="50">
        <v>254032922.03999999</v>
      </c>
    </row>
    <row r="825" spans="1:17" hidden="1" x14ac:dyDescent="0.25">
      <c r="A825" s="49" t="s">
        <v>721</v>
      </c>
      <c r="B825" s="49" t="s">
        <v>81</v>
      </c>
      <c r="C825" s="49" t="s">
        <v>82</v>
      </c>
      <c r="D825" s="49" t="s">
        <v>69</v>
      </c>
      <c r="E825" s="50">
        <v>2537511300</v>
      </c>
      <c r="F825" s="50">
        <v>2358775473</v>
      </c>
      <c r="G825" s="50">
        <v>2302201510</v>
      </c>
      <c r="H825" s="50">
        <v>0</v>
      </c>
      <c r="I825" s="50">
        <v>0</v>
      </c>
      <c r="J825" s="50">
        <v>0</v>
      </c>
      <c r="K825" s="50">
        <v>1830775812.45</v>
      </c>
      <c r="L825" s="152">
        <f t="shared" si="0"/>
        <v>0.77615518450407428</v>
      </c>
      <c r="M825" s="50">
        <v>1830775812.45</v>
      </c>
      <c r="N825" s="152">
        <f t="shared" si="1"/>
        <v>0.77615518450407428</v>
      </c>
      <c r="O825" s="50">
        <v>527999660.55000001</v>
      </c>
      <c r="P825" s="152">
        <f t="shared" si="2"/>
        <v>0.22384481549592575</v>
      </c>
      <c r="Q825" s="50">
        <v>471425697.55000001</v>
      </c>
    </row>
    <row r="826" spans="1:17" hidden="1" x14ac:dyDescent="0.25">
      <c r="A826" s="49" t="s">
        <v>721</v>
      </c>
      <c r="B826" s="49" t="s">
        <v>86</v>
      </c>
      <c r="C826" s="49" t="s">
        <v>87</v>
      </c>
      <c r="D826" s="49" t="s">
        <v>69</v>
      </c>
      <c r="E826" s="50">
        <v>799025700</v>
      </c>
      <c r="F826" s="50">
        <v>799025700</v>
      </c>
      <c r="G826" s="50">
        <v>799025700</v>
      </c>
      <c r="H826" s="50">
        <v>0</v>
      </c>
      <c r="I826" s="50">
        <v>1406971.99</v>
      </c>
      <c r="J826" s="50">
        <v>0</v>
      </c>
      <c r="K826" s="50">
        <v>721184844.02999997</v>
      </c>
      <c r="L826" s="152">
        <f t="shared" si="0"/>
        <v>0.90258028500209686</v>
      </c>
      <c r="M826" s="50">
        <v>721184844.02999997</v>
      </c>
      <c r="N826" s="152">
        <f t="shared" si="1"/>
        <v>0.90258028500209686</v>
      </c>
      <c r="O826" s="50">
        <v>76433883.980000004</v>
      </c>
      <c r="P826" s="152">
        <f t="shared" si="2"/>
        <v>9.5658855503646514E-2</v>
      </c>
      <c r="Q826" s="50">
        <v>76433883.980000004</v>
      </c>
    </row>
    <row r="827" spans="1:17" hidden="1" x14ac:dyDescent="0.25">
      <c r="A827" s="49" t="s">
        <v>721</v>
      </c>
      <c r="B827" s="49" t="s">
        <v>88</v>
      </c>
      <c r="C827" s="49" t="s">
        <v>89</v>
      </c>
      <c r="D827" s="49" t="s">
        <v>69</v>
      </c>
      <c r="E827" s="50">
        <v>1216380900</v>
      </c>
      <c r="F827" s="50">
        <v>1138116206</v>
      </c>
      <c r="G827" s="50">
        <v>1063011069</v>
      </c>
      <c r="H827" s="50">
        <v>0</v>
      </c>
      <c r="I827" s="50">
        <v>0</v>
      </c>
      <c r="J827" s="50">
        <v>0</v>
      </c>
      <c r="K827" s="50">
        <v>872818805.09000003</v>
      </c>
      <c r="L827" s="152">
        <f t="shared" si="0"/>
        <v>0.76689779170932926</v>
      </c>
      <c r="M827" s="50">
        <v>872818805.09000003</v>
      </c>
      <c r="N827" s="152">
        <f t="shared" si="1"/>
        <v>0.76689779170932926</v>
      </c>
      <c r="O827" s="50">
        <v>265297400.91</v>
      </c>
      <c r="P827" s="152">
        <f t="shared" si="2"/>
        <v>0.2331022082906708</v>
      </c>
      <c r="Q827" s="50">
        <v>190192263.91</v>
      </c>
    </row>
    <row r="828" spans="1:17" hidden="1" x14ac:dyDescent="0.25">
      <c r="A828" s="49" t="s">
        <v>721</v>
      </c>
      <c r="B828" s="49" t="s">
        <v>83</v>
      </c>
      <c r="C828" s="49" t="s">
        <v>84</v>
      </c>
      <c r="D828" s="49" t="s">
        <v>85</v>
      </c>
      <c r="E828" s="50">
        <v>869285044</v>
      </c>
      <c r="F828" s="50">
        <v>826833696</v>
      </c>
      <c r="G828" s="50">
        <v>818920256</v>
      </c>
      <c r="H828" s="50">
        <v>0</v>
      </c>
      <c r="I828" s="50">
        <v>0</v>
      </c>
      <c r="J828" s="50">
        <v>0</v>
      </c>
      <c r="K828" s="50">
        <v>341920.6</v>
      </c>
      <c r="L828" s="152">
        <f t="shared" si="0"/>
        <v>4.1353007461369836E-4</v>
      </c>
      <c r="M828" s="50">
        <v>341920.6</v>
      </c>
      <c r="N828" s="152">
        <f t="shared" si="1"/>
        <v>4.1353007461369836E-4</v>
      </c>
      <c r="O828" s="50">
        <v>826491775.39999998</v>
      </c>
      <c r="P828" s="152">
        <f t="shared" si="2"/>
        <v>0.99958646992538625</v>
      </c>
      <c r="Q828" s="50">
        <v>818578335.39999998</v>
      </c>
    </row>
    <row r="829" spans="1:17" hidden="1" x14ac:dyDescent="0.25">
      <c r="A829" s="49" t="s">
        <v>721</v>
      </c>
      <c r="B829" s="49" t="s">
        <v>90</v>
      </c>
      <c r="C829" s="49" t="s">
        <v>91</v>
      </c>
      <c r="D829" s="49" t="s">
        <v>69</v>
      </c>
      <c r="E829" s="50">
        <v>1017470468</v>
      </c>
      <c r="F829" s="50">
        <v>939021791</v>
      </c>
      <c r="G829" s="50">
        <v>929763051</v>
      </c>
      <c r="H829" s="50">
        <v>0</v>
      </c>
      <c r="I829" s="50">
        <v>188418078</v>
      </c>
      <c r="J829" s="50">
        <v>0</v>
      </c>
      <c r="K829" s="50">
        <v>741344973</v>
      </c>
      <c r="L829" s="152">
        <f t="shared" si="0"/>
        <v>0.7894864422800173</v>
      </c>
      <c r="M829" s="50">
        <v>741344973</v>
      </c>
      <c r="N829" s="152">
        <f t="shared" si="1"/>
        <v>0.7894864422800173</v>
      </c>
      <c r="O829" s="50">
        <v>9258740</v>
      </c>
      <c r="P829" s="152">
        <f t="shared" si="2"/>
        <v>9.8599841758091854E-3</v>
      </c>
      <c r="Q829" s="50">
        <v>0</v>
      </c>
    </row>
    <row r="830" spans="1:17" hidden="1" x14ac:dyDescent="0.25">
      <c r="A830" s="49" t="s">
        <v>721</v>
      </c>
      <c r="B830" s="49" t="s">
        <v>430</v>
      </c>
      <c r="C830" s="49" t="s">
        <v>697</v>
      </c>
      <c r="D830" s="49" t="s">
        <v>69</v>
      </c>
      <c r="E830" s="50">
        <v>965292547</v>
      </c>
      <c r="F830" s="50">
        <v>890867212</v>
      </c>
      <c r="G830" s="50">
        <v>882083282</v>
      </c>
      <c r="H830" s="50">
        <v>0</v>
      </c>
      <c r="I830" s="50">
        <v>178754826</v>
      </c>
      <c r="J830" s="50">
        <v>0</v>
      </c>
      <c r="K830" s="50">
        <v>703328456</v>
      </c>
      <c r="L830" s="152">
        <f t="shared" si="0"/>
        <v>0.7894874191418777</v>
      </c>
      <c r="M830" s="50">
        <v>703328456</v>
      </c>
      <c r="N830" s="152">
        <f t="shared" si="1"/>
        <v>0.7894874191418777</v>
      </c>
      <c r="O830" s="50">
        <v>8783930</v>
      </c>
      <c r="P830" s="152">
        <f t="shared" si="2"/>
        <v>9.8599767526296612E-3</v>
      </c>
      <c r="Q830" s="50">
        <v>0</v>
      </c>
    </row>
    <row r="831" spans="1:17" hidden="1" x14ac:dyDescent="0.25">
      <c r="A831" s="49" t="s">
        <v>721</v>
      </c>
      <c r="B831" s="49" t="s">
        <v>447</v>
      </c>
      <c r="C831" s="49" t="s">
        <v>95</v>
      </c>
      <c r="D831" s="49" t="s">
        <v>69</v>
      </c>
      <c r="E831" s="50">
        <v>52177921</v>
      </c>
      <c r="F831" s="50">
        <v>48154579</v>
      </c>
      <c r="G831" s="50">
        <v>47679769</v>
      </c>
      <c r="H831" s="50">
        <v>0</v>
      </c>
      <c r="I831" s="50">
        <v>9663252</v>
      </c>
      <c r="J831" s="50">
        <v>0</v>
      </c>
      <c r="K831" s="50">
        <v>38016517</v>
      </c>
      <c r="L831" s="152">
        <f t="shared" si="0"/>
        <v>0.78946837018344607</v>
      </c>
      <c r="M831" s="50">
        <v>38016517</v>
      </c>
      <c r="N831" s="152">
        <f t="shared" si="1"/>
        <v>0.78946837018344607</v>
      </c>
      <c r="O831" s="50">
        <v>474810</v>
      </c>
      <c r="P831" s="152">
        <f t="shared" si="2"/>
        <v>9.8601215057866048E-3</v>
      </c>
      <c r="Q831" s="50">
        <v>0</v>
      </c>
    </row>
    <row r="832" spans="1:17" hidden="1" x14ac:dyDescent="0.25">
      <c r="A832" s="49" t="s">
        <v>721</v>
      </c>
      <c r="B832" s="49" t="s">
        <v>96</v>
      </c>
      <c r="C832" s="49" t="s">
        <v>97</v>
      </c>
      <c r="D832" s="49" t="s">
        <v>69</v>
      </c>
      <c r="E832" s="50">
        <v>1105537368</v>
      </c>
      <c r="F832" s="50">
        <v>1027088692</v>
      </c>
      <c r="G832" s="50">
        <v>963754625</v>
      </c>
      <c r="H832" s="50">
        <v>0</v>
      </c>
      <c r="I832" s="50">
        <v>165731955.43000001</v>
      </c>
      <c r="J832" s="50">
        <v>0</v>
      </c>
      <c r="K832" s="50">
        <v>772220021.57000005</v>
      </c>
      <c r="L832" s="152">
        <f t="shared" si="0"/>
        <v>0.75185329912092935</v>
      </c>
      <c r="M832" s="50">
        <v>772220021.57000005</v>
      </c>
      <c r="N832" s="152">
        <f t="shared" si="1"/>
        <v>0.75185329912092935</v>
      </c>
      <c r="O832" s="50">
        <v>89136715</v>
      </c>
      <c r="P832" s="152">
        <f t="shared" si="2"/>
        <v>8.6785801162340123E-2</v>
      </c>
      <c r="Q832" s="50">
        <v>25802648</v>
      </c>
    </row>
    <row r="833" spans="1:17" hidden="1" x14ac:dyDescent="0.25">
      <c r="A833" s="49" t="s">
        <v>721</v>
      </c>
      <c r="B833" s="49" t="s">
        <v>465</v>
      </c>
      <c r="C833" s="49" t="s">
        <v>698</v>
      </c>
      <c r="D833" s="49" t="s">
        <v>69</v>
      </c>
      <c r="E833" s="50">
        <v>547868675</v>
      </c>
      <c r="F833" s="50">
        <v>505627080</v>
      </c>
      <c r="G833" s="50">
        <v>475557312</v>
      </c>
      <c r="H833" s="50">
        <v>0</v>
      </c>
      <c r="I833" s="50">
        <v>87751283</v>
      </c>
      <c r="J833" s="50">
        <v>0</v>
      </c>
      <c r="K833" s="50">
        <v>362721731</v>
      </c>
      <c r="L833" s="152">
        <f t="shared" si="0"/>
        <v>0.71737006451474084</v>
      </c>
      <c r="M833" s="50">
        <v>362721731</v>
      </c>
      <c r="N833" s="152">
        <f t="shared" si="1"/>
        <v>0.71737006451474084</v>
      </c>
      <c r="O833" s="50">
        <v>55154066</v>
      </c>
      <c r="P833" s="152">
        <f t="shared" si="2"/>
        <v>0.10908052234860523</v>
      </c>
      <c r="Q833" s="50">
        <v>25084298</v>
      </c>
    </row>
    <row r="834" spans="1:17" hidden="1" x14ac:dyDescent="0.25">
      <c r="A834" s="49" t="s">
        <v>721</v>
      </c>
      <c r="B834" s="49" t="s">
        <v>482</v>
      </c>
      <c r="C834" s="49" t="s">
        <v>699</v>
      </c>
      <c r="D834" s="49" t="s">
        <v>69</v>
      </c>
      <c r="E834" s="50">
        <v>156533864</v>
      </c>
      <c r="F834" s="50">
        <v>144464837</v>
      </c>
      <c r="G834" s="50">
        <v>143040417</v>
      </c>
      <c r="H834" s="50">
        <v>0</v>
      </c>
      <c r="I834" s="50">
        <v>28991039</v>
      </c>
      <c r="J834" s="50">
        <v>0</v>
      </c>
      <c r="K834" s="50">
        <v>114049378</v>
      </c>
      <c r="L834" s="152">
        <f t="shared" si="0"/>
        <v>0.7894611614035878</v>
      </c>
      <c r="M834" s="50">
        <v>114049378</v>
      </c>
      <c r="N834" s="152">
        <f t="shared" si="1"/>
        <v>0.7894611614035878</v>
      </c>
      <c r="O834" s="50">
        <v>1424420</v>
      </c>
      <c r="P834" s="152">
        <f t="shared" si="2"/>
        <v>9.8599772067717757E-3</v>
      </c>
      <c r="Q834" s="50">
        <v>0</v>
      </c>
    </row>
    <row r="835" spans="1:17" hidden="1" x14ac:dyDescent="0.25">
      <c r="A835" s="49" t="s">
        <v>721</v>
      </c>
      <c r="B835" s="49" t="s">
        <v>499</v>
      </c>
      <c r="C835" s="49" t="s">
        <v>700</v>
      </c>
      <c r="D835" s="49" t="s">
        <v>69</v>
      </c>
      <c r="E835" s="50">
        <v>313067829</v>
      </c>
      <c r="F835" s="50">
        <v>288929775</v>
      </c>
      <c r="G835" s="50">
        <v>257089896</v>
      </c>
      <c r="H835" s="50">
        <v>0</v>
      </c>
      <c r="I835" s="50">
        <v>28990973</v>
      </c>
      <c r="J835" s="50">
        <v>0</v>
      </c>
      <c r="K835" s="50">
        <v>228098923</v>
      </c>
      <c r="L835" s="152">
        <f t="shared" si="0"/>
        <v>0.78946146342999779</v>
      </c>
      <c r="M835" s="50">
        <v>228098923</v>
      </c>
      <c r="N835" s="152">
        <f t="shared" si="1"/>
        <v>0.78946146342999779</v>
      </c>
      <c r="O835" s="50">
        <v>31839879</v>
      </c>
      <c r="P835" s="152">
        <f t="shared" si="2"/>
        <v>0.11019936937963559</v>
      </c>
      <c r="Q835" s="50">
        <v>0</v>
      </c>
    </row>
    <row r="836" spans="1:17" hidden="1" x14ac:dyDescent="0.25">
      <c r="A836" s="49" t="s">
        <v>721</v>
      </c>
      <c r="B836" s="49" t="s">
        <v>516</v>
      </c>
      <c r="C836" s="49" t="s">
        <v>722</v>
      </c>
      <c r="D836" s="49" t="s">
        <v>69</v>
      </c>
      <c r="E836" s="50">
        <v>88067000</v>
      </c>
      <c r="F836" s="50">
        <v>88067000</v>
      </c>
      <c r="G836" s="50">
        <v>88067000</v>
      </c>
      <c r="H836" s="50">
        <v>0</v>
      </c>
      <c r="I836" s="50">
        <v>19998660.43</v>
      </c>
      <c r="J836" s="50">
        <v>0</v>
      </c>
      <c r="K836" s="50">
        <v>67349989.569999993</v>
      </c>
      <c r="L836" s="152">
        <f t="shared" si="0"/>
        <v>0.76475853123190285</v>
      </c>
      <c r="M836" s="50">
        <v>67349989.569999993</v>
      </c>
      <c r="N836" s="152">
        <f t="shared" si="1"/>
        <v>0.76475853123190285</v>
      </c>
      <c r="O836" s="50">
        <v>718350</v>
      </c>
      <c r="P836" s="152">
        <f t="shared" si="2"/>
        <v>8.1568578468665907E-3</v>
      </c>
      <c r="Q836" s="50">
        <v>718350</v>
      </c>
    </row>
    <row r="837" spans="1:17" hidden="1" x14ac:dyDescent="0.25">
      <c r="A837" s="49" t="s">
        <v>721</v>
      </c>
      <c r="B837" s="49" t="s">
        <v>104</v>
      </c>
      <c r="C837" s="49" t="s">
        <v>105</v>
      </c>
      <c r="D837" s="49" t="s">
        <v>69</v>
      </c>
      <c r="E837" s="50">
        <v>45500000</v>
      </c>
      <c r="F837" s="50">
        <v>44866179</v>
      </c>
      <c r="G837" s="50">
        <v>44866179</v>
      </c>
      <c r="H837" s="50">
        <v>0</v>
      </c>
      <c r="I837" s="50">
        <v>886800</v>
      </c>
      <c r="J837" s="50">
        <v>0</v>
      </c>
      <c r="K837" s="50">
        <v>43979379</v>
      </c>
      <c r="L837" s="152">
        <f t="shared" si="0"/>
        <v>0.98023455485255384</v>
      </c>
      <c r="M837" s="50">
        <v>43979379</v>
      </c>
      <c r="N837" s="152">
        <f t="shared" si="1"/>
        <v>0.98023455485255384</v>
      </c>
      <c r="O837" s="50">
        <v>0</v>
      </c>
      <c r="P837" s="152">
        <f t="shared" si="2"/>
        <v>0</v>
      </c>
      <c r="Q837" s="50">
        <v>0</v>
      </c>
    </row>
    <row r="838" spans="1:17" hidden="1" x14ac:dyDescent="0.25">
      <c r="A838" s="49" t="s">
        <v>721</v>
      </c>
      <c r="B838" s="49" t="s">
        <v>150</v>
      </c>
      <c r="C838" s="49" t="s">
        <v>151</v>
      </c>
      <c r="D838" s="49" t="s">
        <v>69</v>
      </c>
      <c r="E838" s="50">
        <v>45500000</v>
      </c>
      <c r="F838" s="50">
        <v>44866179</v>
      </c>
      <c r="G838" s="50">
        <v>44866179</v>
      </c>
      <c r="H838" s="50">
        <v>0</v>
      </c>
      <c r="I838" s="50">
        <v>886800</v>
      </c>
      <c r="J838" s="50">
        <v>0</v>
      </c>
      <c r="K838" s="50">
        <v>43979379</v>
      </c>
      <c r="L838" s="152">
        <f t="shared" si="0"/>
        <v>0.98023455485255384</v>
      </c>
      <c r="M838" s="50">
        <v>43979379</v>
      </c>
      <c r="N838" s="152">
        <f t="shared" si="1"/>
        <v>0.98023455485255384</v>
      </c>
      <c r="O838" s="50">
        <v>0</v>
      </c>
      <c r="P838" s="152">
        <f t="shared" si="2"/>
        <v>0</v>
      </c>
      <c r="Q838" s="50">
        <v>0</v>
      </c>
    </row>
    <row r="839" spans="1:17" hidden="1" x14ac:dyDescent="0.25">
      <c r="A839" s="49" t="s">
        <v>721</v>
      </c>
      <c r="B839" s="49" t="s">
        <v>152</v>
      </c>
      <c r="C839" s="49" t="s">
        <v>153</v>
      </c>
      <c r="D839" s="49" t="s">
        <v>69</v>
      </c>
      <c r="E839" s="50">
        <v>45500000</v>
      </c>
      <c r="F839" s="50">
        <v>44866179</v>
      </c>
      <c r="G839" s="50">
        <v>44866179</v>
      </c>
      <c r="H839" s="50">
        <v>0</v>
      </c>
      <c r="I839" s="50">
        <v>886800</v>
      </c>
      <c r="J839" s="50">
        <v>0</v>
      </c>
      <c r="K839" s="50">
        <v>43979379</v>
      </c>
      <c r="L839" s="152">
        <f t="shared" si="0"/>
        <v>0.98023455485255384</v>
      </c>
      <c r="M839" s="50">
        <v>43979379</v>
      </c>
      <c r="N839" s="152">
        <f t="shared" si="1"/>
        <v>0.98023455485255384</v>
      </c>
      <c r="O839" s="50">
        <v>0</v>
      </c>
      <c r="P839" s="152">
        <f t="shared" si="2"/>
        <v>0</v>
      </c>
      <c r="Q839" s="50">
        <v>0</v>
      </c>
    </row>
    <row r="840" spans="1:17" hidden="1" x14ac:dyDescent="0.25">
      <c r="A840" s="49" t="s">
        <v>721</v>
      </c>
      <c r="B840" s="49" t="s">
        <v>248</v>
      </c>
      <c r="C840" s="49" t="s">
        <v>249</v>
      </c>
      <c r="D840" s="49" t="s">
        <v>69</v>
      </c>
      <c r="E840" s="50">
        <v>421832742</v>
      </c>
      <c r="F840" s="50">
        <v>476763902</v>
      </c>
      <c r="G840" s="50">
        <v>474833863</v>
      </c>
      <c r="H840" s="50">
        <v>0</v>
      </c>
      <c r="I840" s="50">
        <v>49859428.240000002</v>
      </c>
      <c r="J840" s="50">
        <v>0</v>
      </c>
      <c r="K840" s="50">
        <v>389547732.25999999</v>
      </c>
      <c r="L840" s="152">
        <f t="shared" si="0"/>
        <v>0.8170663312089429</v>
      </c>
      <c r="M840" s="50">
        <v>389547732.25999999</v>
      </c>
      <c r="N840" s="152">
        <f t="shared" si="1"/>
        <v>0.8170663312089429</v>
      </c>
      <c r="O840" s="50">
        <v>37356741.5</v>
      </c>
      <c r="P840" s="152">
        <f t="shared" si="2"/>
        <v>7.8354802750985122E-2</v>
      </c>
      <c r="Q840" s="50">
        <v>35426702.5</v>
      </c>
    </row>
    <row r="841" spans="1:17" hidden="1" x14ac:dyDescent="0.25">
      <c r="A841" s="49" t="s">
        <v>721</v>
      </c>
      <c r="B841" s="49" t="s">
        <v>250</v>
      </c>
      <c r="C841" s="49" t="s">
        <v>251</v>
      </c>
      <c r="D841" s="49" t="s">
        <v>69</v>
      </c>
      <c r="E841" s="50">
        <v>173230842</v>
      </c>
      <c r="F841" s="50">
        <v>159875033</v>
      </c>
      <c r="G841" s="50">
        <v>157944994</v>
      </c>
      <c r="H841" s="50">
        <v>0</v>
      </c>
      <c r="I841" s="50">
        <v>33799021.890000001</v>
      </c>
      <c r="J841" s="50">
        <v>0</v>
      </c>
      <c r="K841" s="50">
        <v>123792283.11</v>
      </c>
      <c r="L841" s="152">
        <f t="shared" si="0"/>
        <v>0.77430653671858818</v>
      </c>
      <c r="M841" s="50">
        <v>123792283.11</v>
      </c>
      <c r="N841" s="152">
        <f t="shared" si="1"/>
        <v>0.77430653671858818</v>
      </c>
      <c r="O841" s="50">
        <v>2283728</v>
      </c>
      <c r="P841" s="152">
        <f t="shared" si="2"/>
        <v>1.4284456785694613E-2</v>
      </c>
      <c r="Q841" s="50">
        <v>353689</v>
      </c>
    </row>
    <row r="842" spans="1:17" hidden="1" x14ac:dyDescent="0.25">
      <c r="A842" s="49" t="s">
        <v>721</v>
      </c>
      <c r="B842" s="49" t="s">
        <v>639</v>
      </c>
      <c r="C842" s="49" t="s">
        <v>702</v>
      </c>
      <c r="D842" s="49" t="s">
        <v>69</v>
      </c>
      <c r="E842" s="50">
        <v>147141882</v>
      </c>
      <c r="F842" s="50">
        <v>135797244</v>
      </c>
      <c r="G842" s="50">
        <v>134104605</v>
      </c>
      <c r="H842" s="50">
        <v>0</v>
      </c>
      <c r="I842" s="50">
        <v>28966871.289999999</v>
      </c>
      <c r="J842" s="50">
        <v>0</v>
      </c>
      <c r="K842" s="50">
        <v>104784044.70999999</v>
      </c>
      <c r="L842" s="152">
        <f t="shared" si="0"/>
        <v>0.77162129085624154</v>
      </c>
      <c r="M842" s="50">
        <v>104784044.70999999</v>
      </c>
      <c r="N842" s="152">
        <f t="shared" si="1"/>
        <v>0.77162129085624154</v>
      </c>
      <c r="O842" s="50">
        <v>2046328</v>
      </c>
      <c r="P842" s="152">
        <f t="shared" si="2"/>
        <v>1.5068995067381486E-2</v>
      </c>
      <c r="Q842" s="50">
        <v>353689</v>
      </c>
    </row>
    <row r="843" spans="1:17" hidden="1" x14ac:dyDescent="0.25">
      <c r="A843" s="49" t="s">
        <v>721</v>
      </c>
      <c r="B843" s="49" t="s">
        <v>654</v>
      </c>
      <c r="C843" s="49" t="s">
        <v>703</v>
      </c>
      <c r="D843" s="49" t="s">
        <v>69</v>
      </c>
      <c r="E843" s="50">
        <v>26088960</v>
      </c>
      <c r="F843" s="50">
        <v>24077789</v>
      </c>
      <c r="G843" s="50">
        <v>23840389</v>
      </c>
      <c r="H843" s="50">
        <v>0</v>
      </c>
      <c r="I843" s="50">
        <v>4832150.5999999996</v>
      </c>
      <c r="J843" s="50">
        <v>0</v>
      </c>
      <c r="K843" s="50">
        <v>19008238.399999999</v>
      </c>
      <c r="L843" s="152">
        <f t="shared" si="0"/>
        <v>0.7894511576623584</v>
      </c>
      <c r="M843" s="50">
        <v>19008238.399999999</v>
      </c>
      <c r="N843" s="152">
        <f t="shared" si="1"/>
        <v>0.7894511576623584</v>
      </c>
      <c r="O843" s="50">
        <v>237400</v>
      </c>
      <c r="P843" s="152">
        <f t="shared" si="2"/>
        <v>9.8597092947363234E-3</v>
      </c>
      <c r="Q843" s="50">
        <v>0</v>
      </c>
    </row>
    <row r="844" spans="1:17" hidden="1" x14ac:dyDescent="0.25">
      <c r="A844" s="49" t="s">
        <v>721</v>
      </c>
      <c r="B844" s="49" t="s">
        <v>260</v>
      </c>
      <c r="C844" s="49" t="s">
        <v>261</v>
      </c>
      <c r="D844" s="49" t="s">
        <v>69</v>
      </c>
      <c r="E844" s="50">
        <v>223601900</v>
      </c>
      <c r="F844" s="50">
        <v>291888869</v>
      </c>
      <c r="G844" s="50">
        <v>291888869</v>
      </c>
      <c r="H844" s="50">
        <v>0</v>
      </c>
      <c r="I844" s="50">
        <v>6821478.3200000003</v>
      </c>
      <c r="J844" s="50">
        <v>0</v>
      </c>
      <c r="K844" s="50">
        <v>251044377.18000001</v>
      </c>
      <c r="L844" s="152">
        <f t="shared" si="0"/>
        <v>0.86006834738189353</v>
      </c>
      <c r="M844" s="50">
        <v>251044377.18000001</v>
      </c>
      <c r="N844" s="152">
        <f t="shared" si="1"/>
        <v>0.86006834738189353</v>
      </c>
      <c r="O844" s="50">
        <v>34023013.5</v>
      </c>
      <c r="P844" s="152">
        <f t="shared" si="2"/>
        <v>0.11656153116273851</v>
      </c>
      <c r="Q844" s="50">
        <v>34023013.5</v>
      </c>
    </row>
    <row r="845" spans="1:17" hidden="1" x14ac:dyDescent="0.25">
      <c r="A845" s="49" t="s">
        <v>721</v>
      </c>
      <c r="B845" s="49" t="s">
        <v>262</v>
      </c>
      <c r="C845" s="49" t="s">
        <v>263</v>
      </c>
      <c r="D845" s="49" t="s">
        <v>69</v>
      </c>
      <c r="E845" s="50">
        <v>150213900</v>
      </c>
      <c r="F845" s="50">
        <v>218500869</v>
      </c>
      <c r="G845" s="50">
        <v>218500869</v>
      </c>
      <c r="H845" s="50">
        <v>0</v>
      </c>
      <c r="I845" s="50">
        <v>6821478.3200000003</v>
      </c>
      <c r="J845" s="50">
        <v>0</v>
      </c>
      <c r="K845" s="50">
        <v>200382850.68000001</v>
      </c>
      <c r="L845" s="152">
        <f t="shared" si="0"/>
        <v>0.9170803374699622</v>
      </c>
      <c r="M845" s="50">
        <v>200382850.68000001</v>
      </c>
      <c r="N845" s="152">
        <f t="shared" si="1"/>
        <v>0.9170803374699622</v>
      </c>
      <c r="O845" s="50">
        <v>11296540</v>
      </c>
      <c r="P845" s="152">
        <f t="shared" si="2"/>
        <v>5.1700206281559455E-2</v>
      </c>
      <c r="Q845" s="50">
        <v>11296540</v>
      </c>
    </row>
    <row r="846" spans="1:17" hidden="1" x14ac:dyDescent="0.25">
      <c r="A846" s="49" t="s">
        <v>721</v>
      </c>
      <c r="B846" s="49" t="s">
        <v>264</v>
      </c>
      <c r="C846" s="49" t="s">
        <v>265</v>
      </c>
      <c r="D846" s="49" t="s">
        <v>69</v>
      </c>
      <c r="E846" s="50">
        <v>73388000</v>
      </c>
      <c r="F846" s="50">
        <v>73388000</v>
      </c>
      <c r="G846" s="50">
        <v>73388000</v>
      </c>
      <c r="H846" s="50">
        <v>0</v>
      </c>
      <c r="I846" s="50">
        <v>0</v>
      </c>
      <c r="J846" s="50">
        <v>0</v>
      </c>
      <c r="K846" s="50">
        <v>50661526.5</v>
      </c>
      <c r="L846" s="152">
        <f t="shared" si="0"/>
        <v>0.690324392271216</v>
      </c>
      <c r="M846" s="50">
        <v>50661526.5</v>
      </c>
      <c r="N846" s="152">
        <f t="shared" si="1"/>
        <v>0.690324392271216</v>
      </c>
      <c r="O846" s="50">
        <v>22726473.5</v>
      </c>
      <c r="P846" s="152">
        <f t="shared" si="2"/>
        <v>0.309675607728784</v>
      </c>
      <c r="Q846" s="50">
        <v>22726473.5</v>
      </c>
    </row>
    <row r="847" spans="1:17" hidden="1" x14ac:dyDescent="0.25">
      <c r="A847" s="49" t="s">
        <v>721</v>
      </c>
      <c r="B847" s="49" t="s">
        <v>286</v>
      </c>
      <c r="C847" s="49" t="s">
        <v>287</v>
      </c>
      <c r="D847" s="49" t="s">
        <v>69</v>
      </c>
      <c r="E847" s="50">
        <v>25000000</v>
      </c>
      <c r="F847" s="50">
        <v>25000000</v>
      </c>
      <c r="G847" s="50">
        <v>25000000</v>
      </c>
      <c r="H847" s="50">
        <v>0</v>
      </c>
      <c r="I847" s="50">
        <v>9238928.0299999993</v>
      </c>
      <c r="J847" s="50">
        <v>0</v>
      </c>
      <c r="K847" s="50">
        <v>14711071.970000001</v>
      </c>
      <c r="L847" s="152">
        <f t="shared" si="0"/>
        <v>0.58844287880000001</v>
      </c>
      <c r="M847" s="50">
        <v>14711071.970000001</v>
      </c>
      <c r="N847" s="152">
        <f t="shared" si="1"/>
        <v>0.58844287880000001</v>
      </c>
      <c r="O847" s="50">
        <v>1050000</v>
      </c>
      <c r="P847" s="152">
        <f t="shared" si="2"/>
        <v>4.2000000000000003E-2</v>
      </c>
      <c r="Q847" s="50">
        <v>1050000</v>
      </c>
    </row>
    <row r="848" spans="1:17" hidden="1" x14ac:dyDescent="0.25">
      <c r="A848" s="49" t="s">
        <v>721</v>
      </c>
      <c r="B848" s="49" t="s">
        <v>288</v>
      </c>
      <c r="C848" s="49" t="s">
        <v>289</v>
      </c>
      <c r="D848" s="49" t="s">
        <v>69</v>
      </c>
      <c r="E848" s="50">
        <v>10000000</v>
      </c>
      <c r="F848" s="50">
        <v>10000000</v>
      </c>
      <c r="G848" s="50">
        <v>10000000</v>
      </c>
      <c r="H848" s="50">
        <v>0</v>
      </c>
      <c r="I848" s="50">
        <v>5343181.66</v>
      </c>
      <c r="J848" s="50">
        <v>0</v>
      </c>
      <c r="K848" s="50">
        <v>4356818.34</v>
      </c>
      <c r="L848" s="152">
        <f t="shared" si="0"/>
        <v>0.43568183399999999</v>
      </c>
      <c r="M848" s="50">
        <v>4356818.34</v>
      </c>
      <c r="N848" s="152">
        <f t="shared" si="1"/>
        <v>0.43568183399999999</v>
      </c>
      <c r="O848" s="50">
        <v>300000</v>
      </c>
      <c r="P848" s="152">
        <f t="shared" si="2"/>
        <v>0.03</v>
      </c>
      <c r="Q848" s="50">
        <v>300000</v>
      </c>
    </row>
    <row r="849" spans="1:17" hidden="1" x14ac:dyDescent="0.25">
      <c r="A849" s="49" t="s">
        <v>721</v>
      </c>
      <c r="B849" s="49" t="s">
        <v>370</v>
      </c>
      <c r="C849" s="49" t="s">
        <v>371</v>
      </c>
      <c r="D849" s="49" t="s">
        <v>69</v>
      </c>
      <c r="E849" s="50">
        <v>15000000</v>
      </c>
      <c r="F849" s="50">
        <v>15000000</v>
      </c>
      <c r="G849" s="50">
        <v>15000000</v>
      </c>
      <c r="H849" s="50">
        <v>0</v>
      </c>
      <c r="I849" s="50">
        <v>3895746.37</v>
      </c>
      <c r="J849" s="50">
        <v>0</v>
      </c>
      <c r="K849" s="50">
        <v>10354253.630000001</v>
      </c>
      <c r="L849" s="152">
        <f t="shared" si="0"/>
        <v>0.6902835753333334</v>
      </c>
      <c r="M849" s="50">
        <v>10354253.630000001</v>
      </c>
      <c r="N849" s="152">
        <f t="shared" si="1"/>
        <v>0.6902835753333334</v>
      </c>
      <c r="O849" s="50">
        <v>750000</v>
      </c>
      <c r="P849" s="152">
        <f t="shared" si="2"/>
        <v>0.05</v>
      </c>
      <c r="Q849" s="50">
        <v>750000</v>
      </c>
    </row>
    <row r="850" spans="1:17" hidden="1" x14ac:dyDescent="0.25">
      <c r="A850" s="53"/>
      <c r="B850" s="53"/>
      <c r="C850" s="53"/>
      <c r="D850" s="53"/>
      <c r="E850" s="54">
        <v>765104920000</v>
      </c>
      <c r="F850" s="54">
        <v>743069209900</v>
      </c>
      <c r="G850" s="54">
        <v>734888007587.59998</v>
      </c>
      <c r="H850" s="54">
        <v>5866196448.6499996</v>
      </c>
      <c r="I850" s="54">
        <v>44782011665.449997</v>
      </c>
      <c r="J850" s="54">
        <v>1683552955</v>
      </c>
      <c r="K850" s="54">
        <v>527107952791.40002</v>
      </c>
      <c r="L850" s="54"/>
      <c r="M850" s="54">
        <v>520173297521.65002</v>
      </c>
      <c r="N850" s="54"/>
      <c r="O850" s="54">
        <v>163629496039.5</v>
      </c>
      <c r="P850" s="54"/>
      <c r="Q850" s="54">
        <v>155448293727.10001</v>
      </c>
    </row>
  </sheetData>
  <sheetProtection selectLockedCells="1" selectUnlockedCells="1"/>
  <autoFilter ref="A1:Q850"/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8"/>
  <sheetViews>
    <sheetView zoomScaleNormal="100" workbookViewId="0"/>
  </sheetViews>
  <sheetFormatPr baseColWidth="10" defaultColWidth="17.140625" defaultRowHeight="15" x14ac:dyDescent="0.25"/>
  <cols>
    <col min="1" max="1" width="21.28515625" customWidth="1"/>
    <col min="6" max="6" width="21.42578125" customWidth="1"/>
    <col min="12" max="12" width="21.42578125" customWidth="1"/>
    <col min="13" max="13" width="22" customWidth="1"/>
    <col min="14" max="14" width="20.5703125" customWidth="1"/>
  </cols>
  <sheetData>
    <row r="1" spans="1:12" x14ac:dyDescent="0.25">
      <c r="A1" s="626">
        <v>43830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</row>
    <row r="2" spans="1:12" ht="24" x14ac:dyDescent="0.25">
      <c r="A2" s="45" t="s">
        <v>52</v>
      </c>
      <c r="B2" s="45" t="s">
        <v>55</v>
      </c>
      <c r="C2" s="45" t="s">
        <v>57</v>
      </c>
      <c r="D2" s="45" t="s">
        <v>59</v>
      </c>
      <c r="E2" s="45" t="s">
        <v>60</v>
      </c>
      <c r="F2" s="47" t="s">
        <v>61</v>
      </c>
      <c r="G2" s="45" t="s">
        <v>12</v>
      </c>
      <c r="H2" s="45" t="s">
        <v>62</v>
      </c>
      <c r="I2" s="45" t="s">
        <v>63</v>
      </c>
      <c r="J2" s="45" t="s">
        <v>64</v>
      </c>
      <c r="K2" s="47" t="s">
        <v>65</v>
      </c>
      <c r="L2" s="47" t="s">
        <v>66</v>
      </c>
    </row>
    <row r="3" spans="1:12" x14ac:dyDescent="0.25">
      <c r="A3" s="181" t="s">
        <v>68</v>
      </c>
      <c r="B3" s="181" t="s">
        <v>69</v>
      </c>
      <c r="C3" s="182">
        <v>153020984000</v>
      </c>
      <c r="D3" s="182">
        <v>212922892.97999999</v>
      </c>
      <c r="E3" s="182" t="e">
        <f t="shared" ref="E3:E4" si="0">#N/A</f>
        <v>#N/A</v>
      </c>
      <c r="F3" s="182">
        <v>344524688.30000001</v>
      </c>
      <c r="G3" s="182">
        <v>13340860239.190001</v>
      </c>
      <c r="H3" s="456">
        <v>8.7183207756591094E-2</v>
      </c>
      <c r="I3" s="182">
        <v>12049632335.620001</v>
      </c>
      <c r="J3" s="456">
        <v>7.87449670015192E-2</v>
      </c>
      <c r="K3" s="457">
        <v>113435623065.28999</v>
      </c>
      <c r="L3" s="456">
        <v>0.74130763049654702</v>
      </c>
    </row>
    <row r="4" spans="1:12" hidden="1" x14ac:dyDescent="0.25">
      <c r="A4" s="49">
        <v>214786</v>
      </c>
      <c r="B4" s="49" t="s">
        <v>69</v>
      </c>
      <c r="C4" s="50">
        <v>2252563898</v>
      </c>
      <c r="D4" s="50">
        <v>407520</v>
      </c>
      <c r="E4" s="50" t="e">
        <f t="shared" si="0"/>
        <v>#N/A</v>
      </c>
      <c r="F4" s="50">
        <v>0</v>
      </c>
      <c r="G4" s="50">
        <v>159175266.78999999</v>
      </c>
      <c r="H4" s="51">
        <v>7.0664040621146493E-2</v>
      </c>
      <c r="I4" s="50">
        <v>158913566.78999999</v>
      </c>
      <c r="J4" s="51">
        <v>7.0547861896879199E-2</v>
      </c>
      <c r="K4" s="50">
        <v>1737726634.21</v>
      </c>
      <c r="L4" s="51">
        <v>0.77144388035024802</v>
      </c>
    </row>
    <row r="5" spans="1:12" hidden="1" x14ac:dyDescent="0.25">
      <c r="A5" s="49">
        <v>214787</v>
      </c>
      <c r="B5" s="49" t="s">
        <v>69</v>
      </c>
      <c r="C5" s="50">
        <v>3672713874</v>
      </c>
      <c r="D5" s="50">
        <v>0</v>
      </c>
      <c r="E5" s="50">
        <v>208409392.68000001</v>
      </c>
      <c r="F5" s="50">
        <v>0</v>
      </c>
      <c r="G5" s="50">
        <v>252238499.03999999</v>
      </c>
      <c r="H5" s="51">
        <v>6.8679049796297895E-2</v>
      </c>
      <c r="I5" s="50">
        <v>248243827.03999999</v>
      </c>
      <c r="J5" s="51">
        <v>6.7591387610501305E-2</v>
      </c>
      <c r="K5" s="50">
        <v>2754592528.2800002</v>
      </c>
      <c r="L5" s="51">
        <v>0.75001555328891911</v>
      </c>
    </row>
    <row r="6" spans="1:12" hidden="1" x14ac:dyDescent="0.25">
      <c r="A6" s="49">
        <v>214788</v>
      </c>
      <c r="B6" s="49" t="s">
        <v>69</v>
      </c>
      <c r="C6" s="50">
        <v>3537393833</v>
      </c>
      <c r="D6" s="50">
        <v>6277057</v>
      </c>
      <c r="E6" s="50">
        <v>51510815.469999999</v>
      </c>
      <c r="F6" s="50">
        <v>1756788.58</v>
      </c>
      <c r="G6" s="50">
        <v>152654458.65000001</v>
      </c>
      <c r="H6" s="51">
        <v>4.3154499005991796E-2</v>
      </c>
      <c r="I6" s="50">
        <v>152384529.65000001</v>
      </c>
      <c r="J6" s="51">
        <v>4.3078191698198702E-2</v>
      </c>
      <c r="K6" s="50">
        <v>3118602594.3600001</v>
      </c>
      <c r="L6" s="51">
        <v>0.88161023103134906</v>
      </c>
    </row>
    <row r="7" spans="1:12" hidden="1" x14ac:dyDescent="0.25">
      <c r="A7" s="49">
        <v>214789</v>
      </c>
      <c r="B7" s="49" t="s">
        <v>69</v>
      </c>
      <c r="C7" s="50">
        <v>77210852108</v>
      </c>
      <c r="D7" s="50">
        <v>206238315.97999999</v>
      </c>
      <c r="E7" s="50">
        <v>1533056377.3399999</v>
      </c>
      <c r="F7" s="50">
        <v>341006257.67000002</v>
      </c>
      <c r="G7" s="50">
        <v>7837072032.4200001</v>
      </c>
      <c r="H7" s="51">
        <v>0.101502208801656</v>
      </c>
      <c r="I7" s="50">
        <v>6600176586.75</v>
      </c>
      <c r="J7" s="51">
        <v>8.5482498982369592E-2</v>
      </c>
      <c r="K7" s="50">
        <v>51747110344.480003</v>
      </c>
      <c r="L7" s="51">
        <v>0.67020514515366103</v>
      </c>
    </row>
    <row r="8" spans="1:12" hidden="1" x14ac:dyDescent="0.25">
      <c r="A8" s="49">
        <v>214789001</v>
      </c>
      <c r="B8" s="49" t="s">
        <v>69</v>
      </c>
      <c r="C8" s="50">
        <v>27896892306</v>
      </c>
      <c r="D8" s="50">
        <v>0</v>
      </c>
      <c r="E8" s="50">
        <v>405266152.63</v>
      </c>
      <c r="F8" s="50">
        <v>0</v>
      </c>
      <c r="G8" s="50">
        <v>1557711836.8199999</v>
      </c>
      <c r="H8" s="51">
        <v>5.5838185118740696E-2</v>
      </c>
      <c r="I8" s="50">
        <v>1557711836.8199999</v>
      </c>
      <c r="J8" s="51">
        <v>5.5838185118740696E-2</v>
      </c>
      <c r="K8" s="50">
        <v>23634936377.549999</v>
      </c>
      <c r="L8" s="51">
        <v>0.84722470583100207</v>
      </c>
    </row>
    <row r="9" spans="1:12" hidden="1" x14ac:dyDescent="0.25">
      <c r="A9" s="49">
        <v>214789002</v>
      </c>
      <c r="B9" s="49" t="s">
        <v>69</v>
      </c>
      <c r="C9" s="50">
        <v>2218633702</v>
      </c>
      <c r="D9" s="50">
        <v>0</v>
      </c>
      <c r="E9" s="50">
        <v>0</v>
      </c>
      <c r="F9" s="50">
        <v>0</v>
      </c>
      <c r="G9" s="50">
        <v>134279727.66</v>
      </c>
      <c r="H9" s="51">
        <v>6.0523613041194101E-2</v>
      </c>
      <c r="I9" s="50">
        <v>134279727.66</v>
      </c>
      <c r="J9" s="51">
        <v>6.0523613041194101E-2</v>
      </c>
      <c r="K9" s="50">
        <v>1876090548.3399999</v>
      </c>
      <c r="L9" s="51">
        <v>0.84560626057775512</v>
      </c>
    </row>
    <row r="10" spans="1:12" hidden="1" x14ac:dyDescent="0.25">
      <c r="A10" s="49">
        <v>214789003</v>
      </c>
      <c r="B10" s="49" t="s">
        <v>69</v>
      </c>
      <c r="C10" s="50">
        <v>1434240030</v>
      </c>
      <c r="D10" s="50">
        <v>0</v>
      </c>
      <c r="E10" s="50">
        <v>0</v>
      </c>
      <c r="F10" s="50">
        <v>0</v>
      </c>
      <c r="G10" s="50">
        <v>126960357.18000001</v>
      </c>
      <c r="H10" s="51">
        <v>8.8520996851552097E-2</v>
      </c>
      <c r="I10" s="50">
        <v>126960357.18000001</v>
      </c>
      <c r="J10" s="51">
        <v>8.8520996851552097E-2</v>
      </c>
      <c r="K10" s="50">
        <v>1113397572.8199999</v>
      </c>
      <c r="L10" s="51">
        <v>0.77629793446777506</v>
      </c>
    </row>
    <row r="11" spans="1:12" hidden="1" x14ac:dyDescent="0.25">
      <c r="A11" s="49">
        <v>214789004</v>
      </c>
      <c r="B11" s="49" t="s">
        <v>69</v>
      </c>
      <c r="C11" s="50">
        <v>2343912564</v>
      </c>
      <c r="D11" s="50">
        <v>0</v>
      </c>
      <c r="E11" s="50">
        <v>0</v>
      </c>
      <c r="F11" s="50">
        <v>0</v>
      </c>
      <c r="G11" s="50">
        <v>210280469.62</v>
      </c>
      <c r="H11" s="51">
        <v>8.9713444455942593E-2</v>
      </c>
      <c r="I11" s="50">
        <v>210280469.62</v>
      </c>
      <c r="J11" s="51">
        <v>8.9713444455942593E-2</v>
      </c>
      <c r="K11" s="50">
        <v>1817259205.3800001</v>
      </c>
      <c r="L11" s="51">
        <v>0.77531015162048511</v>
      </c>
    </row>
    <row r="12" spans="1:12" hidden="1" x14ac:dyDescent="0.25">
      <c r="A12" s="49">
        <v>214789005</v>
      </c>
      <c r="B12" s="49" t="s">
        <v>69</v>
      </c>
      <c r="C12" s="50">
        <v>1188120522</v>
      </c>
      <c r="D12" s="50">
        <v>0</v>
      </c>
      <c r="E12" s="50">
        <v>0</v>
      </c>
      <c r="F12" s="50">
        <v>0</v>
      </c>
      <c r="G12" s="50">
        <v>121542884.84</v>
      </c>
      <c r="H12" s="51">
        <v>0.102298447497063</v>
      </c>
      <c r="I12" s="50">
        <v>121542884.84</v>
      </c>
      <c r="J12" s="51">
        <v>0.102298447497063</v>
      </c>
      <c r="K12" s="50">
        <v>877944535.15999997</v>
      </c>
      <c r="L12" s="51">
        <v>0.73893558683939609</v>
      </c>
    </row>
    <row r="13" spans="1:12" hidden="1" x14ac:dyDescent="0.25">
      <c r="A13" s="49">
        <v>214789006</v>
      </c>
      <c r="B13" s="49" t="s">
        <v>69</v>
      </c>
      <c r="C13" s="50">
        <v>7207746597</v>
      </c>
      <c r="D13" s="50">
        <v>0</v>
      </c>
      <c r="E13" s="50">
        <v>0</v>
      </c>
      <c r="F13" s="50">
        <v>0</v>
      </c>
      <c r="G13" s="50">
        <v>25423321</v>
      </c>
      <c r="H13" s="51">
        <v>3.5272218102925103E-3</v>
      </c>
      <c r="I13" s="50">
        <v>25423321</v>
      </c>
      <c r="J13" s="51">
        <v>3.5272218102925103E-3</v>
      </c>
      <c r="K13" s="50">
        <v>7137091986</v>
      </c>
      <c r="L13" s="51">
        <v>0.99019740635313003</v>
      </c>
    </row>
    <row r="14" spans="1:12" hidden="1" x14ac:dyDescent="0.25">
      <c r="A14" s="49">
        <v>214790</v>
      </c>
      <c r="B14" s="49" t="s">
        <v>69</v>
      </c>
      <c r="C14" s="50">
        <v>1417740073</v>
      </c>
      <c r="D14" s="50">
        <v>0</v>
      </c>
      <c r="E14" s="50">
        <v>27786190.670000002</v>
      </c>
      <c r="F14" s="50">
        <v>1761642.05</v>
      </c>
      <c r="G14" s="50">
        <v>126359880.56</v>
      </c>
      <c r="H14" s="51">
        <v>8.9127677891347901E-2</v>
      </c>
      <c r="I14" s="50">
        <v>122489610.28</v>
      </c>
      <c r="J14" s="51">
        <v>8.6397790831154703E-2</v>
      </c>
      <c r="K14" s="50">
        <v>1086087731.72</v>
      </c>
      <c r="L14" s="51">
        <v>0.76606971362655407</v>
      </c>
    </row>
    <row r="15" spans="1:12" hidden="1" x14ac:dyDescent="0.25">
      <c r="A15" s="49">
        <v>214791</v>
      </c>
      <c r="B15" s="49" t="s">
        <v>69</v>
      </c>
      <c r="C15" s="50">
        <v>7826709762</v>
      </c>
      <c r="D15" s="50">
        <v>0</v>
      </c>
      <c r="E15" s="50">
        <v>0</v>
      </c>
      <c r="F15" s="50">
        <v>0</v>
      </c>
      <c r="G15" s="50">
        <v>917288605.71000004</v>
      </c>
      <c r="H15" s="51">
        <v>0.117199772778542</v>
      </c>
      <c r="I15" s="50">
        <v>917288605.71000004</v>
      </c>
      <c r="J15" s="51">
        <v>0.117199772778542</v>
      </c>
      <c r="K15" s="50">
        <v>5717206783.5600004</v>
      </c>
      <c r="L15" s="51">
        <v>0.73047384627931511</v>
      </c>
    </row>
    <row r="16" spans="1:12" hidden="1" x14ac:dyDescent="0.25">
      <c r="A16" s="49">
        <v>214793</v>
      </c>
      <c r="B16" s="49" t="s">
        <v>69</v>
      </c>
      <c r="C16" s="50">
        <v>918243709</v>
      </c>
      <c r="D16" s="50">
        <v>0</v>
      </c>
      <c r="E16" s="50">
        <v>0</v>
      </c>
      <c r="F16" s="50">
        <v>0</v>
      </c>
      <c r="G16" s="50">
        <v>111383624.56999999</v>
      </c>
      <c r="H16" s="51">
        <v>0.12130072166930601</v>
      </c>
      <c r="I16" s="50">
        <v>111383624.56999999</v>
      </c>
      <c r="J16" s="51">
        <v>0.12130072166930601</v>
      </c>
      <c r="K16" s="50">
        <v>669043350.09000003</v>
      </c>
      <c r="L16" s="51">
        <v>0.72861196165298203</v>
      </c>
    </row>
    <row r="17" spans="1:12" hidden="1" x14ac:dyDescent="0.25">
      <c r="A17" s="49">
        <v>214794</v>
      </c>
      <c r="B17" s="49" t="s">
        <v>69</v>
      </c>
      <c r="C17" s="50">
        <v>13895221022</v>
      </c>
      <c r="D17" s="50">
        <v>0</v>
      </c>
      <c r="E17" s="50">
        <v>91180333.239999995</v>
      </c>
      <c r="F17" s="50">
        <v>0</v>
      </c>
      <c r="G17" s="50">
        <v>1608489274.3299999</v>
      </c>
      <c r="H17" s="51">
        <v>0.115758451901075</v>
      </c>
      <c r="I17" s="50">
        <v>1562553387.71</v>
      </c>
      <c r="J17" s="51">
        <v>0.11245257525850401</v>
      </c>
      <c r="K17" s="50">
        <v>10148532873.34</v>
      </c>
      <c r="L17" s="51">
        <v>0.73036138520373706</v>
      </c>
    </row>
    <row r="18" spans="1:12" x14ac:dyDescent="0.25">
      <c r="E18" s="458"/>
    </row>
    <row r="19" spans="1:12" hidden="1" x14ac:dyDescent="0.25"/>
    <row r="20" spans="1:12" hidden="1" x14ac:dyDescent="0.25"/>
    <row r="21" spans="1:12" hidden="1" x14ac:dyDescent="0.25"/>
    <row r="23" spans="1:12" x14ac:dyDescent="0.25">
      <c r="A23" s="626">
        <v>44135</v>
      </c>
      <c r="B23" s="626"/>
      <c r="C23" s="626"/>
      <c r="D23" s="626"/>
      <c r="E23" s="626"/>
      <c r="F23" s="626"/>
      <c r="G23" s="626"/>
      <c r="H23" s="626"/>
      <c r="I23" s="626"/>
      <c r="J23" s="626"/>
      <c r="K23" s="626"/>
      <c r="L23" s="626"/>
    </row>
    <row r="24" spans="1:12" x14ac:dyDescent="0.25">
      <c r="A24" s="144" t="s">
        <v>52</v>
      </c>
      <c r="B24" s="144" t="s">
        <v>55</v>
      </c>
      <c r="C24" s="144" t="s">
        <v>57</v>
      </c>
      <c r="D24" s="144" t="s">
        <v>59</v>
      </c>
      <c r="E24" s="144" t="s">
        <v>60</v>
      </c>
      <c r="F24" s="144" t="s">
        <v>61</v>
      </c>
      <c r="G24" s="144" t="s">
        <v>12</v>
      </c>
      <c r="H24" s="144" t="s">
        <v>62</v>
      </c>
      <c r="I24" s="144" t="s">
        <v>63</v>
      </c>
      <c r="J24" s="144" t="s">
        <v>64</v>
      </c>
      <c r="K24" s="144" t="s">
        <v>65</v>
      </c>
      <c r="L24" s="144" t="s">
        <v>66</v>
      </c>
    </row>
    <row r="25" spans="1:12" x14ac:dyDescent="0.25">
      <c r="A25" s="181" t="s">
        <v>68</v>
      </c>
      <c r="B25" s="181" t="s">
        <v>69</v>
      </c>
      <c r="C25" s="182">
        <v>148613841980</v>
      </c>
      <c r="D25" s="182">
        <v>1173239289.73</v>
      </c>
      <c r="E25" s="391">
        <v>8956402333.0900002</v>
      </c>
      <c r="F25" s="182">
        <v>336710591</v>
      </c>
      <c r="G25" s="391">
        <v>105421590558.28</v>
      </c>
      <c r="H25" s="184">
        <f t="shared" ref="H25:H38" si="1">+G25/C25</f>
        <v>0.70936589185593701</v>
      </c>
      <c r="I25" s="391">
        <v>104034659504.33</v>
      </c>
      <c r="J25" s="184">
        <f t="shared" ref="J25:J38" si="2">+I25/C25</f>
        <v>0.70003344317234373</v>
      </c>
      <c r="K25" s="391">
        <v>32725899207.900002</v>
      </c>
      <c r="L25" s="184">
        <f t="shared" ref="L25:L38" si="3">+K25/C25</f>
        <v>0.22020761169948189</v>
      </c>
    </row>
    <row r="26" spans="1:12" hidden="1" x14ac:dyDescent="0.25">
      <c r="A26" s="49">
        <v>214786</v>
      </c>
      <c r="B26" s="49" t="s">
        <v>69</v>
      </c>
      <c r="C26" s="50">
        <v>2107733459</v>
      </c>
      <c r="D26" s="50">
        <v>122000</v>
      </c>
      <c r="E26" s="50">
        <v>166142410.61000001</v>
      </c>
      <c r="F26" s="50">
        <v>637424.99</v>
      </c>
      <c r="G26" s="50">
        <v>1401033257.7</v>
      </c>
      <c r="H26" s="152">
        <f t="shared" si="1"/>
        <v>0.66471083035551892</v>
      </c>
      <c r="I26" s="50">
        <v>1394358776.53</v>
      </c>
      <c r="J26" s="152">
        <f t="shared" si="2"/>
        <v>0.66154416753982936</v>
      </c>
      <c r="K26" s="50">
        <v>539798365.70000005</v>
      </c>
      <c r="L26" s="152">
        <f t="shared" si="3"/>
        <v>0.25610371339652394</v>
      </c>
    </row>
    <row r="27" spans="1:12" hidden="1" x14ac:dyDescent="0.25">
      <c r="A27" s="49">
        <v>214787</v>
      </c>
      <c r="B27" s="49" t="s">
        <v>69</v>
      </c>
      <c r="C27" s="50">
        <v>3477014422</v>
      </c>
      <c r="D27" s="50">
        <v>0</v>
      </c>
      <c r="E27" s="50">
        <v>301758722.49000001</v>
      </c>
      <c r="F27" s="50">
        <v>1191232.5</v>
      </c>
      <c r="G27" s="50">
        <v>2479855045.7399998</v>
      </c>
      <c r="H27" s="152">
        <f t="shared" si="1"/>
        <v>0.71321390847541322</v>
      </c>
      <c r="I27" s="50">
        <v>2454083098.52</v>
      </c>
      <c r="J27" s="152">
        <f t="shared" si="2"/>
        <v>0.70580181749962267</v>
      </c>
      <c r="K27" s="50">
        <v>694209421.26999998</v>
      </c>
      <c r="L27" s="152">
        <f t="shared" si="3"/>
        <v>0.19965675634750071</v>
      </c>
    </row>
    <row r="28" spans="1:12" hidden="1" x14ac:dyDescent="0.25">
      <c r="A28" s="49">
        <v>214788</v>
      </c>
      <c r="B28" s="49" t="s">
        <v>69</v>
      </c>
      <c r="C28" s="50">
        <v>2849531919</v>
      </c>
      <c r="D28" s="50">
        <v>102135448.87</v>
      </c>
      <c r="E28" s="50">
        <v>254102917</v>
      </c>
      <c r="F28" s="50">
        <v>14196733.359999999</v>
      </c>
      <c r="G28" s="50">
        <v>1783526695.6500001</v>
      </c>
      <c r="H28" s="152">
        <f t="shared" si="1"/>
        <v>0.62590163800512955</v>
      </c>
      <c r="I28" s="50">
        <v>1658325058.8299999</v>
      </c>
      <c r="J28" s="152">
        <f t="shared" si="2"/>
        <v>0.58196402285325655</v>
      </c>
      <c r="K28" s="50">
        <v>695570124.12</v>
      </c>
      <c r="L28" s="152">
        <f t="shared" si="3"/>
        <v>0.24409978336515697</v>
      </c>
    </row>
    <row r="29" spans="1:12" hidden="1" x14ac:dyDescent="0.25">
      <c r="A29" s="49">
        <v>214789</v>
      </c>
      <c r="B29" s="49" t="s">
        <v>69</v>
      </c>
      <c r="C29" s="50">
        <v>75853899258</v>
      </c>
      <c r="D29" s="50">
        <v>123961274.97</v>
      </c>
      <c r="E29" s="50">
        <v>5806411759.2200003</v>
      </c>
      <c r="F29" s="50">
        <v>303464378.69999999</v>
      </c>
      <c r="G29" s="50">
        <v>55184073349.459999</v>
      </c>
      <c r="H29" s="152">
        <f t="shared" si="1"/>
        <v>0.72750476757646654</v>
      </c>
      <c r="I29" s="50">
        <v>53986396434.809998</v>
      </c>
      <c r="J29" s="152">
        <f t="shared" si="2"/>
        <v>0.71171550787636373</v>
      </c>
      <c r="K29" s="50">
        <v>14435988495.65</v>
      </c>
      <c r="L29" s="152">
        <f t="shared" si="3"/>
        <v>0.19031307074339351</v>
      </c>
    </row>
    <row r="30" spans="1:12" hidden="1" x14ac:dyDescent="0.25">
      <c r="A30" s="49">
        <v>214789001</v>
      </c>
      <c r="B30" s="49" t="s">
        <v>69</v>
      </c>
      <c r="C30" s="50">
        <v>27565207857</v>
      </c>
      <c r="D30" s="50">
        <v>903102960.88</v>
      </c>
      <c r="E30" s="50">
        <v>1308543194.1199999</v>
      </c>
      <c r="F30" s="50">
        <v>3981836.43</v>
      </c>
      <c r="G30" s="50">
        <v>18639840292.529999</v>
      </c>
      <c r="H30" s="152">
        <f t="shared" si="1"/>
        <v>0.67620895112519663</v>
      </c>
      <c r="I30" s="50">
        <v>18617591489.009998</v>
      </c>
      <c r="J30" s="152">
        <f t="shared" si="2"/>
        <v>0.67540181759529838</v>
      </c>
      <c r="K30" s="50">
        <v>6709739573.04</v>
      </c>
      <c r="L30" s="152">
        <f t="shared" si="3"/>
        <v>0.24341334946023657</v>
      </c>
    </row>
    <row r="31" spans="1:12" hidden="1" x14ac:dyDescent="0.25">
      <c r="A31" s="49">
        <v>214789002</v>
      </c>
      <c r="B31" s="49" t="s">
        <v>69</v>
      </c>
      <c r="C31" s="50">
        <v>2188337693</v>
      </c>
      <c r="D31" s="50">
        <v>41427074.869999997</v>
      </c>
      <c r="E31" s="50">
        <v>108782117.02</v>
      </c>
      <c r="F31" s="50">
        <v>493765.37</v>
      </c>
      <c r="G31" s="50">
        <v>1432815921.23</v>
      </c>
      <c r="H31" s="152">
        <f t="shared" si="1"/>
        <v>0.65475083019099645</v>
      </c>
      <c r="I31" s="50">
        <v>1429589225.6099999</v>
      </c>
      <c r="J31" s="152">
        <f t="shared" si="2"/>
        <v>0.65327633398763552</v>
      </c>
      <c r="K31" s="50">
        <v>604818814.50999999</v>
      </c>
      <c r="L31" s="152">
        <f t="shared" si="3"/>
        <v>0.27638276141962886</v>
      </c>
    </row>
    <row r="32" spans="1:12" hidden="1" x14ac:dyDescent="0.25">
      <c r="A32" s="49">
        <v>214789003</v>
      </c>
      <c r="B32" s="49" t="s">
        <v>69</v>
      </c>
      <c r="C32" s="50">
        <v>1423727288</v>
      </c>
      <c r="D32" s="50">
        <v>18223.88</v>
      </c>
      <c r="E32" s="50">
        <v>88899062.689999998</v>
      </c>
      <c r="F32" s="50">
        <v>12300455.289999999</v>
      </c>
      <c r="G32" s="50">
        <v>999425163.77999997</v>
      </c>
      <c r="H32" s="152">
        <f t="shared" si="1"/>
        <v>0.70197795055537349</v>
      </c>
      <c r="I32" s="50">
        <v>999174163.77999997</v>
      </c>
      <c r="J32" s="152">
        <f t="shared" si="2"/>
        <v>0.70180165274741857</v>
      </c>
      <c r="K32" s="50">
        <v>323084382.36000001</v>
      </c>
      <c r="L32" s="152">
        <f t="shared" si="3"/>
        <v>0.22692855934078299</v>
      </c>
    </row>
    <row r="33" spans="1:12" hidden="1" x14ac:dyDescent="0.25">
      <c r="A33" s="49">
        <v>214789004</v>
      </c>
      <c r="B33" s="49" t="s">
        <v>69</v>
      </c>
      <c r="C33" s="50">
        <v>2285498408</v>
      </c>
      <c r="D33" s="50">
        <v>0</v>
      </c>
      <c r="E33" s="50">
        <v>109218317.97</v>
      </c>
      <c r="F33" s="50">
        <v>357054.25</v>
      </c>
      <c r="G33" s="50">
        <v>1584394231.4100001</v>
      </c>
      <c r="H33" s="152">
        <f t="shared" si="1"/>
        <v>0.69323795013993295</v>
      </c>
      <c r="I33" s="50">
        <v>1584221346.4100001</v>
      </c>
      <c r="J33" s="152">
        <f t="shared" si="2"/>
        <v>0.69316230580809057</v>
      </c>
      <c r="K33" s="50">
        <v>591528804.37</v>
      </c>
      <c r="L33" s="152">
        <f t="shared" si="3"/>
        <v>0.25881829639410536</v>
      </c>
    </row>
    <row r="34" spans="1:12" hidden="1" x14ac:dyDescent="0.25">
      <c r="A34" s="49">
        <v>214789005</v>
      </c>
      <c r="B34" s="49" t="s">
        <v>69</v>
      </c>
      <c r="C34" s="50">
        <v>1159548072</v>
      </c>
      <c r="D34" s="50">
        <v>0</v>
      </c>
      <c r="E34" s="50">
        <v>57315983.740000002</v>
      </c>
      <c r="F34" s="50">
        <v>0</v>
      </c>
      <c r="G34" s="50">
        <v>811101553.25999999</v>
      </c>
      <c r="H34" s="152">
        <f t="shared" si="1"/>
        <v>0.69949799654360512</v>
      </c>
      <c r="I34" s="50">
        <v>811082043.25999999</v>
      </c>
      <c r="J34" s="152">
        <f t="shared" si="2"/>
        <v>0.69948117102298113</v>
      </c>
      <c r="K34" s="50">
        <v>291130535</v>
      </c>
      <c r="L34" s="152">
        <f t="shared" si="3"/>
        <v>0.25107241521936663</v>
      </c>
    </row>
    <row r="35" spans="1:12" hidden="1" x14ac:dyDescent="0.25">
      <c r="A35" s="49">
        <v>214790</v>
      </c>
      <c r="B35" s="49" t="s">
        <v>69</v>
      </c>
      <c r="C35" s="50">
        <v>1271491809</v>
      </c>
      <c r="D35" s="50">
        <v>2472306.2599999998</v>
      </c>
      <c r="E35" s="50">
        <v>83185998.980000004</v>
      </c>
      <c r="F35" s="50">
        <v>87710.11</v>
      </c>
      <c r="G35" s="50">
        <v>846428577.73000002</v>
      </c>
      <c r="H35" s="152">
        <f t="shared" si="1"/>
        <v>0.6656972319748542</v>
      </c>
      <c r="I35" s="50">
        <v>840741397.77999997</v>
      </c>
      <c r="J35" s="152">
        <f t="shared" si="2"/>
        <v>0.66122439156035484</v>
      </c>
      <c r="K35" s="50">
        <v>339317215.92000002</v>
      </c>
      <c r="L35" s="152">
        <f t="shared" si="3"/>
        <v>0.26686543595342976</v>
      </c>
    </row>
    <row r="36" spans="1:12" hidden="1" x14ac:dyDescent="0.25">
      <c r="A36" s="49">
        <v>214791</v>
      </c>
      <c r="B36" s="49" t="s">
        <v>69</v>
      </c>
      <c r="C36" s="50">
        <v>7640097492</v>
      </c>
      <c r="D36" s="50">
        <v>0</v>
      </c>
      <c r="E36" s="50">
        <v>232236333.03</v>
      </c>
      <c r="F36" s="50">
        <v>0</v>
      </c>
      <c r="G36" s="50">
        <v>5693036434.3999996</v>
      </c>
      <c r="H36" s="152">
        <f t="shared" si="1"/>
        <v>0.74515232827345701</v>
      </c>
      <c r="I36" s="50">
        <v>5693036434.3999996</v>
      </c>
      <c r="J36" s="152">
        <f t="shared" si="2"/>
        <v>0.74515232827345701</v>
      </c>
      <c r="K36" s="50">
        <v>1714824724.5699999</v>
      </c>
      <c r="L36" s="152">
        <f t="shared" si="3"/>
        <v>0.22445063382576008</v>
      </c>
    </row>
    <row r="37" spans="1:12" hidden="1" x14ac:dyDescent="0.25">
      <c r="A37" s="49">
        <v>214793</v>
      </c>
      <c r="B37" s="49" t="s">
        <v>69</v>
      </c>
      <c r="C37" s="50">
        <v>895550765</v>
      </c>
      <c r="D37" s="50">
        <v>0</v>
      </c>
      <c r="E37" s="50">
        <v>21527643.32</v>
      </c>
      <c r="F37" s="50">
        <v>0</v>
      </c>
      <c r="G37" s="50">
        <v>696638758.39999998</v>
      </c>
      <c r="H37" s="152">
        <f t="shared" si="1"/>
        <v>0.77788863080252069</v>
      </c>
      <c r="I37" s="50">
        <v>696638758.39999998</v>
      </c>
      <c r="J37" s="152">
        <f t="shared" si="2"/>
        <v>0.77788863080252069</v>
      </c>
      <c r="K37" s="50">
        <v>177384363.28</v>
      </c>
      <c r="L37" s="152">
        <f t="shared" si="3"/>
        <v>0.19807292921021624</v>
      </c>
    </row>
    <row r="38" spans="1:12" hidden="1" x14ac:dyDescent="0.25">
      <c r="A38" s="49">
        <v>214794</v>
      </c>
      <c r="B38" s="49" t="s">
        <v>69</v>
      </c>
      <c r="C38" s="50">
        <v>12934636749</v>
      </c>
      <c r="D38" s="50">
        <v>0</v>
      </c>
      <c r="E38" s="50">
        <v>406303233.66000003</v>
      </c>
      <c r="F38" s="50">
        <v>0</v>
      </c>
      <c r="G38" s="50">
        <v>9542149050.0400009</v>
      </c>
      <c r="H38" s="152">
        <f t="shared" si="1"/>
        <v>0.73772068247511635</v>
      </c>
      <c r="I38" s="50">
        <v>9542149050.0400009</v>
      </c>
      <c r="J38" s="152">
        <f t="shared" si="2"/>
        <v>0.73772068247511635</v>
      </c>
      <c r="K38" s="50">
        <v>2986184465.3000002</v>
      </c>
      <c r="L38" s="152">
        <f t="shared" si="3"/>
        <v>0.23086728473691906</v>
      </c>
    </row>
    <row r="41" spans="1:12" x14ac:dyDescent="0.25">
      <c r="A41" s="626">
        <v>44165</v>
      </c>
      <c r="B41" s="626"/>
      <c r="C41" s="626"/>
      <c r="D41" s="626"/>
      <c r="E41" s="626"/>
      <c r="F41" s="626"/>
      <c r="G41" s="626"/>
      <c r="H41" s="626"/>
      <c r="I41" s="626"/>
      <c r="J41" s="626"/>
      <c r="K41" s="626"/>
      <c r="L41" s="626"/>
    </row>
    <row r="42" spans="1:12" x14ac:dyDescent="0.25">
      <c r="A42" s="144" t="s">
        <v>52</v>
      </c>
      <c r="B42" s="144" t="s">
        <v>55</v>
      </c>
      <c r="C42" s="144" t="s">
        <v>57</v>
      </c>
      <c r="D42" s="144" t="s">
        <v>59</v>
      </c>
      <c r="E42" s="144" t="s">
        <v>60</v>
      </c>
      <c r="F42" s="144" t="s">
        <v>61</v>
      </c>
      <c r="G42" s="144" t="s">
        <v>12</v>
      </c>
      <c r="H42" s="144" t="s">
        <v>62</v>
      </c>
      <c r="I42" s="144" t="s">
        <v>63</v>
      </c>
      <c r="J42" s="144" t="s">
        <v>64</v>
      </c>
      <c r="K42" s="144" t="s">
        <v>65</v>
      </c>
      <c r="L42" s="144" t="s">
        <v>66</v>
      </c>
    </row>
    <row r="43" spans="1:12" x14ac:dyDescent="0.25">
      <c r="A43" s="181" t="s">
        <v>68</v>
      </c>
      <c r="B43" s="181" t="s">
        <v>69</v>
      </c>
      <c r="C43" s="182">
        <v>148398411720</v>
      </c>
      <c r="D43" s="182">
        <v>167834173.19</v>
      </c>
      <c r="E43" s="391">
        <v>14421897512.74</v>
      </c>
      <c r="F43" s="182">
        <v>513502959.18000001</v>
      </c>
      <c r="G43" s="391">
        <v>115812311113.03999</v>
      </c>
      <c r="H43" s="184">
        <f t="shared" ref="H43:H57" si="4">+G43/C43</f>
        <v>0.7804147616590138</v>
      </c>
      <c r="I43" s="391">
        <v>114403461212.09</v>
      </c>
      <c r="J43" s="184">
        <f t="shared" ref="J43:J57" si="5">+I43/C43</f>
        <v>0.77092106233554503</v>
      </c>
      <c r="K43" s="391">
        <v>17482865961.849998</v>
      </c>
      <c r="L43" s="184">
        <f t="shared" ref="L43:L57" si="6">+K43/C43</f>
        <v>0.11781033071187373</v>
      </c>
    </row>
    <row r="44" spans="1:12" hidden="1" x14ac:dyDescent="0.25">
      <c r="A44" s="44">
        <v>2147860</v>
      </c>
      <c r="B44" s="44" t="s">
        <v>69</v>
      </c>
      <c r="C44" s="50">
        <v>2081037982</v>
      </c>
      <c r="D44" s="50">
        <v>0</v>
      </c>
      <c r="E44" s="50">
        <v>222075057.99000001</v>
      </c>
      <c r="F44" s="50">
        <v>475704.99</v>
      </c>
      <c r="G44" s="50">
        <v>1548215984.52</v>
      </c>
      <c r="H44" s="152">
        <f t="shared" si="4"/>
        <v>0.74396334805579722</v>
      </c>
      <c r="I44" s="50">
        <v>1543129815.8199999</v>
      </c>
      <c r="J44" s="152">
        <f t="shared" si="5"/>
        <v>0.74151929429801244</v>
      </c>
      <c r="K44" s="50">
        <v>310271234.5</v>
      </c>
      <c r="L44" s="152">
        <f t="shared" si="6"/>
        <v>0.14909446016060268</v>
      </c>
    </row>
    <row r="45" spans="1:12" hidden="1" x14ac:dyDescent="0.25">
      <c r="A45" s="44">
        <v>2147870</v>
      </c>
      <c r="B45" s="44" t="s">
        <v>69</v>
      </c>
      <c r="C45" s="50">
        <v>3467509456</v>
      </c>
      <c r="D45" s="50">
        <v>6857070.0099999998</v>
      </c>
      <c r="E45" s="50">
        <v>338295210.47000003</v>
      </c>
      <c r="F45" s="50">
        <v>2654324.2999999998</v>
      </c>
      <c r="G45" s="50">
        <v>2785221372.23</v>
      </c>
      <c r="H45" s="152">
        <f t="shared" si="4"/>
        <v>0.80323396592634988</v>
      </c>
      <c r="I45" s="50">
        <v>2770811340.8400002</v>
      </c>
      <c r="J45" s="152">
        <f t="shared" si="5"/>
        <v>0.79907823641130404</v>
      </c>
      <c r="K45" s="50">
        <v>334481478.99000001</v>
      </c>
      <c r="L45" s="152">
        <f t="shared" si="6"/>
        <v>9.6461591016350504E-2</v>
      </c>
    </row>
    <row r="46" spans="1:12" hidden="1" x14ac:dyDescent="0.25">
      <c r="A46" s="44">
        <v>2147880</v>
      </c>
      <c r="B46" s="44" t="s">
        <v>69</v>
      </c>
      <c r="C46" s="50">
        <v>2849531919</v>
      </c>
      <c r="D46" s="50">
        <v>9018380.2200000007</v>
      </c>
      <c r="E46" s="50">
        <v>358059501.75</v>
      </c>
      <c r="F46" s="50">
        <v>28088511.98</v>
      </c>
      <c r="G46" s="50">
        <v>1975314719.4300001</v>
      </c>
      <c r="H46" s="152">
        <f t="shared" si="4"/>
        <v>0.69320673555508261</v>
      </c>
      <c r="I46" s="50">
        <v>1882602772.6199999</v>
      </c>
      <c r="J46" s="152">
        <f t="shared" si="5"/>
        <v>0.66067088424848064</v>
      </c>
      <c r="K46" s="50">
        <v>479050805.62</v>
      </c>
      <c r="L46" s="152">
        <f t="shared" si="6"/>
        <v>0.16811561310326209</v>
      </c>
    </row>
    <row r="47" spans="1:12" hidden="1" x14ac:dyDescent="0.25">
      <c r="A47" s="44">
        <v>2147890</v>
      </c>
      <c r="B47" s="44" t="s">
        <v>69</v>
      </c>
      <c r="C47" s="50">
        <v>75755327546</v>
      </c>
      <c r="D47" s="50">
        <v>110073301.7</v>
      </c>
      <c r="E47" s="50">
        <v>8050141108.1300001</v>
      </c>
      <c r="F47" s="50">
        <v>314476284.70999998</v>
      </c>
      <c r="G47" s="50">
        <v>60774765610.419998</v>
      </c>
      <c r="H47" s="152">
        <f t="shared" si="4"/>
        <v>0.8022507139648557</v>
      </c>
      <c r="I47" s="50">
        <v>60031548485.209999</v>
      </c>
      <c r="J47" s="152">
        <f t="shared" si="5"/>
        <v>0.79243995676419932</v>
      </c>
      <c r="K47" s="50">
        <v>6505871241.04</v>
      </c>
      <c r="L47" s="152">
        <f t="shared" si="6"/>
        <v>8.5880048991795563E-2</v>
      </c>
    </row>
    <row r="48" spans="1:12" hidden="1" x14ac:dyDescent="0.25">
      <c r="A48" s="44">
        <v>214789001</v>
      </c>
      <c r="B48" s="44" t="s">
        <v>69</v>
      </c>
      <c r="C48" s="50">
        <v>27746347895</v>
      </c>
      <c r="D48" s="50">
        <v>41834287.380000003</v>
      </c>
      <c r="E48" s="50">
        <v>2844065298.7800002</v>
      </c>
      <c r="F48" s="50">
        <v>144748801.31</v>
      </c>
      <c r="G48" s="50">
        <v>20385220396.049999</v>
      </c>
      <c r="H48" s="152">
        <f t="shared" si="4"/>
        <v>0.73469922864059145</v>
      </c>
      <c r="I48" s="50">
        <v>20259486085.540001</v>
      </c>
      <c r="J48" s="152">
        <f t="shared" si="5"/>
        <v>0.73016766610898143</v>
      </c>
      <c r="K48" s="50">
        <v>4330479111.4799995</v>
      </c>
      <c r="L48" s="152">
        <f t="shared" si="6"/>
        <v>0.15607384178515143</v>
      </c>
    </row>
    <row r="49" spans="1:12" hidden="1" x14ac:dyDescent="0.25">
      <c r="A49" s="44">
        <v>214789002</v>
      </c>
      <c r="B49" s="44" t="s">
        <v>69</v>
      </c>
      <c r="C49" s="50">
        <v>2105742147</v>
      </c>
      <c r="D49" s="50">
        <v>32910</v>
      </c>
      <c r="E49" s="50">
        <v>216594164.72</v>
      </c>
      <c r="F49" s="50">
        <v>17889203.629999999</v>
      </c>
      <c r="G49" s="50">
        <v>1570379455.75</v>
      </c>
      <c r="H49" s="152">
        <f t="shared" si="4"/>
        <v>0.74576056616774367</v>
      </c>
      <c r="I49" s="50">
        <v>1557637485.28</v>
      </c>
      <c r="J49" s="152">
        <f t="shared" si="5"/>
        <v>0.73970950693043236</v>
      </c>
      <c r="K49" s="50">
        <v>300846412.89999998</v>
      </c>
      <c r="L49" s="152">
        <f t="shared" si="6"/>
        <v>0.14286954047465336</v>
      </c>
    </row>
    <row r="50" spans="1:12" hidden="1" x14ac:dyDescent="0.25">
      <c r="A50" s="44">
        <v>214789003</v>
      </c>
      <c r="B50" s="44" t="s">
        <v>69</v>
      </c>
      <c r="C50" s="50">
        <v>1449674150</v>
      </c>
      <c r="D50" s="50">
        <v>18223.88</v>
      </c>
      <c r="E50" s="50">
        <v>146295894.37</v>
      </c>
      <c r="F50" s="50">
        <v>4222854.05</v>
      </c>
      <c r="G50" s="50">
        <v>1102847664.4000001</v>
      </c>
      <c r="H50" s="152">
        <f t="shared" si="4"/>
        <v>0.7607555562744911</v>
      </c>
      <c r="I50" s="50">
        <v>1102346668.4000001</v>
      </c>
      <c r="J50" s="152">
        <f t="shared" si="5"/>
        <v>0.76040996412883555</v>
      </c>
      <c r="K50" s="50">
        <v>196289513.30000001</v>
      </c>
      <c r="L50" s="152">
        <f t="shared" si="6"/>
        <v>0.13540250634944412</v>
      </c>
    </row>
    <row r="51" spans="1:12" hidden="1" x14ac:dyDescent="0.25">
      <c r="A51" s="44">
        <v>214789004</v>
      </c>
      <c r="B51" s="44" t="s">
        <v>69</v>
      </c>
      <c r="C51" s="50">
        <v>2262440561</v>
      </c>
      <c r="D51" s="50">
        <v>0</v>
      </c>
      <c r="E51" s="50">
        <v>228285907.66999999</v>
      </c>
      <c r="F51" s="50">
        <v>300321</v>
      </c>
      <c r="G51" s="50">
        <v>1731166942.2</v>
      </c>
      <c r="H51" s="152">
        <f t="shared" si="4"/>
        <v>0.76517676178631777</v>
      </c>
      <c r="I51" s="50">
        <v>1716539876.25</v>
      </c>
      <c r="J51" s="152">
        <f t="shared" si="5"/>
        <v>0.75871159041247405</v>
      </c>
      <c r="K51" s="50">
        <v>302687390.13</v>
      </c>
      <c r="L51" s="152">
        <f t="shared" si="6"/>
        <v>0.13378799662087565</v>
      </c>
    </row>
    <row r="52" spans="1:12" hidden="1" x14ac:dyDescent="0.25">
      <c r="A52" s="44">
        <v>214789005</v>
      </c>
      <c r="B52" s="44" t="s">
        <v>69</v>
      </c>
      <c r="C52" s="50">
        <v>1156686277</v>
      </c>
      <c r="D52" s="50">
        <v>0</v>
      </c>
      <c r="E52" s="50">
        <v>120477196.67</v>
      </c>
      <c r="F52" s="50">
        <v>0</v>
      </c>
      <c r="G52" s="50">
        <v>886928385.84000003</v>
      </c>
      <c r="H52" s="152">
        <f t="shared" si="4"/>
        <v>0.76678387517516988</v>
      </c>
      <c r="I52" s="50">
        <v>886790961.39999998</v>
      </c>
      <c r="J52" s="152">
        <f t="shared" si="5"/>
        <v>0.76666506643443133</v>
      </c>
      <c r="K52" s="50">
        <v>149280694.49000001</v>
      </c>
      <c r="L52" s="152">
        <f t="shared" si="6"/>
        <v>0.12905893106744276</v>
      </c>
    </row>
    <row r="53" spans="1:12" hidden="1" x14ac:dyDescent="0.25">
      <c r="A53" s="44">
        <v>214789006</v>
      </c>
      <c r="B53" s="44" t="s">
        <v>69</v>
      </c>
      <c r="C53" s="50">
        <v>6961566789</v>
      </c>
      <c r="D53" s="50">
        <v>0</v>
      </c>
      <c r="E53" s="50">
        <v>31499671.989999998</v>
      </c>
      <c r="F53" s="50">
        <v>0</v>
      </c>
      <c r="G53" s="50">
        <v>4737362729.5799999</v>
      </c>
      <c r="H53" s="152">
        <f t="shared" si="4"/>
        <v>0.68050237441742656</v>
      </c>
      <c r="I53" s="50">
        <v>4349167020.9200001</v>
      </c>
      <c r="J53" s="152">
        <f t="shared" si="5"/>
        <v>0.62473968184750261</v>
      </c>
      <c r="K53" s="50">
        <v>2192704387.4299998</v>
      </c>
      <c r="L53" s="152">
        <f t="shared" si="6"/>
        <v>0.31497282923360026</v>
      </c>
    </row>
    <row r="54" spans="1:12" hidden="1" x14ac:dyDescent="0.25">
      <c r="A54" s="44">
        <v>214790</v>
      </c>
      <c r="B54" s="44" t="s">
        <v>69</v>
      </c>
      <c r="C54" s="50">
        <v>1265316729</v>
      </c>
      <c r="D54" s="50">
        <v>0</v>
      </c>
      <c r="E54" s="50">
        <v>126832563.34999999</v>
      </c>
      <c r="F54" s="50">
        <v>646953.21</v>
      </c>
      <c r="G54" s="50">
        <v>933113713.36000001</v>
      </c>
      <c r="H54" s="152">
        <f t="shared" si="4"/>
        <v>0.7374546561930424</v>
      </c>
      <c r="I54" s="50">
        <v>921626560.54999995</v>
      </c>
      <c r="J54" s="152">
        <f t="shared" si="5"/>
        <v>0.72837617604121629</v>
      </c>
      <c r="K54" s="50">
        <v>204723499.08000001</v>
      </c>
      <c r="L54" s="152">
        <f t="shared" si="6"/>
        <v>0.1617962478389077</v>
      </c>
    </row>
    <row r="55" spans="1:12" hidden="1" x14ac:dyDescent="0.25">
      <c r="A55" s="44">
        <v>214791</v>
      </c>
      <c r="B55" s="44" t="s">
        <v>69</v>
      </c>
      <c r="C55" s="50">
        <v>7590011399</v>
      </c>
      <c r="D55" s="50">
        <v>0</v>
      </c>
      <c r="E55" s="50">
        <v>611770237.66999996</v>
      </c>
      <c r="F55" s="50">
        <v>0</v>
      </c>
      <c r="G55" s="50">
        <v>6224929380.3400002</v>
      </c>
      <c r="H55" s="152">
        <f t="shared" si="4"/>
        <v>0.82014756672962941</v>
      </c>
      <c r="I55" s="50">
        <v>6224929380.3400002</v>
      </c>
      <c r="J55" s="152">
        <f t="shared" si="5"/>
        <v>0.82014756672962941</v>
      </c>
      <c r="K55" s="50">
        <v>753311780.99000001</v>
      </c>
      <c r="L55" s="152">
        <f t="shared" si="6"/>
        <v>9.9250414971609982E-2</v>
      </c>
    </row>
    <row r="56" spans="1:12" hidden="1" x14ac:dyDescent="0.25">
      <c r="A56" s="44">
        <v>214793</v>
      </c>
      <c r="B56" s="44" t="s">
        <v>69</v>
      </c>
      <c r="C56" s="50">
        <v>895550765</v>
      </c>
      <c r="D56" s="50">
        <v>0</v>
      </c>
      <c r="E56" s="50">
        <v>66661105.240000002</v>
      </c>
      <c r="F56" s="50">
        <v>0</v>
      </c>
      <c r="G56" s="50">
        <v>761420675.55999994</v>
      </c>
      <c r="H56" s="152">
        <f t="shared" si="4"/>
        <v>0.85022614609681002</v>
      </c>
      <c r="I56" s="50">
        <v>761420675.55999994</v>
      </c>
      <c r="J56" s="152">
        <f t="shared" si="5"/>
        <v>0.85022614609681002</v>
      </c>
      <c r="K56" s="50">
        <v>67468984.200000003</v>
      </c>
      <c r="L56" s="152">
        <f t="shared" si="6"/>
        <v>7.533797841153092E-2</v>
      </c>
    </row>
    <row r="57" spans="1:12" hidden="1" x14ac:dyDescent="0.25">
      <c r="A57" s="44">
        <v>214794</v>
      </c>
      <c r="B57" s="44" t="s">
        <v>69</v>
      </c>
      <c r="C57" s="50">
        <v>12811668105</v>
      </c>
      <c r="D57" s="50">
        <v>0</v>
      </c>
      <c r="E57" s="50">
        <v>1060844593.9400001</v>
      </c>
      <c r="F57" s="50">
        <v>0</v>
      </c>
      <c r="G57" s="50">
        <v>10395424083.360001</v>
      </c>
      <c r="H57" s="152">
        <f t="shared" si="4"/>
        <v>0.81140285544104807</v>
      </c>
      <c r="I57" s="50">
        <v>10395424083.360001</v>
      </c>
      <c r="J57" s="152">
        <f t="shared" si="5"/>
        <v>0.81140285544104807</v>
      </c>
      <c r="K57" s="50">
        <v>1355399427.7</v>
      </c>
      <c r="L57" s="152">
        <f t="shared" si="6"/>
        <v>0.10579414144915519</v>
      </c>
    </row>
    <row r="58" spans="1:12" x14ac:dyDescent="0.25">
      <c r="A58" s="357"/>
      <c r="B58" s="357"/>
      <c r="C58" s="154"/>
      <c r="D58" s="154"/>
      <c r="E58" s="154"/>
      <c r="F58" s="154"/>
      <c r="G58" s="154"/>
      <c r="H58" s="444"/>
      <c r="I58" s="154"/>
      <c r="J58" s="444"/>
      <c r="K58" s="154"/>
      <c r="L58" s="444"/>
    </row>
    <row r="59" spans="1:12" x14ac:dyDescent="0.25">
      <c r="A59" s="627">
        <v>44174</v>
      </c>
      <c r="B59" s="627"/>
      <c r="C59" s="627"/>
      <c r="D59" s="627"/>
      <c r="E59" s="627"/>
      <c r="F59" s="627"/>
      <c r="G59" s="627"/>
      <c r="H59" s="627"/>
      <c r="I59" s="627"/>
      <c r="J59" s="627"/>
      <c r="K59" s="627"/>
      <c r="L59" s="627"/>
    </row>
    <row r="60" spans="1:12" x14ac:dyDescent="0.25">
      <c r="A60" s="144" t="s">
        <v>52</v>
      </c>
      <c r="B60" s="144" t="s">
        <v>55</v>
      </c>
      <c r="C60" s="144" t="s">
        <v>57</v>
      </c>
      <c r="D60" s="144" t="s">
        <v>59</v>
      </c>
      <c r="E60" s="144" t="s">
        <v>60</v>
      </c>
      <c r="F60" s="144" t="s">
        <v>61</v>
      </c>
      <c r="G60" s="144" t="s">
        <v>12</v>
      </c>
      <c r="H60" s="144" t="s">
        <v>62</v>
      </c>
      <c r="I60" s="144" t="s">
        <v>63</v>
      </c>
      <c r="J60" s="144" t="s">
        <v>64</v>
      </c>
      <c r="K60" s="144" t="s">
        <v>65</v>
      </c>
      <c r="L60" s="144" t="s">
        <v>66</v>
      </c>
    </row>
    <row r="61" spans="1:12" x14ac:dyDescent="0.25">
      <c r="A61" s="181" t="s">
        <v>68</v>
      </c>
      <c r="B61" s="181" t="s">
        <v>69</v>
      </c>
      <c r="C61" s="182">
        <v>148398411720</v>
      </c>
      <c r="D61" s="182">
        <v>72824314.209999993</v>
      </c>
      <c r="E61" s="182">
        <v>10858472133.02</v>
      </c>
      <c r="F61" s="182">
        <v>1206630420.72</v>
      </c>
      <c r="G61" s="182">
        <v>123272563299.2</v>
      </c>
      <c r="H61" s="184">
        <f t="shared" ref="H61:H75" si="7">+G61/C61</f>
        <v>0.83068654084918525</v>
      </c>
      <c r="I61" s="182">
        <v>120736222316.41</v>
      </c>
      <c r="J61" s="184">
        <f t="shared" ref="J61:J75" si="8">+I61/C61</f>
        <v>0.81359511141006435</v>
      </c>
      <c r="K61" s="182">
        <v>12987921552.85</v>
      </c>
      <c r="L61" s="184">
        <f t="shared" ref="L61:L75" si="9">+K61/C61</f>
        <v>8.7520623720392474E-2</v>
      </c>
    </row>
    <row r="62" spans="1:12" hidden="1" x14ac:dyDescent="0.25">
      <c r="A62" s="44">
        <v>214786</v>
      </c>
      <c r="B62" s="44" t="s">
        <v>69</v>
      </c>
      <c r="C62" s="50">
        <v>2081037982</v>
      </c>
      <c r="D62" s="50">
        <v>0</v>
      </c>
      <c r="E62" s="50">
        <v>128091476.11</v>
      </c>
      <c r="F62" s="50">
        <v>2397888.73</v>
      </c>
      <c r="G62" s="50">
        <v>1688236460.4100001</v>
      </c>
      <c r="H62" s="152">
        <f t="shared" si="7"/>
        <v>0.81124730783986243</v>
      </c>
      <c r="I62" s="50">
        <v>1678888466.3599999</v>
      </c>
      <c r="J62" s="152">
        <f t="shared" si="8"/>
        <v>0.80675532156625474</v>
      </c>
      <c r="K62" s="50">
        <v>262312156.75</v>
      </c>
      <c r="L62" s="152">
        <f t="shared" si="9"/>
        <v>0.12604871175772706</v>
      </c>
    </row>
    <row r="63" spans="1:12" hidden="1" x14ac:dyDescent="0.25">
      <c r="A63" s="44">
        <v>214787</v>
      </c>
      <c r="B63" s="44" t="s">
        <v>69</v>
      </c>
      <c r="C63" s="50">
        <v>3467509456</v>
      </c>
      <c r="D63" s="50">
        <v>6700000</v>
      </c>
      <c r="E63" s="50">
        <v>201035660.08000001</v>
      </c>
      <c r="F63" s="50">
        <v>8508983.1500000004</v>
      </c>
      <c r="G63" s="50">
        <v>3003519758.75</v>
      </c>
      <c r="H63" s="152">
        <f t="shared" si="7"/>
        <v>0.86618934911709144</v>
      </c>
      <c r="I63" s="50">
        <v>2938080297.25</v>
      </c>
      <c r="J63" s="152">
        <f t="shared" si="8"/>
        <v>0.84731716943586033</v>
      </c>
      <c r="K63" s="50">
        <v>247745054.02000001</v>
      </c>
      <c r="L63" s="152">
        <f t="shared" si="9"/>
        <v>7.1447549650171749E-2</v>
      </c>
    </row>
    <row r="64" spans="1:12" hidden="1" x14ac:dyDescent="0.25">
      <c r="A64" s="44">
        <v>214788</v>
      </c>
      <c r="B64" s="44" t="s">
        <v>69</v>
      </c>
      <c r="C64" s="50">
        <v>2849531919</v>
      </c>
      <c r="D64" s="50">
        <v>166700</v>
      </c>
      <c r="E64" s="50">
        <v>223553958.22999999</v>
      </c>
      <c r="F64" s="50">
        <v>88222714.870000005</v>
      </c>
      <c r="G64" s="50">
        <v>2134697191.52</v>
      </c>
      <c r="H64" s="152">
        <f t="shared" si="7"/>
        <v>0.74913959632680294</v>
      </c>
      <c r="I64" s="50">
        <v>1956602242.8800001</v>
      </c>
      <c r="J64" s="152">
        <f t="shared" si="8"/>
        <v>0.68663987577533081</v>
      </c>
      <c r="K64" s="50">
        <v>402891354.38</v>
      </c>
      <c r="L64" s="152">
        <f t="shared" si="9"/>
        <v>0.14138860901806941</v>
      </c>
    </row>
    <row r="65" spans="1:12" hidden="1" x14ac:dyDescent="0.25">
      <c r="A65" s="44">
        <v>214789</v>
      </c>
      <c r="B65" s="44" t="s">
        <v>69</v>
      </c>
      <c r="C65" s="50">
        <v>75755327546</v>
      </c>
      <c r="D65" s="50">
        <v>24047292.949999999</v>
      </c>
      <c r="E65" s="50">
        <v>5429195858.71</v>
      </c>
      <c r="F65" s="50">
        <v>1045591439.08</v>
      </c>
      <c r="G65" s="50">
        <v>64354118020.220001</v>
      </c>
      <c r="H65" s="152">
        <f t="shared" si="7"/>
        <v>0.84949956794976589</v>
      </c>
      <c r="I65" s="50">
        <v>63110214671.120003</v>
      </c>
      <c r="J65" s="152">
        <f t="shared" si="8"/>
        <v>0.83307955645493503</v>
      </c>
      <c r="K65" s="50">
        <v>4902374935.04</v>
      </c>
      <c r="L65" s="152">
        <f t="shared" si="9"/>
        <v>6.4713269598935988E-2</v>
      </c>
    </row>
    <row r="66" spans="1:12" hidden="1" x14ac:dyDescent="0.25">
      <c r="A66" s="44">
        <v>2147891</v>
      </c>
      <c r="B66" s="44" t="s">
        <v>69</v>
      </c>
      <c r="C66" s="50">
        <v>27746347895</v>
      </c>
      <c r="D66" s="50">
        <v>41834287.380000003</v>
      </c>
      <c r="E66" s="50">
        <v>1816708047.8499999</v>
      </c>
      <c r="F66" s="50">
        <v>50076497.329999998</v>
      </c>
      <c r="G66" s="50">
        <v>21904706412.34</v>
      </c>
      <c r="H66" s="152">
        <f t="shared" si="7"/>
        <v>0.78946268875578085</v>
      </c>
      <c r="I66" s="50">
        <v>21082251329.82</v>
      </c>
      <c r="J66" s="152">
        <f t="shared" si="8"/>
        <v>0.75982076666814602</v>
      </c>
      <c r="K66" s="50">
        <v>3933022650.0999999</v>
      </c>
      <c r="L66" s="152">
        <f t="shared" si="9"/>
        <v>0.14174920119158263</v>
      </c>
    </row>
    <row r="67" spans="1:12" hidden="1" x14ac:dyDescent="0.25">
      <c r="A67" s="44">
        <v>2147892</v>
      </c>
      <c r="B67" s="44" t="s">
        <v>69</v>
      </c>
      <c r="C67" s="50">
        <v>2105742147</v>
      </c>
      <c r="D67" s="50">
        <v>32910</v>
      </c>
      <c r="E67" s="50">
        <v>131240315.42</v>
      </c>
      <c r="F67" s="50">
        <v>2875442.67</v>
      </c>
      <c r="G67" s="50">
        <v>1711079957.3</v>
      </c>
      <c r="H67" s="152">
        <f t="shared" si="7"/>
        <v>0.81257810208991366</v>
      </c>
      <c r="I67" s="50">
        <v>1636352718.5999999</v>
      </c>
      <c r="J67" s="152">
        <f t="shared" si="8"/>
        <v>0.77709073778632964</v>
      </c>
      <c r="K67" s="50">
        <v>260513521.61000001</v>
      </c>
      <c r="L67" s="152">
        <f t="shared" si="9"/>
        <v>0.12371577497327835</v>
      </c>
    </row>
    <row r="68" spans="1:12" hidden="1" x14ac:dyDescent="0.25">
      <c r="A68" s="44">
        <v>2147893</v>
      </c>
      <c r="B68" s="44" t="s">
        <v>69</v>
      </c>
      <c r="C68" s="50">
        <v>1449674150</v>
      </c>
      <c r="D68" s="50">
        <v>18223.88</v>
      </c>
      <c r="E68" s="50">
        <v>103032765.79000001</v>
      </c>
      <c r="F68" s="50">
        <v>348645</v>
      </c>
      <c r="G68" s="50">
        <v>1186648876.1700001</v>
      </c>
      <c r="H68" s="152">
        <f t="shared" si="7"/>
        <v>0.81856248603867299</v>
      </c>
      <c r="I68" s="50">
        <v>1173729200.1099999</v>
      </c>
      <c r="J68" s="152">
        <f t="shared" si="8"/>
        <v>0.80965036184855743</v>
      </c>
      <c r="K68" s="50">
        <v>159625639.16</v>
      </c>
      <c r="L68" s="152">
        <f t="shared" si="9"/>
        <v>0.11011139238428166</v>
      </c>
    </row>
    <row r="69" spans="1:12" hidden="1" x14ac:dyDescent="0.25">
      <c r="A69" s="44">
        <v>2147894</v>
      </c>
      <c r="B69" s="44" t="s">
        <v>69</v>
      </c>
      <c r="C69" s="50">
        <v>2262440561</v>
      </c>
      <c r="D69" s="50">
        <v>0</v>
      </c>
      <c r="E69" s="50">
        <v>161303570.22</v>
      </c>
      <c r="F69" s="50">
        <v>300321</v>
      </c>
      <c r="G69" s="50">
        <v>1855657097.5599999</v>
      </c>
      <c r="H69" s="152">
        <f t="shared" si="7"/>
        <v>0.82020148044897079</v>
      </c>
      <c r="I69" s="50">
        <v>1832567637.9000001</v>
      </c>
      <c r="J69" s="152">
        <f t="shared" si="8"/>
        <v>0.80999592629739814</v>
      </c>
      <c r="K69" s="50">
        <v>245179572.22</v>
      </c>
      <c r="L69" s="152">
        <f t="shared" si="9"/>
        <v>0.1083695087713732</v>
      </c>
    </row>
    <row r="70" spans="1:12" hidden="1" x14ac:dyDescent="0.25">
      <c r="A70" s="44">
        <v>2147895</v>
      </c>
      <c r="B70" s="44" t="s">
        <v>69</v>
      </c>
      <c r="C70" s="50">
        <v>1156686277</v>
      </c>
      <c r="D70" s="50">
        <v>0</v>
      </c>
      <c r="E70" s="50">
        <v>86114890.659999996</v>
      </c>
      <c r="F70" s="50">
        <v>0</v>
      </c>
      <c r="G70" s="50">
        <v>955193349.60000002</v>
      </c>
      <c r="H70" s="152">
        <f t="shared" si="7"/>
        <v>0.82580157523559872</v>
      </c>
      <c r="I70" s="50">
        <v>953648684.91999996</v>
      </c>
      <c r="J70" s="152">
        <f t="shared" si="8"/>
        <v>0.82446615290828762</v>
      </c>
      <c r="K70" s="50">
        <v>115378036.73999999</v>
      </c>
      <c r="L70" s="152">
        <f t="shared" si="9"/>
        <v>9.9748772881827832E-2</v>
      </c>
    </row>
    <row r="71" spans="1:12" hidden="1" x14ac:dyDescent="0.25">
      <c r="A71" s="44">
        <v>2147896</v>
      </c>
      <c r="B71" s="44" t="s">
        <v>69</v>
      </c>
      <c r="C71" s="50">
        <v>6961566789</v>
      </c>
      <c r="D71" s="50">
        <v>0</v>
      </c>
      <c r="E71" s="50">
        <v>1478572781.6099999</v>
      </c>
      <c r="F71" s="50">
        <v>0</v>
      </c>
      <c r="G71" s="50">
        <v>4753880187.75</v>
      </c>
      <c r="H71" s="152">
        <f t="shared" si="7"/>
        <v>0.68287503831201124</v>
      </c>
      <c r="I71" s="50">
        <v>4753579555.3800001</v>
      </c>
      <c r="J71" s="152">
        <f t="shared" si="8"/>
        <v>0.68283185372740385</v>
      </c>
      <c r="K71" s="50">
        <v>729113819.63999999</v>
      </c>
      <c r="L71" s="152">
        <f t="shared" si="9"/>
        <v>0.10473415564899495</v>
      </c>
    </row>
    <row r="72" spans="1:12" hidden="1" x14ac:dyDescent="0.25">
      <c r="A72" s="44">
        <v>214790</v>
      </c>
      <c r="B72" s="44" t="s">
        <v>69</v>
      </c>
      <c r="C72" s="50">
        <v>1265316729</v>
      </c>
      <c r="D72" s="50">
        <v>24900</v>
      </c>
      <c r="E72" s="50">
        <v>72082204.530000001</v>
      </c>
      <c r="F72" s="50">
        <v>8308488.8899999997</v>
      </c>
      <c r="G72" s="50">
        <v>1010336072.11</v>
      </c>
      <c r="H72" s="152">
        <f t="shared" si="7"/>
        <v>0.79848471845344582</v>
      </c>
      <c r="I72" s="50">
        <v>987284148.76999998</v>
      </c>
      <c r="J72" s="152">
        <f t="shared" si="8"/>
        <v>0.78026641562722909</v>
      </c>
      <c r="K72" s="50">
        <v>174565063.47</v>
      </c>
      <c r="L72" s="152">
        <f t="shared" si="9"/>
        <v>0.13796155497601106</v>
      </c>
    </row>
    <row r="73" spans="1:12" hidden="1" x14ac:dyDescent="0.25">
      <c r="A73" s="44">
        <v>214791</v>
      </c>
      <c r="B73" s="44" t="s">
        <v>69</v>
      </c>
      <c r="C73" s="50">
        <v>7590011399</v>
      </c>
      <c r="D73" s="50">
        <v>0</v>
      </c>
      <c r="E73" s="50">
        <v>356441516.10000002</v>
      </c>
      <c r="F73" s="50">
        <v>0</v>
      </c>
      <c r="G73" s="50">
        <v>6698845831.3299999</v>
      </c>
      <c r="H73" s="152">
        <f t="shared" si="7"/>
        <v>0.88258705806589266</v>
      </c>
      <c r="I73" s="50">
        <v>6687008487.8900003</v>
      </c>
      <c r="J73" s="152">
        <f t="shared" si="8"/>
        <v>0.88102746311698921</v>
      </c>
      <c r="K73" s="50">
        <v>534724051.56999999</v>
      </c>
      <c r="L73" s="152">
        <f t="shared" si="9"/>
        <v>7.0451020882584051E-2</v>
      </c>
    </row>
    <row r="74" spans="1:12" hidden="1" x14ac:dyDescent="0.25">
      <c r="A74" s="44">
        <v>214793</v>
      </c>
      <c r="B74" s="44" t="s">
        <v>69</v>
      </c>
      <c r="C74" s="50">
        <v>895550765</v>
      </c>
      <c r="D74" s="50">
        <v>0</v>
      </c>
      <c r="E74" s="50">
        <v>38552473.200000003</v>
      </c>
      <c r="F74" s="50">
        <v>0</v>
      </c>
      <c r="G74" s="50">
        <v>817707079.33000004</v>
      </c>
      <c r="H74" s="152">
        <f t="shared" si="7"/>
        <v>0.91307730537196297</v>
      </c>
      <c r="I74" s="50">
        <v>817707079.33000004</v>
      </c>
      <c r="J74" s="152">
        <f t="shared" si="8"/>
        <v>0.91307730537196297</v>
      </c>
      <c r="K74" s="50">
        <v>39291212.469999999</v>
      </c>
      <c r="L74" s="152">
        <f t="shared" si="9"/>
        <v>4.3873797003567964E-2</v>
      </c>
    </row>
    <row r="75" spans="1:12" hidden="1" x14ac:dyDescent="0.25">
      <c r="A75" s="44">
        <v>214794</v>
      </c>
      <c r="B75" s="44" t="s">
        <v>69</v>
      </c>
      <c r="C75" s="50">
        <v>12811668105</v>
      </c>
      <c r="D75" s="50">
        <v>0</v>
      </c>
      <c r="E75" s="50">
        <v>632546614.50999999</v>
      </c>
      <c r="F75" s="50">
        <v>0</v>
      </c>
      <c r="G75" s="50">
        <v>11197937004.809999</v>
      </c>
      <c r="H75" s="152">
        <f t="shared" si="7"/>
        <v>0.87404207734977069</v>
      </c>
      <c r="I75" s="50">
        <v>11128307796.08</v>
      </c>
      <c r="J75" s="152">
        <f t="shared" si="8"/>
        <v>0.8686072496474494</v>
      </c>
      <c r="K75" s="50">
        <v>981184485.67999995</v>
      </c>
      <c r="L75" s="152">
        <f t="shared" si="9"/>
        <v>7.6585225096260007E-2</v>
      </c>
    </row>
    <row r="76" spans="1:12" x14ac:dyDescent="0.25">
      <c r="A76" s="143"/>
      <c r="B76" s="143"/>
      <c r="C76" s="257"/>
      <c r="D76" s="257"/>
      <c r="E76" s="257"/>
      <c r="F76" s="257"/>
      <c r="G76" s="257"/>
      <c r="H76" s="444"/>
      <c r="I76" s="257"/>
      <c r="J76" s="444"/>
      <c r="K76" s="257"/>
      <c r="L76" s="444"/>
    </row>
    <row r="77" spans="1:12" x14ac:dyDescent="0.25">
      <c r="A77" s="626">
        <v>44193</v>
      </c>
      <c r="B77" s="626"/>
      <c r="C77" s="626"/>
      <c r="D77" s="626"/>
      <c r="E77" s="626"/>
      <c r="F77" s="626"/>
      <c r="G77" s="626"/>
      <c r="H77" s="626"/>
      <c r="I77" s="626"/>
      <c r="J77" s="626"/>
      <c r="K77" s="626"/>
      <c r="L77" s="626"/>
    </row>
    <row r="78" spans="1:12" x14ac:dyDescent="0.25">
      <c r="A78" s="144" t="s">
        <v>52</v>
      </c>
      <c r="B78" s="144" t="s">
        <v>55</v>
      </c>
      <c r="C78" s="144" t="s">
        <v>57</v>
      </c>
      <c r="D78" s="144" t="s">
        <v>59</v>
      </c>
      <c r="E78" s="144" t="s">
        <v>60</v>
      </c>
      <c r="F78" s="144" t="s">
        <v>61</v>
      </c>
      <c r="G78" s="144" t="s">
        <v>12</v>
      </c>
      <c r="H78" s="144" t="s">
        <v>62</v>
      </c>
      <c r="I78" s="144" t="s">
        <v>63</v>
      </c>
      <c r="J78" s="459" t="s">
        <v>64</v>
      </c>
      <c r="K78" s="144" t="s">
        <v>65</v>
      </c>
      <c r="L78" s="144" t="s">
        <v>9</v>
      </c>
    </row>
    <row r="79" spans="1:12" x14ac:dyDescent="0.25">
      <c r="A79" s="181" t="s">
        <v>68</v>
      </c>
      <c r="B79" s="181" t="s">
        <v>69</v>
      </c>
      <c r="C79" s="182">
        <v>148398411720</v>
      </c>
      <c r="D79" s="182">
        <v>0</v>
      </c>
      <c r="E79" s="391">
        <v>3362222046.2199998</v>
      </c>
      <c r="F79" s="182">
        <v>204424913.50999999</v>
      </c>
      <c r="G79" s="391">
        <v>136236272923.25999</v>
      </c>
      <c r="H79" s="184">
        <f t="shared" ref="H79:H93" si="10">+G79/C79</f>
        <v>0.91804400966441824</v>
      </c>
      <c r="I79" s="391">
        <v>132393759306.75999</v>
      </c>
      <c r="J79" s="184">
        <f t="shared" ref="J79:J93" si="11">+I79/C79</f>
        <v>0.89215078363885869</v>
      </c>
      <c r="K79" s="391">
        <v>8595491837.0100002</v>
      </c>
      <c r="L79" s="184">
        <f t="shared" ref="L79:L93" si="12">+K79/C79</f>
        <v>5.7921723941547855E-2</v>
      </c>
    </row>
    <row r="80" spans="1:12" hidden="1" x14ac:dyDescent="0.25">
      <c r="A80" s="44" t="s">
        <v>696</v>
      </c>
      <c r="B80" s="44" t="s">
        <v>69</v>
      </c>
      <c r="C80" s="50">
        <v>2081037982</v>
      </c>
      <c r="D80" s="50">
        <v>0</v>
      </c>
      <c r="E80" s="50">
        <v>2427255.7000000002</v>
      </c>
      <c r="F80" s="50">
        <v>0</v>
      </c>
      <c r="G80" s="50">
        <v>1801767290.04</v>
      </c>
      <c r="H80" s="152">
        <f t="shared" si="10"/>
        <v>0.86580221294586635</v>
      </c>
      <c r="I80" s="50">
        <v>1794948751.1099999</v>
      </c>
      <c r="J80" s="152">
        <f t="shared" si="11"/>
        <v>0.86252570430499709</v>
      </c>
      <c r="K80" s="50">
        <v>276843436.25999999</v>
      </c>
      <c r="L80" s="152">
        <f t="shared" si="12"/>
        <v>0.13303141925066508</v>
      </c>
    </row>
    <row r="81" spans="1:12" hidden="1" x14ac:dyDescent="0.25">
      <c r="A81" s="44" t="s">
        <v>704</v>
      </c>
      <c r="B81" s="44" t="s">
        <v>69</v>
      </c>
      <c r="C81" s="50">
        <v>3467509456</v>
      </c>
      <c r="D81" s="50">
        <v>0</v>
      </c>
      <c r="E81" s="50">
        <v>26742682.59</v>
      </c>
      <c r="F81" s="50">
        <v>0</v>
      </c>
      <c r="G81" s="50">
        <v>3222776445.5100002</v>
      </c>
      <c r="H81" s="152">
        <f t="shared" si="10"/>
        <v>0.92942109788149929</v>
      </c>
      <c r="I81" s="50">
        <v>3195577623.3499999</v>
      </c>
      <c r="J81" s="152">
        <f t="shared" si="11"/>
        <v>0.92157719074724853</v>
      </c>
      <c r="K81" s="50">
        <v>217990327.90000001</v>
      </c>
      <c r="L81" s="152">
        <f t="shared" si="12"/>
        <v>6.2866541725733652E-2</v>
      </c>
    </row>
    <row r="82" spans="1:12" hidden="1" x14ac:dyDescent="0.25">
      <c r="A82" s="44" t="s">
        <v>706</v>
      </c>
      <c r="B82" s="44" t="s">
        <v>69</v>
      </c>
      <c r="C82" s="50">
        <v>2849531919</v>
      </c>
      <c r="D82" s="50">
        <v>0</v>
      </c>
      <c r="E82" s="50">
        <v>35732290.530000001</v>
      </c>
      <c r="F82" s="50">
        <v>0</v>
      </c>
      <c r="G82" s="50">
        <v>2376037696.3600001</v>
      </c>
      <c r="H82" s="152">
        <f t="shared" si="10"/>
        <v>0.83383438540103616</v>
      </c>
      <c r="I82" s="50">
        <v>2205919656.0300002</v>
      </c>
      <c r="J82" s="152">
        <f t="shared" si="11"/>
        <v>0.77413403981245255</v>
      </c>
      <c r="K82" s="50">
        <v>437761932.11000001</v>
      </c>
      <c r="L82" s="152">
        <f t="shared" si="12"/>
        <v>0.15362590929096381</v>
      </c>
    </row>
    <row r="83" spans="1:12" hidden="1" x14ac:dyDescent="0.25">
      <c r="A83" s="44" t="s">
        <v>707</v>
      </c>
      <c r="B83" s="44" t="s">
        <v>69</v>
      </c>
      <c r="C83" s="50">
        <v>75755327546</v>
      </c>
      <c r="D83" s="50">
        <v>0</v>
      </c>
      <c r="E83" s="50">
        <v>2013049215.47</v>
      </c>
      <c r="F83" s="50">
        <v>72582002.989999995</v>
      </c>
      <c r="G83" s="50">
        <v>70178349092.539993</v>
      </c>
      <c r="H83" s="152">
        <f t="shared" si="10"/>
        <v>0.92638169968873063</v>
      </c>
      <c r="I83" s="50">
        <v>68787267859.300003</v>
      </c>
      <c r="J83" s="152">
        <f t="shared" si="11"/>
        <v>0.90801888246778595</v>
      </c>
      <c r="K83" s="50">
        <v>3491347235</v>
      </c>
      <c r="L83" s="152">
        <f t="shared" si="12"/>
        <v>4.6087151202402116E-2</v>
      </c>
    </row>
    <row r="84" spans="1:12" hidden="1" x14ac:dyDescent="0.25">
      <c r="A84" s="44" t="s">
        <v>711</v>
      </c>
      <c r="B84" s="44" t="s">
        <v>69</v>
      </c>
      <c r="C84" s="50">
        <v>27746347895</v>
      </c>
      <c r="D84" s="50">
        <v>0</v>
      </c>
      <c r="E84" s="50">
        <v>961715691.66999996</v>
      </c>
      <c r="F84" s="50">
        <v>115296406.95</v>
      </c>
      <c r="G84" s="50">
        <v>25178302583</v>
      </c>
      <c r="H84" s="152">
        <f t="shared" si="10"/>
        <v>0.90744564575784148</v>
      </c>
      <c r="I84" s="50">
        <v>23115080851.98</v>
      </c>
      <c r="J84" s="152">
        <f t="shared" si="11"/>
        <v>0.83308552676748593</v>
      </c>
      <c r="K84" s="50">
        <v>1491033213.3800001</v>
      </c>
      <c r="L84" s="152">
        <f t="shared" si="12"/>
        <v>5.3737998925930362E-2</v>
      </c>
    </row>
    <row r="85" spans="1:12" hidden="1" x14ac:dyDescent="0.25">
      <c r="A85" s="44" t="s">
        <v>712</v>
      </c>
      <c r="B85" s="44" t="s">
        <v>69</v>
      </c>
      <c r="C85" s="50">
        <v>2105742147</v>
      </c>
      <c r="D85" s="50">
        <v>0</v>
      </c>
      <c r="E85" s="50">
        <v>79477960</v>
      </c>
      <c r="F85" s="50">
        <v>13241831.99</v>
      </c>
      <c r="G85" s="50">
        <v>1872761221.3</v>
      </c>
      <c r="H85" s="152">
        <f t="shared" si="10"/>
        <v>0.88935923326038646</v>
      </c>
      <c r="I85" s="50">
        <v>1806116339.5</v>
      </c>
      <c r="J85" s="152">
        <f t="shared" si="11"/>
        <v>0.85771011520718732</v>
      </c>
      <c r="K85" s="50">
        <v>140261133.71000001</v>
      </c>
      <c r="L85" s="152">
        <f t="shared" si="12"/>
        <v>6.66088836706938E-2</v>
      </c>
    </row>
    <row r="86" spans="1:12" hidden="1" x14ac:dyDescent="0.25">
      <c r="A86" s="44" t="s">
        <v>713</v>
      </c>
      <c r="B86" s="44" t="s">
        <v>69</v>
      </c>
      <c r="C86" s="50">
        <v>1449674150</v>
      </c>
      <c r="D86" s="50">
        <v>0</v>
      </c>
      <c r="E86" s="50">
        <v>19439171.550000001</v>
      </c>
      <c r="F86" s="50">
        <v>3304671.58</v>
      </c>
      <c r="G86" s="50">
        <v>1309899475.5999999</v>
      </c>
      <c r="H86" s="152">
        <f t="shared" si="10"/>
        <v>0.9035820053768634</v>
      </c>
      <c r="I86" s="50">
        <v>1268666949.3099999</v>
      </c>
      <c r="J86" s="152">
        <f t="shared" si="11"/>
        <v>0.87513938860674312</v>
      </c>
      <c r="K86" s="50">
        <v>117030831.27</v>
      </c>
      <c r="L86" s="152">
        <f t="shared" si="12"/>
        <v>8.0729059885630158E-2</v>
      </c>
    </row>
    <row r="87" spans="1:12" hidden="1" x14ac:dyDescent="0.25">
      <c r="A87" s="44" t="s">
        <v>714</v>
      </c>
      <c r="B87" s="44" t="s">
        <v>69</v>
      </c>
      <c r="C87" s="50">
        <v>2262440561</v>
      </c>
      <c r="D87" s="50">
        <v>0</v>
      </c>
      <c r="E87" s="50">
        <v>85102080.409999996</v>
      </c>
      <c r="F87" s="50">
        <v>0</v>
      </c>
      <c r="G87" s="50">
        <v>2020725062.6600001</v>
      </c>
      <c r="H87" s="152">
        <f t="shared" si="10"/>
        <v>0.89316161383123294</v>
      </c>
      <c r="I87" s="50">
        <v>1981595107.48</v>
      </c>
      <c r="J87" s="152">
        <f t="shared" si="11"/>
        <v>0.87586615164118786</v>
      </c>
      <c r="K87" s="50">
        <v>156613417.93000001</v>
      </c>
      <c r="L87" s="152">
        <f t="shared" si="12"/>
        <v>6.9223218779624771E-2</v>
      </c>
    </row>
    <row r="88" spans="1:12" hidden="1" x14ac:dyDescent="0.25">
      <c r="A88" s="44" t="s">
        <v>715</v>
      </c>
      <c r="B88" s="44" t="s">
        <v>69</v>
      </c>
      <c r="C88" s="50">
        <v>1156686277</v>
      </c>
      <c r="D88" s="50">
        <v>0</v>
      </c>
      <c r="E88" s="50">
        <v>11556519.27</v>
      </c>
      <c r="F88" s="50">
        <v>0</v>
      </c>
      <c r="G88" s="50">
        <v>1032253158.23</v>
      </c>
      <c r="H88" s="152">
        <f t="shared" si="10"/>
        <v>0.89242275866475074</v>
      </c>
      <c r="I88" s="50">
        <v>1030772736.37</v>
      </c>
      <c r="J88" s="152">
        <f t="shared" si="11"/>
        <v>0.89114287673873738</v>
      </c>
      <c r="K88" s="50">
        <v>112876599.5</v>
      </c>
      <c r="L88" s="152">
        <f t="shared" si="12"/>
        <v>9.7586183690843598E-2</v>
      </c>
    </row>
    <row r="89" spans="1:12" hidden="1" x14ac:dyDescent="0.25">
      <c r="A89" s="44" t="s">
        <v>716</v>
      </c>
      <c r="B89" s="44" t="s">
        <v>69</v>
      </c>
      <c r="C89" s="50">
        <v>6961566789</v>
      </c>
      <c r="D89" s="50">
        <v>0</v>
      </c>
      <c r="E89" s="50">
        <v>120450727.34999999</v>
      </c>
      <c r="F89" s="50">
        <v>0</v>
      </c>
      <c r="G89" s="50">
        <v>5996105558.6899996</v>
      </c>
      <c r="H89" s="152">
        <f t="shared" si="10"/>
        <v>0.86131552571821479</v>
      </c>
      <c r="I89" s="50">
        <v>5995522806.6999998</v>
      </c>
      <c r="J89" s="152">
        <f t="shared" si="11"/>
        <v>0.86123181582823416</v>
      </c>
      <c r="K89" s="50">
        <v>845010502.96000004</v>
      </c>
      <c r="L89" s="152">
        <f t="shared" si="12"/>
        <v>0.12138223026103902</v>
      </c>
    </row>
    <row r="90" spans="1:12" hidden="1" x14ac:dyDescent="0.25">
      <c r="A90" s="44" t="s">
        <v>717</v>
      </c>
      <c r="B90" s="44" t="s">
        <v>69</v>
      </c>
      <c r="C90" s="50">
        <v>1265316729</v>
      </c>
      <c r="D90" s="50">
        <v>0</v>
      </c>
      <c r="E90" s="50">
        <v>5641651.6799999997</v>
      </c>
      <c r="F90" s="50">
        <v>0</v>
      </c>
      <c r="G90" s="50">
        <v>1095325392.8499999</v>
      </c>
      <c r="H90" s="152">
        <f t="shared" si="10"/>
        <v>0.8656531347022125</v>
      </c>
      <c r="I90" s="50">
        <v>1079989792.3599999</v>
      </c>
      <c r="J90" s="152">
        <f t="shared" si="11"/>
        <v>0.85353316494403186</v>
      </c>
      <c r="K90" s="50">
        <v>164349684.47</v>
      </c>
      <c r="L90" s="152">
        <f t="shared" si="12"/>
        <v>0.12988817795832683</v>
      </c>
    </row>
    <row r="91" spans="1:12" hidden="1" x14ac:dyDescent="0.25">
      <c r="A91" s="44" t="s">
        <v>719</v>
      </c>
      <c r="B91" s="44" t="s">
        <v>69</v>
      </c>
      <c r="C91" s="50">
        <v>7590011399</v>
      </c>
      <c r="D91" s="50">
        <v>0</v>
      </c>
      <c r="E91" s="50">
        <v>0</v>
      </c>
      <c r="F91" s="50">
        <v>0</v>
      </c>
      <c r="G91" s="50">
        <v>7223326505.6300001</v>
      </c>
      <c r="H91" s="152">
        <f t="shared" si="10"/>
        <v>0.95168849240222331</v>
      </c>
      <c r="I91" s="50">
        <v>7216068683.3100004</v>
      </c>
      <c r="J91" s="152">
        <f t="shared" si="11"/>
        <v>0.95073225901356784</v>
      </c>
      <c r="K91" s="50">
        <v>366684893.37</v>
      </c>
      <c r="L91" s="152">
        <f t="shared" si="12"/>
        <v>4.8311507597776665E-2</v>
      </c>
    </row>
    <row r="92" spans="1:12" hidden="1" x14ac:dyDescent="0.25">
      <c r="A92" s="44" t="s">
        <v>720</v>
      </c>
      <c r="B92" s="44" t="s">
        <v>69</v>
      </c>
      <c r="C92" s="50">
        <v>895550765</v>
      </c>
      <c r="D92" s="50">
        <v>0</v>
      </c>
      <c r="E92" s="50">
        <v>0</v>
      </c>
      <c r="F92" s="50">
        <v>0</v>
      </c>
      <c r="G92" s="50">
        <v>882074571.79999995</v>
      </c>
      <c r="H92" s="152">
        <f t="shared" si="10"/>
        <v>0.98495206109281808</v>
      </c>
      <c r="I92" s="50">
        <v>881194665.85000002</v>
      </c>
      <c r="J92" s="152">
        <f t="shared" si="11"/>
        <v>0.98396953058266889</v>
      </c>
      <c r="K92" s="50">
        <v>13476193.199999999</v>
      </c>
      <c r="L92" s="152">
        <f t="shared" si="12"/>
        <v>1.5047938907181884E-2</v>
      </c>
    </row>
    <row r="93" spans="1:12" hidden="1" x14ac:dyDescent="0.25">
      <c r="A93" s="44" t="s">
        <v>721</v>
      </c>
      <c r="B93" s="44" t="s">
        <v>69</v>
      </c>
      <c r="C93" s="50">
        <v>12811668105</v>
      </c>
      <c r="D93" s="50">
        <v>0</v>
      </c>
      <c r="E93" s="50">
        <v>886800</v>
      </c>
      <c r="F93" s="50">
        <v>0</v>
      </c>
      <c r="G93" s="50">
        <v>12046568869.049999</v>
      </c>
      <c r="H93" s="152">
        <f t="shared" si="10"/>
        <v>0.94028106022732461</v>
      </c>
      <c r="I93" s="50">
        <v>12035037484.110001</v>
      </c>
      <c r="J93" s="152">
        <f t="shared" si="11"/>
        <v>0.93938099125539287</v>
      </c>
      <c r="K93" s="50">
        <v>764212435.95000005</v>
      </c>
      <c r="L93" s="152">
        <f t="shared" si="12"/>
        <v>5.9649721619915476E-2</v>
      </c>
    </row>
    <row r="96" spans="1:12" x14ac:dyDescent="0.25">
      <c r="A96" s="626">
        <v>44196</v>
      </c>
      <c r="B96" s="626"/>
      <c r="C96" s="626"/>
      <c r="D96" s="626"/>
      <c r="E96" s="626"/>
      <c r="F96" s="626"/>
      <c r="G96" s="626"/>
      <c r="H96" s="626"/>
      <c r="I96" s="626"/>
      <c r="J96" s="626"/>
      <c r="K96" s="626"/>
      <c r="L96" s="626"/>
    </row>
    <row r="97" spans="1:12" x14ac:dyDescent="0.25">
      <c r="A97" s="144" t="s">
        <v>52</v>
      </c>
      <c r="B97" s="144" t="s">
        <v>55</v>
      </c>
      <c r="C97" s="144" t="s">
        <v>57</v>
      </c>
      <c r="D97" s="144" t="s">
        <v>59</v>
      </c>
      <c r="E97" s="144" t="s">
        <v>60</v>
      </c>
      <c r="F97" s="144" t="s">
        <v>61</v>
      </c>
      <c r="G97" s="144" t="s">
        <v>12</v>
      </c>
      <c r="H97" s="144" t="s">
        <v>62</v>
      </c>
      <c r="I97" s="144" t="s">
        <v>63</v>
      </c>
      <c r="J97" s="144" t="s">
        <v>64</v>
      </c>
      <c r="K97" s="144" t="s">
        <v>65</v>
      </c>
      <c r="L97" s="144" t="s">
        <v>66</v>
      </c>
    </row>
    <row r="98" spans="1:12" x14ac:dyDescent="0.25">
      <c r="A98" s="181" t="s">
        <v>68</v>
      </c>
      <c r="B98" s="181" t="s">
        <v>69</v>
      </c>
      <c r="C98" s="182">
        <v>148398411720</v>
      </c>
      <c r="D98" s="182">
        <v>0</v>
      </c>
      <c r="E98" s="391">
        <v>2231171633.8499999</v>
      </c>
      <c r="F98" s="182">
        <v>0</v>
      </c>
      <c r="G98" s="391">
        <v>136630086152.53</v>
      </c>
      <c r="H98" s="184">
        <f t="shared" ref="H98:H112" si="13">+G98/C98</f>
        <v>0.92069776602680475</v>
      </c>
      <c r="I98" s="391">
        <v>132483980382.73</v>
      </c>
      <c r="J98" s="184">
        <f t="shared" ref="J98:J112" si="14">+I98/C98</f>
        <v>0.89275874887867701</v>
      </c>
      <c r="K98" s="391">
        <v>9537153933.6200008</v>
      </c>
      <c r="L98" s="184">
        <f t="shared" ref="L98:L112" si="15">+K98/C98</f>
        <v>6.4267223773356974E-2</v>
      </c>
    </row>
    <row r="99" spans="1:12" hidden="1" x14ac:dyDescent="0.25">
      <c r="A99" s="49">
        <v>214786</v>
      </c>
      <c r="B99" s="49" t="s">
        <v>69</v>
      </c>
      <c r="C99" s="50">
        <v>2081037982</v>
      </c>
      <c r="D99" s="50">
        <v>0</v>
      </c>
      <c r="E99" s="50">
        <v>2427295.7400000002</v>
      </c>
      <c r="F99" s="50">
        <v>0</v>
      </c>
      <c r="G99" s="50">
        <v>1801767250</v>
      </c>
      <c r="H99" s="152">
        <f t="shared" si="13"/>
        <v>0.86580219370546785</v>
      </c>
      <c r="I99" s="50">
        <v>1796467439.1099999</v>
      </c>
      <c r="J99" s="152">
        <f t="shared" si="14"/>
        <v>0.8632554785874158</v>
      </c>
      <c r="K99" s="50">
        <v>276843436.25999999</v>
      </c>
      <c r="L99" s="152">
        <f t="shared" si="15"/>
        <v>0.13303141925066508</v>
      </c>
    </row>
    <row r="100" spans="1:12" hidden="1" x14ac:dyDescent="0.25">
      <c r="A100" s="49">
        <v>214787</v>
      </c>
      <c r="B100" s="49" t="s">
        <v>69</v>
      </c>
      <c r="C100" s="50">
        <v>3467509456</v>
      </c>
      <c r="D100" s="50">
        <v>0</v>
      </c>
      <c r="E100" s="50">
        <v>26742682.59</v>
      </c>
      <c r="F100" s="50">
        <v>0</v>
      </c>
      <c r="G100" s="50">
        <v>3222776445.5100002</v>
      </c>
      <c r="H100" s="152">
        <f t="shared" si="13"/>
        <v>0.92942109788149929</v>
      </c>
      <c r="I100" s="50">
        <v>3198209481.3499999</v>
      </c>
      <c r="J100" s="152">
        <f t="shared" si="14"/>
        <v>0.92233619603141459</v>
      </c>
      <c r="K100" s="50">
        <v>217990327.90000001</v>
      </c>
      <c r="L100" s="152">
        <f t="shared" si="15"/>
        <v>6.2866541725733652E-2</v>
      </c>
    </row>
    <row r="101" spans="1:12" hidden="1" x14ac:dyDescent="0.25">
      <c r="A101" s="49">
        <v>214788</v>
      </c>
      <c r="B101" s="49" t="s">
        <v>69</v>
      </c>
      <c r="C101" s="50">
        <v>2849531919</v>
      </c>
      <c r="D101" s="50">
        <v>0</v>
      </c>
      <c r="E101" s="50">
        <v>35732290.530000001</v>
      </c>
      <c r="F101" s="50">
        <v>0</v>
      </c>
      <c r="G101" s="50">
        <v>2376037696.3600001</v>
      </c>
      <c r="H101" s="152">
        <f t="shared" si="13"/>
        <v>0.83383438540103616</v>
      </c>
      <c r="I101" s="50">
        <v>2207078233.6900001</v>
      </c>
      <c r="J101" s="152">
        <f t="shared" si="14"/>
        <v>0.77454062506677968</v>
      </c>
      <c r="K101" s="50">
        <v>437761932.11000001</v>
      </c>
      <c r="L101" s="152">
        <f t="shared" si="15"/>
        <v>0.15362590929096381</v>
      </c>
    </row>
    <row r="102" spans="1:12" hidden="1" x14ac:dyDescent="0.25">
      <c r="A102" s="49">
        <v>214789</v>
      </c>
      <c r="B102" s="49" t="s">
        <v>69</v>
      </c>
      <c r="C102" s="50">
        <v>75755327546</v>
      </c>
      <c r="D102" s="50">
        <v>0</v>
      </c>
      <c r="E102" s="50">
        <v>1104426827.1500001</v>
      </c>
      <c r="F102" s="50">
        <v>0</v>
      </c>
      <c r="G102" s="50">
        <v>70227882288.429993</v>
      </c>
      <c r="H102" s="152">
        <f t="shared" si="13"/>
        <v>0.92703555727861331</v>
      </c>
      <c r="I102" s="50">
        <v>68832925169.300003</v>
      </c>
      <c r="J102" s="152">
        <f t="shared" si="14"/>
        <v>0.90862157684558109</v>
      </c>
      <c r="K102" s="50">
        <v>4423018430.4200001</v>
      </c>
      <c r="L102" s="152">
        <f t="shared" si="15"/>
        <v>5.8385575954829891E-2</v>
      </c>
    </row>
    <row r="103" spans="1:12" hidden="1" x14ac:dyDescent="0.25">
      <c r="A103" s="49">
        <v>214789001</v>
      </c>
      <c r="B103" s="49" t="s">
        <v>69</v>
      </c>
      <c r="C103" s="50">
        <v>27746347895</v>
      </c>
      <c r="D103" s="50">
        <v>0</v>
      </c>
      <c r="E103" s="50">
        <v>764570619.33000004</v>
      </c>
      <c r="F103" s="50">
        <v>0</v>
      </c>
      <c r="G103" s="50">
        <v>25489145514.16</v>
      </c>
      <c r="H103" s="152">
        <f t="shared" si="13"/>
        <v>0.91864866722705674</v>
      </c>
      <c r="I103" s="50">
        <v>23127352992.98</v>
      </c>
      <c r="J103" s="152">
        <f t="shared" si="14"/>
        <v>0.833527824292423</v>
      </c>
      <c r="K103" s="50">
        <v>1492631761.51</v>
      </c>
      <c r="L103" s="152">
        <f t="shared" si="15"/>
        <v>5.3795611846234298E-2</v>
      </c>
    </row>
    <row r="104" spans="1:12" hidden="1" x14ac:dyDescent="0.25">
      <c r="A104" s="49">
        <v>214789002</v>
      </c>
      <c r="B104" s="49" t="s">
        <v>69</v>
      </c>
      <c r="C104" s="50">
        <v>2105742147</v>
      </c>
      <c r="D104" s="50">
        <v>0</v>
      </c>
      <c r="E104" s="50">
        <v>61768346.659999996</v>
      </c>
      <c r="F104" s="50">
        <v>0</v>
      </c>
      <c r="G104" s="50">
        <v>1894956303.8299999</v>
      </c>
      <c r="H104" s="152">
        <f t="shared" si="13"/>
        <v>0.89989949934264191</v>
      </c>
      <c r="I104" s="50">
        <v>1807286645.5</v>
      </c>
      <c r="J104" s="152">
        <f t="shared" si="14"/>
        <v>0.85826588410874416</v>
      </c>
      <c r="K104" s="50">
        <v>149017496.50999999</v>
      </c>
      <c r="L104" s="152">
        <f t="shared" si="15"/>
        <v>7.0767209899038022E-2</v>
      </c>
    </row>
    <row r="105" spans="1:12" hidden="1" x14ac:dyDescent="0.25">
      <c r="A105" s="49">
        <v>214789003</v>
      </c>
      <c r="B105" s="49" t="s">
        <v>69</v>
      </c>
      <c r="C105" s="50">
        <v>1449674150</v>
      </c>
      <c r="D105" s="50">
        <v>0</v>
      </c>
      <c r="E105" s="50">
        <v>19036695</v>
      </c>
      <c r="F105" s="50">
        <v>0</v>
      </c>
      <c r="G105" s="50">
        <v>1313606623.73</v>
      </c>
      <c r="H105" s="152">
        <f t="shared" si="13"/>
        <v>0.90613923393060436</v>
      </c>
      <c r="I105" s="50">
        <v>1269733326.3099999</v>
      </c>
      <c r="J105" s="152">
        <f t="shared" si="14"/>
        <v>0.8758749863270997</v>
      </c>
      <c r="K105" s="50">
        <v>117030831.27</v>
      </c>
      <c r="L105" s="152">
        <f t="shared" si="15"/>
        <v>8.0729059885630158E-2</v>
      </c>
    </row>
    <row r="106" spans="1:12" hidden="1" x14ac:dyDescent="0.25">
      <c r="A106" s="49">
        <v>214789004</v>
      </c>
      <c r="B106" s="49" t="s">
        <v>69</v>
      </c>
      <c r="C106" s="50">
        <v>2262440561</v>
      </c>
      <c r="D106" s="50">
        <v>0</v>
      </c>
      <c r="E106" s="50">
        <v>77931178.549999997</v>
      </c>
      <c r="F106" s="50">
        <v>0</v>
      </c>
      <c r="G106" s="50">
        <v>2027258265.1600001</v>
      </c>
      <c r="H106" s="152">
        <f t="shared" si="13"/>
        <v>0.89604929300947067</v>
      </c>
      <c r="I106" s="50">
        <v>1983384448.48</v>
      </c>
      <c r="J106" s="152">
        <f t="shared" si="14"/>
        <v>0.87665704136922962</v>
      </c>
      <c r="K106" s="50">
        <v>157251117.28999999</v>
      </c>
      <c r="L106" s="152">
        <f t="shared" si="15"/>
        <v>6.9505082255285816E-2</v>
      </c>
    </row>
    <row r="107" spans="1:12" hidden="1" x14ac:dyDescent="0.25">
      <c r="A107" s="49">
        <v>214789005</v>
      </c>
      <c r="B107" s="49" t="s">
        <v>69</v>
      </c>
      <c r="C107" s="50">
        <v>1156686277</v>
      </c>
      <c r="D107" s="50">
        <v>0</v>
      </c>
      <c r="E107" s="50">
        <v>11556519.27</v>
      </c>
      <c r="F107" s="50">
        <v>0</v>
      </c>
      <c r="G107" s="50">
        <v>1032253158.23</v>
      </c>
      <c r="H107" s="152">
        <f t="shared" si="13"/>
        <v>0.89242275866475074</v>
      </c>
      <c r="I107" s="50">
        <v>1031794408.37</v>
      </c>
      <c r="J107" s="152">
        <f t="shared" si="14"/>
        <v>0.89202615167708088</v>
      </c>
      <c r="K107" s="50">
        <v>112876599.5</v>
      </c>
      <c r="L107" s="152">
        <f t="shared" si="15"/>
        <v>9.7586183690843598E-2</v>
      </c>
    </row>
    <row r="108" spans="1:12" hidden="1" x14ac:dyDescent="0.25">
      <c r="A108" s="49">
        <v>214789006</v>
      </c>
      <c r="B108" s="49" t="s">
        <v>69</v>
      </c>
      <c r="C108" s="50">
        <v>6961566789</v>
      </c>
      <c r="D108" s="50">
        <v>0</v>
      </c>
      <c r="E108" s="50">
        <v>120450727.34999999</v>
      </c>
      <c r="F108" s="50">
        <v>0</v>
      </c>
      <c r="G108" s="50">
        <v>5996105558.6899996</v>
      </c>
      <c r="H108" s="152">
        <f t="shared" si="13"/>
        <v>0.86131552571821479</v>
      </c>
      <c r="I108" s="50">
        <v>5995783144.6999998</v>
      </c>
      <c r="J108" s="152">
        <f t="shared" si="14"/>
        <v>0.86126921229484732</v>
      </c>
      <c r="K108" s="50">
        <v>845010502.96000004</v>
      </c>
      <c r="L108" s="152">
        <f t="shared" si="15"/>
        <v>0.12138223026103902</v>
      </c>
    </row>
    <row r="109" spans="1:12" hidden="1" x14ac:dyDescent="0.25">
      <c r="A109" s="49">
        <v>214790</v>
      </c>
      <c r="B109" s="49" t="s">
        <v>69</v>
      </c>
      <c r="C109" s="50">
        <v>1265316729</v>
      </c>
      <c r="D109" s="50">
        <v>0</v>
      </c>
      <c r="E109" s="50">
        <v>5641651.6799999997</v>
      </c>
      <c r="F109" s="50">
        <v>0</v>
      </c>
      <c r="G109" s="50">
        <v>1095325472.8499999</v>
      </c>
      <c r="H109" s="152">
        <f t="shared" si="13"/>
        <v>0.86565319792748896</v>
      </c>
      <c r="I109" s="50">
        <v>1080993517.3599999</v>
      </c>
      <c r="J109" s="152">
        <f t="shared" si="14"/>
        <v>0.85432642482671217</v>
      </c>
      <c r="K109" s="50">
        <v>164349604.47</v>
      </c>
      <c r="L109" s="152">
        <f t="shared" si="15"/>
        <v>0.12988811473305037</v>
      </c>
    </row>
    <row r="110" spans="1:12" hidden="1" x14ac:dyDescent="0.25">
      <c r="A110" s="49">
        <v>214791</v>
      </c>
      <c r="B110" s="49" t="s">
        <v>69</v>
      </c>
      <c r="C110" s="50">
        <v>7590011399</v>
      </c>
      <c r="D110" s="50">
        <v>0</v>
      </c>
      <c r="E110" s="50">
        <v>0</v>
      </c>
      <c r="F110" s="50">
        <v>0</v>
      </c>
      <c r="G110" s="50">
        <v>7224328134.7299995</v>
      </c>
      <c r="H110" s="152">
        <f t="shared" si="13"/>
        <v>0.95182045914737623</v>
      </c>
      <c r="I110" s="50">
        <v>7224328134.7299995</v>
      </c>
      <c r="J110" s="152">
        <f t="shared" si="14"/>
        <v>0.95182045914737623</v>
      </c>
      <c r="K110" s="50">
        <v>365683264.26999998</v>
      </c>
      <c r="L110" s="152">
        <f t="shared" si="15"/>
        <v>4.8179540852623687E-2</v>
      </c>
    </row>
    <row r="111" spans="1:12" hidden="1" x14ac:dyDescent="0.25">
      <c r="A111" s="49">
        <v>214793</v>
      </c>
      <c r="B111" s="49" t="s">
        <v>69</v>
      </c>
      <c r="C111" s="50">
        <v>895550765</v>
      </c>
      <c r="D111" s="50">
        <v>0</v>
      </c>
      <c r="E111" s="50">
        <v>0</v>
      </c>
      <c r="F111" s="50">
        <v>0</v>
      </c>
      <c r="G111" s="50">
        <v>882074571.79999995</v>
      </c>
      <c r="H111" s="152">
        <f t="shared" si="13"/>
        <v>0.98495206109281808</v>
      </c>
      <c r="I111" s="50">
        <v>882074571.79999995</v>
      </c>
      <c r="J111" s="152">
        <f t="shared" si="14"/>
        <v>0.98495206109281808</v>
      </c>
      <c r="K111" s="50">
        <v>13476193.199999999</v>
      </c>
      <c r="L111" s="152">
        <f t="shared" si="15"/>
        <v>1.5047938907181884E-2</v>
      </c>
    </row>
    <row r="112" spans="1:12" hidden="1" x14ac:dyDescent="0.25">
      <c r="A112" s="49">
        <v>214794</v>
      </c>
      <c r="B112" s="49" t="s">
        <v>69</v>
      </c>
      <c r="C112" s="50">
        <v>12811668105</v>
      </c>
      <c r="D112" s="50">
        <v>0</v>
      </c>
      <c r="E112" s="50">
        <v>886800</v>
      </c>
      <c r="F112" s="50">
        <v>0</v>
      </c>
      <c r="G112" s="50">
        <v>12046568869.049999</v>
      </c>
      <c r="H112" s="152">
        <f t="shared" si="13"/>
        <v>0.94028106022732461</v>
      </c>
      <c r="I112" s="50">
        <v>12046568869.049999</v>
      </c>
      <c r="J112" s="152">
        <f t="shared" si="14"/>
        <v>0.94028106022732461</v>
      </c>
      <c r="K112" s="50">
        <v>764212435.95000005</v>
      </c>
      <c r="L112" s="152">
        <f t="shared" si="15"/>
        <v>5.9649721619915476E-2</v>
      </c>
    </row>
    <row r="114" spans="1:14" ht="15" customHeight="1" x14ac:dyDescent="0.25">
      <c r="A114" s="628" t="s">
        <v>784</v>
      </c>
      <c r="B114" s="628"/>
      <c r="C114" s="628"/>
      <c r="D114" s="628"/>
      <c r="E114" s="628"/>
      <c r="F114" s="628"/>
      <c r="G114" s="628"/>
      <c r="H114" s="628"/>
      <c r="I114" s="628"/>
      <c r="J114" s="628"/>
      <c r="K114" s="628"/>
      <c r="L114" s="628"/>
      <c r="M114" s="628"/>
      <c r="N114" s="628"/>
    </row>
    <row r="115" spans="1:14" ht="30" x14ac:dyDescent="0.25">
      <c r="A115" s="440" t="s">
        <v>737</v>
      </c>
      <c r="B115" s="440" t="s">
        <v>52</v>
      </c>
      <c r="C115" s="440" t="s">
        <v>55</v>
      </c>
      <c r="D115" s="460" t="s">
        <v>57</v>
      </c>
      <c r="E115" s="440" t="s">
        <v>59</v>
      </c>
      <c r="F115" s="440" t="s">
        <v>60</v>
      </c>
      <c r="G115" s="460" t="s">
        <v>61</v>
      </c>
      <c r="H115" s="440" t="s">
        <v>12</v>
      </c>
      <c r="I115" s="460" t="s">
        <v>785</v>
      </c>
      <c r="J115" s="440" t="s">
        <v>62</v>
      </c>
      <c r="K115" s="440" t="s">
        <v>63</v>
      </c>
      <c r="L115" s="440" t="s">
        <v>64</v>
      </c>
      <c r="M115" s="440" t="s">
        <v>65</v>
      </c>
      <c r="N115" s="440" t="s">
        <v>66</v>
      </c>
    </row>
    <row r="116" spans="1:14" x14ac:dyDescent="0.25">
      <c r="A116" s="461" t="s">
        <v>786</v>
      </c>
      <c r="B116" s="49" t="s">
        <v>68</v>
      </c>
      <c r="C116" s="49" t="s">
        <v>69</v>
      </c>
      <c r="D116" s="396">
        <v>153020984000</v>
      </c>
      <c r="E116" s="396">
        <v>212922892.97999999</v>
      </c>
      <c r="F116" s="462">
        <v>2366969076.0300002</v>
      </c>
      <c r="G116" s="396">
        <v>344524688.30000001</v>
      </c>
      <c r="H116" s="396">
        <v>13340860239.190001</v>
      </c>
      <c r="I116" s="463"/>
      <c r="J116" s="464">
        <f>+H116/D116</f>
        <v>8.718320775659108E-2</v>
      </c>
      <c r="K116" s="465">
        <f>+I3</f>
        <v>12049632335.620001</v>
      </c>
      <c r="L116" s="464">
        <f>+K116/D116</f>
        <v>7.8744967001519228E-2</v>
      </c>
      <c r="M116" s="466">
        <f>+K3</f>
        <v>113435623065.28999</v>
      </c>
      <c r="N116" s="464">
        <f>+M116/D116</f>
        <v>0.7413076304965468</v>
      </c>
    </row>
    <row r="117" spans="1:14" ht="6.75" customHeight="1" x14ac:dyDescent="0.25">
      <c r="A117" s="440"/>
      <c r="B117" s="440"/>
      <c r="C117" s="440"/>
      <c r="D117" s="460"/>
      <c r="E117" s="440"/>
      <c r="F117" s="440"/>
      <c r="G117" s="460"/>
      <c r="H117" s="440"/>
      <c r="I117" s="460"/>
      <c r="J117" s="440"/>
      <c r="K117" s="440"/>
      <c r="L117" s="440"/>
      <c r="M117" s="440"/>
      <c r="N117" s="440"/>
    </row>
    <row r="118" spans="1:14" x14ac:dyDescent="0.25">
      <c r="A118" s="467" t="s">
        <v>787</v>
      </c>
      <c r="B118" s="49" t="s">
        <v>68</v>
      </c>
      <c r="C118" s="49" t="s">
        <v>69</v>
      </c>
      <c r="D118" s="50">
        <v>148613841980</v>
      </c>
      <c r="E118" s="50">
        <v>1173239289.73</v>
      </c>
      <c r="F118" s="404">
        <v>8956402333.0900002</v>
      </c>
      <c r="G118" s="50">
        <v>336710591</v>
      </c>
      <c r="H118" s="404">
        <v>105421590558.28</v>
      </c>
      <c r="I118" s="391"/>
      <c r="J118" s="152">
        <f t="shared" ref="J118:J122" si="16">+H118/D118</f>
        <v>0.70936589185593701</v>
      </c>
      <c r="K118" s="404">
        <v>104034659504.33</v>
      </c>
      <c r="L118" s="152">
        <f t="shared" ref="L118:L122" si="17">+K118/D118</f>
        <v>0.70003344317234373</v>
      </c>
      <c r="M118" s="404">
        <v>32725899207.900002</v>
      </c>
      <c r="N118" s="152">
        <f t="shared" ref="N118:N122" si="18">+M118/D118</f>
        <v>0.22020761169948189</v>
      </c>
    </row>
    <row r="119" spans="1:14" x14ac:dyDescent="0.25">
      <c r="A119" s="468" t="s">
        <v>788</v>
      </c>
      <c r="B119" s="49" t="s">
        <v>68</v>
      </c>
      <c r="C119" s="49" t="s">
        <v>69</v>
      </c>
      <c r="D119" s="50">
        <v>148398411720</v>
      </c>
      <c r="E119" s="50">
        <v>167834173.19</v>
      </c>
      <c r="F119" s="404">
        <v>14421897512.74</v>
      </c>
      <c r="G119" s="50">
        <v>513502959.18000001</v>
      </c>
      <c r="H119" s="469">
        <v>115812311113.03999</v>
      </c>
      <c r="I119" s="469">
        <f t="shared" ref="I119:I120" si="19">H119-H118</f>
        <v>10390720554.759995</v>
      </c>
      <c r="J119" s="152">
        <f t="shared" si="16"/>
        <v>0.7804147616590138</v>
      </c>
      <c r="K119" s="404">
        <v>114403461212.09</v>
      </c>
      <c r="L119" s="152">
        <f t="shared" si="17"/>
        <v>0.77092106233554503</v>
      </c>
      <c r="M119" s="404">
        <v>17482865961.849998</v>
      </c>
      <c r="N119" s="152">
        <f t="shared" si="18"/>
        <v>0.11781033071187373</v>
      </c>
    </row>
    <row r="120" spans="1:14" x14ac:dyDescent="0.25">
      <c r="A120" s="467" t="s">
        <v>789</v>
      </c>
      <c r="B120" s="49" t="s">
        <v>68</v>
      </c>
      <c r="C120" s="49" t="s">
        <v>69</v>
      </c>
      <c r="D120" s="50">
        <v>148398411720</v>
      </c>
      <c r="E120" s="50">
        <v>72824314.209999993</v>
      </c>
      <c r="F120" s="404">
        <v>10858472133.02</v>
      </c>
      <c r="G120" s="50">
        <v>1206630420.72</v>
      </c>
      <c r="H120" s="469">
        <v>123272563299.2</v>
      </c>
      <c r="I120" s="470">
        <f t="shared" si="19"/>
        <v>7460252186.1600037</v>
      </c>
      <c r="J120" s="152">
        <f t="shared" si="16"/>
        <v>0.83068654084918525</v>
      </c>
      <c r="K120" s="404">
        <v>120736222316.41</v>
      </c>
      <c r="L120" s="152">
        <f t="shared" si="17"/>
        <v>0.81359511141006435</v>
      </c>
      <c r="M120" s="404">
        <v>12987921552.85</v>
      </c>
      <c r="N120" s="152">
        <f t="shared" si="18"/>
        <v>8.7520623720392474E-2</v>
      </c>
    </row>
    <row r="121" spans="1:14" x14ac:dyDescent="0.25">
      <c r="A121" s="467" t="s">
        <v>790</v>
      </c>
      <c r="B121" s="49" t="s">
        <v>68</v>
      </c>
      <c r="C121" s="49" t="s">
        <v>69</v>
      </c>
      <c r="D121" s="50">
        <v>148398411720</v>
      </c>
      <c r="E121" s="50">
        <v>0</v>
      </c>
      <c r="F121" s="404">
        <v>3362222046.2199998</v>
      </c>
      <c r="G121" s="50">
        <v>204424913.50999999</v>
      </c>
      <c r="H121" s="469">
        <v>136236272923.25999</v>
      </c>
      <c r="I121" s="469">
        <f>H121-H119</f>
        <v>20423961810.220001</v>
      </c>
      <c r="J121" s="152">
        <f t="shared" si="16"/>
        <v>0.91804400966441824</v>
      </c>
      <c r="K121" s="404">
        <v>132393759306.75999</v>
      </c>
      <c r="L121" s="152">
        <f t="shared" si="17"/>
        <v>0.89215078363885869</v>
      </c>
      <c r="M121" s="404">
        <v>8595491837.0100002</v>
      </c>
      <c r="N121" s="152">
        <f t="shared" si="18"/>
        <v>5.7921723941547855E-2</v>
      </c>
    </row>
    <row r="122" spans="1:14" x14ac:dyDescent="0.25">
      <c r="A122" s="467" t="s">
        <v>791</v>
      </c>
      <c r="B122" s="49" t="s">
        <v>68</v>
      </c>
      <c r="C122" s="49" t="s">
        <v>69</v>
      </c>
      <c r="D122" s="50">
        <v>148398411720</v>
      </c>
      <c r="E122" s="50">
        <v>0</v>
      </c>
      <c r="F122" s="404">
        <v>2231171633.8499999</v>
      </c>
      <c r="G122" s="50">
        <v>0</v>
      </c>
      <c r="H122" s="404">
        <v>136630086152.53</v>
      </c>
      <c r="I122" s="391">
        <f>H122-H121</f>
        <v>393813229.27000427</v>
      </c>
      <c r="J122" s="152">
        <f t="shared" si="16"/>
        <v>0.92069776602680475</v>
      </c>
      <c r="K122" s="404">
        <v>132483980382.73</v>
      </c>
      <c r="L122" s="152">
        <f t="shared" si="17"/>
        <v>0.89275874887867701</v>
      </c>
      <c r="M122" s="404">
        <v>9537153933.6200008</v>
      </c>
      <c r="N122" s="152">
        <f t="shared" si="18"/>
        <v>6.4267223773356974E-2</v>
      </c>
    </row>
    <row r="123" spans="1:14" x14ac:dyDescent="0.25">
      <c r="A123" s="471"/>
      <c r="B123" s="357"/>
      <c r="C123" s="357"/>
      <c r="D123" s="154"/>
      <c r="E123" s="154"/>
      <c r="F123" s="305"/>
      <c r="G123" s="154"/>
      <c r="H123" s="305"/>
      <c r="I123" s="305"/>
      <c r="J123" s="444"/>
      <c r="K123" s="305"/>
      <c r="L123" s="444"/>
      <c r="M123" s="305"/>
      <c r="N123" s="444"/>
    </row>
    <row r="124" spans="1:14" ht="15" customHeight="1" x14ac:dyDescent="0.25">
      <c r="A124" s="629" t="s">
        <v>792</v>
      </c>
      <c r="B124" s="629"/>
      <c r="C124" s="629"/>
      <c r="D124" s="629"/>
      <c r="E124" s="629"/>
      <c r="F124" s="629"/>
      <c r="G124" s="629"/>
    </row>
    <row r="125" spans="1:14" x14ac:dyDescent="0.25">
      <c r="A125" s="467" t="s">
        <v>793</v>
      </c>
      <c r="B125" s="473"/>
      <c r="C125" s="473"/>
      <c r="D125" s="473"/>
      <c r="E125" s="473"/>
      <c r="F125" s="473"/>
    </row>
    <row r="126" spans="1:14" x14ac:dyDescent="0.25">
      <c r="A126" s="144" t="s">
        <v>52</v>
      </c>
      <c r="B126" s="144" t="s">
        <v>691</v>
      </c>
      <c r="C126" s="144" t="s">
        <v>54</v>
      </c>
      <c r="D126" s="144" t="s">
        <v>55</v>
      </c>
      <c r="E126" s="144" t="s">
        <v>60</v>
      </c>
      <c r="F126" s="448" t="s">
        <v>12</v>
      </c>
      <c r="G126" s="474" t="s">
        <v>794</v>
      </c>
    </row>
    <row r="127" spans="1:14" s="479" customFormat="1" x14ac:dyDescent="0.25">
      <c r="A127" s="475"/>
      <c r="B127" s="475"/>
      <c r="C127" s="475"/>
      <c r="D127" s="475"/>
      <c r="E127" s="476">
        <f>SUM(E128:E134)</f>
        <v>7491145074</v>
      </c>
      <c r="F127" s="477">
        <f>SUM(F128:F134)</f>
        <v>82978922738.61998</v>
      </c>
      <c r="G127" s="478"/>
    </row>
    <row r="128" spans="1:14" hidden="1" x14ac:dyDescent="0.25">
      <c r="A128" s="49">
        <v>214789</v>
      </c>
      <c r="B128" s="49"/>
      <c r="C128" s="49"/>
      <c r="D128" s="49" t="s">
        <v>69</v>
      </c>
      <c r="E128" s="50">
        <v>5806411759.2200003</v>
      </c>
      <c r="F128" s="480">
        <v>55184073349.459999</v>
      </c>
      <c r="G128" s="473"/>
    </row>
    <row r="129" spans="1:7" hidden="1" x14ac:dyDescent="0.25">
      <c r="A129" s="49">
        <v>214789001</v>
      </c>
      <c r="B129" s="49"/>
      <c r="C129" s="49"/>
      <c r="D129" s="49" t="s">
        <v>69</v>
      </c>
      <c r="E129" s="50">
        <v>1308543194.1199999</v>
      </c>
      <c r="F129" s="480">
        <v>18639840292.529999</v>
      </c>
      <c r="G129" s="473"/>
    </row>
    <row r="130" spans="1:7" hidden="1" x14ac:dyDescent="0.25">
      <c r="A130" s="49">
        <v>214789002</v>
      </c>
      <c r="B130" s="49"/>
      <c r="C130" s="49"/>
      <c r="D130" s="49" t="s">
        <v>69</v>
      </c>
      <c r="E130" s="50">
        <v>108782117.02</v>
      </c>
      <c r="F130" s="480">
        <v>1432815921.23</v>
      </c>
      <c r="G130" s="473"/>
    </row>
    <row r="131" spans="1:7" hidden="1" x14ac:dyDescent="0.25">
      <c r="A131" s="49">
        <v>214789003</v>
      </c>
      <c r="B131" s="49"/>
      <c r="C131" s="49"/>
      <c r="D131" s="49" t="s">
        <v>69</v>
      </c>
      <c r="E131" s="50">
        <v>88899062.689999998</v>
      </c>
      <c r="F131" s="480">
        <v>999425163.77999997</v>
      </c>
      <c r="G131" s="473"/>
    </row>
    <row r="132" spans="1:7" hidden="1" x14ac:dyDescent="0.25">
      <c r="A132" s="49">
        <v>214789004</v>
      </c>
      <c r="B132" s="49"/>
      <c r="C132" s="49"/>
      <c r="D132" s="49" t="s">
        <v>69</v>
      </c>
      <c r="E132" s="50">
        <v>109218317.97</v>
      </c>
      <c r="F132" s="480">
        <v>1584394231.4100001</v>
      </c>
      <c r="G132" s="473"/>
    </row>
    <row r="133" spans="1:7" hidden="1" x14ac:dyDescent="0.25">
      <c r="A133" s="49">
        <v>214789005</v>
      </c>
      <c r="B133" s="49"/>
      <c r="C133" s="49"/>
      <c r="D133" s="49" t="s">
        <v>69</v>
      </c>
      <c r="E133" s="50">
        <v>57315983.740000002</v>
      </c>
      <c r="F133" s="480">
        <v>811101553.25999999</v>
      </c>
      <c r="G133" s="473"/>
    </row>
    <row r="134" spans="1:7" hidden="1" x14ac:dyDescent="0.25">
      <c r="A134" s="49">
        <v>214789006</v>
      </c>
      <c r="B134" s="49"/>
      <c r="C134" s="49"/>
      <c r="D134" s="49" t="s">
        <v>69</v>
      </c>
      <c r="E134" s="50">
        <v>11974639.24</v>
      </c>
      <c r="F134" s="480">
        <v>4327272226.9499998</v>
      </c>
      <c r="G134" s="473"/>
    </row>
    <row r="135" spans="1:7" x14ac:dyDescent="0.25">
      <c r="A135" s="357"/>
      <c r="B135" s="357"/>
      <c r="C135" s="357"/>
      <c r="D135" s="357"/>
      <c r="E135" s="154"/>
      <c r="F135" s="154"/>
      <c r="G135" s="630"/>
    </row>
    <row r="136" spans="1:7" x14ac:dyDescent="0.25">
      <c r="A136" s="481" t="s">
        <v>795</v>
      </c>
      <c r="B136" s="473"/>
      <c r="C136" s="473"/>
      <c r="D136" s="473"/>
      <c r="E136" s="473"/>
      <c r="F136" s="482"/>
      <c r="G136" s="630"/>
    </row>
    <row r="137" spans="1:7" x14ac:dyDescent="0.25">
      <c r="A137" s="144" t="s">
        <v>52</v>
      </c>
      <c r="B137" s="144" t="s">
        <v>691</v>
      </c>
      <c r="C137" s="144" t="s">
        <v>54</v>
      </c>
      <c r="D137" s="144" t="s">
        <v>55</v>
      </c>
      <c r="E137" s="144" t="s">
        <v>60</v>
      </c>
      <c r="F137" s="448" t="s">
        <v>12</v>
      </c>
      <c r="G137" s="473"/>
    </row>
    <row r="138" spans="1:7" s="479" customFormat="1" x14ac:dyDescent="0.25">
      <c r="A138" s="475"/>
      <c r="B138" s="475"/>
      <c r="C138" s="475"/>
      <c r="D138" s="475"/>
      <c r="E138" s="476">
        <f>SUM(E139:E145)</f>
        <v>11637359242.33</v>
      </c>
      <c r="F138" s="477">
        <f>SUM(F139:F145)</f>
        <v>91188671184.23999</v>
      </c>
      <c r="G138" s="631">
        <f>F138-F127</f>
        <v>8209748445.6200104</v>
      </c>
    </row>
    <row r="139" spans="1:7" ht="15" hidden="1" customHeight="1" x14ac:dyDescent="0.25">
      <c r="A139" s="143">
        <v>2147890</v>
      </c>
      <c r="B139" s="143"/>
      <c r="C139" s="143"/>
      <c r="D139" s="143" t="s">
        <v>69</v>
      </c>
      <c r="E139" s="257">
        <v>8050141108.1300001</v>
      </c>
      <c r="F139" s="257">
        <v>60774765610.419998</v>
      </c>
      <c r="G139" s="631"/>
    </row>
    <row r="140" spans="1:7" ht="15" hidden="1" customHeight="1" x14ac:dyDescent="0.25">
      <c r="A140" s="143">
        <v>214789001</v>
      </c>
      <c r="B140" s="143"/>
      <c r="C140" s="143"/>
      <c r="D140" s="143" t="s">
        <v>69</v>
      </c>
      <c r="E140" s="257">
        <v>2844065298.7800002</v>
      </c>
      <c r="F140" s="257">
        <v>20385220396.049999</v>
      </c>
      <c r="G140" s="631"/>
    </row>
    <row r="141" spans="1:7" ht="15" hidden="1" customHeight="1" x14ac:dyDescent="0.25">
      <c r="A141" s="143">
        <v>214789002</v>
      </c>
      <c r="B141" s="143"/>
      <c r="C141" s="143"/>
      <c r="D141" s="143" t="s">
        <v>69</v>
      </c>
      <c r="E141" s="257">
        <v>216594164.72</v>
      </c>
      <c r="F141" s="257">
        <v>1570379455.75</v>
      </c>
      <c r="G141" s="631"/>
    </row>
    <row r="142" spans="1:7" ht="15" hidden="1" customHeight="1" x14ac:dyDescent="0.25">
      <c r="A142" s="143">
        <v>214789003</v>
      </c>
      <c r="B142" s="143"/>
      <c r="C142" s="143"/>
      <c r="D142" s="143" t="s">
        <v>69</v>
      </c>
      <c r="E142" s="257">
        <v>146295894.37</v>
      </c>
      <c r="F142" s="257">
        <v>1102847664.4000001</v>
      </c>
      <c r="G142" s="631"/>
    </row>
    <row r="143" spans="1:7" ht="15" hidden="1" customHeight="1" x14ac:dyDescent="0.25">
      <c r="A143" s="143">
        <v>214789004</v>
      </c>
      <c r="B143" s="143"/>
      <c r="C143" s="143"/>
      <c r="D143" s="143" t="s">
        <v>69</v>
      </c>
      <c r="E143" s="257">
        <v>228285907.66999999</v>
      </c>
      <c r="F143" s="257">
        <v>1731166942.2</v>
      </c>
      <c r="G143" s="631"/>
    </row>
    <row r="144" spans="1:7" ht="15" hidden="1" customHeight="1" x14ac:dyDescent="0.25">
      <c r="A144" s="143">
        <v>214789005</v>
      </c>
      <c r="B144" s="143"/>
      <c r="C144" s="143"/>
      <c r="D144" s="143" t="s">
        <v>69</v>
      </c>
      <c r="E144" s="257">
        <v>120477196.67</v>
      </c>
      <c r="F144" s="257">
        <v>886928385.84000003</v>
      </c>
      <c r="G144" s="631"/>
    </row>
    <row r="145" spans="1:7" ht="15" hidden="1" customHeight="1" x14ac:dyDescent="0.25">
      <c r="A145" s="143">
        <v>214789006</v>
      </c>
      <c r="B145" s="143"/>
      <c r="C145" s="143"/>
      <c r="D145" s="143" t="s">
        <v>69</v>
      </c>
      <c r="E145" s="257">
        <v>31499671.989999998</v>
      </c>
      <c r="F145" s="257">
        <v>4737362729.5799999</v>
      </c>
      <c r="G145" s="631"/>
    </row>
    <row r="146" spans="1:7" x14ac:dyDescent="0.25">
      <c r="A146" s="143"/>
      <c r="B146" s="143"/>
      <c r="C146" s="143"/>
      <c r="D146" s="143"/>
      <c r="E146" s="257"/>
      <c r="F146" s="257"/>
      <c r="G146" s="631"/>
    </row>
    <row r="147" spans="1:7" x14ac:dyDescent="0.25">
      <c r="A147" s="467" t="s">
        <v>796</v>
      </c>
      <c r="B147" s="473"/>
      <c r="C147" s="473"/>
      <c r="D147" s="473"/>
      <c r="E147" s="473"/>
      <c r="F147" s="482"/>
      <c r="G147" s="473"/>
    </row>
    <row r="148" spans="1:7" x14ac:dyDescent="0.25">
      <c r="A148" s="144" t="s">
        <v>52</v>
      </c>
      <c r="B148" s="144" t="s">
        <v>691</v>
      </c>
      <c r="C148" s="144" t="s">
        <v>54</v>
      </c>
      <c r="D148" s="144" t="s">
        <v>55</v>
      </c>
      <c r="E148" s="144" t="s">
        <v>60</v>
      </c>
      <c r="F148" s="448" t="s">
        <v>12</v>
      </c>
      <c r="G148" s="473"/>
    </row>
    <row r="149" spans="1:7" s="479" customFormat="1" x14ac:dyDescent="0.25">
      <c r="A149" s="475"/>
      <c r="B149" s="475"/>
      <c r="C149" s="475"/>
      <c r="D149" s="475"/>
      <c r="E149" s="476">
        <f>SUM(E150:E156)</f>
        <v>9206168230.2600002</v>
      </c>
      <c r="F149" s="477">
        <f>SUM(F150:F156)</f>
        <v>96721283900.940002</v>
      </c>
      <c r="G149" s="631">
        <f>F149-F138</f>
        <v>5532612716.7000122</v>
      </c>
    </row>
    <row r="150" spans="1:7" ht="15" hidden="1" customHeight="1" x14ac:dyDescent="0.25">
      <c r="A150" s="143">
        <v>214789</v>
      </c>
      <c r="B150" s="143"/>
      <c r="C150" s="143"/>
      <c r="D150" s="143" t="s">
        <v>69</v>
      </c>
      <c r="E150" s="257">
        <v>5429195858.71</v>
      </c>
      <c r="F150" s="257">
        <v>64354118020.220001</v>
      </c>
      <c r="G150" s="631"/>
    </row>
    <row r="151" spans="1:7" ht="15" hidden="1" customHeight="1" x14ac:dyDescent="0.25">
      <c r="A151" s="143">
        <v>214789001</v>
      </c>
      <c r="B151" s="143"/>
      <c r="C151" s="143"/>
      <c r="D151" s="143" t="s">
        <v>69</v>
      </c>
      <c r="E151" s="257">
        <v>1816708047.8499999</v>
      </c>
      <c r="F151" s="257">
        <v>21904706412.34</v>
      </c>
      <c r="G151" s="631"/>
    </row>
    <row r="152" spans="1:7" ht="15" hidden="1" customHeight="1" x14ac:dyDescent="0.25">
      <c r="A152" s="143">
        <v>214789002</v>
      </c>
      <c r="B152" s="143"/>
      <c r="C152" s="143"/>
      <c r="D152" s="143" t="s">
        <v>69</v>
      </c>
      <c r="E152" s="257">
        <v>131240315.42</v>
      </c>
      <c r="F152" s="257">
        <v>1711079957.3</v>
      </c>
      <c r="G152" s="631"/>
    </row>
    <row r="153" spans="1:7" ht="15" hidden="1" customHeight="1" x14ac:dyDescent="0.25">
      <c r="A153" s="143">
        <v>214789003</v>
      </c>
      <c r="B153" s="143"/>
      <c r="C153" s="143"/>
      <c r="D153" s="143" t="s">
        <v>69</v>
      </c>
      <c r="E153" s="257">
        <v>103032765.79000001</v>
      </c>
      <c r="F153" s="257">
        <v>1186648876.1700001</v>
      </c>
      <c r="G153" s="631"/>
    </row>
    <row r="154" spans="1:7" ht="15" hidden="1" customHeight="1" x14ac:dyDescent="0.25">
      <c r="A154" s="143">
        <v>214789004</v>
      </c>
      <c r="B154" s="143"/>
      <c r="C154" s="143"/>
      <c r="D154" s="143" t="s">
        <v>69</v>
      </c>
      <c r="E154" s="257">
        <v>161303570.22</v>
      </c>
      <c r="F154" s="257">
        <v>1855657097.5599999</v>
      </c>
      <c r="G154" s="631"/>
    </row>
    <row r="155" spans="1:7" ht="15" hidden="1" customHeight="1" x14ac:dyDescent="0.25">
      <c r="A155" s="143">
        <v>214789005</v>
      </c>
      <c r="B155" s="143"/>
      <c r="C155" s="143"/>
      <c r="D155" s="143" t="s">
        <v>69</v>
      </c>
      <c r="E155" s="257">
        <v>86114890.659999996</v>
      </c>
      <c r="F155" s="257">
        <v>955193349.60000002</v>
      </c>
      <c r="G155" s="631"/>
    </row>
    <row r="156" spans="1:7" ht="15" hidden="1" customHeight="1" x14ac:dyDescent="0.25">
      <c r="A156" s="143">
        <v>214789006</v>
      </c>
      <c r="B156" s="143"/>
      <c r="C156" s="143"/>
      <c r="D156" s="143" t="s">
        <v>69</v>
      </c>
      <c r="E156" s="257">
        <v>1478572781.6099999</v>
      </c>
      <c r="F156" s="257">
        <v>4753880187.75</v>
      </c>
      <c r="G156" s="631"/>
    </row>
    <row r="157" spans="1:7" x14ac:dyDescent="0.25">
      <c r="G157" s="631"/>
    </row>
    <row r="158" spans="1:7" x14ac:dyDescent="0.25">
      <c r="A158" s="467" t="s">
        <v>797</v>
      </c>
      <c r="B158" s="473"/>
      <c r="C158" s="473"/>
      <c r="D158" s="473"/>
      <c r="E158" s="473"/>
      <c r="F158" s="482"/>
      <c r="G158" s="473"/>
    </row>
    <row r="159" spans="1:7" x14ac:dyDescent="0.25">
      <c r="A159" s="144" t="s">
        <v>52</v>
      </c>
      <c r="B159" s="144" t="s">
        <v>691</v>
      </c>
      <c r="C159" s="144" t="s">
        <v>54</v>
      </c>
      <c r="D159" s="144" t="s">
        <v>55</v>
      </c>
      <c r="E159" s="144" t="s">
        <v>60</v>
      </c>
      <c r="F159" s="448" t="s">
        <v>12</v>
      </c>
      <c r="G159" s="473"/>
    </row>
    <row r="160" spans="1:7" s="479" customFormat="1" x14ac:dyDescent="0.25">
      <c r="A160" s="475"/>
      <c r="B160" s="475"/>
      <c r="C160" s="475"/>
      <c r="D160" s="475"/>
      <c r="E160" s="476">
        <f>SUM(E161:E167)</f>
        <v>3290791365.7199998</v>
      </c>
      <c r="F160" s="477">
        <f>SUM(F161:F167)</f>
        <v>107588396152.02</v>
      </c>
      <c r="G160" s="631">
        <f>F160-F149</f>
        <v>10867112251.080002</v>
      </c>
    </row>
    <row r="161" spans="1:7" ht="15" hidden="1" customHeight="1" x14ac:dyDescent="0.25">
      <c r="A161" s="143">
        <v>214789</v>
      </c>
      <c r="B161" s="143"/>
      <c r="C161" s="143"/>
      <c r="D161" s="143" t="s">
        <v>69</v>
      </c>
      <c r="E161" s="257">
        <v>2013049215.47</v>
      </c>
      <c r="F161" s="257">
        <v>70178349092.539993</v>
      </c>
      <c r="G161" s="631"/>
    </row>
    <row r="162" spans="1:7" ht="15" hidden="1" customHeight="1" x14ac:dyDescent="0.25">
      <c r="A162" s="143">
        <v>214789001</v>
      </c>
      <c r="B162" s="143"/>
      <c r="C162" s="143"/>
      <c r="D162" s="143" t="s">
        <v>69</v>
      </c>
      <c r="E162" s="257">
        <v>961715691.66999996</v>
      </c>
      <c r="F162" s="257">
        <v>25178302583</v>
      </c>
      <c r="G162" s="631"/>
    </row>
    <row r="163" spans="1:7" ht="15" hidden="1" customHeight="1" x14ac:dyDescent="0.25">
      <c r="A163" s="143">
        <v>214789002</v>
      </c>
      <c r="B163" s="143"/>
      <c r="C163" s="143"/>
      <c r="D163" s="143" t="s">
        <v>69</v>
      </c>
      <c r="E163" s="257">
        <v>79477960</v>
      </c>
      <c r="F163" s="257">
        <v>1872761221.3</v>
      </c>
      <c r="G163" s="631"/>
    </row>
    <row r="164" spans="1:7" ht="15" hidden="1" customHeight="1" x14ac:dyDescent="0.25">
      <c r="A164" s="143">
        <v>214789003</v>
      </c>
      <c r="B164" s="143"/>
      <c r="C164" s="143"/>
      <c r="D164" s="143" t="s">
        <v>69</v>
      </c>
      <c r="E164" s="257">
        <v>19439171.550000001</v>
      </c>
      <c r="F164" s="257">
        <v>1309899475.5999999</v>
      </c>
      <c r="G164" s="631"/>
    </row>
    <row r="165" spans="1:7" ht="15" hidden="1" customHeight="1" x14ac:dyDescent="0.25">
      <c r="A165" s="143">
        <v>214789004</v>
      </c>
      <c r="B165" s="143"/>
      <c r="C165" s="143"/>
      <c r="D165" s="143" t="s">
        <v>69</v>
      </c>
      <c r="E165" s="257">
        <v>85102080.409999996</v>
      </c>
      <c r="F165" s="257">
        <v>2020725062.6600001</v>
      </c>
      <c r="G165" s="631"/>
    </row>
    <row r="166" spans="1:7" ht="15" hidden="1" customHeight="1" x14ac:dyDescent="0.25">
      <c r="A166" s="143">
        <v>214789005</v>
      </c>
      <c r="B166" s="143"/>
      <c r="C166" s="143"/>
      <c r="D166" s="143" t="s">
        <v>69</v>
      </c>
      <c r="E166" s="257">
        <v>11556519.27</v>
      </c>
      <c r="F166" s="257">
        <v>1032253158.23</v>
      </c>
      <c r="G166" s="631"/>
    </row>
    <row r="167" spans="1:7" ht="15" hidden="1" customHeight="1" x14ac:dyDescent="0.25">
      <c r="A167" s="143">
        <v>214789006</v>
      </c>
      <c r="B167" s="143"/>
      <c r="C167" s="143"/>
      <c r="D167" s="143" t="s">
        <v>69</v>
      </c>
      <c r="E167" s="257">
        <v>120450727.34999999</v>
      </c>
      <c r="F167" s="257">
        <v>5996105558.6899996</v>
      </c>
      <c r="G167" s="631"/>
    </row>
    <row r="168" spans="1:7" x14ac:dyDescent="0.25">
      <c r="G168" s="631"/>
    </row>
    <row r="169" spans="1:7" x14ac:dyDescent="0.25">
      <c r="A169" s="467" t="s">
        <v>798</v>
      </c>
      <c r="B169" s="473"/>
      <c r="C169" s="473"/>
      <c r="D169" s="473"/>
      <c r="E169" s="473"/>
      <c r="F169" s="482"/>
      <c r="G169" s="473"/>
    </row>
    <row r="170" spans="1:7" x14ac:dyDescent="0.25">
      <c r="A170" s="144" t="s">
        <v>52</v>
      </c>
      <c r="B170" s="144" t="s">
        <v>691</v>
      </c>
      <c r="C170" s="144" t="s">
        <v>54</v>
      </c>
      <c r="D170" s="144" t="s">
        <v>55</v>
      </c>
      <c r="E170" s="144" t="s">
        <v>60</v>
      </c>
      <c r="F170" s="448" t="s">
        <v>12</v>
      </c>
      <c r="G170" s="631">
        <f>F171-F160</f>
        <v>392811560.20999146</v>
      </c>
    </row>
    <row r="171" spans="1:7" x14ac:dyDescent="0.25">
      <c r="A171" s="475"/>
      <c r="B171" s="475"/>
      <c r="C171" s="475"/>
      <c r="D171" s="475"/>
      <c r="E171" s="476">
        <f>SUM(E172:E178)</f>
        <v>2159740913.3099999</v>
      </c>
      <c r="F171" s="483">
        <f>SUM(F172:F178)</f>
        <v>107981207712.23</v>
      </c>
      <c r="G171" s="631"/>
    </row>
    <row r="172" spans="1:7" hidden="1" x14ac:dyDescent="0.25">
      <c r="A172" s="49">
        <v>214789</v>
      </c>
      <c r="B172" s="49"/>
      <c r="C172" s="49"/>
      <c r="D172" s="49" t="s">
        <v>69</v>
      </c>
      <c r="E172" s="50">
        <v>1104426827.1500001</v>
      </c>
      <c r="F172" s="50">
        <v>70227882288.429993</v>
      </c>
    </row>
    <row r="173" spans="1:7" hidden="1" x14ac:dyDescent="0.25">
      <c r="A173" s="49">
        <v>214789001</v>
      </c>
      <c r="B173" s="49"/>
      <c r="C173" s="49"/>
      <c r="D173" s="49" t="s">
        <v>69</v>
      </c>
      <c r="E173" s="50">
        <v>764570619.33000004</v>
      </c>
      <c r="F173" s="50">
        <v>25489145514.16</v>
      </c>
    </row>
    <row r="174" spans="1:7" hidden="1" x14ac:dyDescent="0.25">
      <c r="A174" s="49">
        <v>214789002</v>
      </c>
      <c r="B174" s="49"/>
      <c r="C174" s="49"/>
      <c r="D174" s="49" t="s">
        <v>69</v>
      </c>
      <c r="E174" s="50">
        <v>61768346.659999996</v>
      </c>
      <c r="F174" s="50">
        <v>1894956303.8299999</v>
      </c>
    </row>
    <row r="175" spans="1:7" hidden="1" x14ac:dyDescent="0.25">
      <c r="A175" s="49">
        <v>214789003</v>
      </c>
      <c r="B175" s="49"/>
      <c r="C175" s="49"/>
      <c r="D175" s="49" t="s">
        <v>69</v>
      </c>
      <c r="E175" s="50">
        <v>19036695</v>
      </c>
      <c r="F175" s="50">
        <v>1313606623.73</v>
      </c>
    </row>
    <row r="176" spans="1:7" hidden="1" x14ac:dyDescent="0.25">
      <c r="A176" s="49">
        <v>214789004</v>
      </c>
      <c r="B176" s="49"/>
      <c r="C176" s="49"/>
      <c r="D176" s="49" t="s">
        <v>69</v>
      </c>
      <c r="E176" s="50">
        <v>77931178.549999997</v>
      </c>
      <c r="F176" s="50">
        <v>2027258265.1600001</v>
      </c>
    </row>
    <row r="177" spans="1:6" hidden="1" x14ac:dyDescent="0.25">
      <c r="A177" s="49">
        <v>214789005</v>
      </c>
      <c r="B177" s="49"/>
      <c r="C177" s="49"/>
      <c r="D177" s="49" t="s">
        <v>69</v>
      </c>
      <c r="E177" s="50">
        <v>11556519.27</v>
      </c>
      <c r="F177" s="50">
        <v>1032253158.23</v>
      </c>
    </row>
    <row r="178" spans="1:6" hidden="1" x14ac:dyDescent="0.25">
      <c r="A178" s="49">
        <v>214789006</v>
      </c>
      <c r="B178" s="49"/>
      <c r="C178" s="49"/>
      <c r="D178" s="49" t="s">
        <v>69</v>
      </c>
      <c r="E178" s="50">
        <v>120450727.34999999</v>
      </c>
      <c r="F178" s="50">
        <v>5996105558.6899996</v>
      </c>
    </row>
  </sheetData>
  <sheetProtection selectLockedCells="1" selectUnlockedCells="1"/>
  <mergeCells count="13">
    <mergeCell ref="G170:G171"/>
    <mergeCell ref="A114:N114"/>
    <mergeCell ref="A124:G124"/>
    <mergeCell ref="G135:G136"/>
    <mergeCell ref="G138:G146"/>
    <mergeCell ref="G149:G157"/>
    <mergeCell ref="G160:G168"/>
    <mergeCell ref="A1:L1"/>
    <mergeCell ref="A23:L23"/>
    <mergeCell ref="A41:L41"/>
    <mergeCell ref="A59:L59"/>
    <mergeCell ref="A77:L77"/>
    <mergeCell ref="A96:L96"/>
  </mergeCells>
  <conditionalFormatting sqref="G43:H43 G44:G49 H44:H58 H119:J119 H122:J123 H60:H76">
    <cfRule type="cellIs" dxfId="18" priority="1" stopIfTrue="1" operator="lessThan">
      <formula>0</formula>
    </cfRule>
  </conditionalFormatting>
  <conditionalFormatting sqref="G98:H98 G99:G104 H99:H112">
    <cfRule type="cellIs" dxfId="17" priority="2" stopIfTrue="1" operator="lessThan">
      <formula>0</formula>
    </cfRule>
  </conditionalFormatting>
  <conditionalFormatting sqref="J120">
    <cfRule type="cellIs" dxfId="16" priority="3" stopIfTrue="1" operator="lessThan">
      <formula>0</formula>
    </cfRule>
  </conditionalFormatting>
  <conditionalFormatting sqref="F128:F130">
    <cfRule type="cellIs" dxfId="15" priority="4" stopIfTrue="1" operator="lessThan">
      <formula>0</formula>
    </cfRule>
  </conditionalFormatting>
  <conditionalFormatting sqref="F139:F141">
    <cfRule type="cellIs" dxfId="14" priority="5" stopIfTrue="1" operator="lessThan">
      <formula>0</formula>
    </cfRule>
  </conditionalFormatting>
  <conditionalFormatting sqref="F172:F174">
    <cfRule type="cellIs" dxfId="13" priority="6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P850"/>
  <sheetViews>
    <sheetView zoomScaleNormal="100" workbookViewId="0"/>
  </sheetViews>
  <sheetFormatPr baseColWidth="10" defaultColWidth="9.140625" defaultRowHeight="15" x14ac:dyDescent="0.25"/>
  <cols>
    <col min="1" max="1" width="15" style="143" customWidth="1"/>
    <col min="2" max="2" width="16" style="143" hidden="1" customWidth="1"/>
    <col min="3" max="3" width="63.140625" style="143" hidden="1" customWidth="1"/>
    <col min="4" max="4" width="7" style="143" customWidth="1"/>
    <col min="5" max="5" width="20" style="143" hidden="1" customWidth="1"/>
    <col min="6" max="6" width="20" style="143" customWidth="1"/>
    <col min="7" max="7" width="18" style="143" hidden="1" customWidth="1"/>
    <col min="8" max="8" width="14" style="143" customWidth="1"/>
    <col min="9" max="9" width="16" style="143" customWidth="1"/>
    <col min="10" max="10" width="21" style="143" customWidth="1"/>
    <col min="11" max="14" width="17" style="143" customWidth="1"/>
    <col min="15" max="15" width="24" style="143" customWidth="1"/>
    <col min="16" max="16" width="20.42578125" style="143" customWidth="1"/>
    <col min="17" max="16384" width="9.140625" style="143"/>
  </cols>
  <sheetData>
    <row r="1" spans="1:16" x14ac:dyDescent="0.25">
      <c r="A1" s="144" t="s">
        <v>52</v>
      </c>
      <c r="B1" s="144" t="s">
        <v>691</v>
      </c>
      <c r="C1" s="484" t="s">
        <v>54</v>
      </c>
      <c r="D1" s="144" t="s">
        <v>55</v>
      </c>
      <c r="E1" s="144" t="s">
        <v>56</v>
      </c>
      <c r="F1" s="144" t="s">
        <v>57</v>
      </c>
      <c r="G1" s="144" t="s">
        <v>58</v>
      </c>
      <c r="H1" s="144" t="s">
        <v>59</v>
      </c>
      <c r="I1" s="144" t="s">
        <v>60</v>
      </c>
      <c r="J1" s="144" t="s">
        <v>61</v>
      </c>
      <c r="K1" s="144" t="s">
        <v>12</v>
      </c>
      <c r="L1" s="144" t="s">
        <v>62</v>
      </c>
      <c r="M1" s="144" t="s">
        <v>63</v>
      </c>
      <c r="N1" s="144" t="s">
        <v>64</v>
      </c>
      <c r="O1" s="144" t="s">
        <v>65</v>
      </c>
      <c r="P1" s="144" t="s">
        <v>66</v>
      </c>
    </row>
    <row r="2" spans="1:16" x14ac:dyDescent="0.25">
      <c r="A2" s="44" t="s">
        <v>68</v>
      </c>
      <c r="C2" s="44"/>
      <c r="D2" s="44" t="s">
        <v>69</v>
      </c>
      <c r="E2" s="257">
        <v>153020984000</v>
      </c>
      <c r="F2" s="50">
        <v>148398411720</v>
      </c>
      <c r="G2" s="257">
        <v>148055801839</v>
      </c>
      <c r="H2" s="50">
        <v>167834173.19</v>
      </c>
      <c r="I2" s="50">
        <v>14421897512.74</v>
      </c>
      <c r="J2" s="50">
        <v>513502959.18000001</v>
      </c>
      <c r="K2" s="50">
        <v>115812311113.03999</v>
      </c>
      <c r="L2" s="152">
        <f t="shared" ref="L2:L3" si="0">+K2/F2</f>
        <v>0.7804147616590138</v>
      </c>
      <c r="M2" s="50">
        <v>114403461212.09</v>
      </c>
      <c r="N2" s="152">
        <f t="shared" ref="N2:N3" si="1">+M2/F2</f>
        <v>0.77092106233554503</v>
      </c>
      <c r="O2" s="50">
        <v>17482865961.849998</v>
      </c>
      <c r="P2" s="152">
        <f t="shared" ref="P2:P3" si="2">+O2/F2</f>
        <v>0.11781033071187373</v>
      </c>
    </row>
    <row r="3" spans="1:16" x14ac:dyDescent="0.25">
      <c r="A3" s="44">
        <v>2147860</v>
      </c>
      <c r="D3" s="44" t="s">
        <v>69</v>
      </c>
      <c r="E3" s="257">
        <v>2252563898</v>
      </c>
      <c r="F3" s="50">
        <v>2081037982</v>
      </c>
      <c r="G3" s="257">
        <v>2077437982</v>
      </c>
      <c r="H3" s="50">
        <v>0</v>
      </c>
      <c r="I3" s="50">
        <v>222075057.99000001</v>
      </c>
      <c r="J3" s="50">
        <v>475704.99</v>
      </c>
      <c r="K3" s="50">
        <v>1548215984.52</v>
      </c>
      <c r="L3" s="152">
        <f t="shared" si="0"/>
        <v>0.74396334805579722</v>
      </c>
      <c r="M3" s="50">
        <v>1543129815.8199999</v>
      </c>
      <c r="N3" s="152">
        <f t="shared" si="1"/>
        <v>0.74151929429801244</v>
      </c>
      <c r="O3" s="50">
        <v>310271234.5</v>
      </c>
      <c r="P3" s="152">
        <f t="shared" si="2"/>
        <v>0.14909446016060268</v>
      </c>
    </row>
    <row r="4" spans="1:16" hidden="1" x14ac:dyDescent="0.25">
      <c r="A4" s="143" t="s">
        <v>696</v>
      </c>
      <c r="B4" s="143" t="s">
        <v>71</v>
      </c>
      <c r="C4" s="143" t="s">
        <v>72</v>
      </c>
      <c r="D4" s="143" t="s">
        <v>69</v>
      </c>
      <c r="E4" s="257">
        <v>1845529688</v>
      </c>
      <c r="F4" s="257">
        <v>1685713432</v>
      </c>
      <c r="G4" s="257">
        <v>1682113432</v>
      </c>
      <c r="H4" s="257">
        <v>0</v>
      </c>
      <c r="I4" s="257">
        <v>164633692.18000001</v>
      </c>
      <c r="J4" s="257">
        <v>0</v>
      </c>
      <c r="K4" s="257">
        <v>1230081651.3800001</v>
      </c>
      <c r="L4" s="257"/>
      <c r="M4" s="257">
        <v>1230020055.73</v>
      </c>
      <c r="N4" s="257"/>
      <c r="O4" s="257">
        <v>290998088.44</v>
      </c>
      <c r="P4" s="257">
        <v>287398088.44</v>
      </c>
    </row>
    <row r="5" spans="1:16" hidden="1" x14ac:dyDescent="0.25">
      <c r="A5" s="143" t="s">
        <v>696</v>
      </c>
      <c r="B5" s="143" t="s">
        <v>73</v>
      </c>
      <c r="C5" s="143" t="s">
        <v>74</v>
      </c>
      <c r="D5" s="143" t="s">
        <v>69</v>
      </c>
      <c r="E5" s="257">
        <v>712211400</v>
      </c>
      <c r="F5" s="257">
        <v>676833600</v>
      </c>
      <c r="G5" s="257">
        <v>676833600</v>
      </c>
      <c r="H5" s="257">
        <v>0</v>
      </c>
      <c r="I5" s="257">
        <v>0</v>
      </c>
      <c r="J5" s="257">
        <v>0</v>
      </c>
      <c r="K5" s="257">
        <v>551873509.60000002</v>
      </c>
      <c r="L5" s="257"/>
      <c r="M5" s="257">
        <v>551873509.60000002</v>
      </c>
      <c r="N5" s="257"/>
      <c r="O5" s="257">
        <v>124960090.40000001</v>
      </c>
      <c r="P5" s="257">
        <v>124960090.40000001</v>
      </c>
    </row>
    <row r="6" spans="1:16" hidden="1" x14ac:dyDescent="0.25">
      <c r="A6" s="143" t="s">
        <v>696</v>
      </c>
      <c r="B6" s="143" t="s">
        <v>75</v>
      </c>
      <c r="C6" s="143" t="s">
        <v>76</v>
      </c>
      <c r="D6" s="143" t="s">
        <v>69</v>
      </c>
      <c r="E6" s="257">
        <v>712211400</v>
      </c>
      <c r="F6" s="257">
        <v>676833600</v>
      </c>
      <c r="G6" s="257">
        <v>676833600</v>
      </c>
      <c r="H6" s="257">
        <v>0</v>
      </c>
      <c r="I6" s="257">
        <v>0</v>
      </c>
      <c r="J6" s="257">
        <v>0</v>
      </c>
      <c r="K6" s="257">
        <v>551873509.60000002</v>
      </c>
      <c r="L6" s="257"/>
      <c r="M6" s="257">
        <v>551873509.60000002</v>
      </c>
      <c r="N6" s="257"/>
      <c r="O6" s="257">
        <v>124960090.40000001</v>
      </c>
      <c r="P6" s="257">
        <v>124960090.40000001</v>
      </c>
    </row>
    <row r="7" spans="1:16" hidden="1" x14ac:dyDescent="0.25">
      <c r="A7" s="143" t="s">
        <v>696</v>
      </c>
      <c r="B7" s="143" t="s">
        <v>77</v>
      </c>
      <c r="C7" s="143" t="s">
        <v>78</v>
      </c>
      <c r="D7" s="143" t="s">
        <v>69</v>
      </c>
      <c r="E7" s="257">
        <v>851789535</v>
      </c>
      <c r="F7" s="257">
        <v>741062753</v>
      </c>
      <c r="G7" s="257">
        <v>741062753</v>
      </c>
      <c r="H7" s="257">
        <v>0</v>
      </c>
      <c r="I7" s="257">
        <v>97051167.180000007</v>
      </c>
      <c r="J7" s="257">
        <v>0</v>
      </c>
      <c r="K7" s="257">
        <v>481643587.77999997</v>
      </c>
      <c r="L7" s="257"/>
      <c r="M7" s="257">
        <v>481581992.13</v>
      </c>
      <c r="N7" s="257"/>
      <c r="O7" s="257">
        <v>162367998.03999999</v>
      </c>
      <c r="P7" s="257">
        <v>162367998.03999999</v>
      </c>
    </row>
    <row r="8" spans="1:16" hidden="1" x14ac:dyDescent="0.25">
      <c r="A8" s="143" t="s">
        <v>696</v>
      </c>
      <c r="B8" s="143" t="s">
        <v>79</v>
      </c>
      <c r="C8" s="143" t="s">
        <v>80</v>
      </c>
      <c r="D8" s="143" t="s">
        <v>69</v>
      </c>
      <c r="E8" s="257">
        <v>171630900</v>
      </c>
      <c r="F8" s="257">
        <v>166370155</v>
      </c>
      <c r="G8" s="257">
        <v>166370155</v>
      </c>
      <c r="H8" s="257">
        <v>0</v>
      </c>
      <c r="I8" s="257">
        <v>0</v>
      </c>
      <c r="J8" s="257">
        <v>0</v>
      </c>
      <c r="K8" s="257">
        <v>133607762.59</v>
      </c>
      <c r="L8" s="257"/>
      <c r="M8" s="257">
        <v>133607762.59</v>
      </c>
      <c r="N8" s="257"/>
      <c r="O8" s="257">
        <v>32762392.41</v>
      </c>
      <c r="P8" s="257">
        <v>32762392.41</v>
      </c>
    </row>
    <row r="9" spans="1:16" hidden="1" x14ac:dyDescent="0.25">
      <c r="A9" s="143" t="s">
        <v>696</v>
      </c>
      <c r="B9" s="143" t="s">
        <v>81</v>
      </c>
      <c r="C9" s="143" t="s">
        <v>82</v>
      </c>
      <c r="D9" s="143" t="s">
        <v>69</v>
      </c>
      <c r="E9" s="257">
        <v>362005040</v>
      </c>
      <c r="F9" s="257">
        <v>338637370</v>
      </c>
      <c r="G9" s="257">
        <v>338637370</v>
      </c>
      <c r="H9" s="257">
        <v>0</v>
      </c>
      <c r="I9" s="257">
        <v>0</v>
      </c>
      <c r="J9" s="257">
        <v>0</v>
      </c>
      <c r="K9" s="257">
        <v>258109126.25</v>
      </c>
      <c r="L9" s="257"/>
      <c r="M9" s="257">
        <v>258109126.25</v>
      </c>
      <c r="N9" s="257"/>
      <c r="O9" s="257">
        <v>80528243.75</v>
      </c>
      <c r="P9" s="257">
        <v>80528243.75</v>
      </c>
    </row>
    <row r="10" spans="1:16" hidden="1" x14ac:dyDescent="0.25">
      <c r="A10" s="143" t="s">
        <v>696</v>
      </c>
      <c r="B10" s="143" t="s">
        <v>86</v>
      </c>
      <c r="C10" s="143" t="s">
        <v>87</v>
      </c>
      <c r="D10" s="143" t="s">
        <v>69</v>
      </c>
      <c r="E10" s="257">
        <v>110671900</v>
      </c>
      <c r="F10" s="257">
        <v>36177498</v>
      </c>
      <c r="G10" s="257">
        <v>36177498</v>
      </c>
      <c r="H10" s="257">
        <v>0</v>
      </c>
      <c r="I10" s="257">
        <v>8543.06</v>
      </c>
      <c r="J10" s="257">
        <v>0</v>
      </c>
      <c r="K10" s="257">
        <v>26643954.41</v>
      </c>
      <c r="L10" s="257"/>
      <c r="M10" s="257">
        <v>26582358.760000002</v>
      </c>
      <c r="N10" s="257"/>
      <c r="O10" s="257">
        <v>9525000.5299999993</v>
      </c>
      <c r="P10" s="257">
        <v>9525000.5299999993</v>
      </c>
    </row>
    <row r="11" spans="1:16" hidden="1" x14ac:dyDescent="0.25">
      <c r="A11" s="143" t="s">
        <v>696</v>
      </c>
      <c r="B11" s="143" t="s">
        <v>88</v>
      </c>
      <c r="C11" s="143" t="s">
        <v>89</v>
      </c>
      <c r="D11" s="143" t="s">
        <v>69</v>
      </c>
      <c r="E11" s="257">
        <v>87218400</v>
      </c>
      <c r="F11" s="257">
        <v>85471779</v>
      </c>
      <c r="G11" s="257">
        <v>85471779</v>
      </c>
      <c r="H11" s="257">
        <v>0</v>
      </c>
      <c r="I11" s="257">
        <v>0</v>
      </c>
      <c r="J11" s="257">
        <v>0</v>
      </c>
      <c r="K11" s="257">
        <v>63282744.530000001</v>
      </c>
      <c r="L11" s="257"/>
      <c r="M11" s="257">
        <v>63282744.530000001</v>
      </c>
      <c r="N11" s="257"/>
      <c r="O11" s="257">
        <v>22189034.469999999</v>
      </c>
      <c r="P11" s="257">
        <v>22189034.469999999</v>
      </c>
    </row>
    <row r="12" spans="1:16" hidden="1" x14ac:dyDescent="0.25">
      <c r="A12" s="143" t="s">
        <v>696</v>
      </c>
      <c r="B12" s="143" t="s">
        <v>83</v>
      </c>
      <c r="C12" s="143" t="s">
        <v>84</v>
      </c>
      <c r="D12" s="143" t="s">
        <v>85</v>
      </c>
      <c r="E12" s="257">
        <v>120263295</v>
      </c>
      <c r="F12" s="257">
        <v>114405951</v>
      </c>
      <c r="G12" s="257">
        <v>114405951</v>
      </c>
      <c r="H12" s="257">
        <v>0</v>
      </c>
      <c r="I12" s="257">
        <v>97042624.120000005</v>
      </c>
      <c r="J12" s="257">
        <v>0</v>
      </c>
      <c r="K12" s="257">
        <v>0</v>
      </c>
      <c r="L12" s="257"/>
      <c r="M12" s="257">
        <v>0</v>
      </c>
      <c r="N12" s="257"/>
      <c r="O12" s="257">
        <v>17363326.879999999</v>
      </c>
      <c r="P12" s="257">
        <v>17363326.879999999</v>
      </c>
    </row>
    <row r="13" spans="1:16" hidden="1" x14ac:dyDescent="0.25">
      <c r="A13" s="143" t="s">
        <v>696</v>
      </c>
      <c r="B13" s="143" t="s">
        <v>90</v>
      </c>
      <c r="C13" s="143" t="s">
        <v>91</v>
      </c>
      <c r="D13" s="143" t="s">
        <v>69</v>
      </c>
      <c r="E13" s="257">
        <v>140764376</v>
      </c>
      <c r="F13" s="257">
        <v>133908533</v>
      </c>
      <c r="G13" s="257">
        <v>133908533</v>
      </c>
      <c r="H13" s="257">
        <v>0</v>
      </c>
      <c r="I13" s="257">
        <v>35475594</v>
      </c>
      <c r="J13" s="257">
        <v>0</v>
      </c>
      <c r="K13" s="257">
        <v>98362939</v>
      </c>
      <c r="L13" s="257"/>
      <c r="M13" s="257">
        <v>98362939</v>
      </c>
      <c r="N13" s="257"/>
      <c r="O13" s="257">
        <v>70000</v>
      </c>
      <c r="P13" s="257">
        <v>70000</v>
      </c>
    </row>
    <row r="14" spans="1:16" hidden="1" x14ac:dyDescent="0.25">
      <c r="A14" s="143" t="s">
        <v>696</v>
      </c>
      <c r="B14" s="143" t="s">
        <v>416</v>
      </c>
      <c r="C14" s="143" t="s">
        <v>697</v>
      </c>
      <c r="D14" s="143" t="s">
        <v>69</v>
      </c>
      <c r="E14" s="257">
        <v>133545724</v>
      </c>
      <c r="F14" s="257">
        <v>127041476</v>
      </c>
      <c r="G14" s="257">
        <v>127041476</v>
      </c>
      <c r="H14" s="257">
        <v>0</v>
      </c>
      <c r="I14" s="257">
        <v>33652761</v>
      </c>
      <c r="J14" s="257">
        <v>0</v>
      </c>
      <c r="K14" s="257">
        <v>93318715</v>
      </c>
      <c r="L14" s="257"/>
      <c r="M14" s="257">
        <v>93318715</v>
      </c>
      <c r="N14" s="257"/>
      <c r="O14" s="257">
        <v>70000</v>
      </c>
      <c r="P14" s="257">
        <v>70000</v>
      </c>
    </row>
    <row r="15" spans="1:16" hidden="1" x14ac:dyDescent="0.25">
      <c r="A15" s="143" t="s">
        <v>696</v>
      </c>
      <c r="B15" s="143" t="s">
        <v>433</v>
      </c>
      <c r="C15" s="143" t="s">
        <v>95</v>
      </c>
      <c r="D15" s="143" t="s">
        <v>69</v>
      </c>
      <c r="E15" s="257">
        <v>7218652</v>
      </c>
      <c r="F15" s="257">
        <v>6867057</v>
      </c>
      <c r="G15" s="257">
        <v>6867057</v>
      </c>
      <c r="H15" s="257">
        <v>0</v>
      </c>
      <c r="I15" s="257">
        <v>1822833</v>
      </c>
      <c r="J15" s="257">
        <v>0</v>
      </c>
      <c r="K15" s="257">
        <v>5044224</v>
      </c>
      <c r="L15" s="257"/>
      <c r="M15" s="257">
        <v>5044224</v>
      </c>
      <c r="N15" s="257"/>
      <c r="O15" s="257">
        <v>0</v>
      </c>
      <c r="P15" s="257">
        <v>0</v>
      </c>
    </row>
    <row r="16" spans="1:16" hidden="1" x14ac:dyDescent="0.25">
      <c r="A16" s="143" t="s">
        <v>696</v>
      </c>
      <c r="B16" s="143" t="s">
        <v>96</v>
      </c>
      <c r="C16" s="143" t="s">
        <v>97</v>
      </c>
      <c r="D16" s="143" t="s">
        <v>69</v>
      </c>
      <c r="E16" s="257">
        <v>140764377</v>
      </c>
      <c r="F16" s="257">
        <v>133908546</v>
      </c>
      <c r="G16" s="257">
        <v>130308546</v>
      </c>
      <c r="H16" s="257">
        <v>0</v>
      </c>
      <c r="I16" s="257">
        <v>32106931</v>
      </c>
      <c r="J16" s="257">
        <v>0</v>
      </c>
      <c r="K16" s="257">
        <v>98201615</v>
      </c>
      <c r="L16" s="257"/>
      <c r="M16" s="257">
        <v>98201615</v>
      </c>
      <c r="N16" s="257"/>
      <c r="O16" s="257">
        <v>3600000</v>
      </c>
      <c r="P16" s="257">
        <v>0</v>
      </c>
    </row>
    <row r="17" spans="1:16" hidden="1" x14ac:dyDescent="0.25">
      <c r="A17" s="143" t="s">
        <v>696</v>
      </c>
      <c r="B17" s="143" t="s">
        <v>451</v>
      </c>
      <c r="C17" s="143" t="s">
        <v>698</v>
      </c>
      <c r="D17" s="143" t="s">
        <v>69</v>
      </c>
      <c r="E17" s="257">
        <v>75796203</v>
      </c>
      <c r="F17" s="257">
        <v>72104601</v>
      </c>
      <c r="G17" s="257">
        <v>72104601</v>
      </c>
      <c r="H17" s="257">
        <v>0</v>
      </c>
      <c r="I17" s="257">
        <v>19301285</v>
      </c>
      <c r="J17" s="257">
        <v>0</v>
      </c>
      <c r="K17" s="257">
        <v>52803316</v>
      </c>
      <c r="L17" s="257"/>
      <c r="M17" s="257">
        <v>52803316</v>
      </c>
      <c r="N17" s="257"/>
      <c r="O17" s="257">
        <v>0</v>
      </c>
      <c r="P17" s="257">
        <v>0</v>
      </c>
    </row>
    <row r="18" spans="1:16" hidden="1" x14ac:dyDescent="0.25">
      <c r="A18" s="143" t="s">
        <v>696</v>
      </c>
      <c r="B18" s="143" t="s">
        <v>468</v>
      </c>
      <c r="C18" s="143" t="s">
        <v>699</v>
      </c>
      <c r="D18" s="143" t="s">
        <v>69</v>
      </c>
      <c r="E18" s="257">
        <v>21656058</v>
      </c>
      <c r="F18" s="257">
        <v>20601312</v>
      </c>
      <c r="G18" s="257">
        <v>20601312</v>
      </c>
      <c r="H18" s="257">
        <v>0</v>
      </c>
      <c r="I18" s="257">
        <v>4110175</v>
      </c>
      <c r="J18" s="257">
        <v>0</v>
      </c>
      <c r="K18" s="257">
        <v>16491137</v>
      </c>
      <c r="L18" s="257"/>
      <c r="M18" s="257">
        <v>16491137</v>
      </c>
      <c r="N18" s="257"/>
      <c r="O18" s="257">
        <v>0</v>
      </c>
      <c r="P18" s="257">
        <v>0</v>
      </c>
    </row>
    <row r="19" spans="1:16" hidden="1" x14ac:dyDescent="0.25">
      <c r="A19" s="143" t="s">
        <v>696</v>
      </c>
      <c r="B19" s="143" t="s">
        <v>485</v>
      </c>
      <c r="C19" s="143" t="s">
        <v>700</v>
      </c>
      <c r="D19" s="143" t="s">
        <v>69</v>
      </c>
      <c r="E19" s="257">
        <v>43312116</v>
      </c>
      <c r="F19" s="257">
        <v>41202633</v>
      </c>
      <c r="G19" s="257">
        <v>37602633</v>
      </c>
      <c r="H19" s="257">
        <v>0</v>
      </c>
      <c r="I19" s="257">
        <v>8695471</v>
      </c>
      <c r="J19" s="257">
        <v>0</v>
      </c>
      <c r="K19" s="257">
        <v>28907162</v>
      </c>
      <c r="L19" s="257"/>
      <c r="M19" s="257">
        <v>28907162</v>
      </c>
      <c r="N19" s="257"/>
      <c r="O19" s="257">
        <v>3600000</v>
      </c>
      <c r="P19" s="257">
        <v>0</v>
      </c>
    </row>
    <row r="20" spans="1:16" hidden="1" x14ac:dyDescent="0.25">
      <c r="A20" s="143" t="s">
        <v>696</v>
      </c>
      <c r="B20" s="143" t="s">
        <v>104</v>
      </c>
      <c r="C20" s="143" t="s">
        <v>105</v>
      </c>
      <c r="D20" s="143" t="s">
        <v>69</v>
      </c>
      <c r="E20" s="257">
        <v>83371900</v>
      </c>
      <c r="F20" s="257">
        <v>66099608</v>
      </c>
      <c r="G20" s="257">
        <v>66099608</v>
      </c>
      <c r="H20" s="257">
        <v>0</v>
      </c>
      <c r="I20" s="257">
        <v>12462853.16</v>
      </c>
      <c r="J20" s="257">
        <v>475704.99</v>
      </c>
      <c r="K20" s="257">
        <v>42972666.369999997</v>
      </c>
      <c r="L20" s="257"/>
      <c r="M20" s="257">
        <v>39225508.789999999</v>
      </c>
      <c r="N20" s="257"/>
      <c r="O20" s="257">
        <v>10188383.48</v>
      </c>
      <c r="P20" s="257">
        <v>10188383.48</v>
      </c>
    </row>
    <row r="21" spans="1:16" hidden="1" x14ac:dyDescent="0.25">
      <c r="A21" s="143" t="s">
        <v>696</v>
      </c>
      <c r="B21" s="143" t="s">
        <v>106</v>
      </c>
      <c r="C21" s="143" t="s">
        <v>107</v>
      </c>
      <c r="D21" s="143" t="s">
        <v>69</v>
      </c>
      <c r="E21" s="257">
        <v>55749325</v>
      </c>
      <c r="F21" s="257">
        <v>54664325</v>
      </c>
      <c r="G21" s="257">
        <v>54664325</v>
      </c>
      <c r="H21" s="257">
        <v>0</v>
      </c>
      <c r="I21" s="257">
        <v>8343590.7300000004</v>
      </c>
      <c r="J21" s="257">
        <v>475704.99</v>
      </c>
      <c r="K21" s="257">
        <v>36014871.329999998</v>
      </c>
      <c r="L21" s="257"/>
      <c r="M21" s="257">
        <v>32267813.190000001</v>
      </c>
      <c r="N21" s="257"/>
      <c r="O21" s="257">
        <v>9830157.9499999993</v>
      </c>
      <c r="P21" s="257">
        <v>9830157.9499999993</v>
      </c>
    </row>
    <row r="22" spans="1:16" hidden="1" x14ac:dyDescent="0.25">
      <c r="A22" s="143" t="s">
        <v>696</v>
      </c>
      <c r="B22" s="143" t="s">
        <v>108</v>
      </c>
      <c r="C22" s="143" t="s">
        <v>109</v>
      </c>
      <c r="D22" s="143" t="s">
        <v>69</v>
      </c>
      <c r="E22" s="257">
        <v>55664325</v>
      </c>
      <c r="F22" s="257">
        <v>54664325</v>
      </c>
      <c r="G22" s="257">
        <v>54664325</v>
      </c>
      <c r="H22" s="257">
        <v>0</v>
      </c>
      <c r="I22" s="257">
        <v>8343590.7300000004</v>
      </c>
      <c r="J22" s="257">
        <v>475704.99</v>
      </c>
      <c r="K22" s="257">
        <v>36014871.329999998</v>
      </c>
      <c r="L22" s="257"/>
      <c r="M22" s="257">
        <v>32267813.190000001</v>
      </c>
      <c r="N22" s="257"/>
      <c r="O22" s="257">
        <v>9830157.9499999993</v>
      </c>
      <c r="P22" s="257">
        <v>9830157.9499999993</v>
      </c>
    </row>
    <row r="23" spans="1:16" hidden="1" x14ac:dyDescent="0.25">
      <c r="A23" s="143" t="s">
        <v>696</v>
      </c>
      <c r="B23" s="143" t="s">
        <v>110</v>
      </c>
      <c r="C23" s="143" t="s">
        <v>111</v>
      </c>
      <c r="D23" s="143" t="s">
        <v>69</v>
      </c>
      <c r="E23" s="257">
        <v>85000</v>
      </c>
      <c r="F23" s="257">
        <v>0</v>
      </c>
      <c r="G23" s="257">
        <v>0</v>
      </c>
      <c r="H23" s="257">
        <v>0</v>
      </c>
      <c r="I23" s="257">
        <v>0</v>
      </c>
      <c r="J23" s="257">
        <v>0</v>
      </c>
      <c r="K23" s="257">
        <v>0</v>
      </c>
      <c r="L23" s="257"/>
      <c r="M23" s="257">
        <v>0</v>
      </c>
      <c r="N23" s="257"/>
      <c r="O23" s="257">
        <v>0</v>
      </c>
      <c r="P23" s="257">
        <v>0</v>
      </c>
    </row>
    <row r="24" spans="1:16" hidden="1" x14ac:dyDescent="0.25">
      <c r="A24" s="143" t="s">
        <v>696</v>
      </c>
      <c r="B24" s="143" t="s">
        <v>124</v>
      </c>
      <c r="C24" s="143" t="s">
        <v>125</v>
      </c>
      <c r="D24" s="143" t="s">
        <v>69</v>
      </c>
      <c r="E24" s="257">
        <v>1900000</v>
      </c>
      <c r="F24" s="257">
        <v>680000</v>
      </c>
      <c r="G24" s="257">
        <v>680000</v>
      </c>
      <c r="H24" s="257">
        <v>0</v>
      </c>
      <c r="I24" s="257">
        <v>481455.88</v>
      </c>
      <c r="J24" s="257">
        <v>0</v>
      </c>
      <c r="K24" s="257">
        <v>196534.12</v>
      </c>
      <c r="L24" s="257"/>
      <c r="M24" s="257">
        <v>196434.68</v>
      </c>
      <c r="N24" s="257"/>
      <c r="O24" s="257">
        <v>2010</v>
      </c>
      <c r="P24" s="257">
        <v>2010</v>
      </c>
    </row>
    <row r="25" spans="1:16" hidden="1" x14ac:dyDescent="0.25">
      <c r="A25" s="143" t="s">
        <v>696</v>
      </c>
      <c r="B25" s="143" t="s">
        <v>128</v>
      </c>
      <c r="C25" s="143" t="s">
        <v>129</v>
      </c>
      <c r="D25" s="143" t="s">
        <v>69</v>
      </c>
      <c r="E25" s="257">
        <v>1250000</v>
      </c>
      <c r="F25" s="257">
        <v>380000</v>
      </c>
      <c r="G25" s="257">
        <v>380000</v>
      </c>
      <c r="H25" s="257">
        <v>0</v>
      </c>
      <c r="I25" s="257">
        <v>184180</v>
      </c>
      <c r="J25" s="257">
        <v>0</v>
      </c>
      <c r="K25" s="257">
        <v>195490</v>
      </c>
      <c r="L25" s="257"/>
      <c r="M25" s="257">
        <v>195490</v>
      </c>
      <c r="N25" s="257"/>
      <c r="O25" s="257">
        <v>330</v>
      </c>
      <c r="P25" s="257">
        <v>330</v>
      </c>
    </row>
    <row r="26" spans="1:16" hidden="1" x14ac:dyDescent="0.25">
      <c r="A26" s="143" t="s">
        <v>696</v>
      </c>
      <c r="B26" s="143" t="s">
        <v>130</v>
      </c>
      <c r="C26" s="143" t="s">
        <v>131</v>
      </c>
      <c r="D26" s="143" t="s">
        <v>69</v>
      </c>
      <c r="E26" s="257">
        <v>50000</v>
      </c>
      <c r="F26" s="257">
        <v>0</v>
      </c>
      <c r="G26" s="257">
        <v>0</v>
      </c>
      <c r="H26" s="257">
        <v>0</v>
      </c>
      <c r="I26" s="257">
        <v>0</v>
      </c>
      <c r="J26" s="257">
        <v>0</v>
      </c>
      <c r="K26" s="257">
        <v>0</v>
      </c>
      <c r="L26" s="257"/>
      <c r="M26" s="257">
        <v>0</v>
      </c>
      <c r="N26" s="257"/>
      <c r="O26" s="257">
        <v>0</v>
      </c>
      <c r="P26" s="257">
        <v>0</v>
      </c>
    </row>
    <row r="27" spans="1:16" hidden="1" x14ac:dyDescent="0.25">
      <c r="A27" s="143" t="s">
        <v>696</v>
      </c>
      <c r="B27" s="143" t="s">
        <v>132</v>
      </c>
      <c r="C27" s="143" t="s">
        <v>133</v>
      </c>
      <c r="D27" s="143" t="s">
        <v>69</v>
      </c>
      <c r="E27" s="257">
        <v>600000</v>
      </c>
      <c r="F27" s="257">
        <v>300000</v>
      </c>
      <c r="G27" s="257">
        <v>300000</v>
      </c>
      <c r="H27" s="257">
        <v>0</v>
      </c>
      <c r="I27" s="257">
        <v>297275.88</v>
      </c>
      <c r="J27" s="257">
        <v>0</v>
      </c>
      <c r="K27" s="257">
        <v>1044.1199999999999</v>
      </c>
      <c r="L27" s="257"/>
      <c r="M27" s="257">
        <v>944.68</v>
      </c>
      <c r="N27" s="257"/>
      <c r="O27" s="257">
        <v>1680</v>
      </c>
      <c r="P27" s="257">
        <v>1680</v>
      </c>
    </row>
    <row r="28" spans="1:16" hidden="1" x14ac:dyDescent="0.25">
      <c r="A28" s="143" t="s">
        <v>696</v>
      </c>
      <c r="B28" s="143" t="s">
        <v>140</v>
      </c>
      <c r="C28" s="143" t="s">
        <v>141</v>
      </c>
      <c r="D28" s="143" t="s">
        <v>69</v>
      </c>
      <c r="E28" s="257">
        <v>25000000</v>
      </c>
      <c r="F28" s="257">
        <v>10387708</v>
      </c>
      <c r="G28" s="257">
        <v>10387708</v>
      </c>
      <c r="H28" s="257">
        <v>0</v>
      </c>
      <c r="I28" s="257">
        <v>3273296.8</v>
      </c>
      <c r="J28" s="257">
        <v>0</v>
      </c>
      <c r="K28" s="257">
        <v>6761260.9199999999</v>
      </c>
      <c r="L28" s="257"/>
      <c r="M28" s="257">
        <v>6761260.9199999999</v>
      </c>
      <c r="N28" s="257"/>
      <c r="O28" s="257">
        <v>353150.28</v>
      </c>
      <c r="P28" s="257">
        <v>353150.28</v>
      </c>
    </row>
    <row r="29" spans="1:16" hidden="1" x14ac:dyDescent="0.25">
      <c r="A29" s="143" t="s">
        <v>696</v>
      </c>
      <c r="B29" s="143" t="s">
        <v>142</v>
      </c>
      <c r="C29" s="143" t="s">
        <v>143</v>
      </c>
      <c r="D29" s="143" t="s">
        <v>69</v>
      </c>
      <c r="E29" s="257">
        <v>100000</v>
      </c>
      <c r="F29" s="257">
        <v>65000</v>
      </c>
      <c r="G29" s="257">
        <v>65000</v>
      </c>
      <c r="H29" s="257">
        <v>0</v>
      </c>
      <c r="I29" s="257">
        <v>29340</v>
      </c>
      <c r="J29" s="257">
        <v>0</v>
      </c>
      <c r="K29" s="257">
        <v>35660</v>
      </c>
      <c r="L29" s="257"/>
      <c r="M29" s="257">
        <v>35660</v>
      </c>
      <c r="N29" s="257"/>
      <c r="O29" s="257">
        <v>0</v>
      </c>
      <c r="P29" s="257">
        <v>0</v>
      </c>
    </row>
    <row r="30" spans="1:16" hidden="1" x14ac:dyDescent="0.25">
      <c r="A30" s="143" t="s">
        <v>696</v>
      </c>
      <c r="B30" s="143" t="s">
        <v>144</v>
      </c>
      <c r="C30" s="143" t="s">
        <v>145</v>
      </c>
      <c r="D30" s="143" t="s">
        <v>69</v>
      </c>
      <c r="E30" s="257">
        <v>8085000</v>
      </c>
      <c r="F30" s="257">
        <v>4853850</v>
      </c>
      <c r="G30" s="257">
        <v>4853850</v>
      </c>
      <c r="H30" s="257">
        <v>0</v>
      </c>
      <c r="I30" s="257">
        <v>3237300</v>
      </c>
      <c r="J30" s="257">
        <v>0</v>
      </c>
      <c r="K30" s="257">
        <v>1263400</v>
      </c>
      <c r="L30" s="257"/>
      <c r="M30" s="257">
        <v>1263400</v>
      </c>
      <c r="N30" s="257"/>
      <c r="O30" s="257">
        <v>353150</v>
      </c>
      <c r="P30" s="257">
        <v>353150</v>
      </c>
    </row>
    <row r="31" spans="1:16" hidden="1" x14ac:dyDescent="0.25">
      <c r="A31" s="143" t="s">
        <v>696</v>
      </c>
      <c r="B31" s="143" t="s">
        <v>146</v>
      </c>
      <c r="C31" s="143" t="s">
        <v>147</v>
      </c>
      <c r="D31" s="143" t="s">
        <v>69</v>
      </c>
      <c r="E31" s="257">
        <v>8295000</v>
      </c>
      <c r="F31" s="257">
        <v>1585000</v>
      </c>
      <c r="G31" s="257">
        <v>1585000</v>
      </c>
      <c r="H31" s="257">
        <v>0</v>
      </c>
      <c r="I31" s="257">
        <v>6656.8</v>
      </c>
      <c r="J31" s="257">
        <v>0</v>
      </c>
      <c r="K31" s="257">
        <v>1578343.2</v>
      </c>
      <c r="L31" s="257"/>
      <c r="M31" s="257">
        <v>1578343.2</v>
      </c>
      <c r="N31" s="257"/>
      <c r="O31" s="257">
        <v>0</v>
      </c>
      <c r="P31" s="257">
        <v>0</v>
      </c>
    </row>
    <row r="32" spans="1:16" hidden="1" x14ac:dyDescent="0.25">
      <c r="A32" s="143" t="s">
        <v>696</v>
      </c>
      <c r="B32" s="143" t="s">
        <v>148</v>
      </c>
      <c r="C32" s="143" t="s">
        <v>149</v>
      </c>
      <c r="D32" s="143" t="s">
        <v>69</v>
      </c>
      <c r="E32" s="257">
        <v>8520000</v>
      </c>
      <c r="F32" s="257">
        <v>3883858</v>
      </c>
      <c r="G32" s="257">
        <v>3883858</v>
      </c>
      <c r="H32" s="257">
        <v>0</v>
      </c>
      <c r="I32" s="257">
        <v>0</v>
      </c>
      <c r="J32" s="257">
        <v>0</v>
      </c>
      <c r="K32" s="257">
        <v>3883857.72</v>
      </c>
      <c r="L32" s="257"/>
      <c r="M32" s="257">
        <v>3883857.72</v>
      </c>
      <c r="N32" s="257"/>
      <c r="O32" s="257">
        <v>0.28000000000000003</v>
      </c>
      <c r="P32" s="257">
        <v>0.28000000000000003</v>
      </c>
    </row>
    <row r="33" spans="1:16" hidden="1" x14ac:dyDescent="0.25">
      <c r="A33" s="143" t="s">
        <v>696</v>
      </c>
      <c r="B33" s="143" t="s">
        <v>154</v>
      </c>
      <c r="C33" s="143" t="s">
        <v>155</v>
      </c>
      <c r="D33" s="143" t="s">
        <v>69</v>
      </c>
      <c r="E33" s="257">
        <v>400000</v>
      </c>
      <c r="F33" s="257">
        <v>0</v>
      </c>
      <c r="G33" s="257">
        <v>0</v>
      </c>
      <c r="H33" s="257">
        <v>0</v>
      </c>
      <c r="I33" s="257">
        <v>0</v>
      </c>
      <c r="J33" s="257">
        <v>0</v>
      </c>
      <c r="K33" s="257">
        <v>0</v>
      </c>
      <c r="L33" s="257"/>
      <c r="M33" s="257">
        <v>0</v>
      </c>
      <c r="N33" s="257"/>
      <c r="O33" s="257">
        <v>0</v>
      </c>
      <c r="P33" s="257">
        <v>0</v>
      </c>
    </row>
    <row r="34" spans="1:16" hidden="1" x14ac:dyDescent="0.25">
      <c r="A34" s="143" t="s">
        <v>696</v>
      </c>
      <c r="B34" s="143" t="s">
        <v>160</v>
      </c>
      <c r="C34" s="143" t="s">
        <v>161</v>
      </c>
      <c r="D34" s="143" t="s">
        <v>69</v>
      </c>
      <c r="E34" s="257">
        <v>400000</v>
      </c>
      <c r="F34" s="257">
        <v>0</v>
      </c>
      <c r="G34" s="257">
        <v>0</v>
      </c>
      <c r="H34" s="257">
        <v>0</v>
      </c>
      <c r="I34" s="257">
        <v>0</v>
      </c>
      <c r="J34" s="257">
        <v>0</v>
      </c>
      <c r="K34" s="257">
        <v>0</v>
      </c>
      <c r="L34" s="257"/>
      <c r="M34" s="257">
        <v>0</v>
      </c>
      <c r="N34" s="257"/>
      <c r="O34" s="257">
        <v>0</v>
      </c>
      <c r="P34" s="257">
        <v>0</v>
      </c>
    </row>
    <row r="35" spans="1:16" hidden="1" x14ac:dyDescent="0.25">
      <c r="A35" s="143" t="s">
        <v>696</v>
      </c>
      <c r="B35" s="143" t="s">
        <v>162</v>
      </c>
      <c r="C35" s="143" t="s">
        <v>163</v>
      </c>
      <c r="D35" s="143" t="s">
        <v>69</v>
      </c>
      <c r="E35" s="257">
        <v>322575</v>
      </c>
      <c r="F35" s="257">
        <v>367575</v>
      </c>
      <c r="G35" s="257">
        <v>367575</v>
      </c>
      <c r="H35" s="257">
        <v>0</v>
      </c>
      <c r="I35" s="257">
        <v>364509.75</v>
      </c>
      <c r="J35" s="257">
        <v>0</v>
      </c>
      <c r="K35" s="257">
        <v>0</v>
      </c>
      <c r="L35" s="257"/>
      <c r="M35" s="257">
        <v>0</v>
      </c>
      <c r="N35" s="257"/>
      <c r="O35" s="257">
        <v>3065.25</v>
      </c>
      <c r="P35" s="257">
        <v>3065.25</v>
      </c>
    </row>
    <row r="36" spans="1:16" hidden="1" x14ac:dyDescent="0.25">
      <c r="A36" s="143" t="s">
        <v>696</v>
      </c>
      <c r="B36" s="143" t="s">
        <v>170</v>
      </c>
      <c r="C36" s="143" t="s">
        <v>171</v>
      </c>
      <c r="D36" s="143" t="s">
        <v>69</v>
      </c>
      <c r="E36" s="257">
        <v>322575</v>
      </c>
      <c r="F36" s="257">
        <v>367575</v>
      </c>
      <c r="G36" s="257">
        <v>367575</v>
      </c>
      <c r="H36" s="257">
        <v>0</v>
      </c>
      <c r="I36" s="257">
        <v>364509.75</v>
      </c>
      <c r="J36" s="257">
        <v>0</v>
      </c>
      <c r="K36" s="257">
        <v>0</v>
      </c>
      <c r="L36" s="257"/>
      <c r="M36" s="257">
        <v>0</v>
      </c>
      <c r="N36" s="257"/>
      <c r="O36" s="257">
        <v>3065.25</v>
      </c>
      <c r="P36" s="257">
        <v>3065.25</v>
      </c>
    </row>
    <row r="37" spans="1:16" hidden="1" x14ac:dyDescent="0.25">
      <c r="A37" s="143" t="s">
        <v>696</v>
      </c>
      <c r="B37" s="143" t="s">
        <v>184</v>
      </c>
      <c r="C37" s="143" t="s">
        <v>185</v>
      </c>
      <c r="D37" s="143" t="s">
        <v>69</v>
      </c>
      <c r="E37" s="257">
        <v>4976400</v>
      </c>
      <c r="F37" s="257">
        <v>3876300</v>
      </c>
      <c r="G37" s="257">
        <v>3876300</v>
      </c>
      <c r="H37" s="257">
        <v>0</v>
      </c>
      <c r="I37" s="257">
        <v>357534.01</v>
      </c>
      <c r="J37" s="257">
        <v>0</v>
      </c>
      <c r="K37" s="257">
        <v>3228022.94</v>
      </c>
      <c r="L37" s="257"/>
      <c r="M37" s="257">
        <v>3228022.94</v>
      </c>
      <c r="N37" s="257"/>
      <c r="O37" s="257">
        <v>290743.05</v>
      </c>
      <c r="P37" s="257">
        <v>290743.05</v>
      </c>
    </row>
    <row r="38" spans="1:16" hidden="1" x14ac:dyDescent="0.25">
      <c r="A38" s="143" t="s">
        <v>696</v>
      </c>
      <c r="B38" s="143" t="s">
        <v>186</v>
      </c>
      <c r="C38" s="143" t="s">
        <v>187</v>
      </c>
      <c r="D38" s="143" t="s">
        <v>69</v>
      </c>
      <c r="E38" s="257">
        <v>43000</v>
      </c>
      <c r="F38" s="257">
        <v>0</v>
      </c>
      <c r="G38" s="257">
        <v>0</v>
      </c>
      <c r="H38" s="257">
        <v>0</v>
      </c>
      <c r="I38" s="257">
        <v>0</v>
      </c>
      <c r="J38" s="257">
        <v>0</v>
      </c>
      <c r="K38" s="257">
        <v>0</v>
      </c>
      <c r="L38" s="257"/>
      <c r="M38" s="257">
        <v>0</v>
      </c>
      <c r="N38" s="257"/>
      <c r="O38" s="257">
        <v>0</v>
      </c>
      <c r="P38" s="257">
        <v>0</v>
      </c>
    </row>
    <row r="39" spans="1:16" hidden="1" x14ac:dyDescent="0.25">
      <c r="A39" s="143" t="s">
        <v>696</v>
      </c>
      <c r="B39" s="143" t="s">
        <v>192</v>
      </c>
      <c r="C39" s="143" t="s">
        <v>193</v>
      </c>
      <c r="D39" s="143" t="s">
        <v>69</v>
      </c>
      <c r="E39" s="257">
        <v>43000</v>
      </c>
      <c r="F39" s="257">
        <v>0</v>
      </c>
      <c r="G39" s="257">
        <v>0</v>
      </c>
      <c r="H39" s="257">
        <v>0</v>
      </c>
      <c r="I39" s="257">
        <v>0</v>
      </c>
      <c r="J39" s="257">
        <v>0</v>
      </c>
      <c r="K39" s="257">
        <v>0</v>
      </c>
      <c r="L39" s="257"/>
      <c r="M39" s="257">
        <v>0</v>
      </c>
      <c r="N39" s="257"/>
      <c r="O39" s="257">
        <v>0</v>
      </c>
      <c r="P39" s="257">
        <v>0</v>
      </c>
    </row>
    <row r="40" spans="1:16" hidden="1" x14ac:dyDescent="0.25">
      <c r="A40" s="143" t="s">
        <v>696</v>
      </c>
      <c r="B40" s="143" t="s">
        <v>206</v>
      </c>
      <c r="C40" s="143" t="s">
        <v>207</v>
      </c>
      <c r="D40" s="143" t="s">
        <v>69</v>
      </c>
      <c r="E40" s="257">
        <v>49000</v>
      </c>
      <c r="F40" s="257">
        <v>0</v>
      </c>
      <c r="G40" s="257">
        <v>0</v>
      </c>
      <c r="H40" s="257">
        <v>0</v>
      </c>
      <c r="I40" s="257">
        <v>0</v>
      </c>
      <c r="J40" s="257">
        <v>0</v>
      </c>
      <c r="K40" s="257">
        <v>0</v>
      </c>
      <c r="L40" s="257"/>
      <c r="M40" s="257">
        <v>0</v>
      </c>
      <c r="N40" s="257"/>
      <c r="O40" s="257">
        <v>0</v>
      </c>
      <c r="P40" s="257">
        <v>0</v>
      </c>
    </row>
    <row r="41" spans="1:16" hidden="1" x14ac:dyDescent="0.25">
      <c r="A41" s="143" t="s">
        <v>696</v>
      </c>
      <c r="B41" s="143" t="s">
        <v>208</v>
      </c>
      <c r="C41" s="143" t="s">
        <v>209</v>
      </c>
      <c r="D41" s="143" t="s">
        <v>69</v>
      </c>
      <c r="E41" s="257">
        <v>49000</v>
      </c>
      <c r="F41" s="257">
        <v>0</v>
      </c>
      <c r="G41" s="257">
        <v>0</v>
      </c>
      <c r="H41" s="257">
        <v>0</v>
      </c>
      <c r="I41" s="257">
        <v>0</v>
      </c>
      <c r="J41" s="257">
        <v>0</v>
      </c>
      <c r="K41" s="257">
        <v>0</v>
      </c>
      <c r="L41" s="257"/>
      <c r="M41" s="257">
        <v>0</v>
      </c>
      <c r="N41" s="257"/>
      <c r="O41" s="257">
        <v>0</v>
      </c>
      <c r="P41" s="257">
        <v>0</v>
      </c>
    </row>
    <row r="42" spans="1:16" hidden="1" x14ac:dyDescent="0.25">
      <c r="A42" s="143" t="s">
        <v>696</v>
      </c>
      <c r="B42" s="143" t="s">
        <v>212</v>
      </c>
      <c r="C42" s="143" t="s">
        <v>213</v>
      </c>
      <c r="D42" s="143" t="s">
        <v>69</v>
      </c>
      <c r="E42" s="257">
        <v>4884400</v>
      </c>
      <c r="F42" s="257">
        <v>3876300</v>
      </c>
      <c r="G42" s="257">
        <v>3876300</v>
      </c>
      <c r="H42" s="257">
        <v>0</v>
      </c>
      <c r="I42" s="257">
        <v>357534.01</v>
      </c>
      <c r="J42" s="257">
        <v>0</v>
      </c>
      <c r="K42" s="257">
        <v>3228022.94</v>
      </c>
      <c r="L42" s="257"/>
      <c r="M42" s="257">
        <v>3228022.94</v>
      </c>
      <c r="N42" s="257"/>
      <c r="O42" s="257">
        <v>290743.05</v>
      </c>
      <c r="P42" s="257">
        <v>290743.05</v>
      </c>
    </row>
    <row r="43" spans="1:16" hidden="1" x14ac:dyDescent="0.25">
      <c r="A43" s="143" t="s">
        <v>696</v>
      </c>
      <c r="B43" s="143" t="s">
        <v>214</v>
      </c>
      <c r="C43" s="143" t="s">
        <v>215</v>
      </c>
      <c r="D43" s="143" t="s">
        <v>69</v>
      </c>
      <c r="E43" s="257">
        <v>2500000</v>
      </c>
      <c r="F43" s="257">
        <v>1950000</v>
      </c>
      <c r="G43" s="257">
        <v>1950000</v>
      </c>
      <c r="H43" s="257">
        <v>0</v>
      </c>
      <c r="I43" s="257">
        <v>357534.01</v>
      </c>
      <c r="J43" s="257">
        <v>0</v>
      </c>
      <c r="K43" s="257">
        <v>1484670.15</v>
      </c>
      <c r="L43" s="257"/>
      <c r="M43" s="257">
        <v>1484670.15</v>
      </c>
      <c r="N43" s="257"/>
      <c r="O43" s="257">
        <v>107795.84</v>
      </c>
      <c r="P43" s="257">
        <v>107795.84</v>
      </c>
    </row>
    <row r="44" spans="1:16" hidden="1" x14ac:dyDescent="0.25">
      <c r="A44" s="143" t="s">
        <v>696</v>
      </c>
      <c r="B44" s="143" t="s">
        <v>218</v>
      </c>
      <c r="C44" s="143" t="s">
        <v>219</v>
      </c>
      <c r="D44" s="143" t="s">
        <v>69</v>
      </c>
      <c r="E44" s="257">
        <v>1800000</v>
      </c>
      <c r="F44" s="257">
        <v>1476300</v>
      </c>
      <c r="G44" s="257">
        <v>1476300</v>
      </c>
      <c r="H44" s="257">
        <v>0</v>
      </c>
      <c r="I44" s="257">
        <v>0</v>
      </c>
      <c r="J44" s="257">
        <v>0</v>
      </c>
      <c r="K44" s="257">
        <v>1430237.18</v>
      </c>
      <c r="L44" s="257"/>
      <c r="M44" s="257">
        <v>1430237.18</v>
      </c>
      <c r="N44" s="257"/>
      <c r="O44" s="257">
        <v>46062.82</v>
      </c>
      <c r="P44" s="257">
        <v>46062.82</v>
      </c>
    </row>
    <row r="45" spans="1:16" hidden="1" x14ac:dyDescent="0.25">
      <c r="A45" s="143" t="s">
        <v>696</v>
      </c>
      <c r="B45" s="143" t="s">
        <v>222</v>
      </c>
      <c r="C45" s="143" t="s">
        <v>223</v>
      </c>
      <c r="D45" s="143" t="s">
        <v>69</v>
      </c>
      <c r="E45" s="257">
        <v>500000</v>
      </c>
      <c r="F45" s="257">
        <v>450000</v>
      </c>
      <c r="G45" s="257">
        <v>450000</v>
      </c>
      <c r="H45" s="257">
        <v>0</v>
      </c>
      <c r="I45" s="257">
        <v>0</v>
      </c>
      <c r="J45" s="257">
        <v>0</v>
      </c>
      <c r="K45" s="257">
        <v>313115.61</v>
      </c>
      <c r="L45" s="257"/>
      <c r="M45" s="257">
        <v>313115.61</v>
      </c>
      <c r="N45" s="257"/>
      <c r="O45" s="257">
        <v>136884.39000000001</v>
      </c>
      <c r="P45" s="257">
        <v>136884.39000000001</v>
      </c>
    </row>
    <row r="46" spans="1:16" hidden="1" x14ac:dyDescent="0.25">
      <c r="A46" s="143" t="s">
        <v>696</v>
      </c>
      <c r="B46" s="143" t="s">
        <v>226</v>
      </c>
      <c r="C46" s="143" t="s">
        <v>227</v>
      </c>
      <c r="D46" s="143" t="s">
        <v>69</v>
      </c>
      <c r="E46" s="257">
        <v>37400</v>
      </c>
      <c r="F46" s="257">
        <v>0</v>
      </c>
      <c r="G46" s="257">
        <v>0</v>
      </c>
      <c r="H46" s="257">
        <v>0</v>
      </c>
      <c r="I46" s="257">
        <v>0</v>
      </c>
      <c r="J46" s="257">
        <v>0</v>
      </c>
      <c r="K46" s="257">
        <v>0</v>
      </c>
      <c r="L46" s="257"/>
      <c r="M46" s="257">
        <v>0</v>
      </c>
      <c r="N46" s="257"/>
      <c r="O46" s="257">
        <v>0</v>
      </c>
      <c r="P46" s="257">
        <v>0</v>
      </c>
    </row>
    <row r="47" spans="1:16" hidden="1" x14ac:dyDescent="0.25">
      <c r="A47" s="143" t="s">
        <v>696</v>
      </c>
      <c r="B47" s="143" t="s">
        <v>228</v>
      </c>
      <c r="C47" s="143" t="s">
        <v>229</v>
      </c>
      <c r="D47" s="143" t="s">
        <v>69</v>
      </c>
      <c r="E47" s="257">
        <v>47000</v>
      </c>
      <c r="F47" s="257">
        <v>0</v>
      </c>
      <c r="G47" s="257">
        <v>0</v>
      </c>
      <c r="H47" s="257">
        <v>0</v>
      </c>
      <c r="I47" s="257">
        <v>0</v>
      </c>
      <c r="J47" s="257">
        <v>0</v>
      </c>
      <c r="K47" s="257">
        <v>0</v>
      </c>
      <c r="L47" s="257"/>
      <c r="M47" s="257">
        <v>0</v>
      </c>
      <c r="N47" s="257"/>
      <c r="O47" s="257">
        <v>0</v>
      </c>
      <c r="P47" s="257">
        <v>0</v>
      </c>
    </row>
    <row r="48" spans="1:16" hidden="1" x14ac:dyDescent="0.25">
      <c r="A48" s="143" t="s">
        <v>696</v>
      </c>
      <c r="B48" s="143" t="s">
        <v>248</v>
      </c>
      <c r="C48" s="143" t="s">
        <v>249</v>
      </c>
      <c r="D48" s="143" t="s">
        <v>69</v>
      </c>
      <c r="E48" s="257">
        <v>314465910</v>
      </c>
      <c r="F48" s="257">
        <v>322298642</v>
      </c>
      <c r="G48" s="257">
        <v>322298642</v>
      </c>
      <c r="H48" s="257">
        <v>0</v>
      </c>
      <c r="I48" s="257">
        <v>44620978.619999997</v>
      </c>
      <c r="J48" s="257">
        <v>0</v>
      </c>
      <c r="K48" s="257">
        <v>269589651.80000001</v>
      </c>
      <c r="L48" s="257"/>
      <c r="M48" s="257">
        <v>268312236.33000001</v>
      </c>
      <c r="N48" s="257"/>
      <c r="O48" s="257">
        <v>8088011.5800000001</v>
      </c>
      <c r="P48" s="257">
        <v>8088011.5800000001</v>
      </c>
    </row>
    <row r="49" spans="1:16" hidden="1" x14ac:dyDescent="0.25">
      <c r="A49" s="143" t="s">
        <v>696</v>
      </c>
      <c r="B49" s="143" t="s">
        <v>250</v>
      </c>
      <c r="C49" s="143" t="s">
        <v>251</v>
      </c>
      <c r="D49" s="143" t="s">
        <v>69</v>
      </c>
      <c r="E49" s="257">
        <v>281465910</v>
      </c>
      <c r="F49" s="257">
        <v>280298642</v>
      </c>
      <c r="G49" s="257">
        <v>280298642</v>
      </c>
      <c r="H49" s="257">
        <v>0</v>
      </c>
      <c r="I49" s="257">
        <v>42973481</v>
      </c>
      <c r="J49" s="257">
        <v>0</v>
      </c>
      <c r="K49" s="257">
        <v>237299850</v>
      </c>
      <c r="L49" s="257"/>
      <c r="M49" s="257">
        <v>237299850</v>
      </c>
      <c r="N49" s="257"/>
      <c r="O49" s="257">
        <v>25311</v>
      </c>
      <c r="P49" s="257">
        <v>25311</v>
      </c>
    </row>
    <row r="50" spans="1:16" hidden="1" x14ac:dyDescent="0.25">
      <c r="A50" s="143" t="s">
        <v>696</v>
      </c>
      <c r="B50" s="143" t="s">
        <v>619</v>
      </c>
      <c r="C50" s="143" t="s">
        <v>701</v>
      </c>
      <c r="D50" s="143" t="s">
        <v>69</v>
      </c>
      <c r="E50" s="257">
        <v>257500000</v>
      </c>
      <c r="F50" s="257">
        <v>257500000</v>
      </c>
      <c r="G50" s="257">
        <v>257500000</v>
      </c>
      <c r="H50" s="257">
        <v>0</v>
      </c>
      <c r="I50" s="257">
        <v>36785715</v>
      </c>
      <c r="J50" s="257">
        <v>0</v>
      </c>
      <c r="K50" s="257">
        <v>220714284</v>
      </c>
      <c r="L50" s="257"/>
      <c r="M50" s="257">
        <v>220714284</v>
      </c>
      <c r="N50" s="257"/>
      <c r="O50" s="257">
        <v>1</v>
      </c>
      <c r="P50" s="257">
        <v>1</v>
      </c>
    </row>
    <row r="51" spans="1:16" hidden="1" x14ac:dyDescent="0.25">
      <c r="A51" s="143" t="s">
        <v>696</v>
      </c>
      <c r="B51" s="143" t="s">
        <v>625</v>
      </c>
      <c r="C51" s="143" t="s">
        <v>702</v>
      </c>
      <c r="D51" s="143" t="s">
        <v>69</v>
      </c>
      <c r="E51" s="257">
        <v>20356634</v>
      </c>
      <c r="F51" s="257">
        <v>19365163</v>
      </c>
      <c r="G51" s="257">
        <v>19365163</v>
      </c>
      <c r="H51" s="257">
        <v>0</v>
      </c>
      <c r="I51" s="257">
        <v>5301723</v>
      </c>
      <c r="J51" s="257">
        <v>0</v>
      </c>
      <c r="K51" s="257">
        <v>14063438</v>
      </c>
      <c r="L51" s="257"/>
      <c r="M51" s="257">
        <v>14063438</v>
      </c>
      <c r="N51" s="257"/>
      <c r="O51" s="257">
        <v>2</v>
      </c>
      <c r="P51" s="257">
        <v>2</v>
      </c>
    </row>
    <row r="52" spans="1:16" hidden="1" x14ac:dyDescent="0.25">
      <c r="A52" s="143" t="s">
        <v>696</v>
      </c>
      <c r="B52" s="143" t="s">
        <v>640</v>
      </c>
      <c r="C52" s="143" t="s">
        <v>703</v>
      </c>
      <c r="D52" s="143" t="s">
        <v>69</v>
      </c>
      <c r="E52" s="257">
        <v>3609276</v>
      </c>
      <c r="F52" s="257">
        <v>3433479</v>
      </c>
      <c r="G52" s="257">
        <v>3433479</v>
      </c>
      <c r="H52" s="257">
        <v>0</v>
      </c>
      <c r="I52" s="257">
        <v>886043</v>
      </c>
      <c r="J52" s="257">
        <v>0</v>
      </c>
      <c r="K52" s="257">
        <v>2522128</v>
      </c>
      <c r="L52" s="257"/>
      <c r="M52" s="257">
        <v>2522128</v>
      </c>
      <c r="N52" s="257"/>
      <c r="O52" s="257">
        <v>25308</v>
      </c>
      <c r="P52" s="257">
        <v>25308</v>
      </c>
    </row>
    <row r="53" spans="1:16" hidden="1" x14ac:dyDescent="0.25">
      <c r="A53" s="143" t="s">
        <v>696</v>
      </c>
      <c r="B53" s="143" t="s">
        <v>260</v>
      </c>
      <c r="C53" s="143" t="s">
        <v>261</v>
      </c>
      <c r="D53" s="143" t="s">
        <v>69</v>
      </c>
      <c r="E53" s="257">
        <v>33000000</v>
      </c>
      <c r="F53" s="257">
        <v>42000000</v>
      </c>
      <c r="G53" s="257">
        <v>42000000</v>
      </c>
      <c r="H53" s="257">
        <v>0</v>
      </c>
      <c r="I53" s="257">
        <v>1647497.62</v>
      </c>
      <c r="J53" s="257">
        <v>0</v>
      </c>
      <c r="K53" s="257">
        <v>32289801.800000001</v>
      </c>
      <c r="L53" s="257"/>
      <c r="M53" s="257">
        <v>31012386.329999998</v>
      </c>
      <c r="N53" s="257"/>
      <c r="O53" s="257">
        <v>8062700.5800000001</v>
      </c>
      <c r="P53" s="257">
        <v>8062700.5800000001</v>
      </c>
    </row>
    <row r="54" spans="1:16" hidden="1" x14ac:dyDescent="0.25">
      <c r="A54" s="143" t="s">
        <v>696</v>
      </c>
      <c r="B54" s="143" t="s">
        <v>262</v>
      </c>
      <c r="C54" s="143" t="s">
        <v>263</v>
      </c>
      <c r="D54" s="143" t="s">
        <v>69</v>
      </c>
      <c r="E54" s="257">
        <v>23000000</v>
      </c>
      <c r="F54" s="257">
        <v>23000000</v>
      </c>
      <c r="G54" s="257">
        <v>23000000</v>
      </c>
      <c r="H54" s="257">
        <v>0</v>
      </c>
      <c r="I54" s="257">
        <v>1647497.62</v>
      </c>
      <c r="J54" s="257">
        <v>0</v>
      </c>
      <c r="K54" s="257">
        <v>17919703.300000001</v>
      </c>
      <c r="L54" s="257"/>
      <c r="M54" s="257">
        <v>16642287.83</v>
      </c>
      <c r="N54" s="257"/>
      <c r="O54" s="257">
        <v>3432799.08</v>
      </c>
      <c r="P54" s="257">
        <v>3432799.08</v>
      </c>
    </row>
    <row r="55" spans="1:16" hidden="1" x14ac:dyDescent="0.25">
      <c r="A55" s="143" t="s">
        <v>696</v>
      </c>
      <c r="B55" s="143" t="s">
        <v>264</v>
      </c>
      <c r="C55" s="143" t="s">
        <v>265</v>
      </c>
      <c r="D55" s="143" t="s">
        <v>69</v>
      </c>
      <c r="E55" s="257">
        <v>10000000</v>
      </c>
      <c r="F55" s="257">
        <v>19000000</v>
      </c>
      <c r="G55" s="257">
        <v>19000000</v>
      </c>
      <c r="H55" s="257">
        <v>0</v>
      </c>
      <c r="I55" s="257">
        <v>0</v>
      </c>
      <c r="J55" s="257">
        <v>0</v>
      </c>
      <c r="K55" s="257">
        <v>14370098.5</v>
      </c>
      <c r="L55" s="257"/>
      <c r="M55" s="257">
        <v>14370098.5</v>
      </c>
      <c r="N55" s="257"/>
      <c r="O55" s="257">
        <v>4629901.5</v>
      </c>
      <c r="P55" s="257">
        <v>4629901.5</v>
      </c>
    </row>
    <row r="56" spans="1:16" hidden="1" x14ac:dyDescent="0.25">
      <c r="A56" s="143" t="s">
        <v>696</v>
      </c>
      <c r="B56" s="143" t="s">
        <v>230</v>
      </c>
      <c r="C56" s="143" t="s">
        <v>231</v>
      </c>
      <c r="D56" s="143" t="s">
        <v>85</v>
      </c>
      <c r="E56" s="257">
        <v>4220000</v>
      </c>
      <c r="F56" s="257">
        <v>3050000</v>
      </c>
      <c r="G56" s="257">
        <v>3050000</v>
      </c>
      <c r="H56" s="257">
        <v>0</v>
      </c>
      <c r="I56" s="257">
        <v>0.02</v>
      </c>
      <c r="J56" s="257">
        <v>0</v>
      </c>
      <c r="K56" s="257">
        <v>2343992.0299999998</v>
      </c>
      <c r="L56" s="257"/>
      <c r="M56" s="257">
        <v>2343992.0299999998</v>
      </c>
      <c r="N56" s="257"/>
      <c r="O56" s="257">
        <v>706007.95</v>
      </c>
      <c r="P56" s="257">
        <v>706007.95</v>
      </c>
    </row>
    <row r="57" spans="1:16" hidden="1" x14ac:dyDescent="0.25">
      <c r="A57" s="143" t="s">
        <v>696</v>
      </c>
      <c r="B57" s="143" t="s">
        <v>232</v>
      </c>
      <c r="C57" s="143" t="s">
        <v>233</v>
      </c>
      <c r="D57" s="143" t="s">
        <v>85</v>
      </c>
      <c r="E57" s="257">
        <v>3320000</v>
      </c>
      <c r="F57" s="257">
        <v>3050000</v>
      </c>
      <c r="G57" s="257">
        <v>3050000</v>
      </c>
      <c r="H57" s="257">
        <v>0</v>
      </c>
      <c r="I57" s="257">
        <v>0.02</v>
      </c>
      <c r="J57" s="257">
        <v>0</v>
      </c>
      <c r="K57" s="257">
        <v>2343992.0299999998</v>
      </c>
      <c r="L57" s="257"/>
      <c r="M57" s="257">
        <v>2343992.0299999998</v>
      </c>
      <c r="N57" s="257"/>
      <c r="O57" s="257">
        <v>706007.95</v>
      </c>
      <c r="P57" s="257">
        <v>706007.95</v>
      </c>
    </row>
    <row r="58" spans="1:16" hidden="1" x14ac:dyDescent="0.25">
      <c r="A58" s="143" t="s">
        <v>696</v>
      </c>
      <c r="B58" s="143" t="s">
        <v>236</v>
      </c>
      <c r="C58" s="143" t="s">
        <v>237</v>
      </c>
      <c r="D58" s="143" t="s">
        <v>85</v>
      </c>
      <c r="E58" s="257">
        <v>120000</v>
      </c>
      <c r="F58" s="257">
        <v>0</v>
      </c>
      <c r="G58" s="257">
        <v>0</v>
      </c>
      <c r="H58" s="257">
        <v>0</v>
      </c>
      <c r="I58" s="257">
        <v>0</v>
      </c>
      <c r="J58" s="257">
        <v>0</v>
      </c>
      <c r="K58" s="257">
        <v>0</v>
      </c>
      <c r="L58" s="257"/>
      <c r="M58" s="257">
        <v>0</v>
      </c>
      <c r="N58" s="257"/>
      <c r="O58" s="257">
        <v>0</v>
      </c>
      <c r="P58" s="257">
        <v>0</v>
      </c>
    </row>
    <row r="59" spans="1:16" hidden="1" x14ac:dyDescent="0.25">
      <c r="A59" s="143" t="s">
        <v>696</v>
      </c>
      <c r="B59" s="143" t="s">
        <v>238</v>
      </c>
      <c r="C59" s="143" t="s">
        <v>239</v>
      </c>
      <c r="D59" s="143" t="s">
        <v>85</v>
      </c>
      <c r="E59" s="257">
        <v>3200000</v>
      </c>
      <c r="F59" s="257">
        <v>3050000</v>
      </c>
      <c r="G59" s="257">
        <v>3050000</v>
      </c>
      <c r="H59" s="257">
        <v>0</v>
      </c>
      <c r="I59" s="257">
        <v>0.02</v>
      </c>
      <c r="J59" s="257">
        <v>0</v>
      </c>
      <c r="K59" s="257">
        <v>2343992.0299999998</v>
      </c>
      <c r="L59" s="257"/>
      <c r="M59" s="257">
        <v>2343992.0299999998</v>
      </c>
      <c r="N59" s="257"/>
      <c r="O59" s="257">
        <v>706007.95</v>
      </c>
      <c r="P59" s="257">
        <v>706007.95</v>
      </c>
    </row>
    <row r="60" spans="1:16" hidden="1" x14ac:dyDescent="0.25">
      <c r="A60" s="143" t="s">
        <v>696</v>
      </c>
      <c r="B60" s="143" t="s">
        <v>244</v>
      </c>
      <c r="C60" s="143" t="s">
        <v>245</v>
      </c>
      <c r="D60" s="143" t="s">
        <v>85</v>
      </c>
      <c r="E60" s="257">
        <v>900000</v>
      </c>
      <c r="F60" s="257">
        <v>0</v>
      </c>
      <c r="G60" s="257">
        <v>0</v>
      </c>
      <c r="H60" s="257">
        <v>0</v>
      </c>
      <c r="I60" s="257">
        <v>0</v>
      </c>
      <c r="J60" s="257">
        <v>0</v>
      </c>
      <c r="K60" s="257">
        <v>0</v>
      </c>
      <c r="L60" s="257"/>
      <c r="M60" s="257">
        <v>0</v>
      </c>
      <c r="N60" s="257"/>
      <c r="O60" s="257">
        <v>0</v>
      </c>
      <c r="P60" s="257">
        <v>0</v>
      </c>
    </row>
    <row r="61" spans="1:16" hidden="1" x14ac:dyDescent="0.25">
      <c r="A61" s="143" t="s">
        <v>696</v>
      </c>
      <c r="B61" s="143" t="s">
        <v>246</v>
      </c>
      <c r="C61" s="143" t="s">
        <v>247</v>
      </c>
      <c r="D61" s="143" t="s">
        <v>85</v>
      </c>
      <c r="E61" s="257">
        <v>900000</v>
      </c>
      <c r="F61" s="257">
        <v>0</v>
      </c>
      <c r="G61" s="257">
        <v>0</v>
      </c>
      <c r="H61" s="257">
        <v>0</v>
      </c>
      <c r="I61" s="257">
        <v>0</v>
      </c>
      <c r="J61" s="257">
        <v>0</v>
      </c>
      <c r="K61" s="257">
        <v>0</v>
      </c>
      <c r="L61" s="257"/>
      <c r="M61" s="257">
        <v>0</v>
      </c>
      <c r="N61" s="257"/>
      <c r="O61" s="257">
        <v>0</v>
      </c>
      <c r="P61" s="257">
        <v>0</v>
      </c>
    </row>
    <row r="62" spans="1:16" x14ac:dyDescent="0.25">
      <c r="A62" s="44">
        <v>2147870</v>
      </c>
      <c r="D62" s="44" t="s">
        <v>69</v>
      </c>
      <c r="E62" s="257">
        <v>3672713874</v>
      </c>
      <c r="F62" s="50">
        <v>3467509456</v>
      </c>
      <c r="G62" s="257">
        <v>3462309456</v>
      </c>
      <c r="H62" s="50">
        <v>6857070.0099999998</v>
      </c>
      <c r="I62" s="50">
        <v>338295210.47000003</v>
      </c>
      <c r="J62" s="50">
        <v>2654324.2999999998</v>
      </c>
      <c r="K62" s="50">
        <v>2785221372.23</v>
      </c>
      <c r="L62" s="152">
        <f>+K62/F62</f>
        <v>0.80323396592634988</v>
      </c>
      <c r="M62" s="50">
        <v>2770811340.8400002</v>
      </c>
      <c r="N62" s="152">
        <f>+M62/F62</f>
        <v>0.79907823641130404</v>
      </c>
      <c r="O62" s="50">
        <v>334481478.99000001</v>
      </c>
      <c r="P62" s="152">
        <f>+O62/F62</f>
        <v>9.6461591016350504E-2</v>
      </c>
    </row>
    <row r="63" spans="1:16" hidden="1" x14ac:dyDescent="0.25">
      <c r="A63" s="143" t="s">
        <v>704</v>
      </c>
      <c r="B63" s="143" t="s">
        <v>71</v>
      </c>
      <c r="C63" s="143" t="s">
        <v>72</v>
      </c>
      <c r="D63" s="143" t="s">
        <v>69</v>
      </c>
      <c r="E63" s="257">
        <v>2848782596</v>
      </c>
      <c r="F63" s="257">
        <v>2664967424</v>
      </c>
      <c r="G63" s="257">
        <v>2659767424</v>
      </c>
      <c r="H63" s="257">
        <v>0</v>
      </c>
      <c r="I63" s="257">
        <v>228626919.72</v>
      </c>
      <c r="J63" s="257">
        <v>0</v>
      </c>
      <c r="K63" s="257">
        <v>2124878596.6400001</v>
      </c>
      <c r="L63" s="257"/>
      <c r="M63" s="257">
        <v>2124878596.6400001</v>
      </c>
      <c r="N63" s="257"/>
      <c r="O63" s="257">
        <v>311461907.63999999</v>
      </c>
      <c r="P63" s="257">
        <v>306261907.63999999</v>
      </c>
    </row>
    <row r="64" spans="1:16" hidden="1" x14ac:dyDescent="0.25">
      <c r="A64" s="143" t="s">
        <v>704</v>
      </c>
      <c r="B64" s="143" t="s">
        <v>73</v>
      </c>
      <c r="C64" s="143" t="s">
        <v>74</v>
      </c>
      <c r="D64" s="143" t="s">
        <v>69</v>
      </c>
      <c r="E64" s="257">
        <v>1118901696</v>
      </c>
      <c r="F64" s="257">
        <v>1085616270</v>
      </c>
      <c r="G64" s="257">
        <v>1085616270</v>
      </c>
      <c r="H64" s="257">
        <v>0</v>
      </c>
      <c r="I64" s="257">
        <v>0</v>
      </c>
      <c r="J64" s="257">
        <v>0</v>
      </c>
      <c r="K64" s="257">
        <v>939569721.05999994</v>
      </c>
      <c r="L64" s="257"/>
      <c r="M64" s="257">
        <v>939569721.05999994</v>
      </c>
      <c r="N64" s="257"/>
      <c r="O64" s="257">
        <v>146046548.94</v>
      </c>
      <c r="P64" s="257">
        <v>146046548.94</v>
      </c>
    </row>
    <row r="65" spans="1:16" hidden="1" x14ac:dyDescent="0.25">
      <c r="A65" s="143" t="s">
        <v>704</v>
      </c>
      <c r="B65" s="143" t="s">
        <v>75</v>
      </c>
      <c r="C65" s="143" t="s">
        <v>76</v>
      </c>
      <c r="D65" s="143" t="s">
        <v>69</v>
      </c>
      <c r="E65" s="257">
        <v>1118901696</v>
      </c>
      <c r="F65" s="257">
        <v>1085616270</v>
      </c>
      <c r="G65" s="257">
        <v>1085616270</v>
      </c>
      <c r="H65" s="257">
        <v>0</v>
      </c>
      <c r="I65" s="257">
        <v>0</v>
      </c>
      <c r="J65" s="257">
        <v>0</v>
      </c>
      <c r="K65" s="257">
        <v>939569721.05999994</v>
      </c>
      <c r="L65" s="257"/>
      <c r="M65" s="257">
        <v>939569721.05999994</v>
      </c>
      <c r="N65" s="257"/>
      <c r="O65" s="257">
        <v>146046548.94</v>
      </c>
      <c r="P65" s="257">
        <v>146046548.94</v>
      </c>
    </row>
    <row r="66" spans="1:16" hidden="1" x14ac:dyDescent="0.25">
      <c r="A66" s="143" t="s">
        <v>704</v>
      </c>
      <c r="B66" s="143" t="s">
        <v>77</v>
      </c>
      <c r="C66" s="143" t="s">
        <v>78</v>
      </c>
      <c r="D66" s="143" t="s">
        <v>69</v>
      </c>
      <c r="E66" s="257">
        <v>1295309720</v>
      </c>
      <c r="F66" s="257">
        <v>1157356394</v>
      </c>
      <c r="G66" s="257">
        <v>1157356394</v>
      </c>
      <c r="H66" s="257">
        <v>0</v>
      </c>
      <c r="I66" s="257">
        <v>161559115.72</v>
      </c>
      <c r="J66" s="257">
        <v>0</v>
      </c>
      <c r="K66" s="257">
        <v>835581919.58000004</v>
      </c>
      <c r="L66" s="257"/>
      <c r="M66" s="257">
        <v>835581919.58000004</v>
      </c>
      <c r="N66" s="257"/>
      <c r="O66" s="257">
        <v>160215358.69999999</v>
      </c>
      <c r="P66" s="257">
        <v>160215358.69999999</v>
      </c>
    </row>
    <row r="67" spans="1:16" hidden="1" x14ac:dyDescent="0.25">
      <c r="A67" s="143" t="s">
        <v>704</v>
      </c>
      <c r="B67" s="143" t="s">
        <v>79</v>
      </c>
      <c r="C67" s="143" t="s">
        <v>80</v>
      </c>
      <c r="D67" s="143" t="s">
        <v>69</v>
      </c>
      <c r="E67" s="257">
        <v>329734600</v>
      </c>
      <c r="F67" s="257">
        <v>328933600</v>
      </c>
      <c r="G67" s="257">
        <v>328933600</v>
      </c>
      <c r="H67" s="257">
        <v>0</v>
      </c>
      <c r="I67" s="257">
        <v>0</v>
      </c>
      <c r="J67" s="257">
        <v>0</v>
      </c>
      <c r="K67" s="257">
        <v>286251112.79000002</v>
      </c>
      <c r="L67" s="257"/>
      <c r="M67" s="257">
        <v>286251112.79000002</v>
      </c>
      <c r="N67" s="257"/>
      <c r="O67" s="257">
        <v>42682487.210000001</v>
      </c>
      <c r="P67" s="257">
        <v>42682487.210000001</v>
      </c>
    </row>
    <row r="68" spans="1:16" hidden="1" x14ac:dyDescent="0.25">
      <c r="A68" s="143" t="s">
        <v>704</v>
      </c>
      <c r="B68" s="143" t="s">
        <v>81</v>
      </c>
      <c r="C68" s="143" t="s">
        <v>82</v>
      </c>
      <c r="D68" s="143" t="s">
        <v>69</v>
      </c>
      <c r="E68" s="257">
        <v>442514922</v>
      </c>
      <c r="F68" s="257">
        <v>428653782</v>
      </c>
      <c r="G68" s="257">
        <v>428653782</v>
      </c>
      <c r="H68" s="257">
        <v>0</v>
      </c>
      <c r="I68" s="257">
        <v>0</v>
      </c>
      <c r="J68" s="257">
        <v>0</v>
      </c>
      <c r="K68" s="257">
        <v>365806936.56</v>
      </c>
      <c r="L68" s="257"/>
      <c r="M68" s="257">
        <v>365806936.56</v>
      </c>
      <c r="N68" s="257"/>
      <c r="O68" s="257">
        <v>62846845.439999998</v>
      </c>
      <c r="P68" s="257">
        <v>62846845.439999998</v>
      </c>
    </row>
    <row r="69" spans="1:16" hidden="1" x14ac:dyDescent="0.25">
      <c r="A69" s="143" t="s">
        <v>704</v>
      </c>
      <c r="B69" s="143" t="s">
        <v>86</v>
      </c>
      <c r="C69" s="143" t="s">
        <v>87</v>
      </c>
      <c r="D69" s="143" t="s">
        <v>69</v>
      </c>
      <c r="E69" s="257">
        <v>170646400</v>
      </c>
      <c r="F69" s="257">
        <v>55646400</v>
      </c>
      <c r="G69" s="257">
        <v>55646400</v>
      </c>
      <c r="H69" s="257">
        <v>0</v>
      </c>
      <c r="I69" s="257">
        <v>7522.81</v>
      </c>
      <c r="J69" s="257">
        <v>0</v>
      </c>
      <c r="K69" s="257">
        <v>42481257.18</v>
      </c>
      <c r="L69" s="257"/>
      <c r="M69" s="257">
        <v>42481257.18</v>
      </c>
      <c r="N69" s="257"/>
      <c r="O69" s="257">
        <v>13157620.01</v>
      </c>
      <c r="P69" s="257">
        <v>13157620.01</v>
      </c>
    </row>
    <row r="70" spans="1:16" hidden="1" x14ac:dyDescent="0.25">
      <c r="A70" s="143" t="s">
        <v>704</v>
      </c>
      <c r="B70" s="143" t="s">
        <v>88</v>
      </c>
      <c r="C70" s="143" t="s">
        <v>89</v>
      </c>
      <c r="D70" s="143" t="s">
        <v>69</v>
      </c>
      <c r="E70" s="257">
        <v>166773800</v>
      </c>
      <c r="F70" s="257">
        <v>163855000</v>
      </c>
      <c r="G70" s="257">
        <v>163855000</v>
      </c>
      <c r="H70" s="257">
        <v>0</v>
      </c>
      <c r="I70" s="257">
        <v>0</v>
      </c>
      <c r="J70" s="257">
        <v>0</v>
      </c>
      <c r="K70" s="257">
        <v>141042613.05000001</v>
      </c>
      <c r="L70" s="257"/>
      <c r="M70" s="257">
        <v>141042613.05000001</v>
      </c>
      <c r="N70" s="257"/>
      <c r="O70" s="257">
        <v>22812386.949999999</v>
      </c>
      <c r="P70" s="257">
        <v>22812386.949999999</v>
      </c>
    </row>
    <row r="71" spans="1:16" hidden="1" x14ac:dyDescent="0.25">
      <c r="A71" s="143" t="s">
        <v>704</v>
      </c>
      <c r="B71" s="143" t="s">
        <v>83</v>
      </c>
      <c r="C71" s="143" t="s">
        <v>84</v>
      </c>
      <c r="D71" s="143" t="s">
        <v>85</v>
      </c>
      <c r="E71" s="257">
        <v>185639998</v>
      </c>
      <c r="F71" s="257">
        <v>180267612</v>
      </c>
      <c r="G71" s="257">
        <v>180267612</v>
      </c>
      <c r="H71" s="257">
        <v>0</v>
      </c>
      <c r="I71" s="257">
        <v>161551592.91</v>
      </c>
      <c r="J71" s="257">
        <v>0</v>
      </c>
      <c r="K71" s="257">
        <v>0</v>
      </c>
      <c r="L71" s="257"/>
      <c r="M71" s="257">
        <v>0</v>
      </c>
      <c r="N71" s="257"/>
      <c r="O71" s="257">
        <v>18716019.09</v>
      </c>
      <c r="P71" s="257">
        <v>18716019.09</v>
      </c>
    </row>
    <row r="72" spans="1:16" hidden="1" x14ac:dyDescent="0.25">
      <c r="A72" s="143" t="s">
        <v>704</v>
      </c>
      <c r="B72" s="143" t="s">
        <v>90</v>
      </c>
      <c r="C72" s="143" t="s">
        <v>91</v>
      </c>
      <c r="D72" s="143" t="s">
        <v>69</v>
      </c>
      <c r="E72" s="257">
        <v>217285640</v>
      </c>
      <c r="F72" s="257">
        <v>210997433</v>
      </c>
      <c r="G72" s="257">
        <v>210997433</v>
      </c>
      <c r="H72" s="257">
        <v>0</v>
      </c>
      <c r="I72" s="257">
        <v>35944872</v>
      </c>
      <c r="J72" s="257">
        <v>0</v>
      </c>
      <c r="K72" s="257">
        <v>175052561</v>
      </c>
      <c r="L72" s="257"/>
      <c r="M72" s="257">
        <v>175052561</v>
      </c>
      <c r="N72" s="257"/>
      <c r="O72" s="257">
        <v>0</v>
      </c>
      <c r="P72" s="257">
        <v>0</v>
      </c>
    </row>
    <row r="73" spans="1:16" hidden="1" x14ac:dyDescent="0.25">
      <c r="A73" s="143" t="s">
        <v>704</v>
      </c>
      <c r="B73" s="143" t="s">
        <v>418</v>
      </c>
      <c r="C73" s="143" t="s">
        <v>697</v>
      </c>
      <c r="D73" s="143" t="s">
        <v>69</v>
      </c>
      <c r="E73" s="257">
        <v>206142800</v>
      </c>
      <c r="F73" s="257">
        <v>200177066</v>
      </c>
      <c r="G73" s="257">
        <v>200177066</v>
      </c>
      <c r="H73" s="257">
        <v>0</v>
      </c>
      <c r="I73" s="257">
        <v>34101344</v>
      </c>
      <c r="J73" s="257">
        <v>0</v>
      </c>
      <c r="K73" s="257">
        <v>166075722</v>
      </c>
      <c r="L73" s="257"/>
      <c r="M73" s="257">
        <v>166075722</v>
      </c>
      <c r="N73" s="257"/>
      <c r="O73" s="257">
        <v>0</v>
      </c>
      <c r="P73" s="257">
        <v>0</v>
      </c>
    </row>
    <row r="74" spans="1:16" hidden="1" x14ac:dyDescent="0.25">
      <c r="A74" s="143" t="s">
        <v>704</v>
      </c>
      <c r="B74" s="143" t="s">
        <v>435</v>
      </c>
      <c r="C74" s="143" t="s">
        <v>95</v>
      </c>
      <c r="D74" s="143" t="s">
        <v>69</v>
      </c>
      <c r="E74" s="257">
        <v>11142840</v>
      </c>
      <c r="F74" s="257">
        <v>10820367</v>
      </c>
      <c r="G74" s="257">
        <v>10820367</v>
      </c>
      <c r="H74" s="257">
        <v>0</v>
      </c>
      <c r="I74" s="257">
        <v>1843528</v>
      </c>
      <c r="J74" s="257">
        <v>0</v>
      </c>
      <c r="K74" s="257">
        <v>8976839</v>
      </c>
      <c r="L74" s="257"/>
      <c r="M74" s="257">
        <v>8976839</v>
      </c>
      <c r="N74" s="257"/>
      <c r="O74" s="257">
        <v>0</v>
      </c>
      <c r="P74" s="257">
        <v>0</v>
      </c>
    </row>
    <row r="75" spans="1:16" hidden="1" x14ac:dyDescent="0.25">
      <c r="A75" s="143" t="s">
        <v>704</v>
      </c>
      <c r="B75" s="143" t="s">
        <v>96</v>
      </c>
      <c r="C75" s="143" t="s">
        <v>97</v>
      </c>
      <c r="D75" s="143" t="s">
        <v>69</v>
      </c>
      <c r="E75" s="257">
        <v>217285540</v>
      </c>
      <c r="F75" s="257">
        <v>210997327</v>
      </c>
      <c r="G75" s="257">
        <v>205797327</v>
      </c>
      <c r="H75" s="257">
        <v>0</v>
      </c>
      <c r="I75" s="257">
        <v>31122932</v>
      </c>
      <c r="J75" s="257">
        <v>0</v>
      </c>
      <c r="K75" s="257">
        <v>174674395</v>
      </c>
      <c r="L75" s="257"/>
      <c r="M75" s="257">
        <v>174674395</v>
      </c>
      <c r="N75" s="257"/>
      <c r="O75" s="257">
        <v>5200000</v>
      </c>
      <c r="P75" s="257">
        <v>0</v>
      </c>
    </row>
    <row r="76" spans="1:16" hidden="1" x14ac:dyDescent="0.25">
      <c r="A76" s="143" t="s">
        <v>704</v>
      </c>
      <c r="B76" s="143" t="s">
        <v>453</v>
      </c>
      <c r="C76" s="143" t="s">
        <v>698</v>
      </c>
      <c r="D76" s="143" t="s">
        <v>69</v>
      </c>
      <c r="E76" s="257">
        <v>116999976</v>
      </c>
      <c r="F76" s="257">
        <v>113614017</v>
      </c>
      <c r="G76" s="257">
        <v>113614017</v>
      </c>
      <c r="H76" s="257">
        <v>0</v>
      </c>
      <c r="I76" s="257">
        <v>19731391</v>
      </c>
      <c r="J76" s="257">
        <v>0</v>
      </c>
      <c r="K76" s="257">
        <v>93882626</v>
      </c>
      <c r="L76" s="257"/>
      <c r="M76" s="257">
        <v>93882626</v>
      </c>
      <c r="N76" s="257"/>
      <c r="O76" s="257">
        <v>0</v>
      </c>
      <c r="P76" s="257">
        <v>0</v>
      </c>
    </row>
    <row r="77" spans="1:16" hidden="1" x14ac:dyDescent="0.25">
      <c r="A77" s="143" t="s">
        <v>704</v>
      </c>
      <c r="B77" s="143" t="s">
        <v>470</v>
      </c>
      <c r="C77" s="143" t="s">
        <v>699</v>
      </c>
      <c r="D77" s="143" t="s">
        <v>69</v>
      </c>
      <c r="E77" s="257">
        <v>33428521</v>
      </c>
      <c r="F77" s="257">
        <v>32461103</v>
      </c>
      <c r="G77" s="257">
        <v>32461103</v>
      </c>
      <c r="H77" s="257">
        <v>0</v>
      </c>
      <c r="I77" s="257">
        <v>3157191</v>
      </c>
      <c r="J77" s="257">
        <v>0</v>
      </c>
      <c r="K77" s="257">
        <v>29303912</v>
      </c>
      <c r="L77" s="257"/>
      <c r="M77" s="257">
        <v>29303912</v>
      </c>
      <c r="N77" s="257"/>
      <c r="O77" s="257">
        <v>0</v>
      </c>
      <c r="P77" s="257">
        <v>0</v>
      </c>
    </row>
    <row r="78" spans="1:16" hidden="1" x14ac:dyDescent="0.25">
      <c r="A78" s="143" t="s">
        <v>704</v>
      </c>
      <c r="B78" s="143" t="s">
        <v>487</v>
      </c>
      <c r="C78" s="143" t="s">
        <v>700</v>
      </c>
      <c r="D78" s="143" t="s">
        <v>69</v>
      </c>
      <c r="E78" s="257">
        <v>66857043</v>
      </c>
      <c r="F78" s="257">
        <v>64922207</v>
      </c>
      <c r="G78" s="257">
        <v>59722207</v>
      </c>
      <c r="H78" s="257">
        <v>0</v>
      </c>
      <c r="I78" s="257">
        <v>8234350</v>
      </c>
      <c r="J78" s="257">
        <v>0</v>
      </c>
      <c r="K78" s="257">
        <v>51487857</v>
      </c>
      <c r="L78" s="257"/>
      <c r="M78" s="257">
        <v>51487857</v>
      </c>
      <c r="N78" s="257"/>
      <c r="O78" s="257">
        <v>5200000</v>
      </c>
      <c r="P78" s="257">
        <v>0</v>
      </c>
    </row>
    <row r="79" spans="1:16" hidden="1" x14ac:dyDescent="0.25">
      <c r="A79" s="143" t="s">
        <v>704</v>
      </c>
      <c r="B79" s="143" t="s">
        <v>104</v>
      </c>
      <c r="C79" s="143" t="s">
        <v>105</v>
      </c>
      <c r="D79" s="143" t="s">
        <v>69</v>
      </c>
      <c r="E79" s="257">
        <v>261541565</v>
      </c>
      <c r="F79" s="257">
        <v>249886315</v>
      </c>
      <c r="G79" s="257">
        <v>249886315</v>
      </c>
      <c r="H79" s="257">
        <v>0</v>
      </c>
      <c r="I79" s="257">
        <v>57953173.780000001</v>
      </c>
      <c r="J79" s="257">
        <v>1456333.61</v>
      </c>
      <c r="K79" s="257">
        <v>174792867.72999999</v>
      </c>
      <c r="L79" s="257"/>
      <c r="M79" s="257">
        <v>161218632.24000001</v>
      </c>
      <c r="N79" s="257"/>
      <c r="O79" s="257">
        <v>15683939.880000001</v>
      </c>
      <c r="P79" s="257">
        <v>15683939.880000001</v>
      </c>
    </row>
    <row r="80" spans="1:16" hidden="1" x14ac:dyDescent="0.25">
      <c r="A80" s="143" t="s">
        <v>704</v>
      </c>
      <c r="B80" s="143" t="s">
        <v>106</v>
      </c>
      <c r="C80" s="143" t="s">
        <v>107</v>
      </c>
      <c r="D80" s="143" t="s">
        <v>69</v>
      </c>
      <c r="E80" s="257">
        <v>90013380</v>
      </c>
      <c r="F80" s="257">
        <v>90013380</v>
      </c>
      <c r="G80" s="257">
        <v>90013380</v>
      </c>
      <c r="H80" s="257">
        <v>0</v>
      </c>
      <c r="I80" s="257">
        <v>13916936.99</v>
      </c>
      <c r="J80" s="257">
        <v>1283261.6100000001</v>
      </c>
      <c r="K80" s="257">
        <v>61738119.979999997</v>
      </c>
      <c r="L80" s="257"/>
      <c r="M80" s="257">
        <v>55895824.770000003</v>
      </c>
      <c r="N80" s="257"/>
      <c r="O80" s="257">
        <v>13075061.42</v>
      </c>
      <c r="P80" s="257">
        <v>13075061.42</v>
      </c>
    </row>
    <row r="81" spans="1:16" hidden="1" x14ac:dyDescent="0.25">
      <c r="A81" s="143" t="s">
        <v>704</v>
      </c>
      <c r="B81" s="143" t="s">
        <v>108</v>
      </c>
      <c r="C81" s="143" t="s">
        <v>109</v>
      </c>
      <c r="D81" s="143" t="s">
        <v>69</v>
      </c>
      <c r="E81" s="257">
        <v>0</v>
      </c>
      <c r="F81" s="257">
        <v>90013379.840000004</v>
      </c>
      <c r="G81" s="257">
        <v>90013379.840000004</v>
      </c>
      <c r="H81" s="257">
        <v>0</v>
      </c>
      <c r="I81" s="257">
        <v>13916936.99</v>
      </c>
      <c r="J81" s="257">
        <v>1283261.6100000001</v>
      </c>
      <c r="K81" s="257">
        <v>61738119.979999997</v>
      </c>
      <c r="L81" s="257"/>
      <c r="M81" s="257">
        <v>55895824.770000003</v>
      </c>
      <c r="N81" s="257"/>
      <c r="O81" s="257">
        <v>13075061.26</v>
      </c>
      <c r="P81" s="257">
        <v>13075061.26</v>
      </c>
    </row>
    <row r="82" spans="1:16" hidden="1" x14ac:dyDescent="0.25">
      <c r="A82" s="143" t="s">
        <v>704</v>
      </c>
      <c r="B82" s="143" t="s">
        <v>304</v>
      </c>
      <c r="C82" s="143" t="s">
        <v>305</v>
      </c>
      <c r="D82" s="143" t="s">
        <v>69</v>
      </c>
      <c r="E82" s="257">
        <v>90013380</v>
      </c>
      <c r="F82" s="257">
        <v>0.16</v>
      </c>
      <c r="G82" s="257">
        <v>0.16</v>
      </c>
      <c r="H82" s="257">
        <v>0</v>
      </c>
      <c r="I82" s="257">
        <v>0</v>
      </c>
      <c r="J82" s="257">
        <v>0</v>
      </c>
      <c r="K82" s="257">
        <v>0</v>
      </c>
      <c r="L82" s="257"/>
      <c r="M82" s="257">
        <v>0</v>
      </c>
      <c r="N82" s="257"/>
      <c r="O82" s="257">
        <v>0.16</v>
      </c>
      <c r="P82" s="257">
        <v>0.16</v>
      </c>
    </row>
    <row r="83" spans="1:16" hidden="1" x14ac:dyDescent="0.25">
      <c r="A83" s="143" t="s">
        <v>704</v>
      </c>
      <c r="B83" s="143" t="s">
        <v>112</v>
      </c>
      <c r="C83" s="143" t="s">
        <v>113</v>
      </c>
      <c r="D83" s="143" t="s">
        <v>69</v>
      </c>
      <c r="E83" s="257">
        <v>105953785</v>
      </c>
      <c r="F83" s="257">
        <v>102953785</v>
      </c>
      <c r="G83" s="257">
        <v>102953785</v>
      </c>
      <c r="H83" s="257">
        <v>0</v>
      </c>
      <c r="I83" s="257">
        <v>28626559.02</v>
      </c>
      <c r="J83" s="257">
        <v>0</v>
      </c>
      <c r="K83" s="257">
        <v>73157805.540000007</v>
      </c>
      <c r="L83" s="257"/>
      <c r="M83" s="257">
        <v>66397695.390000001</v>
      </c>
      <c r="N83" s="257"/>
      <c r="O83" s="257">
        <v>1169420.44</v>
      </c>
      <c r="P83" s="257">
        <v>1169420.44</v>
      </c>
    </row>
    <row r="84" spans="1:16" hidden="1" x14ac:dyDescent="0.25">
      <c r="A84" s="143" t="s">
        <v>704</v>
      </c>
      <c r="B84" s="143" t="s">
        <v>114</v>
      </c>
      <c r="C84" s="143" t="s">
        <v>115</v>
      </c>
      <c r="D84" s="143" t="s">
        <v>69</v>
      </c>
      <c r="E84" s="257">
        <v>8169861</v>
      </c>
      <c r="F84" s="257">
        <v>6169861</v>
      </c>
      <c r="G84" s="257">
        <v>6169861</v>
      </c>
      <c r="H84" s="257">
        <v>0</v>
      </c>
      <c r="I84" s="257">
        <v>1397201</v>
      </c>
      <c r="J84" s="257">
        <v>0</v>
      </c>
      <c r="K84" s="257">
        <v>3618254</v>
      </c>
      <c r="L84" s="257"/>
      <c r="M84" s="257">
        <v>3618254</v>
      </c>
      <c r="N84" s="257"/>
      <c r="O84" s="257">
        <v>1154406</v>
      </c>
      <c r="P84" s="257">
        <v>1154406</v>
      </c>
    </row>
    <row r="85" spans="1:16" hidden="1" x14ac:dyDescent="0.25">
      <c r="A85" s="143" t="s">
        <v>704</v>
      </c>
      <c r="B85" s="143" t="s">
        <v>116</v>
      </c>
      <c r="C85" s="143" t="s">
        <v>117</v>
      </c>
      <c r="D85" s="143" t="s">
        <v>69</v>
      </c>
      <c r="E85" s="257">
        <v>49884000</v>
      </c>
      <c r="F85" s="257">
        <v>49884000</v>
      </c>
      <c r="G85" s="257">
        <v>49884000</v>
      </c>
      <c r="H85" s="257">
        <v>0</v>
      </c>
      <c r="I85" s="257">
        <v>10766513.85</v>
      </c>
      <c r="J85" s="257">
        <v>0</v>
      </c>
      <c r="K85" s="257">
        <v>39117486.149999999</v>
      </c>
      <c r="L85" s="257"/>
      <c r="M85" s="257">
        <v>39117486.149999999</v>
      </c>
      <c r="N85" s="257"/>
      <c r="O85" s="257">
        <v>0</v>
      </c>
      <c r="P85" s="257">
        <v>0</v>
      </c>
    </row>
    <row r="86" spans="1:16" hidden="1" x14ac:dyDescent="0.25">
      <c r="A86" s="143" t="s">
        <v>704</v>
      </c>
      <c r="B86" s="143" t="s">
        <v>118</v>
      </c>
      <c r="C86" s="143" t="s">
        <v>119</v>
      </c>
      <c r="D86" s="143" t="s">
        <v>69</v>
      </c>
      <c r="E86" s="257">
        <v>19924</v>
      </c>
      <c r="F86" s="257">
        <v>19924</v>
      </c>
      <c r="G86" s="257">
        <v>19924</v>
      </c>
      <c r="H86" s="257">
        <v>0</v>
      </c>
      <c r="I86" s="257">
        <v>999</v>
      </c>
      <c r="J86" s="257">
        <v>0</v>
      </c>
      <c r="K86" s="257">
        <v>18925</v>
      </c>
      <c r="L86" s="257"/>
      <c r="M86" s="257">
        <v>18925</v>
      </c>
      <c r="N86" s="257"/>
      <c r="O86" s="257">
        <v>0</v>
      </c>
      <c r="P86" s="257">
        <v>0</v>
      </c>
    </row>
    <row r="87" spans="1:16" hidden="1" x14ac:dyDescent="0.25">
      <c r="A87" s="143" t="s">
        <v>704</v>
      </c>
      <c r="B87" s="143" t="s">
        <v>120</v>
      </c>
      <c r="C87" s="143" t="s">
        <v>121</v>
      </c>
      <c r="D87" s="143" t="s">
        <v>69</v>
      </c>
      <c r="E87" s="257">
        <v>47460000</v>
      </c>
      <c r="F87" s="257">
        <v>46460000</v>
      </c>
      <c r="G87" s="257">
        <v>46460000</v>
      </c>
      <c r="H87" s="257">
        <v>0</v>
      </c>
      <c r="I87" s="257">
        <v>16162743</v>
      </c>
      <c r="J87" s="257">
        <v>0</v>
      </c>
      <c r="K87" s="257">
        <v>30297256.559999999</v>
      </c>
      <c r="L87" s="257"/>
      <c r="M87" s="257">
        <v>23537146.41</v>
      </c>
      <c r="N87" s="257"/>
      <c r="O87" s="257">
        <v>0.44</v>
      </c>
      <c r="P87" s="257">
        <v>0.44</v>
      </c>
    </row>
    <row r="88" spans="1:16" hidden="1" x14ac:dyDescent="0.25">
      <c r="A88" s="143" t="s">
        <v>704</v>
      </c>
      <c r="B88" s="143" t="s">
        <v>122</v>
      </c>
      <c r="C88" s="143" t="s">
        <v>123</v>
      </c>
      <c r="D88" s="143" t="s">
        <v>69</v>
      </c>
      <c r="E88" s="257">
        <v>420000</v>
      </c>
      <c r="F88" s="257">
        <v>420000</v>
      </c>
      <c r="G88" s="257">
        <v>420000</v>
      </c>
      <c r="H88" s="257">
        <v>0</v>
      </c>
      <c r="I88" s="257">
        <v>299102.17</v>
      </c>
      <c r="J88" s="257">
        <v>0</v>
      </c>
      <c r="K88" s="257">
        <v>105883.83</v>
      </c>
      <c r="L88" s="257"/>
      <c r="M88" s="257">
        <v>105883.83</v>
      </c>
      <c r="N88" s="257"/>
      <c r="O88" s="257">
        <v>15014</v>
      </c>
      <c r="P88" s="257">
        <v>15014</v>
      </c>
    </row>
    <row r="89" spans="1:16" hidden="1" x14ac:dyDescent="0.25">
      <c r="A89" s="143" t="s">
        <v>704</v>
      </c>
      <c r="B89" s="143" t="s">
        <v>124</v>
      </c>
      <c r="C89" s="143" t="s">
        <v>125</v>
      </c>
      <c r="D89" s="143" t="s">
        <v>69</v>
      </c>
      <c r="E89" s="257">
        <v>8000000</v>
      </c>
      <c r="F89" s="257">
        <v>10750000</v>
      </c>
      <c r="G89" s="257">
        <v>10750000</v>
      </c>
      <c r="H89" s="257">
        <v>0</v>
      </c>
      <c r="I89" s="257">
        <v>2744578.5</v>
      </c>
      <c r="J89" s="257">
        <v>0</v>
      </c>
      <c r="K89" s="257">
        <v>7854616</v>
      </c>
      <c r="L89" s="257"/>
      <c r="M89" s="257">
        <v>6909016</v>
      </c>
      <c r="N89" s="257"/>
      <c r="O89" s="257">
        <v>150805.5</v>
      </c>
      <c r="P89" s="257">
        <v>150805.5</v>
      </c>
    </row>
    <row r="90" spans="1:16" hidden="1" x14ac:dyDescent="0.25">
      <c r="A90" s="143" t="s">
        <v>704</v>
      </c>
      <c r="B90" s="143" t="s">
        <v>126</v>
      </c>
      <c r="C90" s="143" t="s">
        <v>127</v>
      </c>
      <c r="D90" s="143" t="s">
        <v>69</v>
      </c>
      <c r="E90" s="257">
        <v>7000000</v>
      </c>
      <c r="F90" s="257">
        <v>10450000</v>
      </c>
      <c r="G90" s="257">
        <v>10450000</v>
      </c>
      <c r="H90" s="257">
        <v>0</v>
      </c>
      <c r="I90" s="257">
        <v>2583224.5</v>
      </c>
      <c r="J90" s="257">
        <v>0</v>
      </c>
      <c r="K90" s="257">
        <v>7815970</v>
      </c>
      <c r="L90" s="257"/>
      <c r="M90" s="257">
        <v>6870370</v>
      </c>
      <c r="N90" s="257"/>
      <c r="O90" s="257">
        <v>50805.5</v>
      </c>
      <c r="P90" s="257">
        <v>50805.5</v>
      </c>
    </row>
    <row r="91" spans="1:16" hidden="1" x14ac:dyDescent="0.25">
      <c r="A91" s="143" t="s">
        <v>704</v>
      </c>
      <c r="B91" s="143" t="s">
        <v>132</v>
      </c>
      <c r="C91" s="143" t="s">
        <v>133</v>
      </c>
      <c r="D91" s="143" t="s">
        <v>69</v>
      </c>
      <c r="E91" s="257">
        <v>1000000</v>
      </c>
      <c r="F91" s="257">
        <v>300000</v>
      </c>
      <c r="G91" s="257">
        <v>300000</v>
      </c>
      <c r="H91" s="257">
        <v>0</v>
      </c>
      <c r="I91" s="257">
        <v>161354</v>
      </c>
      <c r="J91" s="257">
        <v>0</v>
      </c>
      <c r="K91" s="257">
        <v>38646</v>
      </c>
      <c r="L91" s="257"/>
      <c r="M91" s="257">
        <v>38646</v>
      </c>
      <c r="N91" s="257"/>
      <c r="O91" s="257">
        <v>100000</v>
      </c>
      <c r="P91" s="257">
        <v>100000</v>
      </c>
    </row>
    <row r="92" spans="1:16" hidden="1" x14ac:dyDescent="0.25">
      <c r="A92" s="143" t="s">
        <v>704</v>
      </c>
      <c r="B92" s="143" t="s">
        <v>134</v>
      </c>
      <c r="C92" s="143" t="s">
        <v>135</v>
      </c>
      <c r="D92" s="143" t="s">
        <v>69</v>
      </c>
      <c r="E92" s="257">
        <v>3480000</v>
      </c>
      <c r="F92" s="257">
        <v>1480000</v>
      </c>
      <c r="G92" s="257">
        <v>1480000</v>
      </c>
      <c r="H92" s="257">
        <v>0</v>
      </c>
      <c r="I92" s="257">
        <v>449657.99</v>
      </c>
      <c r="J92" s="257">
        <v>0</v>
      </c>
      <c r="K92" s="257">
        <v>1030022.69</v>
      </c>
      <c r="L92" s="257"/>
      <c r="M92" s="257">
        <v>1003792.56</v>
      </c>
      <c r="N92" s="257"/>
      <c r="O92" s="257">
        <v>319.32</v>
      </c>
      <c r="P92" s="257">
        <v>319.32</v>
      </c>
    </row>
    <row r="93" spans="1:16" hidden="1" x14ac:dyDescent="0.25">
      <c r="A93" s="143" t="s">
        <v>704</v>
      </c>
      <c r="B93" s="143" t="s">
        <v>136</v>
      </c>
      <c r="C93" s="143" t="s">
        <v>137</v>
      </c>
      <c r="D93" s="143" t="s">
        <v>69</v>
      </c>
      <c r="E93" s="257">
        <v>2000000</v>
      </c>
      <c r="F93" s="257">
        <v>0</v>
      </c>
      <c r="G93" s="257">
        <v>0</v>
      </c>
      <c r="H93" s="257">
        <v>0</v>
      </c>
      <c r="I93" s="257">
        <v>0</v>
      </c>
      <c r="J93" s="257">
        <v>0</v>
      </c>
      <c r="K93" s="257">
        <v>0</v>
      </c>
      <c r="L93" s="257"/>
      <c r="M93" s="257">
        <v>0</v>
      </c>
      <c r="N93" s="257"/>
      <c r="O93" s="257">
        <v>0</v>
      </c>
      <c r="P93" s="257">
        <v>0</v>
      </c>
    </row>
    <row r="94" spans="1:16" hidden="1" x14ac:dyDescent="0.25">
      <c r="A94" s="143" t="s">
        <v>704</v>
      </c>
      <c r="B94" s="143" t="s">
        <v>138</v>
      </c>
      <c r="C94" s="143" t="s">
        <v>139</v>
      </c>
      <c r="D94" s="143" t="s">
        <v>69</v>
      </c>
      <c r="E94" s="257">
        <v>1480000</v>
      </c>
      <c r="F94" s="257">
        <v>1480000</v>
      </c>
      <c r="G94" s="257">
        <v>1480000</v>
      </c>
      <c r="H94" s="257">
        <v>0</v>
      </c>
      <c r="I94" s="257">
        <v>449657.99</v>
      </c>
      <c r="J94" s="257">
        <v>0</v>
      </c>
      <c r="K94" s="257">
        <v>1030022.69</v>
      </c>
      <c r="L94" s="257"/>
      <c r="M94" s="257">
        <v>1003792.56</v>
      </c>
      <c r="N94" s="257"/>
      <c r="O94" s="257">
        <v>319.32</v>
      </c>
      <c r="P94" s="257">
        <v>319.32</v>
      </c>
    </row>
    <row r="95" spans="1:16" hidden="1" x14ac:dyDescent="0.25">
      <c r="A95" s="143" t="s">
        <v>704</v>
      </c>
      <c r="B95" s="143" t="s">
        <v>140</v>
      </c>
      <c r="C95" s="143" t="s">
        <v>141</v>
      </c>
      <c r="D95" s="143" t="s">
        <v>69</v>
      </c>
      <c r="E95" s="257">
        <v>1500000</v>
      </c>
      <c r="F95" s="257">
        <v>791650</v>
      </c>
      <c r="G95" s="257">
        <v>791650</v>
      </c>
      <c r="H95" s="257">
        <v>0</v>
      </c>
      <c r="I95" s="257">
        <v>380550</v>
      </c>
      <c r="J95" s="257">
        <v>0</v>
      </c>
      <c r="K95" s="257">
        <v>339500</v>
      </c>
      <c r="L95" s="257"/>
      <c r="M95" s="257">
        <v>339500</v>
      </c>
      <c r="N95" s="257"/>
      <c r="O95" s="257">
        <v>71600</v>
      </c>
      <c r="P95" s="257">
        <v>71600</v>
      </c>
    </row>
    <row r="96" spans="1:16" hidden="1" x14ac:dyDescent="0.25">
      <c r="A96" s="143" t="s">
        <v>704</v>
      </c>
      <c r="B96" s="143" t="s">
        <v>144</v>
      </c>
      <c r="C96" s="143" t="s">
        <v>145</v>
      </c>
      <c r="D96" s="143" t="s">
        <v>69</v>
      </c>
      <c r="E96" s="257">
        <v>1500000</v>
      </c>
      <c r="F96" s="257">
        <v>791650</v>
      </c>
      <c r="G96" s="257">
        <v>791650</v>
      </c>
      <c r="H96" s="257">
        <v>0</v>
      </c>
      <c r="I96" s="257">
        <v>380550</v>
      </c>
      <c r="J96" s="257">
        <v>0</v>
      </c>
      <c r="K96" s="257">
        <v>339500</v>
      </c>
      <c r="L96" s="257"/>
      <c r="M96" s="257">
        <v>339500</v>
      </c>
      <c r="N96" s="257"/>
      <c r="O96" s="257">
        <v>71600</v>
      </c>
      <c r="P96" s="257">
        <v>71600</v>
      </c>
    </row>
    <row r="97" spans="1:16" hidden="1" x14ac:dyDescent="0.25">
      <c r="A97" s="143" t="s">
        <v>704</v>
      </c>
      <c r="B97" s="143" t="s">
        <v>150</v>
      </c>
      <c r="C97" s="143" t="s">
        <v>151</v>
      </c>
      <c r="D97" s="143" t="s">
        <v>69</v>
      </c>
      <c r="E97" s="257">
        <v>29000000</v>
      </c>
      <c r="F97" s="257">
        <v>24000000</v>
      </c>
      <c r="G97" s="257">
        <v>24000000</v>
      </c>
      <c r="H97" s="257">
        <v>0</v>
      </c>
      <c r="I97" s="257">
        <v>0</v>
      </c>
      <c r="J97" s="257">
        <v>0</v>
      </c>
      <c r="K97" s="257">
        <v>23906599</v>
      </c>
      <c r="L97" s="257"/>
      <c r="M97" s="257">
        <v>23906599</v>
      </c>
      <c r="N97" s="257"/>
      <c r="O97" s="257">
        <v>93401</v>
      </c>
      <c r="P97" s="257">
        <v>93401</v>
      </c>
    </row>
    <row r="98" spans="1:16" hidden="1" x14ac:dyDescent="0.25">
      <c r="A98" s="143" t="s">
        <v>704</v>
      </c>
      <c r="B98" s="143" t="s">
        <v>152</v>
      </c>
      <c r="C98" s="143" t="s">
        <v>153</v>
      </c>
      <c r="D98" s="143" t="s">
        <v>69</v>
      </c>
      <c r="E98" s="257">
        <v>29000000</v>
      </c>
      <c r="F98" s="257">
        <v>24000000</v>
      </c>
      <c r="G98" s="257">
        <v>24000000</v>
      </c>
      <c r="H98" s="257">
        <v>0</v>
      </c>
      <c r="I98" s="257">
        <v>0</v>
      </c>
      <c r="J98" s="257">
        <v>0</v>
      </c>
      <c r="K98" s="257">
        <v>23906599</v>
      </c>
      <c r="L98" s="257"/>
      <c r="M98" s="257">
        <v>23906599</v>
      </c>
      <c r="N98" s="257"/>
      <c r="O98" s="257">
        <v>93401</v>
      </c>
      <c r="P98" s="257">
        <v>93401</v>
      </c>
    </row>
    <row r="99" spans="1:16" hidden="1" x14ac:dyDescent="0.25">
      <c r="A99" s="143" t="s">
        <v>704</v>
      </c>
      <c r="B99" s="143" t="s">
        <v>154</v>
      </c>
      <c r="C99" s="143" t="s">
        <v>155</v>
      </c>
      <c r="D99" s="143" t="s">
        <v>69</v>
      </c>
      <c r="E99" s="257">
        <v>200000</v>
      </c>
      <c r="F99" s="257">
        <v>0</v>
      </c>
      <c r="G99" s="257">
        <v>0</v>
      </c>
      <c r="H99" s="257">
        <v>0</v>
      </c>
      <c r="I99" s="257">
        <v>0</v>
      </c>
      <c r="J99" s="257">
        <v>0</v>
      </c>
      <c r="K99" s="257">
        <v>0</v>
      </c>
      <c r="L99" s="257"/>
      <c r="M99" s="257">
        <v>0</v>
      </c>
      <c r="N99" s="257"/>
      <c r="O99" s="257">
        <v>0</v>
      </c>
      <c r="P99" s="257">
        <v>0</v>
      </c>
    </row>
    <row r="100" spans="1:16" hidden="1" x14ac:dyDescent="0.25">
      <c r="A100" s="143" t="s">
        <v>704</v>
      </c>
      <c r="B100" s="143" t="s">
        <v>160</v>
      </c>
      <c r="C100" s="143" t="s">
        <v>161</v>
      </c>
      <c r="D100" s="143" t="s">
        <v>69</v>
      </c>
      <c r="E100" s="257">
        <v>200000</v>
      </c>
      <c r="F100" s="257">
        <v>0</v>
      </c>
      <c r="G100" s="257">
        <v>0</v>
      </c>
      <c r="H100" s="257">
        <v>0</v>
      </c>
      <c r="I100" s="257">
        <v>0</v>
      </c>
      <c r="J100" s="257">
        <v>0</v>
      </c>
      <c r="K100" s="257">
        <v>0</v>
      </c>
      <c r="L100" s="257"/>
      <c r="M100" s="257">
        <v>0</v>
      </c>
      <c r="N100" s="257"/>
      <c r="O100" s="257">
        <v>0</v>
      </c>
      <c r="P100" s="257">
        <v>0</v>
      </c>
    </row>
    <row r="101" spans="1:16" hidden="1" x14ac:dyDescent="0.25">
      <c r="A101" s="143" t="s">
        <v>704</v>
      </c>
      <c r="B101" s="143" t="s">
        <v>162</v>
      </c>
      <c r="C101" s="143" t="s">
        <v>163</v>
      </c>
      <c r="D101" s="143" t="s">
        <v>69</v>
      </c>
      <c r="E101" s="257">
        <v>21394400</v>
      </c>
      <c r="F101" s="257">
        <v>17897500</v>
      </c>
      <c r="G101" s="257">
        <v>17897500</v>
      </c>
      <c r="H101" s="257">
        <v>0</v>
      </c>
      <c r="I101" s="257">
        <v>10163022.279999999</v>
      </c>
      <c r="J101" s="257">
        <v>173072</v>
      </c>
      <c r="K101" s="257">
        <v>6438073.5199999996</v>
      </c>
      <c r="L101" s="257"/>
      <c r="M101" s="257">
        <v>6438073.5199999996</v>
      </c>
      <c r="N101" s="257"/>
      <c r="O101" s="257">
        <v>1123332.2</v>
      </c>
      <c r="P101" s="257">
        <v>1123332.2</v>
      </c>
    </row>
    <row r="102" spans="1:16" hidden="1" x14ac:dyDescent="0.25">
      <c r="A102" s="143" t="s">
        <v>704</v>
      </c>
      <c r="B102" s="143" t="s">
        <v>166</v>
      </c>
      <c r="C102" s="143" t="s">
        <v>167</v>
      </c>
      <c r="D102" s="143" t="s">
        <v>69</v>
      </c>
      <c r="E102" s="257">
        <v>13000000</v>
      </c>
      <c r="F102" s="257">
        <v>12988100</v>
      </c>
      <c r="G102" s="257">
        <v>12988100</v>
      </c>
      <c r="H102" s="257">
        <v>0</v>
      </c>
      <c r="I102" s="257">
        <v>8644093.6199999992</v>
      </c>
      <c r="J102" s="257">
        <v>173072</v>
      </c>
      <c r="K102" s="257">
        <v>4137622.69</v>
      </c>
      <c r="L102" s="257"/>
      <c r="M102" s="257">
        <v>4137622.69</v>
      </c>
      <c r="N102" s="257"/>
      <c r="O102" s="257">
        <v>33311.69</v>
      </c>
      <c r="P102" s="257">
        <v>33311.69</v>
      </c>
    </row>
    <row r="103" spans="1:16" hidden="1" x14ac:dyDescent="0.25">
      <c r="A103" s="143" t="s">
        <v>704</v>
      </c>
      <c r="B103" s="143" t="s">
        <v>168</v>
      </c>
      <c r="C103" s="143" t="s">
        <v>169</v>
      </c>
      <c r="D103" s="143" t="s">
        <v>69</v>
      </c>
      <c r="E103" s="257">
        <v>6194400</v>
      </c>
      <c r="F103" s="257">
        <v>3194400</v>
      </c>
      <c r="G103" s="257">
        <v>3194400</v>
      </c>
      <c r="H103" s="257">
        <v>0</v>
      </c>
      <c r="I103" s="257">
        <v>409406</v>
      </c>
      <c r="J103" s="257">
        <v>0</v>
      </c>
      <c r="K103" s="257">
        <v>1708334</v>
      </c>
      <c r="L103" s="257"/>
      <c r="M103" s="257">
        <v>1708334</v>
      </c>
      <c r="N103" s="257"/>
      <c r="O103" s="257">
        <v>1076660</v>
      </c>
      <c r="P103" s="257">
        <v>1076660</v>
      </c>
    </row>
    <row r="104" spans="1:16" hidden="1" x14ac:dyDescent="0.25">
      <c r="A104" s="143" t="s">
        <v>704</v>
      </c>
      <c r="B104" s="143" t="s">
        <v>172</v>
      </c>
      <c r="C104" s="143" t="s">
        <v>173</v>
      </c>
      <c r="D104" s="143" t="s">
        <v>69</v>
      </c>
      <c r="E104" s="257">
        <v>2200000</v>
      </c>
      <c r="F104" s="257">
        <v>1715000</v>
      </c>
      <c r="G104" s="257">
        <v>1715000</v>
      </c>
      <c r="H104" s="257">
        <v>0</v>
      </c>
      <c r="I104" s="257">
        <v>1109522.6599999999</v>
      </c>
      <c r="J104" s="257">
        <v>0</v>
      </c>
      <c r="K104" s="257">
        <v>592116.82999999996</v>
      </c>
      <c r="L104" s="257"/>
      <c r="M104" s="257">
        <v>592116.82999999996</v>
      </c>
      <c r="N104" s="257"/>
      <c r="O104" s="257">
        <v>13360.51</v>
      </c>
      <c r="P104" s="257">
        <v>13360.51</v>
      </c>
    </row>
    <row r="105" spans="1:16" hidden="1" x14ac:dyDescent="0.25">
      <c r="A105" s="143" t="s">
        <v>704</v>
      </c>
      <c r="B105" s="143" t="s">
        <v>174</v>
      </c>
      <c r="C105" s="143" t="s">
        <v>175</v>
      </c>
      <c r="D105" s="143" t="s">
        <v>69</v>
      </c>
      <c r="E105" s="257">
        <v>1000000</v>
      </c>
      <c r="F105" s="257">
        <v>1000000</v>
      </c>
      <c r="G105" s="257">
        <v>1000000</v>
      </c>
      <c r="H105" s="257">
        <v>0</v>
      </c>
      <c r="I105" s="257">
        <v>871869</v>
      </c>
      <c r="J105" s="257">
        <v>0</v>
      </c>
      <c r="K105" s="257">
        <v>128131</v>
      </c>
      <c r="L105" s="257"/>
      <c r="M105" s="257">
        <v>128131</v>
      </c>
      <c r="N105" s="257"/>
      <c r="O105" s="257">
        <v>0</v>
      </c>
      <c r="P105" s="257">
        <v>0</v>
      </c>
    </row>
    <row r="106" spans="1:16" hidden="1" x14ac:dyDescent="0.25">
      <c r="A106" s="143" t="s">
        <v>704</v>
      </c>
      <c r="B106" s="143" t="s">
        <v>176</v>
      </c>
      <c r="C106" s="143" t="s">
        <v>177</v>
      </c>
      <c r="D106" s="143" t="s">
        <v>69</v>
      </c>
      <c r="E106" s="257">
        <v>1000000</v>
      </c>
      <c r="F106" s="257">
        <v>1000000</v>
      </c>
      <c r="G106" s="257">
        <v>1000000</v>
      </c>
      <c r="H106" s="257">
        <v>0</v>
      </c>
      <c r="I106" s="257">
        <v>871869</v>
      </c>
      <c r="J106" s="257">
        <v>0</v>
      </c>
      <c r="K106" s="257">
        <v>128131</v>
      </c>
      <c r="L106" s="257"/>
      <c r="M106" s="257">
        <v>128131</v>
      </c>
      <c r="N106" s="257"/>
      <c r="O106" s="257">
        <v>0</v>
      </c>
      <c r="P106" s="257">
        <v>0</v>
      </c>
    </row>
    <row r="107" spans="1:16" hidden="1" x14ac:dyDescent="0.25">
      <c r="A107" s="143" t="s">
        <v>704</v>
      </c>
      <c r="B107" s="143" t="s">
        <v>178</v>
      </c>
      <c r="C107" s="143" t="s">
        <v>179</v>
      </c>
      <c r="D107" s="143" t="s">
        <v>69</v>
      </c>
      <c r="E107" s="257">
        <v>1000000</v>
      </c>
      <c r="F107" s="257">
        <v>1000000</v>
      </c>
      <c r="G107" s="257">
        <v>1000000</v>
      </c>
      <c r="H107" s="257">
        <v>0</v>
      </c>
      <c r="I107" s="257">
        <v>800000</v>
      </c>
      <c r="J107" s="257">
        <v>0</v>
      </c>
      <c r="K107" s="257">
        <v>200000</v>
      </c>
      <c r="L107" s="257"/>
      <c r="M107" s="257">
        <v>200000</v>
      </c>
      <c r="N107" s="257"/>
      <c r="O107" s="257">
        <v>0</v>
      </c>
      <c r="P107" s="257">
        <v>0</v>
      </c>
    </row>
    <row r="108" spans="1:16" hidden="1" x14ac:dyDescent="0.25">
      <c r="A108" s="143" t="s">
        <v>704</v>
      </c>
      <c r="B108" s="143" t="s">
        <v>182</v>
      </c>
      <c r="C108" s="143" t="s">
        <v>183</v>
      </c>
      <c r="D108" s="143" t="s">
        <v>69</v>
      </c>
      <c r="E108" s="257">
        <v>1000000</v>
      </c>
      <c r="F108" s="257">
        <v>1000000</v>
      </c>
      <c r="G108" s="257">
        <v>1000000</v>
      </c>
      <c r="H108" s="257">
        <v>0</v>
      </c>
      <c r="I108" s="257">
        <v>800000</v>
      </c>
      <c r="J108" s="257">
        <v>0</v>
      </c>
      <c r="K108" s="257">
        <v>200000</v>
      </c>
      <c r="L108" s="257"/>
      <c r="M108" s="257">
        <v>200000</v>
      </c>
      <c r="N108" s="257"/>
      <c r="O108" s="257">
        <v>0</v>
      </c>
      <c r="P108" s="257">
        <v>0</v>
      </c>
    </row>
    <row r="109" spans="1:16" hidden="1" x14ac:dyDescent="0.25">
      <c r="A109" s="143" t="s">
        <v>704</v>
      </c>
      <c r="B109" s="143" t="s">
        <v>184</v>
      </c>
      <c r="C109" s="143" t="s">
        <v>185</v>
      </c>
      <c r="D109" s="143" t="s">
        <v>69</v>
      </c>
      <c r="E109" s="257">
        <v>40981500</v>
      </c>
      <c r="F109" s="257">
        <v>33070115</v>
      </c>
      <c r="G109" s="257">
        <v>33070115</v>
      </c>
      <c r="H109" s="257">
        <v>157070.01</v>
      </c>
      <c r="I109" s="257">
        <v>3682504.68</v>
      </c>
      <c r="J109" s="257">
        <v>1197990.69</v>
      </c>
      <c r="K109" s="257">
        <v>26773101.149999999</v>
      </c>
      <c r="L109" s="257"/>
      <c r="M109" s="257">
        <v>25937305.25</v>
      </c>
      <c r="N109" s="257"/>
      <c r="O109" s="257">
        <v>1259448.47</v>
      </c>
      <c r="P109" s="257">
        <v>1259448.47</v>
      </c>
    </row>
    <row r="110" spans="1:16" hidden="1" x14ac:dyDescent="0.25">
      <c r="A110" s="143" t="s">
        <v>704</v>
      </c>
      <c r="B110" s="143" t="s">
        <v>186</v>
      </c>
      <c r="C110" s="143" t="s">
        <v>187</v>
      </c>
      <c r="D110" s="143" t="s">
        <v>69</v>
      </c>
      <c r="E110" s="257">
        <v>14621000</v>
      </c>
      <c r="F110" s="257">
        <v>9600000</v>
      </c>
      <c r="G110" s="257">
        <v>9600000</v>
      </c>
      <c r="H110" s="257">
        <v>0</v>
      </c>
      <c r="I110" s="257">
        <v>3384781.6</v>
      </c>
      <c r="J110" s="257">
        <v>0</v>
      </c>
      <c r="K110" s="257">
        <v>6215218.4000000004</v>
      </c>
      <c r="L110" s="257"/>
      <c r="M110" s="257">
        <v>6215218.4000000004</v>
      </c>
      <c r="N110" s="257"/>
      <c r="O110" s="257">
        <v>0</v>
      </c>
      <c r="P110" s="257">
        <v>0</v>
      </c>
    </row>
    <row r="111" spans="1:16" hidden="1" x14ac:dyDescent="0.25">
      <c r="A111" s="143" t="s">
        <v>704</v>
      </c>
      <c r="B111" s="143" t="s">
        <v>188</v>
      </c>
      <c r="C111" s="143" t="s">
        <v>189</v>
      </c>
      <c r="D111" s="143" t="s">
        <v>69</v>
      </c>
      <c r="E111" s="257">
        <v>9600000</v>
      </c>
      <c r="F111" s="257">
        <v>9600000</v>
      </c>
      <c r="G111" s="257">
        <v>9600000</v>
      </c>
      <c r="H111" s="257">
        <v>0</v>
      </c>
      <c r="I111" s="257">
        <v>3384781.6</v>
      </c>
      <c r="J111" s="257">
        <v>0</v>
      </c>
      <c r="K111" s="257">
        <v>6215218.4000000004</v>
      </c>
      <c r="L111" s="257"/>
      <c r="M111" s="257">
        <v>6215218.4000000004</v>
      </c>
      <c r="N111" s="257"/>
      <c r="O111" s="257">
        <v>0</v>
      </c>
      <c r="P111" s="257">
        <v>0</v>
      </c>
    </row>
    <row r="112" spans="1:16" hidden="1" x14ac:dyDescent="0.25">
      <c r="A112" s="143" t="s">
        <v>704</v>
      </c>
      <c r="B112" s="143" t="s">
        <v>190</v>
      </c>
      <c r="C112" s="143" t="s">
        <v>191</v>
      </c>
      <c r="D112" s="143" t="s">
        <v>69</v>
      </c>
      <c r="E112" s="257">
        <v>5000000</v>
      </c>
      <c r="F112" s="257">
        <v>0</v>
      </c>
      <c r="G112" s="257">
        <v>0</v>
      </c>
      <c r="H112" s="257">
        <v>0</v>
      </c>
      <c r="I112" s="257">
        <v>0</v>
      </c>
      <c r="J112" s="257">
        <v>0</v>
      </c>
      <c r="K112" s="257">
        <v>0</v>
      </c>
      <c r="L112" s="257"/>
      <c r="M112" s="257">
        <v>0</v>
      </c>
      <c r="N112" s="257"/>
      <c r="O112" s="257">
        <v>0</v>
      </c>
      <c r="P112" s="257">
        <v>0</v>
      </c>
    </row>
    <row r="113" spans="1:16" hidden="1" x14ac:dyDescent="0.25">
      <c r="A113" s="143" t="s">
        <v>704</v>
      </c>
      <c r="B113" s="143" t="s">
        <v>192</v>
      </c>
      <c r="C113" s="143" t="s">
        <v>193</v>
      </c>
      <c r="D113" s="143" t="s">
        <v>69</v>
      </c>
      <c r="E113" s="257">
        <v>21000</v>
      </c>
      <c r="F113" s="257">
        <v>0</v>
      </c>
      <c r="G113" s="257">
        <v>0</v>
      </c>
      <c r="H113" s="257">
        <v>0</v>
      </c>
      <c r="I113" s="257">
        <v>0</v>
      </c>
      <c r="J113" s="257">
        <v>0</v>
      </c>
      <c r="K113" s="257">
        <v>0</v>
      </c>
      <c r="L113" s="257"/>
      <c r="M113" s="257">
        <v>0</v>
      </c>
      <c r="N113" s="257"/>
      <c r="O113" s="257">
        <v>0</v>
      </c>
      <c r="P113" s="257">
        <v>0</v>
      </c>
    </row>
    <row r="114" spans="1:16" hidden="1" x14ac:dyDescent="0.25">
      <c r="A114" s="143" t="s">
        <v>704</v>
      </c>
      <c r="B114" s="143" t="s">
        <v>196</v>
      </c>
      <c r="C114" s="143" t="s">
        <v>197</v>
      </c>
      <c r="D114" s="143" t="s">
        <v>69</v>
      </c>
      <c r="E114" s="257">
        <v>3000000</v>
      </c>
      <c r="F114" s="257">
        <v>2755000</v>
      </c>
      <c r="G114" s="257">
        <v>2755000</v>
      </c>
      <c r="H114" s="257">
        <v>0</v>
      </c>
      <c r="I114" s="257">
        <v>0</v>
      </c>
      <c r="J114" s="257">
        <v>0</v>
      </c>
      <c r="K114" s="257">
        <v>2210568</v>
      </c>
      <c r="L114" s="257"/>
      <c r="M114" s="257">
        <v>2210568</v>
      </c>
      <c r="N114" s="257"/>
      <c r="O114" s="257">
        <v>544432</v>
      </c>
      <c r="P114" s="257">
        <v>544432</v>
      </c>
    </row>
    <row r="115" spans="1:16" hidden="1" x14ac:dyDescent="0.25">
      <c r="A115" s="143" t="s">
        <v>704</v>
      </c>
      <c r="B115" s="143" t="s">
        <v>198</v>
      </c>
      <c r="C115" s="143" t="s">
        <v>199</v>
      </c>
      <c r="D115" s="143" t="s">
        <v>69</v>
      </c>
      <c r="E115" s="257">
        <v>3000000</v>
      </c>
      <c r="F115" s="257">
        <v>2755000</v>
      </c>
      <c r="G115" s="257">
        <v>2755000</v>
      </c>
      <c r="H115" s="257">
        <v>0</v>
      </c>
      <c r="I115" s="257">
        <v>0</v>
      </c>
      <c r="J115" s="257">
        <v>0</v>
      </c>
      <c r="K115" s="257">
        <v>2210568</v>
      </c>
      <c r="L115" s="257"/>
      <c r="M115" s="257">
        <v>2210568</v>
      </c>
      <c r="N115" s="257"/>
      <c r="O115" s="257">
        <v>544432</v>
      </c>
      <c r="P115" s="257">
        <v>544432</v>
      </c>
    </row>
    <row r="116" spans="1:16" hidden="1" x14ac:dyDescent="0.25">
      <c r="A116" s="143" t="s">
        <v>704</v>
      </c>
      <c r="B116" s="143" t="s">
        <v>206</v>
      </c>
      <c r="C116" s="143" t="s">
        <v>207</v>
      </c>
      <c r="D116" s="143" t="s">
        <v>69</v>
      </c>
      <c r="E116" s="257">
        <v>355000</v>
      </c>
      <c r="F116" s="257">
        <v>12615</v>
      </c>
      <c r="G116" s="257">
        <v>12615</v>
      </c>
      <c r="H116" s="257">
        <v>0</v>
      </c>
      <c r="I116" s="257">
        <v>0</v>
      </c>
      <c r="J116" s="257">
        <v>0</v>
      </c>
      <c r="K116" s="257">
        <v>12615</v>
      </c>
      <c r="L116" s="257"/>
      <c r="M116" s="257">
        <v>12615</v>
      </c>
      <c r="N116" s="257"/>
      <c r="O116" s="257">
        <v>0</v>
      </c>
      <c r="P116" s="257">
        <v>0</v>
      </c>
    </row>
    <row r="117" spans="1:16" hidden="1" x14ac:dyDescent="0.25">
      <c r="A117" s="143" t="s">
        <v>704</v>
      </c>
      <c r="B117" s="143" t="s">
        <v>208</v>
      </c>
      <c r="C117" s="143" t="s">
        <v>209</v>
      </c>
      <c r="D117" s="143" t="s">
        <v>69</v>
      </c>
      <c r="E117" s="257">
        <v>130000</v>
      </c>
      <c r="F117" s="257">
        <v>12615</v>
      </c>
      <c r="G117" s="257">
        <v>12615</v>
      </c>
      <c r="H117" s="257">
        <v>0</v>
      </c>
      <c r="I117" s="257">
        <v>0</v>
      </c>
      <c r="J117" s="257">
        <v>0</v>
      </c>
      <c r="K117" s="257">
        <v>12615</v>
      </c>
      <c r="L117" s="257"/>
      <c r="M117" s="257">
        <v>12615</v>
      </c>
      <c r="N117" s="257"/>
      <c r="O117" s="257">
        <v>0</v>
      </c>
      <c r="P117" s="257">
        <v>0</v>
      </c>
    </row>
    <row r="118" spans="1:16" hidden="1" x14ac:dyDescent="0.25">
      <c r="A118" s="143" t="s">
        <v>704</v>
      </c>
      <c r="B118" s="143" t="s">
        <v>210</v>
      </c>
      <c r="C118" s="143" t="s">
        <v>211</v>
      </c>
      <c r="D118" s="143" t="s">
        <v>69</v>
      </c>
      <c r="E118" s="257">
        <v>225000</v>
      </c>
      <c r="F118" s="257">
        <v>0</v>
      </c>
      <c r="G118" s="257">
        <v>0</v>
      </c>
      <c r="H118" s="257">
        <v>0</v>
      </c>
      <c r="I118" s="257">
        <v>0</v>
      </c>
      <c r="J118" s="257">
        <v>0</v>
      </c>
      <c r="K118" s="257">
        <v>0</v>
      </c>
      <c r="L118" s="257"/>
      <c r="M118" s="257">
        <v>0</v>
      </c>
      <c r="N118" s="257"/>
      <c r="O118" s="257">
        <v>0</v>
      </c>
      <c r="P118" s="257">
        <v>0</v>
      </c>
    </row>
    <row r="119" spans="1:16" hidden="1" x14ac:dyDescent="0.25">
      <c r="A119" s="143" t="s">
        <v>704</v>
      </c>
      <c r="B119" s="143" t="s">
        <v>212</v>
      </c>
      <c r="C119" s="143" t="s">
        <v>213</v>
      </c>
      <c r="D119" s="143" t="s">
        <v>69</v>
      </c>
      <c r="E119" s="257">
        <v>23005500</v>
      </c>
      <c r="F119" s="257">
        <v>20702500</v>
      </c>
      <c r="G119" s="257">
        <v>20702500</v>
      </c>
      <c r="H119" s="257">
        <v>157070.01</v>
      </c>
      <c r="I119" s="257">
        <v>297723.08</v>
      </c>
      <c r="J119" s="257">
        <v>1197990.69</v>
      </c>
      <c r="K119" s="257">
        <v>18334699.75</v>
      </c>
      <c r="L119" s="257"/>
      <c r="M119" s="257">
        <v>17498903.850000001</v>
      </c>
      <c r="N119" s="257"/>
      <c r="O119" s="257">
        <v>715016.47</v>
      </c>
      <c r="P119" s="257">
        <v>715016.47</v>
      </c>
    </row>
    <row r="120" spans="1:16" hidden="1" x14ac:dyDescent="0.25">
      <c r="A120" s="143" t="s">
        <v>704</v>
      </c>
      <c r="B120" s="143" t="s">
        <v>214</v>
      </c>
      <c r="C120" s="143" t="s">
        <v>215</v>
      </c>
      <c r="D120" s="143" t="s">
        <v>69</v>
      </c>
      <c r="E120" s="257">
        <v>2600000</v>
      </c>
      <c r="F120" s="257">
        <v>2050000</v>
      </c>
      <c r="G120" s="257">
        <v>2050000</v>
      </c>
      <c r="H120" s="257">
        <v>0</v>
      </c>
      <c r="I120" s="257">
        <v>238400.82</v>
      </c>
      <c r="J120" s="257">
        <v>0</v>
      </c>
      <c r="K120" s="257">
        <v>1516154.61</v>
      </c>
      <c r="L120" s="257"/>
      <c r="M120" s="257">
        <v>1516154.61</v>
      </c>
      <c r="N120" s="257"/>
      <c r="O120" s="257">
        <v>295444.57</v>
      </c>
      <c r="P120" s="257">
        <v>295444.57</v>
      </c>
    </row>
    <row r="121" spans="1:16" hidden="1" x14ac:dyDescent="0.25">
      <c r="A121" s="143" t="s">
        <v>704</v>
      </c>
      <c r="B121" s="143" t="s">
        <v>216</v>
      </c>
      <c r="C121" s="143" t="s">
        <v>217</v>
      </c>
      <c r="D121" s="143" t="s">
        <v>69</v>
      </c>
      <c r="E121" s="257">
        <v>562500</v>
      </c>
      <c r="F121" s="257">
        <v>502500</v>
      </c>
      <c r="G121" s="257">
        <v>502500</v>
      </c>
      <c r="H121" s="257">
        <v>0</v>
      </c>
      <c r="I121" s="257">
        <v>0</v>
      </c>
      <c r="J121" s="257">
        <v>0</v>
      </c>
      <c r="K121" s="257">
        <v>495000</v>
      </c>
      <c r="L121" s="257"/>
      <c r="M121" s="257">
        <v>495000</v>
      </c>
      <c r="N121" s="257"/>
      <c r="O121" s="257">
        <v>7500</v>
      </c>
      <c r="P121" s="257">
        <v>7500</v>
      </c>
    </row>
    <row r="122" spans="1:16" hidden="1" x14ac:dyDescent="0.25">
      <c r="A122" s="143" t="s">
        <v>704</v>
      </c>
      <c r="B122" s="143" t="s">
        <v>218</v>
      </c>
      <c r="C122" s="143" t="s">
        <v>219</v>
      </c>
      <c r="D122" s="143" t="s">
        <v>69</v>
      </c>
      <c r="E122" s="257">
        <v>8000000</v>
      </c>
      <c r="F122" s="257">
        <v>6450000</v>
      </c>
      <c r="G122" s="257">
        <v>6450000</v>
      </c>
      <c r="H122" s="257">
        <v>157070.01</v>
      </c>
      <c r="I122" s="257">
        <v>59322.26</v>
      </c>
      <c r="J122" s="257">
        <v>1197990.69</v>
      </c>
      <c r="K122" s="257">
        <v>4654690.54</v>
      </c>
      <c r="L122" s="257"/>
      <c r="M122" s="257">
        <v>3996530.64</v>
      </c>
      <c r="N122" s="257"/>
      <c r="O122" s="257">
        <v>380926.5</v>
      </c>
      <c r="P122" s="257">
        <v>380926.5</v>
      </c>
    </row>
    <row r="123" spans="1:16" hidden="1" x14ac:dyDescent="0.25">
      <c r="A123" s="143" t="s">
        <v>704</v>
      </c>
      <c r="B123" s="143" t="s">
        <v>222</v>
      </c>
      <c r="C123" s="143" t="s">
        <v>223</v>
      </c>
      <c r="D123" s="143" t="s">
        <v>69</v>
      </c>
      <c r="E123" s="257">
        <v>11000000</v>
      </c>
      <c r="F123" s="257">
        <v>11000000</v>
      </c>
      <c r="G123" s="257">
        <v>11000000</v>
      </c>
      <c r="H123" s="257">
        <v>0</v>
      </c>
      <c r="I123" s="257">
        <v>0</v>
      </c>
      <c r="J123" s="257">
        <v>0</v>
      </c>
      <c r="K123" s="257">
        <v>10987125.6</v>
      </c>
      <c r="L123" s="257"/>
      <c r="M123" s="257">
        <v>10809489.6</v>
      </c>
      <c r="N123" s="257"/>
      <c r="O123" s="257">
        <v>12874.4</v>
      </c>
      <c r="P123" s="257">
        <v>12874.4</v>
      </c>
    </row>
    <row r="124" spans="1:16" hidden="1" x14ac:dyDescent="0.25">
      <c r="A124" s="143" t="s">
        <v>704</v>
      </c>
      <c r="B124" s="143" t="s">
        <v>224</v>
      </c>
      <c r="C124" s="143" t="s">
        <v>225</v>
      </c>
      <c r="D124" s="143" t="s">
        <v>69</v>
      </c>
      <c r="E124" s="257">
        <v>800000</v>
      </c>
      <c r="F124" s="257">
        <v>700000</v>
      </c>
      <c r="G124" s="257">
        <v>700000</v>
      </c>
      <c r="H124" s="257">
        <v>0</v>
      </c>
      <c r="I124" s="257">
        <v>0</v>
      </c>
      <c r="J124" s="257">
        <v>0</v>
      </c>
      <c r="K124" s="257">
        <v>681729</v>
      </c>
      <c r="L124" s="257"/>
      <c r="M124" s="257">
        <v>681729</v>
      </c>
      <c r="N124" s="257"/>
      <c r="O124" s="257">
        <v>18271</v>
      </c>
      <c r="P124" s="257">
        <v>18271</v>
      </c>
    </row>
    <row r="125" spans="1:16" hidden="1" x14ac:dyDescent="0.25">
      <c r="A125" s="143" t="s">
        <v>704</v>
      </c>
      <c r="B125" s="143" t="s">
        <v>226</v>
      </c>
      <c r="C125" s="143" t="s">
        <v>227</v>
      </c>
      <c r="D125" s="143" t="s">
        <v>69</v>
      </c>
      <c r="E125" s="257">
        <v>10000</v>
      </c>
      <c r="F125" s="257">
        <v>0</v>
      </c>
      <c r="G125" s="257">
        <v>0</v>
      </c>
      <c r="H125" s="257">
        <v>0</v>
      </c>
      <c r="I125" s="257">
        <v>0</v>
      </c>
      <c r="J125" s="257">
        <v>0</v>
      </c>
      <c r="K125" s="257">
        <v>0</v>
      </c>
      <c r="L125" s="257"/>
      <c r="M125" s="257">
        <v>0</v>
      </c>
      <c r="N125" s="257"/>
      <c r="O125" s="257">
        <v>0</v>
      </c>
      <c r="P125" s="257">
        <v>0</v>
      </c>
    </row>
    <row r="126" spans="1:16" hidden="1" x14ac:dyDescent="0.25">
      <c r="A126" s="143" t="s">
        <v>704</v>
      </c>
      <c r="B126" s="143" t="s">
        <v>228</v>
      </c>
      <c r="C126" s="143" t="s">
        <v>229</v>
      </c>
      <c r="D126" s="143" t="s">
        <v>69</v>
      </c>
      <c r="E126" s="257">
        <v>33000</v>
      </c>
      <c r="F126" s="257">
        <v>0</v>
      </c>
      <c r="G126" s="257">
        <v>0</v>
      </c>
      <c r="H126" s="257">
        <v>0</v>
      </c>
      <c r="I126" s="257">
        <v>0</v>
      </c>
      <c r="J126" s="257">
        <v>0</v>
      </c>
      <c r="K126" s="257">
        <v>0</v>
      </c>
      <c r="L126" s="257"/>
      <c r="M126" s="257">
        <v>0</v>
      </c>
      <c r="N126" s="257"/>
      <c r="O126" s="257">
        <v>0</v>
      </c>
      <c r="P126" s="257">
        <v>0</v>
      </c>
    </row>
    <row r="127" spans="1:16" hidden="1" x14ac:dyDescent="0.25">
      <c r="A127" s="143" t="s">
        <v>704</v>
      </c>
      <c r="B127" s="143" t="s">
        <v>248</v>
      </c>
      <c r="C127" s="143" t="s">
        <v>249</v>
      </c>
      <c r="D127" s="143" t="s">
        <v>69</v>
      </c>
      <c r="E127" s="257">
        <v>509299073</v>
      </c>
      <c r="F127" s="257">
        <v>511116462</v>
      </c>
      <c r="G127" s="257">
        <v>511116462</v>
      </c>
      <c r="H127" s="257">
        <v>0</v>
      </c>
      <c r="I127" s="257">
        <v>48032612.289999999</v>
      </c>
      <c r="J127" s="257">
        <v>0</v>
      </c>
      <c r="K127" s="257">
        <v>458776806.70999998</v>
      </c>
      <c r="L127" s="257"/>
      <c r="M127" s="257">
        <v>458776806.70999998</v>
      </c>
      <c r="N127" s="257"/>
      <c r="O127" s="257">
        <v>4307043</v>
      </c>
      <c r="P127" s="257">
        <v>4307043</v>
      </c>
    </row>
    <row r="128" spans="1:16" hidden="1" x14ac:dyDescent="0.25">
      <c r="A128" s="143" t="s">
        <v>704</v>
      </c>
      <c r="B128" s="143" t="s">
        <v>250</v>
      </c>
      <c r="C128" s="143" t="s">
        <v>251</v>
      </c>
      <c r="D128" s="143" t="s">
        <v>69</v>
      </c>
      <c r="E128" s="257">
        <v>38994178</v>
      </c>
      <c r="F128" s="257">
        <v>37923567</v>
      </c>
      <c r="G128" s="257">
        <v>37923567</v>
      </c>
      <c r="H128" s="257">
        <v>0</v>
      </c>
      <c r="I128" s="257">
        <v>6063264</v>
      </c>
      <c r="J128" s="257">
        <v>0</v>
      </c>
      <c r="K128" s="257">
        <v>31427602</v>
      </c>
      <c r="L128" s="257"/>
      <c r="M128" s="257">
        <v>31427602</v>
      </c>
      <c r="N128" s="257"/>
      <c r="O128" s="257">
        <v>432701</v>
      </c>
      <c r="P128" s="257">
        <v>432701</v>
      </c>
    </row>
    <row r="129" spans="1:16" hidden="1" x14ac:dyDescent="0.25">
      <c r="A129" s="143" t="s">
        <v>704</v>
      </c>
      <c r="B129" s="143" t="s">
        <v>617</v>
      </c>
      <c r="C129" s="143" t="s">
        <v>253</v>
      </c>
      <c r="D129" s="143" t="s">
        <v>69</v>
      </c>
      <c r="E129" s="257">
        <v>2000000</v>
      </c>
      <c r="F129" s="257">
        <v>2000000</v>
      </c>
      <c r="G129" s="257">
        <v>2000000</v>
      </c>
      <c r="H129" s="257">
        <v>0</v>
      </c>
      <c r="I129" s="257">
        <v>0</v>
      </c>
      <c r="J129" s="257">
        <v>0</v>
      </c>
      <c r="K129" s="257">
        <v>2000000</v>
      </c>
      <c r="L129" s="257"/>
      <c r="M129" s="257">
        <v>2000000</v>
      </c>
      <c r="N129" s="257"/>
      <c r="O129" s="257">
        <v>0</v>
      </c>
      <c r="P129" s="257">
        <v>0</v>
      </c>
    </row>
    <row r="130" spans="1:16" hidden="1" x14ac:dyDescent="0.25">
      <c r="A130" s="143" t="s">
        <v>704</v>
      </c>
      <c r="B130" s="143" t="s">
        <v>627</v>
      </c>
      <c r="C130" s="143" t="s">
        <v>702</v>
      </c>
      <c r="D130" s="143" t="s">
        <v>69</v>
      </c>
      <c r="E130" s="257">
        <v>31422808</v>
      </c>
      <c r="F130" s="257">
        <v>30513436</v>
      </c>
      <c r="G130" s="257">
        <v>30513436</v>
      </c>
      <c r="H130" s="257">
        <v>0</v>
      </c>
      <c r="I130" s="257">
        <v>5574265</v>
      </c>
      <c r="J130" s="257">
        <v>0</v>
      </c>
      <c r="K130" s="257">
        <v>24939171</v>
      </c>
      <c r="L130" s="257"/>
      <c r="M130" s="257">
        <v>24939171</v>
      </c>
      <c r="N130" s="257"/>
      <c r="O130" s="257">
        <v>0</v>
      </c>
      <c r="P130" s="257">
        <v>0</v>
      </c>
    </row>
    <row r="131" spans="1:16" hidden="1" x14ac:dyDescent="0.25">
      <c r="A131" s="143" t="s">
        <v>704</v>
      </c>
      <c r="B131" s="143" t="s">
        <v>642</v>
      </c>
      <c r="C131" s="143" t="s">
        <v>703</v>
      </c>
      <c r="D131" s="143" t="s">
        <v>69</v>
      </c>
      <c r="E131" s="257">
        <v>5571370</v>
      </c>
      <c r="F131" s="257">
        <v>5410131</v>
      </c>
      <c r="G131" s="257">
        <v>5410131</v>
      </c>
      <c r="H131" s="257">
        <v>0</v>
      </c>
      <c r="I131" s="257">
        <v>488999</v>
      </c>
      <c r="J131" s="257">
        <v>0</v>
      </c>
      <c r="K131" s="257">
        <v>4488431</v>
      </c>
      <c r="L131" s="257"/>
      <c r="M131" s="257">
        <v>4488431</v>
      </c>
      <c r="N131" s="257"/>
      <c r="O131" s="257">
        <v>432701</v>
      </c>
      <c r="P131" s="257">
        <v>432701</v>
      </c>
    </row>
    <row r="132" spans="1:16" hidden="1" x14ac:dyDescent="0.25">
      <c r="A132" s="143" t="s">
        <v>704</v>
      </c>
      <c r="B132" s="143" t="s">
        <v>260</v>
      </c>
      <c r="C132" s="143" t="s">
        <v>261</v>
      </c>
      <c r="D132" s="143" t="s">
        <v>69</v>
      </c>
      <c r="E132" s="257">
        <v>47000000</v>
      </c>
      <c r="F132" s="257">
        <v>50498000</v>
      </c>
      <c r="G132" s="257">
        <v>50498000</v>
      </c>
      <c r="H132" s="257">
        <v>0</v>
      </c>
      <c r="I132" s="257">
        <v>7657692.6299999999</v>
      </c>
      <c r="J132" s="257">
        <v>0</v>
      </c>
      <c r="K132" s="257">
        <v>38965965.369999997</v>
      </c>
      <c r="L132" s="257"/>
      <c r="M132" s="257">
        <v>38965965.369999997</v>
      </c>
      <c r="N132" s="257"/>
      <c r="O132" s="257">
        <v>3874342</v>
      </c>
      <c r="P132" s="257">
        <v>3874342</v>
      </c>
    </row>
    <row r="133" spans="1:16" hidden="1" x14ac:dyDescent="0.25">
      <c r="A133" s="143" t="s">
        <v>704</v>
      </c>
      <c r="B133" s="143" t="s">
        <v>262</v>
      </c>
      <c r="C133" s="143" t="s">
        <v>263</v>
      </c>
      <c r="D133" s="143" t="s">
        <v>69</v>
      </c>
      <c r="E133" s="257">
        <v>22000000</v>
      </c>
      <c r="F133" s="257">
        <v>43498000</v>
      </c>
      <c r="G133" s="257">
        <v>43498000</v>
      </c>
      <c r="H133" s="257">
        <v>0</v>
      </c>
      <c r="I133" s="257">
        <v>7657692.6299999999</v>
      </c>
      <c r="J133" s="257">
        <v>0</v>
      </c>
      <c r="K133" s="257">
        <v>35840307.369999997</v>
      </c>
      <c r="L133" s="257"/>
      <c r="M133" s="257">
        <v>35840307.369999997</v>
      </c>
      <c r="N133" s="257"/>
      <c r="O133" s="257">
        <v>0</v>
      </c>
      <c r="P133" s="257">
        <v>0</v>
      </c>
    </row>
    <row r="134" spans="1:16" hidden="1" x14ac:dyDescent="0.25">
      <c r="A134" s="143" t="s">
        <v>704</v>
      </c>
      <c r="B134" s="143" t="s">
        <v>264</v>
      </c>
      <c r="C134" s="143" t="s">
        <v>265</v>
      </c>
      <c r="D134" s="143" t="s">
        <v>69</v>
      </c>
      <c r="E134" s="257">
        <v>25000000</v>
      </c>
      <c r="F134" s="257">
        <v>7000000</v>
      </c>
      <c r="G134" s="257">
        <v>7000000</v>
      </c>
      <c r="H134" s="257">
        <v>0</v>
      </c>
      <c r="I134" s="257">
        <v>0</v>
      </c>
      <c r="J134" s="257">
        <v>0</v>
      </c>
      <c r="K134" s="257">
        <v>3125658</v>
      </c>
      <c r="L134" s="257"/>
      <c r="M134" s="257">
        <v>3125658</v>
      </c>
      <c r="N134" s="257"/>
      <c r="O134" s="257">
        <v>3874342</v>
      </c>
      <c r="P134" s="257">
        <v>3874342</v>
      </c>
    </row>
    <row r="135" spans="1:16" hidden="1" x14ac:dyDescent="0.25">
      <c r="A135" s="143" t="s">
        <v>704</v>
      </c>
      <c r="B135" s="143" t="s">
        <v>266</v>
      </c>
      <c r="C135" s="143" t="s">
        <v>267</v>
      </c>
      <c r="D135" s="143" t="s">
        <v>69</v>
      </c>
      <c r="E135" s="257">
        <v>423304895</v>
      </c>
      <c r="F135" s="257">
        <v>422694895</v>
      </c>
      <c r="G135" s="257">
        <v>422694895</v>
      </c>
      <c r="H135" s="257">
        <v>0</v>
      </c>
      <c r="I135" s="257">
        <v>34311655.659999996</v>
      </c>
      <c r="J135" s="257">
        <v>0</v>
      </c>
      <c r="K135" s="257">
        <v>388383239.33999997</v>
      </c>
      <c r="L135" s="257"/>
      <c r="M135" s="257">
        <v>388383239.33999997</v>
      </c>
      <c r="N135" s="257"/>
      <c r="O135" s="257">
        <v>0</v>
      </c>
      <c r="P135" s="257">
        <v>0</v>
      </c>
    </row>
    <row r="136" spans="1:16" hidden="1" x14ac:dyDescent="0.25">
      <c r="A136" s="143" t="s">
        <v>704</v>
      </c>
      <c r="B136" s="143" t="s">
        <v>664</v>
      </c>
      <c r="C136" s="143" t="s">
        <v>269</v>
      </c>
      <c r="D136" s="143" t="s">
        <v>69</v>
      </c>
      <c r="E136" s="257">
        <v>406300000</v>
      </c>
      <c r="F136" s="257">
        <v>406300000</v>
      </c>
      <c r="G136" s="257">
        <v>406300000</v>
      </c>
      <c r="H136" s="257">
        <v>0</v>
      </c>
      <c r="I136" s="257">
        <v>33858333</v>
      </c>
      <c r="J136" s="257">
        <v>0</v>
      </c>
      <c r="K136" s="257">
        <v>372441667</v>
      </c>
      <c r="L136" s="257"/>
      <c r="M136" s="257">
        <v>372441667</v>
      </c>
      <c r="N136" s="257"/>
      <c r="O136" s="257">
        <v>0</v>
      </c>
      <c r="P136" s="257">
        <v>0</v>
      </c>
    </row>
    <row r="137" spans="1:16" hidden="1" x14ac:dyDescent="0.25">
      <c r="A137" s="143" t="s">
        <v>704</v>
      </c>
      <c r="B137" s="143" t="s">
        <v>666</v>
      </c>
      <c r="C137" s="143" t="s">
        <v>705</v>
      </c>
      <c r="D137" s="143" t="s">
        <v>69</v>
      </c>
      <c r="E137" s="257">
        <v>13007200</v>
      </c>
      <c r="F137" s="257">
        <v>13007200</v>
      </c>
      <c r="G137" s="257">
        <v>13007200</v>
      </c>
      <c r="H137" s="257">
        <v>0</v>
      </c>
      <c r="I137" s="257">
        <v>445902.76</v>
      </c>
      <c r="J137" s="257">
        <v>0</v>
      </c>
      <c r="K137" s="257">
        <v>12561297.24</v>
      </c>
      <c r="L137" s="257"/>
      <c r="M137" s="257">
        <v>12561297.24</v>
      </c>
      <c r="N137" s="257"/>
      <c r="O137" s="257">
        <v>0</v>
      </c>
      <c r="P137" s="257">
        <v>0</v>
      </c>
    </row>
    <row r="138" spans="1:16" hidden="1" x14ac:dyDescent="0.25">
      <c r="A138" s="143" t="s">
        <v>704</v>
      </c>
      <c r="B138" s="143" t="s">
        <v>668</v>
      </c>
      <c r="C138" s="143" t="s">
        <v>273</v>
      </c>
      <c r="D138" s="143" t="s">
        <v>69</v>
      </c>
      <c r="E138" s="257">
        <v>3997695</v>
      </c>
      <c r="F138" s="257">
        <v>3387695</v>
      </c>
      <c r="G138" s="257">
        <v>3387695</v>
      </c>
      <c r="H138" s="257">
        <v>0</v>
      </c>
      <c r="I138" s="257">
        <v>7419.9</v>
      </c>
      <c r="J138" s="257">
        <v>0</v>
      </c>
      <c r="K138" s="257">
        <v>3380275.1</v>
      </c>
      <c r="L138" s="257"/>
      <c r="M138" s="257">
        <v>3380275.1</v>
      </c>
      <c r="N138" s="257"/>
      <c r="O138" s="257">
        <v>0</v>
      </c>
      <c r="P138" s="257">
        <v>0</v>
      </c>
    </row>
    <row r="139" spans="1:16" hidden="1" x14ac:dyDescent="0.25">
      <c r="A139" s="143" t="s">
        <v>704</v>
      </c>
      <c r="B139" s="143" t="s">
        <v>230</v>
      </c>
      <c r="C139" s="143" t="s">
        <v>231</v>
      </c>
      <c r="D139" s="143" t="s">
        <v>85</v>
      </c>
      <c r="E139" s="257">
        <v>12109140</v>
      </c>
      <c r="F139" s="257">
        <v>8469140</v>
      </c>
      <c r="G139" s="257">
        <v>8469140</v>
      </c>
      <c r="H139" s="257">
        <v>6700000</v>
      </c>
      <c r="I139" s="257">
        <v>0</v>
      </c>
      <c r="J139" s="257">
        <v>0</v>
      </c>
      <c r="K139" s="257">
        <v>0</v>
      </c>
      <c r="L139" s="257"/>
      <c r="M139" s="257">
        <v>0</v>
      </c>
      <c r="N139" s="257"/>
      <c r="O139" s="257">
        <v>1769140</v>
      </c>
      <c r="P139" s="257">
        <v>1769140</v>
      </c>
    </row>
    <row r="140" spans="1:16" hidden="1" x14ac:dyDescent="0.25">
      <c r="A140" s="143" t="s">
        <v>704</v>
      </c>
      <c r="B140" s="143" t="s">
        <v>232</v>
      </c>
      <c r="C140" s="143" t="s">
        <v>233</v>
      </c>
      <c r="D140" s="143" t="s">
        <v>85</v>
      </c>
      <c r="E140" s="257">
        <v>12109140</v>
      </c>
      <c r="F140" s="257">
        <v>8469140</v>
      </c>
      <c r="G140" s="257">
        <v>8469140</v>
      </c>
      <c r="H140" s="257">
        <v>6700000</v>
      </c>
      <c r="I140" s="257">
        <v>0</v>
      </c>
      <c r="J140" s="257">
        <v>0</v>
      </c>
      <c r="K140" s="257">
        <v>0</v>
      </c>
      <c r="L140" s="257"/>
      <c r="M140" s="257">
        <v>0</v>
      </c>
      <c r="N140" s="257"/>
      <c r="O140" s="257">
        <v>1769140</v>
      </c>
      <c r="P140" s="257">
        <v>1769140</v>
      </c>
    </row>
    <row r="141" spans="1:16" hidden="1" x14ac:dyDescent="0.25">
      <c r="A141" s="143" t="s">
        <v>704</v>
      </c>
      <c r="B141" s="143" t="s">
        <v>234</v>
      </c>
      <c r="C141" s="143" t="s">
        <v>235</v>
      </c>
      <c r="D141" s="143" t="s">
        <v>85</v>
      </c>
      <c r="E141" s="257">
        <v>120000</v>
      </c>
      <c r="F141" s="257">
        <v>0</v>
      </c>
      <c r="G141" s="257">
        <v>0</v>
      </c>
      <c r="H141" s="257">
        <v>0</v>
      </c>
      <c r="I141" s="257">
        <v>0</v>
      </c>
      <c r="J141" s="257">
        <v>0</v>
      </c>
      <c r="K141" s="257">
        <v>0</v>
      </c>
      <c r="L141" s="257"/>
      <c r="M141" s="257">
        <v>0</v>
      </c>
      <c r="N141" s="257"/>
      <c r="O141" s="257">
        <v>0</v>
      </c>
      <c r="P141" s="257">
        <v>0</v>
      </c>
    </row>
    <row r="142" spans="1:16" hidden="1" x14ac:dyDescent="0.25">
      <c r="A142" s="143" t="s">
        <v>704</v>
      </c>
      <c r="B142" s="143" t="s">
        <v>236</v>
      </c>
      <c r="C142" s="143" t="s">
        <v>237</v>
      </c>
      <c r="D142" s="143" t="s">
        <v>85</v>
      </c>
      <c r="E142" s="257">
        <v>620000</v>
      </c>
      <c r="F142" s="257">
        <v>0</v>
      </c>
      <c r="G142" s="257">
        <v>0</v>
      </c>
      <c r="H142" s="257">
        <v>0</v>
      </c>
      <c r="I142" s="257">
        <v>0</v>
      </c>
      <c r="J142" s="257">
        <v>0</v>
      </c>
      <c r="K142" s="257">
        <v>0</v>
      </c>
      <c r="L142" s="257"/>
      <c r="M142" s="257">
        <v>0</v>
      </c>
      <c r="N142" s="257"/>
      <c r="O142" s="257">
        <v>0</v>
      </c>
      <c r="P142" s="257">
        <v>0</v>
      </c>
    </row>
    <row r="143" spans="1:16" hidden="1" x14ac:dyDescent="0.25">
      <c r="A143" s="143" t="s">
        <v>704</v>
      </c>
      <c r="B143" s="143" t="s">
        <v>238</v>
      </c>
      <c r="C143" s="143" t="s">
        <v>239</v>
      </c>
      <c r="D143" s="143" t="s">
        <v>85</v>
      </c>
      <c r="E143" s="257">
        <v>11369140</v>
      </c>
      <c r="F143" s="257">
        <v>8469140</v>
      </c>
      <c r="G143" s="257">
        <v>8469140</v>
      </c>
      <c r="H143" s="257">
        <v>6700000</v>
      </c>
      <c r="I143" s="257">
        <v>0</v>
      </c>
      <c r="J143" s="257">
        <v>0</v>
      </c>
      <c r="K143" s="257">
        <v>0</v>
      </c>
      <c r="L143" s="257"/>
      <c r="M143" s="257">
        <v>0</v>
      </c>
      <c r="N143" s="257"/>
      <c r="O143" s="257">
        <v>1769140</v>
      </c>
      <c r="P143" s="257">
        <v>1769140</v>
      </c>
    </row>
    <row r="144" spans="1:16" x14ac:dyDescent="0.25">
      <c r="A144" s="44">
        <v>2147880</v>
      </c>
      <c r="D144" s="44" t="s">
        <v>69</v>
      </c>
      <c r="E144" s="257">
        <v>3537393833</v>
      </c>
      <c r="F144" s="50">
        <v>2849531919</v>
      </c>
      <c r="G144" s="257">
        <v>2845422019</v>
      </c>
      <c r="H144" s="50">
        <v>9018380.2200000007</v>
      </c>
      <c r="I144" s="50">
        <v>358059501.75</v>
      </c>
      <c r="J144" s="50">
        <v>28088511.98</v>
      </c>
      <c r="K144" s="50">
        <v>1975314719.4300001</v>
      </c>
      <c r="L144" s="152">
        <f>+K144/F144</f>
        <v>0.69320673555508261</v>
      </c>
      <c r="M144" s="50">
        <v>1882602772.6199999</v>
      </c>
      <c r="N144" s="152">
        <f>+M144/F144</f>
        <v>0.66067088424848064</v>
      </c>
      <c r="O144" s="50">
        <v>479050805.62</v>
      </c>
      <c r="P144" s="152">
        <f>+O144/F144</f>
        <v>0.16811561310326209</v>
      </c>
    </row>
    <row r="145" spans="1:16" hidden="1" x14ac:dyDescent="0.25">
      <c r="A145" s="143" t="s">
        <v>706</v>
      </c>
      <c r="B145" s="143" t="s">
        <v>71</v>
      </c>
      <c r="C145" s="143" t="s">
        <v>72</v>
      </c>
      <c r="D145" s="143" t="s">
        <v>69</v>
      </c>
      <c r="E145" s="257">
        <v>1329087181</v>
      </c>
      <c r="F145" s="257">
        <v>1295200816</v>
      </c>
      <c r="G145" s="257">
        <v>1291090916</v>
      </c>
      <c r="H145" s="257">
        <v>0</v>
      </c>
      <c r="I145" s="257">
        <v>110665476.31</v>
      </c>
      <c r="J145" s="257">
        <v>0</v>
      </c>
      <c r="K145" s="257">
        <v>979576512.63999999</v>
      </c>
      <c r="L145" s="257"/>
      <c r="M145" s="257">
        <v>979576512.63999999</v>
      </c>
      <c r="N145" s="257"/>
      <c r="O145" s="257">
        <v>204958827.05000001</v>
      </c>
      <c r="P145" s="257">
        <v>200848927.05000001</v>
      </c>
    </row>
    <row r="146" spans="1:16" hidden="1" x14ac:dyDescent="0.25">
      <c r="A146" s="143" t="s">
        <v>706</v>
      </c>
      <c r="B146" s="143" t="s">
        <v>73</v>
      </c>
      <c r="C146" s="143" t="s">
        <v>74</v>
      </c>
      <c r="D146" s="143" t="s">
        <v>69</v>
      </c>
      <c r="E146" s="257">
        <v>512821400</v>
      </c>
      <c r="F146" s="257">
        <v>494422100</v>
      </c>
      <c r="G146" s="257">
        <v>494422100</v>
      </c>
      <c r="H146" s="257">
        <v>0</v>
      </c>
      <c r="I146" s="257">
        <v>492771.31</v>
      </c>
      <c r="J146" s="257">
        <v>0</v>
      </c>
      <c r="K146" s="257">
        <v>417821209.62</v>
      </c>
      <c r="L146" s="257"/>
      <c r="M146" s="257">
        <v>417821209.62</v>
      </c>
      <c r="N146" s="257"/>
      <c r="O146" s="257">
        <v>76108119.069999993</v>
      </c>
      <c r="P146" s="257">
        <v>76108119.069999993</v>
      </c>
    </row>
    <row r="147" spans="1:16" hidden="1" x14ac:dyDescent="0.25">
      <c r="A147" s="143" t="s">
        <v>706</v>
      </c>
      <c r="B147" s="143" t="s">
        <v>75</v>
      </c>
      <c r="C147" s="143" t="s">
        <v>76</v>
      </c>
      <c r="D147" s="143" t="s">
        <v>69</v>
      </c>
      <c r="E147" s="257">
        <v>507821400</v>
      </c>
      <c r="F147" s="257">
        <v>493222100</v>
      </c>
      <c r="G147" s="257">
        <v>493222100</v>
      </c>
      <c r="H147" s="257">
        <v>0</v>
      </c>
      <c r="I147" s="257">
        <v>492771.31</v>
      </c>
      <c r="J147" s="257">
        <v>0</v>
      </c>
      <c r="K147" s="257">
        <v>417821209.62</v>
      </c>
      <c r="L147" s="257"/>
      <c r="M147" s="257">
        <v>417821209.62</v>
      </c>
      <c r="N147" s="257"/>
      <c r="O147" s="257">
        <v>74908119.069999993</v>
      </c>
      <c r="P147" s="257">
        <v>74908119.069999993</v>
      </c>
    </row>
    <row r="148" spans="1:16" hidden="1" x14ac:dyDescent="0.25">
      <c r="A148" s="143" t="s">
        <v>706</v>
      </c>
      <c r="B148" s="143" t="s">
        <v>291</v>
      </c>
      <c r="C148" s="143" t="s">
        <v>292</v>
      </c>
      <c r="D148" s="143" t="s">
        <v>69</v>
      </c>
      <c r="E148" s="257">
        <v>5000000</v>
      </c>
      <c r="F148" s="257">
        <v>1200000</v>
      </c>
      <c r="G148" s="257">
        <v>1200000</v>
      </c>
      <c r="H148" s="257">
        <v>0</v>
      </c>
      <c r="I148" s="257">
        <v>0</v>
      </c>
      <c r="J148" s="257">
        <v>0</v>
      </c>
      <c r="K148" s="257">
        <v>0</v>
      </c>
      <c r="L148" s="257"/>
      <c r="M148" s="257">
        <v>0</v>
      </c>
      <c r="N148" s="257"/>
      <c r="O148" s="257">
        <v>1200000</v>
      </c>
      <c r="P148" s="257">
        <v>1200000</v>
      </c>
    </row>
    <row r="149" spans="1:16" hidden="1" x14ac:dyDescent="0.25">
      <c r="A149" s="143" t="s">
        <v>706</v>
      </c>
      <c r="B149" s="143" t="s">
        <v>293</v>
      </c>
      <c r="C149" s="143" t="s">
        <v>294</v>
      </c>
      <c r="D149" s="143" t="s">
        <v>69</v>
      </c>
      <c r="E149" s="257">
        <v>11000000</v>
      </c>
      <c r="F149" s="257">
        <v>11000000</v>
      </c>
      <c r="G149" s="257">
        <v>11000000</v>
      </c>
      <c r="H149" s="257">
        <v>0</v>
      </c>
      <c r="I149" s="257">
        <v>0</v>
      </c>
      <c r="J149" s="257">
        <v>0</v>
      </c>
      <c r="K149" s="257">
        <v>3031194.22</v>
      </c>
      <c r="L149" s="257"/>
      <c r="M149" s="257">
        <v>3031194.22</v>
      </c>
      <c r="N149" s="257"/>
      <c r="O149" s="257">
        <v>7968805.7800000003</v>
      </c>
      <c r="P149" s="257">
        <v>7968805.7800000003</v>
      </c>
    </row>
    <row r="150" spans="1:16" hidden="1" x14ac:dyDescent="0.25">
      <c r="A150" s="143" t="s">
        <v>706</v>
      </c>
      <c r="B150" s="143" t="s">
        <v>295</v>
      </c>
      <c r="C150" s="143" t="s">
        <v>296</v>
      </c>
      <c r="D150" s="143" t="s">
        <v>69</v>
      </c>
      <c r="E150" s="257">
        <v>11000000</v>
      </c>
      <c r="F150" s="257">
        <v>11000000</v>
      </c>
      <c r="G150" s="257">
        <v>11000000</v>
      </c>
      <c r="H150" s="257">
        <v>0</v>
      </c>
      <c r="I150" s="257">
        <v>0</v>
      </c>
      <c r="J150" s="257">
        <v>0</v>
      </c>
      <c r="K150" s="257">
        <v>3031194.22</v>
      </c>
      <c r="L150" s="257"/>
      <c r="M150" s="257">
        <v>3031194.22</v>
      </c>
      <c r="N150" s="257"/>
      <c r="O150" s="257">
        <v>7968805.7800000003</v>
      </c>
      <c r="P150" s="257">
        <v>7968805.7800000003</v>
      </c>
    </row>
    <row r="151" spans="1:16" hidden="1" x14ac:dyDescent="0.25">
      <c r="A151" s="143" t="s">
        <v>706</v>
      </c>
      <c r="B151" s="143" t="s">
        <v>77</v>
      </c>
      <c r="C151" s="143" t="s">
        <v>78</v>
      </c>
      <c r="D151" s="143" t="s">
        <v>69</v>
      </c>
      <c r="E151" s="257">
        <v>602518513</v>
      </c>
      <c r="F151" s="257">
        <v>592617728</v>
      </c>
      <c r="G151" s="257">
        <v>592617728</v>
      </c>
      <c r="H151" s="257">
        <v>0</v>
      </c>
      <c r="I151" s="257">
        <v>73783090.189999998</v>
      </c>
      <c r="J151" s="257">
        <v>0</v>
      </c>
      <c r="K151" s="257">
        <v>402062635.61000001</v>
      </c>
      <c r="L151" s="257"/>
      <c r="M151" s="257">
        <v>402062635.61000001</v>
      </c>
      <c r="N151" s="257"/>
      <c r="O151" s="257">
        <v>116772002.2</v>
      </c>
      <c r="P151" s="257">
        <v>116772002.2</v>
      </c>
    </row>
    <row r="152" spans="1:16" hidden="1" x14ac:dyDescent="0.25">
      <c r="A152" s="143" t="s">
        <v>706</v>
      </c>
      <c r="B152" s="143" t="s">
        <v>79</v>
      </c>
      <c r="C152" s="143" t="s">
        <v>80</v>
      </c>
      <c r="D152" s="143" t="s">
        <v>69</v>
      </c>
      <c r="E152" s="257">
        <v>160994500</v>
      </c>
      <c r="F152" s="257">
        <v>160412072</v>
      </c>
      <c r="G152" s="257">
        <v>160412072</v>
      </c>
      <c r="H152" s="257">
        <v>0</v>
      </c>
      <c r="I152" s="257">
        <v>68244.899999999994</v>
      </c>
      <c r="J152" s="257">
        <v>0</v>
      </c>
      <c r="K152" s="257">
        <v>124769733.43000001</v>
      </c>
      <c r="L152" s="257"/>
      <c r="M152" s="257">
        <v>124769733.43000001</v>
      </c>
      <c r="N152" s="257"/>
      <c r="O152" s="257">
        <v>35574093.670000002</v>
      </c>
      <c r="P152" s="257">
        <v>35574093.670000002</v>
      </c>
    </row>
    <row r="153" spans="1:16" hidden="1" x14ac:dyDescent="0.25">
      <c r="A153" s="143" t="s">
        <v>706</v>
      </c>
      <c r="B153" s="143" t="s">
        <v>81</v>
      </c>
      <c r="C153" s="143" t="s">
        <v>82</v>
      </c>
      <c r="D153" s="143" t="s">
        <v>69</v>
      </c>
      <c r="E153" s="257">
        <v>218799248</v>
      </c>
      <c r="F153" s="257">
        <v>212368846</v>
      </c>
      <c r="G153" s="257">
        <v>212368846</v>
      </c>
      <c r="H153" s="257">
        <v>0</v>
      </c>
      <c r="I153" s="257">
        <v>320301.38</v>
      </c>
      <c r="J153" s="257">
        <v>0</v>
      </c>
      <c r="K153" s="257">
        <v>162644634.74000001</v>
      </c>
      <c r="L153" s="257"/>
      <c r="M153" s="257">
        <v>162644634.74000001</v>
      </c>
      <c r="N153" s="257"/>
      <c r="O153" s="257">
        <v>49403909.880000003</v>
      </c>
      <c r="P153" s="257">
        <v>49403909.880000003</v>
      </c>
    </row>
    <row r="154" spans="1:16" hidden="1" x14ac:dyDescent="0.25">
      <c r="A154" s="143" t="s">
        <v>706</v>
      </c>
      <c r="B154" s="143" t="s">
        <v>86</v>
      </c>
      <c r="C154" s="143" t="s">
        <v>87</v>
      </c>
      <c r="D154" s="143" t="s">
        <v>69</v>
      </c>
      <c r="E154" s="257">
        <v>79437600</v>
      </c>
      <c r="F154" s="257">
        <v>79437600</v>
      </c>
      <c r="G154" s="257">
        <v>79437600</v>
      </c>
      <c r="H154" s="257">
        <v>0</v>
      </c>
      <c r="I154" s="257">
        <v>342267.65</v>
      </c>
      <c r="J154" s="257">
        <v>0</v>
      </c>
      <c r="K154" s="257">
        <v>70702211.219999999</v>
      </c>
      <c r="L154" s="257"/>
      <c r="M154" s="257">
        <v>70702211.219999999</v>
      </c>
      <c r="N154" s="257"/>
      <c r="O154" s="257">
        <v>8393121.1300000008</v>
      </c>
      <c r="P154" s="257">
        <v>8393121.1300000008</v>
      </c>
    </row>
    <row r="155" spans="1:16" hidden="1" x14ac:dyDescent="0.25">
      <c r="A155" s="143" t="s">
        <v>706</v>
      </c>
      <c r="B155" s="143" t="s">
        <v>88</v>
      </c>
      <c r="C155" s="143" t="s">
        <v>89</v>
      </c>
      <c r="D155" s="143" t="s">
        <v>69</v>
      </c>
      <c r="E155" s="257">
        <v>56677700</v>
      </c>
      <c r="F155" s="257">
        <v>56181050</v>
      </c>
      <c r="G155" s="257">
        <v>56181050</v>
      </c>
      <c r="H155" s="257">
        <v>0</v>
      </c>
      <c r="I155" s="257">
        <v>35626.550000000003</v>
      </c>
      <c r="J155" s="257">
        <v>0</v>
      </c>
      <c r="K155" s="257">
        <v>43846726.140000001</v>
      </c>
      <c r="L155" s="257"/>
      <c r="M155" s="257">
        <v>43846726.140000001</v>
      </c>
      <c r="N155" s="257"/>
      <c r="O155" s="257">
        <v>12298697.310000001</v>
      </c>
      <c r="P155" s="257">
        <v>12298697.310000001</v>
      </c>
    </row>
    <row r="156" spans="1:16" hidden="1" x14ac:dyDescent="0.25">
      <c r="A156" s="143" t="s">
        <v>706</v>
      </c>
      <c r="B156" s="143" t="s">
        <v>83</v>
      </c>
      <c r="C156" s="143" t="s">
        <v>84</v>
      </c>
      <c r="D156" s="143" t="s">
        <v>85</v>
      </c>
      <c r="E156" s="257">
        <v>86609465</v>
      </c>
      <c r="F156" s="257">
        <v>84218160</v>
      </c>
      <c r="G156" s="257">
        <v>84218160</v>
      </c>
      <c r="H156" s="257">
        <v>0</v>
      </c>
      <c r="I156" s="257">
        <v>73016649.709999993</v>
      </c>
      <c r="J156" s="257">
        <v>0</v>
      </c>
      <c r="K156" s="257">
        <v>99330.08</v>
      </c>
      <c r="L156" s="257"/>
      <c r="M156" s="257">
        <v>99330.08</v>
      </c>
      <c r="N156" s="257"/>
      <c r="O156" s="257">
        <v>11102180.210000001</v>
      </c>
      <c r="P156" s="257">
        <v>11102180.210000001</v>
      </c>
    </row>
    <row r="157" spans="1:16" hidden="1" x14ac:dyDescent="0.25">
      <c r="A157" s="143" t="s">
        <v>706</v>
      </c>
      <c r="B157" s="143" t="s">
        <v>90</v>
      </c>
      <c r="C157" s="143" t="s">
        <v>91</v>
      </c>
      <c r="D157" s="143" t="s">
        <v>69</v>
      </c>
      <c r="E157" s="257">
        <v>101373634</v>
      </c>
      <c r="F157" s="257">
        <v>98580493</v>
      </c>
      <c r="G157" s="257">
        <v>98580493</v>
      </c>
      <c r="H157" s="257">
        <v>0</v>
      </c>
      <c r="I157" s="257">
        <v>19937910.940000001</v>
      </c>
      <c r="J157" s="257">
        <v>0</v>
      </c>
      <c r="K157" s="257">
        <v>78642582.060000002</v>
      </c>
      <c r="L157" s="257"/>
      <c r="M157" s="257">
        <v>78642582.060000002</v>
      </c>
      <c r="N157" s="257"/>
      <c r="O157" s="257">
        <v>0</v>
      </c>
      <c r="P157" s="257">
        <v>0</v>
      </c>
    </row>
    <row r="158" spans="1:16" hidden="1" x14ac:dyDescent="0.25">
      <c r="A158" s="143" t="s">
        <v>706</v>
      </c>
      <c r="B158" s="143" t="s">
        <v>419</v>
      </c>
      <c r="C158" s="143" t="s">
        <v>697</v>
      </c>
      <c r="D158" s="143" t="s">
        <v>69</v>
      </c>
      <c r="E158" s="257">
        <v>96175035</v>
      </c>
      <c r="F158" s="257">
        <v>93525131</v>
      </c>
      <c r="G158" s="257">
        <v>93525131</v>
      </c>
      <c r="H158" s="257">
        <v>0</v>
      </c>
      <c r="I158" s="257">
        <v>18915218.050000001</v>
      </c>
      <c r="J158" s="257">
        <v>0</v>
      </c>
      <c r="K158" s="257">
        <v>74609912.950000003</v>
      </c>
      <c r="L158" s="257"/>
      <c r="M158" s="257">
        <v>74609912.950000003</v>
      </c>
      <c r="N158" s="257"/>
      <c r="O158" s="257">
        <v>0</v>
      </c>
      <c r="P158" s="257">
        <v>0</v>
      </c>
    </row>
    <row r="159" spans="1:16" hidden="1" x14ac:dyDescent="0.25">
      <c r="A159" s="143" t="s">
        <v>706</v>
      </c>
      <c r="B159" s="143" t="s">
        <v>436</v>
      </c>
      <c r="C159" s="143" t="s">
        <v>95</v>
      </c>
      <c r="D159" s="143" t="s">
        <v>69</v>
      </c>
      <c r="E159" s="257">
        <v>5198599</v>
      </c>
      <c r="F159" s="257">
        <v>5055362</v>
      </c>
      <c r="G159" s="257">
        <v>5055362</v>
      </c>
      <c r="H159" s="257">
        <v>0</v>
      </c>
      <c r="I159" s="257">
        <v>1022692.89</v>
      </c>
      <c r="J159" s="257">
        <v>0</v>
      </c>
      <c r="K159" s="257">
        <v>4032669.11</v>
      </c>
      <c r="L159" s="257"/>
      <c r="M159" s="257">
        <v>4032669.11</v>
      </c>
      <c r="N159" s="257"/>
      <c r="O159" s="257">
        <v>0</v>
      </c>
      <c r="P159" s="257">
        <v>0</v>
      </c>
    </row>
    <row r="160" spans="1:16" hidden="1" x14ac:dyDescent="0.25">
      <c r="A160" s="143" t="s">
        <v>706</v>
      </c>
      <c r="B160" s="143" t="s">
        <v>96</v>
      </c>
      <c r="C160" s="143" t="s">
        <v>97</v>
      </c>
      <c r="D160" s="143" t="s">
        <v>69</v>
      </c>
      <c r="E160" s="257">
        <v>101373634</v>
      </c>
      <c r="F160" s="257">
        <v>98580495</v>
      </c>
      <c r="G160" s="257">
        <v>94470595</v>
      </c>
      <c r="H160" s="257">
        <v>0</v>
      </c>
      <c r="I160" s="257">
        <v>16451703.869999999</v>
      </c>
      <c r="J160" s="257">
        <v>0</v>
      </c>
      <c r="K160" s="257">
        <v>78018891.129999995</v>
      </c>
      <c r="L160" s="257"/>
      <c r="M160" s="257">
        <v>78018891.129999995</v>
      </c>
      <c r="N160" s="257"/>
      <c r="O160" s="257">
        <v>4109900</v>
      </c>
      <c r="P160" s="257">
        <v>0</v>
      </c>
    </row>
    <row r="161" spans="1:16" hidden="1" x14ac:dyDescent="0.25">
      <c r="A161" s="143" t="s">
        <v>706</v>
      </c>
      <c r="B161" s="143" t="s">
        <v>454</v>
      </c>
      <c r="C161" s="143" t="s">
        <v>698</v>
      </c>
      <c r="D161" s="143" t="s">
        <v>69</v>
      </c>
      <c r="E161" s="257">
        <v>54585842</v>
      </c>
      <c r="F161" s="257">
        <v>53081843</v>
      </c>
      <c r="G161" s="257">
        <v>53081843</v>
      </c>
      <c r="H161" s="257">
        <v>0</v>
      </c>
      <c r="I161" s="257">
        <v>11356977.550000001</v>
      </c>
      <c r="J161" s="257">
        <v>0</v>
      </c>
      <c r="K161" s="257">
        <v>41724865.450000003</v>
      </c>
      <c r="L161" s="257"/>
      <c r="M161" s="257">
        <v>41724865.450000003</v>
      </c>
      <c r="N161" s="257"/>
      <c r="O161" s="257">
        <v>0</v>
      </c>
      <c r="P161" s="257">
        <v>0</v>
      </c>
    </row>
    <row r="162" spans="1:16" hidden="1" x14ac:dyDescent="0.25">
      <c r="A162" s="143" t="s">
        <v>706</v>
      </c>
      <c r="B162" s="143" t="s">
        <v>471</v>
      </c>
      <c r="C162" s="143" t="s">
        <v>699</v>
      </c>
      <c r="D162" s="143" t="s">
        <v>69</v>
      </c>
      <c r="E162" s="257">
        <v>15595897</v>
      </c>
      <c r="F162" s="257">
        <v>15166184</v>
      </c>
      <c r="G162" s="257">
        <v>15166184</v>
      </c>
      <c r="H162" s="257">
        <v>0</v>
      </c>
      <c r="I162" s="257">
        <v>2026439.6</v>
      </c>
      <c r="J162" s="257">
        <v>0</v>
      </c>
      <c r="K162" s="257">
        <v>13139744.4</v>
      </c>
      <c r="L162" s="257"/>
      <c r="M162" s="257">
        <v>13139744.4</v>
      </c>
      <c r="N162" s="257"/>
      <c r="O162" s="257">
        <v>0</v>
      </c>
      <c r="P162" s="257">
        <v>0</v>
      </c>
    </row>
    <row r="163" spans="1:16" hidden="1" x14ac:dyDescent="0.25">
      <c r="A163" s="143" t="s">
        <v>706</v>
      </c>
      <c r="B163" s="143" t="s">
        <v>488</v>
      </c>
      <c r="C163" s="143" t="s">
        <v>700</v>
      </c>
      <c r="D163" s="143" t="s">
        <v>69</v>
      </c>
      <c r="E163" s="257">
        <v>31191895</v>
      </c>
      <c r="F163" s="257">
        <v>30332468</v>
      </c>
      <c r="G163" s="257">
        <v>26222568</v>
      </c>
      <c r="H163" s="257">
        <v>0</v>
      </c>
      <c r="I163" s="257">
        <v>3068286.72</v>
      </c>
      <c r="J163" s="257">
        <v>0</v>
      </c>
      <c r="K163" s="257">
        <v>23154281.280000001</v>
      </c>
      <c r="L163" s="257"/>
      <c r="M163" s="257">
        <v>23154281.280000001</v>
      </c>
      <c r="N163" s="257"/>
      <c r="O163" s="257">
        <v>4109900</v>
      </c>
      <c r="P163" s="257">
        <v>0</v>
      </c>
    </row>
    <row r="164" spans="1:16" hidden="1" x14ac:dyDescent="0.25">
      <c r="A164" s="143" t="s">
        <v>706</v>
      </c>
      <c r="B164" s="143" t="s">
        <v>104</v>
      </c>
      <c r="C164" s="143" t="s">
        <v>105</v>
      </c>
      <c r="D164" s="143" t="s">
        <v>69</v>
      </c>
      <c r="E164" s="257">
        <v>1188545520</v>
      </c>
      <c r="F164" s="257">
        <v>1240795520</v>
      </c>
      <c r="G164" s="257">
        <v>1240795520</v>
      </c>
      <c r="H164" s="257">
        <v>7992513.9500000002</v>
      </c>
      <c r="I164" s="257">
        <v>211006772.27000001</v>
      </c>
      <c r="J164" s="257">
        <v>20971795.800000001</v>
      </c>
      <c r="K164" s="257">
        <v>872447812.27999997</v>
      </c>
      <c r="L164" s="257"/>
      <c r="M164" s="257">
        <v>788988981.77999997</v>
      </c>
      <c r="N164" s="257"/>
      <c r="O164" s="257">
        <v>128376625.7</v>
      </c>
      <c r="P164" s="257">
        <v>128376625.7</v>
      </c>
    </row>
    <row r="165" spans="1:16" hidden="1" x14ac:dyDescent="0.25">
      <c r="A165" s="143" t="s">
        <v>706</v>
      </c>
      <c r="B165" s="143" t="s">
        <v>106</v>
      </c>
      <c r="C165" s="143" t="s">
        <v>107</v>
      </c>
      <c r="D165" s="143" t="s">
        <v>69</v>
      </c>
      <c r="E165" s="257">
        <v>411755980</v>
      </c>
      <c r="F165" s="257">
        <v>429555497.89999998</v>
      </c>
      <c r="G165" s="257">
        <v>429555497.89999998</v>
      </c>
      <c r="H165" s="257">
        <v>0</v>
      </c>
      <c r="I165" s="257">
        <v>57679501.32</v>
      </c>
      <c r="J165" s="257">
        <v>13754471.220000001</v>
      </c>
      <c r="K165" s="257">
        <v>326049856.74000001</v>
      </c>
      <c r="L165" s="257"/>
      <c r="M165" s="257">
        <v>285308337.44</v>
      </c>
      <c r="N165" s="257"/>
      <c r="O165" s="257">
        <v>32071668.620000001</v>
      </c>
      <c r="P165" s="257">
        <v>32071668.620000001</v>
      </c>
    </row>
    <row r="166" spans="1:16" hidden="1" x14ac:dyDescent="0.25">
      <c r="A166" s="143" t="s">
        <v>706</v>
      </c>
      <c r="B166" s="143" t="s">
        <v>280</v>
      </c>
      <c r="C166" s="143" t="s">
        <v>281</v>
      </c>
      <c r="D166" s="143" t="s">
        <v>69</v>
      </c>
      <c r="E166" s="257">
        <v>168555500</v>
      </c>
      <c r="F166" s="257">
        <v>186505500</v>
      </c>
      <c r="G166" s="257">
        <v>186505500</v>
      </c>
      <c r="H166" s="257">
        <v>0</v>
      </c>
      <c r="I166" s="257">
        <v>11104766.52</v>
      </c>
      <c r="J166" s="257">
        <v>13651576.6</v>
      </c>
      <c r="K166" s="257">
        <v>159392687.31999999</v>
      </c>
      <c r="L166" s="257"/>
      <c r="M166" s="257">
        <v>148021981.41</v>
      </c>
      <c r="N166" s="257"/>
      <c r="O166" s="257">
        <v>2356469.56</v>
      </c>
      <c r="P166" s="257">
        <v>2356469.56</v>
      </c>
    </row>
    <row r="167" spans="1:16" hidden="1" x14ac:dyDescent="0.25">
      <c r="A167" s="143" t="s">
        <v>706</v>
      </c>
      <c r="B167" s="143" t="s">
        <v>302</v>
      </c>
      <c r="C167" s="143" t="s">
        <v>303</v>
      </c>
      <c r="D167" s="143" t="s">
        <v>69</v>
      </c>
      <c r="E167" s="257">
        <v>3869560</v>
      </c>
      <c r="F167" s="257">
        <v>3869560</v>
      </c>
      <c r="G167" s="257">
        <v>3869560</v>
      </c>
      <c r="H167" s="257">
        <v>0</v>
      </c>
      <c r="I167" s="257">
        <v>484026.23</v>
      </c>
      <c r="J167" s="257">
        <v>0</v>
      </c>
      <c r="K167" s="257">
        <v>1999233.69</v>
      </c>
      <c r="L167" s="257"/>
      <c r="M167" s="257">
        <v>1999233.69</v>
      </c>
      <c r="N167" s="257"/>
      <c r="O167" s="257">
        <v>1386300.08</v>
      </c>
      <c r="P167" s="257">
        <v>1386300.08</v>
      </c>
    </row>
    <row r="168" spans="1:16" hidden="1" x14ac:dyDescent="0.25">
      <c r="A168" s="143" t="s">
        <v>706</v>
      </c>
      <c r="B168" s="143" t="s">
        <v>108</v>
      </c>
      <c r="C168" s="143" t="s">
        <v>109</v>
      </c>
      <c r="D168" s="143" t="s">
        <v>69</v>
      </c>
      <c r="E168" s="257">
        <v>194561670</v>
      </c>
      <c r="F168" s="257">
        <v>189561670</v>
      </c>
      <c r="G168" s="257">
        <v>189561670</v>
      </c>
      <c r="H168" s="257">
        <v>0</v>
      </c>
      <c r="I168" s="257">
        <v>38503009.420000002</v>
      </c>
      <c r="J168" s="257">
        <v>0</v>
      </c>
      <c r="K168" s="257">
        <v>125961712.38</v>
      </c>
      <c r="L168" s="257"/>
      <c r="M168" s="257">
        <v>111130956.44</v>
      </c>
      <c r="N168" s="257"/>
      <c r="O168" s="257">
        <v>25096948.199999999</v>
      </c>
      <c r="P168" s="257">
        <v>25096948.199999999</v>
      </c>
    </row>
    <row r="169" spans="1:16" hidden="1" x14ac:dyDescent="0.25">
      <c r="A169" s="143" t="s">
        <v>706</v>
      </c>
      <c r="B169" s="143" t="s">
        <v>304</v>
      </c>
      <c r="C169" s="143" t="s">
        <v>305</v>
      </c>
      <c r="D169" s="143" t="s">
        <v>69</v>
      </c>
      <c r="E169" s="257">
        <v>1649720</v>
      </c>
      <c r="F169" s="257">
        <v>1999237.9</v>
      </c>
      <c r="G169" s="257">
        <v>1999237.9</v>
      </c>
      <c r="H169" s="257">
        <v>0</v>
      </c>
      <c r="I169" s="257">
        <v>241239.87</v>
      </c>
      <c r="J169" s="257">
        <v>102894.62</v>
      </c>
      <c r="K169" s="257">
        <v>1416529.63</v>
      </c>
      <c r="L169" s="257"/>
      <c r="M169" s="257">
        <v>1416529.63</v>
      </c>
      <c r="N169" s="257"/>
      <c r="O169" s="257">
        <v>238573.78</v>
      </c>
      <c r="P169" s="257">
        <v>238573.78</v>
      </c>
    </row>
    <row r="170" spans="1:16" hidden="1" x14ac:dyDescent="0.25">
      <c r="A170" s="143" t="s">
        <v>706</v>
      </c>
      <c r="B170" s="143" t="s">
        <v>110</v>
      </c>
      <c r="C170" s="143" t="s">
        <v>111</v>
      </c>
      <c r="D170" s="143" t="s">
        <v>69</v>
      </c>
      <c r="E170" s="257">
        <v>43119530</v>
      </c>
      <c r="F170" s="257">
        <v>47619530</v>
      </c>
      <c r="G170" s="257">
        <v>47619530</v>
      </c>
      <c r="H170" s="257">
        <v>0</v>
      </c>
      <c r="I170" s="257">
        <v>7346459.2800000003</v>
      </c>
      <c r="J170" s="257">
        <v>0</v>
      </c>
      <c r="K170" s="257">
        <v>37279693.719999999</v>
      </c>
      <c r="L170" s="257"/>
      <c r="M170" s="257">
        <v>22739636.27</v>
      </c>
      <c r="N170" s="257"/>
      <c r="O170" s="257">
        <v>2993377</v>
      </c>
      <c r="P170" s="257">
        <v>2993377</v>
      </c>
    </row>
    <row r="171" spans="1:16" hidden="1" x14ac:dyDescent="0.25">
      <c r="A171" s="143" t="s">
        <v>706</v>
      </c>
      <c r="B171" s="143" t="s">
        <v>112</v>
      </c>
      <c r="C171" s="143" t="s">
        <v>113</v>
      </c>
      <c r="D171" s="143" t="s">
        <v>69</v>
      </c>
      <c r="E171" s="257">
        <v>114662680</v>
      </c>
      <c r="F171" s="257">
        <v>130162680</v>
      </c>
      <c r="G171" s="257">
        <v>130162680</v>
      </c>
      <c r="H171" s="257">
        <v>0</v>
      </c>
      <c r="I171" s="257">
        <v>26337854.829999998</v>
      </c>
      <c r="J171" s="257">
        <v>781069.93</v>
      </c>
      <c r="K171" s="257">
        <v>89483541.510000005</v>
      </c>
      <c r="L171" s="257"/>
      <c r="M171" s="257">
        <v>79104968.359999999</v>
      </c>
      <c r="N171" s="257"/>
      <c r="O171" s="257">
        <v>13560213.73</v>
      </c>
      <c r="P171" s="257">
        <v>13560213.73</v>
      </c>
    </row>
    <row r="172" spans="1:16" hidden="1" x14ac:dyDescent="0.25">
      <c r="A172" s="143" t="s">
        <v>706</v>
      </c>
      <c r="B172" s="143" t="s">
        <v>114</v>
      </c>
      <c r="C172" s="143" t="s">
        <v>115</v>
      </c>
      <c r="D172" s="143" t="s">
        <v>69</v>
      </c>
      <c r="E172" s="257">
        <v>19200000</v>
      </c>
      <c r="F172" s="257">
        <v>23200000</v>
      </c>
      <c r="G172" s="257">
        <v>23200000</v>
      </c>
      <c r="H172" s="257">
        <v>0</v>
      </c>
      <c r="I172" s="257">
        <v>3395664.01</v>
      </c>
      <c r="J172" s="257">
        <v>0</v>
      </c>
      <c r="K172" s="257">
        <v>15995257</v>
      </c>
      <c r="L172" s="257"/>
      <c r="M172" s="257">
        <v>15995257</v>
      </c>
      <c r="N172" s="257"/>
      <c r="O172" s="257">
        <v>3809078.99</v>
      </c>
      <c r="P172" s="257">
        <v>3809078.99</v>
      </c>
    </row>
    <row r="173" spans="1:16" hidden="1" x14ac:dyDescent="0.25">
      <c r="A173" s="143" t="s">
        <v>706</v>
      </c>
      <c r="B173" s="143" t="s">
        <v>116</v>
      </c>
      <c r="C173" s="143" t="s">
        <v>117</v>
      </c>
      <c r="D173" s="143" t="s">
        <v>69</v>
      </c>
      <c r="E173" s="257">
        <v>37800000</v>
      </c>
      <c r="F173" s="257">
        <v>41300000</v>
      </c>
      <c r="G173" s="257">
        <v>41300000</v>
      </c>
      <c r="H173" s="257">
        <v>0</v>
      </c>
      <c r="I173" s="257">
        <v>5120213.3499999996</v>
      </c>
      <c r="J173" s="257">
        <v>0</v>
      </c>
      <c r="K173" s="257">
        <v>36163091.649999999</v>
      </c>
      <c r="L173" s="257"/>
      <c r="M173" s="257">
        <v>33788404.5</v>
      </c>
      <c r="N173" s="257"/>
      <c r="O173" s="257">
        <v>16695</v>
      </c>
      <c r="P173" s="257">
        <v>16695</v>
      </c>
    </row>
    <row r="174" spans="1:16" hidden="1" x14ac:dyDescent="0.25">
      <c r="A174" s="143" t="s">
        <v>706</v>
      </c>
      <c r="B174" s="143" t="s">
        <v>118</v>
      </c>
      <c r="C174" s="143" t="s">
        <v>119</v>
      </c>
      <c r="D174" s="143" t="s">
        <v>69</v>
      </c>
      <c r="E174" s="257">
        <v>7200000</v>
      </c>
      <c r="F174" s="257">
        <v>7200000</v>
      </c>
      <c r="G174" s="257">
        <v>7200000</v>
      </c>
      <c r="H174" s="257">
        <v>0</v>
      </c>
      <c r="I174" s="257">
        <v>440146.4</v>
      </c>
      <c r="J174" s="257">
        <v>0</v>
      </c>
      <c r="K174" s="257">
        <v>1109853.6000000001</v>
      </c>
      <c r="L174" s="257"/>
      <c r="M174" s="257">
        <v>974479.6</v>
      </c>
      <c r="N174" s="257"/>
      <c r="O174" s="257">
        <v>5650000</v>
      </c>
      <c r="P174" s="257">
        <v>5650000</v>
      </c>
    </row>
    <row r="175" spans="1:16" hidden="1" x14ac:dyDescent="0.25">
      <c r="A175" s="143" t="s">
        <v>706</v>
      </c>
      <c r="B175" s="143" t="s">
        <v>120</v>
      </c>
      <c r="C175" s="143" t="s">
        <v>121</v>
      </c>
      <c r="D175" s="143" t="s">
        <v>69</v>
      </c>
      <c r="E175" s="257">
        <v>45662680</v>
      </c>
      <c r="F175" s="257">
        <v>53662680</v>
      </c>
      <c r="G175" s="257">
        <v>53662680</v>
      </c>
      <c r="H175" s="257">
        <v>0</v>
      </c>
      <c r="I175" s="257">
        <v>17379862.370000001</v>
      </c>
      <c r="J175" s="257">
        <v>781069.93</v>
      </c>
      <c r="K175" s="257">
        <v>34472758.359999999</v>
      </c>
      <c r="L175" s="257"/>
      <c r="M175" s="257">
        <v>26604246.359999999</v>
      </c>
      <c r="N175" s="257"/>
      <c r="O175" s="257">
        <v>1028989.34</v>
      </c>
      <c r="P175" s="257">
        <v>1028989.34</v>
      </c>
    </row>
    <row r="176" spans="1:16" hidden="1" x14ac:dyDescent="0.25">
      <c r="A176" s="143" t="s">
        <v>706</v>
      </c>
      <c r="B176" s="143" t="s">
        <v>122</v>
      </c>
      <c r="C176" s="143" t="s">
        <v>123</v>
      </c>
      <c r="D176" s="143" t="s">
        <v>69</v>
      </c>
      <c r="E176" s="257">
        <v>4800000</v>
      </c>
      <c r="F176" s="257">
        <v>4800000</v>
      </c>
      <c r="G176" s="257">
        <v>4800000</v>
      </c>
      <c r="H176" s="257">
        <v>0</v>
      </c>
      <c r="I176" s="257">
        <v>1968.7</v>
      </c>
      <c r="J176" s="257">
        <v>0</v>
      </c>
      <c r="K176" s="257">
        <v>1742580.9</v>
      </c>
      <c r="L176" s="257"/>
      <c r="M176" s="257">
        <v>1742580.9</v>
      </c>
      <c r="N176" s="257"/>
      <c r="O176" s="257">
        <v>3055450.4</v>
      </c>
      <c r="P176" s="257">
        <v>3055450.4</v>
      </c>
    </row>
    <row r="177" spans="1:16" hidden="1" x14ac:dyDescent="0.25">
      <c r="A177" s="143" t="s">
        <v>706</v>
      </c>
      <c r="B177" s="143" t="s">
        <v>124</v>
      </c>
      <c r="C177" s="143" t="s">
        <v>125</v>
      </c>
      <c r="D177" s="143" t="s">
        <v>69</v>
      </c>
      <c r="E177" s="257">
        <v>5424230</v>
      </c>
      <c r="F177" s="257">
        <v>6924230</v>
      </c>
      <c r="G177" s="257">
        <v>6924230</v>
      </c>
      <c r="H177" s="257">
        <v>14916.01</v>
      </c>
      <c r="I177" s="257">
        <v>1425871.05</v>
      </c>
      <c r="J177" s="257">
        <v>0</v>
      </c>
      <c r="K177" s="257">
        <v>1643718.43</v>
      </c>
      <c r="L177" s="257"/>
      <c r="M177" s="257">
        <v>1574324</v>
      </c>
      <c r="N177" s="257"/>
      <c r="O177" s="257">
        <v>3839724.51</v>
      </c>
      <c r="P177" s="257">
        <v>3839724.51</v>
      </c>
    </row>
    <row r="178" spans="1:16" hidden="1" x14ac:dyDescent="0.25">
      <c r="A178" s="143" t="s">
        <v>706</v>
      </c>
      <c r="B178" s="143" t="s">
        <v>126</v>
      </c>
      <c r="C178" s="143" t="s">
        <v>127</v>
      </c>
      <c r="D178" s="143" t="s">
        <v>69</v>
      </c>
      <c r="E178" s="257">
        <v>500000</v>
      </c>
      <c r="F178" s="257">
        <v>2000000</v>
      </c>
      <c r="G178" s="257">
        <v>2000000</v>
      </c>
      <c r="H178" s="257">
        <v>14916.01</v>
      </c>
      <c r="I178" s="257">
        <v>36345.54</v>
      </c>
      <c r="J178" s="257">
        <v>0</v>
      </c>
      <c r="K178" s="257">
        <v>840227.5</v>
      </c>
      <c r="L178" s="257"/>
      <c r="M178" s="257">
        <v>788213.6</v>
      </c>
      <c r="N178" s="257"/>
      <c r="O178" s="257">
        <v>1108510.95</v>
      </c>
      <c r="P178" s="257">
        <v>1108510.95</v>
      </c>
    </row>
    <row r="179" spans="1:16" hidden="1" x14ac:dyDescent="0.25">
      <c r="A179" s="143" t="s">
        <v>706</v>
      </c>
      <c r="B179" s="143" t="s">
        <v>128</v>
      </c>
      <c r="C179" s="143" t="s">
        <v>129</v>
      </c>
      <c r="D179" s="143" t="s">
        <v>69</v>
      </c>
      <c r="E179" s="257">
        <v>1000000</v>
      </c>
      <c r="F179" s="257">
        <v>1000000</v>
      </c>
      <c r="G179" s="257">
        <v>1000000</v>
      </c>
      <c r="H179" s="257">
        <v>0</v>
      </c>
      <c r="I179" s="257">
        <v>158122.87</v>
      </c>
      <c r="J179" s="257">
        <v>0</v>
      </c>
      <c r="K179" s="257">
        <v>49492.13</v>
      </c>
      <c r="L179" s="257"/>
      <c r="M179" s="257">
        <v>49492.13</v>
      </c>
      <c r="N179" s="257"/>
      <c r="O179" s="257">
        <v>792385</v>
      </c>
      <c r="P179" s="257">
        <v>792385</v>
      </c>
    </row>
    <row r="180" spans="1:16" hidden="1" x14ac:dyDescent="0.25">
      <c r="A180" s="143" t="s">
        <v>706</v>
      </c>
      <c r="B180" s="143" t="s">
        <v>130</v>
      </c>
      <c r="C180" s="143" t="s">
        <v>131</v>
      </c>
      <c r="D180" s="143" t="s">
        <v>69</v>
      </c>
      <c r="E180" s="257">
        <v>138100</v>
      </c>
      <c r="F180" s="257">
        <v>138100</v>
      </c>
      <c r="G180" s="257">
        <v>138100</v>
      </c>
      <c r="H180" s="257">
        <v>0</v>
      </c>
      <c r="I180" s="257">
        <v>25548.3</v>
      </c>
      <c r="J180" s="257">
        <v>0</v>
      </c>
      <c r="K180" s="257">
        <v>82451.7</v>
      </c>
      <c r="L180" s="257"/>
      <c r="M180" s="257">
        <v>82451.7</v>
      </c>
      <c r="N180" s="257"/>
      <c r="O180" s="257">
        <v>30100</v>
      </c>
      <c r="P180" s="257">
        <v>30100</v>
      </c>
    </row>
    <row r="181" spans="1:16" hidden="1" x14ac:dyDescent="0.25">
      <c r="A181" s="143" t="s">
        <v>706</v>
      </c>
      <c r="B181" s="143" t="s">
        <v>132</v>
      </c>
      <c r="C181" s="143" t="s">
        <v>133</v>
      </c>
      <c r="D181" s="143" t="s">
        <v>69</v>
      </c>
      <c r="E181" s="257">
        <v>3786130</v>
      </c>
      <c r="F181" s="257">
        <v>3786130</v>
      </c>
      <c r="G181" s="257">
        <v>3786130</v>
      </c>
      <c r="H181" s="257">
        <v>0</v>
      </c>
      <c r="I181" s="257">
        <v>1205854.3400000001</v>
      </c>
      <c r="J181" s="257">
        <v>0</v>
      </c>
      <c r="K181" s="257">
        <v>671547.1</v>
      </c>
      <c r="L181" s="257"/>
      <c r="M181" s="257">
        <v>654166.56999999995</v>
      </c>
      <c r="N181" s="257"/>
      <c r="O181" s="257">
        <v>1908728.56</v>
      </c>
      <c r="P181" s="257">
        <v>1908728.56</v>
      </c>
    </row>
    <row r="182" spans="1:16" hidden="1" x14ac:dyDescent="0.25">
      <c r="A182" s="143" t="s">
        <v>706</v>
      </c>
      <c r="B182" s="143" t="s">
        <v>134</v>
      </c>
      <c r="C182" s="143" t="s">
        <v>135</v>
      </c>
      <c r="D182" s="143" t="s">
        <v>69</v>
      </c>
      <c r="E182" s="257">
        <v>385113260</v>
      </c>
      <c r="F182" s="257">
        <v>425413260</v>
      </c>
      <c r="G182" s="257">
        <v>425413260</v>
      </c>
      <c r="H182" s="257">
        <v>0</v>
      </c>
      <c r="I182" s="257">
        <v>61956225.420000002</v>
      </c>
      <c r="J182" s="257">
        <v>0</v>
      </c>
      <c r="K182" s="257">
        <v>342440945.89999998</v>
      </c>
      <c r="L182" s="257"/>
      <c r="M182" s="257">
        <v>312786209.25999999</v>
      </c>
      <c r="N182" s="257"/>
      <c r="O182" s="257">
        <v>21016088.68</v>
      </c>
      <c r="P182" s="257">
        <v>21016088.68</v>
      </c>
    </row>
    <row r="183" spans="1:16" hidden="1" x14ac:dyDescent="0.25">
      <c r="A183" s="143" t="s">
        <v>706</v>
      </c>
      <c r="B183" s="143" t="s">
        <v>306</v>
      </c>
      <c r="C183" s="143" t="s">
        <v>307</v>
      </c>
      <c r="D183" s="143" t="s">
        <v>69</v>
      </c>
      <c r="E183" s="257">
        <v>2000000</v>
      </c>
      <c r="F183" s="257">
        <v>2000000</v>
      </c>
      <c r="G183" s="257">
        <v>2000000</v>
      </c>
      <c r="H183" s="257">
        <v>0</v>
      </c>
      <c r="I183" s="257">
        <v>0</v>
      </c>
      <c r="J183" s="257">
        <v>0</v>
      </c>
      <c r="K183" s="257">
        <v>0</v>
      </c>
      <c r="L183" s="257"/>
      <c r="M183" s="257">
        <v>0</v>
      </c>
      <c r="N183" s="257"/>
      <c r="O183" s="257">
        <v>2000000</v>
      </c>
      <c r="P183" s="257">
        <v>2000000</v>
      </c>
    </row>
    <row r="184" spans="1:16" hidden="1" x14ac:dyDescent="0.25">
      <c r="A184" s="143" t="s">
        <v>706</v>
      </c>
      <c r="B184" s="143" t="s">
        <v>136</v>
      </c>
      <c r="C184" s="143" t="s">
        <v>137</v>
      </c>
      <c r="D184" s="143" t="s">
        <v>69</v>
      </c>
      <c r="E184" s="257">
        <v>373281100</v>
      </c>
      <c r="F184" s="257">
        <v>407581100</v>
      </c>
      <c r="G184" s="257">
        <v>407581100</v>
      </c>
      <c r="H184" s="257">
        <v>0</v>
      </c>
      <c r="I184" s="257">
        <v>59411360.009999998</v>
      </c>
      <c r="J184" s="257">
        <v>0</v>
      </c>
      <c r="K184" s="257">
        <v>333453100.42000002</v>
      </c>
      <c r="L184" s="257"/>
      <c r="M184" s="257">
        <v>304023875.06999999</v>
      </c>
      <c r="N184" s="257"/>
      <c r="O184" s="257">
        <v>14716639.57</v>
      </c>
      <c r="P184" s="257">
        <v>14716639.57</v>
      </c>
    </row>
    <row r="185" spans="1:16" hidden="1" x14ac:dyDescent="0.25">
      <c r="A185" s="143" t="s">
        <v>706</v>
      </c>
      <c r="B185" s="143" t="s">
        <v>138</v>
      </c>
      <c r="C185" s="143" t="s">
        <v>139</v>
      </c>
      <c r="D185" s="143" t="s">
        <v>69</v>
      </c>
      <c r="E185" s="257">
        <v>9832160</v>
      </c>
      <c r="F185" s="257">
        <v>15832160</v>
      </c>
      <c r="G185" s="257">
        <v>15832160</v>
      </c>
      <c r="H185" s="257">
        <v>0</v>
      </c>
      <c r="I185" s="257">
        <v>2544865.41</v>
      </c>
      <c r="J185" s="257">
        <v>0</v>
      </c>
      <c r="K185" s="257">
        <v>8987845.4800000004</v>
      </c>
      <c r="L185" s="257"/>
      <c r="M185" s="257">
        <v>8762334.1899999995</v>
      </c>
      <c r="N185" s="257"/>
      <c r="O185" s="257">
        <v>4299449.1100000003</v>
      </c>
      <c r="P185" s="257">
        <v>4299449.1100000003</v>
      </c>
    </row>
    <row r="186" spans="1:16" hidden="1" x14ac:dyDescent="0.25">
      <c r="A186" s="143" t="s">
        <v>706</v>
      </c>
      <c r="B186" s="143" t="s">
        <v>140</v>
      </c>
      <c r="C186" s="143" t="s">
        <v>141</v>
      </c>
      <c r="D186" s="143" t="s">
        <v>69</v>
      </c>
      <c r="E186" s="257">
        <v>35800000</v>
      </c>
      <c r="F186" s="257">
        <v>35800000</v>
      </c>
      <c r="G186" s="257">
        <v>35800000</v>
      </c>
      <c r="H186" s="257">
        <v>177600</v>
      </c>
      <c r="I186" s="257">
        <v>8129306.2699999996</v>
      </c>
      <c r="J186" s="257">
        <v>0</v>
      </c>
      <c r="K186" s="257">
        <v>9262093.7300000004</v>
      </c>
      <c r="L186" s="257"/>
      <c r="M186" s="257">
        <v>9236893.7300000004</v>
      </c>
      <c r="N186" s="257"/>
      <c r="O186" s="257">
        <v>18231000</v>
      </c>
      <c r="P186" s="257">
        <v>18231000</v>
      </c>
    </row>
    <row r="187" spans="1:16" hidden="1" x14ac:dyDescent="0.25">
      <c r="A187" s="143" t="s">
        <v>706</v>
      </c>
      <c r="B187" s="143" t="s">
        <v>142</v>
      </c>
      <c r="C187" s="143" t="s">
        <v>143</v>
      </c>
      <c r="D187" s="143" t="s">
        <v>69</v>
      </c>
      <c r="E187" s="257">
        <v>1800000</v>
      </c>
      <c r="F187" s="257">
        <v>1800000</v>
      </c>
      <c r="G187" s="257">
        <v>1800000</v>
      </c>
      <c r="H187" s="257">
        <v>0</v>
      </c>
      <c r="I187" s="257">
        <v>240606.27</v>
      </c>
      <c r="J187" s="257">
        <v>0</v>
      </c>
      <c r="K187" s="257">
        <v>459393.73</v>
      </c>
      <c r="L187" s="257"/>
      <c r="M187" s="257">
        <v>459393.73</v>
      </c>
      <c r="N187" s="257"/>
      <c r="O187" s="257">
        <v>1100000</v>
      </c>
      <c r="P187" s="257">
        <v>1100000</v>
      </c>
    </row>
    <row r="188" spans="1:16" hidden="1" x14ac:dyDescent="0.25">
      <c r="A188" s="143" t="s">
        <v>706</v>
      </c>
      <c r="B188" s="143" t="s">
        <v>144</v>
      </c>
      <c r="C188" s="143" t="s">
        <v>145</v>
      </c>
      <c r="D188" s="143" t="s">
        <v>69</v>
      </c>
      <c r="E188" s="257">
        <v>34000000</v>
      </c>
      <c r="F188" s="257">
        <v>34000000</v>
      </c>
      <c r="G188" s="257">
        <v>34000000</v>
      </c>
      <c r="H188" s="257">
        <v>177600</v>
      </c>
      <c r="I188" s="257">
        <v>7888700</v>
      </c>
      <c r="J188" s="257">
        <v>0</v>
      </c>
      <c r="K188" s="257">
        <v>8802700</v>
      </c>
      <c r="L188" s="257"/>
      <c r="M188" s="257">
        <v>8777500</v>
      </c>
      <c r="N188" s="257"/>
      <c r="O188" s="257">
        <v>17131000</v>
      </c>
      <c r="P188" s="257">
        <v>17131000</v>
      </c>
    </row>
    <row r="189" spans="1:16" hidden="1" x14ac:dyDescent="0.25">
      <c r="A189" s="143" t="s">
        <v>706</v>
      </c>
      <c r="B189" s="143" t="s">
        <v>150</v>
      </c>
      <c r="C189" s="143" t="s">
        <v>151</v>
      </c>
      <c r="D189" s="143" t="s">
        <v>69</v>
      </c>
      <c r="E189" s="257">
        <v>113000000</v>
      </c>
      <c r="F189" s="257">
        <v>113000000</v>
      </c>
      <c r="G189" s="257">
        <v>113000000</v>
      </c>
      <c r="H189" s="257">
        <v>0</v>
      </c>
      <c r="I189" s="257">
        <v>29097207.719999999</v>
      </c>
      <c r="J189" s="257">
        <v>0</v>
      </c>
      <c r="K189" s="257">
        <v>70392536.819999993</v>
      </c>
      <c r="L189" s="257"/>
      <c r="M189" s="257">
        <v>70392536.819999993</v>
      </c>
      <c r="N189" s="257"/>
      <c r="O189" s="257">
        <v>13510255.460000001</v>
      </c>
      <c r="P189" s="257">
        <v>13510255.460000001</v>
      </c>
    </row>
    <row r="190" spans="1:16" hidden="1" x14ac:dyDescent="0.25">
      <c r="A190" s="143" t="s">
        <v>706</v>
      </c>
      <c r="B190" s="143" t="s">
        <v>152</v>
      </c>
      <c r="C190" s="143" t="s">
        <v>153</v>
      </c>
      <c r="D190" s="143" t="s">
        <v>69</v>
      </c>
      <c r="E190" s="257">
        <v>113000000</v>
      </c>
      <c r="F190" s="257">
        <v>113000000</v>
      </c>
      <c r="G190" s="257">
        <v>113000000</v>
      </c>
      <c r="H190" s="257">
        <v>0</v>
      </c>
      <c r="I190" s="257">
        <v>29097207.719999999</v>
      </c>
      <c r="J190" s="257">
        <v>0</v>
      </c>
      <c r="K190" s="257">
        <v>70392536.819999993</v>
      </c>
      <c r="L190" s="257"/>
      <c r="M190" s="257">
        <v>70392536.819999993</v>
      </c>
      <c r="N190" s="257"/>
      <c r="O190" s="257">
        <v>13510255.460000001</v>
      </c>
      <c r="P190" s="257">
        <v>13510255.460000001</v>
      </c>
    </row>
    <row r="191" spans="1:16" hidden="1" x14ac:dyDescent="0.25">
      <c r="A191" s="143" t="s">
        <v>706</v>
      </c>
      <c r="B191" s="143" t="s">
        <v>162</v>
      </c>
      <c r="C191" s="143" t="s">
        <v>163</v>
      </c>
      <c r="D191" s="143" t="s">
        <v>69</v>
      </c>
      <c r="E191" s="257">
        <v>119064370</v>
      </c>
      <c r="F191" s="257">
        <v>96214852.099999994</v>
      </c>
      <c r="G191" s="257">
        <v>96214852.099999994</v>
      </c>
      <c r="H191" s="257">
        <v>7799997.9400000004</v>
      </c>
      <c r="I191" s="257">
        <v>24853730.66</v>
      </c>
      <c r="J191" s="257">
        <v>6436254.6500000004</v>
      </c>
      <c r="K191" s="257">
        <v>32977194.149999999</v>
      </c>
      <c r="L191" s="257"/>
      <c r="M191" s="257">
        <v>30387787.170000002</v>
      </c>
      <c r="N191" s="257"/>
      <c r="O191" s="257">
        <v>24147674.699999999</v>
      </c>
      <c r="P191" s="257">
        <v>24147674.699999999</v>
      </c>
    </row>
    <row r="192" spans="1:16" hidden="1" x14ac:dyDescent="0.25">
      <c r="A192" s="143" t="s">
        <v>706</v>
      </c>
      <c r="B192" s="143" t="s">
        <v>310</v>
      </c>
      <c r="C192" s="143" t="s">
        <v>311</v>
      </c>
      <c r="D192" s="143" t="s">
        <v>69</v>
      </c>
      <c r="E192" s="257">
        <v>25816590</v>
      </c>
      <c r="F192" s="257">
        <v>20816590</v>
      </c>
      <c r="G192" s="257">
        <v>20816590</v>
      </c>
      <c r="H192" s="257">
        <v>0</v>
      </c>
      <c r="I192" s="257">
        <v>15159971.57</v>
      </c>
      <c r="J192" s="257">
        <v>2305366.14</v>
      </c>
      <c r="K192" s="257">
        <v>2791792.69</v>
      </c>
      <c r="L192" s="257"/>
      <c r="M192" s="257">
        <v>2616077.69</v>
      </c>
      <c r="N192" s="257"/>
      <c r="O192" s="257">
        <v>559459.6</v>
      </c>
      <c r="P192" s="257">
        <v>559459.6</v>
      </c>
    </row>
    <row r="193" spans="1:16" hidden="1" x14ac:dyDescent="0.25">
      <c r="A193" s="143" t="s">
        <v>706</v>
      </c>
      <c r="B193" s="143" t="s">
        <v>164</v>
      </c>
      <c r="C193" s="143" t="s">
        <v>165</v>
      </c>
      <c r="D193" s="143" t="s">
        <v>69</v>
      </c>
      <c r="E193" s="257">
        <v>4358000</v>
      </c>
      <c r="F193" s="257">
        <v>4358000</v>
      </c>
      <c r="G193" s="257">
        <v>4358000</v>
      </c>
      <c r="H193" s="257">
        <v>0</v>
      </c>
      <c r="I193" s="257">
        <v>1386204.43</v>
      </c>
      <c r="J193" s="257">
        <v>0</v>
      </c>
      <c r="K193" s="257">
        <v>1254490.69</v>
      </c>
      <c r="L193" s="257"/>
      <c r="M193" s="257">
        <v>1254490.69</v>
      </c>
      <c r="N193" s="257"/>
      <c r="O193" s="257">
        <v>1717304.88</v>
      </c>
      <c r="P193" s="257">
        <v>1717304.88</v>
      </c>
    </row>
    <row r="194" spans="1:16" hidden="1" x14ac:dyDescent="0.25">
      <c r="A194" s="143" t="s">
        <v>706</v>
      </c>
      <c r="B194" s="143" t="s">
        <v>166</v>
      </c>
      <c r="C194" s="143" t="s">
        <v>167</v>
      </c>
      <c r="D194" s="143" t="s">
        <v>69</v>
      </c>
      <c r="E194" s="257">
        <v>28300000</v>
      </c>
      <c r="F194" s="257">
        <v>15150482.1</v>
      </c>
      <c r="G194" s="257">
        <v>15150482.1</v>
      </c>
      <c r="H194" s="257">
        <v>7799997.9400000004</v>
      </c>
      <c r="I194" s="257">
        <v>598630.44999999995</v>
      </c>
      <c r="J194" s="257">
        <v>1602555.18</v>
      </c>
      <c r="K194" s="257">
        <v>5146398.08</v>
      </c>
      <c r="L194" s="257"/>
      <c r="M194" s="257">
        <v>4865232.6100000003</v>
      </c>
      <c r="N194" s="257"/>
      <c r="O194" s="257">
        <v>2900.45</v>
      </c>
      <c r="P194" s="257">
        <v>2900.45</v>
      </c>
    </row>
    <row r="195" spans="1:16" hidden="1" x14ac:dyDescent="0.25">
      <c r="A195" s="143" t="s">
        <v>706</v>
      </c>
      <c r="B195" s="143" t="s">
        <v>312</v>
      </c>
      <c r="C195" s="143" t="s">
        <v>313</v>
      </c>
      <c r="D195" s="143" t="s">
        <v>69</v>
      </c>
      <c r="E195" s="257">
        <v>8695420</v>
      </c>
      <c r="F195" s="257">
        <v>8695420</v>
      </c>
      <c r="G195" s="257">
        <v>8695420</v>
      </c>
      <c r="H195" s="257">
        <v>0</v>
      </c>
      <c r="I195" s="257">
        <v>470703.89</v>
      </c>
      <c r="J195" s="257">
        <v>833333.33</v>
      </c>
      <c r="K195" s="257">
        <v>2845534.65</v>
      </c>
      <c r="L195" s="257"/>
      <c r="M195" s="257">
        <v>2845534.65</v>
      </c>
      <c r="N195" s="257"/>
      <c r="O195" s="257">
        <v>4545848.13</v>
      </c>
      <c r="P195" s="257">
        <v>4545848.13</v>
      </c>
    </row>
    <row r="196" spans="1:16" hidden="1" x14ac:dyDescent="0.25">
      <c r="A196" s="143" t="s">
        <v>706</v>
      </c>
      <c r="B196" s="143" t="s">
        <v>168</v>
      </c>
      <c r="C196" s="143" t="s">
        <v>169</v>
      </c>
      <c r="D196" s="143" t="s">
        <v>69</v>
      </c>
      <c r="E196" s="257">
        <v>19689160</v>
      </c>
      <c r="F196" s="257">
        <v>16989160</v>
      </c>
      <c r="G196" s="257">
        <v>16989160</v>
      </c>
      <c r="H196" s="257">
        <v>0</v>
      </c>
      <c r="I196" s="257">
        <v>2966252.67</v>
      </c>
      <c r="J196" s="257">
        <v>675000</v>
      </c>
      <c r="K196" s="257">
        <v>5724225.6399999997</v>
      </c>
      <c r="L196" s="257"/>
      <c r="M196" s="257">
        <v>4794086.93</v>
      </c>
      <c r="N196" s="257"/>
      <c r="O196" s="257">
        <v>7623681.6900000004</v>
      </c>
      <c r="P196" s="257">
        <v>7623681.6900000004</v>
      </c>
    </row>
    <row r="197" spans="1:16" hidden="1" x14ac:dyDescent="0.25">
      <c r="A197" s="143" t="s">
        <v>706</v>
      </c>
      <c r="B197" s="143" t="s">
        <v>170</v>
      </c>
      <c r="C197" s="143" t="s">
        <v>171</v>
      </c>
      <c r="D197" s="143" t="s">
        <v>69</v>
      </c>
      <c r="E197" s="257">
        <v>26663380</v>
      </c>
      <c r="F197" s="257">
        <v>24663380</v>
      </c>
      <c r="G197" s="257">
        <v>24663380</v>
      </c>
      <c r="H197" s="257">
        <v>0</v>
      </c>
      <c r="I197" s="257">
        <v>3522622.6</v>
      </c>
      <c r="J197" s="257">
        <v>1020000</v>
      </c>
      <c r="K197" s="257">
        <v>13375927.689999999</v>
      </c>
      <c r="L197" s="257"/>
      <c r="M197" s="257">
        <v>12173539.890000001</v>
      </c>
      <c r="N197" s="257"/>
      <c r="O197" s="257">
        <v>6744829.71</v>
      </c>
      <c r="P197" s="257">
        <v>6744829.71</v>
      </c>
    </row>
    <row r="198" spans="1:16" hidden="1" x14ac:dyDescent="0.25">
      <c r="A198" s="143" t="s">
        <v>706</v>
      </c>
      <c r="B198" s="143" t="s">
        <v>172</v>
      </c>
      <c r="C198" s="143" t="s">
        <v>173</v>
      </c>
      <c r="D198" s="143" t="s">
        <v>69</v>
      </c>
      <c r="E198" s="257">
        <v>5541820</v>
      </c>
      <c r="F198" s="257">
        <v>5541820</v>
      </c>
      <c r="G198" s="257">
        <v>5541820</v>
      </c>
      <c r="H198" s="257">
        <v>0</v>
      </c>
      <c r="I198" s="257">
        <v>749345.05</v>
      </c>
      <c r="J198" s="257">
        <v>0</v>
      </c>
      <c r="K198" s="257">
        <v>1838824.71</v>
      </c>
      <c r="L198" s="257"/>
      <c r="M198" s="257">
        <v>1838824.71</v>
      </c>
      <c r="N198" s="257"/>
      <c r="O198" s="257">
        <v>2953650.24</v>
      </c>
      <c r="P198" s="257">
        <v>2953650.24</v>
      </c>
    </row>
    <row r="199" spans="1:16" hidden="1" x14ac:dyDescent="0.25">
      <c r="A199" s="143" t="s">
        <v>706</v>
      </c>
      <c r="B199" s="143" t="s">
        <v>174</v>
      </c>
      <c r="C199" s="143" t="s">
        <v>175</v>
      </c>
      <c r="D199" s="143" t="s">
        <v>69</v>
      </c>
      <c r="E199" s="257">
        <v>1525000</v>
      </c>
      <c r="F199" s="257">
        <v>1525000</v>
      </c>
      <c r="G199" s="257">
        <v>1525000</v>
      </c>
      <c r="H199" s="257">
        <v>0</v>
      </c>
      <c r="I199" s="257">
        <v>1477075</v>
      </c>
      <c r="J199" s="257">
        <v>0</v>
      </c>
      <c r="K199" s="257">
        <v>47925</v>
      </c>
      <c r="L199" s="257"/>
      <c r="M199" s="257">
        <v>47925</v>
      </c>
      <c r="N199" s="257"/>
      <c r="O199" s="257">
        <v>0</v>
      </c>
      <c r="P199" s="257">
        <v>0</v>
      </c>
    </row>
    <row r="200" spans="1:16" hidden="1" x14ac:dyDescent="0.25">
      <c r="A200" s="143" t="s">
        <v>706</v>
      </c>
      <c r="B200" s="143" t="s">
        <v>176</v>
      </c>
      <c r="C200" s="143" t="s">
        <v>177</v>
      </c>
      <c r="D200" s="143" t="s">
        <v>69</v>
      </c>
      <c r="E200" s="257">
        <v>1525000</v>
      </c>
      <c r="F200" s="257">
        <v>1525000</v>
      </c>
      <c r="G200" s="257">
        <v>1525000</v>
      </c>
      <c r="H200" s="257">
        <v>0</v>
      </c>
      <c r="I200" s="257">
        <v>1477075</v>
      </c>
      <c r="J200" s="257">
        <v>0</v>
      </c>
      <c r="K200" s="257">
        <v>47925</v>
      </c>
      <c r="L200" s="257"/>
      <c r="M200" s="257">
        <v>47925</v>
      </c>
      <c r="N200" s="257"/>
      <c r="O200" s="257">
        <v>0</v>
      </c>
      <c r="P200" s="257">
        <v>0</v>
      </c>
    </row>
    <row r="201" spans="1:16" hidden="1" x14ac:dyDescent="0.25">
      <c r="A201" s="143" t="s">
        <v>706</v>
      </c>
      <c r="B201" s="143" t="s">
        <v>178</v>
      </c>
      <c r="C201" s="143" t="s">
        <v>179</v>
      </c>
      <c r="D201" s="143" t="s">
        <v>69</v>
      </c>
      <c r="E201" s="257">
        <v>2200000</v>
      </c>
      <c r="F201" s="257">
        <v>2200000</v>
      </c>
      <c r="G201" s="257">
        <v>2200000</v>
      </c>
      <c r="H201" s="257">
        <v>0</v>
      </c>
      <c r="I201" s="257">
        <v>50000</v>
      </c>
      <c r="J201" s="257">
        <v>0</v>
      </c>
      <c r="K201" s="257">
        <v>150000</v>
      </c>
      <c r="L201" s="257"/>
      <c r="M201" s="257">
        <v>150000</v>
      </c>
      <c r="N201" s="257"/>
      <c r="O201" s="257">
        <v>2000000</v>
      </c>
      <c r="P201" s="257">
        <v>2000000</v>
      </c>
    </row>
    <row r="202" spans="1:16" hidden="1" x14ac:dyDescent="0.25">
      <c r="A202" s="143" t="s">
        <v>706</v>
      </c>
      <c r="B202" s="143" t="s">
        <v>180</v>
      </c>
      <c r="C202" s="143" t="s">
        <v>181</v>
      </c>
      <c r="D202" s="143" t="s">
        <v>69</v>
      </c>
      <c r="E202" s="257">
        <v>200000</v>
      </c>
      <c r="F202" s="257">
        <v>200000</v>
      </c>
      <c r="G202" s="257">
        <v>200000</v>
      </c>
      <c r="H202" s="257">
        <v>0</v>
      </c>
      <c r="I202" s="257">
        <v>0</v>
      </c>
      <c r="J202" s="257">
        <v>0</v>
      </c>
      <c r="K202" s="257">
        <v>0</v>
      </c>
      <c r="L202" s="257"/>
      <c r="M202" s="257">
        <v>0</v>
      </c>
      <c r="N202" s="257"/>
      <c r="O202" s="257">
        <v>200000</v>
      </c>
      <c r="P202" s="257">
        <v>200000</v>
      </c>
    </row>
    <row r="203" spans="1:16" hidden="1" x14ac:dyDescent="0.25">
      <c r="A203" s="143" t="s">
        <v>706</v>
      </c>
      <c r="B203" s="143" t="s">
        <v>182</v>
      </c>
      <c r="C203" s="143" t="s">
        <v>183</v>
      </c>
      <c r="D203" s="143" t="s">
        <v>69</v>
      </c>
      <c r="E203" s="257">
        <v>2000000</v>
      </c>
      <c r="F203" s="257">
        <v>2000000</v>
      </c>
      <c r="G203" s="257">
        <v>2000000</v>
      </c>
      <c r="H203" s="257">
        <v>0</v>
      </c>
      <c r="I203" s="257">
        <v>50000</v>
      </c>
      <c r="J203" s="257">
        <v>0</v>
      </c>
      <c r="K203" s="257">
        <v>150000</v>
      </c>
      <c r="L203" s="257"/>
      <c r="M203" s="257">
        <v>150000</v>
      </c>
      <c r="N203" s="257"/>
      <c r="O203" s="257">
        <v>1800000</v>
      </c>
      <c r="P203" s="257">
        <v>1800000</v>
      </c>
    </row>
    <row r="204" spans="1:16" hidden="1" x14ac:dyDescent="0.25">
      <c r="A204" s="143" t="s">
        <v>706</v>
      </c>
      <c r="B204" s="143" t="s">
        <v>184</v>
      </c>
      <c r="C204" s="143" t="s">
        <v>185</v>
      </c>
      <c r="D204" s="143" t="s">
        <v>69</v>
      </c>
      <c r="E204" s="257">
        <v>56348380</v>
      </c>
      <c r="F204" s="257">
        <v>50848380</v>
      </c>
      <c r="G204" s="257">
        <v>50848380</v>
      </c>
      <c r="H204" s="257">
        <v>196500</v>
      </c>
      <c r="I204" s="257">
        <v>4104159.19</v>
      </c>
      <c r="J204" s="257">
        <v>1403121</v>
      </c>
      <c r="K204" s="257">
        <v>22499306.050000001</v>
      </c>
      <c r="L204" s="257"/>
      <c r="M204" s="257">
        <v>21193054.25</v>
      </c>
      <c r="N204" s="257"/>
      <c r="O204" s="257">
        <v>22645293.760000002</v>
      </c>
      <c r="P204" s="257">
        <v>22645293.760000002</v>
      </c>
    </row>
    <row r="205" spans="1:16" hidden="1" x14ac:dyDescent="0.25">
      <c r="A205" s="143" t="s">
        <v>706</v>
      </c>
      <c r="B205" s="143" t="s">
        <v>186</v>
      </c>
      <c r="C205" s="143" t="s">
        <v>187</v>
      </c>
      <c r="D205" s="143" t="s">
        <v>69</v>
      </c>
      <c r="E205" s="257">
        <v>30858480</v>
      </c>
      <c r="F205" s="257">
        <v>29358480</v>
      </c>
      <c r="G205" s="257">
        <v>29358480</v>
      </c>
      <c r="H205" s="257">
        <v>0</v>
      </c>
      <c r="I205" s="257">
        <v>1267888.76</v>
      </c>
      <c r="J205" s="257">
        <v>118085</v>
      </c>
      <c r="K205" s="257">
        <v>9006299.3599999994</v>
      </c>
      <c r="L205" s="257"/>
      <c r="M205" s="257">
        <v>9006299.3599999994</v>
      </c>
      <c r="N205" s="257"/>
      <c r="O205" s="257">
        <v>18966206.879999999</v>
      </c>
      <c r="P205" s="257">
        <v>18966206.879999999</v>
      </c>
    </row>
    <row r="206" spans="1:16" hidden="1" x14ac:dyDescent="0.25">
      <c r="A206" s="143" t="s">
        <v>706</v>
      </c>
      <c r="B206" s="143" t="s">
        <v>188</v>
      </c>
      <c r="C206" s="143" t="s">
        <v>189</v>
      </c>
      <c r="D206" s="143" t="s">
        <v>69</v>
      </c>
      <c r="E206" s="257">
        <v>25379000</v>
      </c>
      <c r="F206" s="257">
        <v>25379000</v>
      </c>
      <c r="G206" s="257">
        <v>25379000</v>
      </c>
      <c r="H206" s="257">
        <v>0</v>
      </c>
      <c r="I206" s="257">
        <v>1052827.1599999999</v>
      </c>
      <c r="J206" s="257">
        <v>0</v>
      </c>
      <c r="K206" s="257">
        <v>6508636.04</v>
      </c>
      <c r="L206" s="257"/>
      <c r="M206" s="257">
        <v>6508636.04</v>
      </c>
      <c r="N206" s="257"/>
      <c r="O206" s="257">
        <v>17817536.800000001</v>
      </c>
      <c r="P206" s="257">
        <v>17817536.800000001</v>
      </c>
    </row>
    <row r="207" spans="1:16" hidden="1" x14ac:dyDescent="0.25">
      <c r="A207" s="143" t="s">
        <v>706</v>
      </c>
      <c r="B207" s="143" t="s">
        <v>190</v>
      </c>
      <c r="C207" s="143" t="s">
        <v>191</v>
      </c>
      <c r="D207" s="143" t="s">
        <v>69</v>
      </c>
      <c r="E207" s="257">
        <v>231600</v>
      </c>
      <c r="F207" s="257">
        <v>231600</v>
      </c>
      <c r="G207" s="257">
        <v>231600</v>
      </c>
      <c r="H207" s="257">
        <v>0</v>
      </c>
      <c r="I207" s="257">
        <v>0</v>
      </c>
      <c r="J207" s="257">
        <v>0</v>
      </c>
      <c r="K207" s="257">
        <v>167805</v>
      </c>
      <c r="L207" s="257"/>
      <c r="M207" s="257">
        <v>167805</v>
      </c>
      <c r="N207" s="257"/>
      <c r="O207" s="257">
        <v>63795</v>
      </c>
      <c r="P207" s="257">
        <v>63795</v>
      </c>
    </row>
    <row r="208" spans="1:16" hidden="1" x14ac:dyDescent="0.25">
      <c r="A208" s="143" t="s">
        <v>706</v>
      </c>
      <c r="B208" s="143" t="s">
        <v>192</v>
      </c>
      <c r="C208" s="143" t="s">
        <v>193</v>
      </c>
      <c r="D208" s="143" t="s">
        <v>69</v>
      </c>
      <c r="E208" s="257">
        <v>4850880</v>
      </c>
      <c r="F208" s="257">
        <v>3350880</v>
      </c>
      <c r="G208" s="257">
        <v>3350880</v>
      </c>
      <c r="H208" s="257">
        <v>0</v>
      </c>
      <c r="I208" s="257">
        <v>39730.800000000003</v>
      </c>
      <c r="J208" s="257">
        <v>0</v>
      </c>
      <c r="K208" s="257">
        <v>2329858.3199999998</v>
      </c>
      <c r="L208" s="257"/>
      <c r="M208" s="257">
        <v>2329858.3199999998</v>
      </c>
      <c r="N208" s="257"/>
      <c r="O208" s="257">
        <v>981290.88</v>
      </c>
      <c r="P208" s="257">
        <v>981290.88</v>
      </c>
    </row>
    <row r="209" spans="1:16" hidden="1" x14ac:dyDescent="0.25">
      <c r="A209" s="143" t="s">
        <v>706</v>
      </c>
      <c r="B209" s="143" t="s">
        <v>194</v>
      </c>
      <c r="C209" s="143" t="s">
        <v>195</v>
      </c>
      <c r="D209" s="143" t="s">
        <v>69</v>
      </c>
      <c r="E209" s="257">
        <v>397000</v>
      </c>
      <c r="F209" s="257">
        <v>397000</v>
      </c>
      <c r="G209" s="257">
        <v>397000</v>
      </c>
      <c r="H209" s="257">
        <v>0</v>
      </c>
      <c r="I209" s="257">
        <v>175330.8</v>
      </c>
      <c r="J209" s="257">
        <v>118085</v>
      </c>
      <c r="K209" s="257">
        <v>0</v>
      </c>
      <c r="L209" s="257"/>
      <c r="M209" s="257">
        <v>0</v>
      </c>
      <c r="N209" s="257"/>
      <c r="O209" s="257">
        <v>103584.2</v>
      </c>
      <c r="P209" s="257">
        <v>103584.2</v>
      </c>
    </row>
    <row r="210" spans="1:16" hidden="1" x14ac:dyDescent="0.25">
      <c r="A210" s="143" t="s">
        <v>706</v>
      </c>
      <c r="B210" s="143" t="s">
        <v>200</v>
      </c>
      <c r="C210" s="143" t="s">
        <v>201</v>
      </c>
      <c r="D210" s="143" t="s">
        <v>69</v>
      </c>
      <c r="E210" s="257">
        <v>5536500</v>
      </c>
      <c r="F210" s="257">
        <v>5536500</v>
      </c>
      <c r="G210" s="257">
        <v>5536500</v>
      </c>
      <c r="H210" s="257">
        <v>0</v>
      </c>
      <c r="I210" s="257">
        <v>702192.51</v>
      </c>
      <c r="J210" s="257">
        <v>0</v>
      </c>
      <c r="K210" s="257">
        <v>4495808.13</v>
      </c>
      <c r="L210" s="257"/>
      <c r="M210" s="257">
        <v>3189556.33</v>
      </c>
      <c r="N210" s="257"/>
      <c r="O210" s="257">
        <v>338499.36</v>
      </c>
      <c r="P210" s="257">
        <v>338499.36</v>
      </c>
    </row>
    <row r="211" spans="1:16" hidden="1" x14ac:dyDescent="0.25">
      <c r="A211" s="143" t="s">
        <v>706</v>
      </c>
      <c r="B211" s="143" t="s">
        <v>314</v>
      </c>
      <c r="C211" s="143" t="s">
        <v>315</v>
      </c>
      <c r="D211" s="143" t="s">
        <v>69</v>
      </c>
      <c r="E211" s="257">
        <v>1274000</v>
      </c>
      <c r="F211" s="257">
        <v>1274000</v>
      </c>
      <c r="G211" s="257">
        <v>1274000</v>
      </c>
      <c r="H211" s="257">
        <v>0</v>
      </c>
      <c r="I211" s="257">
        <v>0</v>
      </c>
      <c r="J211" s="257">
        <v>0</v>
      </c>
      <c r="K211" s="257">
        <v>1248976.29</v>
      </c>
      <c r="L211" s="257"/>
      <c r="M211" s="257">
        <v>1118167.49</v>
      </c>
      <c r="N211" s="257"/>
      <c r="O211" s="257">
        <v>25023.71</v>
      </c>
      <c r="P211" s="257">
        <v>25023.71</v>
      </c>
    </row>
    <row r="212" spans="1:16" hidden="1" x14ac:dyDescent="0.25">
      <c r="A212" s="143" t="s">
        <v>706</v>
      </c>
      <c r="B212" s="143" t="s">
        <v>316</v>
      </c>
      <c r="C212" s="143" t="s">
        <v>317</v>
      </c>
      <c r="D212" s="143" t="s">
        <v>69</v>
      </c>
      <c r="E212" s="257">
        <v>290000</v>
      </c>
      <c r="F212" s="257">
        <v>290000</v>
      </c>
      <c r="G212" s="257">
        <v>290000</v>
      </c>
      <c r="H212" s="257">
        <v>0</v>
      </c>
      <c r="I212" s="257">
        <v>149952.13</v>
      </c>
      <c r="J212" s="257">
        <v>0</v>
      </c>
      <c r="K212" s="257">
        <v>137464.5</v>
      </c>
      <c r="L212" s="257"/>
      <c r="M212" s="257">
        <v>137464.5</v>
      </c>
      <c r="N212" s="257"/>
      <c r="O212" s="257">
        <v>2583.37</v>
      </c>
      <c r="P212" s="257">
        <v>2583.37</v>
      </c>
    </row>
    <row r="213" spans="1:16" hidden="1" x14ac:dyDescent="0.25">
      <c r="A213" s="143" t="s">
        <v>706</v>
      </c>
      <c r="B213" s="143" t="s">
        <v>318</v>
      </c>
      <c r="C213" s="143" t="s">
        <v>319</v>
      </c>
      <c r="D213" s="143" t="s">
        <v>69</v>
      </c>
      <c r="E213" s="257">
        <v>100000</v>
      </c>
      <c r="F213" s="257">
        <v>100000</v>
      </c>
      <c r="G213" s="257">
        <v>100000</v>
      </c>
      <c r="H213" s="257">
        <v>0</v>
      </c>
      <c r="I213" s="257">
        <v>0</v>
      </c>
      <c r="J213" s="257">
        <v>0</v>
      </c>
      <c r="K213" s="257">
        <v>78619.070000000007</v>
      </c>
      <c r="L213" s="257"/>
      <c r="M213" s="257">
        <v>78619.070000000007</v>
      </c>
      <c r="N213" s="257"/>
      <c r="O213" s="257">
        <v>21380.93</v>
      </c>
      <c r="P213" s="257">
        <v>21380.93</v>
      </c>
    </row>
    <row r="214" spans="1:16" hidden="1" x14ac:dyDescent="0.25">
      <c r="A214" s="143" t="s">
        <v>706</v>
      </c>
      <c r="B214" s="143" t="s">
        <v>202</v>
      </c>
      <c r="C214" s="143" t="s">
        <v>203</v>
      </c>
      <c r="D214" s="143" t="s">
        <v>69</v>
      </c>
      <c r="E214" s="257">
        <v>2782500</v>
      </c>
      <c r="F214" s="257">
        <v>2782500</v>
      </c>
      <c r="G214" s="257">
        <v>2782500</v>
      </c>
      <c r="H214" s="257">
        <v>0</v>
      </c>
      <c r="I214" s="257">
        <v>0</v>
      </c>
      <c r="J214" s="257">
        <v>0</v>
      </c>
      <c r="K214" s="257">
        <v>2546058.23</v>
      </c>
      <c r="L214" s="257"/>
      <c r="M214" s="257">
        <v>1650894.83</v>
      </c>
      <c r="N214" s="257"/>
      <c r="O214" s="257">
        <v>236441.77</v>
      </c>
      <c r="P214" s="257">
        <v>236441.77</v>
      </c>
    </row>
    <row r="215" spans="1:16" hidden="1" x14ac:dyDescent="0.25">
      <c r="A215" s="143" t="s">
        <v>706</v>
      </c>
      <c r="B215" s="143" t="s">
        <v>204</v>
      </c>
      <c r="C215" s="143" t="s">
        <v>205</v>
      </c>
      <c r="D215" s="143" t="s">
        <v>69</v>
      </c>
      <c r="E215" s="257">
        <v>200000</v>
      </c>
      <c r="F215" s="257">
        <v>200000</v>
      </c>
      <c r="G215" s="257">
        <v>200000</v>
      </c>
      <c r="H215" s="257">
        <v>0</v>
      </c>
      <c r="I215" s="257">
        <v>137582.35999999999</v>
      </c>
      <c r="J215" s="257">
        <v>0</v>
      </c>
      <c r="K215" s="257">
        <v>58985.440000000002</v>
      </c>
      <c r="L215" s="257"/>
      <c r="M215" s="257">
        <v>58985.440000000002</v>
      </c>
      <c r="N215" s="257"/>
      <c r="O215" s="257">
        <v>3432.2</v>
      </c>
      <c r="P215" s="257">
        <v>3432.2</v>
      </c>
    </row>
    <row r="216" spans="1:16" hidden="1" x14ac:dyDescent="0.25">
      <c r="A216" s="143" t="s">
        <v>706</v>
      </c>
      <c r="B216" s="143" t="s">
        <v>322</v>
      </c>
      <c r="C216" s="143" t="s">
        <v>323</v>
      </c>
      <c r="D216" s="143" t="s">
        <v>69</v>
      </c>
      <c r="E216" s="257">
        <v>890000</v>
      </c>
      <c r="F216" s="257">
        <v>890000</v>
      </c>
      <c r="G216" s="257">
        <v>890000</v>
      </c>
      <c r="H216" s="257">
        <v>0</v>
      </c>
      <c r="I216" s="257">
        <v>414658.02</v>
      </c>
      <c r="J216" s="257">
        <v>0</v>
      </c>
      <c r="K216" s="257">
        <v>425704.6</v>
      </c>
      <c r="L216" s="257"/>
      <c r="M216" s="257">
        <v>145425</v>
      </c>
      <c r="N216" s="257"/>
      <c r="O216" s="257">
        <v>49637.38</v>
      </c>
      <c r="P216" s="257">
        <v>49637.38</v>
      </c>
    </row>
    <row r="217" spans="1:16" hidden="1" x14ac:dyDescent="0.25">
      <c r="A217" s="143" t="s">
        <v>706</v>
      </c>
      <c r="B217" s="143" t="s">
        <v>206</v>
      </c>
      <c r="C217" s="143" t="s">
        <v>207</v>
      </c>
      <c r="D217" s="143" t="s">
        <v>69</v>
      </c>
      <c r="E217" s="257">
        <v>3341900</v>
      </c>
      <c r="F217" s="257">
        <v>2341900</v>
      </c>
      <c r="G217" s="257">
        <v>2341900</v>
      </c>
      <c r="H217" s="257">
        <v>196500</v>
      </c>
      <c r="I217" s="257">
        <v>491982.91</v>
      </c>
      <c r="J217" s="257">
        <v>0</v>
      </c>
      <c r="K217" s="257">
        <v>111538.33</v>
      </c>
      <c r="L217" s="257"/>
      <c r="M217" s="257">
        <v>111538.33</v>
      </c>
      <c r="N217" s="257"/>
      <c r="O217" s="257">
        <v>1541878.76</v>
      </c>
      <c r="P217" s="257">
        <v>1541878.76</v>
      </c>
    </row>
    <row r="218" spans="1:16" hidden="1" x14ac:dyDescent="0.25">
      <c r="A218" s="143" t="s">
        <v>706</v>
      </c>
      <c r="B218" s="143" t="s">
        <v>208</v>
      </c>
      <c r="C218" s="143" t="s">
        <v>209</v>
      </c>
      <c r="D218" s="143" t="s">
        <v>69</v>
      </c>
      <c r="E218" s="257">
        <v>671900</v>
      </c>
      <c r="F218" s="257">
        <v>671900</v>
      </c>
      <c r="G218" s="257">
        <v>671900</v>
      </c>
      <c r="H218" s="257">
        <v>0</v>
      </c>
      <c r="I218" s="257">
        <v>491982.91</v>
      </c>
      <c r="J218" s="257">
        <v>0</v>
      </c>
      <c r="K218" s="257">
        <v>45250</v>
      </c>
      <c r="L218" s="257"/>
      <c r="M218" s="257">
        <v>45250</v>
      </c>
      <c r="N218" s="257"/>
      <c r="O218" s="257">
        <v>134667.09</v>
      </c>
      <c r="P218" s="257">
        <v>134667.09</v>
      </c>
    </row>
    <row r="219" spans="1:16" hidden="1" x14ac:dyDescent="0.25">
      <c r="A219" s="143" t="s">
        <v>706</v>
      </c>
      <c r="B219" s="143" t="s">
        <v>210</v>
      </c>
      <c r="C219" s="143" t="s">
        <v>211</v>
      </c>
      <c r="D219" s="143" t="s">
        <v>69</v>
      </c>
      <c r="E219" s="257">
        <v>2670000</v>
      </c>
      <c r="F219" s="257">
        <v>1670000</v>
      </c>
      <c r="G219" s="257">
        <v>1670000</v>
      </c>
      <c r="H219" s="257">
        <v>196500</v>
      </c>
      <c r="I219" s="257">
        <v>0</v>
      </c>
      <c r="J219" s="257">
        <v>0</v>
      </c>
      <c r="K219" s="257">
        <v>66288.33</v>
      </c>
      <c r="L219" s="257"/>
      <c r="M219" s="257">
        <v>66288.33</v>
      </c>
      <c r="N219" s="257"/>
      <c r="O219" s="257">
        <v>1407211.67</v>
      </c>
      <c r="P219" s="257">
        <v>1407211.67</v>
      </c>
    </row>
    <row r="220" spans="1:16" hidden="1" x14ac:dyDescent="0.25">
      <c r="A220" s="143" t="s">
        <v>706</v>
      </c>
      <c r="B220" s="143" t="s">
        <v>212</v>
      </c>
      <c r="C220" s="143" t="s">
        <v>213</v>
      </c>
      <c r="D220" s="143" t="s">
        <v>69</v>
      </c>
      <c r="E220" s="257">
        <v>16611500</v>
      </c>
      <c r="F220" s="257">
        <v>13611500</v>
      </c>
      <c r="G220" s="257">
        <v>13611500</v>
      </c>
      <c r="H220" s="257">
        <v>0</v>
      </c>
      <c r="I220" s="257">
        <v>1642095.01</v>
      </c>
      <c r="J220" s="257">
        <v>1285036</v>
      </c>
      <c r="K220" s="257">
        <v>8885660.2300000004</v>
      </c>
      <c r="L220" s="257"/>
      <c r="M220" s="257">
        <v>8885660.2300000004</v>
      </c>
      <c r="N220" s="257"/>
      <c r="O220" s="257">
        <v>1798708.76</v>
      </c>
      <c r="P220" s="257">
        <v>1798708.76</v>
      </c>
    </row>
    <row r="221" spans="1:16" hidden="1" x14ac:dyDescent="0.25">
      <c r="A221" s="143" t="s">
        <v>706</v>
      </c>
      <c r="B221" s="143" t="s">
        <v>214</v>
      </c>
      <c r="C221" s="143" t="s">
        <v>215</v>
      </c>
      <c r="D221" s="143" t="s">
        <v>69</v>
      </c>
      <c r="E221" s="257">
        <v>5232000</v>
      </c>
      <c r="F221" s="257">
        <v>2232000</v>
      </c>
      <c r="G221" s="257">
        <v>2232000</v>
      </c>
      <c r="H221" s="257">
        <v>0</v>
      </c>
      <c r="I221" s="257">
        <v>0</v>
      </c>
      <c r="J221" s="257">
        <v>0</v>
      </c>
      <c r="K221" s="257">
        <v>2152542.12</v>
      </c>
      <c r="L221" s="257"/>
      <c r="M221" s="257">
        <v>2152542.12</v>
      </c>
      <c r="N221" s="257"/>
      <c r="O221" s="257">
        <v>79457.88</v>
      </c>
      <c r="P221" s="257">
        <v>79457.88</v>
      </c>
    </row>
    <row r="222" spans="1:16" hidden="1" x14ac:dyDescent="0.25">
      <c r="A222" s="143" t="s">
        <v>706</v>
      </c>
      <c r="B222" s="143" t="s">
        <v>218</v>
      </c>
      <c r="C222" s="143" t="s">
        <v>219</v>
      </c>
      <c r="D222" s="143" t="s">
        <v>69</v>
      </c>
      <c r="E222" s="257">
        <v>6600000</v>
      </c>
      <c r="F222" s="257">
        <v>2600000</v>
      </c>
      <c r="G222" s="257">
        <v>2600000</v>
      </c>
      <c r="H222" s="257">
        <v>0</v>
      </c>
      <c r="I222" s="257">
        <v>396070.02</v>
      </c>
      <c r="J222" s="257">
        <v>0</v>
      </c>
      <c r="K222" s="257">
        <v>2192594.7000000002</v>
      </c>
      <c r="L222" s="257"/>
      <c r="M222" s="257">
        <v>2192594.7000000002</v>
      </c>
      <c r="N222" s="257"/>
      <c r="O222" s="257">
        <v>11335.28</v>
      </c>
      <c r="P222" s="257">
        <v>11335.28</v>
      </c>
    </row>
    <row r="223" spans="1:16" hidden="1" x14ac:dyDescent="0.25">
      <c r="A223" s="143" t="s">
        <v>706</v>
      </c>
      <c r="B223" s="143" t="s">
        <v>220</v>
      </c>
      <c r="C223" s="143" t="s">
        <v>221</v>
      </c>
      <c r="D223" s="143" t="s">
        <v>69</v>
      </c>
      <c r="E223" s="257">
        <v>340000</v>
      </c>
      <c r="F223" s="257">
        <v>340000</v>
      </c>
      <c r="G223" s="257">
        <v>340000</v>
      </c>
      <c r="H223" s="257">
        <v>0</v>
      </c>
      <c r="I223" s="257">
        <v>0</v>
      </c>
      <c r="J223" s="257">
        <v>0</v>
      </c>
      <c r="K223" s="257">
        <v>334824.74</v>
      </c>
      <c r="L223" s="257"/>
      <c r="M223" s="257">
        <v>334824.74</v>
      </c>
      <c r="N223" s="257"/>
      <c r="O223" s="257">
        <v>5175.26</v>
      </c>
      <c r="P223" s="257">
        <v>5175.26</v>
      </c>
    </row>
    <row r="224" spans="1:16" hidden="1" x14ac:dyDescent="0.25">
      <c r="A224" s="143" t="s">
        <v>706</v>
      </c>
      <c r="B224" s="143" t="s">
        <v>222</v>
      </c>
      <c r="C224" s="143" t="s">
        <v>223</v>
      </c>
      <c r="D224" s="143" t="s">
        <v>69</v>
      </c>
      <c r="E224" s="257">
        <v>1393100</v>
      </c>
      <c r="F224" s="257">
        <v>5393100</v>
      </c>
      <c r="G224" s="257">
        <v>5393100</v>
      </c>
      <c r="H224" s="257">
        <v>0</v>
      </c>
      <c r="I224" s="257">
        <v>0</v>
      </c>
      <c r="J224" s="257">
        <v>1279951</v>
      </c>
      <c r="K224" s="257">
        <v>3767752.67</v>
      </c>
      <c r="L224" s="257"/>
      <c r="M224" s="257">
        <v>3767752.67</v>
      </c>
      <c r="N224" s="257"/>
      <c r="O224" s="257">
        <v>345396.33</v>
      </c>
      <c r="P224" s="257">
        <v>345396.33</v>
      </c>
    </row>
    <row r="225" spans="1:16" hidden="1" x14ac:dyDescent="0.25">
      <c r="A225" s="143" t="s">
        <v>706</v>
      </c>
      <c r="B225" s="143" t="s">
        <v>224</v>
      </c>
      <c r="C225" s="143" t="s">
        <v>225</v>
      </c>
      <c r="D225" s="143" t="s">
        <v>69</v>
      </c>
      <c r="E225" s="257">
        <v>2296200</v>
      </c>
      <c r="F225" s="257">
        <v>2296200</v>
      </c>
      <c r="G225" s="257">
        <v>2296200</v>
      </c>
      <c r="H225" s="257">
        <v>0</v>
      </c>
      <c r="I225" s="257">
        <v>840778.74</v>
      </c>
      <c r="J225" s="257">
        <v>0</v>
      </c>
      <c r="K225" s="257">
        <v>101106</v>
      </c>
      <c r="L225" s="257"/>
      <c r="M225" s="257">
        <v>101106</v>
      </c>
      <c r="N225" s="257"/>
      <c r="O225" s="257">
        <v>1354315.26</v>
      </c>
      <c r="P225" s="257">
        <v>1354315.26</v>
      </c>
    </row>
    <row r="226" spans="1:16" hidden="1" x14ac:dyDescent="0.25">
      <c r="A226" s="143" t="s">
        <v>706</v>
      </c>
      <c r="B226" s="143" t="s">
        <v>228</v>
      </c>
      <c r="C226" s="143" t="s">
        <v>229</v>
      </c>
      <c r="D226" s="143" t="s">
        <v>69</v>
      </c>
      <c r="E226" s="257">
        <v>750200</v>
      </c>
      <c r="F226" s="257">
        <v>750200</v>
      </c>
      <c r="G226" s="257">
        <v>750200</v>
      </c>
      <c r="H226" s="257">
        <v>0</v>
      </c>
      <c r="I226" s="257">
        <v>405246.25</v>
      </c>
      <c r="J226" s="257">
        <v>5085</v>
      </c>
      <c r="K226" s="257">
        <v>336840</v>
      </c>
      <c r="L226" s="257"/>
      <c r="M226" s="257">
        <v>336840</v>
      </c>
      <c r="N226" s="257"/>
      <c r="O226" s="257">
        <v>3028.75</v>
      </c>
      <c r="P226" s="257">
        <v>3028.75</v>
      </c>
    </row>
    <row r="227" spans="1:16" hidden="1" x14ac:dyDescent="0.25">
      <c r="A227" s="143" t="s">
        <v>706</v>
      </c>
      <c r="B227" s="143" t="s">
        <v>248</v>
      </c>
      <c r="C227" s="143" t="s">
        <v>249</v>
      </c>
      <c r="D227" s="143" t="s">
        <v>69</v>
      </c>
      <c r="E227" s="257">
        <v>218960452</v>
      </c>
      <c r="F227" s="257">
        <v>123234903</v>
      </c>
      <c r="G227" s="257">
        <v>123234903</v>
      </c>
      <c r="H227" s="257">
        <v>0</v>
      </c>
      <c r="I227" s="257">
        <v>4196402.75</v>
      </c>
      <c r="J227" s="257">
        <v>0</v>
      </c>
      <c r="K227" s="257">
        <v>30485129.23</v>
      </c>
      <c r="L227" s="257"/>
      <c r="M227" s="257">
        <v>30485129.23</v>
      </c>
      <c r="N227" s="257"/>
      <c r="O227" s="257">
        <v>88553371.019999996</v>
      </c>
      <c r="P227" s="257">
        <v>88553371.019999996</v>
      </c>
    </row>
    <row r="228" spans="1:16" hidden="1" x14ac:dyDescent="0.25">
      <c r="A228" s="143" t="s">
        <v>706</v>
      </c>
      <c r="B228" s="143" t="s">
        <v>250</v>
      </c>
      <c r="C228" s="143" t="s">
        <v>251</v>
      </c>
      <c r="D228" s="143" t="s">
        <v>69</v>
      </c>
      <c r="E228" s="257">
        <v>17259352</v>
      </c>
      <c r="F228" s="257">
        <v>16783803</v>
      </c>
      <c r="G228" s="257">
        <v>16783803</v>
      </c>
      <c r="H228" s="257">
        <v>0</v>
      </c>
      <c r="I228" s="257">
        <v>3554194.59</v>
      </c>
      <c r="J228" s="257">
        <v>0</v>
      </c>
      <c r="K228" s="257">
        <v>13229608.41</v>
      </c>
      <c r="L228" s="257"/>
      <c r="M228" s="257">
        <v>13229608.41</v>
      </c>
      <c r="N228" s="257"/>
      <c r="O228" s="257">
        <v>0</v>
      </c>
      <c r="P228" s="257">
        <v>0</v>
      </c>
    </row>
    <row r="229" spans="1:16" hidden="1" x14ac:dyDescent="0.25">
      <c r="A229" s="143" t="s">
        <v>706</v>
      </c>
      <c r="B229" s="143" t="s">
        <v>628</v>
      </c>
      <c r="C229" s="143" t="s">
        <v>702</v>
      </c>
      <c r="D229" s="143" t="s">
        <v>69</v>
      </c>
      <c r="E229" s="257">
        <v>14660103</v>
      </c>
      <c r="F229" s="257">
        <v>14256172</v>
      </c>
      <c r="G229" s="257">
        <v>14256172</v>
      </c>
      <c r="H229" s="257">
        <v>0</v>
      </c>
      <c r="I229" s="257">
        <v>3051803.07</v>
      </c>
      <c r="J229" s="257">
        <v>0</v>
      </c>
      <c r="K229" s="257">
        <v>11204368.93</v>
      </c>
      <c r="L229" s="257"/>
      <c r="M229" s="257">
        <v>11204368.93</v>
      </c>
      <c r="N229" s="257"/>
      <c r="O229" s="257">
        <v>0</v>
      </c>
      <c r="P229" s="257">
        <v>0</v>
      </c>
    </row>
    <row r="230" spans="1:16" hidden="1" x14ac:dyDescent="0.25">
      <c r="A230" s="143" t="s">
        <v>706</v>
      </c>
      <c r="B230" s="143" t="s">
        <v>643</v>
      </c>
      <c r="C230" s="143" t="s">
        <v>703</v>
      </c>
      <c r="D230" s="143" t="s">
        <v>69</v>
      </c>
      <c r="E230" s="257">
        <v>2599249</v>
      </c>
      <c r="F230" s="257">
        <v>2527631</v>
      </c>
      <c r="G230" s="257">
        <v>2527631</v>
      </c>
      <c r="H230" s="257">
        <v>0</v>
      </c>
      <c r="I230" s="257">
        <v>502391.52</v>
      </c>
      <c r="J230" s="257">
        <v>0</v>
      </c>
      <c r="K230" s="257">
        <v>2025239.48</v>
      </c>
      <c r="L230" s="257"/>
      <c r="M230" s="257">
        <v>2025239.48</v>
      </c>
      <c r="N230" s="257"/>
      <c r="O230" s="257">
        <v>0</v>
      </c>
      <c r="P230" s="257">
        <v>0</v>
      </c>
    </row>
    <row r="231" spans="1:16" hidden="1" x14ac:dyDescent="0.25">
      <c r="A231" s="143" t="s">
        <v>706</v>
      </c>
      <c r="B231" s="143" t="s">
        <v>260</v>
      </c>
      <c r="C231" s="143" t="s">
        <v>261</v>
      </c>
      <c r="D231" s="143" t="s">
        <v>69</v>
      </c>
      <c r="E231" s="257">
        <v>195701100</v>
      </c>
      <c r="F231" s="257">
        <v>100451100</v>
      </c>
      <c r="G231" s="257">
        <v>100451100</v>
      </c>
      <c r="H231" s="257">
        <v>0</v>
      </c>
      <c r="I231" s="257">
        <v>642208.16</v>
      </c>
      <c r="J231" s="257">
        <v>0</v>
      </c>
      <c r="K231" s="257">
        <v>17255520.82</v>
      </c>
      <c r="L231" s="257"/>
      <c r="M231" s="257">
        <v>17255520.82</v>
      </c>
      <c r="N231" s="257"/>
      <c r="O231" s="257">
        <v>82553371.019999996</v>
      </c>
      <c r="P231" s="257">
        <v>82553371.019999996</v>
      </c>
    </row>
    <row r="232" spans="1:16" hidden="1" x14ac:dyDescent="0.25">
      <c r="A232" s="143" t="s">
        <v>706</v>
      </c>
      <c r="B232" s="143" t="s">
        <v>262</v>
      </c>
      <c r="C232" s="143" t="s">
        <v>263</v>
      </c>
      <c r="D232" s="143" t="s">
        <v>69</v>
      </c>
      <c r="E232" s="257">
        <v>165701100</v>
      </c>
      <c r="F232" s="257">
        <v>70451100</v>
      </c>
      <c r="G232" s="257">
        <v>70451100</v>
      </c>
      <c r="H232" s="257">
        <v>0</v>
      </c>
      <c r="I232" s="257">
        <v>642208.16</v>
      </c>
      <c r="J232" s="257">
        <v>0</v>
      </c>
      <c r="K232" s="257">
        <v>14880077.82</v>
      </c>
      <c r="L232" s="257"/>
      <c r="M232" s="257">
        <v>14880077.82</v>
      </c>
      <c r="N232" s="257"/>
      <c r="O232" s="257">
        <v>54928814.020000003</v>
      </c>
      <c r="P232" s="257">
        <v>54928814.020000003</v>
      </c>
    </row>
    <row r="233" spans="1:16" hidden="1" x14ac:dyDescent="0.25">
      <c r="A233" s="143" t="s">
        <v>706</v>
      </c>
      <c r="B233" s="143" t="s">
        <v>264</v>
      </c>
      <c r="C233" s="143" t="s">
        <v>265</v>
      </c>
      <c r="D233" s="143" t="s">
        <v>69</v>
      </c>
      <c r="E233" s="257">
        <v>30000000</v>
      </c>
      <c r="F233" s="257">
        <v>30000000</v>
      </c>
      <c r="G233" s="257">
        <v>30000000</v>
      </c>
      <c r="H233" s="257">
        <v>0</v>
      </c>
      <c r="I233" s="257">
        <v>0</v>
      </c>
      <c r="J233" s="257">
        <v>0</v>
      </c>
      <c r="K233" s="257">
        <v>2375443</v>
      </c>
      <c r="L233" s="257"/>
      <c r="M233" s="257">
        <v>2375443</v>
      </c>
      <c r="N233" s="257"/>
      <c r="O233" s="257">
        <v>27624557</v>
      </c>
      <c r="P233" s="257">
        <v>27624557</v>
      </c>
    </row>
    <row r="234" spans="1:16" hidden="1" x14ac:dyDescent="0.25">
      <c r="A234" s="143" t="s">
        <v>706</v>
      </c>
      <c r="B234" s="143" t="s">
        <v>286</v>
      </c>
      <c r="C234" s="143" t="s">
        <v>287</v>
      </c>
      <c r="D234" s="143" t="s">
        <v>69</v>
      </c>
      <c r="E234" s="257">
        <v>6000000</v>
      </c>
      <c r="F234" s="257">
        <v>6000000</v>
      </c>
      <c r="G234" s="257">
        <v>6000000</v>
      </c>
      <c r="H234" s="257">
        <v>0</v>
      </c>
      <c r="I234" s="257">
        <v>0</v>
      </c>
      <c r="J234" s="257">
        <v>0</v>
      </c>
      <c r="K234" s="257">
        <v>0</v>
      </c>
      <c r="L234" s="257"/>
      <c r="M234" s="257">
        <v>0</v>
      </c>
      <c r="N234" s="257"/>
      <c r="O234" s="257">
        <v>6000000</v>
      </c>
      <c r="P234" s="257">
        <v>6000000</v>
      </c>
    </row>
    <row r="235" spans="1:16" hidden="1" x14ac:dyDescent="0.25">
      <c r="A235" s="143" t="s">
        <v>706</v>
      </c>
      <c r="B235" s="143" t="s">
        <v>288</v>
      </c>
      <c r="C235" s="143" t="s">
        <v>289</v>
      </c>
      <c r="D235" s="143" t="s">
        <v>69</v>
      </c>
      <c r="E235" s="257">
        <v>6000000</v>
      </c>
      <c r="F235" s="257">
        <v>6000000</v>
      </c>
      <c r="G235" s="257">
        <v>6000000</v>
      </c>
      <c r="H235" s="257">
        <v>0</v>
      </c>
      <c r="I235" s="257">
        <v>0</v>
      </c>
      <c r="J235" s="257">
        <v>0</v>
      </c>
      <c r="K235" s="257">
        <v>0</v>
      </c>
      <c r="L235" s="257"/>
      <c r="M235" s="257">
        <v>0</v>
      </c>
      <c r="N235" s="257"/>
      <c r="O235" s="257">
        <v>6000000</v>
      </c>
      <c r="P235" s="257">
        <v>6000000</v>
      </c>
    </row>
    <row r="236" spans="1:16" hidden="1" x14ac:dyDescent="0.25">
      <c r="A236" s="143" t="s">
        <v>706</v>
      </c>
      <c r="B236" s="143" t="s">
        <v>230</v>
      </c>
      <c r="C236" s="143" t="s">
        <v>231</v>
      </c>
      <c r="D236" s="143" t="s">
        <v>85</v>
      </c>
      <c r="E236" s="257">
        <v>744452300</v>
      </c>
      <c r="F236" s="257">
        <v>139452300</v>
      </c>
      <c r="G236" s="257">
        <v>139452300</v>
      </c>
      <c r="H236" s="257">
        <v>829366.27</v>
      </c>
      <c r="I236" s="257">
        <v>28086691.23</v>
      </c>
      <c r="J236" s="257">
        <v>5713595.1799999997</v>
      </c>
      <c r="K236" s="257">
        <v>70305959.230000004</v>
      </c>
      <c r="L236" s="257"/>
      <c r="M236" s="257">
        <v>62359094.719999999</v>
      </c>
      <c r="N236" s="257"/>
      <c r="O236" s="257">
        <v>34516688.090000004</v>
      </c>
      <c r="P236" s="257">
        <v>34516688.090000004</v>
      </c>
    </row>
    <row r="237" spans="1:16" hidden="1" x14ac:dyDescent="0.25">
      <c r="A237" s="143" t="s">
        <v>706</v>
      </c>
      <c r="B237" s="143" t="s">
        <v>232</v>
      </c>
      <c r="C237" s="143" t="s">
        <v>233</v>
      </c>
      <c r="D237" s="143" t="s">
        <v>85</v>
      </c>
      <c r="E237" s="257">
        <v>67752300</v>
      </c>
      <c r="F237" s="257">
        <v>53252300</v>
      </c>
      <c r="G237" s="257">
        <v>53252300</v>
      </c>
      <c r="H237" s="257">
        <v>829366.27</v>
      </c>
      <c r="I237" s="257">
        <v>18145543.859999999</v>
      </c>
      <c r="J237" s="257">
        <v>0</v>
      </c>
      <c r="K237" s="257">
        <v>33496875.609999999</v>
      </c>
      <c r="L237" s="257"/>
      <c r="M237" s="257">
        <v>32243558.710000001</v>
      </c>
      <c r="N237" s="257"/>
      <c r="O237" s="257">
        <v>780514.26</v>
      </c>
      <c r="P237" s="257">
        <v>780514.26</v>
      </c>
    </row>
    <row r="238" spans="1:16" hidden="1" x14ac:dyDescent="0.25">
      <c r="A238" s="143" t="s">
        <v>706</v>
      </c>
      <c r="B238" s="143" t="s">
        <v>234</v>
      </c>
      <c r="C238" s="143" t="s">
        <v>235</v>
      </c>
      <c r="D238" s="143" t="s">
        <v>85</v>
      </c>
      <c r="E238" s="257">
        <v>0</v>
      </c>
      <c r="F238" s="257">
        <v>700000</v>
      </c>
      <c r="G238" s="257">
        <v>700000</v>
      </c>
      <c r="H238" s="257">
        <v>454366.27</v>
      </c>
      <c r="I238" s="257">
        <v>160855.5</v>
      </c>
      <c r="J238" s="257">
        <v>0</v>
      </c>
      <c r="K238" s="257">
        <v>0</v>
      </c>
      <c r="L238" s="257"/>
      <c r="M238" s="257">
        <v>0</v>
      </c>
      <c r="N238" s="257"/>
      <c r="O238" s="257">
        <v>84778.23</v>
      </c>
      <c r="P238" s="257">
        <v>84778.23</v>
      </c>
    </row>
    <row r="239" spans="1:16" hidden="1" x14ac:dyDescent="0.25">
      <c r="A239" s="143" t="s">
        <v>706</v>
      </c>
      <c r="B239" s="143" t="s">
        <v>238</v>
      </c>
      <c r="C239" s="143" t="s">
        <v>239</v>
      </c>
      <c r="D239" s="143" t="s">
        <v>85</v>
      </c>
      <c r="E239" s="257">
        <v>45252300</v>
      </c>
      <c r="F239" s="257">
        <v>16652300</v>
      </c>
      <c r="G239" s="257">
        <v>16652300</v>
      </c>
      <c r="H239" s="257">
        <v>0</v>
      </c>
      <c r="I239" s="257">
        <v>616812.69999999995</v>
      </c>
      <c r="J239" s="257">
        <v>0</v>
      </c>
      <c r="K239" s="257">
        <v>15935561.1</v>
      </c>
      <c r="L239" s="257"/>
      <c r="M239" s="257">
        <v>14682244.199999999</v>
      </c>
      <c r="N239" s="257"/>
      <c r="O239" s="257">
        <v>99926.2</v>
      </c>
      <c r="P239" s="257">
        <v>99926.2</v>
      </c>
    </row>
    <row r="240" spans="1:16" hidden="1" x14ac:dyDescent="0.25">
      <c r="A240" s="143" t="s">
        <v>706</v>
      </c>
      <c r="B240" s="143" t="s">
        <v>282</v>
      </c>
      <c r="C240" s="143" t="s">
        <v>283</v>
      </c>
      <c r="D240" s="143" t="s">
        <v>85</v>
      </c>
      <c r="E240" s="257">
        <v>22500000</v>
      </c>
      <c r="F240" s="257">
        <v>35500000</v>
      </c>
      <c r="G240" s="257">
        <v>35500000</v>
      </c>
      <c r="H240" s="257">
        <v>0</v>
      </c>
      <c r="I240" s="257">
        <v>17367875.66</v>
      </c>
      <c r="J240" s="257">
        <v>0</v>
      </c>
      <c r="K240" s="257">
        <v>17561314.510000002</v>
      </c>
      <c r="L240" s="257"/>
      <c r="M240" s="257">
        <v>17561314.510000002</v>
      </c>
      <c r="N240" s="257"/>
      <c r="O240" s="257">
        <v>570809.82999999996</v>
      </c>
      <c r="P240" s="257">
        <v>570809.82999999996</v>
      </c>
    </row>
    <row r="241" spans="1:16" hidden="1" x14ac:dyDescent="0.25">
      <c r="A241" s="143" t="s">
        <v>706</v>
      </c>
      <c r="B241" s="143" t="s">
        <v>242</v>
      </c>
      <c r="C241" s="143" t="s">
        <v>243</v>
      </c>
      <c r="D241" s="143" t="s">
        <v>85</v>
      </c>
      <c r="E241" s="257">
        <v>0</v>
      </c>
      <c r="F241" s="257">
        <v>400000</v>
      </c>
      <c r="G241" s="257">
        <v>400000</v>
      </c>
      <c r="H241" s="257">
        <v>375000</v>
      </c>
      <c r="I241" s="257">
        <v>0</v>
      </c>
      <c r="J241" s="257">
        <v>0</v>
      </c>
      <c r="K241" s="257">
        <v>0</v>
      </c>
      <c r="L241" s="257"/>
      <c r="M241" s="257">
        <v>0</v>
      </c>
      <c r="N241" s="257"/>
      <c r="O241" s="257">
        <v>25000</v>
      </c>
      <c r="P241" s="257">
        <v>25000</v>
      </c>
    </row>
    <row r="242" spans="1:16" hidden="1" x14ac:dyDescent="0.25">
      <c r="A242" s="143" t="s">
        <v>706</v>
      </c>
      <c r="B242" s="143" t="s">
        <v>328</v>
      </c>
      <c r="C242" s="143" t="s">
        <v>329</v>
      </c>
      <c r="D242" s="143" t="s">
        <v>85</v>
      </c>
      <c r="E242" s="257">
        <v>630000000</v>
      </c>
      <c r="F242" s="257">
        <v>30000000</v>
      </c>
      <c r="G242" s="257">
        <v>30000000</v>
      </c>
      <c r="H242" s="257">
        <v>0</v>
      </c>
      <c r="I242" s="257">
        <v>0</v>
      </c>
      <c r="J242" s="257">
        <v>0</v>
      </c>
      <c r="K242" s="257">
        <v>0</v>
      </c>
      <c r="L242" s="257"/>
      <c r="M242" s="257">
        <v>0</v>
      </c>
      <c r="N242" s="257"/>
      <c r="O242" s="257">
        <v>30000000</v>
      </c>
      <c r="P242" s="257">
        <v>30000000</v>
      </c>
    </row>
    <row r="243" spans="1:16" hidden="1" x14ac:dyDescent="0.25">
      <c r="A243" s="143" t="s">
        <v>706</v>
      </c>
      <c r="B243" s="143" t="s">
        <v>330</v>
      </c>
      <c r="C243" s="143" t="s">
        <v>331</v>
      </c>
      <c r="D243" s="143" t="s">
        <v>85</v>
      </c>
      <c r="E243" s="257">
        <v>630000000</v>
      </c>
      <c r="F243" s="257">
        <v>30000000</v>
      </c>
      <c r="G243" s="257">
        <v>30000000</v>
      </c>
      <c r="H243" s="257">
        <v>0</v>
      </c>
      <c r="I243" s="257">
        <v>0</v>
      </c>
      <c r="J243" s="257">
        <v>0</v>
      </c>
      <c r="K243" s="257">
        <v>0</v>
      </c>
      <c r="L243" s="257"/>
      <c r="M243" s="257">
        <v>0</v>
      </c>
      <c r="N243" s="257"/>
      <c r="O243" s="257">
        <v>30000000</v>
      </c>
      <c r="P243" s="257">
        <v>30000000</v>
      </c>
    </row>
    <row r="244" spans="1:16" hidden="1" x14ac:dyDescent="0.25">
      <c r="A244" s="143" t="s">
        <v>706</v>
      </c>
      <c r="B244" s="143" t="s">
        <v>244</v>
      </c>
      <c r="C244" s="143" t="s">
        <v>245</v>
      </c>
      <c r="D244" s="143" t="s">
        <v>85</v>
      </c>
      <c r="E244" s="257">
        <v>46700000</v>
      </c>
      <c r="F244" s="257">
        <v>56200000</v>
      </c>
      <c r="G244" s="257">
        <v>56200000</v>
      </c>
      <c r="H244" s="257">
        <v>0</v>
      </c>
      <c r="I244" s="257">
        <v>9941147.3699999992</v>
      </c>
      <c r="J244" s="257">
        <v>5713595.1799999997</v>
      </c>
      <c r="K244" s="257">
        <v>36809083.619999997</v>
      </c>
      <c r="L244" s="257"/>
      <c r="M244" s="257">
        <v>30115536.010000002</v>
      </c>
      <c r="N244" s="257"/>
      <c r="O244" s="257">
        <v>3736173.83</v>
      </c>
      <c r="P244" s="257">
        <v>3736173.83</v>
      </c>
    </row>
    <row r="245" spans="1:16" hidden="1" x14ac:dyDescent="0.25">
      <c r="A245" s="143" t="s">
        <v>706</v>
      </c>
      <c r="B245" s="143" t="s">
        <v>246</v>
      </c>
      <c r="C245" s="143" t="s">
        <v>247</v>
      </c>
      <c r="D245" s="143" t="s">
        <v>85</v>
      </c>
      <c r="E245" s="257">
        <v>46700000</v>
      </c>
      <c r="F245" s="257">
        <v>56200000</v>
      </c>
      <c r="G245" s="257">
        <v>56200000</v>
      </c>
      <c r="H245" s="257">
        <v>0</v>
      </c>
      <c r="I245" s="257">
        <v>9941147.3699999992</v>
      </c>
      <c r="J245" s="257">
        <v>5713595.1799999997</v>
      </c>
      <c r="K245" s="257">
        <v>36809083.619999997</v>
      </c>
      <c r="L245" s="257"/>
      <c r="M245" s="257">
        <v>30115536.010000002</v>
      </c>
      <c r="N245" s="257"/>
      <c r="O245" s="257">
        <v>3736173.83</v>
      </c>
      <c r="P245" s="257">
        <v>3736173.83</v>
      </c>
    </row>
    <row r="246" spans="1:16" x14ac:dyDescent="0.25">
      <c r="A246" s="44">
        <v>2147890</v>
      </c>
      <c r="D246" s="44" t="s">
        <v>69</v>
      </c>
      <c r="E246" s="257">
        <v>77210852108</v>
      </c>
      <c r="F246" s="50">
        <v>75755327546</v>
      </c>
      <c r="G246" s="257">
        <v>75629233696</v>
      </c>
      <c r="H246" s="50">
        <v>110073301.7</v>
      </c>
      <c r="I246" s="50">
        <v>8050141108.1300001</v>
      </c>
      <c r="J246" s="50">
        <v>314476284.70999998</v>
      </c>
      <c r="K246" s="50">
        <v>60774765610.419998</v>
      </c>
      <c r="L246" s="152">
        <f>+K246/F246</f>
        <v>0.8022507139648557</v>
      </c>
      <c r="M246" s="50">
        <v>60031548485.209999</v>
      </c>
      <c r="N246" s="152">
        <f>+M246/F246</f>
        <v>0.79243995676419932</v>
      </c>
      <c r="O246" s="50">
        <v>6505871241.04</v>
      </c>
      <c r="P246" s="152">
        <f>+O246/F246</f>
        <v>8.5880048991795563E-2</v>
      </c>
    </row>
    <row r="247" spans="1:16" hidden="1" x14ac:dyDescent="0.25">
      <c r="A247" s="143" t="s">
        <v>707</v>
      </c>
      <c r="B247" s="143" t="s">
        <v>71</v>
      </c>
      <c r="C247" s="143" t="s">
        <v>72</v>
      </c>
      <c r="D247" s="143" t="s">
        <v>69</v>
      </c>
      <c r="E247" s="257">
        <v>48966684366</v>
      </c>
      <c r="F247" s="257">
        <v>47996517096</v>
      </c>
      <c r="G247" s="257">
        <v>47910517096</v>
      </c>
      <c r="H247" s="257">
        <v>0</v>
      </c>
      <c r="I247" s="257">
        <v>3582253193.48</v>
      </c>
      <c r="J247" s="257">
        <v>0</v>
      </c>
      <c r="K247" s="257">
        <v>39812858816.93</v>
      </c>
      <c r="L247" s="257"/>
      <c r="M247" s="257">
        <v>39810788976.769997</v>
      </c>
      <c r="N247" s="257"/>
      <c r="O247" s="257">
        <v>4601405085.5900002</v>
      </c>
      <c r="P247" s="257">
        <v>4515405085.5900002</v>
      </c>
    </row>
    <row r="248" spans="1:16" hidden="1" x14ac:dyDescent="0.25">
      <c r="A248" s="143" t="s">
        <v>707</v>
      </c>
      <c r="B248" s="143" t="s">
        <v>73</v>
      </c>
      <c r="C248" s="143" t="s">
        <v>74</v>
      </c>
      <c r="D248" s="143" t="s">
        <v>69</v>
      </c>
      <c r="E248" s="257">
        <v>17541843984</v>
      </c>
      <c r="F248" s="257">
        <v>16912582455</v>
      </c>
      <c r="G248" s="257">
        <v>16912582455</v>
      </c>
      <c r="H248" s="257">
        <v>0</v>
      </c>
      <c r="I248" s="257">
        <v>0</v>
      </c>
      <c r="J248" s="257">
        <v>0</v>
      </c>
      <c r="K248" s="257">
        <v>14823285575.01</v>
      </c>
      <c r="L248" s="257"/>
      <c r="M248" s="257">
        <v>14823285575.01</v>
      </c>
      <c r="N248" s="257"/>
      <c r="O248" s="257">
        <v>2089296879.99</v>
      </c>
      <c r="P248" s="257">
        <v>2089296879.99</v>
      </c>
    </row>
    <row r="249" spans="1:16" hidden="1" x14ac:dyDescent="0.25">
      <c r="A249" s="143" t="s">
        <v>707</v>
      </c>
      <c r="B249" s="143" t="s">
        <v>75</v>
      </c>
      <c r="C249" s="143" t="s">
        <v>76</v>
      </c>
      <c r="D249" s="143" t="s">
        <v>69</v>
      </c>
      <c r="E249" s="257">
        <v>17541843984</v>
      </c>
      <c r="F249" s="257">
        <v>16912582455</v>
      </c>
      <c r="G249" s="257">
        <v>16912582455</v>
      </c>
      <c r="H249" s="257">
        <v>0</v>
      </c>
      <c r="I249" s="257">
        <v>0</v>
      </c>
      <c r="J249" s="257">
        <v>0</v>
      </c>
      <c r="K249" s="257">
        <v>14823285575.01</v>
      </c>
      <c r="L249" s="257"/>
      <c r="M249" s="257">
        <v>14823285575.01</v>
      </c>
      <c r="N249" s="257"/>
      <c r="O249" s="257">
        <v>2089296879.99</v>
      </c>
      <c r="P249" s="257">
        <v>2089296879.99</v>
      </c>
    </row>
    <row r="250" spans="1:16" hidden="1" x14ac:dyDescent="0.25">
      <c r="A250" s="143" t="s">
        <v>707</v>
      </c>
      <c r="B250" s="143" t="s">
        <v>293</v>
      </c>
      <c r="C250" s="143" t="s">
        <v>294</v>
      </c>
      <c r="D250" s="143" t="s">
        <v>69</v>
      </c>
      <c r="E250" s="257">
        <v>3681614000</v>
      </c>
      <c r="F250" s="257">
        <v>3681614000</v>
      </c>
      <c r="G250" s="257">
        <v>3681614000</v>
      </c>
      <c r="H250" s="257">
        <v>0</v>
      </c>
      <c r="I250" s="257">
        <v>249888.65</v>
      </c>
      <c r="J250" s="257">
        <v>0</v>
      </c>
      <c r="K250" s="257">
        <v>3322038292.5799999</v>
      </c>
      <c r="L250" s="257"/>
      <c r="M250" s="257">
        <v>3322038292.5799999</v>
      </c>
      <c r="N250" s="257"/>
      <c r="O250" s="257">
        <v>359325818.76999998</v>
      </c>
      <c r="P250" s="257">
        <v>359325818.76999998</v>
      </c>
    </row>
    <row r="251" spans="1:16" hidden="1" x14ac:dyDescent="0.25">
      <c r="A251" s="143" t="s">
        <v>707</v>
      </c>
      <c r="B251" s="143" t="s">
        <v>295</v>
      </c>
      <c r="C251" s="143" t="s">
        <v>296</v>
      </c>
      <c r="D251" s="143" t="s">
        <v>69</v>
      </c>
      <c r="E251" s="257">
        <v>8000000</v>
      </c>
      <c r="F251" s="257">
        <v>8000000</v>
      </c>
      <c r="G251" s="257">
        <v>8000000</v>
      </c>
      <c r="H251" s="257">
        <v>0</v>
      </c>
      <c r="I251" s="257">
        <v>249888.65</v>
      </c>
      <c r="J251" s="257">
        <v>0</v>
      </c>
      <c r="K251" s="257">
        <v>4972501.4800000004</v>
      </c>
      <c r="L251" s="257"/>
      <c r="M251" s="257">
        <v>4972501.4800000004</v>
      </c>
      <c r="N251" s="257"/>
      <c r="O251" s="257">
        <v>2777609.87</v>
      </c>
      <c r="P251" s="257">
        <v>2777609.87</v>
      </c>
    </row>
    <row r="252" spans="1:16" hidden="1" x14ac:dyDescent="0.25">
      <c r="A252" s="143" t="s">
        <v>707</v>
      </c>
      <c r="B252" s="143" t="s">
        <v>337</v>
      </c>
      <c r="C252" s="143" t="s">
        <v>338</v>
      </c>
      <c r="D252" s="143" t="s">
        <v>69</v>
      </c>
      <c r="E252" s="257">
        <v>25000000</v>
      </c>
      <c r="F252" s="257">
        <v>25000000</v>
      </c>
      <c r="G252" s="257">
        <v>25000000</v>
      </c>
      <c r="H252" s="257">
        <v>0</v>
      </c>
      <c r="I252" s="257">
        <v>0</v>
      </c>
      <c r="J252" s="257">
        <v>0</v>
      </c>
      <c r="K252" s="257">
        <v>2126940</v>
      </c>
      <c r="L252" s="257"/>
      <c r="M252" s="257">
        <v>2126940</v>
      </c>
      <c r="N252" s="257"/>
      <c r="O252" s="257">
        <v>22873060</v>
      </c>
      <c r="P252" s="257">
        <v>22873060</v>
      </c>
    </row>
    <row r="253" spans="1:16" hidden="1" x14ac:dyDescent="0.25">
      <c r="A253" s="143" t="s">
        <v>707</v>
      </c>
      <c r="B253" s="143" t="s">
        <v>339</v>
      </c>
      <c r="C253" s="143" t="s">
        <v>340</v>
      </c>
      <c r="D253" s="143" t="s">
        <v>69</v>
      </c>
      <c r="E253" s="257">
        <v>3648614000</v>
      </c>
      <c r="F253" s="257">
        <v>3648614000</v>
      </c>
      <c r="G253" s="257">
        <v>3648614000</v>
      </c>
      <c r="H253" s="257">
        <v>0</v>
      </c>
      <c r="I253" s="257">
        <v>0</v>
      </c>
      <c r="J253" s="257">
        <v>0</v>
      </c>
      <c r="K253" s="257">
        <v>3314938851.0999999</v>
      </c>
      <c r="L253" s="257"/>
      <c r="M253" s="257">
        <v>3314938851.0999999</v>
      </c>
      <c r="N253" s="257"/>
      <c r="O253" s="257">
        <v>333675148.89999998</v>
      </c>
      <c r="P253" s="257">
        <v>333675148.89999998</v>
      </c>
    </row>
    <row r="254" spans="1:16" hidden="1" x14ac:dyDescent="0.25">
      <c r="A254" s="143" t="s">
        <v>707</v>
      </c>
      <c r="B254" s="143" t="s">
        <v>77</v>
      </c>
      <c r="C254" s="143" t="s">
        <v>78</v>
      </c>
      <c r="D254" s="143" t="s">
        <v>69</v>
      </c>
      <c r="E254" s="257">
        <v>20273537632</v>
      </c>
      <c r="F254" s="257">
        <v>20043354521</v>
      </c>
      <c r="G254" s="257">
        <v>20043354521</v>
      </c>
      <c r="H254" s="257">
        <v>0</v>
      </c>
      <c r="I254" s="257">
        <v>3034593863.8299999</v>
      </c>
      <c r="J254" s="257">
        <v>0</v>
      </c>
      <c r="K254" s="257">
        <v>15007648421.34</v>
      </c>
      <c r="L254" s="257"/>
      <c r="M254" s="257">
        <v>15005578581.18</v>
      </c>
      <c r="N254" s="257"/>
      <c r="O254" s="257">
        <v>2001112235.8299999</v>
      </c>
      <c r="P254" s="257">
        <v>2001112235.8299999</v>
      </c>
    </row>
    <row r="255" spans="1:16" hidden="1" x14ac:dyDescent="0.25">
      <c r="A255" s="143" t="s">
        <v>707</v>
      </c>
      <c r="B255" s="143" t="s">
        <v>79</v>
      </c>
      <c r="C255" s="143" t="s">
        <v>80</v>
      </c>
      <c r="D255" s="143" t="s">
        <v>69</v>
      </c>
      <c r="E255" s="257">
        <v>7240363600</v>
      </c>
      <c r="F255" s="257">
        <v>7234363600</v>
      </c>
      <c r="G255" s="257">
        <v>7234363600</v>
      </c>
      <c r="H255" s="257">
        <v>0</v>
      </c>
      <c r="I255" s="257">
        <v>0</v>
      </c>
      <c r="J255" s="257">
        <v>0</v>
      </c>
      <c r="K255" s="257">
        <v>6302078222.3999996</v>
      </c>
      <c r="L255" s="257"/>
      <c r="M255" s="257">
        <v>6302078222.3999996</v>
      </c>
      <c r="N255" s="257"/>
      <c r="O255" s="257">
        <v>932285377.60000002</v>
      </c>
      <c r="P255" s="257">
        <v>932285377.60000002</v>
      </c>
    </row>
    <row r="256" spans="1:16" hidden="1" x14ac:dyDescent="0.25">
      <c r="A256" s="143" t="s">
        <v>707</v>
      </c>
      <c r="B256" s="143" t="s">
        <v>81</v>
      </c>
      <c r="C256" s="143" t="s">
        <v>82</v>
      </c>
      <c r="D256" s="143" t="s">
        <v>69</v>
      </c>
      <c r="E256" s="257">
        <v>646663149</v>
      </c>
      <c r="F256" s="257">
        <v>507159410</v>
      </c>
      <c r="G256" s="257">
        <v>507159410</v>
      </c>
      <c r="H256" s="257">
        <v>0</v>
      </c>
      <c r="I256" s="257">
        <v>0</v>
      </c>
      <c r="J256" s="257">
        <v>0</v>
      </c>
      <c r="K256" s="257">
        <v>419988510.54000002</v>
      </c>
      <c r="L256" s="257"/>
      <c r="M256" s="257">
        <v>419988510.54000002</v>
      </c>
      <c r="N256" s="257"/>
      <c r="O256" s="257">
        <v>87170899.459999993</v>
      </c>
      <c r="P256" s="257">
        <v>87170899.459999993</v>
      </c>
    </row>
    <row r="257" spans="1:16" hidden="1" x14ac:dyDescent="0.25">
      <c r="A257" s="143" t="s">
        <v>707</v>
      </c>
      <c r="B257" s="143" t="s">
        <v>86</v>
      </c>
      <c r="C257" s="143" t="s">
        <v>87</v>
      </c>
      <c r="D257" s="143" t="s">
        <v>69</v>
      </c>
      <c r="E257" s="257">
        <v>2924191700</v>
      </c>
      <c r="F257" s="257">
        <v>2924191700</v>
      </c>
      <c r="G257" s="257">
        <v>2924191700</v>
      </c>
      <c r="H257" s="257">
        <v>0</v>
      </c>
      <c r="I257" s="257">
        <v>40158904.649999999</v>
      </c>
      <c r="J257" s="257">
        <v>0</v>
      </c>
      <c r="K257" s="257">
        <v>2875145437.8600001</v>
      </c>
      <c r="L257" s="257"/>
      <c r="M257" s="257">
        <v>2873075597.6999998</v>
      </c>
      <c r="N257" s="257"/>
      <c r="O257" s="257">
        <v>8887357.4900000002</v>
      </c>
      <c r="P257" s="257">
        <v>8887357.4900000002</v>
      </c>
    </row>
    <row r="258" spans="1:16" hidden="1" x14ac:dyDescent="0.25">
      <c r="A258" s="143" t="s">
        <v>707</v>
      </c>
      <c r="B258" s="143" t="s">
        <v>88</v>
      </c>
      <c r="C258" s="143" t="s">
        <v>89</v>
      </c>
      <c r="D258" s="143" t="s">
        <v>69</v>
      </c>
      <c r="E258" s="257">
        <v>6271421300</v>
      </c>
      <c r="F258" s="257">
        <v>6239262627</v>
      </c>
      <c r="G258" s="257">
        <v>6239262627</v>
      </c>
      <c r="H258" s="257">
        <v>0</v>
      </c>
      <c r="I258" s="257">
        <v>0</v>
      </c>
      <c r="J258" s="257">
        <v>0</v>
      </c>
      <c r="K258" s="257">
        <v>5408668669.21</v>
      </c>
      <c r="L258" s="257"/>
      <c r="M258" s="257">
        <v>5408668669.21</v>
      </c>
      <c r="N258" s="257"/>
      <c r="O258" s="257">
        <v>830593957.78999996</v>
      </c>
      <c r="P258" s="257">
        <v>830593957.78999996</v>
      </c>
    </row>
    <row r="259" spans="1:16" hidden="1" x14ac:dyDescent="0.25">
      <c r="A259" s="143" t="s">
        <v>707</v>
      </c>
      <c r="B259" s="143" t="s">
        <v>83</v>
      </c>
      <c r="C259" s="143" t="s">
        <v>84</v>
      </c>
      <c r="D259" s="143" t="s">
        <v>85</v>
      </c>
      <c r="E259" s="257">
        <v>3190897883</v>
      </c>
      <c r="F259" s="257">
        <v>3138377184</v>
      </c>
      <c r="G259" s="257">
        <v>3138377184</v>
      </c>
      <c r="H259" s="257">
        <v>0</v>
      </c>
      <c r="I259" s="257">
        <v>2994434959.1799998</v>
      </c>
      <c r="J259" s="257">
        <v>0</v>
      </c>
      <c r="K259" s="257">
        <v>1767581.33</v>
      </c>
      <c r="L259" s="257"/>
      <c r="M259" s="257">
        <v>1767581.33</v>
      </c>
      <c r="N259" s="257"/>
      <c r="O259" s="257">
        <v>142174643.49000001</v>
      </c>
      <c r="P259" s="257">
        <v>142174643.49000001</v>
      </c>
    </row>
    <row r="260" spans="1:16" hidden="1" x14ac:dyDescent="0.25">
      <c r="A260" s="143" t="s">
        <v>707</v>
      </c>
      <c r="B260" s="143" t="s">
        <v>90</v>
      </c>
      <c r="C260" s="143" t="s">
        <v>91</v>
      </c>
      <c r="D260" s="143" t="s">
        <v>69</v>
      </c>
      <c r="E260" s="257">
        <v>3734844376</v>
      </c>
      <c r="F260" s="257">
        <v>3679483060</v>
      </c>
      <c r="G260" s="257">
        <v>3679483060</v>
      </c>
      <c r="H260" s="257">
        <v>0</v>
      </c>
      <c r="I260" s="257">
        <v>310561471</v>
      </c>
      <c r="J260" s="257">
        <v>0</v>
      </c>
      <c r="K260" s="257">
        <v>3336086514</v>
      </c>
      <c r="L260" s="257"/>
      <c r="M260" s="257">
        <v>3336086514</v>
      </c>
      <c r="N260" s="257"/>
      <c r="O260" s="257">
        <v>32835075</v>
      </c>
      <c r="P260" s="257">
        <v>32835075</v>
      </c>
    </row>
    <row r="261" spans="1:16" hidden="1" x14ac:dyDescent="0.25">
      <c r="A261" s="143" t="s">
        <v>707</v>
      </c>
      <c r="B261" s="143" t="s">
        <v>420</v>
      </c>
      <c r="C261" s="143" t="s">
        <v>697</v>
      </c>
      <c r="D261" s="143" t="s">
        <v>69</v>
      </c>
      <c r="E261" s="257">
        <v>3543313962</v>
      </c>
      <c r="F261" s="257">
        <v>3490791688</v>
      </c>
      <c r="G261" s="257">
        <v>3490791688</v>
      </c>
      <c r="H261" s="257">
        <v>0</v>
      </c>
      <c r="I261" s="257">
        <v>294563924</v>
      </c>
      <c r="J261" s="257">
        <v>0</v>
      </c>
      <c r="K261" s="257">
        <v>3165076539</v>
      </c>
      <c r="L261" s="257"/>
      <c r="M261" s="257">
        <v>3165076539</v>
      </c>
      <c r="N261" s="257"/>
      <c r="O261" s="257">
        <v>31151225</v>
      </c>
      <c r="P261" s="257">
        <v>31151225</v>
      </c>
    </row>
    <row r="262" spans="1:16" hidden="1" x14ac:dyDescent="0.25">
      <c r="A262" s="143" t="s">
        <v>707</v>
      </c>
      <c r="B262" s="143" t="s">
        <v>437</v>
      </c>
      <c r="C262" s="143" t="s">
        <v>95</v>
      </c>
      <c r="D262" s="143" t="s">
        <v>69</v>
      </c>
      <c r="E262" s="257">
        <v>191530414</v>
      </c>
      <c r="F262" s="257">
        <v>188691372</v>
      </c>
      <c r="G262" s="257">
        <v>188691372</v>
      </c>
      <c r="H262" s="257">
        <v>0</v>
      </c>
      <c r="I262" s="257">
        <v>15997547</v>
      </c>
      <c r="J262" s="257">
        <v>0</v>
      </c>
      <c r="K262" s="257">
        <v>171009975</v>
      </c>
      <c r="L262" s="257"/>
      <c r="M262" s="257">
        <v>171009975</v>
      </c>
      <c r="N262" s="257"/>
      <c r="O262" s="257">
        <v>1683850</v>
      </c>
      <c r="P262" s="257">
        <v>1683850</v>
      </c>
    </row>
    <row r="263" spans="1:16" hidden="1" x14ac:dyDescent="0.25">
      <c r="A263" s="143" t="s">
        <v>707</v>
      </c>
      <c r="B263" s="143" t="s">
        <v>96</v>
      </c>
      <c r="C263" s="143" t="s">
        <v>97</v>
      </c>
      <c r="D263" s="143" t="s">
        <v>69</v>
      </c>
      <c r="E263" s="257">
        <v>3734844374</v>
      </c>
      <c r="F263" s="257">
        <v>3679483060</v>
      </c>
      <c r="G263" s="257">
        <v>3593483060</v>
      </c>
      <c r="H263" s="257">
        <v>0</v>
      </c>
      <c r="I263" s="257">
        <v>236847970</v>
      </c>
      <c r="J263" s="257">
        <v>0</v>
      </c>
      <c r="K263" s="257">
        <v>3323800014</v>
      </c>
      <c r="L263" s="257"/>
      <c r="M263" s="257">
        <v>3323800014</v>
      </c>
      <c r="N263" s="257"/>
      <c r="O263" s="257">
        <v>118835076</v>
      </c>
      <c r="P263" s="257">
        <v>32835076</v>
      </c>
    </row>
    <row r="264" spans="1:16" hidden="1" x14ac:dyDescent="0.25">
      <c r="A264" s="143" t="s">
        <v>707</v>
      </c>
      <c r="B264" s="143" t="s">
        <v>455</v>
      </c>
      <c r="C264" s="143" t="s">
        <v>698</v>
      </c>
      <c r="D264" s="143" t="s">
        <v>69</v>
      </c>
      <c r="E264" s="257">
        <v>2011070048</v>
      </c>
      <c r="F264" s="257">
        <v>1981260109</v>
      </c>
      <c r="G264" s="257">
        <v>1981260109</v>
      </c>
      <c r="H264" s="257">
        <v>0</v>
      </c>
      <c r="I264" s="257">
        <v>178872455</v>
      </c>
      <c r="J264" s="257">
        <v>0</v>
      </c>
      <c r="K264" s="257">
        <v>1784707229</v>
      </c>
      <c r="L264" s="257"/>
      <c r="M264" s="257">
        <v>1784707229</v>
      </c>
      <c r="N264" s="257"/>
      <c r="O264" s="257">
        <v>17680425</v>
      </c>
      <c r="P264" s="257">
        <v>17680425</v>
      </c>
    </row>
    <row r="265" spans="1:16" hidden="1" x14ac:dyDescent="0.25">
      <c r="A265" s="143" t="s">
        <v>707</v>
      </c>
      <c r="B265" s="143" t="s">
        <v>472</v>
      </c>
      <c r="C265" s="143" t="s">
        <v>699</v>
      </c>
      <c r="D265" s="143" t="s">
        <v>69</v>
      </c>
      <c r="E265" s="257">
        <v>574591442</v>
      </c>
      <c r="F265" s="257">
        <v>566074317</v>
      </c>
      <c r="G265" s="257">
        <v>566074317</v>
      </c>
      <c r="H265" s="257">
        <v>0</v>
      </c>
      <c r="I265" s="257">
        <v>5873369</v>
      </c>
      <c r="J265" s="257">
        <v>0</v>
      </c>
      <c r="K265" s="257">
        <v>555149398</v>
      </c>
      <c r="L265" s="257"/>
      <c r="M265" s="257">
        <v>555149398</v>
      </c>
      <c r="N265" s="257"/>
      <c r="O265" s="257">
        <v>5051550</v>
      </c>
      <c r="P265" s="257">
        <v>5051550</v>
      </c>
    </row>
    <row r="266" spans="1:16" hidden="1" x14ac:dyDescent="0.25">
      <c r="A266" s="143" t="s">
        <v>707</v>
      </c>
      <c r="B266" s="143" t="s">
        <v>489</v>
      </c>
      <c r="C266" s="143" t="s">
        <v>700</v>
      </c>
      <c r="D266" s="143" t="s">
        <v>69</v>
      </c>
      <c r="E266" s="257">
        <v>1149182884</v>
      </c>
      <c r="F266" s="257">
        <v>1132148634</v>
      </c>
      <c r="G266" s="257">
        <v>1046148634</v>
      </c>
      <c r="H266" s="257">
        <v>0</v>
      </c>
      <c r="I266" s="257">
        <v>52102146</v>
      </c>
      <c r="J266" s="257">
        <v>0</v>
      </c>
      <c r="K266" s="257">
        <v>983943387</v>
      </c>
      <c r="L266" s="257"/>
      <c r="M266" s="257">
        <v>983943387</v>
      </c>
      <c r="N266" s="257"/>
      <c r="O266" s="257">
        <v>96103101</v>
      </c>
      <c r="P266" s="257">
        <v>10103101</v>
      </c>
    </row>
    <row r="267" spans="1:16" hidden="1" x14ac:dyDescent="0.25">
      <c r="A267" s="143" t="s">
        <v>707</v>
      </c>
      <c r="B267" s="143" t="s">
        <v>104</v>
      </c>
      <c r="C267" s="143" t="s">
        <v>105</v>
      </c>
      <c r="D267" s="143" t="s">
        <v>69</v>
      </c>
      <c r="E267" s="257">
        <v>6509291577</v>
      </c>
      <c r="F267" s="257">
        <v>6444218134</v>
      </c>
      <c r="G267" s="257">
        <v>6444218134</v>
      </c>
      <c r="H267" s="257">
        <v>0</v>
      </c>
      <c r="I267" s="257">
        <v>1167784873.22</v>
      </c>
      <c r="J267" s="257">
        <v>105714693.02</v>
      </c>
      <c r="K267" s="257">
        <v>4452463653.8599997</v>
      </c>
      <c r="L267" s="257"/>
      <c r="M267" s="257">
        <v>4038649681.6700001</v>
      </c>
      <c r="N267" s="257"/>
      <c r="O267" s="257">
        <v>718254913.89999998</v>
      </c>
      <c r="P267" s="257">
        <v>718254913.89999998</v>
      </c>
    </row>
    <row r="268" spans="1:16" hidden="1" x14ac:dyDescent="0.25">
      <c r="A268" s="143" t="s">
        <v>707</v>
      </c>
      <c r="B268" s="143" t="s">
        <v>106</v>
      </c>
      <c r="C268" s="143" t="s">
        <v>107</v>
      </c>
      <c r="D268" s="143" t="s">
        <v>69</v>
      </c>
      <c r="E268" s="257">
        <v>3002893777</v>
      </c>
      <c r="F268" s="257">
        <v>2958042980</v>
      </c>
      <c r="G268" s="257">
        <v>2958042980</v>
      </c>
      <c r="H268" s="257">
        <v>0</v>
      </c>
      <c r="I268" s="257">
        <v>601118536.21000004</v>
      </c>
      <c r="J268" s="257">
        <v>38487972</v>
      </c>
      <c r="K268" s="257">
        <v>2048277115.6500001</v>
      </c>
      <c r="L268" s="257"/>
      <c r="M268" s="257">
        <v>1804140883.03</v>
      </c>
      <c r="N268" s="257"/>
      <c r="O268" s="257">
        <v>270159356.13999999</v>
      </c>
      <c r="P268" s="257">
        <v>270159356.13999999</v>
      </c>
    </row>
    <row r="269" spans="1:16" hidden="1" x14ac:dyDescent="0.25">
      <c r="A269" s="143" t="s">
        <v>707</v>
      </c>
      <c r="B269" s="143" t="s">
        <v>280</v>
      </c>
      <c r="C269" s="143" t="s">
        <v>281</v>
      </c>
      <c r="D269" s="143" t="s">
        <v>69</v>
      </c>
      <c r="E269" s="257">
        <v>540000000</v>
      </c>
      <c r="F269" s="257">
        <v>493566479</v>
      </c>
      <c r="G269" s="257">
        <v>493566479</v>
      </c>
      <c r="H269" s="257">
        <v>0</v>
      </c>
      <c r="I269" s="257">
        <v>47552698.789999999</v>
      </c>
      <c r="J269" s="257">
        <v>90000</v>
      </c>
      <c r="K269" s="257">
        <v>380617318.36000001</v>
      </c>
      <c r="L269" s="257"/>
      <c r="M269" s="257">
        <v>362392898.00999999</v>
      </c>
      <c r="N269" s="257"/>
      <c r="O269" s="257">
        <v>65306461.850000001</v>
      </c>
      <c r="P269" s="257">
        <v>65306461.850000001</v>
      </c>
    </row>
    <row r="270" spans="1:16" hidden="1" x14ac:dyDescent="0.25">
      <c r="A270" s="143" t="s">
        <v>707</v>
      </c>
      <c r="B270" s="143" t="s">
        <v>108</v>
      </c>
      <c r="C270" s="143" t="s">
        <v>109</v>
      </c>
      <c r="D270" s="143" t="s">
        <v>69</v>
      </c>
      <c r="E270" s="257">
        <v>974595134</v>
      </c>
      <c r="F270" s="257">
        <v>1010257828</v>
      </c>
      <c r="G270" s="257">
        <v>1010257828</v>
      </c>
      <c r="H270" s="257">
        <v>0</v>
      </c>
      <c r="I270" s="257">
        <v>277452319.16000003</v>
      </c>
      <c r="J270" s="257">
        <v>0</v>
      </c>
      <c r="K270" s="257">
        <v>608211502.21000004</v>
      </c>
      <c r="L270" s="257"/>
      <c r="M270" s="257">
        <v>548162626.49000001</v>
      </c>
      <c r="N270" s="257"/>
      <c r="O270" s="257">
        <v>124594006.63</v>
      </c>
      <c r="P270" s="257">
        <v>124594006.63</v>
      </c>
    </row>
    <row r="271" spans="1:16" hidden="1" x14ac:dyDescent="0.25">
      <c r="A271" s="143" t="s">
        <v>707</v>
      </c>
      <c r="B271" s="143" t="s">
        <v>304</v>
      </c>
      <c r="C271" s="143" t="s">
        <v>305</v>
      </c>
      <c r="D271" s="143" t="s">
        <v>69</v>
      </c>
      <c r="E271" s="257">
        <v>114061860</v>
      </c>
      <c r="F271" s="257">
        <v>79981890</v>
      </c>
      <c r="G271" s="257">
        <v>79981890</v>
      </c>
      <c r="H271" s="257">
        <v>0</v>
      </c>
      <c r="I271" s="257">
        <v>26865100.57</v>
      </c>
      <c r="J271" s="257">
        <v>0</v>
      </c>
      <c r="K271" s="257">
        <v>46566582.079999998</v>
      </c>
      <c r="L271" s="257"/>
      <c r="M271" s="257">
        <v>36182786.310000002</v>
      </c>
      <c r="N271" s="257"/>
      <c r="O271" s="257">
        <v>6550207.3499999996</v>
      </c>
      <c r="P271" s="257">
        <v>6550207.3499999996</v>
      </c>
    </row>
    <row r="272" spans="1:16" hidden="1" x14ac:dyDescent="0.25">
      <c r="A272" s="143" t="s">
        <v>707</v>
      </c>
      <c r="B272" s="143" t="s">
        <v>110</v>
      </c>
      <c r="C272" s="143" t="s">
        <v>111</v>
      </c>
      <c r="D272" s="143" t="s">
        <v>69</v>
      </c>
      <c r="E272" s="257">
        <v>1374236783</v>
      </c>
      <c r="F272" s="257">
        <v>1374236783</v>
      </c>
      <c r="G272" s="257">
        <v>1374236783</v>
      </c>
      <c r="H272" s="257">
        <v>0</v>
      </c>
      <c r="I272" s="257">
        <v>249248417.69</v>
      </c>
      <c r="J272" s="257">
        <v>38397972</v>
      </c>
      <c r="K272" s="257">
        <v>1012881713</v>
      </c>
      <c r="L272" s="257"/>
      <c r="M272" s="257">
        <v>857402572.22000003</v>
      </c>
      <c r="N272" s="257"/>
      <c r="O272" s="257">
        <v>73708680.310000002</v>
      </c>
      <c r="P272" s="257">
        <v>73708680.310000002</v>
      </c>
    </row>
    <row r="273" spans="1:16" hidden="1" x14ac:dyDescent="0.25">
      <c r="A273" s="143" t="s">
        <v>707</v>
      </c>
      <c r="B273" s="143" t="s">
        <v>112</v>
      </c>
      <c r="C273" s="143" t="s">
        <v>113</v>
      </c>
      <c r="D273" s="143" t="s">
        <v>69</v>
      </c>
      <c r="E273" s="257">
        <v>758051064</v>
      </c>
      <c r="F273" s="257">
        <v>758470736</v>
      </c>
      <c r="G273" s="257">
        <v>758470736</v>
      </c>
      <c r="H273" s="257">
        <v>0</v>
      </c>
      <c r="I273" s="257">
        <v>48363198.539999999</v>
      </c>
      <c r="J273" s="257">
        <v>0</v>
      </c>
      <c r="K273" s="257">
        <v>560302892.54999995</v>
      </c>
      <c r="L273" s="257"/>
      <c r="M273" s="257">
        <v>557707861.47000003</v>
      </c>
      <c r="N273" s="257"/>
      <c r="O273" s="257">
        <v>149804644.91</v>
      </c>
      <c r="P273" s="257">
        <v>149804644.91</v>
      </c>
    </row>
    <row r="274" spans="1:16" hidden="1" x14ac:dyDescent="0.25">
      <c r="A274" s="143" t="s">
        <v>707</v>
      </c>
      <c r="B274" s="143" t="s">
        <v>114</v>
      </c>
      <c r="C274" s="143" t="s">
        <v>115</v>
      </c>
      <c r="D274" s="143" t="s">
        <v>69</v>
      </c>
      <c r="E274" s="257">
        <v>18001000</v>
      </c>
      <c r="F274" s="257">
        <v>19569568</v>
      </c>
      <c r="G274" s="257">
        <v>19569568</v>
      </c>
      <c r="H274" s="257">
        <v>0</v>
      </c>
      <c r="I274" s="257">
        <v>4404696</v>
      </c>
      <c r="J274" s="257">
        <v>0</v>
      </c>
      <c r="K274" s="257">
        <v>15164872</v>
      </c>
      <c r="L274" s="257"/>
      <c r="M274" s="257">
        <v>15164872</v>
      </c>
      <c r="N274" s="257"/>
      <c r="O274" s="257">
        <v>0</v>
      </c>
      <c r="P274" s="257">
        <v>0</v>
      </c>
    </row>
    <row r="275" spans="1:16" hidden="1" x14ac:dyDescent="0.25">
      <c r="A275" s="143" t="s">
        <v>707</v>
      </c>
      <c r="B275" s="143" t="s">
        <v>116</v>
      </c>
      <c r="C275" s="143" t="s">
        <v>117</v>
      </c>
      <c r="D275" s="143" t="s">
        <v>69</v>
      </c>
      <c r="E275" s="257">
        <v>244470000</v>
      </c>
      <c r="F275" s="257">
        <v>190919900</v>
      </c>
      <c r="G275" s="257">
        <v>190919900</v>
      </c>
      <c r="H275" s="257">
        <v>0</v>
      </c>
      <c r="I275" s="257">
        <v>11903024</v>
      </c>
      <c r="J275" s="257">
        <v>0</v>
      </c>
      <c r="K275" s="257">
        <v>178226528.81999999</v>
      </c>
      <c r="L275" s="257"/>
      <c r="M275" s="257">
        <v>178226528.81999999</v>
      </c>
      <c r="N275" s="257"/>
      <c r="O275" s="257">
        <v>790347.18</v>
      </c>
      <c r="P275" s="257">
        <v>790347.18</v>
      </c>
    </row>
    <row r="276" spans="1:16" hidden="1" x14ac:dyDescent="0.25">
      <c r="A276" s="143" t="s">
        <v>707</v>
      </c>
      <c r="B276" s="143" t="s">
        <v>118</v>
      </c>
      <c r="C276" s="143" t="s">
        <v>119</v>
      </c>
      <c r="D276" s="143" t="s">
        <v>69</v>
      </c>
      <c r="E276" s="257">
        <v>6000000</v>
      </c>
      <c r="F276" s="257">
        <v>4500000</v>
      </c>
      <c r="G276" s="257">
        <v>4500000</v>
      </c>
      <c r="H276" s="257">
        <v>0</v>
      </c>
      <c r="I276" s="257">
        <v>2238860.6</v>
      </c>
      <c r="J276" s="257">
        <v>0</v>
      </c>
      <c r="K276" s="257">
        <v>961139.4</v>
      </c>
      <c r="L276" s="257"/>
      <c r="M276" s="257">
        <v>961139.4</v>
      </c>
      <c r="N276" s="257"/>
      <c r="O276" s="257">
        <v>1300000</v>
      </c>
      <c r="P276" s="257">
        <v>1300000</v>
      </c>
    </row>
    <row r="277" spans="1:16" hidden="1" x14ac:dyDescent="0.25">
      <c r="A277" s="143" t="s">
        <v>707</v>
      </c>
      <c r="B277" s="143" t="s">
        <v>120</v>
      </c>
      <c r="C277" s="143" t="s">
        <v>121</v>
      </c>
      <c r="D277" s="143" t="s">
        <v>69</v>
      </c>
      <c r="E277" s="257">
        <v>411938379</v>
      </c>
      <c r="F277" s="257">
        <v>473039143</v>
      </c>
      <c r="G277" s="257">
        <v>473039143</v>
      </c>
      <c r="H277" s="257">
        <v>0</v>
      </c>
      <c r="I277" s="257">
        <v>25337387.34</v>
      </c>
      <c r="J277" s="257">
        <v>0</v>
      </c>
      <c r="K277" s="257">
        <v>334636077.05000001</v>
      </c>
      <c r="L277" s="257"/>
      <c r="M277" s="257">
        <v>332041045.97000003</v>
      </c>
      <c r="N277" s="257"/>
      <c r="O277" s="257">
        <v>113065678.61</v>
      </c>
      <c r="P277" s="257">
        <v>113065678.61</v>
      </c>
    </row>
    <row r="278" spans="1:16" hidden="1" x14ac:dyDescent="0.25">
      <c r="A278" s="143" t="s">
        <v>707</v>
      </c>
      <c r="B278" s="143" t="s">
        <v>122</v>
      </c>
      <c r="C278" s="143" t="s">
        <v>123</v>
      </c>
      <c r="D278" s="143" t="s">
        <v>69</v>
      </c>
      <c r="E278" s="257">
        <v>77641685</v>
      </c>
      <c r="F278" s="257">
        <v>70442125</v>
      </c>
      <c r="G278" s="257">
        <v>70442125</v>
      </c>
      <c r="H278" s="257">
        <v>0</v>
      </c>
      <c r="I278" s="257">
        <v>4479230.5999999996</v>
      </c>
      <c r="J278" s="257">
        <v>0</v>
      </c>
      <c r="K278" s="257">
        <v>31314275.280000001</v>
      </c>
      <c r="L278" s="257"/>
      <c r="M278" s="257">
        <v>31314275.280000001</v>
      </c>
      <c r="N278" s="257"/>
      <c r="O278" s="257">
        <v>34648619.119999997</v>
      </c>
      <c r="P278" s="257">
        <v>34648619.119999997</v>
      </c>
    </row>
    <row r="279" spans="1:16" hidden="1" x14ac:dyDescent="0.25">
      <c r="A279" s="143" t="s">
        <v>707</v>
      </c>
      <c r="B279" s="143" t="s">
        <v>116</v>
      </c>
      <c r="C279" s="143" t="s">
        <v>117</v>
      </c>
      <c r="D279" s="143" t="s">
        <v>85</v>
      </c>
      <c r="E279" s="257">
        <v>0</v>
      </c>
      <c r="F279" s="257">
        <v>0</v>
      </c>
      <c r="G279" s="257">
        <v>0</v>
      </c>
      <c r="H279" s="257">
        <v>0</v>
      </c>
      <c r="I279" s="257">
        <v>0</v>
      </c>
      <c r="J279" s="257">
        <v>0</v>
      </c>
      <c r="K279" s="257">
        <v>0</v>
      </c>
      <c r="L279" s="257"/>
      <c r="M279" s="257">
        <v>0</v>
      </c>
      <c r="N279" s="257"/>
      <c r="O279" s="257">
        <v>0</v>
      </c>
      <c r="P279" s="257">
        <v>0</v>
      </c>
    </row>
    <row r="280" spans="1:16" hidden="1" x14ac:dyDescent="0.25">
      <c r="A280" s="143" t="s">
        <v>707</v>
      </c>
      <c r="B280" s="143" t="s">
        <v>124</v>
      </c>
      <c r="C280" s="143" t="s">
        <v>125</v>
      </c>
      <c r="D280" s="143" t="s">
        <v>69</v>
      </c>
      <c r="E280" s="257">
        <v>9633760</v>
      </c>
      <c r="F280" s="257">
        <v>9633760</v>
      </c>
      <c r="G280" s="257">
        <v>9633760</v>
      </c>
      <c r="H280" s="257">
        <v>0</v>
      </c>
      <c r="I280" s="257">
        <v>3356420</v>
      </c>
      <c r="J280" s="257">
        <v>0</v>
      </c>
      <c r="K280" s="257">
        <v>2081792.51</v>
      </c>
      <c r="L280" s="257"/>
      <c r="M280" s="257">
        <v>2081792.51</v>
      </c>
      <c r="N280" s="257"/>
      <c r="O280" s="257">
        <v>4195547.49</v>
      </c>
      <c r="P280" s="257">
        <v>4195547.49</v>
      </c>
    </row>
    <row r="281" spans="1:16" hidden="1" x14ac:dyDescent="0.25">
      <c r="A281" s="143" t="s">
        <v>707</v>
      </c>
      <c r="B281" s="143" t="s">
        <v>126</v>
      </c>
      <c r="C281" s="143" t="s">
        <v>127</v>
      </c>
      <c r="D281" s="143" t="s">
        <v>69</v>
      </c>
      <c r="E281" s="257">
        <v>5513760</v>
      </c>
      <c r="F281" s="257">
        <v>5513760</v>
      </c>
      <c r="G281" s="257">
        <v>5513760</v>
      </c>
      <c r="H281" s="257">
        <v>0</v>
      </c>
      <c r="I281" s="257">
        <v>2592000</v>
      </c>
      <c r="J281" s="257">
        <v>0</v>
      </c>
      <c r="K281" s="257">
        <v>401200.01</v>
      </c>
      <c r="L281" s="257"/>
      <c r="M281" s="257">
        <v>401200.01</v>
      </c>
      <c r="N281" s="257"/>
      <c r="O281" s="257">
        <v>2520559.9900000002</v>
      </c>
      <c r="P281" s="257">
        <v>2520559.9900000002</v>
      </c>
    </row>
    <row r="282" spans="1:16" hidden="1" x14ac:dyDescent="0.25">
      <c r="A282" s="143" t="s">
        <v>707</v>
      </c>
      <c r="B282" s="143" t="s">
        <v>128</v>
      </c>
      <c r="C282" s="143" t="s">
        <v>129</v>
      </c>
      <c r="D282" s="143" t="s">
        <v>69</v>
      </c>
      <c r="E282" s="257">
        <v>2620000</v>
      </c>
      <c r="F282" s="257">
        <v>2620000</v>
      </c>
      <c r="G282" s="257">
        <v>2620000</v>
      </c>
      <c r="H282" s="257">
        <v>0</v>
      </c>
      <c r="I282" s="257">
        <v>264420</v>
      </c>
      <c r="J282" s="257">
        <v>0</v>
      </c>
      <c r="K282" s="257">
        <v>1680592.5</v>
      </c>
      <c r="L282" s="257"/>
      <c r="M282" s="257">
        <v>1680592.5</v>
      </c>
      <c r="N282" s="257"/>
      <c r="O282" s="257">
        <v>674987.5</v>
      </c>
      <c r="P282" s="257">
        <v>674987.5</v>
      </c>
    </row>
    <row r="283" spans="1:16" hidden="1" x14ac:dyDescent="0.25">
      <c r="A283" s="143" t="s">
        <v>707</v>
      </c>
      <c r="B283" s="143" t="s">
        <v>132</v>
      </c>
      <c r="C283" s="143" t="s">
        <v>133</v>
      </c>
      <c r="D283" s="143" t="s">
        <v>69</v>
      </c>
      <c r="E283" s="257">
        <v>1500000</v>
      </c>
      <c r="F283" s="257">
        <v>1500000</v>
      </c>
      <c r="G283" s="257">
        <v>1500000</v>
      </c>
      <c r="H283" s="257">
        <v>0</v>
      </c>
      <c r="I283" s="257">
        <v>500000</v>
      </c>
      <c r="J283" s="257">
        <v>0</v>
      </c>
      <c r="K283" s="257">
        <v>0</v>
      </c>
      <c r="L283" s="257"/>
      <c r="M283" s="257">
        <v>0</v>
      </c>
      <c r="N283" s="257"/>
      <c r="O283" s="257">
        <v>1000000</v>
      </c>
      <c r="P283" s="257">
        <v>1000000</v>
      </c>
    </row>
    <row r="284" spans="1:16" hidden="1" x14ac:dyDescent="0.25">
      <c r="A284" s="143" t="s">
        <v>707</v>
      </c>
      <c r="B284" s="143" t="s">
        <v>134</v>
      </c>
      <c r="C284" s="143" t="s">
        <v>135</v>
      </c>
      <c r="D284" s="143" t="s">
        <v>69</v>
      </c>
      <c r="E284" s="257">
        <v>312558343</v>
      </c>
      <c r="F284" s="257">
        <v>280666873</v>
      </c>
      <c r="G284" s="257">
        <v>280666873</v>
      </c>
      <c r="H284" s="257">
        <v>0</v>
      </c>
      <c r="I284" s="257">
        <v>19798179.149999999</v>
      </c>
      <c r="J284" s="257">
        <v>24556053.579999998</v>
      </c>
      <c r="K284" s="257">
        <v>205244575.37</v>
      </c>
      <c r="L284" s="257"/>
      <c r="M284" s="257">
        <v>189073865.97</v>
      </c>
      <c r="N284" s="257"/>
      <c r="O284" s="257">
        <v>31068064.899999999</v>
      </c>
      <c r="P284" s="257">
        <v>31068064.899999999</v>
      </c>
    </row>
    <row r="285" spans="1:16" hidden="1" x14ac:dyDescent="0.25">
      <c r="A285" s="143" t="s">
        <v>707</v>
      </c>
      <c r="B285" s="143" t="s">
        <v>346</v>
      </c>
      <c r="C285" s="143" t="s">
        <v>347</v>
      </c>
      <c r="D285" s="143" t="s">
        <v>69</v>
      </c>
      <c r="E285" s="257">
        <v>34001608</v>
      </c>
      <c r="F285" s="257">
        <v>13925550</v>
      </c>
      <c r="G285" s="257">
        <v>13925550</v>
      </c>
      <c r="H285" s="257">
        <v>0</v>
      </c>
      <c r="I285" s="257">
        <v>3768477.29</v>
      </c>
      <c r="J285" s="257">
        <v>0</v>
      </c>
      <c r="K285" s="257">
        <v>5800895.9900000002</v>
      </c>
      <c r="L285" s="257"/>
      <c r="M285" s="257">
        <v>5800895.9900000002</v>
      </c>
      <c r="N285" s="257"/>
      <c r="O285" s="257">
        <v>4356176.72</v>
      </c>
      <c r="P285" s="257">
        <v>4356176.72</v>
      </c>
    </row>
    <row r="286" spans="1:16" hidden="1" x14ac:dyDescent="0.25">
      <c r="A286" s="143" t="s">
        <v>707</v>
      </c>
      <c r="B286" s="143" t="s">
        <v>308</v>
      </c>
      <c r="C286" s="143" t="s">
        <v>309</v>
      </c>
      <c r="D286" s="143" t="s">
        <v>69</v>
      </c>
      <c r="E286" s="257">
        <v>95000000</v>
      </c>
      <c r="F286" s="257">
        <v>73506483</v>
      </c>
      <c r="G286" s="257">
        <v>73506483</v>
      </c>
      <c r="H286" s="257">
        <v>0</v>
      </c>
      <c r="I286" s="257">
        <v>5995146.2000000002</v>
      </c>
      <c r="J286" s="257">
        <v>19509381.879999999</v>
      </c>
      <c r="K286" s="257">
        <v>45533954.079999998</v>
      </c>
      <c r="L286" s="257"/>
      <c r="M286" s="257">
        <v>45533954.079999998</v>
      </c>
      <c r="N286" s="257"/>
      <c r="O286" s="257">
        <v>2468000.84</v>
      </c>
      <c r="P286" s="257">
        <v>2468000.84</v>
      </c>
    </row>
    <row r="287" spans="1:16" hidden="1" x14ac:dyDescent="0.25">
      <c r="A287" s="143" t="s">
        <v>707</v>
      </c>
      <c r="B287" s="143" t="s">
        <v>136</v>
      </c>
      <c r="C287" s="143" t="s">
        <v>137</v>
      </c>
      <c r="D287" s="143" t="s">
        <v>69</v>
      </c>
      <c r="E287" s="257">
        <v>131200000</v>
      </c>
      <c r="F287" s="257">
        <v>140878105</v>
      </c>
      <c r="G287" s="257">
        <v>140878105</v>
      </c>
      <c r="H287" s="257">
        <v>0</v>
      </c>
      <c r="I287" s="257">
        <v>1078071.49</v>
      </c>
      <c r="J287" s="257">
        <v>5046671.7</v>
      </c>
      <c r="K287" s="257">
        <v>116689901.63</v>
      </c>
      <c r="L287" s="257"/>
      <c r="M287" s="257">
        <v>100670765.91</v>
      </c>
      <c r="N287" s="257"/>
      <c r="O287" s="257">
        <v>18063460.18</v>
      </c>
      <c r="P287" s="257">
        <v>18063460.18</v>
      </c>
    </row>
    <row r="288" spans="1:16" hidden="1" x14ac:dyDescent="0.25">
      <c r="A288" s="143" t="s">
        <v>707</v>
      </c>
      <c r="B288" s="143" t="s">
        <v>138</v>
      </c>
      <c r="C288" s="143" t="s">
        <v>139</v>
      </c>
      <c r="D288" s="143" t="s">
        <v>69</v>
      </c>
      <c r="E288" s="257">
        <v>52356735</v>
      </c>
      <c r="F288" s="257">
        <v>52356735</v>
      </c>
      <c r="G288" s="257">
        <v>52356735</v>
      </c>
      <c r="H288" s="257">
        <v>0</v>
      </c>
      <c r="I288" s="257">
        <v>8956484.1699999999</v>
      </c>
      <c r="J288" s="257">
        <v>0</v>
      </c>
      <c r="K288" s="257">
        <v>37219823.670000002</v>
      </c>
      <c r="L288" s="257"/>
      <c r="M288" s="257">
        <v>37068249.990000002</v>
      </c>
      <c r="N288" s="257"/>
      <c r="O288" s="257">
        <v>6180427.1600000001</v>
      </c>
      <c r="P288" s="257">
        <v>6180427.1600000001</v>
      </c>
    </row>
    <row r="289" spans="1:16" hidden="1" x14ac:dyDescent="0.25">
      <c r="A289" s="143" t="s">
        <v>707</v>
      </c>
      <c r="B289" s="143" t="s">
        <v>140</v>
      </c>
      <c r="C289" s="143" t="s">
        <v>141</v>
      </c>
      <c r="D289" s="143" t="s">
        <v>69</v>
      </c>
      <c r="E289" s="257">
        <v>134000000</v>
      </c>
      <c r="F289" s="257">
        <v>92171529</v>
      </c>
      <c r="G289" s="257">
        <v>92171529</v>
      </c>
      <c r="H289" s="257">
        <v>0</v>
      </c>
      <c r="I289" s="257">
        <v>17515580</v>
      </c>
      <c r="J289" s="257">
        <v>0</v>
      </c>
      <c r="K289" s="257">
        <v>59755313</v>
      </c>
      <c r="L289" s="257"/>
      <c r="M289" s="257">
        <v>59755313</v>
      </c>
      <c r="N289" s="257"/>
      <c r="O289" s="257">
        <v>14900636</v>
      </c>
      <c r="P289" s="257">
        <v>14900636</v>
      </c>
    </row>
    <row r="290" spans="1:16" hidden="1" x14ac:dyDescent="0.25">
      <c r="A290" s="143" t="s">
        <v>707</v>
      </c>
      <c r="B290" s="143" t="s">
        <v>142</v>
      </c>
      <c r="C290" s="143" t="s">
        <v>143</v>
      </c>
      <c r="D290" s="143" t="s">
        <v>69</v>
      </c>
      <c r="E290" s="257">
        <v>4000000</v>
      </c>
      <c r="F290" s="257">
        <v>2171529</v>
      </c>
      <c r="G290" s="257">
        <v>2171529</v>
      </c>
      <c r="H290" s="257">
        <v>0</v>
      </c>
      <c r="I290" s="257">
        <v>688480</v>
      </c>
      <c r="J290" s="257">
        <v>0</v>
      </c>
      <c r="K290" s="257">
        <v>1283049</v>
      </c>
      <c r="L290" s="257"/>
      <c r="M290" s="257">
        <v>1283049</v>
      </c>
      <c r="N290" s="257"/>
      <c r="O290" s="257">
        <v>200000</v>
      </c>
      <c r="P290" s="257">
        <v>200000</v>
      </c>
    </row>
    <row r="291" spans="1:16" hidden="1" x14ac:dyDescent="0.25">
      <c r="A291" s="143" t="s">
        <v>707</v>
      </c>
      <c r="B291" s="143" t="s">
        <v>144</v>
      </c>
      <c r="C291" s="143" t="s">
        <v>145</v>
      </c>
      <c r="D291" s="143" t="s">
        <v>69</v>
      </c>
      <c r="E291" s="257">
        <v>130000000</v>
      </c>
      <c r="F291" s="257">
        <v>90000000</v>
      </c>
      <c r="G291" s="257">
        <v>90000000</v>
      </c>
      <c r="H291" s="257">
        <v>0</v>
      </c>
      <c r="I291" s="257">
        <v>16827100</v>
      </c>
      <c r="J291" s="257">
        <v>0</v>
      </c>
      <c r="K291" s="257">
        <v>58472264</v>
      </c>
      <c r="L291" s="257"/>
      <c r="M291" s="257">
        <v>58472264</v>
      </c>
      <c r="N291" s="257"/>
      <c r="O291" s="257">
        <v>14700636</v>
      </c>
      <c r="P291" s="257">
        <v>14700636</v>
      </c>
    </row>
    <row r="292" spans="1:16" hidden="1" x14ac:dyDescent="0.25">
      <c r="A292" s="143" t="s">
        <v>707</v>
      </c>
      <c r="B292" s="143" t="s">
        <v>150</v>
      </c>
      <c r="C292" s="143" t="s">
        <v>151</v>
      </c>
      <c r="D292" s="143" t="s">
        <v>69</v>
      </c>
      <c r="E292" s="257">
        <v>1300000000</v>
      </c>
      <c r="F292" s="257">
        <v>1300000000</v>
      </c>
      <c r="G292" s="257">
        <v>1300000000</v>
      </c>
      <c r="H292" s="257">
        <v>0</v>
      </c>
      <c r="I292" s="257">
        <v>233689503.69999999</v>
      </c>
      <c r="J292" s="257">
        <v>0</v>
      </c>
      <c r="K292" s="257">
        <v>1036628729</v>
      </c>
      <c r="L292" s="257"/>
      <c r="M292" s="257">
        <v>926735737</v>
      </c>
      <c r="N292" s="257"/>
      <c r="O292" s="257">
        <v>29681767.300000001</v>
      </c>
      <c r="P292" s="257">
        <v>29681767.300000001</v>
      </c>
    </row>
    <row r="293" spans="1:16" hidden="1" x14ac:dyDescent="0.25">
      <c r="A293" s="143" t="s">
        <v>707</v>
      </c>
      <c r="B293" s="143" t="s">
        <v>152</v>
      </c>
      <c r="C293" s="143" t="s">
        <v>153</v>
      </c>
      <c r="D293" s="143" t="s">
        <v>69</v>
      </c>
      <c r="E293" s="257">
        <v>1300000000</v>
      </c>
      <c r="F293" s="257">
        <v>1300000000</v>
      </c>
      <c r="G293" s="257">
        <v>1300000000</v>
      </c>
      <c r="H293" s="257">
        <v>0</v>
      </c>
      <c r="I293" s="257">
        <v>233689503.69999999</v>
      </c>
      <c r="J293" s="257">
        <v>0</v>
      </c>
      <c r="K293" s="257">
        <v>1036628729</v>
      </c>
      <c r="L293" s="257"/>
      <c r="M293" s="257">
        <v>926735737</v>
      </c>
      <c r="N293" s="257"/>
      <c r="O293" s="257">
        <v>29681767.300000001</v>
      </c>
      <c r="P293" s="257">
        <v>29681767.300000001</v>
      </c>
    </row>
    <row r="294" spans="1:16" hidden="1" x14ac:dyDescent="0.25">
      <c r="A294" s="143" t="s">
        <v>707</v>
      </c>
      <c r="B294" s="143" t="s">
        <v>154</v>
      </c>
      <c r="C294" s="143" t="s">
        <v>155</v>
      </c>
      <c r="D294" s="143" t="s">
        <v>69</v>
      </c>
      <c r="E294" s="257">
        <v>5000000</v>
      </c>
      <c r="F294" s="257">
        <v>1303100</v>
      </c>
      <c r="G294" s="257">
        <v>1303100</v>
      </c>
      <c r="H294" s="257">
        <v>0</v>
      </c>
      <c r="I294" s="257">
        <v>612000</v>
      </c>
      <c r="J294" s="257">
        <v>0</v>
      </c>
      <c r="K294" s="257">
        <v>555900</v>
      </c>
      <c r="L294" s="257"/>
      <c r="M294" s="257">
        <v>555900</v>
      </c>
      <c r="N294" s="257"/>
      <c r="O294" s="257">
        <v>135200</v>
      </c>
      <c r="P294" s="257">
        <v>135200</v>
      </c>
    </row>
    <row r="295" spans="1:16" hidden="1" x14ac:dyDescent="0.25">
      <c r="A295" s="143" t="s">
        <v>707</v>
      </c>
      <c r="B295" s="143" t="s">
        <v>156</v>
      </c>
      <c r="C295" s="143" t="s">
        <v>157</v>
      </c>
      <c r="D295" s="143" t="s">
        <v>69</v>
      </c>
      <c r="E295" s="257">
        <v>5000000</v>
      </c>
      <c r="F295" s="257">
        <v>1303100</v>
      </c>
      <c r="G295" s="257">
        <v>1303100</v>
      </c>
      <c r="H295" s="257">
        <v>0</v>
      </c>
      <c r="I295" s="257">
        <v>612000</v>
      </c>
      <c r="J295" s="257">
        <v>0</v>
      </c>
      <c r="K295" s="257">
        <v>555900</v>
      </c>
      <c r="L295" s="257"/>
      <c r="M295" s="257">
        <v>555900</v>
      </c>
      <c r="N295" s="257"/>
      <c r="O295" s="257">
        <v>135200</v>
      </c>
      <c r="P295" s="257">
        <v>135200</v>
      </c>
    </row>
    <row r="296" spans="1:16" hidden="1" x14ac:dyDescent="0.25">
      <c r="A296" s="143" t="s">
        <v>707</v>
      </c>
      <c r="B296" s="143" t="s">
        <v>162</v>
      </c>
      <c r="C296" s="143" t="s">
        <v>163</v>
      </c>
      <c r="D296" s="143" t="s">
        <v>69</v>
      </c>
      <c r="E296" s="257">
        <v>932264008</v>
      </c>
      <c r="F296" s="257">
        <v>969780106</v>
      </c>
      <c r="G296" s="257">
        <v>969780106</v>
      </c>
      <c r="H296" s="257">
        <v>0</v>
      </c>
      <c r="I296" s="257">
        <v>237697044.78999999</v>
      </c>
      <c r="J296" s="257">
        <v>42670667.439999998</v>
      </c>
      <c r="K296" s="257">
        <v>535778862.93000001</v>
      </c>
      <c r="L296" s="257"/>
      <c r="M296" s="257">
        <v>494759855.83999997</v>
      </c>
      <c r="N296" s="257"/>
      <c r="O296" s="257">
        <v>153633530.84</v>
      </c>
      <c r="P296" s="257">
        <v>153633530.84</v>
      </c>
    </row>
    <row r="297" spans="1:16" hidden="1" x14ac:dyDescent="0.25">
      <c r="A297" s="143" t="s">
        <v>707</v>
      </c>
      <c r="B297" s="143" t="s">
        <v>310</v>
      </c>
      <c r="C297" s="143" t="s">
        <v>311</v>
      </c>
      <c r="D297" s="143" t="s">
        <v>69</v>
      </c>
      <c r="E297" s="257">
        <v>120656000</v>
      </c>
      <c r="F297" s="257">
        <v>117656000</v>
      </c>
      <c r="G297" s="257">
        <v>117656000</v>
      </c>
      <c r="H297" s="257">
        <v>0</v>
      </c>
      <c r="I297" s="257">
        <v>14311594.029999999</v>
      </c>
      <c r="J297" s="257">
        <v>0</v>
      </c>
      <c r="K297" s="257">
        <v>43193990.969999999</v>
      </c>
      <c r="L297" s="257"/>
      <c r="M297" s="257">
        <v>43193990.969999999</v>
      </c>
      <c r="N297" s="257"/>
      <c r="O297" s="257">
        <v>60150415</v>
      </c>
      <c r="P297" s="257">
        <v>60150415</v>
      </c>
    </row>
    <row r="298" spans="1:16" hidden="1" x14ac:dyDescent="0.25">
      <c r="A298" s="143" t="s">
        <v>707</v>
      </c>
      <c r="B298" s="143" t="s">
        <v>164</v>
      </c>
      <c r="C298" s="143" t="s">
        <v>165</v>
      </c>
      <c r="D298" s="143" t="s">
        <v>69</v>
      </c>
      <c r="E298" s="257">
        <v>504520000</v>
      </c>
      <c r="F298" s="257">
        <v>526013517</v>
      </c>
      <c r="G298" s="257">
        <v>526013517</v>
      </c>
      <c r="H298" s="257">
        <v>0</v>
      </c>
      <c r="I298" s="257">
        <v>115589910.15000001</v>
      </c>
      <c r="J298" s="257">
        <v>33795561.369999997</v>
      </c>
      <c r="K298" s="257">
        <v>330074473.11000001</v>
      </c>
      <c r="L298" s="257"/>
      <c r="M298" s="257">
        <v>311983173.11000001</v>
      </c>
      <c r="N298" s="257"/>
      <c r="O298" s="257">
        <v>46553572.369999997</v>
      </c>
      <c r="P298" s="257">
        <v>46553572.369999997</v>
      </c>
    </row>
    <row r="299" spans="1:16" hidden="1" x14ac:dyDescent="0.25">
      <c r="A299" s="143" t="s">
        <v>707</v>
      </c>
      <c r="B299" s="143" t="s">
        <v>166</v>
      </c>
      <c r="C299" s="143" t="s">
        <v>167</v>
      </c>
      <c r="D299" s="143" t="s">
        <v>69</v>
      </c>
      <c r="E299" s="257">
        <v>95028648</v>
      </c>
      <c r="F299" s="257">
        <v>119990142</v>
      </c>
      <c r="G299" s="257">
        <v>119990142</v>
      </c>
      <c r="H299" s="257">
        <v>0</v>
      </c>
      <c r="I299" s="257">
        <v>22356235.309999999</v>
      </c>
      <c r="J299" s="257">
        <v>946901.86</v>
      </c>
      <c r="K299" s="257">
        <v>68233162.480000004</v>
      </c>
      <c r="L299" s="257"/>
      <c r="M299" s="257">
        <v>68233162.480000004</v>
      </c>
      <c r="N299" s="257"/>
      <c r="O299" s="257">
        <v>28453842.350000001</v>
      </c>
      <c r="P299" s="257">
        <v>28453842.350000001</v>
      </c>
    </row>
    <row r="300" spans="1:16" hidden="1" x14ac:dyDescent="0.25">
      <c r="A300" s="143" t="s">
        <v>707</v>
      </c>
      <c r="B300" s="143" t="s">
        <v>312</v>
      </c>
      <c r="C300" s="143" t="s">
        <v>313</v>
      </c>
      <c r="D300" s="143" t="s">
        <v>69</v>
      </c>
      <c r="E300" s="257">
        <v>3000000</v>
      </c>
      <c r="F300" s="257">
        <v>3000000</v>
      </c>
      <c r="G300" s="257">
        <v>3000000</v>
      </c>
      <c r="H300" s="257">
        <v>0</v>
      </c>
      <c r="I300" s="257">
        <v>2800479</v>
      </c>
      <c r="J300" s="257">
        <v>0</v>
      </c>
      <c r="K300" s="257">
        <v>0</v>
      </c>
      <c r="L300" s="257"/>
      <c r="M300" s="257">
        <v>0</v>
      </c>
      <c r="N300" s="257"/>
      <c r="O300" s="257">
        <v>199521</v>
      </c>
      <c r="P300" s="257">
        <v>199521</v>
      </c>
    </row>
    <row r="301" spans="1:16" hidden="1" x14ac:dyDescent="0.25">
      <c r="A301" s="143" t="s">
        <v>707</v>
      </c>
      <c r="B301" s="143" t="s">
        <v>168</v>
      </c>
      <c r="C301" s="143" t="s">
        <v>169</v>
      </c>
      <c r="D301" s="143" t="s">
        <v>69</v>
      </c>
      <c r="E301" s="257">
        <v>16864852</v>
      </c>
      <c r="F301" s="257">
        <v>11257762</v>
      </c>
      <c r="G301" s="257">
        <v>11257762</v>
      </c>
      <c r="H301" s="257">
        <v>0</v>
      </c>
      <c r="I301" s="257">
        <v>4807396.84</v>
      </c>
      <c r="J301" s="257">
        <v>545731.54</v>
      </c>
      <c r="K301" s="257">
        <v>5892242.25</v>
      </c>
      <c r="L301" s="257"/>
      <c r="M301" s="257">
        <v>5892242.25</v>
      </c>
      <c r="N301" s="257"/>
      <c r="O301" s="257">
        <v>12391.37</v>
      </c>
      <c r="P301" s="257">
        <v>12391.37</v>
      </c>
    </row>
    <row r="302" spans="1:16" hidden="1" x14ac:dyDescent="0.25">
      <c r="A302" s="143" t="s">
        <v>707</v>
      </c>
      <c r="B302" s="143" t="s">
        <v>170</v>
      </c>
      <c r="C302" s="143" t="s">
        <v>171</v>
      </c>
      <c r="D302" s="143" t="s">
        <v>69</v>
      </c>
      <c r="E302" s="257">
        <v>40562000</v>
      </c>
      <c r="F302" s="257">
        <v>24844258</v>
      </c>
      <c r="G302" s="257">
        <v>24844258</v>
      </c>
      <c r="H302" s="257">
        <v>0</v>
      </c>
      <c r="I302" s="257">
        <v>18862201.129999999</v>
      </c>
      <c r="J302" s="257">
        <v>0</v>
      </c>
      <c r="K302" s="257">
        <v>3768024.01</v>
      </c>
      <c r="L302" s="257"/>
      <c r="M302" s="257">
        <v>3768024.01</v>
      </c>
      <c r="N302" s="257"/>
      <c r="O302" s="257">
        <v>2214032.86</v>
      </c>
      <c r="P302" s="257">
        <v>2214032.86</v>
      </c>
    </row>
    <row r="303" spans="1:16" hidden="1" x14ac:dyDescent="0.25">
      <c r="A303" s="143" t="s">
        <v>707</v>
      </c>
      <c r="B303" s="143" t="s">
        <v>172</v>
      </c>
      <c r="C303" s="143" t="s">
        <v>173</v>
      </c>
      <c r="D303" s="143" t="s">
        <v>69</v>
      </c>
      <c r="E303" s="257">
        <v>151632508</v>
      </c>
      <c r="F303" s="257">
        <v>167018427</v>
      </c>
      <c r="G303" s="257">
        <v>167018427</v>
      </c>
      <c r="H303" s="257">
        <v>0</v>
      </c>
      <c r="I303" s="257">
        <v>58969228.329999998</v>
      </c>
      <c r="J303" s="257">
        <v>7382472.6699999999</v>
      </c>
      <c r="K303" s="257">
        <v>84616970.109999999</v>
      </c>
      <c r="L303" s="257"/>
      <c r="M303" s="257">
        <v>61689263.020000003</v>
      </c>
      <c r="N303" s="257"/>
      <c r="O303" s="257">
        <v>16049755.890000001</v>
      </c>
      <c r="P303" s="257">
        <v>16049755.890000001</v>
      </c>
    </row>
    <row r="304" spans="1:16" hidden="1" x14ac:dyDescent="0.25">
      <c r="A304" s="143" t="s">
        <v>707</v>
      </c>
      <c r="B304" s="143" t="s">
        <v>164</v>
      </c>
      <c r="C304" s="143" t="s">
        <v>165</v>
      </c>
      <c r="D304" s="143" t="s">
        <v>85</v>
      </c>
      <c r="E304" s="257">
        <v>0</v>
      </c>
      <c r="F304" s="257">
        <v>0</v>
      </c>
      <c r="G304" s="257">
        <v>0</v>
      </c>
      <c r="H304" s="257">
        <v>0</v>
      </c>
      <c r="I304" s="257">
        <v>0</v>
      </c>
      <c r="J304" s="257">
        <v>0</v>
      </c>
      <c r="K304" s="257">
        <v>0</v>
      </c>
      <c r="L304" s="257"/>
      <c r="M304" s="257">
        <v>0</v>
      </c>
      <c r="N304" s="257"/>
      <c r="O304" s="257">
        <v>0</v>
      </c>
      <c r="P304" s="257">
        <v>0</v>
      </c>
    </row>
    <row r="305" spans="1:16" hidden="1" x14ac:dyDescent="0.25">
      <c r="A305" s="143" t="s">
        <v>707</v>
      </c>
      <c r="B305" s="143" t="s">
        <v>174</v>
      </c>
      <c r="C305" s="143" t="s">
        <v>175</v>
      </c>
      <c r="D305" s="143" t="s">
        <v>69</v>
      </c>
      <c r="E305" s="257">
        <v>18000000</v>
      </c>
      <c r="F305" s="257">
        <v>18000000</v>
      </c>
      <c r="G305" s="257">
        <v>18000000</v>
      </c>
      <c r="H305" s="257">
        <v>0</v>
      </c>
      <c r="I305" s="257">
        <v>1328634</v>
      </c>
      <c r="J305" s="257">
        <v>0</v>
      </c>
      <c r="K305" s="257">
        <v>221366</v>
      </c>
      <c r="L305" s="257"/>
      <c r="M305" s="257">
        <v>221366</v>
      </c>
      <c r="N305" s="257"/>
      <c r="O305" s="257">
        <v>16450000</v>
      </c>
      <c r="P305" s="257">
        <v>16450000</v>
      </c>
    </row>
    <row r="306" spans="1:16" hidden="1" x14ac:dyDescent="0.25">
      <c r="A306" s="143" t="s">
        <v>707</v>
      </c>
      <c r="B306" s="143" t="s">
        <v>176</v>
      </c>
      <c r="C306" s="143" t="s">
        <v>177</v>
      </c>
      <c r="D306" s="143" t="s">
        <v>69</v>
      </c>
      <c r="E306" s="257">
        <v>18000000</v>
      </c>
      <c r="F306" s="257">
        <v>18000000</v>
      </c>
      <c r="G306" s="257">
        <v>18000000</v>
      </c>
      <c r="H306" s="257">
        <v>0</v>
      </c>
      <c r="I306" s="257">
        <v>1328634</v>
      </c>
      <c r="J306" s="257">
        <v>0</v>
      </c>
      <c r="K306" s="257">
        <v>221366</v>
      </c>
      <c r="L306" s="257"/>
      <c r="M306" s="257">
        <v>221366</v>
      </c>
      <c r="N306" s="257"/>
      <c r="O306" s="257">
        <v>16450000</v>
      </c>
      <c r="P306" s="257">
        <v>16450000</v>
      </c>
    </row>
    <row r="307" spans="1:16" hidden="1" x14ac:dyDescent="0.25">
      <c r="A307" s="143" t="s">
        <v>707</v>
      </c>
      <c r="B307" s="143" t="s">
        <v>178</v>
      </c>
      <c r="C307" s="143" t="s">
        <v>179</v>
      </c>
      <c r="D307" s="143" t="s">
        <v>69</v>
      </c>
      <c r="E307" s="257">
        <v>36890625</v>
      </c>
      <c r="F307" s="257">
        <v>56149050</v>
      </c>
      <c r="G307" s="257">
        <v>56149050</v>
      </c>
      <c r="H307" s="257">
        <v>0</v>
      </c>
      <c r="I307" s="257">
        <v>4305776.83</v>
      </c>
      <c r="J307" s="257">
        <v>0</v>
      </c>
      <c r="K307" s="257">
        <v>3617106.85</v>
      </c>
      <c r="L307" s="257"/>
      <c r="M307" s="257">
        <v>3617106.85</v>
      </c>
      <c r="N307" s="257"/>
      <c r="O307" s="257">
        <v>48226166.32</v>
      </c>
      <c r="P307" s="257">
        <v>48226166.32</v>
      </c>
    </row>
    <row r="308" spans="1:16" hidden="1" x14ac:dyDescent="0.25">
      <c r="A308" s="143" t="s">
        <v>707</v>
      </c>
      <c r="B308" s="143" t="s">
        <v>348</v>
      </c>
      <c r="C308" s="143" t="s">
        <v>349</v>
      </c>
      <c r="D308" s="143" t="s">
        <v>69</v>
      </c>
      <c r="E308" s="257">
        <v>3000000</v>
      </c>
      <c r="F308" s="257">
        <v>5000000</v>
      </c>
      <c r="G308" s="257">
        <v>5000000</v>
      </c>
      <c r="H308" s="257">
        <v>0</v>
      </c>
      <c r="I308" s="257">
        <v>1119670.73</v>
      </c>
      <c r="J308" s="257">
        <v>0</v>
      </c>
      <c r="K308" s="257">
        <v>3617106.85</v>
      </c>
      <c r="L308" s="257"/>
      <c r="M308" s="257">
        <v>3617106.85</v>
      </c>
      <c r="N308" s="257"/>
      <c r="O308" s="257">
        <v>263222.42</v>
      </c>
      <c r="P308" s="257">
        <v>263222.42</v>
      </c>
    </row>
    <row r="309" spans="1:16" hidden="1" x14ac:dyDescent="0.25">
      <c r="A309" s="143" t="s">
        <v>707</v>
      </c>
      <c r="B309" s="143" t="s">
        <v>180</v>
      </c>
      <c r="C309" s="143" t="s">
        <v>181</v>
      </c>
      <c r="D309" s="143" t="s">
        <v>69</v>
      </c>
      <c r="E309" s="257">
        <v>19500000</v>
      </c>
      <c r="F309" s="257">
        <v>2678455</v>
      </c>
      <c r="G309" s="257">
        <v>2678455</v>
      </c>
      <c r="H309" s="257">
        <v>0</v>
      </c>
      <c r="I309" s="257">
        <v>615.85</v>
      </c>
      <c r="J309" s="257">
        <v>0</v>
      </c>
      <c r="K309" s="257">
        <v>0</v>
      </c>
      <c r="L309" s="257"/>
      <c r="M309" s="257">
        <v>0</v>
      </c>
      <c r="N309" s="257"/>
      <c r="O309" s="257">
        <v>2677839.15</v>
      </c>
      <c r="P309" s="257">
        <v>2677839.15</v>
      </c>
    </row>
    <row r="310" spans="1:16" hidden="1" x14ac:dyDescent="0.25">
      <c r="A310" s="143" t="s">
        <v>707</v>
      </c>
      <c r="B310" s="143" t="s">
        <v>182</v>
      </c>
      <c r="C310" s="143" t="s">
        <v>183</v>
      </c>
      <c r="D310" s="143" t="s">
        <v>69</v>
      </c>
      <c r="E310" s="257">
        <v>14390625</v>
      </c>
      <c r="F310" s="257">
        <v>48470595</v>
      </c>
      <c r="G310" s="257">
        <v>48470595</v>
      </c>
      <c r="H310" s="257">
        <v>0</v>
      </c>
      <c r="I310" s="257">
        <v>3185490.25</v>
      </c>
      <c r="J310" s="257">
        <v>0</v>
      </c>
      <c r="K310" s="257">
        <v>0</v>
      </c>
      <c r="L310" s="257"/>
      <c r="M310" s="257">
        <v>0</v>
      </c>
      <c r="N310" s="257"/>
      <c r="O310" s="257">
        <v>45285104.75</v>
      </c>
      <c r="P310" s="257">
        <v>45285104.75</v>
      </c>
    </row>
    <row r="311" spans="1:16" hidden="1" x14ac:dyDescent="0.25">
      <c r="A311" s="143" t="s">
        <v>707</v>
      </c>
      <c r="B311" s="143" t="s">
        <v>184</v>
      </c>
      <c r="C311" s="143" t="s">
        <v>185</v>
      </c>
      <c r="D311" s="143" t="s">
        <v>69</v>
      </c>
      <c r="E311" s="257">
        <v>5938711949</v>
      </c>
      <c r="F311" s="257">
        <v>5528854538</v>
      </c>
      <c r="G311" s="257">
        <v>5497524037</v>
      </c>
      <c r="H311" s="257">
        <v>19173832.370000001</v>
      </c>
      <c r="I311" s="257">
        <v>928161037.88</v>
      </c>
      <c r="J311" s="257">
        <v>114450100.7</v>
      </c>
      <c r="K311" s="257">
        <v>4129626825.3400002</v>
      </c>
      <c r="L311" s="257"/>
      <c r="M311" s="257">
        <v>3966925313.6799998</v>
      </c>
      <c r="N311" s="257"/>
      <c r="O311" s="257">
        <v>337442741.70999998</v>
      </c>
      <c r="P311" s="257">
        <v>306112240.70999998</v>
      </c>
    </row>
    <row r="312" spans="1:16" hidden="1" x14ac:dyDescent="0.25">
      <c r="A312" s="143" t="s">
        <v>707</v>
      </c>
      <c r="B312" s="143" t="s">
        <v>186</v>
      </c>
      <c r="C312" s="143" t="s">
        <v>187</v>
      </c>
      <c r="D312" s="143" t="s">
        <v>69</v>
      </c>
      <c r="E312" s="257">
        <v>1018969461</v>
      </c>
      <c r="F312" s="257">
        <v>925936524</v>
      </c>
      <c r="G312" s="257">
        <v>894606023</v>
      </c>
      <c r="H312" s="257">
        <v>0</v>
      </c>
      <c r="I312" s="257">
        <v>137506833.88</v>
      </c>
      <c r="J312" s="257">
        <v>3410000</v>
      </c>
      <c r="K312" s="257">
        <v>666714271.23000002</v>
      </c>
      <c r="L312" s="257"/>
      <c r="M312" s="257">
        <v>648502073.71000004</v>
      </c>
      <c r="N312" s="257"/>
      <c r="O312" s="257">
        <v>118305418.89</v>
      </c>
      <c r="P312" s="257">
        <v>86974917.890000001</v>
      </c>
    </row>
    <row r="313" spans="1:16" hidden="1" x14ac:dyDescent="0.25">
      <c r="A313" s="143" t="s">
        <v>707</v>
      </c>
      <c r="B313" s="143" t="s">
        <v>188</v>
      </c>
      <c r="C313" s="143" t="s">
        <v>189</v>
      </c>
      <c r="D313" s="143" t="s">
        <v>69</v>
      </c>
      <c r="E313" s="257">
        <v>735778133</v>
      </c>
      <c r="F313" s="257">
        <v>651012389</v>
      </c>
      <c r="G313" s="257">
        <v>619681888</v>
      </c>
      <c r="H313" s="257">
        <v>0</v>
      </c>
      <c r="I313" s="257">
        <v>103716641.08</v>
      </c>
      <c r="J313" s="257">
        <v>3410000</v>
      </c>
      <c r="K313" s="257">
        <v>439604424.44999999</v>
      </c>
      <c r="L313" s="257"/>
      <c r="M313" s="257">
        <v>421392226.93000001</v>
      </c>
      <c r="N313" s="257"/>
      <c r="O313" s="257">
        <v>104281323.47</v>
      </c>
      <c r="P313" s="257">
        <v>72950822.469999999</v>
      </c>
    </row>
    <row r="314" spans="1:16" hidden="1" x14ac:dyDescent="0.25">
      <c r="A314" s="143" t="s">
        <v>707</v>
      </c>
      <c r="B314" s="143" t="s">
        <v>190</v>
      </c>
      <c r="C314" s="143" t="s">
        <v>191</v>
      </c>
      <c r="D314" s="143" t="s">
        <v>69</v>
      </c>
      <c r="E314" s="257">
        <v>224830540</v>
      </c>
      <c r="F314" s="257">
        <v>220146790</v>
      </c>
      <c r="G314" s="257">
        <v>220146790</v>
      </c>
      <c r="H314" s="257">
        <v>0</v>
      </c>
      <c r="I314" s="257">
        <v>32345250</v>
      </c>
      <c r="J314" s="257">
        <v>0</v>
      </c>
      <c r="K314" s="257">
        <v>186909564.38</v>
      </c>
      <c r="L314" s="257"/>
      <c r="M314" s="257">
        <v>186909564.38</v>
      </c>
      <c r="N314" s="257"/>
      <c r="O314" s="257">
        <v>891975.62</v>
      </c>
      <c r="P314" s="257">
        <v>891975.62</v>
      </c>
    </row>
    <row r="315" spans="1:16" hidden="1" x14ac:dyDescent="0.25">
      <c r="A315" s="143" t="s">
        <v>707</v>
      </c>
      <c r="B315" s="143" t="s">
        <v>350</v>
      </c>
      <c r="C315" s="143" t="s">
        <v>351</v>
      </c>
      <c r="D315" s="143" t="s">
        <v>69</v>
      </c>
      <c r="E315" s="257">
        <v>12909188</v>
      </c>
      <c r="F315" s="257">
        <v>12909188</v>
      </c>
      <c r="G315" s="257">
        <v>12909188</v>
      </c>
      <c r="H315" s="257">
        <v>0</v>
      </c>
      <c r="I315" s="257">
        <v>0</v>
      </c>
      <c r="J315" s="257">
        <v>0</v>
      </c>
      <c r="K315" s="257">
        <v>2016114.92</v>
      </c>
      <c r="L315" s="257"/>
      <c r="M315" s="257">
        <v>2016114.92</v>
      </c>
      <c r="N315" s="257"/>
      <c r="O315" s="257">
        <v>10893073.08</v>
      </c>
      <c r="P315" s="257">
        <v>10893073.08</v>
      </c>
    </row>
    <row r="316" spans="1:16" hidden="1" x14ac:dyDescent="0.25">
      <c r="A316" s="143" t="s">
        <v>707</v>
      </c>
      <c r="B316" s="143" t="s">
        <v>192</v>
      </c>
      <c r="C316" s="143" t="s">
        <v>193</v>
      </c>
      <c r="D316" s="143" t="s">
        <v>69</v>
      </c>
      <c r="E316" s="257">
        <v>40465200</v>
      </c>
      <c r="F316" s="257">
        <v>36881757</v>
      </c>
      <c r="G316" s="257">
        <v>36881757</v>
      </c>
      <c r="H316" s="257">
        <v>0</v>
      </c>
      <c r="I316" s="257">
        <v>1444942.8</v>
      </c>
      <c r="J316" s="257">
        <v>0</v>
      </c>
      <c r="K316" s="257">
        <v>35184594.119999997</v>
      </c>
      <c r="L316" s="257"/>
      <c r="M316" s="257">
        <v>35184594.119999997</v>
      </c>
      <c r="N316" s="257"/>
      <c r="O316" s="257">
        <v>252220.08</v>
      </c>
      <c r="P316" s="257">
        <v>252220.08</v>
      </c>
    </row>
    <row r="317" spans="1:16" hidden="1" x14ac:dyDescent="0.25">
      <c r="A317" s="143" t="s">
        <v>707</v>
      </c>
      <c r="B317" s="143" t="s">
        <v>194</v>
      </c>
      <c r="C317" s="143" t="s">
        <v>195</v>
      </c>
      <c r="D317" s="143" t="s">
        <v>69</v>
      </c>
      <c r="E317" s="257">
        <v>4986400</v>
      </c>
      <c r="F317" s="257">
        <v>4986400</v>
      </c>
      <c r="G317" s="257">
        <v>4986400</v>
      </c>
      <c r="H317" s="257">
        <v>0</v>
      </c>
      <c r="I317" s="257">
        <v>0</v>
      </c>
      <c r="J317" s="257">
        <v>0</v>
      </c>
      <c r="K317" s="257">
        <v>2999573.36</v>
      </c>
      <c r="L317" s="257"/>
      <c r="M317" s="257">
        <v>2999573.36</v>
      </c>
      <c r="N317" s="257"/>
      <c r="O317" s="257">
        <v>1986826.64</v>
      </c>
      <c r="P317" s="257">
        <v>1986826.64</v>
      </c>
    </row>
    <row r="318" spans="1:16" hidden="1" x14ac:dyDescent="0.25">
      <c r="A318" s="143" t="s">
        <v>707</v>
      </c>
      <c r="B318" s="143" t="s">
        <v>196</v>
      </c>
      <c r="C318" s="143" t="s">
        <v>197</v>
      </c>
      <c r="D318" s="143" t="s">
        <v>69</v>
      </c>
      <c r="E318" s="257">
        <v>1012911000</v>
      </c>
      <c r="F318" s="257">
        <v>1027400893</v>
      </c>
      <c r="G318" s="257">
        <v>1027400893</v>
      </c>
      <c r="H318" s="257">
        <v>0</v>
      </c>
      <c r="I318" s="257">
        <v>85021091.790000007</v>
      </c>
      <c r="J318" s="257">
        <v>37172252.990000002</v>
      </c>
      <c r="K318" s="257">
        <v>882443462.60000002</v>
      </c>
      <c r="L318" s="257"/>
      <c r="M318" s="257">
        <v>860323348.35000002</v>
      </c>
      <c r="N318" s="257"/>
      <c r="O318" s="257">
        <v>22764085.620000001</v>
      </c>
      <c r="P318" s="257">
        <v>22764085.620000001</v>
      </c>
    </row>
    <row r="319" spans="1:16" hidden="1" x14ac:dyDescent="0.25">
      <c r="A319" s="143" t="s">
        <v>707</v>
      </c>
      <c r="B319" s="143" t="s">
        <v>198</v>
      </c>
      <c r="C319" s="143" t="s">
        <v>199</v>
      </c>
      <c r="D319" s="143" t="s">
        <v>69</v>
      </c>
      <c r="E319" s="257">
        <v>987000000</v>
      </c>
      <c r="F319" s="257">
        <v>1001500000</v>
      </c>
      <c r="G319" s="257">
        <v>1001500000</v>
      </c>
      <c r="H319" s="257">
        <v>0</v>
      </c>
      <c r="I319" s="257">
        <v>85021091.790000007</v>
      </c>
      <c r="J319" s="257">
        <v>37172252.990000002</v>
      </c>
      <c r="K319" s="257">
        <v>856543693.10000002</v>
      </c>
      <c r="L319" s="257"/>
      <c r="M319" s="257">
        <v>846642749.10000002</v>
      </c>
      <c r="N319" s="257"/>
      <c r="O319" s="257">
        <v>22762962.120000001</v>
      </c>
      <c r="P319" s="257">
        <v>22762962.120000001</v>
      </c>
    </row>
    <row r="320" spans="1:16" hidden="1" x14ac:dyDescent="0.25">
      <c r="A320" s="143" t="s">
        <v>707</v>
      </c>
      <c r="B320" s="143" t="s">
        <v>352</v>
      </c>
      <c r="C320" s="143" t="s">
        <v>353</v>
      </c>
      <c r="D320" s="143" t="s">
        <v>69</v>
      </c>
      <c r="E320" s="257">
        <v>25911000</v>
      </c>
      <c r="F320" s="257">
        <v>25900893</v>
      </c>
      <c r="G320" s="257">
        <v>25900893</v>
      </c>
      <c r="H320" s="257">
        <v>0</v>
      </c>
      <c r="I320" s="257">
        <v>0</v>
      </c>
      <c r="J320" s="257">
        <v>0</v>
      </c>
      <c r="K320" s="257">
        <v>25899769.5</v>
      </c>
      <c r="L320" s="257"/>
      <c r="M320" s="257">
        <v>13680599.25</v>
      </c>
      <c r="N320" s="257"/>
      <c r="O320" s="257">
        <v>1123.5</v>
      </c>
      <c r="P320" s="257">
        <v>1123.5</v>
      </c>
    </row>
    <row r="321" spans="1:16" hidden="1" x14ac:dyDescent="0.25">
      <c r="A321" s="143" t="s">
        <v>707</v>
      </c>
      <c r="B321" s="143" t="s">
        <v>200</v>
      </c>
      <c r="C321" s="143" t="s">
        <v>201</v>
      </c>
      <c r="D321" s="143" t="s">
        <v>69</v>
      </c>
      <c r="E321" s="257">
        <v>492133633</v>
      </c>
      <c r="F321" s="257">
        <v>532016676</v>
      </c>
      <c r="G321" s="257">
        <v>532016676</v>
      </c>
      <c r="H321" s="257">
        <v>0</v>
      </c>
      <c r="I321" s="257">
        <v>82500876.659999996</v>
      </c>
      <c r="J321" s="257">
        <v>1337050</v>
      </c>
      <c r="K321" s="257">
        <v>431071654.24000001</v>
      </c>
      <c r="L321" s="257"/>
      <c r="M321" s="257">
        <v>420215924.11000001</v>
      </c>
      <c r="N321" s="257"/>
      <c r="O321" s="257">
        <v>17107095.100000001</v>
      </c>
      <c r="P321" s="257">
        <v>17107095.100000001</v>
      </c>
    </row>
    <row r="322" spans="1:16" hidden="1" x14ac:dyDescent="0.25">
      <c r="A322" s="143" t="s">
        <v>707</v>
      </c>
      <c r="B322" s="143" t="s">
        <v>314</v>
      </c>
      <c r="C322" s="143" t="s">
        <v>315</v>
      </c>
      <c r="D322" s="143" t="s">
        <v>69</v>
      </c>
      <c r="E322" s="257">
        <v>116502163</v>
      </c>
      <c r="F322" s="257">
        <v>138638873</v>
      </c>
      <c r="G322" s="257">
        <v>138638873</v>
      </c>
      <c r="H322" s="257">
        <v>0</v>
      </c>
      <c r="I322" s="257">
        <v>20000253</v>
      </c>
      <c r="J322" s="257">
        <v>0</v>
      </c>
      <c r="K322" s="257">
        <v>111692746.8</v>
      </c>
      <c r="L322" s="257"/>
      <c r="M322" s="257">
        <v>108986396.8</v>
      </c>
      <c r="N322" s="257"/>
      <c r="O322" s="257">
        <v>6945873.2000000002</v>
      </c>
      <c r="P322" s="257">
        <v>6945873.2000000002</v>
      </c>
    </row>
    <row r="323" spans="1:16" hidden="1" x14ac:dyDescent="0.25">
      <c r="A323" s="143" t="s">
        <v>707</v>
      </c>
      <c r="B323" s="143" t="s">
        <v>316</v>
      </c>
      <c r="C323" s="143" t="s">
        <v>317</v>
      </c>
      <c r="D323" s="143" t="s">
        <v>69</v>
      </c>
      <c r="E323" s="257">
        <v>100168000</v>
      </c>
      <c r="F323" s="257">
        <v>100168000</v>
      </c>
      <c r="G323" s="257">
        <v>100168000</v>
      </c>
      <c r="H323" s="257">
        <v>0</v>
      </c>
      <c r="I323" s="257">
        <v>14240373</v>
      </c>
      <c r="J323" s="257">
        <v>0</v>
      </c>
      <c r="K323" s="257">
        <v>84113170.760000005</v>
      </c>
      <c r="L323" s="257"/>
      <c r="M323" s="257">
        <v>81692710.760000005</v>
      </c>
      <c r="N323" s="257"/>
      <c r="O323" s="257">
        <v>1814456.24</v>
      </c>
      <c r="P323" s="257">
        <v>1814456.24</v>
      </c>
    </row>
    <row r="324" spans="1:16" hidden="1" x14ac:dyDescent="0.25">
      <c r="A324" s="143" t="s">
        <v>707</v>
      </c>
      <c r="B324" s="143" t="s">
        <v>318</v>
      </c>
      <c r="C324" s="143" t="s">
        <v>319</v>
      </c>
      <c r="D324" s="143" t="s">
        <v>69</v>
      </c>
      <c r="E324" s="257">
        <v>88546837</v>
      </c>
      <c r="F324" s="257">
        <v>124611598</v>
      </c>
      <c r="G324" s="257">
        <v>124611598</v>
      </c>
      <c r="H324" s="257">
        <v>0</v>
      </c>
      <c r="I324" s="257">
        <v>17759667.600000001</v>
      </c>
      <c r="J324" s="257">
        <v>0</v>
      </c>
      <c r="K324" s="257">
        <v>106729563.36</v>
      </c>
      <c r="L324" s="257"/>
      <c r="M324" s="257">
        <v>106729563.36</v>
      </c>
      <c r="N324" s="257"/>
      <c r="O324" s="257">
        <v>122367.03999999999</v>
      </c>
      <c r="P324" s="257">
        <v>122367.03999999999</v>
      </c>
    </row>
    <row r="325" spans="1:16" hidden="1" x14ac:dyDescent="0.25">
      <c r="A325" s="143" t="s">
        <v>707</v>
      </c>
      <c r="B325" s="143" t="s">
        <v>202</v>
      </c>
      <c r="C325" s="143" t="s">
        <v>203</v>
      </c>
      <c r="D325" s="143" t="s">
        <v>69</v>
      </c>
      <c r="E325" s="257">
        <v>110456300</v>
      </c>
      <c r="F325" s="257">
        <v>105456300</v>
      </c>
      <c r="G325" s="257">
        <v>105456300</v>
      </c>
      <c r="H325" s="257">
        <v>0</v>
      </c>
      <c r="I325" s="257">
        <v>30500583.059999999</v>
      </c>
      <c r="J325" s="257">
        <v>1337050</v>
      </c>
      <c r="K325" s="257">
        <v>68600307.859999999</v>
      </c>
      <c r="L325" s="257"/>
      <c r="M325" s="257">
        <v>66375156.130000003</v>
      </c>
      <c r="N325" s="257"/>
      <c r="O325" s="257">
        <v>5018359.08</v>
      </c>
      <c r="P325" s="257">
        <v>5018359.08</v>
      </c>
    </row>
    <row r="326" spans="1:16" hidden="1" x14ac:dyDescent="0.25">
      <c r="A326" s="143" t="s">
        <v>707</v>
      </c>
      <c r="B326" s="143" t="s">
        <v>320</v>
      </c>
      <c r="C326" s="143" t="s">
        <v>321</v>
      </c>
      <c r="D326" s="143" t="s">
        <v>69</v>
      </c>
      <c r="E326" s="257">
        <v>2261183</v>
      </c>
      <c r="F326" s="257">
        <v>1091036</v>
      </c>
      <c r="G326" s="257">
        <v>1091036</v>
      </c>
      <c r="H326" s="257">
        <v>0</v>
      </c>
      <c r="I326" s="257">
        <v>0</v>
      </c>
      <c r="J326" s="257">
        <v>0</v>
      </c>
      <c r="K326" s="257">
        <v>1016898.3</v>
      </c>
      <c r="L326" s="257"/>
      <c r="M326" s="257">
        <v>1016898.3</v>
      </c>
      <c r="N326" s="257"/>
      <c r="O326" s="257">
        <v>74137.7</v>
      </c>
      <c r="P326" s="257">
        <v>74137.7</v>
      </c>
    </row>
    <row r="327" spans="1:16" hidden="1" x14ac:dyDescent="0.25">
      <c r="A327" s="143" t="s">
        <v>707</v>
      </c>
      <c r="B327" s="143" t="s">
        <v>204</v>
      </c>
      <c r="C327" s="143" t="s">
        <v>205</v>
      </c>
      <c r="D327" s="143" t="s">
        <v>69</v>
      </c>
      <c r="E327" s="257">
        <v>51120350</v>
      </c>
      <c r="F327" s="257">
        <v>39184922</v>
      </c>
      <c r="G327" s="257">
        <v>39184922</v>
      </c>
      <c r="H327" s="257">
        <v>0</v>
      </c>
      <c r="I327" s="257">
        <v>0</v>
      </c>
      <c r="J327" s="257">
        <v>0</v>
      </c>
      <c r="K327" s="257">
        <v>36666199.130000003</v>
      </c>
      <c r="L327" s="257"/>
      <c r="M327" s="257">
        <v>36666199.130000003</v>
      </c>
      <c r="N327" s="257"/>
      <c r="O327" s="257">
        <v>2518722.87</v>
      </c>
      <c r="P327" s="257">
        <v>2518722.87</v>
      </c>
    </row>
    <row r="328" spans="1:16" hidden="1" x14ac:dyDescent="0.25">
      <c r="A328" s="143" t="s">
        <v>707</v>
      </c>
      <c r="B328" s="143" t="s">
        <v>322</v>
      </c>
      <c r="C328" s="143" t="s">
        <v>323</v>
      </c>
      <c r="D328" s="143" t="s">
        <v>69</v>
      </c>
      <c r="E328" s="257">
        <v>23078800</v>
      </c>
      <c r="F328" s="257">
        <v>22865947</v>
      </c>
      <c r="G328" s="257">
        <v>22865947</v>
      </c>
      <c r="H328" s="257">
        <v>0</v>
      </c>
      <c r="I328" s="257">
        <v>0</v>
      </c>
      <c r="J328" s="257">
        <v>0</v>
      </c>
      <c r="K328" s="257">
        <v>22252768.030000001</v>
      </c>
      <c r="L328" s="257"/>
      <c r="M328" s="257">
        <v>18748999.629999999</v>
      </c>
      <c r="N328" s="257"/>
      <c r="O328" s="257">
        <v>613178.97</v>
      </c>
      <c r="P328" s="257">
        <v>613178.97</v>
      </c>
    </row>
    <row r="329" spans="1:16" hidden="1" x14ac:dyDescent="0.25">
      <c r="A329" s="143" t="s">
        <v>707</v>
      </c>
      <c r="B329" s="143" t="s">
        <v>206</v>
      </c>
      <c r="C329" s="143" t="s">
        <v>207</v>
      </c>
      <c r="D329" s="143" t="s">
        <v>69</v>
      </c>
      <c r="E329" s="257">
        <v>144803139</v>
      </c>
      <c r="F329" s="257">
        <v>147229775</v>
      </c>
      <c r="G329" s="257">
        <v>147229775</v>
      </c>
      <c r="H329" s="257">
        <v>14650100.5</v>
      </c>
      <c r="I329" s="257">
        <v>22681384.190000001</v>
      </c>
      <c r="J329" s="257">
        <v>0</v>
      </c>
      <c r="K329" s="257">
        <v>97763379.590000004</v>
      </c>
      <c r="L329" s="257"/>
      <c r="M329" s="257">
        <v>97763379.590000004</v>
      </c>
      <c r="N329" s="257"/>
      <c r="O329" s="257">
        <v>12134910.720000001</v>
      </c>
      <c r="P329" s="257">
        <v>12134910.720000001</v>
      </c>
    </row>
    <row r="330" spans="1:16" hidden="1" x14ac:dyDescent="0.25">
      <c r="A330" s="143" t="s">
        <v>707</v>
      </c>
      <c r="B330" s="143" t="s">
        <v>208</v>
      </c>
      <c r="C330" s="143" t="s">
        <v>209</v>
      </c>
      <c r="D330" s="143" t="s">
        <v>69</v>
      </c>
      <c r="E330" s="257">
        <v>17162500</v>
      </c>
      <c r="F330" s="257">
        <v>22413980</v>
      </c>
      <c r="G330" s="257">
        <v>22413980</v>
      </c>
      <c r="H330" s="257">
        <v>0</v>
      </c>
      <c r="I330" s="257">
        <v>0</v>
      </c>
      <c r="J330" s="257">
        <v>0</v>
      </c>
      <c r="K330" s="257">
        <v>16190004.48</v>
      </c>
      <c r="L330" s="257"/>
      <c r="M330" s="257">
        <v>16190004.48</v>
      </c>
      <c r="N330" s="257"/>
      <c r="O330" s="257">
        <v>6223975.5199999996</v>
      </c>
      <c r="P330" s="257">
        <v>6223975.5199999996</v>
      </c>
    </row>
    <row r="331" spans="1:16" hidden="1" x14ac:dyDescent="0.25">
      <c r="A331" s="143" t="s">
        <v>707</v>
      </c>
      <c r="B331" s="143" t="s">
        <v>210</v>
      </c>
      <c r="C331" s="143" t="s">
        <v>211</v>
      </c>
      <c r="D331" s="143" t="s">
        <v>69</v>
      </c>
      <c r="E331" s="257">
        <v>127640639</v>
      </c>
      <c r="F331" s="257">
        <v>124815795</v>
      </c>
      <c r="G331" s="257">
        <v>124815795</v>
      </c>
      <c r="H331" s="257">
        <v>14650100.5</v>
      </c>
      <c r="I331" s="257">
        <v>22681384.190000001</v>
      </c>
      <c r="J331" s="257">
        <v>0</v>
      </c>
      <c r="K331" s="257">
        <v>81573375.109999999</v>
      </c>
      <c r="L331" s="257"/>
      <c r="M331" s="257">
        <v>81573375.109999999</v>
      </c>
      <c r="N331" s="257"/>
      <c r="O331" s="257">
        <v>5910935.2000000002</v>
      </c>
      <c r="P331" s="257">
        <v>5910935.2000000002</v>
      </c>
    </row>
    <row r="332" spans="1:16" hidden="1" x14ac:dyDescent="0.25">
      <c r="A332" s="143" t="s">
        <v>707</v>
      </c>
      <c r="B332" s="143" t="s">
        <v>212</v>
      </c>
      <c r="C332" s="143" t="s">
        <v>213</v>
      </c>
      <c r="D332" s="143" t="s">
        <v>69</v>
      </c>
      <c r="E332" s="257">
        <v>3269894716</v>
      </c>
      <c r="F332" s="257">
        <v>2896270670</v>
      </c>
      <c r="G332" s="257">
        <v>2896270670</v>
      </c>
      <c r="H332" s="257">
        <v>4523731.87</v>
      </c>
      <c r="I332" s="257">
        <v>600450851.36000001</v>
      </c>
      <c r="J332" s="257">
        <v>72530797.709999993</v>
      </c>
      <c r="K332" s="257">
        <v>2051634057.6800001</v>
      </c>
      <c r="L332" s="257"/>
      <c r="M332" s="257">
        <v>1940120587.9200001</v>
      </c>
      <c r="N332" s="257"/>
      <c r="O332" s="257">
        <v>167131231.38</v>
      </c>
      <c r="P332" s="257">
        <v>167131231.38</v>
      </c>
    </row>
    <row r="333" spans="1:16" hidden="1" x14ac:dyDescent="0.25">
      <c r="A333" s="143" t="s">
        <v>707</v>
      </c>
      <c r="B333" s="143" t="s">
        <v>214</v>
      </c>
      <c r="C333" s="143" t="s">
        <v>215</v>
      </c>
      <c r="D333" s="143" t="s">
        <v>69</v>
      </c>
      <c r="E333" s="257">
        <v>34070136</v>
      </c>
      <c r="F333" s="257">
        <v>14603063</v>
      </c>
      <c r="G333" s="257">
        <v>14603063</v>
      </c>
      <c r="H333" s="257">
        <v>0</v>
      </c>
      <c r="I333" s="257">
        <v>1843295.36</v>
      </c>
      <c r="J333" s="257">
        <v>0</v>
      </c>
      <c r="K333" s="257">
        <v>12694379.25</v>
      </c>
      <c r="L333" s="257"/>
      <c r="M333" s="257">
        <v>12694379.25</v>
      </c>
      <c r="N333" s="257"/>
      <c r="O333" s="257">
        <v>65388.39</v>
      </c>
      <c r="P333" s="257">
        <v>65388.39</v>
      </c>
    </row>
    <row r="334" spans="1:16" hidden="1" x14ac:dyDescent="0.25">
      <c r="A334" s="143" t="s">
        <v>707</v>
      </c>
      <c r="B334" s="143" t="s">
        <v>216</v>
      </c>
      <c r="C334" s="143" t="s">
        <v>217</v>
      </c>
      <c r="D334" s="143" t="s">
        <v>69</v>
      </c>
      <c r="E334" s="257">
        <v>26479307</v>
      </c>
      <c r="F334" s="257">
        <v>26479307</v>
      </c>
      <c r="G334" s="257">
        <v>26479307</v>
      </c>
      <c r="H334" s="257">
        <v>0</v>
      </c>
      <c r="I334" s="257">
        <v>971820.91</v>
      </c>
      <c r="J334" s="257">
        <v>446807.51</v>
      </c>
      <c r="K334" s="257">
        <v>18034593.219999999</v>
      </c>
      <c r="L334" s="257"/>
      <c r="M334" s="257">
        <v>17824213.219999999</v>
      </c>
      <c r="N334" s="257"/>
      <c r="O334" s="257">
        <v>7026085.3600000003</v>
      </c>
      <c r="P334" s="257">
        <v>7026085.3600000003</v>
      </c>
    </row>
    <row r="335" spans="1:16" hidden="1" x14ac:dyDescent="0.25">
      <c r="A335" s="143" t="s">
        <v>707</v>
      </c>
      <c r="B335" s="143" t="s">
        <v>218</v>
      </c>
      <c r="C335" s="143" t="s">
        <v>219</v>
      </c>
      <c r="D335" s="143" t="s">
        <v>69</v>
      </c>
      <c r="E335" s="257">
        <v>140601000</v>
      </c>
      <c r="F335" s="257">
        <v>81947267</v>
      </c>
      <c r="G335" s="257">
        <v>81947267</v>
      </c>
      <c r="H335" s="257">
        <v>0</v>
      </c>
      <c r="I335" s="257">
        <v>9298152</v>
      </c>
      <c r="J335" s="257">
        <v>0</v>
      </c>
      <c r="K335" s="257">
        <v>58483260.600000001</v>
      </c>
      <c r="L335" s="257"/>
      <c r="M335" s="257">
        <v>58483260.600000001</v>
      </c>
      <c r="N335" s="257"/>
      <c r="O335" s="257">
        <v>14165854.4</v>
      </c>
      <c r="P335" s="257">
        <v>14165854.4</v>
      </c>
    </row>
    <row r="336" spans="1:16" hidden="1" x14ac:dyDescent="0.25">
      <c r="A336" s="143" t="s">
        <v>707</v>
      </c>
      <c r="B336" s="143" t="s">
        <v>220</v>
      </c>
      <c r="C336" s="143" t="s">
        <v>221</v>
      </c>
      <c r="D336" s="143" t="s">
        <v>69</v>
      </c>
      <c r="E336" s="257">
        <v>1260371675</v>
      </c>
      <c r="F336" s="257">
        <v>1238685978</v>
      </c>
      <c r="G336" s="257">
        <v>1238685978</v>
      </c>
      <c r="H336" s="257">
        <v>0</v>
      </c>
      <c r="I336" s="257">
        <v>505020947.36000001</v>
      </c>
      <c r="J336" s="257">
        <v>68866946</v>
      </c>
      <c r="K336" s="257">
        <v>606869963.87</v>
      </c>
      <c r="L336" s="257"/>
      <c r="M336" s="257">
        <v>605711663.87</v>
      </c>
      <c r="N336" s="257"/>
      <c r="O336" s="257">
        <v>57928120.770000003</v>
      </c>
      <c r="P336" s="257">
        <v>57928120.770000003</v>
      </c>
    </row>
    <row r="337" spans="1:16" hidden="1" x14ac:dyDescent="0.25">
      <c r="A337" s="143" t="s">
        <v>707</v>
      </c>
      <c r="B337" s="143" t="s">
        <v>222</v>
      </c>
      <c r="C337" s="143" t="s">
        <v>223</v>
      </c>
      <c r="D337" s="143" t="s">
        <v>69</v>
      </c>
      <c r="E337" s="257">
        <v>291010979</v>
      </c>
      <c r="F337" s="257">
        <v>357741122</v>
      </c>
      <c r="G337" s="257">
        <v>357741122</v>
      </c>
      <c r="H337" s="257">
        <v>0</v>
      </c>
      <c r="I337" s="257">
        <v>23510382.68</v>
      </c>
      <c r="J337" s="257">
        <v>3217044.2</v>
      </c>
      <c r="K337" s="257">
        <v>286895841.80000001</v>
      </c>
      <c r="L337" s="257"/>
      <c r="M337" s="257">
        <v>268462626.57999998</v>
      </c>
      <c r="N337" s="257"/>
      <c r="O337" s="257">
        <v>44117853.32</v>
      </c>
      <c r="P337" s="257">
        <v>44117853.32</v>
      </c>
    </row>
    <row r="338" spans="1:16" hidden="1" x14ac:dyDescent="0.25">
      <c r="A338" s="143" t="s">
        <v>707</v>
      </c>
      <c r="B338" s="143" t="s">
        <v>224</v>
      </c>
      <c r="C338" s="143" t="s">
        <v>225</v>
      </c>
      <c r="D338" s="143" t="s">
        <v>69</v>
      </c>
      <c r="E338" s="257">
        <v>1243089320</v>
      </c>
      <c r="F338" s="257">
        <v>887095368</v>
      </c>
      <c r="G338" s="257">
        <v>887095368</v>
      </c>
      <c r="H338" s="257">
        <v>4523731.87</v>
      </c>
      <c r="I338" s="257">
        <v>24511323.219999999</v>
      </c>
      <c r="J338" s="257">
        <v>0</v>
      </c>
      <c r="K338" s="257">
        <v>830888981.33000004</v>
      </c>
      <c r="L338" s="257"/>
      <c r="M338" s="257">
        <v>771279221.33000004</v>
      </c>
      <c r="N338" s="257"/>
      <c r="O338" s="257">
        <v>27171331.579999998</v>
      </c>
      <c r="P338" s="257">
        <v>27171331.579999998</v>
      </c>
    </row>
    <row r="339" spans="1:16" hidden="1" x14ac:dyDescent="0.25">
      <c r="A339" s="143" t="s">
        <v>707</v>
      </c>
      <c r="B339" s="143" t="s">
        <v>226</v>
      </c>
      <c r="C339" s="143" t="s">
        <v>227</v>
      </c>
      <c r="D339" s="143" t="s">
        <v>69</v>
      </c>
      <c r="E339" s="257">
        <v>90632447</v>
      </c>
      <c r="F339" s="257">
        <v>106078713</v>
      </c>
      <c r="G339" s="257">
        <v>106078713</v>
      </c>
      <c r="H339" s="257">
        <v>0</v>
      </c>
      <c r="I339" s="257">
        <v>10011.66</v>
      </c>
      <c r="J339" s="257">
        <v>0</v>
      </c>
      <c r="K339" s="257">
        <v>90099658.560000002</v>
      </c>
      <c r="L339" s="257"/>
      <c r="M339" s="257">
        <v>86313998.739999995</v>
      </c>
      <c r="N339" s="257"/>
      <c r="O339" s="257">
        <v>15969042.779999999</v>
      </c>
      <c r="P339" s="257">
        <v>15969042.779999999</v>
      </c>
    </row>
    <row r="340" spans="1:16" hidden="1" x14ac:dyDescent="0.25">
      <c r="A340" s="143" t="s">
        <v>707</v>
      </c>
      <c r="B340" s="143" t="s">
        <v>228</v>
      </c>
      <c r="C340" s="143" t="s">
        <v>229</v>
      </c>
      <c r="D340" s="143" t="s">
        <v>69</v>
      </c>
      <c r="E340" s="257">
        <v>183639852</v>
      </c>
      <c r="F340" s="257">
        <v>183639852</v>
      </c>
      <c r="G340" s="257">
        <v>183639852</v>
      </c>
      <c r="H340" s="257">
        <v>0</v>
      </c>
      <c r="I340" s="257">
        <v>35284918.170000002</v>
      </c>
      <c r="J340" s="257">
        <v>0</v>
      </c>
      <c r="K340" s="257">
        <v>147667379.05000001</v>
      </c>
      <c r="L340" s="257"/>
      <c r="M340" s="257">
        <v>119351224.33</v>
      </c>
      <c r="N340" s="257"/>
      <c r="O340" s="257">
        <v>687554.78</v>
      </c>
      <c r="P340" s="257">
        <v>687554.78</v>
      </c>
    </row>
    <row r="341" spans="1:16" hidden="1" x14ac:dyDescent="0.25">
      <c r="A341" s="143" t="s">
        <v>707</v>
      </c>
      <c r="B341" s="143" t="s">
        <v>248</v>
      </c>
      <c r="C341" s="143" t="s">
        <v>249</v>
      </c>
      <c r="D341" s="143" t="s">
        <v>69</v>
      </c>
      <c r="E341" s="257">
        <v>13160774264</v>
      </c>
      <c r="F341" s="257">
        <v>13151348647</v>
      </c>
      <c r="G341" s="257">
        <v>13151348647</v>
      </c>
      <c r="H341" s="257">
        <v>0</v>
      </c>
      <c r="I341" s="257">
        <v>1628618260.72</v>
      </c>
      <c r="J341" s="257">
        <v>0</v>
      </c>
      <c r="K341" s="257">
        <v>11238181104.26</v>
      </c>
      <c r="L341" s="257"/>
      <c r="M341" s="257">
        <v>11128688727.059999</v>
      </c>
      <c r="N341" s="257"/>
      <c r="O341" s="257">
        <v>284549282.01999998</v>
      </c>
      <c r="P341" s="257">
        <v>284549282.01999998</v>
      </c>
    </row>
    <row r="342" spans="1:16" hidden="1" x14ac:dyDescent="0.25">
      <c r="A342" s="143" t="s">
        <v>707</v>
      </c>
      <c r="B342" s="143" t="s">
        <v>250</v>
      </c>
      <c r="C342" s="143" t="s">
        <v>251</v>
      </c>
      <c r="D342" s="143" t="s">
        <v>69</v>
      </c>
      <c r="E342" s="257">
        <v>11073271142</v>
      </c>
      <c r="F342" s="257">
        <v>11063845525</v>
      </c>
      <c r="G342" s="257">
        <v>11063845525</v>
      </c>
      <c r="H342" s="257">
        <v>0</v>
      </c>
      <c r="I342" s="257">
        <v>1267655872.6900001</v>
      </c>
      <c r="J342" s="257">
        <v>0</v>
      </c>
      <c r="K342" s="257">
        <v>9790599270.3099995</v>
      </c>
      <c r="L342" s="257"/>
      <c r="M342" s="257">
        <v>9790599270.3099995</v>
      </c>
      <c r="N342" s="257"/>
      <c r="O342" s="257">
        <v>5590382</v>
      </c>
      <c r="P342" s="257">
        <v>5590382</v>
      </c>
    </row>
    <row r="343" spans="1:16" hidden="1" x14ac:dyDescent="0.25">
      <c r="A343" s="143" t="s">
        <v>707</v>
      </c>
      <c r="B343" s="143" t="s">
        <v>621</v>
      </c>
      <c r="C343" s="143" t="s">
        <v>708</v>
      </c>
      <c r="D343" s="143" t="s">
        <v>69</v>
      </c>
      <c r="E343" s="257">
        <v>44000000</v>
      </c>
      <c r="F343" s="257">
        <v>44000000</v>
      </c>
      <c r="G343" s="257">
        <v>44000000</v>
      </c>
      <c r="H343" s="257">
        <v>0</v>
      </c>
      <c r="I343" s="257">
        <v>19000000</v>
      </c>
      <c r="J343" s="257">
        <v>0</v>
      </c>
      <c r="K343" s="257">
        <v>25000000</v>
      </c>
      <c r="L343" s="257"/>
      <c r="M343" s="257">
        <v>25000000</v>
      </c>
      <c r="N343" s="257"/>
      <c r="O343" s="257">
        <v>0</v>
      </c>
      <c r="P343" s="257">
        <v>0</v>
      </c>
    </row>
    <row r="344" spans="1:16" hidden="1" x14ac:dyDescent="0.25">
      <c r="A344" s="143" t="s">
        <v>707</v>
      </c>
      <c r="B344" s="143" t="s">
        <v>629</v>
      </c>
      <c r="C344" s="143" t="s">
        <v>702</v>
      </c>
      <c r="D344" s="143" t="s">
        <v>69</v>
      </c>
      <c r="E344" s="257">
        <v>540115935</v>
      </c>
      <c r="F344" s="257">
        <v>532109838</v>
      </c>
      <c r="G344" s="257">
        <v>532109838</v>
      </c>
      <c r="H344" s="257">
        <v>0</v>
      </c>
      <c r="I344" s="257">
        <v>56494810</v>
      </c>
      <c r="J344" s="257">
        <v>0</v>
      </c>
      <c r="K344" s="257">
        <v>470866571</v>
      </c>
      <c r="L344" s="257"/>
      <c r="M344" s="257">
        <v>470866571</v>
      </c>
      <c r="N344" s="257"/>
      <c r="O344" s="257">
        <v>4748457</v>
      </c>
      <c r="P344" s="257">
        <v>4748457</v>
      </c>
    </row>
    <row r="345" spans="1:16" hidden="1" x14ac:dyDescent="0.25">
      <c r="A345" s="143" t="s">
        <v>707</v>
      </c>
      <c r="B345" s="143" t="s">
        <v>644</v>
      </c>
      <c r="C345" s="143" t="s">
        <v>703</v>
      </c>
      <c r="D345" s="143" t="s">
        <v>69</v>
      </c>
      <c r="E345" s="257">
        <v>95765207</v>
      </c>
      <c r="F345" s="257">
        <v>94345687</v>
      </c>
      <c r="G345" s="257">
        <v>94345687</v>
      </c>
      <c r="H345" s="257">
        <v>0</v>
      </c>
      <c r="I345" s="257">
        <v>8007476</v>
      </c>
      <c r="J345" s="257">
        <v>0</v>
      </c>
      <c r="K345" s="257">
        <v>85496286</v>
      </c>
      <c r="L345" s="257"/>
      <c r="M345" s="257">
        <v>85496286</v>
      </c>
      <c r="N345" s="257"/>
      <c r="O345" s="257">
        <v>841925</v>
      </c>
      <c r="P345" s="257">
        <v>841925</v>
      </c>
    </row>
    <row r="346" spans="1:16" hidden="1" x14ac:dyDescent="0.25">
      <c r="A346" s="143" t="s">
        <v>707</v>
      </c>
      <c r="B346" s="143" t="s">
        <v>655</v>
      </c>
      <c r="C346" s="143" t="s">
        <v>709</v>
      </c>
      <c r="D346" s="143" t="s">
        <v>69</v>
      </c>
      <c r="E346" s="257">
        <v>10393390000</v>
      </c>
      <c r="F346" s="257">
        <v>10393390000</v>
      </c>
      <c r="G346" s="257">
        <v>10393390000</v>
      </c>
      <c r="H346" s="257">
        <v>0</v>
      </c>
      <c r="I346" s="257">
        <v>1184153586.6900001</v>
      </c>
      <c r="J346" s="257">
        <v>0</v>
      </c>
      <c r="K346" s="257">
        <v>9209236413.3099995</v>
      </c>
      <c r="L346" s="257"/>
      <c r="M346" s="257">
        <v>9209236413.3099995</v>
      </c>
      <c r="N346" s="257"/>
      <c r="O346" s="257">
        <v>0</v>
      </c>
      <c r="P346" s="257">
        <v>0</v>
      </c>
    </row>
    <row r="347" spans="1:16" hidden="1" x14ac:dyDescent="0.25">
      <c r="A347" s="143" t="s">
        <v>707</v>
      </c>
      <c r="B347" s="143" t="s">
        <v>366</v>
      </c>
      <c r="C347" s="143" t="s">
        <v>367</v>
      </c>
      <c r="D347" s="143" t="s">
        <v>69</v>
      </c>
      <c r="E347" s="257">
        <v>666000000</v>
      </c>
      <c r="F347" s="257">
        <v>666000000</v>
      </c>
      <c r="G347" s="257">
        <v>666000000</v>
      </c>
      <c r="H347" s="257">
        <v>0</v>
      </c>
      <c r="I347" s="257">
        <v>49950000</v>
      </c>
      <c r="J347" s="257">
        <v>0</v>
      </c>
      <c r="K347" s="257">
        <v>599400000</v>
      </c>
      <c r="L347" s="257"/>
      <c r="M347" s="257">
        <v>549450000</v>
      </c>
      <c r="N347" s="257"/>
      <c r="O347" s="257">
        <v>16650000</v>
      </c>
      <c r="P347" s="257">
        <v>16650000</v>
      </c>
    </row>
    <row r="348" spans="1:16" hidden="1" x14ac:dyDescent="0.25">
      <c r="A348" s="143" t="s">
        <v>707</v>
      </c>
      <c r="B348" s="143" t="s">
        <v>368</v>
      </c>
      <c r="C348" s="143" t="s">
        <v>369</v>
      </c>
      <c r="D348" s="143" t="s">
        <v>69</v>
      </c>
      <c r="E348" s="257">
        <v>666000000</v>
      </c>
      <c r="F348" s="257">
        <v>666000000</v>
      </c>
      <c r="G348" s="257">
        <v>666000000</v>
      </c>
      <c r="H348" s="257">
        <v>0</v>
      </c>
      <c r="I348" s="257">
        <v>49950000</v>
      </c>
      <c r="J348" s="257">
        <v>0</v>
      </c>
      <c r="K348" s="257">
        <v>599400000</v>
      </c>
      <c r="L348" s="257"/>
      <c r="M348" s="257">
        <v>549450000</v>
      </c>
      <c r="N348" s="257"/>
      <c r="O348" s="257">
        <v>16650000</v>
      </c>
      <c r="P348" s="257">
        <v>16650000</v>
      </c>
    </row>
    <row r="349" spans="1:16" hidden="1" x14ac:dyDescent="0.25">
      <c r="A349" s="143" t="s">
        <v>707</v>
      </c>
      <c r="B349" s="143" t="s">
        <v>260</v>
      </c>
      <c r="C349" s="143" t="s">
        <v>261</v>
      </c>
      <c r="D349" s="143" t="s">
        <v>69</v>
      </c>
      <c r="E349" s="257">
        <v>1271503122</v>
      </c>
      <c r="F349" s="257">
        <v>1271503122</v>
      </c>
      <c r="G349" s="257">
        <v>1271503122</v>
      </c>
      <c r="H349" s="257">
        <v>0</v>
      </c>
      <c r="I349" s="257">
        <v>257185685.93000001</v>
      </c>
      <c r="J349" s="257">
        <v>0</v>
      </c>
      <c r="K349" s="257">
        <v>824251353.73000002</v>
      </c>
      <c r="L349" s="257"/>
      <c r="M349" s="257">
        <v>764708976.52999997</v>
      </c>
      <c r="N349" s="257"/>
      <c r="O349" s="257">
        <v>190066082.34</v>
      </c>
      <c r="P349" s="257">
        <v>190066082.34</v>
      </c>
    </row>
    <row r="350" spans="1:16" hidden="1" x14ac:dyDescent="0.25">
      <c r="A350" s="143" t="s">
        <v>707</v>
      </c>
      <c r="B350" s="143" t="s">
        <v>262</v>
      </c>
      <c r="C350" s="143" t="s">
        <v>263</v>
      </c>
      <c r="D350" s="143" t="s">
        <v>69</v>
      </c>
      <c r="E350" s="257">
        <v>1000003122</v>
      </c>
      <c r="F350" s="257">
        <v>1000003122</v>
      </c>
      <c r="G350" s="257">
        <v>1000003122</v>
      </c>
      <c r="H350" s="257">
        <v>0</v>
      </c>
      <c r="I350" s="257">
        <v>257185685.93000001</v>
      </c>
      <c r="J350" s="257">
        <v>0</v>
      </c>
      <c r="K350" s="257">
        <v>687817201.87</v>
      </c>
      <c r="L350" s="257"/>
      <c r="M350" s="257">
        <v>628274824.66999996</v>
      </c>
      <c r="N350" s="257"/>
      <c r="O350" s="257">
        <v>55000234.200000003</v>
      </c>
      <c r="P350" s="257">
        <v>55000234.200000003</v>
      </c>
    </row>
    <row r="351" spans="1:16" hidden="1" x14ac:dyDescent="0.25">
      <c r="A351" s="143" t="s">
        <v>707</v>
      </c>
      <c r="B351" s="143" t="s">
        <v>264</v>
      </c>
      <c r="C351" s="143" t="s">
        <v>265</v>
      </c>
      <c r="D351" s="143" t="s">
        <v>69</v>
      </c>
      <c r="E351" s="257">
        <v>271500000</v>
      </c>
      <c r="F351" s="257">
        <v>271500000</v>
      </c>
      <c r="G351" s="257">
        <v>271500000</v>
      </c>
      <c r="H351" s="257">
        <v>0</v>
      </c>
      <c r="I351" s="257">
        <v>0</v>
      </c>
      <c r="J351" s="257">
        <v>0</v>
      </c>
      <c r="K351" s="257">
        <v>136434151.86000001</v>
      </c>
      <c r="L351" s="257"/>
      <c r="M351" s="257">
        <v>136434151.86000001</v>
      </c>
      <c r="N351" s="257"/>
      <c r="O351" s="257">
        <v>135065848.13999999</v>
      </c>
      <c r="P351" s="257">
        <v>135065848.13999999</v>
      </c>
    </row>
    <row r="352" spans="1:16" hidden="1" x14ac:dyDescent="0.25">
      <c r="A352" s="143" t="s">
        <v>707</v>
      </c>
      <c r="B352" s="143" t="s">
        <v>286</v>
      </c>
      <c r="C352" s="143" t="s">
        <v>287</v>
      </c>
      <c r="D352" s="143" t="s">
        <v>69</v>
      </c>
      <c r="E352" s="257">
        <v>150000000</v>
      </c>
      <c r="F352" s="257">
        <v>150000000</v>
      </c>
      <c r="G352" s="257">
        <v>150000000</v>
      </c>
      <c r="H352" s="257">
        <v>0</v>
      </c>
      <c r="I352" s="257">
        <v>53826702.100000001</v>
      </c>
      <c r="J352" s="257">
        <v>0</v>
      </c>
      <c r="K352" s="257">
        <v>23930480.219999999</v>
      </c>
      <c r="L352" s="257"/>
      <c r="M352" s="257">
        <v>23930480.219999999</v>
      </c>
      <c r="N352" s="257"/>
      <c r="O352" s="257">
        <v>72242817.680000007</v>
      </c>
      <c r="P352" s="257">
        <v>72242817.680000007</v>
      </c>
    </row>
    <row r="353" spans="1:16" hidden="1" x14ac:dyDescent="0.25">
      <c r="A353" s="143" t="s">
        <v>707</v>
      </c>
      <c r="B353" s="143" t="s">
        <v>288</v>
      </c>
      <c r="C353" s="143" t="s">
        <v>289</v>
      </c>
      <c r="D353" s="143" t="s">
        <v>69</v>
      </c>
      <c r="E353" s="257">
        <v>100000000</v>
      </c>
      <c r="F353" s="257">
        <v>100000000</v>
      </c>
      <c r="G353" s="257">
        <v>100000000</v>
      </c>
      <c r="H353" s="257">
        <v>0</v>
      </c>
      <c r="I353" s="257">
        <v>46993336.640000001</v>
      </c>
      <c r="J353" s="257">
        <v>0</v>
      </c>
      <c r="K353" s="257">
        <v>3263845.68</v>
      </c>
      <c r="L353" s="257"/>
      <c r="M353" s="257">
        <v>3263845.68</v>
      </c>
      <c r="N353" s="257"/>
      <c r="O353" s="257">
        <v>49742817.68</v>
      </c>
      <c r="P353" s="257">
        <v>49742817.68</v>
      </c>
    </row>
    <row r="354" spans="1:16" hidden="1" x14ac:dyDescent="0.25">
      <c r="A354" s="143" t="s">
        <v>707</v>
      </c>
      <c r="B354" s="143" t="s">
        <v>370</v>
      </c>
      <c r="C354" s="143" t="s">
        <v>371</v>
      </c>
      <c r="D354" s="143" t="s">
        <v>69</v>
      </c>
      <c r="E354" s="257">
        <v>50000000</v>
      </c>
      <c r="F354" s="257">
        <v>50000000</v>
      </c>
      <c r="G354" s="257">
        <v>50000000</v>
      </c>
      <c r="H354" s="257">
        <v>0</v>
      </c>
      <c r="I354" s="257">
        <v>6833365.46</v>
      </c>
      <c r="J354" s="257">
        <v>0</v>
      </c>
      <c r="K354" s="257">
        <v>20666634.539999999</v>
      </c>
      <c r="L354" s="257"/>
      <c r="M354" s="257">
        <v>20666634.539999999</v>
      </c>
      <c r="N354" s="257"/>
      <c r="O354" s="257">
        <v>22500000</v>
      </c>
      <c r="P354" s="257">
        <v>22500000</v>
      </c>
    </row>
    <row r="355" spans="1:16" hidden="1" x14ac:dyDescent="0.25">
      <c r="A355" s="143" t="s">
        <v>707</v>
      </c>
      <c r="B355" s="143" t="s">
        <v>230</v>
      </c>
      <c r="C355" s="143" t="s">
        <v>231</v>
      </c>
      <c r="D355" s="143" t="s">
        <v>85</v>
      </c>
      <c r="E355" s="257">
        <v>2053989952</v>
      </c>
      <c r="F355" s="257">
        <v>2052989131</v>
      </c>
      <c r="G355" s="257">
        <v>2044225782</v>
      </c>
      <c r="H355" s="257">
        <v>90899469.329999998</v>
      </c>
      <c r="I355" s="257">
        <v>280171335.87</v>
      </c>
      <c r="J355" s="257">
        <v>94311490.989999995</v>
      </c>
      <c r="K355" s="257">
        <v>1023387616.99</v>
      </c>
      <c r="L355" s="257"/>
      <c r="M355" s="257">
        <v>968248192.99000001</v>
      </c>
      <c r="N355" s="257"/>
      <c r="O355" s="257">
        <v>564219217.82000005</v>
      </c>
      <c r="P355" s="257">
        <v>555455868.82000005</v>
      </c>
    </row>
    <row r="356" spans="1:16" hidden="1" x14ac:dyDescent="0.25">
      <c r="A356" s="143" t="s">
        <v>707</v>
      </c>
      <c r="B356" s="143" t="s">
        <v>232</v>
      </c>
      <c r="C356" s="143" t="s">
        <v>233</v>
      </c>
      <c r="D356" s="143" t="s">
        <v>85</v>
      </c>
      <c r="E356" s="257">
        <v>1511257014</v>
      </c>
      <c r="F356" s="257">
        <v>1463751731</v>
      </c>
      <c r="G356" s="257">
        <v>1455814520</v>
      </c>
      <c r="H356" s="257">
        <v>1134500</v>
      </c>
      <c r="I356" s="257">
        <v>75942232.25</v>
      </c>
      <c r="J356" s="257">
        <v>94311490.989999995</v>
      </c>
      <c r="K356" s="257">
        <v>1015607422.72</v>
      </c>
      <c r="L356" s="257"/>
      <c r="M356" s="257">
        <v>962227559.24000001</v>
      </c>
      <c r="N356" s="257"/>
      <c r="O356" s="257">
        <v>276756085.04000002</v>
      </c>
      <c r="P356" s="257">
        <v>268818874.04000002</v>
      </c>
    </row>
    <row r="357" spans="1:16" hidden="1" x14ac:dyDescent="0.25">
      <c r="A357" s="143" t="s">
        <v>707</v>
      </c>
      <c r="B357" s="143" t="s">
        <v>234</v>
      </c>
      <c r="C357" s="143" t="s">
        <v>235</v>
      </c>
      <c r="D357" s="143" t="s">
        <v>85</v>
      </c>
      <c r="E357" s="257">
        <v>46000000</v>
      </c>
      <c r="F357" s="257">
        <v>46000000</v>
      </c>
      <c r="G357" s="257">
        <v>38692638</v>
      </c>
      <c r="H357" s="257">
        <v>0</v>
      </c>
      <c r="I357" s="257">
        <v>0</v>
      </c>
      <c r="J357" s="257">
        <v>33892981.299999997</v>
      </c>
      <c r="K357" s="257">
        <v>3750136.65</v>
      </c>
      <c r="L357" s="257"/>
      <c r="M357" s="257">
        <v>3750136.65</v>
      </c>
      <c r="N357" s="257"/>
      <c r="O357" s="257">
        <v>8356882.0499999998</v>
      </c>
      <c r="P357" s="257">
        <v>1049520.05</v>
      </c>
    </row>
    <row r="358" spans="1:16" hidden="1" x14ac:dyDescent="0.25">
      <c r="A358" s="143" t="s">
        <v>707</v>
      </c>
      <c r="B358" s="143" t="s">
        <v>324</v>
      </c>
      <c r="C358" s="143" t="s">
        <v>325</v>
      </c>
      <c r="D358" s="143" t="s">
        <v>85</v>
      </c>
      <c r="E358" s="257">
        <v>0</v>
      </c>
      <c r="F358" s="257">
        <v>815400</v>
      </c>
      <c r="G358" s="257">
        <v>815400</v>
      </c>
      <c r="H358" s="257">
        <v>0</v>
      </c>
      <c r="I358" s="257">
        <v>815400</v>
      </c>
      <c r="J358" s="257">
        <v>0</v>
      </c>
      <c r="K358" s="257">
        <v>0</v>
      </c>
      <c r="L358" s="257"/>
      <c r="M358" s="257">
        <v>0</v>
      </c>
      <c r="N358" s="257"/>
      <c r="O358" s="257">
        <v>0</v>
      </c>
      <c r="P358" s="257">
        <v>0</v>
      </c>
    </row>
    <row r="359" spans="1:16" hidden="1" x14ac:dyDescent="0.25">
      <c r="A359" s="143" t="s">
        <v>707</v>
      </c>
      <c r="B359" s="143" t="s">
        <v>236</v>
      </c>
      <c r="C359" s="143" t="s">
        <v>237</v>
      </c>
      <c r="D359" s="143" t="s">
        <v>85</v>
      </c>
      <c r="E359" s="257">
        <v>302703422</v>
      </c>
      <c r="F359" s="257">
        <v>287003422</v>
      </c>
      <c r="G359" s="257">
        <v>286373573</v>
      </c>
      <c r="H359" s="257">
        <v>0</v>
      </c>
      <c r="I359" s="257">
        <v>0</v>
      </c>
      <c r="J359" s="257">
        <v>2597282.06</v>
      </c>
      <c r="K359" s="257">
        <v>258615757.62</v>
      </c>
      <c r="L359" s="257"/>
      <c r="M359" s="257">
        <v>258615757.62</v>
      </c>
      <c r="N359" s="257"/>
      <c r="O359" s="257">
        <v>25790382.32</v>
      </c>
      <c r="P359" s="257">
        <v>25160533.32</v>
      </c>
    </row>
    <row r="360" spans="1:16" hidden="1" x14ac:dyDescent="0.25">
      <c r="A360" s="143" t="s">
        <v>707</v>
      </c>
      <c r="B360" s="143" t="s">
        <v>238</v>
      </c>
      <c r="C360" s="143" t="s">
        <v>239</v>
      </c>
      <c r="D360" s="143" t="s">
        <v>85</v>
      </c>
      <c r="E360" s="257">
        <v>68995579</v>
      </c>
      <c r="F360" s="257">
        <v>122129459</v>
      </c>
      <c r="G360" s="257">
        <v>122129459</v>
      </c>
      <c r="H360" s="257">
        <v>734500</v>
      </c>
      <c r="I360" s="257">
        <v>2809632</v>
      </c>
      <c r="J360" s="257">
        <v>5161513.25</v>
      </c>
      <c r="K360" s="257">
        <v>101153968.97</v>
      </c>
      <c r="L360" s="257"/>
      <c r="M360" s="257">
        <v>101153968.97</v>
      </c>
      <c r="N360" s="257"/>
      <c r="O360" s="257">
        <v>12269844.779999999</v>
      </c>
      <c r="P360" s="257">
        <v>12269844.779999999</v>
      </c>
    </row>
    <row r="361" spans="1:16" hidden="1" x14ac:dyDescent="0.25">
      <c r="A361" s="143" t="s">
        <v>707</v>
      </c>
      <c r="B361" s="143" t="s">
        <v>282</v>
      </c>
      <c r="C361" s="143" t="s">
        <v>283</v>
      </c>
      <c r="D361" s="143" t="s">
        <v>85</v>
      </c>
      <c r="E361" s="257">
        <v>100000000</v>
      </c>
      <c r="F361" s="257">
        <v>100000000</v>
      </c>
      <c r="G361" s="257">
        <v>100000000</v>
      </c>
      <c r="H361" s="257">
        <v>400000</v>
      </c>
      <c r="I361" s="257">
        <v>0.01</v>
      </c>
      <c r="J361" s="257">
        <v>39796324.890000001</v>
      </c>
      <c r="K361" s="257">
        <v>57151159.82</v>
      </c>
      <c r="L361" s="257"/>
      <c r="M361" s="257">
        <v>57151159.82</v>
      </c>
      <c r="N361" s="257"/>
      <c r="O361" s="257">
        <v>2652515.2799999998</v>
      </c>
      <c r="P361" s="257">
        <v>2652515.2799999998</v>
      </c>
    </row>
    <row r="362" spans="1:16" hidden="1" x14ac:dyDescent="0.25">
      <c r="A362" s="143" t="s">
        <v>707</v>
      </c>
      <c r="B362" s="143" t="s">
        <v>326</v>
      </c>
      <c r="C362" s="143" t="s">
        <v>327</v>
      </c>
      <c r="D362" s="143" t="s">
        <v>85</v>
      </c>
      <c r="E362" s="257">
        <v>1200000</v>
      </c>
      <c r="F362" s="257">
        <v>1200000</v>
      </c>
      <c r="G362" s="257">
        <v>1200000</v>
      </c>
      <c r="H362" s="257">
        <v>0</v>
      </c>
      <c r="I362" s="257">
        <v>0</v>
      </c>
      <c r="J362" s="257">
        <v>0</v>
      </c>
      <c r="K362" s="257">
        <v>850206</v>
      </c>
      <c r="L362" s="257"/>
      <c r="M362" s="257">
        <v>850206</v>
      </c>
      <c r="N362" s="257"/>
      <c r="O362" s="257">
        <v>349794</v>
      </c>
      <c r="P362" s="257">
        <v>349794</v>
      </c>
    </row>
    <row r="363" spans="1:16" hidden="1" x14ac:dyDescent="0.25">
      <c r="A363" s="143" t="s">
        <v>707</v>
      </c>
      <c r="B363" s="143" t="s">
        <v>240</v>
      </c>
      <c r="C363" s="143" t="s">
        <v>241</v>
      </c>
      <c r="D363" s="143" t="s">
        <v>85</v>
      </c>
      <c r="E363" s="257">
        <v>2700000</v>
      </c>
      <c r="F363" s="257">
        <v>2700000</v>
      </c>
      <c r="G363" s="257">
        <v>2700000</v>
      </c>
      <c r="H363" s="257">
        <v>0</v>
      </c>
      <c r="I363" s="257">
        <v>0</v>
      </c>
      <c r="J363" s="257">
        <v>0</v>
      </c>
      <c r="K363" s="257">
        <v>2375279.48</v>
      </c>
      <c r="L363" s="257"/>
      <c r="M363" s="257">
        <v>0</v>
      </c>
      <c r="N363" s="257"/>
      <c r="O363" s="257">
        <v>324720.52</v>
      </c>
      <c r="P363" s="257">
        <v>324720.52</v>
      </c>
    </row>
    <row r="364" spans="1:16" hidden="1" x14ac:dyDescent="0.25">
      <c r="A364" s="143" t="s">
        <v>707</v>
      </c>
      <c r="B364" s="143" t="s">
        <v>242</v>
      </c>
      <c r="C364" s="143" t="s">
        <v>243</v>
      </c>
      <c r="D364" s="143" t="s">
        <v>85</v>
      </c>
      <c r="E364" s="257">
        <v>989658013</v>
      </c>
      <c r="F364" s="257">
        <v>903903450</v>
      </c>
      <c r="G364" s="257">
        <v>903903450</v>
      </c>
      <c r="H364" s="257">
        <v>0</v>
      </c>
      <c r="I364" s="257">
        <v>72317200.239999995</v>
      </c>
      <c r="J364" s="257">
        <v>12863389.49</v>
      </c>
      <c r="K364" s="257">
        <v>591710914.17999995</v>
      </c>
      <c r="L364" s="257"/>
      <c r="M364" s="257">
        <v>540706330.17999995</v>
      </c>
      <c r="N364" s="257"/>
      <c r="O364" s="257">
        <v>227011946.09</v>
      </c>
      <c r="P364" s="257">
        <v>227011946.09</v>
      </c>
    </row>
    <row r="365" spans="1:16" hidden="1" x14ac:dyDescent="0.25">
      <c r="A365" s="143" t="s">
        <v>707</v>
      </c>
      <c r="B365" s="143" t="s">
        <v>328</v>
      </c>
      <c r="C365" s="143" t="s">
        <v>329</v>
      </c>
      <c r="D365" s="143" t="s">
        <v>85</v>
      </c>
      <c r="E365" s="257">
        <v>94148000</v>
      </c>
      <c r="F365" s="257">
        <v>94148000</v>
      </c>
      <c r="G365" s="257">
        <v>93321862</v>
      </c>
      <c r="H365" s="257">
        <v>89764969.329999998</v>
      </c>
      <c r="I365" s="257">
        <v>0</v>
      </c>
      <c r="J365" s="257">
        <v>0</v>
      </c>
      <c r="K365" s="257">
        <v>3465098.52</v>
      </c>
      <c r="L365" s="257"/>
      <c r="M365" s="257">
        <v>3465098.52</v>
      </c>
      <c r="N365" s="257"/>
      <c r="O365" s="257">
        <v>917932.15</v>
      </c>
      <c r="P365" s="257">
        <v>91794.15</v>
      </c>
    </row>
    <row r="366" spans="1:16" hidden="1" x14ac:dyDescent="0.25">
      <c r="A366" s="143" t="s">
        <v>707</v>
      </c>
      <c r="B366" s="143" t="s">
        <v>330</v>
      </c>
      <c r="C366" s="143" t="s">
        <v>331</v>
      </c>
      <c r="D366" s="143" t="s">
        <v>85</v>
      </c>
      <c r="E366" s="257">
        <v>92800000</v>
      </c>
      <c r="F366" s="257">
        <v>92800000</v>
      </c>
      <c r="G366" s="257">
        <v>92800000</v>
      </c>
      <c r="H366" s="257">
        <v>89764969.329999998</v>
      </c>
      <c r="I366" s="257">
        <v>0</v>
      </c>
      <c r="J366" s="257">
        <v>0</v>
      </c>
      <c r="K366" s="257">
        <v>3035030.34</v>
      </c>
      <c r="L366" s="257"/>
      <c r="M366" s="257">
        <v>3035030.34</v>
      </c>
      <c r="N366" s="257"/>
      <c r="O366" s="257">
        <v>0.33</v>
      </c>
      <c r="P366" s="257">
        <v>0.33</v>
      </c>
    </row>
    <row r="367" spans="1:16" hidden="1" x14ac:dyDescent="0.25">
      <c r="A367" s="143" t="s">
        <v>707</v>
      </c>
      <c r="B367" s="143" t="s">
        <v>358</v>
      </c>
      <c r="C367" s="143" t="s">
        <v>359</v>
      </c>
      <c r="D367" s="143" t="s">
        <v>85</v>
      </c>
      <c r="E367" s="257">
        <v>1348000</v>
      </c>
      <c r="F367" s="257">
        <v>1348000</v>
      </c>
      <c r="G367" s="257">
        <v>521862</v>
      </c>
      <c r="H367" s="257">
        <v>0</v>
      </c>
      <c r="I367" s="257">
        <v>0</v>
      </c>
      <c r="J367" s="257">
        <v>0</v>
      </c>
      <c r="K367" s="257">
        <v>430068.18</v>
      </c>
      <c r="L367" s="257"/>
      <c r="M367" s="257">
        <v>430068.18</v>
      </c>
      <c r="N367" s="257"/>
      <c r="O367" s="257">
        <v>917931.82</v>
      </c>
      <c r="P367" s="257">
        <v>91793.82</v>
      </c>
    </row>
    <row r="368" spans="1:16" hidden="1" x14ac:dyDescent="0.25">
      <c r="A368" s="143" t="s">
        <v>707</v>
      </c>
      <c r="B368" s="143" t="s">
        <v>244</v>
      </c>
      <c r="C368" s="143" t="s">
        <v>245</v>
      </c>
      <c r="D368" s="143" t="s">
        <v>85</v>
      </c>
      <c r="E368" s="257">
        <v>448584938</v>
      </c>
      <c r="F368" s="257">
        <v>495089400</v>
      </c>
      <c r="G368" s="257">
        <v>495089400</v>
      </c>
      <c r="H368" s="257">
        <v>0</v>
      </c>
      <c r="I368" s="257">
        <v>204229103.62</v>
      </c>
      <c r="J368" s="257">
        <v>0</v>
      </c>
      <c r="K368" s="257">
        <v>4315095.75</v>
      </c>
      <c r="L368" s="257"/>
      <c r="M368" s="257">
        <v>2555535.23</v>
      </c>
      <c r="N368" s="257"/>
      <c r="O368" s="257">
        <v>286545200.63</v>
      </c>
      <c r="P368" s="257">
        <v>286545200.63</v>
      </c>
    </row>
    <row r="369" spans="1:16" hidden="1" x14ac:dyDescent="0.25">
      <c r="A369" s="143" t="s">
        <v>707</v>
      </c>
      <c r="B369" s="143" t="s">
        <v>246</v>
      </c>
      <c r="C369" s="143" t="s">
        <v>247</v>
      </c>
      <c r="D369" s="143" t="s">
        <v>85</v>
      </c>
      <c r="E369" s="257">
        <v>448584938</v>
      </c>
      <c r="F369" s="257">
        <v>495089400</v>
      </c>
      <c r="G369" s="257">
        <v>495089400</v>
      </c>
      <c r="H369" s="257">
        <v>0</v>
      </c>
      <c r="I369" s="257">
        <v>204229103.62</v>
      </c>
      <c r="J369" s="257">
        <v>0</v>
      </c>
      <c r="K369" s="257">
        <v>4315095.75</v>
      </c>
      <c r="L369" s="257"/>
      <c r="M369" s="257">
        <v>2555535.23</v>
      </c>
      <c r="N369" s="257"/>
      <c r="O369" s="257">
        <v>286545200.63</v>
      </c>
      <c r="P369" s="257">
        <v>286545200.63</v>
      </c>
    </row>
    <row r="370" spans="1:16" hidden="1" x14ac:dyDescent="0.25">
      <c r="A370" s="143" t="s">
        <v>707</v>
      </c>
      <c r="B370" s="143" t="s">
        <v>372</v>
      </c>
      <c r="C370" s="143" t="s">
        <v>373</v>
      </c>
      <c r="D370" s="143" t="s">
        <v>85</v>
      </c>
      <c r="E370" s="257">
        <v>581400000</v>
      </c>
      <c r="F370" s="257">
        <v>581400000</v>
      </c>
      <c r="G370" s="257">
        <v>581400000</v>
      </c>
      <c r="H370" s="257">
        <v>0</v>
      </c>
      <c r="I370" s="257">
        <v>463152406.95999998</v>
      </c>
      <c r="J370" s="257">
        <v>0</v>
      </c>
      <c r="K370" s="257">
        <v>118247593.04000001</v>
      </c>
      <c r="L370" s="257"/>
      <c r="M370" s="257">
        <v>118247593.04000001</v>
      </c>
      <c r="N370" s="257"/>
      <c r="O370" s="257">
        <v>0</v>
      </c>
      <c r="P370" s="257">
        <v>0</v>
      </c>
    </row>
    <row r="371" spans="1:16" hidden="1" x14ac:dyDescent="0.25">
      <c r="A371" s="143" t="s">
        <v>707</v>
      </c>
      <c r="B371" s="143" t="s">
        <v>374</v>
      </c>
      <c r="C371" s="143" t="s">
        <v>375</v>
      </c>
      <c r="D371" s="143" t="s">
        <v>85</v>
      </c>
      <c r="E371" s="257">
        <v>581400000</v>
      </c>
      <c r="F371" s="257">
        <v>581400000</v>
      </c>
      <c r="G371" s="257">
        <v>581400000</v>
      </c>
      <c r="H371" s="257">
        <v>0</v>
      </c>
      <c r="I371" s="257">
        <v>463152406.95999998</v>
      </c>
      <c r="J371" s="257">
        <v>0</v>
      </c>
      <c r="K371" s="257">
        <v>118247593.04000001</v>
      </c>
      <c r="L371" s="257"/>
      <c r="M371" s="257">
        <v>118247593.04000001</v>
      </c>
      <c r="N371" s="257"/>
      <c r="O371" s="257">
        <v>0</v>
      </c>
      <c r="P371" s="257">
        <v>0</v>
      </c>
    </row>
    <row r="372" spans="1:16" hidden="1" x14ac:dyDescent="0.25">
      <c r="A372" s="143" t="s">
        <v>707</v>
      </c>
      <c r="B372" s="143" t="s">
        <v>674</v>
      </c>
      <c r="C372" s="143" t="s">
        <v>710</v>
      </c>
      <c r="D372" s="143" t="s">
        <v>85</v>
      </c>
      <c r="E372" s="257">
        <v>581400000</v>
      </c>
      <c r="F372" s="257">
        <v>581400000</v>
      </c>
      <c r="G372" s="257">
        <v>581400000</v>
      </c>
      <c r="H372" s="257">
        <v>0</v>
      </c>
      <c r="I372" s="257">
        <v>463152406.95999998</v>
      </c>
      <c r="J372" s="257">
        <v>0</v>
      </c>
      <c r="K372" s="257">
        <v>118247593.04000001</v>
      </c>
      <c r="L372" s="257"/>
      <c r="M372" s="257">
        <v>118247593.04000001</v>
      </c>
      <c r="N372" s="257"/>
      <c r="O372" s="257">
        <v>0</v>
      </c>
      <c r="P372" s="257">
        <v>0</v>
      </c>
    </row>
    <row r="373" spans="1:16" x14ac:dyDescent="0.25">
      <c r="A373" s="44">
        <v>214789001</v>
      </c>
      <c r="C373" s="44"/>
      <c r="D373" s="44" t="s">
        <v>69</v>
      </c>
      <c r="E373" s="257">
        <v>27896892306</v>
      </c>
      <c r="F373" s="50">
        <v>27746347895</v>
      </c>
      <c r="G373" s="257">
        <v>27671927795</v>
      </c>
      <c r="H373" s="50">
        <v>41834287.380000003</v>
      </c>
      <c r="I373" s="50">
        <v>2844065298.7800002</v>
      </c>
      <c r="J373" s="50">
        <v>144748801.31</v>
      </c>
      <c r="K373" s="50">
        <v>20385220396.049999</v>
      </c>
      <c r="L373" s="152">
        <f>+K373/F373</f>
        <v>0.73469922864059145</v>
      </c>
      <c r="M373" s="50">
        <v>20259486085.540001</v>
      </c>
      <c r="N373" s="152">
        <f>+M373/F373</f>
        <v>0.73016766610898143</v>
      </c>
      <c r="O373" s="50">
        <v>4330479111.4799995</v>
      </c>
      <c r="P373" s="152">
        <f>+O373/F373</f>
        <v>0.15607384178515143</v>
      </c>
    </row>
    <row r="374" spans="1:16" hidden="1" x14ac:dyDescent="0.25">
      <c r="A374" s="143" t="s">
        <v>711</v>
      </c>
      <c r="B374" s="143" t="s">
        <v>71</v>
      </c>
      <c r="C374" s="143" t="s">
        <v>72</v>
      </c>
      <c r="D374" s="143" t="s">
        <v>69</v>
      </c>
      <c r="E374" s="257">
        <v>13888392480</v>
      </c>
      <c r="F374" s="257">
        <v>13534210603</v>
      </c>
      <c r="G374" s="257">
        <v>13510210603</v>
      </c>
      <c r="H374" s="257">
        <v>0</v>
      </c>
      <c r="I374" s="257">
        <v>1258470330.8099999</v>
      </c>
      <c r="J374" s="257">
        <v>0</v>
      </c>
      <c r="K374" s="257">
        <v>10591021595.530001</v>
      </c>
      <c r="L374" s="257"/>
      <c r="M374" s="257">
        <v>10591021595.530001</v>
      </c>
      <c r="N374" s="257"/>
      <c r="O374" s="257">
        <v>1684718676.6600001</v>
      </c>
      <c r="P374" s="257">
        <v>1660718676.6600001</v>
      </c>
    </row>
    <row r="375" spans="1:16" hidden="1" x14ac:dyDescent="0.25">
      <c r="A375" s="143" t="s">
        <v>711</v>
      </c>
      <c r="B375" s="143" t="s">
        <v>73</v>
      </c>
      <c r="C375" s="143" t="s">
        <v>74</v>
      </c>
      <c r="D375" s="143" t="s">
        <v>69</v>
      </c>
      <c r="E375" s="257">
        <v>5229936552</v>
      </c>
      <c r="F375" s="257">
        <v>5032025148</v>
      </c>
      <c r="G375" s="257">
        <v>5032025148</v>
      </c>
      <c r="H375" s="257">
        <v>0</v>
      </c>
      <c r="I375" s="257">
        <v>0</v>
      </c>
      <c r="J375" s="257">
        <v>0</v>
      </c>
      <c r="K375" s="257">
        <v>4338496799.3900003</v>
      </c>
      <c r="L375" s="257"/>
      <c r="M375" s="257">
        <v>4338496799.3900003</v>
      </c>
      <c r="N375" s="257"/>
      <c r="O375" s="257">
        <v>693528348.61000001</v>
      </c>
      <c r="P375" s="257">
        <v>693528348.61000001</v>
      </c>
    </row>
    <row r="376" spans="1:16" hidden="1" x14ac:dyDescent="0.25">
      <c r="A376" s="143" t="s">
        <v>711</v>
      </c>
      <c r="B376" s="143" t="s">
        <v>75</v>
      </c>
      <c r="C376" s="143" t="s">
        <v>76</v>
      </c>
      <c r="D376" s="143" t="s">
        <v>69</v>
      </c>
      <c r="E376" s="257">
        <v>5229936552</v>
      </c>
      <c r="F376" s="257">
        <v>5032025148</v>
      </c>
      <c r="G376" s="257">
        <v>5032025148</v>
      </c>
      <c r="H376" s="257">
        <v>0</v>
      </c>
      <c r="I376" s="257">
        <v>0</v>
      </c>
      <c r="J376" s="257">
        <v>0</v>
      </c>
      <c r="K376" s="257">
        <v>4338496799.3900003</v>
      </c>
      <c r="L376" s="257"/>
      <c r="M376" s="257">
        <v>4338496799.3900003</v>
      </c>
      <c r="N376" s="257"/>
      <c r="O376" s="257">
        <v>693528348.61000001</v>
      </c>
      <c r="P376" s="257">
        <v>693528348.61000001</v>
      </c>
    </row>
    <row r="377" spans="1:16" hidden="1" x14ac:dyDescent="0.25">
      <c r="A377" s="143" t="s">
        <v>711</v>
      </c>
      <c r="B377" s="143" t="s">
        <v>293</v>
      </c>
      <c r="C377" s="143" t="s">
        <v>294</v>
      </c>
      <c r="D377" s="143" t="s">
        <v>69</v>
      </c>
      <c r="E377" s="257">
        <v>26335200</v>
      </c>
      <c r="F377" s="257">
        <v>26335200</v>
      </c>
      <c r="G377" s="257">
        <v>26335200</v>
      </c>
      <c r="H377" s="257">
        <v>0</v>
      </c>
      <c r="I377" s="257">
        <v>0</v>
      </c>
      <c r="J377" s="257">
        <v>0</v>
      </c>
      <c r="K377" s="257">
        <v>4503398.17</v>
      </c>
      <c r="L377" s="257"/>
      <c r="M377" s="257">
        <v>4503398.17</v>
      </c>
      <c r="N377" s="257"/>
      <c r="O377" s="257">
        <v>21831801.829999998</v>
      </c>
      <c r="P377" s="257">
        <v>21831801.829999998</v>
      </c>
    </row>
    <row r="378" spans="1:16" hidden="1" x14ac:dyDescent="0.25">
      <c r="A378" s="143" t="s">
        <v>711</v>
      </c>
      <c r="B378" s="143" t="s">
        <v>339</v>
      </c>
      <c r="C378" s="143" t="s">
        <v>340</v>
      </c>
      <c r="D378" s="143" t="s">
        <v>69</v>
      </c>
      <c r="E378" s="257">
        <v>26335200</v>
      </c>
      <c r="F378" s="257">
        <v>26335200</v>
      </c>
      <c r="G378" s="257">
        <v>26335200</v>
      </c>
      <c r="H378" s="257">
        <v>0</v>
      </c>
      <c r="I378" s="257">
        <v>0</v>
      </c>
      <c r="J378" s="257">
        <v>0</v>
      </c>
      <c r="K378" s="257">
        <v>4503398.17</v>
      </c>
      <c r="L378" s="257"/>
      <c r="M378" s="257">
        <v>4503398.17</v>
      </c>
      <c r="N378" s="257"/>
      <c r="O378" s="257">
        <v>21831801.829999998</v>
      </c>
      <c r="P378" s="257">
        <v>21831801.829999998</v>
      </c>
    </row>
    <row r="379" spans="1:16" hidden="1" x14ac:dyDescent="0.25">
      <c r="A379" s="143" t="s">
        <v>711</v>
      </c>
      <c r="B379" s="143" t="s">
        <v>77</v>
      </c>
      <c r="C379" s="143" t="s">
        <v>78</v>
      </c>
      <c r="D379" s="143" t="s">
        <v>69</v>
      </c>
      <c r="E379" s="257">
        <v>6513497315</v>
      </c>
      <c r="F379" s="257">
        <v>6408205068</v>
      </c>
      <c r="G379" s="257">
        <v>6408205068</v>
      </c>
      <c r="H379" s="257">
        <v>0</v>
      </c>
      <c r="I379" s="257">
        <v>822850921.80999994</v>
      </c>
      <c r="J379" s="257">
        <v>0</v>
      </c>
      <c r="K379" s="257">
        <v>4655855723.9700003</v>
      </c>
      <c r="L379" s="257"/>
      <c r="M379" s="257">
        <v>4655855723.9700003</v>
      </c>
      <c r="N379" s="257"/>
      <c r="O379" s="257">
        <v>929498422.22000003</v>
      </c>
      <c r="P379" s="257">
        <v>929498422.22000003</v>
      </c>
    </row>
    <row r="380" spans="1:16" hidden="1" x14ac:dyDescent="0.25">
      <c r="A380" s="143" t="s">
        <v>711</v>
      </c>
      <c r="B380" s="143" t="s">
        <v>79</v>
      </c>
      <c r="C380" s="143" t="s">
        <v>80</v>
      </c>
      <c r="D380" s="143" t="s">
        <v>69</v>
      </c>
      <c r="E380" s="257">
        <v>1819317700</v>
      </c>
      <c r="F380" s="257">
        <v>1818117700</v>
      </c>
      <c r="G380" s="257">
        <v>1818117700</v>
      </c>
      <c r="H380" s="257">
        <v>0</v>
      </c>
      <c r="I380" s="257">
        <v>0</v>
      </c>
      <c r="J380" s="257">
        <v>0</v>
      </c>
      <c r="K380" s="257">
        <v>1387529666.4400001</v>
      </c>
      <c r="L380" s="257"/>
      <c r="M380" s="257">
        <v>1387529666.4400001</v>
      </c>
      <c r="N380" s="257"/>
      <c r="O380" s="257">
        <v>430588033.56</v>
      </c>
      <c r="P380" s="257">
        <v>430588033.56</v>
      </c>
    </row>
    <row r="381" spans="1:16" hidden="1" x14ac:dyDescent="0.25">
      <c r="A381" s="143" t="s">
        <v>711</v>
      </c>
      <c r="B381" s="143" t="s">
        <v>81</v>
      </c>
      <c r="C381" s="143" t="s">
        <v>82</v>
      </c>
      <c r="D381" s="143" t="s">
        <v>69</v>
      </c>
      <c r="E381" s="257">
        <v>1750176673</v>
      </c>
      <c r="F381" s="257">
        <v>1704597775</v>
      </c>
      <c r="G381" s="257">
        <v>1704597775</v>
      </c>
      <c r="H381" s="257">
        <v>0</v>
      </c>
      <c r="I381" s="257">
        <v>0</v>
      </c>
      <c r="J381" s="257">
        <v>0</v>
      </c>
      <c r="K381" s="257">
        <v>1432084426.46</v>
      </c>
      <c r="L381" s="257"/>
      <c r="M381" s="257">
        <v>1432084426.46</v>
      </c>
      <c r="N381" s="257"/>
      <c r="O381" s="257">
        <v>272513348.54000002</v>
      </c>
      <c r="P381" s="257">
        <v>272513348.54000002</v>
      </c>
    </row>
    <row r="382" spans="1:16" hidden="1" x14ac:dyDescent="0.25">
      <c r="A382" s="143" t="s">
        <v>711</v>
      </c>
      <c r="B382" s="143" t="s">
        <v>86</v>
      </c>
      <c r="C382" s="143" t="s">
        <v>87</v>
      </c>
      <c r="D382" s="143" t="s">
        <v>69</v>
      </c>
      <c r="E382" s="257">
        <v>831593600</v>
      </c>
      <c r="F382" s="257">
        <v>813593600</v>
      </c>
      <c r="G382" s="257">
        <v>813593600</v>
      </c>
      <c r="H382" s="257">
        <v>0</v>
      </c>
      <c r="I382" s="257">
        <v>85677.53</v>
      </c>
      <c r="J382" s="257">
        <v>0</v>
      </c>
      <c r="K382" s="257">
        <v>812278805.61000001</v>
      </c>
      <c r="L382" s="257"/>
      <c r="M382" s="257">
        <v>812278805.61000001</v>
      </c>
      <c r="N382" s="257"/>
      <c r="O382" s="257">
        <v>1229116.8600000001</v>
      </c>
      <c r="P382" s="257">
        <v>1229116.8600000001</v>
      </c>
    </row>
    <row r="383" spans="1:16" hidden="1" x14ac:dyDescent="0.25">
      <c r="A383" s="143" t="s">
        <v>711</v>
      </c>
      <c r="B383" s="143" t="s">
        <v>88</v>
      </c>
      <c r="C383" s="143" t="s">
        <v>89</v>
      </c>
      <c r="D383" s="143" t="s">
        <v>69</v>
      </c>
      <c r="E383" s="257">
        <v>1207376800</v>
      </c>
      <c r="F383" s="257">
        <v>1188640303</v>
      </c>
      <c r="G383" s="257">
        <v>1188640303</v>
      </c>
      <c r="H383" s="257">
        <v>0</v>
      </c>
      <c r="I383" s="257">
        <v>0</v>
      </c>
      <c r="J383" s="257">
        <v>0</v>
      </c>
      <c r="K383" s="257">
        <v>1023570688.34</v>
      </c>
      <c r="L383" s="257"/>
      <c r="M383" s="257">
        <v>1023570688.34</v>
      </c>
      <c r="N383" s="257"/>
      <c r="O383" s="257">
        <v>165069614.66</v>
      </c>
      <c r="P383" s="257">
        <v>165069614.66</v>
      </c>
    </row>
    <row r="384" spans="1:16" hidden="1" x14ac:dyDescent="0.25">
      <c r="A384" s="143" t="s">
        <v>711</v>
      </c>
      <c r="B384" s="143" t="s">
        <v>83</v>
      </c>
      <c r="C384" s="143" t="s">
        <v>84</v>
      </c>
      <c r="D384" s="143" t="s">
        <v>85</v>
      </c>
      <c r="E384" s="257">
        <v>905032542</v>
      </c>
      <c r="F384" s="257">
        <v>883255690</v>
      </c>
      <c r="G384" s="257">
        <v>883255690</v>
      </c>
      <c r="H384" s="257">
        <v>0</v>
      </c>
      <c r="I384" s="257">
        <v>822765244.27999997</v>
      </c>
      <c r="J384" s="257">
        <v>0</v>
      </c>
      <c r="K384" s="257">
        <v>392137.12</v>
      </c>
      <c r="L384" s="257"/>
      <c r="M384" s="257">
        <v>392137.12</v>
      </c>
      <c r="N384" s="257"/>
      <c r="O384" s="257">
        <v>60098308.600000001</v>
      </c>
      <c r="P384" s="257">
        <v>60098308.600000001</v>
      </c>
    </row>
    <row r="385" spans="1:16" hidden="1" x14ac:dyDescent="0.25">
      <c r="A385" s="143" t="s">
        <v>711</v>
      </c>
      <c r="B385" s="143" t="s">
        <v>90</v>
      </c>
      <c r="C385" s="143" t="s">
        <v>91</v>
      </c>
      <c r="D385" s="143" t="s">
        <v>69</v>
      </c>
      <c r="E385" s="257">
        <v>1059311707</v>
      </c>
      <c r="F385" s="257">
        <v>1033822594</v>
      </c>
      <c r="G385" s="257">
        <v>1033822594</v>
      </c>
      <c r="H385" s="257">
        <v>0</v>
      </c>
      <c r="I385" s="257">
        <v>229184699</v>
      </c>
      <c r="J385" s="257">
        <v>0</v>
      </c>
      <c r="K385" s="257">
        <v>796707843</v>
      </c>
      <c r="L385" s="257"/>
      <c r="M385" s="257">
        <v>796707843</v>
      </c>
      <c r="N385" s="257"/>
      <c r="O385" s="257">
        <v>7930052</v>
      </c>
      <c r="P385" s="257">
        <v>7930052</v>
      </c>
    </row>
    <row r="386" spans="1:16" hidden="1" x14ac:dyDescent="0.25">
      <c r="A386" s="143" t="s">
        <v>711</v>
      </c>
      <c r="B386" s="143" t="s">
        <v>421</v>
      </c>
      <c r="C386" s="143" t="s">
        <v>697</v>
      </c>
      <c r="D386" s="143" t="s">
        <v>69</v>
      </c>
      <c r="E386" s="257">
        <v>1004988079</v>
      </c>
      <c r="F386" s="257">
        <v>980806100</v>
      </c>
      <c r="G386" s="257">
        <v>980806100</v>
      </c>
      <c r="H386" s="257">
        <v>0</v>
      </c>
      <c r="I386" s="257">
        <v>217431687</v>
      </c>
      <c r="J386" s="257">
        <v>0</v>
      </c>
      <c r="K386" s="257">
        <v>755851030</v>
      </c>
      <c r="L386" s="257"/>
      <c r="M386" s="257">
        <v>755851030</v>
      </c>
      <c r="N386" s="257"/>
      <c r="O386" s="257">
        <v>7523383</v>
      </c>
      <c r="P386" s="257">
        <v>7523383</v>
      </c>
    </row>
    <row r="387" spans="1:16" hidden="1" x14ac:dyDescent="0.25">
      <c r="A387" s="143" t="s">
        <v>711</v>
      </c>
      <c r="B387" s="143" t="s">
        <v>438</v>
      </c>
      <c r="C387" s="143" t="s">
        <v>95</v>
      </c>
      <c r="D387" s="143" t="s">
        <v>69</v>
      </c>
      <c r="E387" s="257">
        <v>54323628</v>
      </c>
      <c r="F387" s="257">
        <v>53016494</v>
      </c>
      <c r="G387" s="257">
        <v>53016494</v>
      </c>
      <c r="H387" s="257">
        <v>0</v>
      </c>
      <c r="I387" s="257">
        <v>11753012</v>
      </c>
      <c r="J387" s="257">
        <v>0</v>
      </c>
      <c r="K387" s="257">
        <v>40856813</v>
      </c>
      <c r="L387" s="257"/>
      <c r="M387" s="257">
        <v>40856813</v>
      </c>
      <c r="N387" s="257"/>
      <c r="O387" s="257">
        <v>406669</v>
      </c>
      <c r="P387" s="257">
        <v>406669</v>
      </c>
    </row>
    <row r="388" spans="1:16" hidden="1" x14ac:dyDescent="0.25">
      <c r="A388" s="143" t="s">
        <v>711</v>
      </c>
      <c r="B388" s="143" t="s">
        <v>96</v>
      </c>
      <c r="C388" s="143" t="s">
        <v>97</v>
      </c>
      <c r="D388" s="143" t="s">
        <v>69</v>
      </c>
      <c r="E388" s="257">
        <v>1059311706</v>
      </c>
      <c r="F388" s="257">
        <v>1033822593</v>
      </c>
      <c r="G388" s="257">
        <v>1009822593</v>
      </c>
      <c r="H388" s="257">
        <v>0</v>
      </c>
      <c r="I388" s="257">
        <v>206434710</v>
      </c>
      <c r="J388" s="257">
        <v>0</v>
      </c>
      <c r="K388" s="257">
        <v>795457831</v>
      </c>
      <c r="L388" s="257"/>
      <c r="M388" s="257">
        <v>795457831</v>
      </c>
      <c r="N388" s="257"/>
      <c r="O388" s="257">
        <v>31930052</v>
      </c>
      <c r="P388" s="257">
        <v>7930052</v>
      </c>
    </row>
    <row r="389" spans="1:16" hidden="1" x14ac:dyDescent="0.25">
      <c r="A389" s="143" t="s">
        <v>711</v>
      </c>
      <c r="B389" s="143" t="s">
        <v>456</v>
      </c>
      <c r="C389" s="143" t="s">
        <v>698</v>
      </c>
      <c r="D389" s="143" t="s">
        <v>69</v>
      </c>
      <c r="E389" s="257">
        <v>570398650</v>
      </c>
      <c r="F389" s="257">
        <v>556673743</v>
      </c>
      <c r="G389" s="257">
        <v>556673743</v>
      </c>
      <c r="H389" s="257">
        <v>0</v>
      </c>
      <c r="I389" s="257">
        <v>124657195</v>
      </c>
      <c r="J389" s="257">
        <v>0</v>
      </c>
      <c r="K389" s="257">
        <v>427746520</v>
      </c>
      <c r="L389" s="257"/>
      <c r="M389" s="257">
        <v>427746520</v>
      </c>
      <c r="N389" s="257"/>
      <c r="O389" s="257">
        <v>4270028</v>
      </c>
      <c r="P389" s="257">
        <v>4270028</v>
      </c>
    </row>
    <row r="390" spans="1:16" hidden="1" x14ac:dyDescent="0.25">
      <c r="A390" s="143" t="s">
        <v>711</v>
      </c>
      <c r="B390" s="143" t="s">
        <v>473</v>
      </c>
      <c r="C390" s="143" t="s">
        <v>699</v>
      </c>
      <c r="D390" s="143" t="s">
        <v>69</v>
      </c>
      <c r="E390" s="257">
        <v>162970985</v>
      </c>
      <c r="F390" s="257">
        <v>159049583</v>
      </c>
      <c r="G390" s="257">
        <v>159049583</v>
      </c>
      <c r="H390" s="257">
        <v>0</v>
      </c>
      <c r="I390" s="257">
        <v>23867605</v>
      </c>
      <c r="J390" s="257">
        <v>0</v>
      </c>
      <c r="K390" s="257">
        <v>133961970</v>
      </c>
      <c r="L390" s="257"/>
      <c r="M390" s="257">
        <v>133961970</v>
      </c>
      <c r="N390" s="257"/>
      <c r="O390" s="257">
        <v>1220008</v>
      </c>
      <c r="P390" s="257">
        <v>1220008</v>
      </c>
    </row>
    <row r="391" spans="1:16" hidden="1" x14ac:dyDescent="0.25">
      <c r="A391" s="143" t="s">
        <v>711</v>
      </c>
      <c r="B391" s="143" t="s">
        <v>490</v>
      </c>
      <c r="C391" s="143" t="s">
        <v>700</v>
      </c>
      <c r="D391" s="143" t="s">
        <v>69</v>
      </c>
      <c r="E391" s="257">
        <v>325942071</v>
      </c>
      <c r="F391" s="257">
        <v>318099267</v>
      </c>
      <c r="G391" s="257">
        <v>294099267</v>
      </c>
      <c r="H391" s="257">
        <v>0</v>
      </c>
      <c r="I391" s="257">
        <v>57909910</v>
      </c>
      <c r="J391" s="257">
        <v>0</v>
      </c>
      <c r="K391" s="257">
        <v>233749341</v>
      </c>
      <c r="L391" s="257"/>
      <c r="M391" s="257">
        <v>233749341</v>
      </c>
      <c r="N391" s="257"/>
      <c r="O391" s="257">
        <v>26440016</v>
      </c>
      <c r="P391" s="257">
        <v>2440016</v>
      </c>
    </row>
    <row r="392" spans="1:16" hidden="1" x14ac:dyDescent="0.25">
      <c r="A392" s="143" t="s">
        <v>711</v>
      </c>
      <c r="B392" s="143" t="s">
        <v>104</v>
      </c>
      <c r="C392" s="143" t="s">
        <v>105</v>
      </c>
      <c r="D392" s="143" t="s">
        <v>69</v>
      </c>
      <c r="E392" s="257">
        <v>3955829992</v>
      </c>
      <c r="F392" s="257">
        <v>3996746685</v>
      </c>
      <c r="G392" s="257">
        <v>3946452685</v>
      </c>
      <c r="H392" s="257">
        <v>0</v>
      </c>
      <c r="I392" s="257">
        <v>828015179.26999998</v>
      </c>
      <c r="J392" s="257">
        <v>0</v>
      </c>
      <c r="K392" s="257">
        <v>3104999263.6399999</v>
      </c>
      <c r="L392" s="257"/>
      <c r="M392" s="257">
        <v>2996079948.4499998</v>
      </c>
      <c r="N392" s="257"/>
      <c r="O392" s="257">
        <v>63732242.090000004</v>
      </c>
      <c r="P392" s="257">
        <v>13438242.09</v>
      </c>
    </row>
    <row r="393" spans="1:16" hidden="1" x14ac:dyDescent="0.25">
      <c r="A393" s="143" t="s">
        <v>711</v>
      </c>
      <c r="B393" s="143" t="s">
        <v>112</v>
      </c>
      <c r="C393" s="143" t="s">
        <v>113</v>
      </c>
      <c r="D393" s="143" t="s">
        <v>69</v>
      </c>
      <c r="E393" s="257">
        <v>3954369992</v>
      </c>
      <c r="F393" s="257">
        <v>3996086685</v>
      </c>
      <c r="G393" s="257">
        <v>3946386685</v>
      </c>
      <c r="H393" s="257">
        <v>0</v>
      </c>
      <c r="I393" s="257">
        <v>828015179.26999998</v>
      </c>
      <c r="J393" s="257">
        <v>0</v>
      </c>
      <c r="K393" s="257">
        <v>3104999263.6399999</v>
      </c>
      <c r="L393" s="257"/>
      <c r="M393" s="257">
        <v>2996079948.4499998</v>
      </c>
      <c r="N393" s="257"/>
      <c r="O393" s="257">
        <v>63072242.090000004</v>
      </c>
      <c r="P393" s="257">
        <v>13372242.09</v>
      </c>
    </row>
    <row r="394" spans="1:16" hidden="1" x14ac:dyDescent="0.25">
      <c r="A394" s="143" t="s">
        <v>711</v>
      </c>
      <c r="B394" s="143" t="s">
        <v>114</v>
      </c>
      <c r="C394" s="143" t="s">
        <v>115</v>
      </c>
      <c r="D394" s="143" t="s">
        <v>69</v>
      </c>
      <c r="E394" s="257">
        <v>2664489000</v>
      </c>
      <c r="F394" s="257">
        <v>2664489000</v>
      </c>
      <c r="G394" s="257">
        <v>2664489000</v>
      </c>
      <c r="H394" s="257">
        <v>0</v>
      </c>
      <c r="I394" s="257">
        <v>576081380.53999996</v>
      </c>
      <c r="J394" s="257">
        <v>0</v>
      </c>
      <c r="K394" s="257">
        <v>2088407619.46</v>
      </c>
      <c r="L394" s="257"/>
      <c r="M394" s="257">
        <v>1984186709.46</v>
      </c>
      <c r="N394" s="257"/>
      <c r="O394" s="257">
        <v>0</v>
      </c>
      <c r="P394" s="257">
        <v>0</v>
      </c>
    </row>
    <row r="395" spans="1:16" hidden="1" x14ac:dyDescent="0.25">
      <c r="A395" s="143" t="s">
        <v>711</v>
      </c>
      <c r="B395" s="143" t="s">
        <v>116</v>
      </c>
      <c r="C395" s="143" t="s">
        <v>117</v>
      </c>
      <c r="D395" s="143" t="s">
        <v>69</v>
      </c>
      <c r="E395" s="257">
        <v>1052390992</v>
      </c>
      <c r="F395" s="257">
        <v>1097839640</v>
      </c>
      <c r="G395" s="257">
        <v>1097839640</v>
      </c>
      <c r="H395" s="257">
        <v>0</v>
      </c>
      <c r="I395" s="257">
        <v>172443917.49000001</v>
      </c>
      <c r="J395" s="257">
        <v>0</v>
      </c>
      <c r="K395" s="257">
        <v>925395722.50999999</v>
      </c>
      <c r="L395" s="257"/>
      <c r="M395" s="257">
        <v>920708105.86000001</v>
      </c>
      <c r="N395" s="257"/>
      <c r="O395" s="257">
        <v>0</v>
      </c>
      <c r="P395" s="257">
        <v>0</v>
      </c>
    </row>
    <row r="396" spans="1:16" hidden="1" x14ac:dyDescent="0.25">
      <c r="A396" s="143" t="s">
        <v>711</v>
      </c>
      <c r="B396" s="143" t="s">
        <v>120</v>
      </c>
      <c r="C396" s="143" t="s">
        <v>121</v>
      </c>
      <c r="D396" s="143" t="s">
        <v>69</v>
      </c>
      <c r="E396" s="257">
        <v>124690000</v>
      </c>
      <c r="F396" s="257">
        <v>124690000</v>
      </c>
      <c r="G396" s="257">
        <v>124690000</v>
      </c>
      <c r="H396" s="257">
        <v>0</v>
      </c>
      <c r="I396" s="257">
        <v>77117132.469999999</v>
      </c>
      <c r="J396" s="257">
        <v>0</v>
      </c>
      <c r="K396" s="257">
        <v>47572867.530000001</v>
      </c>
      <c r="L396" s="257"/>
      <c r="M396" s="257">
        <v>47572867.530000001</v>
      </c>
      <c r="N396" s="257"/>
      <c r="O396" s="257">
        <v>0</v>
      </c>
      <c r="P396" s="257">
        <v>0</v>
      </c>
    </row>
    <row r="397" spans="1:16" hidden="1" x14ac:dyDescent="0.25">
      <c r="A397" s="143" t="s">
        <v>711</v>
      </c>
      <c r="B397" s="143" t="s">
        <v>122</v>
      </c>
      <c r="C397" s="143" t="s">
        <v>123</v>
      </c>
      <c r="D397" s="143" t="s">
        <v>69</v>
      </c>
      <c r="E397" s="257">
        <v>112800000</v>
      </c>
      <c r="F397" s="257">
        <v>109068045</v>
      </c>
      <c r="G397" s="257">
        <v>59368045</v>
      </c>
      <c r="H397" s="257">
        <v>0</v>
      </c>
      <c r="I397" s="257">
        <v>2372748.77</v>
      </c>
      <c r="J397" s="257">
        <v>0</v>
      </c>
      <c r="K397" s="257">
        <v>43623054.140000001</v>
      </c>
      <c r="L397" s="257"/>
      <c r="M397" s="257">
        <v>43612265.600000001</v>
      </c>
      <c r="N397" s="257"/>
      <c r="O397" s="257">
        <v>63072242.090000004</v>
      </c>
      <c r="P397" s="257">
        <v>13372242.09</v>
      </c>
    </row>
    <row r="398" spans="1:16" hidden="1" x14ac:dyDescent="0.25">
      <c r="A398" s="143" t="s">
        <v>711</v>
      </c>
      <c r="B398" s="143" t="s">
        <v>134</v>
      </c>
      <c r="C398" s="143" t="s">
        <v>135</v>
      </c>
      <c r="D398" s="143" t="s">
        <v>69</v>
      </c>
      <c r="E398" s="257">
        <v>340000</v>
      </c>
      <c r="F398" s="257">
        <v>340000</v>
      </c>
      <c r="G398" s="257">
        <v>34000</v>
      </c>
      <c r="H398" s="257">
        <v>0</v>
      </c>
      <c r="I398" s="257">
        <v>0</v>
      </c>
      <c r="J398" s="257">
        <v>0</v>
      </c>
      <c r="K398" s="257">
        <v>0</v>
      </c>
      <c r="L398" s="257"/>
      <c r="M398" s="257">
        <v>0</v>
      </c>
      <c r="N398" s="257"/>
      <c r="O398" s="257">
        <v>340000</v>
      </c>
      <c r="P398" s="257">
        <v>34000</v>
      </c>
    </row>
    <row r="399" spans="1:16" hidden="1" x14ac:dyDescent="0.25">
      <c r="A399" s="143" t="s">
        <v>711</v>
      </c>
      <c r="B399" s="143" t="s">
        <v>346</v>
      </c>
      <c r="C399" s="143" t="s">
        <v>347</v>
      </c>
      <c r="D399" s="143" t="s">
        <v>69</v>
      </c>
      <c r="E399" s="257">
        <v>180000</v>
      </c>
      <c r="F399" s="257">
        <v>180000</v>
      </c>
      <c r="G399" s="257">
        <v>18000</v>
      </c>
      <c r="H399" s="257">
        <v>0</v>
      </c>
      <c r="I399" s="257">
        <v>0</v>
      </c>
      <c r="J399" s="257">
        <v>0</v>
      </c>
      <c r="K399" s="257">
        <v>0</v>
      </c>
      <c r="L399" s="257"/>
      <c r="M399" s="257">
        <v>0</v>
      </c>
      <c r="N399" s="257"/>
      <c r="O399" s="257">
        <v>180000</v>
      </c>
      <c r="P399" s="257">
        <v>18000</v>
      </c>
    </row>
    <row r="400" spans="1:16" hidden="1" x14ac:dyDescent="0.25">
      <c r="A400" s="143" t="s">
        <v>711</v>
      </c>
      <c r="B400" s="143" t="s">
        <v>138</v>
      </c>
      <c r="C400" s="143" t="s">
        <v>139</v>
      </c>
      <c r="D400" s="143" t="s">
        <v>69</v>
      </c>
      <c r="E400" s="257">
        <v>160000</v>
      </c>
      <c r="F400" s="257">
        <v>160000</v>
      </c>
      <c r="G400" s="257">
        <v>16000</v>
      </c>
      <c r="H400" s="257">
        <v>0</v>
      </c>
      <c r="I400" s="257">
        <v>0</v>
      </c>
      <c r="J400" s="257">
        <v>0</v>
      </c>
      <c r="K400" s="257">
        <v>0</v>
      </c>
      <c r="L400" s="257"/>
      <c r="M400" s="257">
        <v>0</v>
      </c>
      <c r="N400" s="257"/>
      <c r="O400" s="257">
        <v>160000</v>
      </c>
      <c r="P400" s="257">
        <v>16000</v>
      </c>
    </row>
    <row r="401" spans="1:16" hidden="1" x14ac:dyDescent="0.25">
      <c r="A401" s="143" t="s">
        <v>711</v>
      </c>
      <c r="B401" s="143" t="s">
        <v>140</v>
      </c>
      <c r="C401" s="143" t="s">
        <v>141</v>
      </c>
      <c r="D401" s="143" t="s">
        <v>69</v>
      </c>
      <c r="E401" s="257">
        <v>0</v>
      </c>
      <c r="F401" s="257">
        <v>0</v>
      </c>
      <c r="G401" s="257">
        <v>0</v>
      </c>
      <c r="H401" s="257">
        <v>0</v>
      </c>
      <c r="I401" s="257">
        <v>0</v>
      </c>
      <c r="J401" s="257">
        <v>0</v>
      </c>
      <c r="K401" s="257">
        <v>0</v>
      </c>
      <c r="L401" s="257"/>
      <c r="M401" s="257">
        <v>0</v>
      </c>
      <c r="N401" s="257"/>
      <c r="O401" s="257">
        <v>0</v>
      </c>
      <c r="P401" s="257">
        <v>0</v>
      </c>
    </row>
    <row r="402" spans="1:16" hidden="1" x14ac:dyDescent="0.25">
      <c r="A402" s="143" t="s">
        <v>711</v>
      </c>
      <c r="B402" s="143" t="s">
        <v>144</v>
      </c>
      <c r="C402" s="143" t="s">
        <v>145</v>
      </c>
      <c r="D402" s="143" t="s">
        <v>69</v>
      </c>
      <c r="E402" s="257">
        <v>0</v>
      </c>
      <c r="F402" s="257">
        <v>0</v>
      </c>
      <c r="G402" s="257">
        <v>0</v>
      </c>
      <c r="H402" s="257">
        <v>0</v>
      </c>
      <c r="I402" s="257">
        <v>0</v>
      </c>
      <c r="J402" s="257">
        <v>0</v>
      </c>
      <c r="K402" s="257">
        <v>0</v>
      </c>
      <c r="L402" s="257"/>
      <c r="M402" s="257">
        <v>0</v>
      </c>
      <c r="N402" s="257"/>
      <c r="O402" s="257">
        <v>0</v>
      </c>
      <c r="P402" s="257">
        <v>0</v>
      </c>
    </row>
    <row r="403" spans="1:16" hidden="1" x14ac:dyDescent="0.25">
      <c r="A403" s="143" t="s">
        <v>711</v>
      </c>
      <c r="B403" s="143" t="s">
        <v>162</v>
      </c>
      <c r="C403" s="143" t="s">
        <v>163</v>
      </c>
      <c r="D403" s="143" t="s">
        <v>69</v>
      </c>
      <c r="E403" s="257">
        <v>1120000</v>
      </c>
      <c r="F403" s="257">
        <v>320000</v>
      </c>
      <c r="G403" s="257">
        <v>32000</v>
      </c>
      <c r="H403" s="257">
        <v>0</v>
      </c>
      <c r="I403" s="257">
        <v>0</v>
      </c>
      <c r="J403" s="257">
        <v>0</v>
      </c>
      <c r="K403" s="257">
        <v>0</v>
      </c>
      <c r="L403" s="257"/>
      <c r="M403" s="257">
        <v>0</v>
      </c>
      <c r="N403" s="257"/>
      <c r="O403" s="257">
        <v>320000</v>
      </c>
      <c r="P403" s="257">
        <v>32000</v>
      </c>
    </row>
    <row r="404" spans="1:16" hidden="1" x14ac:dyDescent="0.25">
      <c r="A404" s="143" t="s">
        <v>711</v>
      </c>
      <c r="B404" s="143" t="s">
        <v>164</v>
      </c>
      <c r="C404" s="143" t="s">
        <v>165</v>
      </c>
      <c r="D404" s="143" t="s">
        <v>69</v>
      </c>
      <c r="E404" s="257">
        <v>800000</v>
      </c>
      <c r="F404" s="257">
        <v>0</v>
      </c>
      <c r="G404" s="257">
        <v>0</v>
      </c>
      <c r="H404" s="257">
        <v>0</v>
      </c>
      <c r="I404" s="257">
        <v>0</v>
      </c>
      <c r="J404" s="257">
        <v>0</v>
      </c>
      <c r="K404" s="257">
        <v>0</v>
      </c>
      <c r="L404" s="257"/>
      <c r="M404" s="257">
        <v>0</v>
      </c>
      <c r="N404" s="257"/>
      <c r="O404" s="257">
        <v>0</v>
      </c>
      <c r="P404" s="257">
        <v>0</v>
      </c>
    </row>
    <row r="405" spans="1:16" hidden="1" x14ac:dyDescent="0.25">
      <c r="A405" s="143" t="s">
        <v>711</v>
      </c>
      <c r="B405" s="143" t="s">
        <v>172</v>
      </c>
      <c r="C405" s="143" t="s">
        <v>173</v>
      </c>
      <c r="D405" s="143" t="s">
        <v>69</v>
      </c>
      <c r="E405" s="257">
        <v>320000</v>
      </c>
      <c r="F405" s="257">
        <v>320000</v>
      </c>
      <c r="G405" s="257">
        <v>32000</v>
      </c>
      <c r="H405" s="257">
        <v>0</v>
      </c>
      <c r="I405" s="257">
        <v>0</v>
      </c>
      <c r="J405" s="257">
        <v>0</v>
      </c>
      <c r="K405" s="257">
        <v>0</v>
      </c>
      <c r="L405" s="257"/>
      <c r="M405" s="257">
        <v>0</v>
      </c>
      <c r="N405" s="257"/>
      <c r="O405" s="257">
        <v>320000</v>
      </c>
      <c r="P405" s="257">
        <v>32000</v>
      </c>
    </row>
    <row r="406" spans="1:16" hidden="1" x14ac:dyDescent="0.25">
      <c r="A406" s="143" t="s">
        <v>711</v>
      </c>
      <c r="B406" s="143" t="s">
        <v>184</v>
      </c>
      <c r="C406" s="143" t="s">
        <v>185</v>
      </c>
      <c r="D406" s="143" t="s">
        <v>69</v>
      </c>
      <c r="E406" s="257">
        <v>9762991308</v>
      </c>
      <c r="F406" s="257">
        <v>9912033764</v>
      </c>
      <c r="G406" s="257">
        <v>9912033764</v>
      </c>
      <c r="H406" s="257">
        <v>310219.40000000002</v>
      </c>
      <c r="I406" s="257">
        <v>717309692.70000005</v>
      </c>
      <c r="J406" s="257">
        <v>144748801.31</v>
      </c>
      <c r="K406" s="257">
        <v>6484959443.4700003</v>
      </c>
      <c r="L406" s="257"/>
      <c r="M406" s="257">
        <v>6468144448.1499996</v>
      </c>
      <c r="N406" s="257"/>
      <c r="O406" s="257">
        <v>2564705607.1199999</v>
      </c>
      <c r="P406" s="257">
        <v>2564705607.1199999</v>
      </c>
    </row>
    <row r="407" spans="1:16" hidden="1" x14ac:dyDescent="0.25">
      <c r="A407" s="143" t="s">
        <v>711</v>
      </c>
      <c r="B407" s="143" t="s">
        <v>186</v>
      </c>
      <c r="C407" s="143" t="s">
        <v>187</v>
      </c>
      <c r="D407" s="143" t="s">
        <v>69</v>
      </c>
      <c r="E407" s="257">
        <v>20114885</v>
      </c>
      <c r="F407" s="257">
        <v>11692175</v>
      </c>
      <c r="G407" s="257">
        <v>11692175</v>
      </c>
      <c r="H407" s="257">
        <v>0</v>
      </c>
      <c r="I407" s="257">
        <v>0</v>
      </c>
      <c r="J407" s="257">
        <v>0</v>
      </c>
      <c r="K407" s="257">
        <v>7966444.21</v>
      </c>
      <c r="L407" s="257"/>
      <c r="M407" s="257">
        <v>1170358.99</v>
      </c>
      <c r="N407" s="257"/>
      <c r="O407" s="257">
        <v>3725730.79</v>
      </c>
      <c r="P407" s="257">
        <v>3725730.79</v>
      </c>
    </row>
    <row r="408" spans="1:16" hidden="1" x14ac:dyDescent="0.25">
      <c r="A408" s="143" t="s">
        <v>711</v>
      </c>
      <c r="B408" s="143" t="s">
        <v>188</v>
      </c>
      <c r="C408" s="143" t="s">
        <v>189</v>
      </c>
      <c r="D408" s="143" t="s">
        <v>69</v>
      </c>
      <c r="E408" s="257">
        <v>4558400</v>
      </c>
      <c r="F408" s="257">
        <v>1139600</v>
      </c>
      <c r="G408" s="257">
        <v>1139600</v>
      </c>
      <c r="H408" s="257">
        <v>0</v>
      </c>
      <c r="I408" s="257">
        <v>0</v>
      </c>
      <c r="J408" s="257">
        <v>0</v>
      </c>
      <c r="K408" s="257">
        <v>0</v>
      </c>
      <c r="L408" s="257"/>
      <c r="M408" s="257">
        <v>0</v>
      </c>
      <c r="N408" s="257"/>
      <c r="O408" s="257">
        <v>1139600</v>
      </c>
      <c r="P408" s="257">
        <v>1139600</v>
      </c>
    </row>
    <row r="409" spans="1:16" hidden="1" x14ac:dyDescent="0.25">
      <c r="A409" s="143" t="s">
        <v>711</v>
      </c>
      <c r="B409" s="143" t="s">
        <v>190</v>
      </c>
      <c r="C409" s="143" t="s">
        <v>191</v>
      </c>
      <c r="D409" s="143" t="s">
        <v>69</v>
      </c>
      <c r="E409" s="257">
        <v>1998283</v>
      </c>
      <c r="F409" s="257">
        <v>3616643</v>
      </c>
      <c r="G409" s="257">
        <v>3616643</v>
      </c>
      <c r="H409" s="257">
        <v>0</v>
      </c>
      <c r="I409" s="257">
        <v>0</v>
      </c>
      <c r="J409" s="257">
        <v>0</v>
      </c>
      <c r="K409" s="257">
        <v>1657639.52</v>
      </c>
      <c r="L409" s="257"/>
      <c r="M409" s="257">
        <v>0</v>
      </c>
      <c r="N409" s="257"/>
      <c r="O409" s="257">
        <v>1959003.48</v>
      </c>
      <c r="P409" s="257">
        <v>1959003.48</v>
      </c>
    </row>
    <row r="410" spans="1:16" hidden="1" x14ac:dyDescent="0.25">
      <c r="A410" s="143" t="s">
        <v>711</v>
      </c>
      <c r="B410" s="143" t="s">
        <v>350</v>
      </c>
      <c r="C410" s="143" t="s">
        <v>351</v>
      </c>
      <c r="D410" s="143" t="s">
        <v>69</v>
      </c>
      <c r="E410" s="257">
        <v>1432676</v>
      </c>
      <c r="F410" s="257">
        <v>1432676</v>
      </c>
      <c r="G410" s="257">
        <v>1432676</v>
      </c>
      <c r="H410" s="257">
        <v>0</v>
      </c>
      <c r="I410" s="257">
        <v>0</v>
      </c>
      <c r="J410" s="257">
        <v>0</v>
      </c>
      <c r="K410" s="257">
        <v>1170358.99</v>
      </c>
      <c r="L410" s="257"/>
      <c r="M410" s="257">
        <v>1170358.99</v>
      </c>
      <c r="N410" s="257"/>
      <c r="O410" s="257">
        <v>262317.01</v>
      </c>
      <c r="P410" s="257">
        <v>262317.01</v>
      </c>
    </row>
    <row r="411" spans="1:16" hidden="1" x14ac:dyDescent="0.25">
      <c r="A411" s="143" t="s">
        <v>711</v>
      </c>
      <c r="B411" s="143" t="s">
        <v>194</v>
      </c>
      <c r="C411" s="143" t="s">
        <v>195</v>
      </c>
      <c r="D411" s="143" t="s">
        <v>69</v>
      </c>
      <c r="E411" s="257">
        <v>12125526</v>
      </c>
      <c r="F411" s="257">
        <v>5503256</v>
      </c>
      <c r="G411" s="257">
        <v>5503256</v>
      </c>
      <c r="H411" s="257">
        <v>0</v>
      </c>
      <c r="I411" s="257">
        <v>0</v>
      </c>
      <c r="J411" s="257">
        <v>0</v>
      </c>
      <c r="K411" s="257">
        <v>5138445.7</v>
      </c>
      <c r="L411" s="257"/>
      <c r="M411" s="257">
        <v>0</v>
      </c>
      <c r="N411" s="257"/>
      <c r="O411" s="257">
        <v>364810.3</v>
      </c>
      <c r="P411" s="257">
        <v>364810.3</v>
      </c>
    </row>
    <row r="412" spans="1:16" hidden="1" x14ac:dyDescent="0.25">
      <c r="A412" s="143" t="s">
        <v>711</v>
      </c>
      <c r="B412" s="143" t="s">
        <v>196</v>
      </c>
      <c r="C412" s="143" t="s">
        <v>197</v>
      </c>
      <c r="D412" s="143" t="s">
        <v>69</v>
      </c>
      <c r="E412" s="257">
        <v>9704809902</v>
      </c>
      <c r="F412" s="257">
        <v>9877793690</v>
      </c>
      <c r="G412" s="257">
        <v>9877793690</v>
      </c>
      <c r="H412" s="257">
        <v>0</v>
      </c>
      <c r="I412" s="257">
        <v>709708093.88</v>
      </c>
      <c r="J412" s="257">
        <v>144748801.31</v>
      </c>
      <c r="K412" s="257">
        <v>6468327362.9899998</v>
      </c>
      <c r="L412" s="257"/>
      <c r="M412" s="257">
        <v>6458472859.8100004</v>
      </c>
      <c r="N412" s="257"/>
      <c r="O412" s="257">
        <v>2555009431.8200002</v>
      </c>
      <c r="P412" s="257">
        <v>2555009431.8200002</v>
      </c>
    </row>
    <row r="413" spans="1:16" hidden="1" x14ac:dyDescent="0.25">
      <c r="A413" s="143" t="s">
        <v>711</v>
      </c>
      <c r="B413" s="143" t="s">
        <v>579</v>
      </c>
      <c r="C413" s="143" t="s">
        <v>580</v>
      </c>
      <c r="D413" s="143" t="s">
        <v>69</v>
      </c>
      <c r="E413" s="257">
        <v>3494885</v>
      </c>
      <c r="F413" s="257">
        <v>2541545</v>
      </c>
      <c r="G413" s="257">
        <v>2541545</v>
      </c>
      <c r="H413" s="257">
        <v>0</v>
      </c>
      <c r="I413" s="257">
        <v>327640</v>
      </c>
      <c r="J413" s="257">
        <v>0</v>
      </c>
      <c r="K413" s="257">
        <v>1863935</v>
      </c>
      <c r="L413" s="257"/>
      <c r="M413" s="257">
        <v>1863935</v>
      </c>
      <c r="N413" s="257"/>
      <c r="O413" s="257">
        <v>349970</v>
      </c>
      <c r="P413" s="257">
        <v>349970</v>
      </c>
    </row>
    <row r="414" spans="1:16" hidden="1" x14ac:dyDescent="0.25">
      <c r="A414" s="143" t="s">
        <v>711</v>
      </c>
      <c r="B414" s="143" t="s">
        <v>198</v>
      </c>
      <c r="C414" s="143" t="s">
        <v>199</v>
      </c>
      <c r="D414" s="143" t="s">
        <v>69</v>
      </c>
      <c r="E414" s="257">
        <v>9654391017</v>
      </c>
      <c r="F414" s="257">
        <v>9848659153</v>
      </c>
      <c r="G414" s="257">
        <v>9848659153</v>
      </c>
      <c r="H414" s="257">
        <v>0</v>
      </c>
      <c r="I414" s="257">
        <v>703515320.92999995</v>
      </c>
      <c r="J414" s="257">
        <v>144748801.31</v>
      </c>
      <c r="K414" s="257">
        <v>6450035569.9200001</v>
      </c>
      <c r="L414" s="257"/>
      <c r="M414" s="257">
        <v>6444042245.0699997</v>
      </c>
      <c r="N414" s="257"/>
      <c r="O414" s="257">
        <v>2550359460.8400002</v>
      </c>
      <c r="P414" s="257">
        <v>2550359460.8400002</v>
      </c>
    </row>
    <row r="415" spans="1:16" hidden="1" x14ac:dyDescent="0.25">
      <c r="A415" s="143" t="s">
        <v>711</v>
      </c>
      <c r="B415" s="143" t="s">
        <v>352</v>
      </c>
      <c r="C415" s="143" t="s">
        <v>353</v>
      </c>
      <c r="D415" s="143" t="s">
        <v>69</v>
      </c>
      <c r="E415" s="257">
        <v>46924000</v>
      </c>
      <c r="F415" s="257">
        <v>26592992</v>
      </c>
      <c r="G415" s="257">
        <v>26592992</v>
      </c>
      <c r="H415" s="257">
        <v>0</v>
      </c>
      <c r="I415" s="257">
        <v>5865132.9500000002</v>
      </c>
      <c r="J415" s="257">
        <v>0</v>
      </c>
      <c r="K415" s="257">
        <v>16427858.07</v>
      </c>
      <c r="L415" s="257"/>
      <c r="M415" s="257">
        <v>12566679.74</v>
      </c>
      <c r="N415" s="257"/>
      <c r="O415" s="257">
        <v>4300000.9800000004</v>
      </c>
      <c r="P415" s="257">
        <v>4300000.9800000004</v>
      </c>
    </row>
    <row r="416" spans="1:16" hidden="1" x14ac:dyDescent="0.25">
      <c r="A416" s="143" t="s">
        <v>711</v>
      </c>
      <c r="B416" s="143" t="s">
        <v>198</v>
      </c>
      <c r="C416" s="143" t="s">
        <v>199</v>
      </c>
      <c r="D416" s="143" t="s">
        <v>85</v>
      </c>
      <c r="E416" s="257">
        <v>0</v>
      </c>
      <c r="F416" s="257">
        <v>0</v>
      </c>
      <c r="G416" s="257">
        <v>0</v>
      </c>
      <c r="H416" s="257">
        <v>0</v>
      </c>
      <c r="I416" s="257">
        <v>0</v>
      </c>
      <c r="J416" s="257">
        <v>0</v>
      </c>
      <c r="K416" s="257">
        <v>0</v>
      </c>
      <c r="L416" s="257"/>
      <c r="M416" s="257">
        <v>0</v>
      </c>
      <c r="N416" s="257"/>
      <c r="O416" s="257">
        <v>0</v>
      </c>
      <c r="P416" s="257">
        <v>0</v>
      </c>
    </row>
    <row r="417" spans="1:16" hidden="1" x14ac:dyDescent="0.25">
      <c r="A417" s="143" t="s">
        <v>711</v>
      </c>
      <c r="B417" s="143" t="s">
        <v>200</v>
      </c>
      <c r="C417" s="143" t="s">
        <v>201</v>
      </c>
      <c r="D417" s="143" t="s">
        <v>69</v>
      </c>
      <c r="E417" s="257">
        <v>9701312</v>
      </c>
      <c r="F417" s="257">
        <v>7211590</v>
      </c>
      <c r="G417" s="257">
        <v>7211590</v>
      </c>
      <c r="H417" s="257">
        <v>0</v>
      </c>
      <c r="I417" s="257">
        <v>173340.15</v>
      </c>
      <c r="J417" s="257">
        <v>0</v>
      </c>
      <c r="K417" s="257">
        <v>5501736.3300000001</v>
      </c>
      <c r="L417" s="257"/>
      <c r="M417" s="257">
        <v>5501736.3300000001</v>
      </c>
      <c r="N417" s="257"/>
      <c r="O417" s="257">
        <v>1536513.52</v>
      </c>
      <c r="P417" s="257">
        <v>1536513.52</v>
      </c>
    </row>
    <row r="418" spans="1:16" hidden="1" x14ac:dyDescent="0.25">
      <c r="A418" s="143" t="s">
        <v>711</v>
      </c>
      <c r="B418" s="143" t="s">
        <v>314</v>
      </c>
      <c r="C418" s="143" t="s">
        <v>315</v>
      </c>
      <c r="D418" s="143" t="s">
        <v>69</v>
      </c>
      <c r="E418" s="257">
        <v>3440012</v>
      </c>
      <c r="F418" s="257">
        <v>2712258</v>
      </c>
      <c r="G418" s="257">
        <v>2712258</v>
      </c>
      <c r="H418" s="257">
        <v>0</v>
      </c>
      <c r="I418" s="257">
        <v>173340.15</v>
      </c>
      <c r="J418" s="257">
        <v>0</v>
      </c>
      <c r="K418" s="257">
        <v>2418048.58</v>
      </c>
      <c r="L418" s="257"/>
      <c r="M418" s="257">
        <v>2418048.58</v>
      </c>
      <c r="N418" s="257"/>
      <c r="O418" s="257">
        <v>120869.27</v>
      </c>
      <c r="P418" s="257">
        <v>120869.27</v>
      </c>
    </row>
    <row r="419" spans="1:16" hidden="1" x14ac:dyDescent="0.25">
      <c r="A419" s="143" t="s">
        <v>711</v>
      </c>
      <c r="B419" s="143" t="s">
        <v>316</v>
      </c>
      <c r="C419" s="143" t="s">
        <v>317</v>
      </c>
      <c r="D419" s="143" t="s">
        <v>69</v>
      </c>
      <c r="E419" s="257">
        <v>678950</v>
      </c>
      <c r="F419" s="257">
        <v>0</v>
      </c>
      <c r="G419" s="257">
        <v>0</v>
      </c>
      <c r="H419" s="257">
        <v>0</v>
      </c>
      <c r="I419" s="257">
        <v>0</v>
      </c>
      <c r="J419" s="257">
        <v>0</v>
      </c>
      <c r="K419" s="257">
        <v>0</v>
      </c>
      <c r="L419" s="257"/>
      <c r="M419" s="257">
        <v>0</v>
      </c>
      <c r="N419" s="257"/>
      <c r="O419" s="257">
        <v>0</v>
      </c>
      <c r="P419" s="257">
        <v>0</v>
      </c>
    </row>
    <row r="420" spans="1:16" hidden="1" x14ac:dyDescent="0.25">
      <c r="A420" s="143" t="s">
        <v>711</v>
      </c>
      <c r="B420" s="143" t="s">
        <v>318</v>
      </c>
      <c r="C420" s="143" t="s">
        <v>319</v>
      </c>
      <c r="D420" s="143" t="s">
        <v>69</v>
      </c>
      <c r="E420" s="257">
        <v>648835</v>
      </c>
      <c r="F420" s="257">
        <v>60000</v>
      </c>
      <c r="G420" s="257">
        <v>60000</v>
      </c>
      <c r="H420" s="257">
        <v>0</v>
      </c>
      <c r="I420" s="257">
        <v>0</v>
      </c>
      <c r="J420" s="257">
        <v>0</v>
      </c>
      <c r="K420" s="257">
        <v>0</v>
      </c>
      <c r="L420" s="257"/>
      <c r="M420" s="257">
        <v>0</v>
      </c>
      <c r="N420" s="257"/>
      <c r="O420" s="257">
        <v>60000</v>
      </c>
      <c r="P420" s="257">
        <v>60000</v>
      </c>
    </row>
    <row r="421" spans="1:16" hidden="1" x14ac:dyDescent="0.25">
      <c r="A421" s="143" t="s">
        <v>711</v>
      </c>
      <c r="B421" s="143" t="s">
        <v>202</v>
      </c>
      <c r="C421" s="143" t="s">
        <v>203</v>
      </c>
      <c r="D421" s="143" t="s">
        <v>69</v>
      </c>
      <c r="E421" s="257">
        <v>274510</v>
      </c>
      <c r="F421" s="257">
        <v>274510</v>
      </c>
      <c r="G421" s="257">
        <v>274510</v>
      </c>
      <c r="H421" s="257">
        <v>0</v>
      </c>
      <c r="I421" s="257">
        <v>0</v>
      </c>
      <c r="J421" s="257">
        <v>0</v>
      </c>
      <c r="K421" s="257">
        <v>112924.29</v>
      </c>
      <c r="L421" s="257"/>
      <c r="M421" s="257">
        <v>112924.29</v>
      </c>
      <c r="N421" s="257"/>
      <c r="O421" s="257">
        <v>161585.71</v>
      </c>
      <c r="P421" s="257">
        <v>161585.71</v>
      </c>
    </row>
    <row r="422" spans="1:16" hidden="1" x14ac:dyDescent="0.25">
      <c r="A422" s="143" t="s">
        <v>711</v>
      </c>
      <c r="B422" s="143" t="s">
        <v>204</v>
      </c>
      <c r="C422" s="143" t="s">
        <v>205</v>
      </c>
      <c r="D422" s="143" t="s">
        <v>69</v>
      </c>
      <c r="E422" s="257">
        <v>4524220</v>
      </c>
      <c r="F422" s="257">
        <v>4151343</v>
      </c>
      <c r="G422" s="257">
        <v>4151343</v>
      </c>
      <c r="H422" s="257">
        <v>0</v>
      </c>
      <c r="I422" s="257">
        <v>0</v>
      </c>
      <c r="J422" s="257">
        <v>0</v>
      </c>
      <c r="K422" s="257">
        <v>2970763.46</v>
      </c>
      <c r="L422" s="257"/>
      <c r="M422" s="257">
        <v>2970763.46</v>
      </c>
      <c r="N422" s="257"/>
      <c r="O422" s="257">
        <v>1180579.54</v>
      </c>
      <c r="P422" s="257">
        <v>1180579.54</v>
      </c>
    </row>
    <row r="423" spans="1:16" hidden="1" x14ac:dyDescent="0.25">
      <c r="A423" s="143" t="s">
        <v>711</v>
      </c>
      <c r="B423" s="143" t="s">
        <v>322</v>
      </c>
      <c r="C423" s="143" t="s">
        <v>323</v>
      </c>
      <c r="D423" s="143" t="s">
        <v>69</v>
      </c>
      <c r="E423" s="257">
        <v>134785</v>
      </c>
      <c r="F423" s="257">
        <v>13479</v>
      </c>
      <c r="G423" s="257">
        <v>13479</v>
      </c>
      <c r="H423" s="257">
        <v>0</v>
      </c>
      <c r="I423" s="257">
        <v>0</v>
      </c>
      <c r="J423" s="257">
        <v>0</v>
      </c>
      <c r="K423" s="257">
        <v>0</v>
      </c>
      <c r="L423" s="257"/>
      <c r="M423" s="257">
        <v>0</v>
      </c>
      <c r="N423" s="257"/>
      <c r="O423" s="257">
        <v>13479</v>
      </c>
      <c r="P423" s="257">
        <v>13479</v>
      </c>
    </row>
    <row r="424" spans="1:16" hidden="1" x14ac:dyDescent="0.25">
      <c r="A424" s="143" t="s">
        <v>711</v>
      </c>
      <c r="B424" s="143" t="s">
        <v>206</v>
      </c>
      <c r="C424" s="143" t="s">
        <v>207</v>
      </c>
      <c r="D424" s="143" t="s">
        <v>69</v>
      </c>
      <c r="E424" s="257">
        <v>4818247</v>
      </c>
      <c r="F424" s="257">
        <v>0</v>
      </c>
      <c r="G424" s="257">
        <v>0</v>
      </c>
      <c r="H424" s="257">
        <v>0</v>
      </c>
      <c r="I424" s="257">
        <v>0</v>
      </c>
      <c r="J424" s="257">
        <v>0</v>
      </c>
      <c r="K424" s="257">
        <v>0</v>
      </c>
      <c r="L424" s="257"/>
      <c r="M424" s="257">
        <v>0</v>
      </c>
      <c r="N424" s="257"/>
      <c r="O424" s="257">
        <v>0</v>
      </c>
      <c r="P424" s="257">
        <v>0</v>
      </c>
    </row>
    <row r="425" spans="1:16" hidden="1" x14ac:dyDescent="0.25">
      <c r="A425" s="143" t="s">
        <v>711</v>
      </c>
      <c r="B425" s="143" t="s">
        <v>208</v>
      </c>
      <c r="C425" s="143" t="s">
        <v>209</v>
      </c>
      <c r="D425" s="143" t="s">
        <v>69</v>
      </c>
      <c r="E425" s="257">
        <v>4818247</v>
      </c>
      <c r="F425" s="257">
        <v>0</v>
      </c>
      <c r="G425" s="257">
        <v>0</v>
      </c>
      <c r="H425" s="257">
        <v>0</v>
      </c>
      <c r="I425" s="257">
        <v>0</v>
      </c>
      <c r="J425" s="257">
        <v>0</v>
      </c>
      <c r="K425" s="257">
        <v>0</v>
      </c>
      <c r="L425" s="257"/>
      <c r="M425" s="257">
        <v>0</v>
      </c>
      <c r="N425" s="257"/>
      <c r="O425" s="257">
        <v>0</v>
      </c>
      <c r="P425" s="257">
        <v>0</v>
      </c>
    </row>
    <row r="426" spans="1:16" hidden="1" x14ac:dyDescent="0.25">
      <c r="A426" s="143" t="s">
        <v>711</v>
      </c>
      <c r="B426" s="143" t="s">
        <v>354</v>
      </c>
      <c r="C426" s="143" t="s">
        <v>355</v>
      </c>
      <c r="D426" s="143" t="s">
        <v>69</v>
      </c>
      <c r="E426" s="257">
        <v>2859160</v>
      </c>
      <c r="F426" s="257">
        <v>0</v>
      </c>
      <c r="G426" s="257">
        <v>0</v>
      </c>
      <c r="H426" s="257">
        <v>0</v>
      </c>
      <c r="I426" s="257">
        <v>0</v>
      </c>
      <c r="J426" s="257">
        <v>0</v>
      </c>
      <c r="K426" s="257">
        <v>0</v>
      </c>
      <c r="L426" s="257"/>
      <c r="M426" s="257">
        <v>0</v>
      </c>
      <c r="N426" s="257"/>
      <c r="O426" s="257">
        <v>0</v>
      </c>
      <c r="P426" s="257">
        <v>0</v>
      </c>
    </row>
    <row r="427" spans="1:16" hidden="1" x14ac:dyDescent="0.25">
      <c r="A427" s="143" t="s">
        <v>711</v>
      </c>
      <c r="B427" s="143" t="s">
        <v>356</v>
      </c>
      <c r="C427" s="143" t="s">
        <v>357</v>
      </c>
      <c r="D427" s="143" t="s">
        <v>69</v>
      </c>
      <c r="E427" s="257">
        <v>2859160</v>
      </c>
      <c r="F427" s="257">
        <v>0</v>
      </c>
      <c r="G427" s="257">
        <v>0</v>
      </c>
      <c r="H427" s="257">
        <v>0</v>
      </c>
      <c r="I427" s="257">
        <v>0</v>
      </c>
      <c r="J427" s="257">
        <v>0</v>
      </c>
      <c r="K427" s="257">
        <v>0</v>
      </c>
      <c r="L427" s="257"/>
      <c r="M427" s="257">
        <v>0</v>
      </c>
      <c r="N427" s="257"/>
      <c r="O427" s="257">
        <v>0</v>
      </c>
      <c r="P427" s="257">
        <v>0</v>
      </c>
    </row>
    <row r="428" spans="1:16" hidden="1" x14ac:dyDescent="0.25">
      <c r="A428" s="143" t="s">
        <v>711</v>
      </c>
      <c r="B428" s="143" t="s">
        <v>212</v>
      </c>
      <c r="C428" s="143" t="s">
        <v>213</v>
      </c>
      <c r="D428" s="143" t="s">
        <v>69</v>
      </c>
      <c r="E428" s="257">
        <v>20687802</v>
      </c>
      <c r="F428" s="257">
        <v>15336309</v>
      </c>
      <c r="G428" s="257">
        <v>15336309</v>
      </c>
      <c r="H428" s="257">
        <v>310219.40000000002</v>
      </c>
      <c r="I428" s="257">
        <v>7428258.6699999999</v>
      </c>
      <c r="J428" s="257">
        <v>0</v>
      </c>
      <c r="K428" s="257">
        <v>3163899.94</v>
      </c>
      <c r="L428" s="257"/>
      <c r="M428" s="257">
        <v>2999493.02</v>
      </c>
      <c r="N428" s="257"/>
      <c r="O428" s="257">
        <v>4433930.99</v>
      </c>
      <c r="P428" s="257">
        <v>4433930.99</v>
      </c>
    </row>
    <row r="429" spans="1:16" hidden="1" x14ac:dyDescent="0.25">
      <c r="A429" s="143" t="s">
        <v>711</v>
      </c>
      <c r="B429" s="143" t="s">
        <v>216</v>
      </c>
      <c r="C429" s="143" t="s">
        <v>217</v>
      </c>
      <c r="D429" s="143" t="s">
        <v>69</v>
      </c>
      <c r="E429" s="257">
        <v>9443712</v>
      </c>
      <c r="F429" s="257">
        <v>5525694</v>
      </c>
      <c r="G429" s="257">
        <v>5525694</v>
      </c>
      <c r="H429" s="257">
        <v>310219.40000000002</v>
      </c>
      <c r="I429" s="257">
        <v>2457950</v>
      </c>
      <c r="J429" s="257">
        <v>0</v>
      </c>
      <c r="K429" s="257">
        <v>132603.07</v>
      </c>
      <c r="L429" s="257"/>
      <c r="M429" s="257">
        <v>0</v>
      </c>
      <c r="N429" s="257"/>
      <c r="O429" s="257">
        <v>2624921.5299999998</v>
      </c>
      <c r="P429" s="257">
        <v>2624921.5299999998</v>
      </c>
    </row>
    <row r="430" spans="1:16" hidden="1" x14ac:dyDescent="0.25">
      <c r="A430" s="143" t="s">
        <v>711</v>
      </c>
      <c r="B430" s="143" t="s">
        <v>218</v>
      </c>
      <c r="C430" s="143" t="s">
        <v>219</v>
      </c>
      <c r="D430" s="143" t="s">
        <v>69</v>
      </c>
      <c r="E430" s="257">
        <v>4708500</v>
      </c>
      <c r="F430" s="257">
        <v>4708500</v>
      </c>
      <c r="G430" s="257">
        <v>4708500</v>
      </c>
      <c r="H430" s="257">
        <v>0</v>
      </c>
      <c r="I430" s="257">
        <v>3704708.65</v>
      </c>
      <c r="J430" s="257">
        <v>0</v>
      </c>
      <c r="K430" s="257">
        <v>0</v>
      </c>
      <c r="L430" s="257"/>
      <c r="M430" s="257">
        <v>0</v>
      </c>
      <c r="N430" s="257"/>
      <c r="O430" s="257">
        <v>1003791.35</v>
      </c>
      <c r="P430" s="257">
        <v>1003791.35</v>
      </c>
    </row>
    <row r="431" spans="1:16" hidden="1" x14ac:dyDescent="0.25">
      <c r="A431" s="143" t="s">
        <v>711</v>
      </c>
      <c r="B431" s="143" t="s">
        <v>220</v>
      </c>
      <c r="C431" s="143" t="s">
        <v>221</v>
      </c>
      <c r="D431" s="143" t="s">
        <v>69</v>
      </c>
      <c r="E431" s="257">
        <v>4306450</v>
      </c>
      <c r="F431" s="257">
        <v>3981750</v>
      </c>
      <c r="G431" s="257">
        <v>3981750</v>
      </c>
      <c r="H431" s="257">
        <v>0</v>
      </c>
      <c r="I431" s="257">
        <v>1265600.02</v>
      </c>
      <c r="J431" s="257">
        <v>0</v>
      </c>
      <c r="K431" s="257">
        <v>2409124.52</v>
      </c>
      <c r="L431" s="257"/>
      <c r="M431" s="257">
        <v>2409124.52</v>
      </c>
      <c r="N431" s="257"/>
      <c r="O431" s="257">
        <v>307025.46000000002</v>
      </c>
      <c r="P431" s="257">
        <v>307025.46000000002</v>
      </c>
    </row>
    <row r="432" spans="1:16" hidden="1" x14ac:dyDescent="0.25">
      <c r="A432" s="143" t="s">
        <v>711</v>
      </c>
      <c r="B432" s="143" t="s">
        <v>222</v>
      </c>
      <c r="C432" s="143" t="s">
        <v>223</v>
      </c>
      <c r="D432" s="143" t="s">
        <v>69</v>
      </c>
      <c r="E432" s="257">
        <v>842640</v>
      </c>
      <c r="F432" s="257">
        <v>842640</v>
      </c>
      <c r="G432" s="257">
        <v>842640</v>
      </c>
      <c r="H432" s="257">
        <v>0</v>
      </c>
      <c r="I432" s="257">
        <v>0</v>
      </c>
      <c r="J432" s="257">
        <v>0</v>
      </c>
      <c r="K432" s="257">
        <v>590368.5</v>
      </c>
      <c r="L432" s="257"/>
      <c r="M432" s="257">
        <v>590368.5</v>
      </c>
      <c r="N432" s="257"/>
      <c r="O432" s="257">
        <v>252271.5</v>
      </c>
      <c r="P432" s="257">
        <v>252271.5</v>
      </c>
    </row>
    <row r="433" spans="1:16" hidden="1" x14ac:dyDescent="0.25">
      <c r="A433" s="143" t="s">
        <v>711</v>
      </c>
      <c r="B433" s="143" t="s">
        <v>224</v>
      </c>
      <c r="C433" s="143" t="s">
        <v>225</v>
      </c>
      <c r="D433" s="143" t="s">
        <v>69</v>
      </c>
      <c r="E433" s="257">
        <v>887300</v>
      </c>
      <c r="F433" s="257">
        <v>160725</v>
      </c>
      <c r="G433" s="257">
        <v>160725</v>
      </c>
      <c r="H433" s="257">
        <v>0</v>
      </c>
      <c r="I433" s="257">
        <v>0</v>
      </c>
      <c r="J433" s="257">
        <v>0</v>
      </c>
      <c r="K433" s="257">
        <v>31803.85</v>
      </c>
      <c r="L433" s="257"/>
      <c r="M433" s="257">
        <v>0</v>
      </c>
      <c r="N433" s="257"/>
      <c r="O433" s="257">
        <v>128921.15</v>
      </c>
      <c r="P433" s="257">
        <v>128921.15</v>
      </c>
    </row>
    <row r="434" spans="1:16" hidden="1" x14ac:dyDescent="0.25">
      <c r="A434" s="143" t="s">
        <v>711</v>
      </c>
      <c r="B434" s="143" t="s">
        <v>228</v>
      </c>
      <c r="C434" s="143" t="s">
        <v>229</v>
      </c>
      <c r="D434" s="143" t="s">
        <v>69</v>
      </c>
      <c r="E434" s="257">
        <v>499200</v>
      </c>
      <c r="F434" s="257">
        <v>117000</v>
      </c>
      <c r="G434" s="257">
        <v>117000</v>
      </c>
      <c r="H434" s="257">
        <v>0</v>
      </c>
      <c r="I434" s="257">
        <v>0</v>
      </c>
      <c r="J434" s="257">
        <v>0</v>
      </c>
      <c r="K434" s="257">
        <v>0</v>
      </c>
      <c r="L434" s="257"/>
      <c r="M434" s="257">
        <v>0</v>
      </c>
      <c r="N434" s="257"/>
      <c r="O434" s="257">
        <v>117000</v>
      </c>
      <c r="P434" s="257">
        <v>117000</v>
      </c>
    </row>
    <row r="435" spans="1:16" hidden="1" x14ac:dyDescent="0.25">
      <c r="A435" s="143" t="s">
        <v>711</v>
      </c>
      <c r="B435" s="143" t="s">
        <v>222</v>
      </c>
      <c r="C435" s="143" t="s">
        <v>223</v>
      </c>
      <c r="D435" s="143" t="s">
        <v>85</v>
      </c>
      <c r="E435" s="257">
        <v>0</v>
      </c>
      <c r="F435" s="257">
        <v>0</v>
      </c>
      <c r="G435" s="257">
        <v>0</v>
      </c>
      <c r="H435" s="257">
        <v>0</v>
      </c>
      <c r="I435" s="257">
        <v>0</v>
      </c>
      <c r="J435" s="257">
        <v>0</v>
      </c>
      <c r="K435" s="257">
        <v>0</v>
      </c>
      <c r="L435" s="257"/>
      <c r="M435" s="257">
        <v>0</v>
      </c>
      <c r="N435" s="257"/>
      <c r="O435" s="257">
        <v>0</v>
      </c>
      <c r="P435" s="257">
        <v>0</v>
      </c>
    </row>
    <row r="436" spans="1:16" hidden="1" x14ac:dyDescent="0.25">
      <c r="A436" s="143" t="s">
        <v>711</v>
      </c>
      <c r="B436" s="143" t="s">
        <v>248</v>
      </c>
      <c r="C436" s="143" t="s">
        <v>249</v>
      </c>
      <c r="D436" s="143" t="s">
        <v>69</v>
      </c>
      <c r="E436" s="257">
        <v>236354526</v>
      </c>
      <c r="F436" s="257">
        <v>252014843</v>
      </c>
      <c r="G436" s="257">
        <v>252014843</v>
      </c>
      <c r="H436" s="257">
        <v>0</v>
      </c>
      <c r="I436" s="257">
        <v>40270096</v>
      </c>
      <c r="J436" s="257">
        <v>0</v>
      </c>
      <c r="K436" s="257">
        <v>194616099.5</v>
      </c>
      <c r="L436" s="257"/>
      <c r="M436" s="257">
        <v>194616099.5</v>
      </c>
      <c r="N436" s="257"/>
      <c r="O436" s="257">
        <v>17128647.5</v>
      </c>
      <c r="P436" s="257">
        <v>17128647.5</v>
      </c>
    </row>
    <row r="437" spans="1:16" hidden="1" x14ac:dyDescent="0.25">
      <c r="A437" s="143" t="s">
        <v>711</v>
      </c>
      <c r="B437" s="143" t="s">
        <v>250</v>
      </c>
      <c r="C437" s="143" t="s">
        <v>251</v>
      </c>
      <c r="D437" s="143" t="s">
        <v>69</v>
      </c>
      <c r="E437" s="257">
        <v>180354526</v>
      </c>
      <c r="F437" s="257">
        <v>176014843</v>
      </c>
      <c r="G437" s="257">
        <v>176014843</v>
      </c>
      <c r="H437" s="257">
        <v>0</v>
      </c>
      <c r="I437" s="257">
        <v>40270096</v>
      </c>
      <c r="J437" s="257">
        <v>0</v>
      </c>
      <c r="K437" s="257">
        <v>134394605</v>
      </c>
      <c r="L437" s="257"/>
      <c r="M437" s="257">
        <v>134394605</v>
      </c>
      <c r="N437" s="257"/>
      <c r="O437" s="257">
        <v>1350142</v>
      </c>
      <c r="P437" s="257">
        <v>1350142</v>
      </c>
    </row>
    <row r="438" spans="1:16" hidden="1" x14ac:dyDescent="0.25">
      <c r="A438" s="143" t="s">
        <v>711</v>
      </c>
      <c r="B438" s="143" t="s">
        <v>630</v>
      </c>
      <c r="C438" s="143" t="s">
        <v>702</v>
      </c>
      <c r="D438" s="143" t="s">
        <v>69</v>
      </c>
      <c r="E438" s="257">
        <v>153192762</v>
      </c>
      <c r="F438" s="257">
        <v>149506644</v>
      </c>
      <c r="G438" s="257">
        <v>149506644</v>
      </c>
      <c r="H438" s="257">
        <v>0</v>
      </c>
      <c r="I438" s="257">
        <v>34393637</v>
      </c>
      <c r="J438" s="257">
        <v>0</v>
      </c>
      <c r="K438" s="257">
        <v>113966199</v>
      </c>
      <c r="L438" s="257"/>
      <c r="M438" s="257">
        <v>113966199</v>
      </c>
      <c r="N438" s="257"/>
      <c r="O438" s="257">
        <v>1146808</v>
      </c>
      <c r="P438" s="257">
        <v>1146808</v>
      </c>
    </row>
    <row r="439" spans="1:16" hidden="1" x14ac:dyDescent="0.25">
      <c r="A439" s="143" t="s">
        <v>711</v>
      </c>
      <c r="B439" s="143" t="s">
        <v>645</v>
      </c>
      <c r="C439" s="143" t="s">
        <v>703</v>
      </c>
      <c r="D439" s="143" t="s">
        <v>69</v>
      </c>
      <c r="E439" s="257">
        <v>27161764</v>
      </c>
      <c r="F439" s="257">
        <v>26508199</v>
      </c>
      <c r="G439" s="257">
        <v>26508199</v>
      </c>
      <c r="H439" s="257">
        <v>0</v>
      </c>
      <c r="I439" s="257">
        <v>5876459</v>
      </c>
      <c r="J439" s="257">
        <v>0</v>
      </c>
      <c r="K439" s="257">
        <v>20428406</v>
      </c>
      <c r="L439" s="257"/>
      <c r="M439" s="257">
        <v>20428406</v>
      </c>
      <c r="N439" s="257"/>
      <c r="O439" s="257">
        <v>203334</v>
      </c>
      <c r="P439" s="257">
        <v>203334</v>
      </c>
    </row>
    <row r="440" spans="1:16" hidden="1" x14ac:dyDescent="0.25">
      <c r="A440" s="143" t="s">
        <v>711</v>
      </c>
      <c r="B440" s="143" t="s">
        <v>260</v>
      </c>
      <c r="C440" s="143" t="s">
        <v>261</v>
      </c>
      <c r="D440" s="143" t="s">
        <v>69</v>
      </c>
      <c r="E440" s="257">
        <v>56000000</v>
      </c>
      <c r="F440" s="257">
        <v>76000000</v>
      </c>
      <c r="G440" s="257">
        <v>76000000</v>
      </c>
      <c r="H440" s="257">
        <v>0</v>
      </c>
      <c r="I440" s="257">
        <v>0</v>
      </c>
      <c r="J440" s="257">
        <v>0</v>
      </c>
      <c r="K440" s="257">
        <v>60221494.5</v>
      </c>
      <c r="L440" s="257"/>
      <c r="M440" s="257">
        <v>60221494.5</v>
      </c>
      <c r="N440" s="257"/>
      <c r="O440" s="257">
        <v>15778505.5</v>
      </c>
      <c r="P440" s="257">
        <v>15778505.5</v>
      </c>
    </row>
    <row r="441" spans="1:16" hidden="1" x14ac:dyDescent="0.25">
      <c r="A441" s="143" t="s">
        <v>711</v>
      </c>
      <c r="B441" s="143" t="s">
        <v>264</v>
      </c>
      <c r="C441" s="143" t="s">
        <v>265</v>
      </c>
      <c r="D441" s="143" t="s">
        <v>69</v>
      </c>
      <c r="E441" s="257">
        <v>56000000</v>
      </c>
      <c r="F441" s="257">
        <v>76000000</v>
      </c>
      <c r="G441" s="257">
        <v>76000000</v>
      </c>
      <c r="H441" s="257">
        <v>0</v>
      </c>
      <c r="I441" s="257">
        <v>0</v>
      </c>
      <c r="J441" s="257">
        <v>0</v>
      </c>
      <c r="K441" s="257">
        <v>60221494.5</v>
      </c>
      <c r="L441" s="257"/>
      <c r="M441" s="257">
        <v>60221494.5</v>
      </c>
      <c r="N441" s="257"/>
      <c r="O441" s="257">
        <v>15778505.5</v>
      </c>
      <c r="P441" s="257">
        <v>15778505.5</v>
      </c>
    </row>
    <row r="442" spans="1:16" hidden="1" x14ac:dyDescent="0.25">
      <c r="A442" s="143" t="s">
        <v>711</v>
      </c>
      <c r="B442" s="143" t="s">
        <v>230</v>
      </c>
      <c r="C442" s="143" t="s">
        <v>231</v>
      </c>
      <c r="D442" s="143" t="s">
        <v>85</v>
      </c>
      <c r="E442" s="257">
        <v>53324000</v>
      </c>
      <c r="F442" s="257">
        <v>51342000</v>
      </c>
      <c r="G442" s="257">
        <v>51215900</v>
      </c>
      <c r="H442" s="257">
        <v>41524067.979999997</v>
      </c>
      <c r="I442" s="257">
        <v>0</v>
      </c>
      <c r="J442" s="257">
        <v>0</v>
      </c>
      <c r="K442" s="257">
        <v>9623993.9100000001</v>
      </c>
      <c r="L442" s="257"/>
      <c r="M442" s="257">
        <v>9623993.9100000001</v>
      </c>
      <c r="N442" s="257"/>
      <c r="O442" s="257">
        <v>193938.11</v>
      </c>
      <c r="P442" s="257">
        <v>67838.11</v>
      </c>
    </row>
    <row r="443" spans="1:16" hidden="1" x14ac:dyDescent="0.25">
      <c r="A443" s="143" t="s">
        <v>711</v>
      </c>
      <c r="B443" s="143" t="s">
        <v>232</v>
      </c>
      <c r="C443" s="143" t="s">
        <v>233</v>
      </c>
      <c r="D443" s="143" t="s">
        <v>85</v>
      </c>
      <c r="E443" s="257">
        <v>45824000</v>
      </c>
      <c r="F443" s="257">
        <v>42525000</v>
      </c>
      <c r="G443" s="257">
        <v>42398900</v>
      </c>
      <c r="H443" s="257">
        <v>41524067.979999997</v>
      </c>
      <c r="I443" s="257">
        <v>0</v>
      </c>
      <c r="J443" s="257">
        <v>0</v>
      </c>
      <c r="K443" s="257">
        <v>823993.91</v>
      </c>
      <c r="L443" s="257"/>
      <c r="M443" s="257">
        <v>823993.91</v>
      </c>
      <c r="N443" s="257"/>
      <c r="O443" s="257">
        <v>176938.11</v>
      </c>
      <c r="P443" s="257">
        <v>50838.11</v>
      </c>
    </row>
    <row r="444" spans="1:16" hidden="1" x14ac:dyDescent="0.25">
      <c r="A444" s="143" t="s">
        <v>711</v>
      </c>
      <c r="B444" s="143" t="s">
        <v>234</v>
      </c>
      <c r="C444" s="143" t="s">
        <v>235</v>
      </c>
      <c r="D444" s="143" t="s">
        <v>85</v>
      </c>
      <c r="E444" s="257">
        <v>3490000</v>
      </c>
      <c r="F444" s="257">
        <v>790000</v>
      </c>
      <c r="G444" s="257">
        <v>754000</v>
      </c>
      <c r="H444" s="257">
        <v>0</v>
      </c>
      <c r="I444" s="257">
        <v>0</v>
      </c>
      <c r="J444" s="257">
        <v>0</v>
      </c>
      <c r="K444" s="257">
        <v>749985.6</v>
      </c>
      <c r="L444" s="257"/>
      <c r="M444" s="257">
        <v>749985.6</v>
      </c>
      <c r="N444" s="257"/>
      <c r="O444" s="257">
        <v>40014.400000000001</v>
      </c>
      <c r="P444" s="257">
        <v>4014.4</v>
      </c>
    </row>
    <row r="445" spans="1:16" hidden="1" x14ac:dyDescent="0.25">
      <c r="A445" s="143" t="s">
        <v>711</v>
      </c>
      <c r="B445" s="143" t="s">
        <v>238</v>
      </c>
      <c r="C445" s="143" t="s">
        <v>239</v>
      </c>
      <c r="D445" s="143" t="s">
        <v>85</v>
      </c>
      <c r="E445" s="257">
        <v>420000</v>
      </c>
      <c r="F445" s="257">
        <v>0</v>
      </c>
      <c r="G445" s="257">
        <v>0</v>
      </c>
      <c r="H445" s="257">
        <v>0</v>
      </c>
      <c r="I445" s="257">
        <v>0</v>
      </c>
      <c r="J445" s="257">
        <v>0</v>
      </c>
      <c r="K445" s="257">
        <v>0</v>
      </c>
      <c r="L445" s="257"/>
      <c r="M445" s="257">
        <v>0</v>
      </c>
      <c r="N445" s="257"/>
      <c r="O445" s="257">
        <v>0</v>
      </c>
      <c r="P445" s="257">
        <v>0</v>
      </c>
    </row>
    <row r="446" spans="1:16" hidden="1" x14ac:dyDescent="0.25">
      <c r="A446" s="143" t="s">
        <v>711</v>
      </c>
      <c r="B446" s="143" t="s">
        <v>326</v>
      </c>
      <c r="C446" s="143" t="s">
        <v>327</v>
      </c>
      <c r="D446" s="143" t="s">
        <v>85</v>
      </c>
      <c r="E446" s="257">
        <v>41125000</v>
      </c>
      <c r="F446" s="257">
        <v>41545000</v>
      </c>
      <c r="G446" s="257">
        <v>41545000</v>
      </c>
      <c r="H446" s="257">
        <v>41524067.979999997</v>
      </c>
      <c r="I446" s="257">
        <v>0</v>
      </c>
      <c r="J446" s="257">
        <v>0</v>
      </c>
      <c r="K446" s="257">
        <v>0</v>
      </c>
      <c r="L446" s="257"/>
      <c r="M446" s="257">
        <v>0</v>
      </c>
      <c r="N446" s="257"/>
      <c r="O446" s="257">
        <v>20932.02</v>
      </c>
      <c r="P446" s="257">
        <v>20932.02</v>
      </c>
    </row>
    <row r="447" spans="1:16" hidden="1" x14ac:dyDescent="0.25">
      <c r="A447" s="143" t="s">
        <v>711</v>
      </c>
      <c r="B447" s="143" t="s">
        <v>242</v>
      </c>
      <c r="C447" s="143" t="s">
        <v>243</v>
      </c>
      <c r="D447" s="143" t="s">
        <v>85</v>
      </c>
      <c r="E447" s="257">
        <v>789000</v>
      </c>
      <c r="F447" s="257">
        <v>190000</v>
      </c>
      <c r="G447" s="257">
        <v>99900</v>
      </c>
      <c r="H447" s="257">
        <v>0</v>
      </c>
      <c r="I447" s="257">
        <v>0</v>
      </c>
      <c r="J447" s="257">
        <v>0</v>
      </c>
      <c r="K447" s="257">
        <v>74008.31</v>
      </c>
      <c r="L447" s="257"/>
      <c r="M447" s="257">
        <v>74008.31</v>
      </c>
      <c r="N447" s="257"/>
      <c r="O447" s="257">
        <v>115991.69</v>
      </c>
      <c r="P447" s="257">
        <v>25891.69</v>
      </c>
    </row>
    <row r="448" spans="1:16" hidden="1" x14ac:dyDescent="0.25">
      <c r="A448" s="143" t="s">
        <v>711</v>
      </c>
      <c r="B448" s="143" t="s">
        <v>244</v>
      </c>
      <c r="C448" s="143" t="s">
        <v>245</v>
      </c>
      <c r="D448" s="143" t="s">
        <v>85</v>
      </c>
      <c r="E448" s="257">
        <v>7500000</v>
      </c>
      <c r="F448" s="257">
        <v>8817000</v>
      </c>
      <c r="G448" s="257">
        <v>8817000</v>
      </c>
      <c r="H448" s="257">
        <v>0</v>
      </c>
      <c r="I448" s="257">
        <v>0</v>
      </c>
      <c r="J448" s="257">
        <v>0</v>
      </c>
      <c r="K448" s="257">
        <v>8800000</v>
      </c>
      <c r="L448" s="257"/>
      <c r="M448" s="257">
        <v>8800000</v>
      </c>
      <c r="N448" s="257"/>
      <c r="O448" s="257">
        <v>17000</v>
      </c>
      <c r="P448" s="257">
        <v>17000</v>
      </c>
    </row>
    <row r="449" spans="1:16" hidden="1" x14ac:dyDescent="0.25">
      <c r="A449" s="143" t="s">
        <v>711</v>
      </c>
      <c r="B449" s="143" t="s">
        <v>611</v>
      </c>
      <c r="C449" s="143" t="s">
        <v>612</v>
      </c>
      <c r="D449" s="143" t="s">
        <v>85</v>
      </c>
      <c r="E449" s="257">
        <v>7500000</v>
      </c>
      <c r="F449" s="257">
        <v>8817000</v>
      </c>
      <c r="G449" s="257">
        <v>8817000</v>
      </c>
      <c r="H449" s="257">
        <v>0</v>
      </c>
      <c r="I449" s="257">
        <v>0</v>
      </c>
      <c r="J449" s="257">
        <v>0</v>
      </c>
      <c r="K449" s="257">
        <v>8800000</v>
      </c>
      <c r="L449" s="257"/>
      <c r="M449" s="257">
        <v>8800000</v>
      </c>
      <c r="N449" s="257"/>
      <c r="O449" s="257">
        <v>17000</v>
      </c>
      <c r="P449" s="257">
        <v>17000</v>
      </c>
    </row>
    <row r="450" spans="1:16" x14ac:dyDescent="0.25">
      <c r="A450" s="44">
        <v>214789002</v>
      </c>
      <c r="C450" s="44"/>
      <c r="D450" s="44" t="s">
        <v>69</v>
      </c>
      <c r="E450" s="257">
        <v>2218633702</v>
      </c>
      <c r="F450" s="50">
        <v>2105742147</v>
      </c>
      <c r="G450" s="257">
        <v>2067931687</v>
      </c>
      <c r="H450" s="50">
        <v>32910</v>
      </c>
      <c r="I450" s="50">
        <v>216594164.72</v>
      </c>
      <c r="J450" s="50">
        <v>17889203.629999999</v>
      </c>
      <c r="K450" s="50">
        <v>1570379455.75</v>
      </c>
      <c r="L450" s="152">
        <f>+K450/F450</f>
        <v>0.74576056616774367</v>
      </c>
      <c r="M450" s="50">
        <v>1557637485.28</v>
      </c>
      <c r="N450" s="152">
        <f>+M450/F450</f>
        <v>0.73970950693043236</v>
      </c>
      <c r="O450" s="50">
        <v>300846412.89999998</v>
      </c>
      <c r="P450" s="152">
        <f>+O450/F450</f>
        <v>0.14286954047465336</v>
      </c>
    </row>
    <row r="451" spans="1:16" hidden="1" x14ac:dyDescent="0.25">
      <c r="A451" s="143" t="s">
        <v>712</v>
      </c>
      <c r="B451" s="143" t="s">
        <v>71</v>
      </c>
      <c r="C451" s="143" t="s">
        <v>72</v>
      </c>
      <c r="D451" s="143" t="s">
        <v>69</v>
      </c>
      <c r="E451" s="257">
        <v>1258145726</v>
      </c>
      <c r="F451" s="257">
        <v>1251534685</v>
      </c>
      <c r="G451" s="257">
        <v>1248734685</v>
      </c>
      <c r="H451" s="257">
        <v>0</v>
      </c>
      <c r="I451" s="257">
        <v>116660413.51000001</v>
      </c>
      <c r="J451" s="257">
        <v>0</v>
      </c>
      <c r="K451" s="257">
        <v>1011407613.26</v>
      </c>
      <c r="L451" s="257"/>
      <c r="M451" s="257">
        <v>1011407613.26</v>
      </c>
      <c r="N451" s="257"/>
      <c r="O451" s="257">
        <v>123466658.23</v>
      </c>
      <c r="P451" s="257">
        <v>120666658.23</v>
      </c>
    </row>
    <row r="452" spans="1:16" hidden="1" x14ac:dyDescent="0.25">
      <c r="A452" s="143" t="s">
        <v>712</v>
      </c>
      <c r="B452" s="143" t="s">
        <v>73</v>
      </c>
      <c r="C452" s="143" t="s">
        <v>74</v>
      </c>
      <c r="D452" s="143" t="s">
        <v>69</v>
      </c>
      <c r="E452" s="257">
        <v>493376624</v>
      </c>
      <c r="F452" s="257">
        <v>477092402</v>
      </c>
      <c r="G452" s="257">
        <v>477092402</v>
      </c>
      <c r="H452" s="257">
        <v>0</v>
      </c>
      <c r="I452" s="257">
        <v>0</v>
      </c>
      <c r="J452" s="257">
        <v>0</v>
      </c>
      <c r="K452" s="257">
        <v>418401612.83999997</v>
      </c>
      <c r="L452" s="257"/>
      <c r="M452" s="257">
        <v>418401612.83999997</v>
      </c>
      <c r="N452" s="257"/>
      <c r="O452" s="257">
        <v>58690789.159999996</v>
      </c>
      <c r="P452" s="257">
        <v>58690789.159999996</v>
      </c>
    </row>
    <row r="453" spans="1:16" hidden="1" x14ac:dyDescent="0.25">
      <c r="A453" s="143" t="s">
        <v>712</v>
      </c>
      <c r="B453" s="143" t="s">
        <v>75</v>
      </c>
      <c r="C453" s="143" t="s">
        <v>76</v>
      </c>
      <c r="D453" s="143" t="s">
        <v>69</v>
      </c>
      <c r="E453" s="257">
        <v>493376624</v>
      </c>
      <c r="F453" s="257">
        <v>477092402</v>
      </c>
      <c r="G453" s="257">
        <v>477092402</v>
      </c>
      <c r="H453" s="257">
        <v>0</v>
      </c>
      <c r="I453" s="257">
        <v>0</v>
      </c>
      <c r="J453" s="257">
        <v>0</v>
      </c>
      <c r="K453" s="257">
        <v>418401612.83999997</v>
      </c>
      <c r="L453" s="257"/>
      <c r="M453" s="257">
        <v>418401612.83999997</v>
      </c>
      <c r="N453" s="257"/>
      <c r="O453" s="257">
        <v>58690789.159999996</v>
      </c>
      <c r="P453" s="257">
        <v>58690789.159999996</v>
      </c>
    </row>
    <row r="454" spans="1:16" hidden="1" x14ac:dyDescent="0.25">
      <c r="A454" s="143" t="s">
        <v>712</v>
      </c>
      <c r="B454" s="143" t="s">
        <v>77</v>
      </c>
      <c r="C454" s="143" t="s">
        <v>78</v>
      </c>
      <c r="D454" s="143" t="s">
        <v>69</v>
      </c>
      <c r="E454" s="257">
        <v>572843880</v>
      </c>
      <c r="F454" s="257">
        <v>587062467</v>
      </c>
      <c r="G454" s="257">
        <v>587062467</v>
      </c>
      <c r="H454" s="257">
        <v>0</v>
      </c>
      <c r="I454" s="257">
        <v>88256200.510000005</v>
      </c>
      <c r="J454" s="257">
        <v>0</v>
      </c>
      <c r="K454" s="257">
        <v>438161227.42000002</v>
      </c>
      <c r="L454" s="257"/>
      <c r="M454" s="257">
        <v>438161227.42000002</v>
      </c>
      <c r="N454" s="257"/>
      <c r="O454" s="257">
        <v>60645039.07</v>
      </c>
      <c r="P454" s="257">
        <v>60645039.07</v>
      </c>
    </row>
    <row r="455" spans="1:16" hidden="1" x14ac:dyDescent="0.25">
      <c r="A455" s="143" t="s">
        <v>712</v>
      </c>
      <c r="B455" s="143" t="s">
        <v>79</v>
      </c>
      <c r="C455" s="143" t="s">
        <v>80</v>
      </c>
      <c r="D455" s="143" t="s">
        <v>69</v>
      </c>
      <c r="E455" s="257">
        <v>166263500</v>
      </c>
      <c r="F455" s="257">
        <v>166263500</v>
      </c>
      <c r="G455" s="257">
        <v>166263500</v>
      </c>
      <c r="H455" s="257">
        <v>0</v>
      </c>
      <c r="I455" s="257">
        <v>0</v>
      </c>
      <c r="J455" s="257">
        <v>0</v>
      </c>
      <c r="K455" s="257">
        <v>137289277.15000001</v>
      </c>
      <c r="L455" s="257"/>
      <c r="M455" s="257">
        <v>137289277.15000001</v>
      </c>
      <c r="N455" s="257"/>
      <c r="O455" s="257">
        <v>28974222.850000001</v>
      </c>
      <c r="P455" s="257">
        <v>28974222.850000001</v>
      </c>
    </row>
    <row r="456" spans="1:16" hidden="1" x14ac:dyDescent="0.25">
      <c r="A456" s="143" t="s">
        <v>712</v>
      </c>
      <c r="B456" s="143" t="s">
        <v>81</v>
      </c>
      <c r="C456" s="143" t="s">
        <v>82</v>
      </c>
      <c r="D456" s="143" t="s">
        <v>69</v>
      </c>
      <c r="E456" s="257">
        <v>139725380</v>
      </c>
      <c r="F456" s="257">
        <v>150724590</v>
      </c>
      <c r="G456" s="257">
        <v>150724590</v>
      </c>
      <c r="H456" s="257">
        <v>0</v>
      </c>
      <c r="I456" s="257">
        <v>0</v>
      </c>
      <c r="J456" s="257">
        <v>0</v>
      </c>
      <c r="K456" s="257">
        <v>132963072.91</v>
      </c>
      <c r="L456" s="257"/>
      <c r="M456" s="257">
        <v>132963072.91</v>
      </c>
      <c r="N456" s="257"/>
      <c r="O456" s="257">
        <v>17761517.09</v>
      </c>
      <c r="P456" s="257">
        <v>17761517.09</v>
      </c>
    </row>
    <row r="457" spans="1:16" hidden="1" x14ac:dyDescent="0.25">
      <c r="A457" s="143" t="s">
        <v>712</v>
      </c>
      <c r="B457" s="143" t="s">
        <v>86</v>
      </c>
      <c r="C457" s="143" t="s">
        <v>87</v>
      </c>
      <c r="D457" s="143" t="s">
        <v>69</v>
      </c>
      <c r="E457" s="257">
        <v>75278800</v>
      </c>
      <c r="F457" s="257">
        <v>75278800</v>
      </c>
      <c r="G457" s="257">
        <v>75278800</v>
      </c>
      <c r="H457" s="257">
        <v>0</v>
      </c>
      <c r="I457" s="257">
        <v>10000000</v>
      </c>
      <c r="J457" s="257">
        <v>0</v>
      </c>
      <c r="K457" s="257">
        <v>63401849.280000001</v>
      </c>
      <c r="L457" s="257"/>
      <c r="M457" s="257">
        <v>63401849.280000001</v>
      </c>
      <c r="N457" s="257"/>
      <c r="O457" s="257">
        <v>1876950.72</v>
      </c>
      <c r="P457" s="257">
        <v>1876950.72</v>
      </c>
    </row>
    <row r="458" spans="1:16" hidden="1" x14ac:dyDescent="0.25">
      <c r="A458" s="143" t="s">
        <v>712</v>
      </c>
      <c r="B458" s="143" t="s">
        <v>88</v>
      </c>
      <c r="C458" s="143" t="s">
        <v>89</v>
      </c>
      <c r="D458" s="143" t="s">
        <v>69</v>
      </c>
      <c r="E458" s="257">
        <v>109589600</v>
      </c>
      <c r="F458" s="257">
        <v>114750681</v>
      </c>
      <c r="G458" s="257">
        <v>114750681</v>
      </c>
      <c r="H458" s="257">
        <v>0</v>
      </c>
      <c r="I458" s="257">
        <v>0</v>
      </c>
      <c r="J458" s="257">
        <v>0</v>
      </c>
      <c r="K458" s="257">
        <v>104464544.77</v>
      </c>
      <c r="L458" s="257"/>
      <c r="M458" s="257">
        <v>104464544.77</v>
      </c>
      <c r="N458" s="257"/>
      <c r="O458" s="257">
        <v>10286136.23</v>
      </c>
      <c r="P458" s="257">
        <v>10286136.23</v>
      </c>
    </row>
    <row r="459" spans="1:16" hidden="1" x14ac:dyDescent="0.25">
      <c r="A459" s="143" t="s">
        <v>712</v>
      </c>
      <c r="B459" s="143" t="s">
        <v>83</v>
      </c>
      <c r="C459" s="143" t="s">
        <v>84</v>
      </c>
      <c r="D459" s="143" t="s">
        <v>85</v>
      </c>
      <c r="E459" s="257">
        <v>81986600</v>
      </c>
      <c r="F459" s="257">
        <v>80044896</v>
      </c>
      <c r="G459" s="257">
        <v>80044896</v>
      </c>
      <c r="H459" s="257">
        <v>0</v>
      </c>
      <c r="I459" s="257">
        <v>78256200.510000005</v>
      </c>
      <c r="J459" s="257">
        <v>0</v>
      </c>
      <c r="K459" s="257">
        <v>42483.31</v>
      </c>
      <c r="L459" s="257"/>
      <c r="M459" s="257">
        <v>42483.31</v>
      </c>
      <c r="N459" s="257"/>
      <c r="O459" s="257">
        <v>1746212.18</v>
      </c>
      <c r="P459" s="257">
        <v>1746212.18</v>
      </c>
    </row>
    <row r="460" spans="1:16" hidden="1" x14ac:dyDescent="0.25">
      <c r="A460" s="143" t="s">
        <v>712</v>
      </c>
      <c r="B460" s="143" t="s">
        <v>90</v>
      </c>
      <c r="C460" s="143" t="s">
        <v>91</v>
      </c>
      <c r="D460" s="143" t="s">
        <v>69</v>
      </c>
      <c r="E460" s="257">
        <v>95962711</v>
      </c>
      <c r="F460" s="257">
        <v>93690008</v>
      </c>
      <c r="G460" s="257">
        <v>93690008</v>
      </c>
      <c r="H460" s="257">
        <v>0</v>
      </c>
      <c r="I460" s="257">
        <v>15538968</v>
      </c>
      <c r="J460" s="257">
        <v>0</v>
      </c>
      <c r="K460" s="257">
        <v>77485625</v>
      </c>
      <c r="L460" s="257"/>
      <c r="M460" s="257">
        <v>77485625</v>
      </c>
      <c r="N460" s="257"/>
      <c r="O460" s="257">
        <v>665415</v>
      </c>
      <c r="P460" s="257">
        <v>665415</v>
      </c>
    </row>
    <row r="461" spans="1:16" hidden="1" x14ac:dyDescent="0.25">
      <c r="A461" s="143" t="s">
        <v>712</v>
      </c>
      <c r="B461" s="143" t="s">
        <v>422</v>
      </c>
      <c r="C461" s="143" t="s">
        <v>697</v>
      </c>
      <c r="D461" s="143" t="s">
        <v>69</v>
      </c>
      <c r="E461" s="257">
        <v>91041575</v>
      </c>
      <c r="F461" s="257">
        <v>88885421</v>
      </c>
      <c r="G461" s="257">
        <v>88885421</v>
      </c>
      <c r="H461" s="257">
        <v>0</v>
      </c>
      <c r="I461" s="257">
        <v>14742125</v>
      </c>
      <c r="J461" s="257">
        <v>0</v>
      </c>
      <c r="K461" s="257">
        <v>73512004</v>
      </c>
      <c r="L461" s="257"/>
      <c r="M461" s="257">
        <v>73512004</v>
      </c>
      <c r="N461" s="257"/>
      <c r="O461" s="257">
        <v>631292</v>
      </c>
      <c r="P461" s="257">
        <v>631292</v>
      </c>
    </row>
    <row r="462" spans="1:16" hidden="1" x14ac:dyDescent="0.25">
      <c r="A462" s="143" t="s">
        <v>712</v>
      </c>
      <c r="B462" s="143" t="s">
        <v>439</v>
      </c>
      <c r="C462" s="143" t="s">
        <v>95</v>
      </c>
      <c r="D462" s="143" t="s">
        <v>69</v>
      </c>
      <c r="E462" s="257">
        <v>4921136</v>
      </c>
      <c r="F462" s="257">
        <v>4804587</v>
      </c>
      <c r="G462" s="257">
        <v>4804587</v>
      </c>
      <c r="H462" s="257">
        <v>0</v>
      </c>
      <c r="I462" s="257">
        <v>796843</v>
      </c>
      <c r="J462" s="257">
        <v>0</v>
      </c>
      <c r="K462" s="257">
        <v>3973621</v>
      </c>
      <c r="L462" s="257"/>
      <c r="M462" s="257">
        <v>3973621</v>
      </c>
      <c r="N462" s="257"/>
      <c r="O462" s="257">
        <v>34123</v>
      </c>
      <c r="P462" s="257">
        <v>34123</v>
      </c>
    </row>
    <row r="463" spans="1:16" hidden="1" x14ac:dyDescent="0.25">
      <c r="A463" s="143" t="s">
        <v>712</v>
      </c>
      <c r="B463" s="143" t="s">
        <v>96</v>
      </c>
      <c r="C463" s="143" t="s">
        <v>97</v>
      </c>
      <c r="D463" s="143" t="s">
        <v>69</v>
      </c>
      <c r="E463" s="257">
        <v>95962511</v>
      </c>
      <c r="F463" s="257">
        <v>93689808</v>
      </c>
      <c r="G463" s="257">
        <v>90889808</v>
      </c>
      <c r="H463" s="257">
        <v>0</v>
      </c>
      <c r="I463" s="257">
        <v>12865245</v>
      </c>
      <c r="J463" s="257">
        <v>0</v>
      </c>
      <c r="K463" s="257">
        <v>77359148</v>
      </c>
      <c r="L463" s="257"/>
      <c r="M463" s="257">
        <v>77359148</v>
      </c>
      <c r="N463" s="257"/>
      <c r="O463" s="257">
        <v>3465415</v>
      </c>
      <c r="P463" s="257">
        <v>665415</v>
      </c>
    </row>
    <row r="464" spans="1:16" hidden="1" x14ac:dyDescent="0.25">
      <c r="A464" s="143" t="s">
        <v>712</v>
      </c>
      <c r="B464" s="143" t="s">
        <v>457</v>
      </c>
      <c r="C464" s="143" t="s">
        <v>698</v>
      </c>
      <c r="D464" s="143" t="s">
        <v>69</v>
      </c>
      <c r="E464" s="257">
        <v>51672183</v>
      </c>
      <c r="F464" s="257">
        <v>50448420</v>
      </c>
      <c r="G464" s="257">
        <v>50448420</v>
      </c>
      <c r="H464" s="257">
        <v>0</v>
      </c>
      <c r="I464" s="257">
        <v>8493568</v>
      </c>
      <c r="J464" s="257">
        <v>0</v>
      </c>
      <c r="K464" s="257">
        <v>41596551</v>
      </c>
      <c r="L464" s="257"/>
      <c r="M464" s="257">
        <v>41596551</v>
      </c>
      <c r="N464" s="257"/>
      <c r="O464" s="257">
        <v>358301</v>
      </c>
      <c r="P464" s="257">
        <v>358301</v>
      </c>
    </row>
    <row r="465" spans="1:16" hidden="1" x14ac:dyDescent="0.25">
      <c r="A465" s="143" t="s">
        <v>712</v>
      </c>
      <c r="B465" s="143" t="s">
        <v>474</v>
      </c>
      <c r="C465" s="143" t="s">
        <v>699</v>
      </c>
      <c r="D465" s="143" t="s">
        <v>69</v>
      </c>
      <c r="E465" s="257">
        <v>14763409</v>
      </c>
      <c r="F465" s="257">
        <v>14413762</v>
      </c>
      <c r="G465" s="257">
        <v>14413762</v>
      </c>
      <c r="H465" s="257">
        <v>0</v>
      </c>
      <c r="I465" s="257">
        <v>1256545</v>
      </c>
      <c r="J465" s="257">
        <v>0</v>
      </c>
      <c r="K465" s="257">
        <v>13054846</v>
      </c>
      <c r="L465" s="257"/>
      <c r="M465" s="257">
        <v>13054846</v>
      </c>
      <c r="N465" s="257"/>
      <c r="O465" s="257">
        <v>102371</v>
      </c>
      <c r="P465" s="257">
        <v>102371</v>
      </c>
    </row>
    <row r="466" spans="1:16" hidden="1" x14ac:dyDescent="0.25">
      <c r="A466" s="143" t="s">
        <v>712</v>
      </c>
      <c r="B466" s="143" t="s">
        <v>491</v>
      </c>
      <c r="C466" s="143" t="s">
        <v>700</v>
      </c>
      <c r="D466" s="143" t="s">
        <v>69</v>
      </c>
      <c r="E466" s="257">
        <v>29526919</v>
      </c>
      <c r="F466" s="257">
        <v>28827626</v>
      </c>
      <c r="G466" s="257">
        <v>26027626</v>
      </c>
      <c r="H466" s="257">
        <v>0</v>
      </c>
      <c r="I466" s="257">
        <v>3115132</v>
      </c>
      <c r="J466" s="257">
        <v>0</v>
      </c>
      <c r="K466" s="257">
        <v>22707751</v>
      </c>
      <c r="L466" s="257"/>
      <c r="M466" s="257">
        <v>22707751</v>
      </c>
      <c r="N466" s="257"/>
      <c r="O466" s="257">
        <v>3004743</v>
      </c>
      <c r="P466" s="257">
        <v>204743</v>
      </c>
    </row>
    <row r="467" spans="1:16" hidden="1" x14ac:dyDescent="0.25">
      <c r="A467" s="143" t="s">
        <v>712</v>
      </c>
      <c r="B467" s="143" t="s">
        <v>104</v>
      </c>
      <c r="C467" s="143" t="s">
        <v>105</v>
      </c>
      <c r="D467" s="143" t="s">
        <v>69</v>
      </c>
      <c r="E467" s="257">
        <v>306630000</v>
      </c>
      <c r="F467" s="257">
        <v>306606621</v>
      </c>
      <c r="G467" s="257">
        <v>306606621</v>
      </c>
      <c r="H467" s="257">
        <v>0</v>
      </c>
      <c r="I467" s="257">
        <v>52575508.890000001</v>
      </c>
      <c r="J467" s="257">
        <v>0</v>
      </c>
      <c r="K467" s="257">
        <v>253304905.16</v>
      </c>
      <c r="L467" s="257"/>
      <c r="M467" s="257">
        <v>240703313.06</v>
      </c>
      <c r="N467" s="257"/>
      <c r="O467" s="257">
        <v>726206.95</v>
      </c>
      <c r="P467" s="257">
        <v>726206.95</v>
      </c>
    </row>
    <row r="468" spans="1:16" hidden="1" x14ac:dyDescent="0.25">
      <c r="A468" s="143" t="s">
        <v>712</v>
      </c>
      <c r="B468" s="143" t="s">
        <v>112</v>
      </c>
      <c r="C468" s="143" t="s">
        <v>113</v>
      </c>
      <c r="D468" s="143" t="s">
        <v>69</v>
      </c>
      <c r="E468" s="257">
        <v>291630000</v>
      </c>
      <c r="F468" s="257">
        <v>291640000</v>
      </c>
      <c r="G468" s="257">
        <v>291640000</v>
      </c>
      <c r="H468" s="257">
        <v>0</v>
      </c>
      <c r="I468" s="257">
        <v>43118283.049999997</v>
      </c>
      <c r="J468" s="257">
        <v>0</v>
      </c>
      <c r="K468" s="257">
        <v>248521716.34999999</v>
      </c>
      <c r="L468" s="257"/>
      <c r="M468" s="257">
        <v>238331779.55000001</v>
      </c>
      <c r="N468" s="257"/>
      <c r="O468" s="257">
        <v>0.60000000000000009</v>
      </c>
      <c r="P468" s="257">
        <v>0.60000000000000009</v>
      </c>
    </row>
    <row r="469" spans="1:16" hidden="1" x14ac:dyDescent="0.25">
      <c r="A469" s="143" t="s">
        <v>712</v>
      </c>
      <c r="B469" s="143" t="s">
        <v>114</v>
      </c>
      <c r="C469" s="143" t="s">
        <v>115</v>
      </c>
      <c r="D469" s="143" t="s">
        <v>69</v>
      </c>
      <c r="E469" s="257">
        <v>221840000</v>
      </c>
      <c r="F469" s="257">
        <v>221840000</v>
      </c>
      <c r="G469" s="257">
        <v>221840000</v>
      </c>
      <c r="H469" s="257">
        <v>0</v>
      </c>
      <c r="I469" s="257">
        <v>29780909.399999999</v>
      </c>
      <c r="J469" s="257">
        <v>0</v>
      </c>
      <c r="K469" s="257">
        <v>192059090</v>
      </c>
      <c r="L469" s="257"/>
      <c r="M469" s="257">
        <v>192059090</v>
      </c>
      <c r="N469" s="257"/>
      <c r="O469" s="257">
        <v>0.60000000000000009</v>
      </c>
      <c r="P469" s="257">
        <v>0.60000000000000009</v>
      </c>
    </row>
    <row r="470" spans="1:16" hidden="1" x14ac:dyDescent="0.25">
      <c r="A470" s="143" t="s">
        <v>712</v>
      </c>
      <c r="B470" s="143" t="s">
        <v>116</v>
      </c>
      <c r="C470" s="143" t="s">
        <v>117</v>
      </c>
      <c r="D470" s="143" t="s">
        <v>69</v>
      </c>
      <c r="E470" s="257">
        <v>52200000</v>
      </c>
      <c r="F470" s="257">
        <v>52200000</v>
      </c>
      <c r="G470" s="257">
        <v>52200000</v>
      </c>
      <c r="H470" s="257">
        <v>0</v>
      </c>
      <c r="I470" s="257">
        <v>6449373.2000000002</v>
      </c>
      <c r="J470" s="257">
        <v>0</v>
      </c>
      <c r="K470" s="257">
        <v>45750626.799999997</v>
      </c>
      <c r="L470" s="257"/>
      <c r="M470" s="257">
        <v>35560690</v>
      </c>
      <c r="N470" s="257"/>
      <c r="O470" s="257">
        <v>0</v>
      </c>
      <c r="P470" s="257">
        <v>0</v>
      </c>
    </row>
    <row r="471" spans="1:16" hidden="1" x14ac:dyDescent="0.25">
      <c r="A471" s="143" t="s">
        <v>712</v>
      </c>
      <c r="B471" s="143" t="s">
        <v>120</v>
      </c>
      <c r="C471" s="143" t="s">
        <v>121</v>
      </c>
      <c r="D471" s="143" t="s">
        <v>69</v>
      </c>
      <c r="E471" s="257">
        <v>13090000</v>
      </c>
      <c r="F471" s="257">
        <v>13090000</v>
      </c>
      <c r="G471" s="257">
        <v>13090000</v>
      </c>
      <c r="H471" s="257">
        <v>0</v>
      </c>
      <c r="I471" s="257">
        <v>6885825.4500000002</v>
      </c>
      <c r="J471" s="257">
        <v>0</v>
      </c>
      <c r="K471" s="257">
        <v>6204174.5499999998</v>
      </c>
      <c r="L471" s="257"/>
      <c r="M471" s="257">
        <v>6204174.5499999998</v>
      </c>
      <c r="N471" s="257"/>
      <c r="O471" s="257">
        <v>0</v>
      </c>
      <c r="P471" s="257">
        <v>0</v>
      </c>
    </row>
    <row r="472" spans="1:16" hidden="1" x14ac:dyDescent="0.25">
      <c r="A472" s="143" t="s">
        <v>712</v>
      </c>
      <c r="B472" s="143" t="s">
        <v>122</v>
      </c>
      <c r="C472" s="143" t="s">
        <v>123</v>
      </c>
      <c r="D472" s="143" t="s">
        <v>69</v>
      </c>
      <c r="E472" s="257">
        <v>4500000</v>
      </c>
      <c r="F472" s="257">
        <v>4510000</v>
      </c>
      <c r="G472" s="257">
        <v>4510000</v>
      </c>
      <c r="H472" s="257">
        <v>0</v>
      </c>
      <c r="I472" s="257">
        <v>2175</v>
      </c>
      <c r="J472" s="257">
        <v>0</v>
      </c>
      <c r="K472" s="257">
        <v>4507825</v>
      </c>
      <c r="L472" s="257"/>
      <c r="M472" s="257">
        <v>4507825</v>
      </c>
      <c r="N472" s="257"/>
      <c r="O472" s="257">
        <v>0</v>
      </c>
      <c r="P472" s="257">
        <v>0</v>
      </c>
    </row>
    <row r="473" spans="1:16" hidden="1" x14ac:dyDescent="0.25">
      <c r="A473" s="143" t="s">
        <v>712</v>
      </c>
      <c r="B473" s="143" t="s">
        <v>162</v>
      </c>
      <c r="C473" s="143" t="s">
        <v>163</v>
      </c>
      <c r="D473" s="143" t="s">
        <v>69</v>
      </c>
      <c r="E473" s="257">
        <v>15000000</v>
      </c>
      <c r="F473" s="257">
        <v>14966621</v>
      </c>
      <c r="G473" s="257">
        <v>14966621</v>
      </c>
      <c r="H473" s="257">
        <v>0</v>
      </c>
      <c r="I473" s="257">
        <v>9457225.8399999999</v>
      </c>
      <c r="J473" s="257">
        <v>0</v>
      </c>
      <c r="K473" s="257">
        <v>4783188.8099999996</v>
      </c>
      <c r="L473" s="257"/>
      <c r="M473" s="257">
        <v>2371533.5099999998</v>
      </c>
      <c r="N473" s="257"/>
      <c r="O473" s="257">
        <v>726206.35</v>
      </c>
      <c r="P473" s="257">
        <v>726206.35</v>
      </c>
    </row>
    <row r="474" spans="1:16" hidden="1" x14ac:dyDescent="0.25">
      <c r="A474" s="143" t="s">
        <v>712</v>
      </c>
      <c r="B474" s="143" t="s">
        <v>164</v>
      </c>
      <c r="C474" s="143" t="s">
        <v>165</v>
      </c>
      <c r="D474" s="143" t="s">
        <v>69</v>
      </c>
      <c r="E474" s="257">
        <v>15000000</v>
      </c>
      <c r="F474" s="257">
        <v>14966621</v>
      </c>
      <c r="G474" s="257">
        <v>14966621</v>
      </c>
      <c r="H474" s="257">
        <v>0</v>
      </c>
      <c r="I474" s="257">
        <v>9457225.8399999999</v>
      </c>
      <c r="J474" s="257">
        <v>0</v>
      </c>
      <c r="K474" s="257">
        <v>4783188.8099999996</v>
      </c>
      <c r="L474" s="257"/>
      <c r="M474" s="257">
        <v>2371533.5099999998</v>
      </c>
      <c r="N474" s="257"/>
      <c r="O474" s="257">
        <v>726206.35</v>
      </c>
      <c r="P474" s="257">
        <v>726206.35</v>
      </c>
    </row>
    <row r="475" spans="1:16" hidden="1" x14ac:dyDescent="0.25">
      <c r="A475" s="143" t="s">
        <v>712</v>
      </c>
      <c r="B475" s="143" t="s">
        <v>184</v>
      </c>
      <c r="C475" s="143" t="s">
        <v>185</v>
      </c>
      <c r="D475" s="143" t="s">
        <v>69</v>
      </c>
      <c r="E475" s="257">
        <v>621407272</v>
      </c>
      <c r="F475" s="257">
        <v>515537077</v>
      </c>
      <c r="G475" s="257">
        <v>480526617</v>
      </c>
      <c r="H475" s="257">
        <v>32910</v>
      </c>
      <c r="I475" s="257">
        <v>42233138.670000002</v>
      </c>
      <c r="J475" s="257">
        <v>17889203.629999999</v>
      </c>
      <c r="K475" s="257">
        <v>281997486.32999998</v>
      </c>
      <c r="L475" s="257"/>
      <c r="M475" s="257">
        <v>281857107.95999998</v>
      </c>
      <c r="N475" s="257"/>
      <c r="O475" s="257">
        <v>173384338.37</v>
      </c>
      <c r="P475" s="257">
        <v>138373878.37</v>
      </c>
    </row>
    <row r="476" spans="1:16" hidden="1" x14ac:dyDescent="0.25">
      <c r="A476" s="143" t="s">
        <v>712</v>
      </c>
      <c r="B476" s="143" t="s">
        <v>186</v>
      </c>
      <c r="C476" s="143" t="s">
        <v>187</v>
      </c>
      <c r="D476" s="143" t="s">
        <v>69</v>
      </c>
      <c r="E476" s="257">
        <v>25251750</v>
      </c>
      <c r="F476" s="257">
        <v>25251750</v>
      </c>
      <c r="G476" s="257">
        <v>11666497</v>
      </c>
      <c r="H476" s="257">
        <v>0</v>
      </c>
      <c r="I476" s="257">
        <v>98.9</v>
      </c>
      <c r="J476" s="257">
        <v>6581.25</v>
      </c>
      <c r="K476" s="257">
        <v>135796.22</v>
      </c>
      <c r="L476" s="257"/>
      <c r="M476" s="257">
        <v>0</v>
      </c>
      <c r="N476" s="257"/>
      <c r="O476" s="257">
        <v>25109273.629999999</v>
      </c>
      <c r="P476" s="257">
        <v>11524020.630000001</v>
      </c>
    </row>
    <row r="477" spans="1:16" hidden="1" x14ac:dyDescent="0.25">
      <c r="A477" s="143" t="s">
        <v>712</v>
      </c>
      <c r="B477" s="143" t="s">
        <v>188</v>
      </c>
      <c r="C477" s="143" t="s">
        <v>189</v>
      </c>
      <c r="D477" s="143" t="s">
        <v>69</v>
      </c>
      <c r="E477" s="257">
        <v>24819750</v>
      </c>
      <c r="F477" s="257">
        <v>24819750</v>
      </c>
      <c r="G477" s="257">
        <v>11235123</v>
      </c>
      <c r="H477" s="257">
        <v>0</v>
      </c>
      <c r="I477" s="257">
        <v>0</v>
      </c>
      <c r="J477" s="257">
        <v>0</v>
      </c>
      <c r="K477" s="257">
        <v>0</v>
      </c>
      <c r="L477" s="257"/>
      <c r="M477" s="257">
        <v>0</v>
      </c>
      <c r="N477" s="257"/>
      <c r="O477" s="257">
        <v>24819750</v>
      </c>
      <c r="P477" s="257">
        <v>11235123</v>
      </c>
    </row>
    <row r="478" spans="1:16" hidden="1" x14ac:dyDescent="0.25">
      <c r="A478" s="143" t="s">
        <v>712</v>
      </c>
      <c r="B478" s="143" t="s">
        <v>190</v>
      </c>
      <c r="C478" s="143" t="s">
        <v>191</v>
      </c>
      <c r="D478" s="143" t="s">
        <v>69</v>
      </c>
      <c r="E478" s="257">
        <v>197000</v>
      </c>
      <c r="F478" s="257">
        <v>432000</v>
      </c>
      <c r="G478" s="257">
        <v>431374</v>
      </c>
      <c r="H478" s="257">
        <v>0</v>
      </c>
      <c r="I478" s="257">
        <v>98.9</v>
      </c>
      <c r="J478" s="257">
        <v>6581.25</v>
      </c>
      <c r="K478" s="257">
        <v>135796.22</v>
      </c>
      <c r="L478" s="257"/>
      <c r="M478" s="257">
        <v>0</v>
      </c>
      <c r="N478" s="257"/>
      <c r="O478" s="257">
        <v>289523.63</v>
      </c>
      <c r="P478" s="257">
        <v>288897.63</v>
      </c>
    </row>
    <row r="479" spans="1:16" hidden="1" x14ac:dyDescent="0.25">
      <c r="A479" s="143" t="s">
        <v>712</v>
      </c>
      <c r="B479" s="143" t="s">
        <v>194</v>
      </c>
      <c r="C479" s="143" t="s">
        <v>195</v>
      </c>
      <c r="D479" s="143" t="s">
        <v>69</v>
      </c>
      <c r="E479" s="257">
        <v>235000</v>
      </c>
      <c r="F479" s="257">
        <v>0</v>
      </c>
      <c r="G479" s="257">
        <v>0</v>
      </c>
      <c r="H479" s="257">
        <v>0</v>
      </c>
      <c r="I479" s="257">
        <v>0</v>
      </c>
      <c r="J479" s="257">
        <v>0</v>
      </c>
      <c r="K479" s="257">
        <v>0</v>
      </c>
      <c r="L479" s="257"/>
      <c r="M479" s="257">
        <v>0</v>
      </c>
      <c r="N479" s="257"/>
      <c r="O479" s="257">
        <v>0</v>
      </c>
      <c r="P479" s="257">
        <v>0</v>
      </c>
    </row>
    <row r="480" spans="1:16" hidden="1" x14ac:dyDescent="0.25">
      <c r="A480" s="143" t="s">
        <v>712</v>
      </c>
      <c r="B480" s="143" t="s">
        <v>196</v>
      </c>
      <c r="C480" s="143" t="s">
        <v>197</v>
      </c>
      <c r="D480" s="143" t="s">
        <v>69</v>
      </c>
      <c r="E480" s="257">
        <v>582942552</v>
      </c>
      <c r="F480" s="257">
        <v>477161161</v>
      </c>
      <c r="G480" s="257">
        <v>455739367</v>
      </c>
      <c r="H480" s="257">
        <v>0</v>
      </c>
      <c r="I480" s="257">
        <v>41325664.340000004</v>
      </c>
      <c r="J480" s="257">
        <v>17882622.379999999</v>
      </c>
      <c r="K480" s="257">
        <v>271826884.44</v>
      </c>
      <c r="L480" s="257"/>
      <c r="M480" s="257">
        <v>271826884.44</v>
      </c>
      <c r="N480" s="257"/>
      <c r="O480" s="257">
        <v>146125989.84</v>
      </c>
      <c r="P480" s="257">
        <v>124704195.84</v>
      </c>
    </row>
    <row r="481" spans="1:16" hidden="1" x14ac:dyDescent="0.25">
      <c r="A481" s="143" t="s">
        <v>712</v>
      </c>
      <c r="B481" s="143" t="s">
        <v>198</v>
      </c>
      <c r="C481" s="143" t="s">
        <v>199</v>
      </c>
      <c r="D481" s="143" t="s">
        <v>69</v>
      </c>
      <c r="E481" s="257">
        <v>582942552</v>
      </c>
      <c r="F481" s="257">
        <v>477161161</v>
      </c>
      <c r="G481" s="257">
        <v>455739367</v>
      </c>
      <c r="H481" s="257">
        <v>0</v>
      </c>
      <c r="I481" s="257">
        <v>41325664.340000004</v>
      </c>
      <c r="J481" s="257">
        <v>17882622.379999999</v>
      </c>
      <c r="K481" s="257">
        <v>271826884.44</v>
      </c>
      <c r="L481" s="257"/>
      <c r="M481" s="257">
        <v>271826884.44</v>
      </c>
      <c r="N481" s="257"/>
      <c r="O481" s="257">
        <v>146125989.84</v>
      </c>
      <c r="P481" s="257">
        <v>124704195.84</v>
      </c>
    </row>
    <row r="482" spans="1:16" hidden="1" x14ac:dyDescent="0.25">
      <c r="A482" s="143" t="s">
        <v>712</v>
      </c>
      <c r="B482" s="143" t="s">
        <v>206</v>
      </c>
      <c r="C482" s="143" t="s">
        <v>207</v>
      </c>
      <c r="D482" s="143" t="s">
        <v>69</v>
      </c>
      <c r="E482" s="257">
        <v>367200</v>
      </c>
      <c r="F482" s="257">
        <v>367200</v>
      </c>
      <c r="G482" s="257">
        <v>367200</v>
      </c>
      <c r="H482" s="257">
        <v>0</v>
      </c>
      <c r="I482" s="257">
        <v>0</v>
      </c>
      <c r="J482" s="257">
        <v>0</v>
      </c>
      <c r="K482" s="257">
        <v>0</v>
      </c>
      <c r="L482" s="257"/>
      <c r="M482" s="257">
        <v>0</v>
      </c>
      <c r="N482" s="257"/>
      <c r="O482" s="257">
        <v>367200</v>
      </c>
      <c r="P482" s="257">
        <v>367200</v>
      </c>
    </row>
    <row r="483" spans="1:16" hidden="1" x14ac:dyDescent="0.25">
      <c r="A483" s="143" t="s">
        <v>712</v>
      </c>
      <c r="B483" s="143" t="s">
        <v>208</v>
      </c>
      <c r="C483" s="143" t="s">
        <v>209</v>
      </c>
      <c r="D483" s="143" t="s">
        <v>69</v>
      </c>
      <c r="E483" s="257">
        <v>367200</v>
      </c>
      <c r="F483" s="257">
        <v>367200</v>
      </c>
      <c r="G483" s="257">
        <v>367200</v>
      </c>
      <c r="H483" s="257">
        <v>0</v>
      </c>
      <c r="I483" s="257">
        <v>0</v>
      </c>
      <c r="J483" s="257">
        <v>0</v>
      </c>
      <c r="K483" s="257">
        <v>0</v>
      </c>
      <c r="L483" s="257"/>
      <c r="M483" s="257">
        <v>0</v>
      </c>
      <c r="N483" s="257"/>
      <c r="O483" s="257">
        <v>367200</v>
      </c>
      <c r="P483" s="257">
        <v>367200</v>
      </c>
    </row>
    <row r="484" spans="1:16" hidden="1" x14ac:dyDescent="0.25">
      <c r="A484" s="143" t="s">
        <v>712</v>
      </c>
      <c r="B484" s="143" t="s">
        <v>354</v>
      </c>
      <c r="C484" s="143" t="s">
        <v>355</v>
      </c>
      <c r="D484" s="143" t="s">
        <v>69</v>
      </c>
      <c r="E484" s="257">
        <v>6280000</v>
      </c>
      <c r="F484" s="257">
        <v>6277196</v>
      </c>
      <c r="G484" s="257">
        <v>6277196</v>
      </c>
      <c r="H484" s="257">
        <v>0</v>
      </c>
      <c r="I484" s="257">
        <v>0</v>
      </c>
      <c r="J484" s="257">
        <v>0</v>
      </c>
      <c r="K484" s="257">
        <v>6277195.2000000002</v>
      </c>
      <c r="L484" s="257"/>
      <c r="M484" s="257">
        <v>6277195.2000000002</v>
      </c>
      <c r="N484" s="257"/>
      <c r="O484" s="257">
        <v>0.8</v>
      </c>
      <c r="P484" s="257">
        <v>0.8</v>
      </c>
    </row>
    <row r="485" spans="1:16" hidden="1" x14ac:dyDescent="0.25">
      <c r="A485" s="143" t="s">
        <v>712</v>
      </c>
      <c r="B485" s="143" t="s">
        <v>356</v>
      </c>
      <c r="C485" s="143" t="s">
        <v>357</v>
      </c>
      <c r="D485" s="143" t="s">
        <v>69</v>
      </c>
      <c r="E485" s="257">
        <v>6280000</v>
      </c>
      <c r="F485" s="257">
        <v>6277196</v>
      </c>
      <c r="G485" s="257">
        <v>6277196</v>
      </c>
      <c r="H485" s="257">
        <v>0</v>
      </c>
      <c r="I485" s="257">
        <v>0</v>
      </c>
      <c r="J485" s="257">
        <v>0</v>
      </c>
      <c r="K485" s="257">
        <v>6277195.2000000002</v>
      </c>
      <c r="L485" s="257"/>
      <c r="M485" s="257">
        <v>6277195.2000000002</v>
      </c>
      <c r="N485" s="257"/>
      <c r="O485" s="257">
        <v>0.8</v>
      </c>
      <c r="P485" s="257">
        <v>0.8</v>
      </c>
    </row>
    <row r="486" spans="1:16" hidden="1" x14ac:dyDescent="0.25">
      <c r="A486" s="143" t="s">
        <v>712</v>
      </c>
      <c r="B486" s="143" t="s">
        <v>212</v>
      </c>
      <c r="C486" s="143" t="s">
        <v>213</v>
      </c>
      <c r="D486" s="143" t="s">
        <v>69</v>
      </c>
      <c r="E486" s="257">
        <v>6565770</v>
      </c>
      <c r="F486" s="257">
        <v>6479770</v>
      </c>
      <c r="G486" s="257">
        <v>6476357</v>
      </c>
      <c r="H486" s="257">
        <v>32910</v>
      </c>
      <c r="I486" s="257">
        <v>907375.43</v>
      </c>
      <c r="J486" s="257">
        <v>0</v>
      </c>
      <c r="K486" s="257">
        <v>3757610.47</v>
      </c>
      <c r="L486" s="257"/>
      <c r="M486" s="257">
        <v>3753028.32</v>
      </c>
      <c r="N486" s="257"/>
      <c r="O486" s="257">
        <v>1781874.1</v>
      </c>
      <c r="P486" s="257">
        <v>1778461.1</v>
      </c>
    </row>
    <row r="487" spans="1:16" hidden="1" x14ac:dyDescent="0.25">
      <c r="A487" s="143" t="s">
        <v>712</v>
      </c>
      <c r="B487" s="143" t="s">
        <v>216</v>
      </c>
      <c r="C487" s="143" t="s">
        <v>217</v>
      </c>
      <c r="D487" s="143" t="s">
        <v>69</v>
      </c>
      <c r="E487" s="257">
        <v>1076170</v>
      </c>
      <c r="F487" s="257">
        <v>1076170</v>
      </c>
      <c r="G487" s="257">
        <v>1076170</v>
      </c>
      <c r="H487" s="257">
        <v>32910</v>
      </c>
      <c r="I487" s="257">
        <v>604425</v>
      </c>
      <c r="J487" s="257">
        <v>0</v>
      </c>
      <c r="K487" s="257">
        <v>0</v>
      </c>
      <c r="L487" s="257"/>
      <c r="M487" s="257">
        <v>0</v>
      </c>
      <c r="N487" s="257"/>
      <c r="O487" s="257">
        <v>438835</v>
      </c>
      <c r="P487" s="257">
        <v>438835</v>
      </c>
    </row>
    <row r="488" spans="1:16" hidden="1" x14ac:dyDescent="0.25">
      <c r="A488" s="143" t="s">
        <v>712</v>
      </c>
      <c r="B488" s="143" t="s">
        <v>218</v>
      </c>
      <c r="C488" s="143" t="s">
        <v>219</v>
      </c>
      <c r="D488" s="143" t="s">
        <v>69</v>
      </c>
      <c r="E488" s="257">
        <v>333500</v>
      </c>
      <c r="F488" s="257">
        <v>333500</v>
      </c>
      <c r="G488" s="257">
        <v>333500</v>
      </c>
      <c r="H488" s="257">
        <v>0</v>
      </c>
      <c r="I488" s="257">
        <v>242970</v>
      </c>
      <c r="J488" s="257">
        <v>0</v>
      </c>
      <c r="K488" s="257">
        <v>0</v>
      </c>
      <c r="L488" s="257"/>
      <c r="M488" s="257">
        <v>0</v>
      </c>
      <c r="N488" s="257"/>
      <c r="O488" s="257">
        <v>90530</v>
      </c>
      <c r="P488" s="257">
        <v>90530</v>
      </c>
    </row>
    <row r="489" spans="1:16" hidden="1" x14ac:dyDescent="0.25">
      <c r="A489" s="143" t="s">
        <v>712</v>
      </c>
      <c r="B489" s="143" t="s">
        <v>220</v>
      </c>
      <c r="C489" s="143" t="s">
        <v>221</v>
      </c>
      <c r="D489" s="143" t="s">
        <v>69</v>
      </c>
      <c r="E489" s="257">
        <v>2531700</v>
      </c>
      <c r="F489" s="257">
        <v>2530600</v>
      </c>
      <c r="G489" s="257">
        <v>2530600</v>
      </c>
      <c r="H489" s="257">
        <v>0</v>
      </c>
      <c r="I489" s="257">
        <v>59980.43</v>
      </c>
      <c r="J489" s="257">
        <v>0</v>
      </c>
      <c r="K489" s="257">
        <v>2280937.77</v>
      </c>
      <c r="L489" s="257"/>
      <c r="M489" s="257">
        <v>2280937.77</v>
      </c>
      <c r="N489" s="257"/>
      <c r="O489" s="257">
        <v>189681.8</v>
      </c>
      <c r="P489" s="257">
        <v>189681.8</v>
      </c>
    </row>
    <row r="490" spans="1:16" hidden="1" x14ac:dyDescent="0.25">
      <c r="A490" s="143" t="s">
        <v>712</v>
      </c>
      <c r="B490" s="143" t="s">
        <v>224</v>
      </c>
      <c r="C490" s="143" t="s">
        <v>225</v>
      </c>
      <c r="D490" s="143" t="s">
        <v>69</v>
      </c>
      <c r="E490" s="257">
        <v>525000</v>
      </c>
      <c r="F490" s="257">
        <v>495000</v>
      </c>
      <c r="G490" s="257">
        <v>491587</v>
      </c>
      <c r="H490" s="257">
        <v>0</v>
      </c>
      <c r="I490" s="257">
        <v>0</v>
      </c>
      <c r="J490" s="257">
        <v>0</v>
      </c>
      <c r="K490" s="257">
        <v>180862.15</v>
      </c>
      <c r="L490" s="257"/>
      <c r="M490" s="257">
        <v>176280</v>
      </c>
      <c r="N490" s="257"/>
      <c r="O490" s="257">
        <v>314137.84999999998</v>
      </c>
      <c r="P490" s="257">
        <v>310724.84999999998</v>
      </c>
    </row>
    <row r="491" spans="1:16" hidden="1" x14ac:dyDescent="0.25">
      <c r="A491" s="143" t="s">
        <v>712</v>
      </c>
      <c r="B491" s="143" t="s">
        <v>226</v>
      </c>
      <c r="C491" s="143" t="s">
        <v>227</v>
      </c>
      <c r="D491" s="143" t="s">
        <v>69</v>
      </c>
      <c r="E491" s="257">
        <v>2094900</v>
      </c>
      <c r="F491" s="257">
        <v>2040000</v>
      </c>
      <c r="G491" s="257">
        <v>2040000</v>
      </c>
      <c r="H491" s="257">
        <v>0</v>
      </c>
      <c r="I491" s="257">
        <v>0</v>
      </c>
      <c r="J491" s="257">
        <v>0</v>
      </c>
      <c r="K491" s="257">
        <v>1295810.55</v>
      </c>
      <c r="L491" s="257"/>
      <c r="M491" s="257">
        <v>1295810.55</v>
      </c>
      <c r="N491" s="257"/>
      <c r="O491" s="257">
        <v>744189.45</v>
      </c>
      <c r="P491" s="257">
        <v>744189.45</v>
      </c>
    </row>
    <row r="492" spans="1:16" hidden="1" x14ac:dyDescent="0.25">
      <c r="A492" s="143" t="s">
        <v>712</v>
      </c>
      <c r="B492" s="143" t="s">
        <v>228</v>
      </c>
      <c r="C492" s="143" t="s">
        <v>229</v>
      </c>
      <c r="D492" s="143" t="s">
        <v>69</v>
      </c>
      <c r="E492" s="257">
        <v>4500</v>
      </c>
      <c r="F492" s="257">
        <v>4500</v>
      </c>
      <c r="G492" s="257">
        <v>4500</v>
      </c>
      <c r="H492" s="257">
        <v>0</v>
      </c>
      <c r="I492" s="257">
        <v>0</v>
      </c>
      <c r="J492" s="257">
        <v>0</v>
      </c>
      <c r="K492" s="257">
        <v>0</v>
      </c>
      <c r="L492" s="257"/>
      <c r="M492" s="257">
        <v>0</v>
      </c>
      <c r="N492" s="257"/>
      <c r="O492" s="257">
        <v>4500</v>
      </c>
      <c r="P492" s="257">
        <v>4500</v>
      </c>
    </row>
    <row r="493" spans="1:16" hidden="1" x14ac:dyDescent="0.25">
      <c r="A493" s="143" t="s">
        <v>712</v>
      </c>
      <c r="B493" s="143" t="s">
        <v>248</v>
      </c>
      <c r="C493" s="143" t="s">
        <v>249</v>
      </c>
      <c r="D493" s="143" t="s">
        <v>69</v>
      </c>
      <c r="E493" s="257">
        <v>21838204</v>
      </c>
      <c r="F493" s="257">
        <v>21451264</v>
      </c>
      <c r="G493" s="257">
        <v>21451264</v>
      </c>
      <c r="H493" s="257">
        <v>0</v>
      </c>
      <c r="I493" s="257">
        <v>2772026</v>
      </c>
      <c r="J493" s="257">
        <v>0</v>
      </c>
      <c r="K493" s="257">
        <v>17850651</v>
      </c>
      <c r="L493" s="257"/>
      <c r="M493" s="257">
        <v>17850651</v>
      </c>
      <c r="N493" s="257"/>
      <c r="O493" s="257">
        <v>828587</v>
      </c>
      <c r="P493" s="257">
        <v>828587</v>
      </c>
    </row>
    <row r="494" spans="1:16" hidden="1" x14ac:dyDescent="0.25">
      <c r="A494" s="143" t="s">
        <v>712</v>
      </c>
      <c r="B494" s="143" t="s">
        <v>250</v>
      </c>
      <c r="C494" s="143" t="s">
        <v>251</v>
      </c>
      <c r="D494" s="143" t="s">
        <v>69</v>
      </c>
      <c r="E494" s="257">
        <v>16338204</v>
      </c>
      <c r="F494" s="257">
        <v>15951264</v>
      </c>
      <c r="G494" s="257">
        <v>15951264</v>
      </c>
      <c r="H494" s="257">
        <v>0</v>
      </c>
      <c r="I494" s="257">
        <v>2772026</v>
      </c>
      <c r="J494" s="257">
        <v>0</v>
      </c>
      <c r="K494" s="257">
        <v>13065947</v>
      </c>
      <c r="L494" s="257"/>
      <c r="M494" s="257">
        <v>13065947</v>
      </c>
      <c r="N494" s="257"/>
      <c r="O494" s="257">
        <v>113291</v>
      </c>
      <c r="P494" s="257">
        <v>113291</v>
      </c>
    </row>
    <row r="495" spans="1:16" hidden="1" x14ac:dyDescent="0.25">
      <c r="A495" s="143" t="s">
        <v>712</v>
      </c>
      <c r="B495" s="143" t="s">
        <v>631</v>
      </c>
      <c r="C495" s="143" t="s">
        <v>702</v>
      </c>
      <c r="D495" s="143" t="s">
        <v>69</v>
      </c>
      <c r="E495" s="257">
        <v>13877686</v>
      </c>
      <c r="F495" s="257">
        <v>13549019</v>
      </c>
      <c r="G495" s="257">
        <v>13549019</v>
      </c>
      <c r="H495" s="257">
        <v>0</v>
      </c>
      <c r="I495" s="257">
        <v>2373656</v>
      </c>
      <c r="J495" s="257">
        <v>0</v>
      </c>
      <c r="K495" s="257">
        <v>11079134</v>
      </c>
      <c r="L495" s="257"/>
      <c r="M495" s="257">
        <v>11079134</v>
      </c>
      <c r="N495" s="257"/>
      <c r="O495" s="257">
        <v>96229</v>
      </c>
      <c r="P495" s="257">
        <v>96229</v>
      </c>
    </row>
    <row r="496" spans="1:16" hidden="1" x14ac:dyDescent="0.25">
      <c r="A496" s="143" t="s">
        <v>712</v>
      </c>
      <c r="B496" s="143" t="s">
        <v>646</v>
      </c>
      <c r="C496" s="143" t="s">
        <v>703</v>
      </c>
      <c r="D496" s="143" t="s">
        <v>69</v>
      </c>
      <c r="E496" s="257">
        <v>2460518</v>
      </c>
      <c r="F496" s="257">
        <v>2402245</v>
      </c>
      <c r="G496" s="257">
        <v>2402245</v>
      </c>
      <c r="H496" s="257">
        <v>0</v>
      </c>
      <c r="I496" s="257">
        <v>398370</v>
      </c>
      <c r="J496" s="257">
        <v>0</v>
      </c>
      <c r="K496" s="257">
        <v>1986813</v>
      </c>
      <c r="L496" s="257"/>
      <c r="M496" s="257">
        <v>1986813</v>
      </c>
      <c r="N496" s="257"/>
      <c r="O496" s="257">
        <v>17062</v>
      </c>
      <c r="P496" s="257">
        <v>17062</v>
      </c>
    </row>
    <row r="497" spans="1:16" hidden="1" x14ac:dyDescent="0.25">
      <c r="A497" s="143" t="s">
        <v>712</v>
      </c>
      <c r="B497" s="143" t="s">
        <v>260</v>
      </c>
      <c r="C497" s="143" t="s">
        <v>261</v>
      </c>
      <c r="D497" s="143" t="s">
        <v>69</v>
      </c>
      <c r="E497" s="257">
        <v>5500000</v>
      </c>
      <c r="F497" s="257">
        <v>5500000</v>
      </c>
      <c r="G497" s="257">
        <v>5500000</v>
      </c>
      <c r="H497" s="257">
        <v>0</v>
      </c>
      <c r="I497" s="257">
        <v>0</v>
      </c>
      <c r="J497" s="257">
        <v>0</v>
      </c>
      <c r="K497" s="257">
        <v>4784704</v>
      </c>
      <c r="L497" s="257"/>
      <c r="M497" s="257">
        <v>4784704</v>
      </c>
      <c r="N497" s="257"/>
      <c r="O497" s="257">
        <v>715296</v>
      </c>
      <c r="P497" s="257">
        <v>715296</v>
      </c>
    </row>
    <row r="498" spans="1:16" hidden="1" x14ac:dyDescent="0.25">
      <c r="A498" s="143" t="s">
        <v>712</v>
      </c>
      <c r="B498" s="143" t="s">
        <v>264</v>
      </c>
      <c r="C498" s="143" t="s">
        <v>265</v>
      </c>
      <c r="D498" s="143" t="s">
        <v>69</v>
      </c>
      <c r="E498" s="257">
        <v>5500000</v>
      </c>
      <c r="F498" s="257">
        <v>5500000</v>
      </c>
      <c r="G498" s="257">
        <v>5500000</v>
      </c>
      <c r="H498" s="257">
        <v>0</v>
      </c>
      <c r="I498" s="257">
        <v>0</v>
      </c>
      <c r="J498" s="257">
        <v>0</v>
      </c>
      <c r="K498" s="257">
        <v>4784704</v>
      </c>
      <c r="L498" s="257"/>
      <c r="M498" s="257">
        <v>4784704</v>
      </c>
      <c r="N498" s="257"/>
      <c r="O498" s="257">
        <v>715296</v>
      </c>
      <c r="P498" s="257">
        <v>715296</v>
      </c>
    </row>
    <row r="499" spans="1:16" hidden="1" x14ac:dyDescent="0.25">
      <c r="A499" s="143" t="s">
        <v>712</v>
      </c>
      <c r="B499" s="143" t="s">
        <v>230</v>
      </c>
      <c r="C499" s="143" t="s">
        <v>231</v>
      </c>
      <c r="D499" s="143" t="s">
        <v>85</v>
      </c>
      <c r="E499" s="257">
        <v>10612500</v>
      </c>
      <c r="F499" s="257">
        <v>10612500</v>
      </c>
      <c r="G499" s="257">
        <v>10612500</v>
      </c>
      <c r="H499" s="257">
        <v>0</v>
      </c>
      <c r="I499" s="257">
        <v>2353077.65</v>
      </c>
      <c r="J499" s="257">
        <v>0</v>
      </c>
      <c r="K499" s="257">
        <v>5818800</v>
      </c>
      <c r="L499" s="257"/>
      <c r="M499" s="257">
        <v>5818800</v>
      </c>
      <c r="N499" s="257"/>
      <c r="O499" s="257">
        <v>2440622.35</v>
      </c>
      <c r="P499" s="257">
        <v>2440622.35</v>
      </c>
    </row>
    <row r="500" spans="1:16" hidden="1" x14ac:dyDescent="0.25">
      <c r="A500" s="143" t="s">
        <v>712</v>
      </c>
      <c r="B500" s="143" t="s">
        <v>232</v>
      </c>
      <c r="C500" s="143" t="s">
        <v>233</v>
      </c>
      <c r="D500" s="143" t="s">
        <v>85</v>
      </c>
      <c r="E500" s="257">
        <v>10612500</v>
      </c>
      <c r="F500" s="257">
        <v>10612500</v>
      </c>
      <c r="G500" s="257">
        <v>10612500</v>
      </c>
      <c r="H500" s="257">
        <v>0</v>
      </c>
      <c r="I500" s="257">
        <v>2353077.65</v>
      </c>
      <c r="J500" s="257">
        <v>0</v>
      </c>
      <c r="K500" s="257">
        <v>5818800</v>
      </c>
      <c r="L500" s="257"/>
      <c r="M500" s="257">
        <v>5818800</v>
      </c>
      <c r="N500" s="257"/>
      <c r="O500" s="257">
        <v>2440622.35</v>
      </c>
      <c r="P500" s="257">
        <v>2440622.35</v>
      </c>
    </row>
    <row r="501" spans="1:16" hidden="1" x14ac:dyDescent="0.25">
      <c r="A501" s="143" t="s">
        <v>712</v>
      </c>
      <c r="B501" s="143" t="s">
        <v>234</v>
      </c>
      <c r="C501" s="143" t="s">
        <v>235</v>
      </c>
      <c r="D501" s="143" t="s">
        <v>85</v>
      </c>
      <c r="E501" s="257">
        <v>6650000</v>
      </c>
      <c r="F501" s="257">
        <v>6650000</v>
      </c>
      <c r="G501" s="257">
        <v>6650000</v>
      </c>
      <c r="H501" s="257">
        <v>0</v>
      </c>
      <c r="I501" s="257">
        <v>0</v>
      </c>
      <c r="J501" s="257">
        <v>0</v>
      </c>
      <c r="K501" s="257">
        <v>5152800</v>
      </c>
      <c r="L501" s="257"/>
      <c r="M501" s="257">
        <v>5152800</v>
      </c>
      <c r="N501" s="257"/>
      <c r="O501" s="257">
        <v>1497200</v>
      </c>
      <c r="P501" s="257">
        <v>1497200</v>
      </c>
    </row>
    <row r="502" spans="1:16" hidden="1" x14ac:dyDescent="0.25">
      <c r="A502" s="143" t="s">
        <v>712</v>
      </c>
      <c r="B502" s="143" t="s">
        <v>326</v>
      </c>
      <c r="C502" s="143" t="s">
        <v>327</v>
      </c>
      <c r="D502" s="143" t="s">
        <v>85</v>
      </c>
      <c r="E502" s="257">
        <v>760000</v>
      </c>
      <c r="F502" s="257">
        <v>760000</v>
      </c>
      <c r="G502" s="257">
        <v>760000</v>
      </c>
      <c r="H502" s="257">
        <v>0</v>
      </c>
      <c r="I502" s="257">
        <v>0</v>
      </c>
      <c r="J502" s="257">
        <v>0</v>
      </c>
      <c r="K502" s="257">
        <v>666000</v>
      </c>
      <c r="L502" s="257"/>
      <c r="M502" s="257">
        <v>666000</v>
      </c>
      <c r="N502" s="257"/>
      <c r="O502" s="257">
        <v>94000</v>
      </c>
      <c r="P502" s="257">
        <v>94000</v>
      </c>
    </row>
    <row r="503" spans="1:16" hidden="1" x14ac:dyDescent="0.25">
      <c r="A503" s="143" t="s">
        <v>712</v>
      </c>
      <c r="B503" s="143" t="s">
        <v>242</v>
      </c>
      <c r="C503" s="143" t="s">
        <v>243</v>
      </c>
      <c r="D503" s="143" t="s">
        <v>85</v>
      </c>
      <c r="E503" s="257">
        <v>3202500</v>
      </c>
      <c r="F503" s="257">
        <v>3202500</v>
      </c>
      <c r="G503" s="257">
        <v>3202500</v>
      </c>
      <c r="H503" s="257">
        <v>0</v>
      </c>
      <c r="I503" s="257">
        <v>2353077.65</v>
      </c>
      <c r="J503" s="257">
        <v>0</v>
      </c>
      <c r="K503" s="257">
        <v>0</v>
      </c>
      <c r="L503" s="257"/>
      <c r="M503" s="257">
        <v>0</v>
      </c>
      <c r="N503" s="257"/>
      <c r="O503" s="257">
        <v>849422.35</v>
      </c>
      <c r="P503" s="257">
        <v>849422.35</v>
      </c>
    </row>
    <row r="504" spans="1:16" x14ac:dyDescent="0.25">
      <c r="A504" s="44">
        <v>214789003</v>
      </c>
      <c r="C504" s="44"/>
      <c r="D504" s="44" t="s">
        <v>69</v>
      </c>
      <c r="E504" s="257">
        <v>1434240030</v>
      </c>
      <c r="F504" s="50">
        <v>1449674150</v>
      </c>
      <c r="G504" s="257">
        <v>1447474150</v>
      </c>
      <c r="H504" s="50">
        <v>18223.88</v>
      </c>
      <c r="I504" s="50">
        <v>146295894.37</v>
      </c>
      <c r="J504" s="50">
        <v>4222854.05</v>
      </c>
      <c r="K504" s="50">
        <v>1102847664.4000001</v>
      </c>
      <c r="L504" s="152">
        <f>+K504/F504</f>
        <v>0.7607555562744911</v>
      </c>
      <c r="M504" s="50">
        <v>1102346668.4000001</v>
      </c>
      <c r="N504" s="152">
        <f>+M504/F504</f>
        <v>0.76040996412883555</v>
      </c>
      <c r="O504" s="50">
        <v>196289513.30000001</v>
      </c>
      <c r="P504" s="152">
        <f>+O504/F504</f>
        <v>0.13540250634944412</v>
      </c>
    </row>
    <row r="505" spans="1:16" hidden="1" x14ac:dyDescent="0.25">
      <c r="A505" s="143" t="s">
        <v>713</v>
      </c>
      <c r="B505" s="143" t="s">
        <v>71</v>
      </c>
      <c r="C505" s="143" t="s">
        <v>72</v>
      </c>
      <c r="D505" s="143" t="s">
        <v>69</v>
      </c>
      <c r="E505" s="257">
        <v>1171265212</v>
      </c>
      <c r="F505" s="257">
        <v>1157887237</v>
      </c>
      <c r="G505" s="257">
        <v>1155687237</v>
      </c>
      <c r="H505" s="257">
        <v>0</v>
      </c>
      <c r="I505" s="257">
        <v>111117905.59</v>
      </c>
      <c r="J505" s="257">
        <v>0</v>
      </c>
      <c r="K505" s="257">
        <v>897138808.60000002</v>
      </c>
      <c r="L505" s="257"/>
      <c r="M505" s="257">
        <v>896907300.08000004</v>
      </c>
      <c r="N505" s="257"/>
      <c r="O505" s="257">
        <v>149630522.81</v>
      </c>
      <c r="P505" s="257">
        <v>147430522.81</v>
      </c>
    </row>
    <row r="506" spans="1:16" hidden="1" x14ac:dyDescent="0.25">
      <c r="A506" s="143" t="s">
        <v>713</v>
      </c>
      <c r="B506" s="143" t="s">
        <v>73</v>
      </c>
      <c r="C506" s="143" t="s">
        <v>74</v>
      </c>
      <c r="D506" s="143" t="s">
        <v>69</v>
      </c>
      <c r="E506" s="257">
        <v>419650432</v>
      </c>
      <c r="F506" s="257">
        <v>414102244</v>
      </c>
      <c r="G506" s="257">
        <v>414102244</v>
      </c>
      <c r="H506" s="257">
        <v>0</v>
      </c>
      <c r="I506" s="257">
        <v>0</v>
      </c>
      <c r="J506" s="257">
        <v>0</v>
      </c>
      <c r="K506" s="257">
        <v>363635616.36000001</v>
      </c>
      <c r="L506" s="257"/>
      <c r="M506" s="257">
        <v>363635616.36000001</v>
      </c>
      <c r="N506" s="257"/>
      <c r="O506" s="257">
        <v>50466627.640000001</v>
      </c>
      <c r="P506" s="257">
        <v>50466627.640000001</v>
      </c>
    </row>
    <row r="507" spans="1:16" hidden="1" x14ac:dyDescent="0.25">
      <c r="A507" s="143" t="s">
        <v>713</v>
      </c>
      <c r="B507" s="143" t="s">
        <v>75</v>
      </c>
      <c r="C507" s="143" t="s">
        <v>76</v>
      </c>
      <c r="D507" s="143" t="s">
        <v>69</v>
      </c>
      <c r="E507" s="257">
        <v>419650432</v>
      </c>
      <c r="F507" s="257">
        <v>414102244</v>
      </c>
      <c r="G507" s="257">
        <v>414102244</v>
      </c>
      <c r="H507" s="257">
        <v>0</v>
      </c>
      <c r="I507" s="257">
        <v>0</v>
      </c>
      <c r="J507" s="257">
        <v>0</v>
      </c>
      <c r="K507" s="257">
        <v>363635616.36000001</v>
      </c>
      <c r="L507" s="257"/>
      <c r="M507" s="257">
        <v>363635616.36000001</v>
      </c>
      <c r="N507" s="257"/>
      <c r="O507" s="257">
        <v>50466627.640000001</v>
      </c>
      <c r="P507" s="257">
        <v>50466627.640000001</v>
      </c>
    </row>
    <row r="508" spans="1:16" hidden="1" x14ac:dyDescent="0.25">
      <c r="A508" s="143" t="s">
        <v>713</v>
      </c>
      <c r="B508" s="143" t="s">
        <v>293</v>
      </c>
      <c r="C508" s="143" t="s">
        <v>294</v>
      </c>
      <c r="D508" s="143" t="s">
        <v>69</v>
      </c>
      <c r="E508" s="257">
        <v>5204100</v>
      </c>
      <c r="F508" s="257">
        <v>5204100</v>
      </c>
      <c r="G508" s="257">
        <v>5204100</v>
      </c>
      <c r="H508" s="257">
        <v>0</v>
      </c>
      <c r="I508" s="257">
        <v>0</v>
      </c>
      <c r="J508" s="257">
        <v>0</v>
      </c>
      <c r="K508" s="257">
        <v>0</v>
      </c>
      <c r="L508" s="257"/>
      <c r="M508" s="257">
        <v>0</v>
      </c>
      <c r="N508" s="257"/>
      <c r="O508" s="257">
        <v>5204100</v>
      </c>
      <c r="P508" s="257">
        <v>5204100</v>
      </c>
    </row>
    <row r="509" spans="1:16" hidden="1" x14ac:dyDescent="0.25">
      <c r="A509" s="143" t="s">
        <v>713</v>
      </c>
      <c r="B509" s="143" t="s">
        <v>339</v>
      </c>
      <c r="C509" s="143" t="s">
        <v>340</v>
      </c>
      <c r="D509" s="143" t="s">
        <v>69</v>
      </c>
      <c r="E509" s="257">
        <v>5204100</v>
      </c>
      <c r="F509" s="257">
        <v>5204100</v>
      </c>
      <c r="G509" s="257">
        <v>5204100</v>
      </c>
      <c r="H509" s="257">
        <v>0</v>
      </c>
      <c r="I509" s="257">
        <v>0</v>
      </c>
      <c r="J509" s="257">
        <v>0</v>
      </c>
      <c r="K509" s="257">
        <v>0</v>
      </c>
      <c r="L509" s="257"/>
      <c r="M509" s="257">
        <v>0</v>
      </c>
      <c r="N509" s="257"/>
      <c r="O509" s="257">
        <v>5204100</v>
      </c>
      <c r="P509" s="257">
        <v>5204100</v>
      </c>
    </row>
    <row r="510" spans="1:16" hidden="1" x14ac:dyDescent="0.25">
      <c r="A510" s="143" t="s">
        <v>713</v>
      </c>
      <c r="B510" s="143" t="s">
        <v>77</v>
      </c>
      <c r="C510" s="143" t="s">
        <v>78</v>
      </c>
      <c r="D510" s="143" t="s">
        <v>69</v>
      </c>
      <c r="E510" s="257">
        <v>567738543</v>
      </c>
      <c r="F510" s="257">
        <v>561491876</v>
      </c>
      <c r="G510" s="257">
        <v>561491876</v>
      </c>
      <c r="H510" s="257">
        <v>0</v>
      </c>
      <c r="I510" s="257">
        <v>73510493.590000004</v>
      </c>
      <c r="J510" s="257">
        <v>0</v>
      </c>
      <c r="K510" s="257">
        <v>397484898.24000001</v>
      </c>
      <c r="L510" s="257"/>
      <c r="M510" s="257">
        <v>397253389.72000003</v>
      </c>
      <c r="N510" s="257"/>
      <c r="O510" s="257">
        <v>90496484.170000002</v>
      </c>
      <c r="P510" s="257">
        <v>90496484.170000002</v>
      </c>
    </row>
    <row r="511" spans="1:16" hidden="1" x14ac:dyDescent="0.25">
      <c r="A511" s="143" t="s">
        <v>713</v>
      </c>
      <c r="B511" s="143" t="s">
        <v>79</v>
      </c>
      <c r="C511" s="143" t="s">
        <v>80</v>
      </c>
      <c r="D511" s="143" t="s">
        <v>69</v>
      </c>
      <c r="E511" s="257">
        <v>176537100</v>
      </c>
      <c r="F511" s="257">
        <v>176537100</v>
      </c>
      <c r="G511" s="257">
        <v>176537100</v>
      </c>
      <c r="H511" s="257">
        <v>0</v>
      </c>
      <c r="I511" s="257">
        <v>0</v>
      </c>
      <c r="J511" s="257">
        <v>0</v>
      </c>
      <c r="K511" s="257">
        <v>135428736.72</v>
      </c>
      <c r="L511" s="257"/>
      <c r="M511" s="257">
        <v>135428736.72</v>
      </c>
      <c r="N511" s="257"/>
      <c r="O511" s="257">
        <v>41108363.280000001</v>
      </c>
      <c r="P511" s="257">
        <v>41108363.280000001</v>
      </c>
    </row>
    <row r="512" spans="1:16" hidden="1" x14ac:dyDescent="0.25">
      <c r="A512" s="143" t="s">
        <v>713</v>
      </c>
      <c r="B512" s="143" t="s">
        <v>81</v>
      </c>
      <c r="C512" s="143" t="s">
        <v>82</v>
      </c>
      <c r="D512" s="143" t="s">
        <v>69</v>
      </c>
      <c r="E512" s="257">
        <v>145353690</v>
      </c>
      <c r="F512" s="257">
        <v>142783300</v>
      </c>
      <c r="G512" s="257">
        <v>142783300</v>
      </c>
      <c r="H512" s="257">
        <v>0</v>
      </c>
      <c r="I512" s="257">
        <v>0</v>
      </c>
      <c r="J512" s="257">
        <v>0</v>
      </c>
      <c r="K512" s="257">
        <v>116176639.25</v>
      </c>
      <c r="L512" s="257"/>
      <c r="M512" s="257">
        <v>116176639.25</v>
      </c>
      <c r="N512" s="257"/>
      <c r="O512" s="257">
        <v>26606660.75</v>
      </c>
      <c r="P512" s="257">
        <v>26606660.75</v>
      </c>
    </row>
    <row r="513" spans="1:16" hidden="1" x14ac:dyDescent="0.25">
      <c r="A513" s="143" t="s">
        <v>713</v>
      </c>
      <c r="B513" s="143" t="s">
        <v>86</v>
      </c>
      <c r="C513" s="143" t="s">
        <v>87</v>
      </c>
      <c r="D513" s="143" t="s">
        <v>69</v>
      </c>
      <c r="E513" s="257">
        <v>70126000</v>
      </c>
      <c r="F513" s="257">
        <v>67126000</v>
      </c>
      <c r="G513" s="257">
        <v>67126000</v>
      </c>
      <c r="H513" s="257">
        <v>0</v>
      </c>
      <c r="I513" s="257">
        <v>3768491.48</v>
      </c>
      <c r="J513" s="257">
        <v>0</v>
      </c>
      <c r="K513" s="257">
        <v>62582778.469999999</v>
      </c>
      <c r="L513" s="257"/>
      <c r="M513" s="257">
        <v>62351269.950000003</v>
      </c>
      <c r="N513" s="257"/>
      <c r="O513" s="257">
        <v>774730.05</v>
      </c>
      <c r="P513" s="257">
        <v>774730.05</v>
      </c>
    </row>
    <row r="514" spans="1:16" hidden="1" x14ac:dyDescent="0.25">
      <c r="A514" s="143" t="s">
        <v>713</v>
      </c>
      <c r="B514" s="143" t="s">
        <v>88</v>
      </c>
      <c r="C514" s="143" t="s">
        <v>89</v>
      </c>
      <c r="D514" s="143" t="s">
        <v>69</v>
      </c>
      <c r="E514" s="257">
        <v>99397100</v>
      </c>
      <c r="F514" s="257">
        <v>99397100</v>
      </c>
      <c r="G514" s="257">
        <v>99397100</v>
      </c>
      <c r="H514" s="257">
        <v>0</v>
      </c>
      <c r="I514" s="257">
        <v>0</v>
      </c>
      <c r="J514" s="257">
        <v>0</v>
      </c>
      <c r="K514" s="257">
        <v>83296743.799999997</v>
      </c>
      <c r="L514" s="257"/>
      <c r="M514" s="257">
        <v>83296743.799999997</v>
      </c>
      <c r="N514" s="257"/>
      <c r="O514" s="257">
        <v>16100356.199999999</v>
      </c>
      <c r="P514" s="257">
        <v>16100356.199999999</v>
      </c>
    </row>
    <row r="515" spans="1:16" hidden="1" x14ac:dyDescent="0.25">
      <c r="A515" s="143" t="s">
        <v>713</v>
      </c>
      <c r="B515" s="143" t="s">
        <v>83</v>
      </c>
      <c r="C515" s="143" t="s">
        <v>84</v>
      </c>
      <c r="D515" s="143" t="s">
        <v>85</v>
      </c>
      <c r="E515" s="257">
        <v>76324653</v>
      </c>
      <c r="F515" s="257">
        <v>75648376</v>
      </c>
      <c r="G515" s="257">
        <v>75648376</v>
      </c>
      <c r="H515" s="257">
        <v>0</v>
      </c>
      <c r="I515" s="257">
        <v>69742002.109999999</v>
      </c>
      <c r="J515" s="257">
        <v>0</v>
      </c>
      <c r="K515" s="257">
        <v>0</v>
      </c>
      <c r="L515" s="257"/>
      <c r="M515" s="257">
        <v>0</v>
      </c>
      <c r="N515" s="257"/>
      <c r="O515" s="257">
        <v>5906373.8899999997</v>
      </c>
      <c r="P515" s="257">
        <v>5906373.8899999997</v>
      </c>
    </row>
    <row r="516" spans="1:16" hidden="1" x14ac:dyDescent="0.25">
      <c r="A516" s="143" t="s">
        <v>713</v>
      </c>
      <c r="B516" s="143" t="s">
        <v>90</v>
      </c>
      <c r="C516" s="143" t="s">
        <v>91</v>
      </c>
      <c r="D516" s="143" t="s">
        <v>69</v>
      </c>
      <c r="E516" s="257">
        <v>89336069</v>
      </c>
      <c r="F516" s="257">
        <v>88544509</v>
      </c>
      <c r="G516" s="257">
        <v>88544509</v>
      </c>
      <c r="H516" s="257">
        <v>0</v>
      </c>
      <c r="I516" s="257">
        <v>19849866</v>
      </c>
      <c r="J516" s="257">
        <v>0</v>
      </c>
      <c r="K516" s="257">
        <v>68062987</v>
      </c>
      <c r="L516" s="257"/>
      <c r="M516" s="257">
        <v>68062987</v>
      </c>
      <c r="N516" s="257"/>
      <c r="O516" s="257">
        <v>631656</v>
      </c>
      <c r="P516" s="257">
        <v>631656</v>
      </c>
    </row>
    <row r="517" spans="1:16" hidden="1" x14ac:dyDescent="0.25">
      <c r="A517" s="143" t="s">
        <v>713</v>
      </c>
      <c r="B517" s="143" t="s">
        <v>423</v>
      </c>
      <c r="C517" s="143" t="s">
        <v>697</v>
      </c>
      <c r="D517" s="143" t="s">
        <v>69</v>
      </c>
      <c r="E517" s="257">
        <v>84754804</v>
      </c>
      <c r="F517" s="257">
        <v>84003836</v>
      </c>
      <c r="G517" s="257">
        <v>84003836</v>
      </c>
      <c r="H517" s="257">
        <v>0</v>
      </c>
      <c r="I517" s="257">
        <v>18831995</v>
      </c>
      <c r="J517" s="257">
        <v>0</v>
      </c>
      <c r="K517" s="257">
        <v>64572578</v>
      </c>
      <c r="L517" s="257"/>
      <c r="M517" s="257">
        <v>64572578</v>
      </c>
      <c r="N517" s="257"/>
      <c r="O517" s="257">
        <v>599263</v>
      </c>
      <c r="P517" s="257">
        <v>599263</v>
      </c>
    </row>
    <row r="518" spans="1:16" hidden="1" x14ac:dyDescent="0.25">
      <c r="A518" s="143" t="s">
        <v>713</v>
      </c>
      <c r="B518" s="143" t="s">
        <v>440</v>
      </c>
      <c r="C518" s="143" t="s">
        <v>95</v>
      </c>
      <c r="D518" s="143" t="s">
        <v>69</v>
      </c>
      <c r="E518" s="257">
        <v>4581265</v>
      </c>
      <c r="F518" s="257">
        <v>4540673</v>
      </c>
      <c r="G518" s="257">
        <v>4540673</v>
      </c>
      <c r="H518" s="257">
        <v>0</v>
      </c>
      <c r="I518" s="257">
        <v>1017871</v>
      </c>
      <c r="J518" s="257">
        <v>0</v>
      </c>
      <c r="K518" s="257">
        <v>3490409</v>
      </c>
      <c r="L518" s="257"/>
      <c r="M518" s="257">
        <v>3490409</v>
      </c>
      <c r="N518" s="257"/>
      <c r="O518" s="257">
        <v>32393</v>
      </c>
      <c r="P518" s="257">
        <v>32393</v>
      </c>
    </row>
    <row r="519" spans="1:16" hidden="1" x14ac:dyDescent="0.25">
      <c r="A519" s="143" t="s">
        <v>713</v>
      </c>
      <c r="B519" s="143" t="s">
        <v>96</v>
      </c>
      <c r="C519" s="143" t="s">
        <v>97</v>
      </c>
      <c r="D519" s="143" t="s">
        <v>69</v>
      </c>
      <c r="E519" s="257">
        <v>89336068</v>
      </c>
      <c r="F519" s="257">
        <v>88544508</v>
      </c>
      <c r="G519" s="257">
        <v>86344508</v>
      </c>
      <c r="H519" s="257">
        <v>0</v>
      </c>
      <c r="I519" s="257">
        <v>17757546</v>
      </c>
      <c r="J519" s="257">
        <v>0</v>
      </c>
      <c r="K519" s="257">
        <v>67955307</v>
      </c>
      <c r="L519" s="257"/>
      <c r="M519" s="257">
        <v>67955307</v>
      </c>
      <c r="N519" s="257"/>
      <c r="O519" s="257">
        <v>2831655</v>
      </c>
      <c r="P519" s="257">
        <v>631655</v>
      </c>
    </row>
    <row r="520" spans="1:16" hidden="1" x14ac:dyDescent="0.25">
      <c r="A520" s="143" t="s">
        <v>713</v>
      </c>
      <c r="B520" s="143" t="s">
        <v>458</v>
      </c>
      <c r="C520" s="143" t="s">
        <v>698</v>
      </c>
      <c r="D520" s="143" t="s">
        <v>69</v>
      </c>
      <c r="E520" s="257">
        <v>48104083</v>
      </c>
      <c r="F520" s="257">
        <v>47677858</v>
      </c>
      <c r="G520" s="257">
        <v>47677858</v>
      </c>
      <c r="H520" s="257">
        <v>0</v>
      </c>
      <c r="I520" s="257">
        <v>10796118</v>
      </c>
      <c r="J520" s="257">
        <v>0</v>
      </c>
      <c r="K520" s="257">
        <v>36541618</v>
      </c>
      <c r="L520" s="257"/>
      <c r="M520" s="257">
        <v>36541618</v>
      </c>
      <c r="N520" s="257"/>
      <c r="O520" s="257">
        <v>340122</v>
      </c>
      <c r="P520" s="257">
        <v>340122</v>
      </c>
    </row>
    <row r="521" spans="1:16" hidden="1" x14ac:dyDescent="0.25">
      <c r="A521" s="143" t="s">
        <v>713</v>
      </c>
      <c r="B521" s="143" t="s">
        <v>475</v>
      </c>
      <c r="C521" s="143" t="s">
        <v>699</v>
      </c>
      <c r="D521" s="143" t="s">
        <v>69</v>
      </c>
      <c r="E521" s="257">
        <v>13743995</v>
      </c>
      <c r="F521" s="257">
        <v>13622217</v>
      </c>
      <c r="G521" s="257">
        <v>13622217</v>
      </c>
      <c r="H521" s="257">
        <v>0</v>
      </c>
      <c r="I521" s="257">
        <v>2079996</v>
      </c>
      <c r="J521" s="257">
        <v>0</v>
      </c>
      <c r="K521" s="257">
        <v>11445043</v>
      </c>
      <c r="L521" s="257"/>
      <c r="M521" s="257">
        <v>11445043</v>
      </c>
      <c r="N521" s="257"/>
      <c r="O521" s="257">
        <v>97178</v>
      </c>
      <c r="P521" s="257">
        <v>97178</v>
      </c>
    </row>
    <row r="522" spans="1:16" hidden="1" x14ac:dyDescent="0.25">
      <c r="A522" s="143" t="s">
        <v>713</v>
      </c>
      <c r="B522" s="143" t="s">
        <v>492</v>
      </c>
      <c r="C522" s="143" t="s">
        <v>700</v>
      </c>
      <c r="D522" s="143" t="s">
        <v>69</v>
      </c>
      <c r="E522" s="257">
        <v>27487990</v>
      </c>
      <c r="F522" s="257">
        <v>27244433</v>
      </c>
      <c r="G522" s="257">
        <v>25044433</v>
      </c>
      <c r="H522" s="257">
        <v>0</v>
      </c>
      <c r="I522" s="257">
        <v>4881432</v>
      </c>
      <c r="J522" s="257">
        <v>0</v>
      </c>
      <c r="K522" s="257">
        <v>19968646</v>
      </c>
      <c r="L522" s="257"/>
      <c r="M522" s="257">
        <v>19968646</v>
      </c>
      <c r="N522" s="257"/>
      <c r="O522" s="257">
        <v>2394355</v>
      </c>
      <c r="P522" s="257">
        <v>194355</v>
      </c>
    </row>
    <row r="523" spans="1:16" hidden="1" x14ac:dyDescent="0.25">
      <c r="A523" s="143" t="s">
        <v>713</v>
      </c>
      <c r="B523" s="143" t="s">
        <v>104</v>
      </c>
      <c r="C523" s="143" t="s">
        <v>105</v>
      </c>
      <c r="D523" s="143" t="s">
        <v>69</v>
      </c>
      <c r="E523" s="257">
        <v>92630000</v>
      </c>
      <c r="F523" s="257">
        <v>92630000</v>
      </c>
      <c r="G523" s="257">
        <v>92630000</v>
      </c>
      <c r="H523" s="257">
        <v>0</v>
      </c>
      <c r="I523" s="257">
        <v>19014628.199999999</v>
      </c>
      <c r="J523" s="257">
        <v>0</v>
      </c>
      <c r="K523" s="257">
        <v>73451170.200000003</v>
      </c>
      <c r="L523" s="257"/>
      <c r="M523" s="257">
        <v>73451170.200000003</v>
      </c>
      <c r="N523" s="257"/>
      <c r="O523" s="257">
        <v>164201.60000000001</v>
      </c>
      <c r="P523" s="257">
        <v>164201.60000000001</v>
      </c>
    </row>
    <row r="524" spans="1:16" hidden="1" x14ac:dyDescent="0.25">
      <c r="A524" s="143" t="s">
        <v>713</v>
      </c>
      <c r="B524" s="143" t="s">
        <v>112</v>
      </c>
      <c r="C524" s="143" t="s">
        <v>113</v>
      </c>
      <c r="D524" s="143" t="s">
        <v>69</v>
      </c>
      <c r="E524" s="257">
        <v>92630000</v>
      </c>
      <c r="F524" s="257">
        <v>92630000</v>
      </c>
      <c r="G524" s="257">
        <v>92630000</v>
      </c>
      <c r="H524" s="257">
        <v>0</v>
      </c>
      <c r="I524" s="257">
        <v>19014628.199999999</v>
      </c>
      <c r="J524" s="257">
        <v>0</v>
      </c>
      <c r="K524" s="257">
        <v>73451170.200000003</v>
      </c>
      <c r="L524" s="257"/>
      <c r="M524" s="257">
        <v>73451170.200000003</v>
      </c>
      <c r="N524" s="257"/>
      <c r="O524" s="257">
        <v>164201.60000000001</v>
      </c>
      <c r="P524" s="257">
        <v>164201.60000000001</v>
      </c>
    </row>
    <row r="525" spans="1:16" hidden="1" x14ac:dyDescent="0.25">
      <c r="A525" s="143" t="s">
        <v>713</v>
      </c>
      <c r="B525" s="143" t="s">
        <v>114</v>
      </c>
      <c r="C525" s="143" t="s">
        <v>115</v>
      </c>
      <c r="D525" s="143" t="s">
        <v>69</v>
      </c>
      <c r="E525" s="257">
        <v>54520000</v>
      </c>
      <c r="F525" s="257">
        <v>54868709</v>
      </c>
      <c r="G525" s="257">
        <v>54868709</v>
      </c>
      <c r="H525" s="257">
        <v>0</v>
      </c>
      <c r="I525" s="257">
        <v>11058287.4</v>
      </c>
      <c r="J525" s="257">
        <v>0</v>
      </c>
      <c r="K525" s="257">
        <v>43810421</v>
      </c>
      <c r="L525" s="257"/>
      <c r="M525" s="257">
        <v>43810421</v>
      </c>
      <c r="N525" s="257"/>
      <c r="O525" s="257">
        <v>0.60000000000000009</v>
      </c>
      <c r="P525" s="257">
        <v>0.60000000000000009</v>
      </c>
    </row>
    <row r="526" spans="1:16" hidden="1" x14ac:dyDescent="0.25">
      <c r="A526" s="143" t="s">
        <v>713</v>
      </c>
      <c r="B526" s="143" t="s">
        <v>116</v>
      </c>
      <c r="C526" s="143" t="s">
        <v>117</v>
      </c>
      <c r="D526" s="143" t="s">
        <v>69</v>
      </c>
      <c r="E526" s="257">
        <v>34800000</v>
      </c>
      <c r="F526" s="257">
        <v>34800000</v>
      </c>
      <c r="G526" s="257">
        <v>34800000</v>
      </c>
      <c r="H526" s="257">
        <v>0</v>
      </c>
      <c r="I526" s="257">
        <v>6578435.4500000002</v>
      </c>
      <c r="J526" s="257">
        <v>0</v>
      </c>
      <c r="K526" s="257">
        <v>28221564.550000001</v>
      </c>
      <c r="L526" s="257"/>
      <c r="M526" s="257">
        <v>28221564.550000001</v>
      </c>
      <c r="N526" s="257"/>
      <c r="O526" s="257">
        <v>0</v>
      </c>
      <c r="P526" s="257">
        <v>0</v>
      </c>
    </row>
    <row r="527" spans="1:16" hidden="1" x14ac:dyDescent="0.25">
      <c r="A527" s="143" t="s">
        <v>713</v>
      </c>
      <c r="B527" s="143" t="s">
        <v>120</v>
      </c>
      <c r="C527" s="143" t="s">
        <v>121</v>
      </c>
      <c r="D527" s="143" t="s">
        <v>69</v>
      </c>
      <c r="E527" s="257">
        <v>2310000</v>
      </c>
      <c r="F527" s="257">
        <v>2310000</v>
      </c>
      <c r="G527" s="257">
        <v>2310000</v>
      </c>
      <c r="H527" s="257">
        <v>0</v>
      </c>
      <c r="I527" s="257">
        <v>1377905.35</v>
      </c>
      <c r="J527" s="257">
        <v>0</v>
      </c>
      <c r="K527" s="257">
        <v>932094.65</v>
      </c>
      <c r="L527" s="257"/>
      <c r="M527" s="257">
        <v>932094.65</v>
      </c>
      <c r="N527" s="257"/>
      <c r="O527" s="257">
        <v>0</v>
      </c>
      <c r="P527" s="257">
        <v>0</v>
      </c>
    </row>
    <row r="528" spans="1:16" hidden="1" x14ac:dyDescent="0.25">
      <c r="A528" s="143" t="s">
        <v>713</v>
      </c>
      <c r="B528" s="143" t="s">
        <v>122</v>
      </c>
      <c r="C528" s="143" t="s">
        <v>123</v>
      </c>
      <c r="D528" s="143" t="s">
        <v>69</v>
      </c>
      <c r="E528" s="257">
        <v>1000000</v>
      </c>
      <c r="F528" s="257">
        <v>651291</v>
      </c>
      <c r="G528" s="257">
        <v>651291</v>
      </c>
      <c r="H528" s="257">
        <v>0</v>
      </c>
      <c r="I528" s="257">
        <v>0</v>
      </c>
      <c r="J528" s="257">
        <v>0</v>
      </c>
      <c r="K528" s="257">
        <v>487090</v>
      </c>
      <c r="L528" s="257"/>
      <c r="M528" s="257">
        <v>487090</v>
      </c>
      <c r="N528" s="257"/>
      <c r="O528" s="257">
        <v>164201</v>
      </c>
      <c r="P528" s="257">
        <v>164201</v>
      </c>
    </row>
    <row r="529" spans="1:16" hidden="1" x14ac:dyDescent="0.25">
      <c r="A529" s="143" t="s">
        <v>713</v>
      </c>
      <c r="B529" s="143" t="s">
        <v>140</v>
      </c>
      <c r="C529" s="143" t="s">
        <v>141</v>
      </c>
      <c r="D529" s="143" t="s">
        <v>69</v>
      </c>
      <c r="E529" s="257">
        <v>0</v>
      </c>
      <c r="F529" s="257">
        <v>0</v>
      </c>
      <c r="G529" s="257">
        <v>0</v>
      </c>
      <c r="H529" s="257">
        <v>0</v>
      </c>
      <c r="I529" s="257">
        <v>0</v>
      </c>
      <c r="J529" s="257">
        <v>0</v>
      </c>
      <c r="K529" s="257">
        <v>0</v>
      </c>
      <c r="L529" s="257"/>
      <c r="M529" s="257">
        <v>0</v>
      </c>
      <c r="N529" s="257"/>
      <c r="O529" s="257">
        <v>0</v>
      </c>
      <c r="P529" s="257">
        <v>0</v>
      </c>
    </row>
    <row r="530" spans="1:16" hidden="1" x14ac:dyDescent="0.25">
      <c r="A530" s="143" t="s">
        <v>713</v>
      </c>
      <c r="B530" s="143" t="s">
        <v>144</v>
      </c>
      <c r="C530" s="143" t="s">
        <v>145</v>
      </c>
      <c r="D530" s="143" t="s">
        <v>69</v>
      </c>
      <c r="E530" s="257">
        <v>0</v>
      </c>
      <c r="F530" s="257">
        <v>0</v>
      </c>
      <c r="G530" s="257">
        <v>0</v>
      </c>
      <c r="H530" s="257">
        <v>0</v>
      </c>
      <c r="I530" s="257">
        <v>0</v>
      </c>
      <c r="J530" s="257">
        <v>0</v>
      </c>
      <c r="K530" s="257">
        <v>0</v>
      </c>
      <c r="L530" s="257"/>
      <c r="M530" s="257">
        <v>0</v>
      </c>
      <c r="N530" s="257"/>
      <c r="O530" s="257">
        <v>0</v>
      </c>
      <c r="P530" s="257">
        <v>0</v>
      </c>
    </row>
    <row r="531" spans="1:16" hidden="1" x14ac:dyDescent="0.25">
      <c r="A531" s="143" t="s">
        <v>713</v>
      </c>
      <c r="B531" s="143" t="s">
        <v>184</v>
      </c>
      <c r="C531" s="143" t="s">
        <v>185</v>
      </c>
      <c r="D531" s="143" t="s">
        <v>69</v>
      </c>
      <c r="E531" s="257">
        <v>150099855</v>
      </c>
      <c r="F531" s="257">
        <v>176046717</v>
      </c>
      <c r="G531" s="257">
        <v>176046717</v>
      </c>
      <c r="H531" s="257">
        <v>18223.88</v>
      </c>
      <c r="I531" s="257">
        <v>12565476.6</v>
      </c>
      <c r="J531" s="257">
        <v>4222854.05</v>
      </c>
      <c r="K531" s="257">
        <v>116084319.59999999</v>
      </c>
      <c r="L531" s="257"/>
      <c r="M531" s="257">
        <v>115814832.12</v>
      </c>
      <c r="N531" s="257"/>
      <c r="O531" s="257">
        <v>43155842.869999997</v>
      </c>
      <c r="P531" s="257">
        <v>43155842.869999997</v>
      </c>
    </row>
    <row r="532" spans="1:16" hidden="1" x14ac:dyDescent="0.25">
      <c r="A532" s="143" t="s">
        <v>713</v>
      </c>
      <c r="B532" s="143" t="s">
        <v>186</v>
      </c>
      <c r="C532" s="143" t="s">
        <v>187</v>
      </c>
      <c r="D532" s="143" t="s">
        <v>69</v>
      </c>
      <c r="E532" s="257">
        <v>568000</v>
      </c>
      <c r="F532" s="257">
        <v>560093</v>
      </c>
      <c r="G532" s="257">
        <v>560093</v>
      </c>
      <c r="H532" s="257">
        <v>0</v>
      </c>
      <c r="I532" s="257">
        <v>0</v>
      </c>
      <c r="J532" s="257">
        <v>6581.25</v>
      </c>
      <c r="K532" s="257">
        <v>264905.33</v>
      </c>
      <c r="L532" s="257"/>
      <c r="M532" s="257">
        <v>0</v>
      </c>
      <c r="N532" s="257"/>
      <c r="O532" s="257">
        <v>288606.42</v>
      </c>
      <c r="P532" s="257">
        <v>288606.42</v>
      </c>
    </row>
    <row r="533" spans="1:16" hidden="1" x14ac:dyDescent="0.25">
      <c r="A533" s="143" t="s">
        <v>713</v>
      </c>
      <c r="B533" s="143" t="s">
        <v>188</v>
      </c>
      <c r="C533" s="143" t="s">
        <v>189</v>
      </c>
      <c r="D533" s="143" t="s">
        <v>69</v>
      </c>
      <c r="E533" s="257">
        <v>5500</v>
      </c>
      <c r="F533" s="257">
        <v>550</v>
      </c>
      <c r="G533" s="257">
        <v>550</v>
      </c>
      <c r="H533" s="257">
        <v>0</v>
      </c>
      <c r="I533" s="257">
        <v>0</v>
      </c>
      <c r="J533" s="257">
        <v>0</v>
      </c>
      <c r="K533" s="257">
        <v>0</v>
      </c>
      <c r="L533" s="257"/>
      <c r="M533" s="257">
        <v>0</v>
      </c>
      <c r="N533" s="257"/>
      <c r="O533" s="257">
        <v>550</v>
      </c>
      <c r="P533" s="257">
        <v>550</v>
      </c>
    </row>
    <row r="534" spans="1:16" hidden="1" x14ac:dyDescent="0.25">
      <c r="A534" s="143" t="s">
        <v>713</v>
      </c>
      <c r="B534" s="143" t="s">
        <v>190</v>
      </c>
      <c r="C534" s="143" t="s">
        <v>191</v>
      </c>
      <c r="D534" s="143" t="s">
        <v>69</v>
      </c>
      <c r="E534" s="257">
        <v>147500</v>
      </c>
      <c r="F534" s="257">
        <v>559543</v>
      </c>
      <c r="G534" s="257">
        <v>559543</v>
      </c>
      <c r="H534" s="257">
        <v>0</v>
      </c>
      <c r="I534" s="257">
        <v>0</v>
      </c>
      <c r="J534" s="257">
        <v>6581.25</v>
      </c>
      <c r="K534" s="257">
        <v>264905.33</v>
      </c>
      <c r="L534" s="257"/>
      <c r="M534" s="257">
        <v>0</v>
      </c>
      <c r="N534" s="257"/>
      <c r="O534" s="257">
        <v>288056.42</v>
      </c>
      <c r="P534" s="257">
        <v>288056.42</v>
      </c>
    </row>
    <row r="535" spans="1:16" hidden="1" x14ac:dyDescent="0.25">
      <c r="A535" s="143" t="s">
        <v>713</v>
      </c>
      <c r="B535" s="143" t="s">
        <v>194</v>
      </c>
      <c r="C535" s="143" t="s">
        <v>195</v>
      </c>
      <c r="D535" s="143" t="s">
        <v>69</v>
      </c>
      <c r="E535" s="257">
        <v>415000</v>
      </c>
      <c r="F535" s="257">
        <v>0</v>
      </c>
      <c r="G535" s="257">
        <v>0</v>
      </c>
      <c r="H535" s="257">
        <v>0</v>
      </c>
      <c r="I535" s="257">
        <v>0</v>
      </c>
      <c r="J535" s="257">
        <v>0</v>
      </c>
      <c r="K535" s="257">
        <v>0</v>
      </c>
      <c r="L535" s="257"/>
      <c r="M535" s="257">
        <v>0</v>
      </c>
      <c r="N535" s="257"/>
      <c r="O535" s="257">
        <v>0</v>
      </c>
      <c r="P535" s="257">
        <v>0</v>
      </c>
    </row>
    <row r="536" spans="1:16" hidden="1" x14ac:dyDescent="0.25">
      <c r="A536" s="143" t="s">
        <v>713</v>
      </c>
      <c r="B536" s="143" t="s">
        <v>196</v>
      </c>
      <c r="C536" s="143" t="s">
        <v>197</v>
      </c>
      <c r="D536" s="143" t="s">
        <v>69</v>
      </c>
      <c r="E536" s="257">
        <v>148180115</v>
      </c>
      <c r="F536" s="257">
        <v>174139105</v>
      </c>
      <c r="G536" s="257">
        <v>174139105</v>
      </c>
      <c r="H536" s="257">
        <v>0</v>
      </c>
      <c r="I536" s="257">
        <v>11879231.6</v>
      </c>
      <c r="J536" s="257">
        <v>4216272.8</v>
      </c>
      <c r="K536" s="257">
        <v>115814832.12</v>
      </c>
      <c r="L536" s="257"/>
      <c r="M536" s="257">
        <v>115814832.12</v>
      </c>
      <c r="N536" s="257"/>
      <c r="O536" s="257">
        <v>42228768.479999997</v>
      </c>
      <c r="P536" s="257">
        <v>42228768.479999997</v>
      </c>
    </row>
    <row r="537" spans="1:16" hidden="1" x14ac:dyDescent="0.25">
      <c r="A537" s="143" t="s">
        <v>713</v>
      </c>
      <c r="B537" s="143" t="s">
        <v>198</v>
      </c>
      <c r="C537" s="143" t="s">
        <v>199</v>
      </c>
      <c r="D537" s="143" t="s">
        <v>69</v>
      </c>
      <c r="E537" s="257">
        <v>148180115</v>
      </c>
      <c r="F537" s="257">
        <v>174139105</v>
      </c>
      <c r="G537" s="257">
        <v>174139105</v>
      </c>
      <c r="H537" s="257">
        <v>0</v>
      </c>
      <c r="I537" s="257">
        <v>11879231.6</v>
      </c>
      <c r="J537" s="257">
        <v>4216272.8</v>
      </c>
      <c r="K537" s="257">
        <v>115814832.12</v>
      </c>
      <c r="L537" s="257"/>
      <c r="M537" s="257">
        <v>115814832.12</v>
      </c>
      <c r="N537" s="257"/>
      <c r="O537" s="257">
        <v>42228768.479999997</v>
      </c>
      <c r="P537" s="257">
        <v>42228768.479999997</v>
      </c>
    </row>
    <row r="538" spans="1:16" hidden="1" x14ac:dyDescent="0.25">
      <c r="A538" s="143" t="s">
        <v>713</v>
      </c>
      <c r="B538" s="143" t="s">
        <v>212</v>
      </c>
      <c r="C538" s="143" t="s">
        <v>213</v>
      </c>
      <c r="D538" s="143" t="s">
        <v>69</v>
      </c>
      <c r="E538" s="257">
        <v>1351740</v>
      </c>
      <c r="F538" s="257">
        <v>1347519</v>
      </c>
      <c r="G538" s="257">
        <v>1347519</v>
      </c>
      <c r="H538" s="257">
        <v>18223.88</v>
      </c>
      <c r="I538" s="257">
        <v>686245</v>
      </c>
      <c r="J538" s="257">
        <v>0</v>
      </c>
      <c r="K538" s="257">
        <v>4582.1499999999996</v>
      </c>
      <c r="L538" s="257"/>
      <c r="M538" s="257">
        <v>0</v>
      </c>
      <c r="N538" s="257"/>
      <c r="O538" s="257">
        <v>638467.97</v>
      </c>
      <c r="P538" s="257">
        <v>638467.97</v>
      </c>
    </row>
    <row r="539" spans="1:16" hidden="1" x14ac:dyDescent="0.25">
      <c r="A539" s="143" t="s">
        <v>713</v>
      </c>
      <c r="B539" s="143" t="s">
        <v>216</v>
      </c>
      <c r="C539" s="143" t="s">
        <v>217</v>
      </c>
      <c r="D539" s="143" t="s">
        <v>69</v>
      </c>
      <c r="E539" s="257">
        <v>708740</v>
      </c>
      <c r="F539" s="257">
        <v>708740</v>
      </c>
      <c r="G539" s="257">
        <v>708740</v>
      </c>
      <c r="H539" s="257">
        <v>18223.88</v>
      </c>
      <c r="I539" s="257">
        <v>302775</v>
      </c>
      <c r="J539" s="257">
        <v>0</v>
      </c>
      <c r="K539" s="257">
        <v>0</v>
      </c>
      <c r="L539" s="257"/>
      <c r="M539" s="257">
        <v>0</v>
      </c>
      <c r="N539" s="257"/>
      <c r="O539" s="257">
        <v>387741.12</v>
      </c>
      <c r="P539" s="257">
        <v>387741.12</v>
      </c>
    </row>
    <row r="540" spans="1:16" hidden="1" x14ac:dyDescent="0.25">
      <c r="A540" s="143" t="s">
        <v>713</v>
      </c>
      <c r="B540" s="143" t="s">
        <v>218</v>
      </c>
      <c r="C540" s="143" t="s">
        <v>219</v>
      </c>
      <c r="D540" s="143" t="s">
        <v>69</v>
      </c>
      <c r="E540" s="257">
        <v>616000</v>
      </c>
      <c r="F540" s="257">
        <v>611779</v>
      </c>
      <c r="G540" s="257">
        <v>611779</v>
      </c>
      <c r="H540" s="257">
        <v>0</v>
      </c>
      <c r="I540" s="257">
        <v>383470</v>
      </c>
      <c r="J540" s="257">
        <v>0</v>
      </c>
      <c r="K540" s="257">
        <v>0</v>
      </c>
      <c r="L540" s="257"/>
      <c r="M540" s="257">
        <v>0</v>
      </c>
      <c r="N540" s="257"/>
      <c r="O540" s="257">
        <v>228309</v>
      </c>
      <c r="P540" s="257">
        <v>228309</v>
      </c>
    </row>
    <row r="541" spans="1:16" hidden="1" x14ac:dyDescent="0.25">
      <c r="A541" s="143" t="s">
        <v>713</v>
      </c>
      <c r="B541" s="143" t="s">
        <v>224</v>
      </c>
      <c r="C541" s="143" t="s">
        <v>225</v>
      </c>
      <c r="D541" s="143" t="s">
        <v>69</v>
      </c>
      <c r="E541" s="257">
        <v>27000</v>
      </c>
      <c r="F541" s="257">
        <v>27000</v>
      </c>
      <c r="G541" s="257">
        <v>27000</v>
      </c>
      <c r="H541" s="257">
        <v>0</v>
      </c>
      <c r="I541" s="257">
        <v>0</v>
      </c>
      <c r="J541" s="257">
        <v>0</v>
      </c>
      <c r="K541" s="257">
        <v>4582.1499999999996</v>
      </c>
      <c r="L541" s="257"/>
      <c r="M541" s="257">
        <v>0</v>
      </c>
      <c r="N541" s="257"/>
      <c r="O541" s="257">
        <v>22417.85</v>
      </c>
      <c r="P541" s="257">
        <v>22417.85</v>
      </c>
    </row>
    <row r="542" spans="1:16" hidden="1" x14ac:dyDescent="0.25">
      <c r="A542" s="143" t="s">
        <v>713</v>
      </c>
      <c r="B542" s="143" t="s">
        <v>248</v>
      </c>
      <c r="C542" s="143" t="s">
        <v>249</v>
      </c>
      <c r="D542" s="143" t="s">
        <v>69</v>
      </c>
      <c r="E542" s="257">
        <v>19709963</v>
      </c>
      <c r="F542" s="257">
        <v>22575196</v>
      </c>
      <c r="G542" s="257">
        <v>22575196</v>
      </c>
      <c r="H542" s="257">
        <v>0</v>
      </c>
      <c r="I542" s="257">
        <v>3487174</v>
      </c>
      <c r="J542" s="257">
        <v>0</v>
      </c>
      <c r="K542" s="257">
        <v>15847366</v>
      </c>
      <c r="L542" s="257"/>
      <c r="M542" s="257">
        <v>15847366</v>
      </c>
      <c r="N542" s="257"/>
      <c r="O542" s="257">
        <v>3240656</v>
      </c>
      <c r="P542" s="257">
        <v>3240656</v>
      </c>
    </row>
    <row r="543" spans="1:16" hidden="1" x14ac:dyDescent="0.25">
      <c r="A543" s="143" t="s">
        <v>713</v>
      </c>
      <c r="B543" s="143" t="s">
        <v>250</v>
      </c>
      <c r="C543" s="143" t="s">
        <v>251</v>
      </c>
      <c r="D543" s="143" t="s">
        <v>69</v>
      </c>
      <c r="E543" s="257">
        <v>15209963</v>
      </c>
      <c r="F543" s="257">
        <v>15075196</v>
      </c>
      <c r="G543" s="257">
        <v>15075196</v>
      </c>
      <c r="H543" s="257">
        <v>0</v>
      </c>
      <c r="I543" s="257">
        <v>3487174</v>
      </c>
      <c r="J543" s="257">
        <v>0</v>
      </c>
      <c r="K543" s="257">
        <v>11480478</v>
      </c>
      <c r="L543" s="257"/>
      <c r="M543" s="257">
        <v>11480478</v>
      </c>
      <c r="N543" s="257"/>
      <c r="O543" s="257">
        <v>107544</v>
      </c>
      <c r="P543" s="257">
        <v>107544</v>
      </c>
    </row>
    <row r="544" spans="1:16" hidden="1" x14ac:dyDescent="0.25">
      <c r="A544" s="143" t="s">
        <v>713</v>
      </c>
      <c r="B544" s="143" t="s">
        <v>632</v>
      </c>
      <c r="C544" s="143" t="s">
        <v>702</v>
      </c>
      <c r="D544" s="143" t="s">
        <v>69</v>
      </c>
      <c r="E544" s="257">
        <v>12919331</v>
      </c>
      <c r="F544" s="257">
        <v>12804860</v>
      </c>
      <c r="G544" s="257">
        <v>12804860</v>
      </c>
      <c r="H544" s="257">
        <v>0</v>
      </c>
      <c r="I544" s="257">
        <v>2978239</v>
      </c>
      <c r="J544" s="257">
        <v>0</v>
      </c>
      <c r="K544" s="257">
        <v>9735273</v>
      </c>
      <c r="L544" s="257"/>
      <c r="M544" s="257">
        <v>9735273</v>
      </c>
      <c r="N544" s="257"/>
      <c r="O544" s="257">
        <v>91348</v>
      </c>
      <c r="P544" s="257">
        <v>91348</v>
      </c>
    </row>
    <row r="545" spans="1:16" hidden="1" x14ac:dyDescent="0.25">
      <c r="A545" s="143" t="s">
        <v>713</v>
      </c>
      <c r="B545" s="143" t="s">
        <v>647</v>
      </c>
      <c r="C545" s="143" t="s">
        <v>703</v>
      </c>
      <c r="D545" s="143" t="s">
        <v>69</v>
      </c>
      <c r="E545" s="257">
        <v>2290632</v>
      </c>
      <c r="F545" s="257">
        <v>2270336</v>
      </c>
      <c r="G545" s="257">
        <v>2270336</v>
      </c>
      <c r="H545" s="257">
        <v>0</v>
      </c>
      <c r="I545" s="257">
        <v>508935</v>
      </c>
      <c r="J545" s="257">
        <v>0</v>
      </c>
      <c r="K545" s="257">
        <v>1745205</v>
      </c>
      <c r="L545" s="257"/>
      <c r="M545" s="257">
        <v>1745205</v>
      </c>
      <c r="N545" s="257"/>
      <c r="O545" s="257">
        <v>16196</v>
      </c>
      <c r="P545" s="257">
        <v>16196</v>
      </c>
    </row>
    <row r="546" spans="1:16" hidden="1" x14ac:dyDescent="0.25">
      <c r="A546" s="143" t="s">
        <v>713</v>
      </c>
      <c r="B546" s="143" t="s">
        <v>260</v>
      </c>
      <c r="C546" s="143" t="s">
        <v>261</v>
      </c>
      <c r="D546" s="143" t="s">
        <v>69</v>
      </c>
      <c r="E546" s="257">
        <v>4500000</v>
      </c>
      <c r="F546" s="257">
        <v>7500000</v>
      </c>
      <c r="G546" s="257">
        <v>7500000</v>
      </c>
      <c r="H546" s="257">
        <v>0</v>
      </c>
      <c r="I546" s="257">
        <v>0</v>
      </c>
      <c r="J546" s="257">
        <v>0</v>
      </c>
      <c r="K546" s="257">
        <v>4366888</v>
      </c>
      <c r="L546" s="257"/>
      <c r="M546" s="257">
        <v>4366888</v>
      </c>
      <c r="N546" s="257"/>
      <c r="O546" s="257">
        <v>3133112</v>
      </c>
      <c r="P546" s="257">
        <v>3133112</v>
      </c>
    </row>
    <row r="547" spans="1:16" hidden="1" x14ac:dyDescent="0.25">
      <c r="A547" s="143" t="s">
        <v>713</v>
      </c>
      <c r="B547" s="143" t="s">
        <v>264</v>
      </c>
      <c r="C547" s="143" t="s">
        <v>265</v>
      </c>
      <c r="D547" s="143" t="s">
        <v>69</v>
      </c>
      <c r="E547" s="257">
        <v>4500000</v>
      </c>
      <c r="F547" s="257">
        <v>7500000</v>
      </c>
      <c r="G547" s="257">
        <v>7500000</v>
      </c>
      <c r="H547" s="257">
        <v>0</v>
      </c>
      <c r="I547" s="257">
        <v>0</v>
      </c>
      <c r="J547" s="257">
        <v>0</v>
      </c>
      <c r="K547" s="257">
        <v>4366888</v>
      </c>
      <c r="L547" s="257"/>
      <c r="M547" s="257">
        <v>4366888</v>
      </c>
      <c r="N547" s="257"/>
      <c r="O547" s="257">
        <v>3133112</v>
      </c>
      <c r="P547" s="257">
        <v>3133112</v>
      </c>
    </row>
    <row r="548" spans="1:16" hidden="1" x14ac:dyDescent="0.25">
      <c r="A548" s="143" t="s">
        <v>713</v>
      </c>
      <c r="B548" s="143" t="s">
        <v>230</v>
      </c>
      <c r="C548" s="143" t="s">
        <v>231</v>
      </c>
      <c r="D548" s="143" t="s">
        <v>85</v>
      </c>
      <c r="E548" s="257">
        <v>535000</v>
      </c>
      <c r="F548" s="257">
        <v>535000</v>
      </c>
      <c r="G548" s="257">
        <v>535000</v>
      </c>
      <c r="H548" s="257">
        <v>0</v>
      </c>
      <c r="I548" s="257">
        <v>110709.98</v>
      </c>
      <c r="J548" s="257">
        <v>0</v>
      </c>
      <c r="K548" s="257">
        <v>326000</v>
      </c>
      <c r="L548" s="257"/>
      <c r="M548" s="257">
        <v>326000</v>
      </c>
      <c r="N548" s="257"/>
      <c r="O548" s="257">
        <v>98290.02</v>
      </c>
      <c r="P548" s="257">
        <v>98290.02</v>
      </c>
    </row>
    <row r="549" spans="1:16" hidden="1" x14ac:dyDescent="0.25">
      <c r="A549" s="143" t="s">
        <v>713</v>
      </c>
      <c r="B549" s="143" t="s">
        <v>232</v>
      </c>
      <c r="C549" s="143" t="s">
        <v>233</v>
      </c>
      <c r="D549" s="143" t="s">
        <v>85</v>
      </c>
      <c r="E549" s="257">
        <v>535000</v>
      </c>
      <c r="F549" s="257">
        <v>535000</v>
      </c>
      <c r="G549" s="257">
        <v>535000</v>
      </c>
      <c r="H549" s="257">
        <v>0</v>
      </c>
      <c r="I549" s="257">
        <v>110709.98</v>
      </c>
      <c r="J549" s="257">
        <v>0</v>
      </c>
      <c r="K549" s="257">
        <v>326000</v>
      </c>
      <c r="L549" s="257"/>
      <c r="M549" s="257">
        <v>326000</v>
      </c>
      <c r="N549" s="257"/>
      <c r="O549" s="257">
        <v>98290.02</v>
      </c>
      <c r="P549" s="257">
        <v>98290.02</v>
      </c>
    </row>
    <row r="550" spans="1:16" hidden="1" x14ac:dyDescent="0.25">
      <c r="A550" s="143" t="s">
        <v>713</v>
      </c>
      <c r="B550" s="143" t="s">
        <v>326</v>
      </c>
      <c r="C550" s="143" t="s">
        <v>327</v>
      </c>
      <c r="D550" s="143" t="s">
        <v>85</v>
      </c>
      <c r="E550" s="257">
        <v>535000</v>
      </c>
      <c r="F550" s="257">
        <v>535000</v>
      </c>
      <c r="G550" s="257">
        <v>535000</v>
      </c>
      <c r="H550" s="257">
        <v>0</v>
      </c>
      <c r="I550" s="257">
        <v>110709.98</v>
      </c>
      <c r="J550" s="257">
        <v>0</v>
      </c>
      <c r="K550" s="257">
        <v>326000</v>
      </c>
      <c r="L550" s="257"/>
      <c r="M550" s="257">
        <v>326000</v>
      </c>
      <c r="N550" s="257"/>
      <c r="O550" s="257">
        <v>98290.02</v>
      </c>
      <c r="P550" s="257">
        <v>98290.02</v>
      </c>
    </row>
    <row r="551" spans="1:16" x14ac:dyDescent="0.25">
      <c r="A551" s="44">
        <v>214789004</v>
      </c>
      <c r="C551" s="44"/>
      <c r="D551" s="44" t="s">
        <v>69</v>
      </c>
      <c r="E551" s="257">
        <v>2343912564</v>
      </c>
      <c r="F551" s="50">
        <v>2262440561</v>
      </c>
      <c r="G551" s="257">
        <v>2231589829</v>
      </c>
      <c r="H551" s="50">
        <v>0</v>
      </c>
      <c r="I551" s="50">
        <v>228285907.66999999</v>
      </c>
      <c r="J551" s="50">
        <v>300321</v>
      </c>
      <c r="K551" s="50">
        <v>1731166942.2</v>
      </c>
      <c r="L551" s="152">
        <f>+K551/F551</f>
        <v>0.76517676178631777</v>
      </c>
      <c r="M551" s="50">
        <v>1716539876.25</v>
      </c>
      <c r="N551" s="152">
        <f>+M551/F551</f>
        <v>0.75871159041247405</v>
      </c>
      <c r="O551" s="50">
        <v>302687390.13</v>
      </c>
      <c r="P551" s="152">
        <f>+O551/F551</f>
        <v>0.13378799662087565</v>
      </c>
    </row>
    <row r="552" spans="1:16" hidden="1" x14ac:dyDescent="0.25">
      <c r="A552" s="143" t="s">
        <v>714</v>
      </c>
      <c r="B552" s="143" t="s">
        <v>71</v>
      </c>
      <c r="C552" s="143" t="s">
        <v>72</v>
      </c>
      <c r="D552" s="143" t="s">
        <v>69</v>
      </c>
      <c r="E552" s="257">
        <v>1911246104</v>
      </c>
      <c r="F552" s="257">
        <v>1874431575</v>
      </c>
      <c r="G552" s="257">
        <v>1870631575</v>
      </c>
      <c r="H552" s="257">
        <v>0</v>
      </c>
      <c r="I552" s="257">
        <v>167912029.13</v>
      </c>
      <c r="J552" s="257">
        <v>0</v>
      </c>
      <c r="K552" s="257">
        <v>1507366560.78</v>
      </c>
      <c r="L552" s="257"/>
      <c r="M552" s="257">
        <v>1506278111.3499999</v>
      </c>
      <c r="N552" s="257"/>
      <c r="O552" s="257">
        <v>199152985.09</v>
      </c>
      <c r="P552" s="257">
        <v>195352985.09</v>
      </c>
    </row>
    <row r="553" spans="1:16" hidden="1" x14ac:dyDescent="0.25">
      <c r="A553" s="143" t="s">
        <v>714</v>
      </c>
      <c r="B553" s="143" t="s">
        <v>73</v>
      </c>
      <c r="C553" s="143" t="s">
        <v>74</v>
      </c>
      <c r="D553" s="143" t="s">
        <v>69</v>
      </c>
      <c r="E553" s="257">
        <v>693088616</v>
      </c>
      <c r="F553" s="257">
        <v>672914792</v>
      </c>
      <c r="G553" s="257">
        <v>672914792</v>
      </c>
      <c r="H553" s="257">
        <v>0</v>
      </c>
      <c r="I553" s="257">
        <v>0</v>
      </c>
      <c r="J553" s="257">
        <v>0</v>
      </c>
      <c r="K553" s="257">
        <v>594524096.79999995</v>
      </c>
      <c r="L553" s="257"/>
      <c r="M553" s="257">
        <v>594524096.79999995</v>
      </c>
      <c r="N553" s="257"/>
      <c r="O553" s="257">
        <v>78390695.200000003</v>
      </c>
      <c r="P553" s="257">
        <v>78390695.200000003</v>
      </c>
    </row>
    <row r="554" spans="1:16" hidden="1" x14ac:dyDescent="0.25">
      <c r="A554" s="143" t="s">
        <v>714</v>
      </c>
      <c r="B554" s="143" t="s">
        <v>75</v>
      </c>
      <c r="C554" s="143" t="s">
        <v>76</v>
      </c>
      <c r="D554" s="143" t="s">
        <v>69</v>
      </c>
      <c r="E554" s="257">
        <v>693088616</v>
      </c>
      <c r="F554" s="257">
        <v>672914792</v>
      </c>
      <c r="G554" s="257">
        <v>672914792</v>
      </c>
      <c r="H554" s="257">
        <v>0</v>
      </c>
      <c r="I554" s="257">
        <v>0</v>
      </c>
      <c r="J554" s="257">
        <v>0</v>
      </c>
      <c r="K554" s="257">
        <v>594524096.79999995</v>
      </c>
      <c r="L554" s="257"/>
      <c r="M554" s="257">
        <v>594524096.79999995</v>
      </c>
      <c r="N554" s="257"/>
      <c r="O554" s="257">
        <v>78390695.200000003</v>
      </c>
      <c r="P554" s="257">
        <v>78390695.200000003</v>
      </c>
    </row>
    <row r="555" spans="1:16" hidden="1" x14ac:dyDescent="0.25">
      <c r="A555" s="143" t="s">
        <v>714</v>
      </c>
      <c r="B555" s="143" t="s">
        <v>293</v>
      </c>
      <c r="C555" s="143" t="s">
        <v>294</v>
      </c>
      <c r="D555" s="143" t="s">
        <v>69</v>
      </c>
      <c r="E555" s="257">
        <v>2572600</v>
      </c>
      <c r="F555" s="257">
        <v>2572600</v>
      </c>
      <c r="G555" s="257">
        <v>2572600</v>
      </c>
      <c r="H555" s="257">
        <v>0</v>
      </c>
      <c r="I555" s="257">
        <v>0</v>
      </c>
      <c r="J555" s="257">
        <v>0</v>
      </c>
      <c r="K555" s="257">
        <v>1622457.5</v>
      </c>
      <c r="L555" s="257"/>
      <c r="M555" s="257">
        <v>1622457.5</v>
      </c>
      <c r="N555" s="257"/>
      <c r="O555" s="257">
        <v>950142.5</v>
      </c>
      <c r="P555" s="257">
        <v>950142.5</v>
      </c>
    </row>
    <row r="556" spans="1:16" hidden="1" x14ac:dyDescent="0.25">
      <c r="A556" s="143" t="s">
        <v>714</v>
      </c>
      <c r="B556" s="143" t="s">
        <v>339</v>
      </c>
      <c r="C556" s="143" t="s">
        <v>340</v>
      </c>
      <c r="D556" s="143" t="s">
        <v>69</v>
      </c>
      <c r="E556" s="257">
        <v>2572600</v>
      </c>
      <c r="F556" s="257">
        <v>2572600</v>
      </c>
      <c r="G556" s="257">
        <v>2572600</v>
      </c>
      <c r="H556" s="257">
        <v>0</v>
      </c>
      <c r="I556" s="257">
        <v>0</v>
      </c>
      <c r="J556" s="257">
        <v>0</v>
      </c>
      <c r="K556" s="257">
        <v>1622457.5</v>
      </c>
      <c r="L556" s="257"/>
      <c r="M556" s="257">
        <v>1622457.5</v>
      </c>
      <c r="N556" s="257"/>
      <c r="O556" s="257">
        <v>950142.5</v>
      </c>
      <c r="P556" s="257">
        <v>950142.5</v>
      </c>
    </row>
    <row r="557" spans="1:16" hidden="1" x14ac:dyDescent="0.25">
      <c r="A557" s="143" t="s">
        <v>714</v>
      </c>
      <c r="B557" s="143" t="s">
        <v>77</v>
      </c>
      <c r="C557" s="143" t="s">
        <v>78</v>
      </c>
      <c r="D557" s="143" t="s">
        <v>69</v>
      </c>
      <c r="E557" s="257">
        <v>924031359</v>
      </c>
      <c r="F557" s="257">
        <v>913006573</v>
      </c>
      <c r="G557" s="257">
        <v>913006573</v>
      </c>
      <c r="H557" s="257">
        <v>0</v>
      </c>
      <c r="I557" s="257">
        <v>117627545.13</v>
      </c>
      <c r="J557" s="257">
        <v>0</v>
      </c>
      <c r="K557" s="257">
        <v>681526684.48000002</v>
      </c>
      <c r="L557" s="257"/>
      <c r="M557" s="257">
        <v>680438235.04999995</v>
      </c>
      <c r="N557" s="257"/>
      <c r="O557" s="257">
        <v>113852343.39</v>
      </c>
      <c r="P557" s="257">
        <v>113852343.39</v>
      </c>
    </row>
    <row r="558" spans="1:16" hidden="1" x14ac:dyDescent="0.25">
      <c r="A558" s="143" t="s">
        <v>714</v>
      </c>
      <c r="B558" s="143" t="s">
        <v>79</v>
      </c>
      <c r="C558" s="143" t="s">
        <v>80</v>
      </c>
      <c r="D558" s="143" t="s">
        <v>69</v>
      </c>
      <c r="E558" s="257">
        <v>322806400</v>
      </c>
      <c r="F558" s="257">
        <v>322806400</v>
      </c>
      <c r="G558" s="257">
        <v>322806400</v>
      </c>
      <c r="H558" s="257">
        <v>0</v>
      </c>
      <c r="I558" s="257">
        <v>0</v>
      </c>
      <c r="J558" s="257">
        <v>0</v>
      </c>
      <c r="K558" s="257">
        <v>254449346.34</v>
      </c>
      <c r="L558" s="257"/>
      <c r="M558" s="257">
        <v>254449346.34</v>
      </c>
      <c r="N558" s="257"/>
      <c r="O558" s="257">
        <v>68357053.659999996</v>
      </c>
      <c r="P558" s="257">
        <v>68357053.659999996</v>
      </c>
    </row>
    <row r="559" spans="1:16" hidden="1" x14ac:dyDescent="0.25">
      <c r="A559" s="143" t="s">
        <v>714</v>
      </c>
      <c r="B559" s="143" t="s">
        <v>81</v>
      </c>
      <c r="C559" s="143" t="s">
        <v>82</v>
      </c>
      <c r="D559" s="143" t="s">
        <v>69</v>
      </c>
      <c r="E559" s="257">
        <v>234712205</v>
      </c>
      <c r="F559" s="257">
        <v>234536190</v>
      </c>
      <c r="G559" s="257">
        <v>234536190</v>
      </c>
      <c r="H559" s="257">
        <v>0</v>
      </c>
      <c r="I559" s="257">
        <v>0</v>
      </c>
      <c r="J559" s="257">
        <v>0</v>
      </c>
      <c r="K559" s="257">
        <v>213053458.55000001</v>
      </c>
      <c r="L559" s="257"/>
      <c r="M559" s="257">
        <v>213053458.55000001</v>
      </c>
      <c r="N559" s="257"/>
      <c r="O559" s="257">
        <v>21482731.449999999</v>
      </c>
      <c r="P559" s="257">
        <v>21482731.449999999</v>
      </c>
    </row>
    <row r="560" spans="1:16" hidden="1" x14ac:dyDescent="0.25">
      <c r="A560" s="143" t="s">
        <v>714</v>
      </c>
      <c r="B560" s="143" t="s">
        <v>86</v>
      </c>
      <c r="C560" s="143" t="s">
        <v>87</v>
      </c>
      <c r="D560" s="143" t="s">
        <v>69</v>
      </c>
      <c r="E560" s="257">
        <v>114340800</v>
      </c>
      <c r="F560" s="257">
        <v>106915800</v>
      </c>
      <c r="G560" s="257">
        <v>106915800</v>
      </c>
      <c r="H560" s="257">
        <v>0</v>
      </c>
      <c r="I560" s="257">
        <v>3326961.13</v>
      </c>
      <c r="J560" s="257">
        <v>0</v>
      </c>
      <c r="K560" s="257">
        <v>102564588.84</v>
      </c>
      <c r="L560" s="257"/>
      <c r="M560" s="257">
        <v>101476139.41</v>
      </c>
      <c r="N560" s="257"/>
      <c r="O560" s="257">
        <v>1024250.03</v>
      </c>
      <c r="P560" s="257">
        <v>1024250.03</v>
      </c>
    </row>
    <row r="561" spans="1:16" hidden="1" x14ac:dyDescent="0.25">
      <c r="A561" s="143" t="s">
        <v>714</v>
      </c>
      <c r="B561" s="143" t="s">
        <v>88</v>
      </c>
      <c r="C561" s="143" t="s">
        <v>89</v>
      </c>
      <c r="D561" s="143" t="s">
        <v>69</v>
      </c>
      <c r="E561" s="257">
        <v>127626300</v>
      </c>
      <c r="F561" s="257">
        <v>126601536</v>
      </c>
      <c r="G561" s="257">
        <v>126601536</v>
      </c>
      <c r="H561" s="257">
        <v>0</v>
      </c>
      <c r="I561" s="257">
        <v>0</v>
      </c>
      <c r="J561" s="257">
        <v>0</v>
      </c>
      <c r="K561" s="257">
        <v>111459290.75</v>
      </c>
      <c r="L561" s="257"/>
      <c r="M561" s="257">
        <v>111459290.75</v>
      </c>
      <c r="N561" s="257"/>
      <c r="O561" s="257">
        <v>15142245.25</v>
      </c>
      <c r="P561" s="257">
        <v>15142245.25</v>
      </c>
    </row>
    <row r="562" spans="1:16" hidden="1" x14ac:dyDescent="0.25">
      <c r="A562" s="143" t="s">
        <v>714</v>
      </c>
      <c r="B562" s="143" t="s">
        <v>83</v>
      </c>
      <c r="C562" s="143" t="s">
        <v>84</v>
      </c>
      <c r="D562" s="143" t="s">
        <v>85</v>
      </c>
      <c r="E562" s="257">
        <v>124545654</v>
      </c>
      <c r="F562" s="257">
        <v>122146647</v>
      </c>
      <c r="G562" s="257">
        <v>122146647</v>
      </c>
      <c r="H562" s="257">
        <v>0</v>
      </c>
      <c r="I562" s="257">
        <v>114300584</v>
      </c>
      <c r="J562" s="257">
        <v>0</v>
      </c>
      <c r="K562" s="257">
        <v>0</v>
      </c>
      <c r="L562" s="257"/>
      <c r="M562" s="257">
        <v>0</v>
      </c>
      <c r="N562" s="257"/>
      <c r="O562" s="257">
        <v>7846063</v>
      </c>
      <c r="P562" s="257">
        <v>7846063</v>
      </c>
    </row>
    <row r="563" spans="1:16" hidden="1" x14ac:dyDescent="0.25">
      <c r="A563" s="143" t="s">
        <v>714</v>
      </c>
      <c r="B563" s="143" t="s">
        <v>90</v>
      </c>
      <c r="C563" s="143" t="s">
        <v>91</v>
      </c>
      <c r="D563" s="143" t="s">
        <v>69</v>
      </c>
      <c r="E563" s="257">
        <v>145776815</v>
      </c>
      <c r="F563" s="257">
        <v>142968855</v>
      </c>
      <c r="G563" s="257">
        <v>142968855</v>
      </c>
      <c r="H563" s="257">
        <v>0</v>
      </c>
      <c r="I563" s="257">
        <v>26948740</v>
      </c>
      <c r="J563" s="257">
        <v>0</v>
      </c>
      <c r="K563" s="257">
        <v>114940213</v>
      </c>
      <c r="L563" s="257"/>
      <c r="M563" s="257">
        <v>114940213</v>
      </c>
      <c r="N563" s="257"/>
      <c r="O563" s="257">
        <v>1079902</v>
      </c>
      <c r="P563" s="257">
        <v>1079902</v>
      </c>
    </row>
    <row r="564" spans="1:16" hidden="1" x14ac:dyDescent="0.25">
      <c r="A564" s="143" t="s">
        <v>714</v>
      </c>
      <c r="B564" s="143" t="s">
        <v>424</v>
      </c>
      <c r="C564" s="143" t="s">
        <v>697</v>
      </c>
      <c r="D564" s="143" t="s">
        <v>69</v>
      </c>
      <c r="E564" s="257">
        <v>138301084</v>
      </c>
      <c r="F564" s="257">
        <v>135637121</v>
      </c>
      <c r="G564" s="257">
        <v>135637121</v>
      </c>
      <c r="H564" s="257">
        <v>0</v>
      </c>
      <c r="I564" s="257">
        <v>25566756</v>
      </c>
      <c r="J564" s="257">
        <v>0</v>
      </c>
      <c r="K564" s="257">
        <v>109045843</v>
      </c>
      <c r="L564" s="257"/>
      <c r="M564" s="257">
        <v>109045843</v>
      </c>
      <c r="N564" s="257"/>
      <c r="O564" s="257">
        <v>1024522</v>
      </c>
      <c r="P564" s="257">
        <v>1024522</v>
      </c>
    </row>
    <row r="565" spans="1:16" hidden="1" x14ac:dyDescent="0.25">
      <c r="A565" s="143" t="s">
        <v>714</v>
      </c>
      <c r="B565" s="143" t="s">
        <v>441</v>
      </c>
      <c r="C565" s="143" t="s">
        <v>95</v>
      </c>
      <c r="D565" s="143" t="s">
        <v>69</v>
      </c>
      <c r="E565" s="257">
        <v>7475731</v>
      </c>
      <c r="F565" s="257">
        <v>7331734</v>
      </c>
      <c r="G565" s="257">
        <v>7331734</v>
      </c>
      <c r="H565" s="257">
        <v>0</v>
      </c>
      <c r="I565" s="257">
        <v>1381984</v>
      </c>
      <c r="J565" s="257">
        <v>0</v>
      </c>
      <c r="K565" s="257">
        <v>5894370</v>
      </c>
      <c r="L565" s="257"/>
      <c r="M565" s="257">
        <v>5894370</v>
      </c>
      <c r="N565" s="257"/>
      <c r="O565" s="257">
        <v>55380</v>
      </c>
      <c r="P565" s="257">
        <v>55380</v>
      </c>
    </row>
    <row r="566" spans="1:16" hidden="1" x14ac:dyDescent="0.25">
      <c r="A566" s="143" t="s">
        <v>714</v>
      </c>
      <c r="B566" s="143" t="s">
        <v>96</v>
      </c>
      <c r="C566" s="143" t="s">
        <v>97</v>
      </c>
      <c r="D566" s="143" t="s">
        <v>69</v>
      </c>
      <c r="E566" s="257">
        <v>145776714</v>
      </c>
      <c r="F566" s="257">
        <v>142968755</v>
      </c>
      <c r="G566" s="257">
        <v>139168755</v>
      </c>
      <c r="H566" s="257">
        <v>0</v>
      </c>
      <c r="I566" s="257">
        <v>23335744</v>
      </c>
      <c r="J566" s="257">
        <v>0</v>
      </c>
      <c r="K566" s="257">
        <v>114753109</v>
      </c>
      <c r="L566" s="257"/>
      <c r="M566" s="257">
        <v>114753109</v>
      </c>
      <c r="N566" s="257"/>
      <c r="O566" s="257">
        <v>4879902</v>
      </c>
      <c r="P566" s="257">
        <v>1079902</v>
      </c>
    </row>
    <row r="567" spans="1:16" hidden="1" x14ac:dyDescent="0.25">
      <c r="A567" s="143" t="s">
        <v>714</v>
      </c>
      <c r="B567" s="143" t="s">
        <v>459</v>
      </c>
      <c r="C567" s="143" t="s">
        <v>698</v>
      </c>
      <c r="D567" s="143" t="s">
        <v>69</v>
      </c>
      <c r="E567" s="257">
        <v>78495131</v>
      </c>
      <c r="F567" s="257">
        <v>76983152</v>
      </c>
      <c r="G567" s="257">
        <v>76983152</v>
      </c>
      <c r="H567" s="257">
        <v>0</v>
      </c>
      <c r="I567" s="257">
        <v>14697886</v>
      </c>
      <c r="J567" s="257">
        <v>0</v>
      </c>
      <c r="K567" s="257">
        <v>61703781</v>
      </c>
      <c r="L567" s="257"/>
      <c r="M567" s="257">
        <v>61703781</v>
      </c>
      <c r="N567" s="257"/>
      <c r="O567" s="257">
        <v>581485</v>
      </c>
      <c r="P567" s="257">
        <v>581485</v>
      </c>
    </row>
    <row r="568" spans="1:16" hidden="1" x14ac:dyDescent="0.25">
      <c r="A568" s="143" t="s">
        <v>714</v>
      </c>
      <c r="B568" s="143" t="s">
        <v>476</v>
      </c>
      <c r="C568" s="143" t="s">
        <v>699</v>
      </c>
      <c r="D568" s="143" t="s">
        <v>69</v>
      </c>
      <c r="E568" s="257">
        <v>22427194</v>
      </c>
      <c r="F568" s="257">
        <v>21995201</v>
      </c>
      <c r="G568" s="257">
        <v>21995201</v>
      </c>
      <c r="H568" s="257">
        <v>0</v>
      </c>
      <c r="I568" s="257">
        <v>2510270</v>
      </c>
      <c r="J568" s="257">
        <v>0</v>
      </c>
      <c r="K568" s="257">
        <v>19318792</v>
      </c>
      <c r="L568" s="257"/>
      <c r="M568" s="257">
        <v>19318792</v>
      </c>
      <c r="N568" s="257"/>
      <c r="O568" s="257">
        <v>166139</v>
      </c>
      <c r="P568" s="257">
        <v>166139</v>
      </c>
    </row>
    <row r="569" spans="1:16" hidden="1" x14ac:dyDescent="0.25">
      <c r="A569" s="143" t="s">
        <v>714</v>
      </c>
      <c r="B569" s="143" t="s">
        <v>493</v>
      </c>
      <c r="C569" s="143" t="s">
        <v>700</v>
      </c>
      <c r="D569" s="143" t="s">
        <v>69</v>
      </c>
      <c r="E569" s="257">
        <v>44854389</v>
      </c>
      <c r="F569" s="257">
        <v>43990402</v>
      </c>
      <c r="G569" s="257">
        <v>40190402</v>
      </c>
      <c r="H569" s="257">
        <v>0</v>
      </c>
      <c r="I569" s="257">
        <v>6127588</v>
      </c>
      <c r="J569" s="257">
        <v>0</v>
      </c>
      <c r="K569" s="257">
        <v>33730536</v>
      </c>
      <c r="L569" s="257"/>
      <c r="M569" s="257">
        <v>33730536</v>
      </c>
      <c r="N569" s="257"/>
      <c r="O569" s="257">
        <v>4132278</v>
      </c>
      <c r="P569" s="257">
        <v>332278</v>
      </c>
    </row>
    <row r="570" spans="1:16" hidden="1" x14ac:dyDescent="0.25">
      <c r="A570" s="143" t="s">
        <v>714</v>
      </c>
      <c r="B570" s="143" t="s">
        <v>104</v>
      </c>
      <c r="C570" s="143" t="s">
        <v>105</v>
      </c>
      <c r="D570" s="143" t="s">
        <v>69</v>
      </c>
      <c r="E570" s="257">
        <v>93714000</v>
      </c>
      <c r="F570" s="257">
        <v>93988295</v>
      </c>
      <c r="G570" s="257">
        <v>93988295</v>
      </c>
      <c r="H570" s="257">
        <v>0</v>
      </c>
      <c r="I570" s="257">
        <v>30848164.129999999</v>
      </c>
      <c r="J570" s="257">
        <v>0</v>
      </c>
      <c r="K570" s="257">
        <v>62514628.039999999</v>
      </c>
      <c r="L570" s="257"/>
      <c r="M570" s="257">
        <v>61298125.619999997</v>
      </c>
      <c r="N570" s="257"/>
      <c r="O570" s="257">
        <v>625502.82999999996</v>
      </c>
      <c r="P570" s="257">
        <v>625502.82999999996</v>
      </c>
    </row>
    <row r="571" spans="1:16" hidden="1" x14ac:dyDescent="0.25">
      <c r="A571" s="143" t="s">
        <v>714</v>
      </c>
      <c r="B571" s="143" t="s">
        <v>112</v>
      </c>
      <c r="C571" s="143" t="s">
        <v>113</v>
      </c>
      <c r="D571" s="143" t="s">
        <v>69</v>
      </c>
      <c r="E571" s="257">
        <v>92804000</v>
      </c>
      <c r="F571" s="257">
        <v>93519295</v>
      </c>
      <c r="G571" s="257">
        <v>93519295</v>
      </c>
      <c r="H571" s="257">
        <v>0</v>
      </c>
      <c r="I571" s="257">
        <v>30848164.129999999</v>
      </c>
      <c r="J571" s="257">
        <v>0</v>
      </c>
      <c r="K571" s="257">
        <v>62514628.039999999</v>
      </c>
      <c r="L571" s="257"/>
      <c r="M571" s="257">
        <v>61298125.619999997</v>
      </c>
      <c r="N571" s="257"/>
      <c r="O571" s="257">
        <v>156502.82999999999</v>
      </c>
      <c r="P571" s="257">
        <v>156502.82999999999</v>
      </c>
    </row>
    <row r="572" spans="1:16" hidden="1" x14ac:dyDescent="0.25">
      <c r="A572" s="143" t="s">
        <v>714</v>
      </c>
      <c r="B572" s="143" t="s">
        <v>114</v>
      </c>
      <c r="C572" s="143" t="s">
        <v>115</v>
      </c>
      <c r="D572" s="143" t="s">
        <v>69</v>
      </c>
      <c r="E572" s="257">
        <v>36754000</v>
      </c>
      <c r="F572" s="257">
        <v>40404776</v>
      </c>
      <c r="G572" s="257">
        <v>40404776</v>
      </c>
      <c r="H572" s="257">
        <v>0</v>
      </c>
      <c r="I572" s="257">
        <v>4088092.19</v>
      </c>
      <c r="J572" s="257">
        <v>0</v>
      </c>
      <c r="K572" s="257">
        <v>36316683.810000002</v>
      </c>
      <c r="L572" s="257"/>
      <c r="M572" s="257">
        <v>35100181.390000001</v>
      </c>
      <c r="N572" s="257"/>
      <c r="O572" s="257">
        <v>0</v>
      </c>
      <c r="P572" s="257">
        <v>0</v>
      </c>
    </row>
    <row r="573" spans="1:16" hidden="1" x14ac:dyDescent="0.25">
      <c r="A573" s="143" t="s">
        <v>714</v>
      </c>
      <c r="B573" s="143" t="s">
        <v>116</v>
      </c>
      <c r="C573" s="143" t="s">
        <v>117</v>
      </c>
      <c r="D573" s="143" t="s">
        <v>69</v>
      </c>
      <c r="E573" s="257">
        <v>43500000</v>
      </c>
      <c r="F573" s="257">
        <v>40922500</v>
      </c>
      <c r="G573" s="257">
        <v>40922500</v>
      </c>
      <c r="H573" s="257">
        <v>0</v>
      </c>
      <c r="I573" s="257">
        <v>18457225.43</v>
      </c>
      <c r="J573" s="257">
        <v>0</v>
      </c>
      <c r="K573" s="257">
        <v>22465274.57</v>
      </c>
      <c r="L573" s="257"/>
      <c r="M573" s="257">
        <v>22465274.57</v>
      </c>
      <c r="N573" s="257"/>
      <c r="O573" s="257">
        <v>0</v>
      </c>
      <c r="P573" s="257">
        <v>0</v>
      </c>
    </row>
    <row r="574" spans="1:16" hidden="1" x14ac:dyDescent="0.25">
      <c r="A574" s="143" t="s">
        <v>714</v>
      </c>
      <c r="B574" s="143" t="s">
        <v>120</v>
      </c>
      <c r="C574" s="143" t="s">
        <v>121</v>
      </c>
      <c r="D574" s="143" t="s">
        <v>69</v>
      </c>
      <c r="E574" s="257">
        <v>11550000</v>
      </c>
      <c r="F574" s="257">
        <v>11550000</v>
      </c>
      <c r="G574" s="257">
        <v>11550000</v>
      </c>
      <c r="H574" s="257">
        <v>0</v>
      </c>
      <c r="I574" s="257">
        <v>8268527.6100000003</v>
      </c>
      <c r="J574" s="257">
        <v>0</v>
      </c>
      <c r="K574" s="257">
        <v>3281472.39</v>
      </c>
      <c r="L574" s="257"/>
      <c r="M574" s="257">
        <v>3281472.39</v>
      </c>
      <c r="N574" s="257"/>
      <c r="O574" s="257">
        <v>0</v>
      </c>
      <c r="P574" s="257">
        <v>0</v>
      </c>
    </row>
    <row r="575" spans="1:16" hidden="1" x14ac:dyDescent="0.25">
      <c r="A575" s="143" t="s">
        <v>714</v>
      </c>
      <c r="B575" s="143" t="s">
        <v>122</v>
      </c>
      <c r="C575" s="143" t="s">
        <v>123</v>
      </c>
      <c r="D575" s="143" t="s">
        <v>69</v>
      </c>
      <c r="E575" s="257">
        <v>1000000</v>
      </c>
      <c r="F575" s="257">
        <v>642019</v>
      </c>
      <c r="G575" s="257">
        <v>642019</v>
      </c>
      <c r="H575" s="257">
        <v>0</v>
      </c>
      <c r="I575" s="257">
        <v>34318.9</v>
      </c>
      <c r="J575" s="257">
        <v>0</v>
      </c>
      <c r="K575" s="257">
        <v>451197.27</v>
      </c>
      <c r="L575" s="257"/>
      <c r="M575" s="257">
        <v>451197.27</v>
      </c>
      <c r="N575" s="257"/>
      <c r="O575" s="257">
        <v>156502.82999999999</v>
      </c>
      <c r="P575" s="257">
        <v>156502.82999999999</v>
      </c>
    </row>
    <row r="576" spans="1:16" hidden="1" x14ac:dyDescent="0.25">
      <c r="A576" s="143" t="s">
        <v>714</v>
      </c>
      <c r="B576" s="143" t="s">
        <v>116</v>
      </c>
      <c r="C576" s="143" t="s">
        <v>117</v>
      </c>
      <c r="D576" s="143" t="s">
        <v>85</v>
      </c>
      <c r="E576" s="257">
        <v>0</v>
      </c>
      <c r="F576" s="257">
        <v>0</v>
      </c>
      <c r="G576" s="257">
        <v>0</v>
      </c>
      <c r="H576" s="257">
        <v>0</v>
      </c>
      <c r="I576" s="257">
        <v>0</v>
      </c>
      <c r="J576" s="257">
        <v>0</v>
      </c>
      <c r="K576" s="257">
        <v>0</v>
      </c>
      <c r="L576" s="257"/>
      <c r="M576" s="257">
        <v>0</v>
      </c>
      <c r="N576" s="257"/>
      <c r="O576" s="257">
        <v>0</v>
      </c>
      <c r="P576" s="257">
        <v>0</v>
      </c>
    </row>
    <row r="577" spans="1:16" hidden="1" x14ac:dyDescent="0.25">
      <c r="A577" s="143" t="s">
        <v>714</v>
      </c>
      <c r="B577" s="143" t="s">
        <v>134</v>
      </c>
      <c r="C577" s="143" t="s">
        <v>135</v>
      </c>
      <c r="D577" s="143" t="s">
        <v>69</v>
      </c>
      <c r="E577" s="257">
        <v>410000</v>
      </c>
      <c r="F577" s="257">
        <v>59000</v>
      </c>
      <c r="G577" s="257">
        <v>59000</v>
      </c>
      <c r="H577" s="257">
        <v>0</v>
      </c>
      <c r="I577" s="257">
        <v>0</v>
      </c>
      <c r="J577" s="257">
        <v>0</v>
      </c>
      <c r="K577" s="257">
        <v>0</v>
      </c>
      <c r="L577" s="257"/>
      <c r="M577" s="257">
        <v>0</v>
      </c>
      <c r="N577" s="257"/>
      <c r="O577" s="257">
        <v>59000</v>
      </c>
      <c r="P577" s="257">
        <v>59000</v>
      </c>
    </row>
    <row r="578" spans="1:16" hidden="1" x14ac:dyDescent="0.25">
      <c r="A578" s="143" t="s">
        <v>714</v>
      </c>
      <c r="B578" s="143" t="s">
        <v>346</v>
      </c>
      <c r="C578" s="143" t="s">
        <v>347</v>
      </c>
      <c r="D578" s="143" t="s">
        <v>69</v>
      </c>
      <c r="E578" s="257">
        <v>20000</v>
      </c>
      <c r="F578" s="257">
        <v>20000</v>
      </c>
      <c r="G578" s="257">
        <v>20000</v>
      </c>
      <c r="H578" s="257">
        <v>0</v>
      </c>
      <c r="I578" s="257">
        <v>0</v>
      </c>
      <c r="J578" s="257">
        <v>0</v>
      </c>
      <c r="K578" s="257">
        <v>0</v>
      </c>
      <c r="L578" s="257"/>
      <c r="M578" s="257">
        <v>0</v>
      </c>
      <c r="N578" s="257"/>
      <c r="O578" s="257">
        <v>20000</v>
      </c>
      <c r="P578" s="257">
        <v>20000</v>
      </c>
    </row>
    <row r="579" spans="1:16" hidden="1" x14ac:dyDescent="0.25">
      <c r="A579" s="143" t="s">
        <v>714</v>
      </c>
      <c r="B579" s="143" t="s">
        <v>136</v>
      </c>
      <c r="C579" s="143" t="s">
        <v>137</v>
      </c>
      <c r="D579" s="143" t="s">
        <v>69</v>
      </c>
      <c r="E579" s="257">
        <v>350000</v>
      </c>
      <c r="F579" s="257">
        <v>35000</v>
      </c>
      <c r="G579" s="257">
        <v>35000</v>
      </c>
      <c r="H579" s="257">
        <v>0</v>
      </c>
      <c r="I579" s="257">
        <v>0</v>
      </c>
      <c r="J579" s="257">
        <v>0</v>
      </c>
      <c r="K579" s="257">
        <v>0</v>
      </c>
      <c r="L579" s="257"/>
      <c r="M579" s="257">
        <v>0</v>
      </c>
      <c r="N579" s="257"/>
      <c r="O579" s="257">
        <v>35000</v>
      </c>
      <c r="P579" s="257">
        <v>35000</v>
      </c>
    </row>
    <row r="580" spans="1:16" hidden="1" x14ac:dyDescent="0.25">
      <c r="A580" s="143" t="s">
        <v>714</v>
      </c>
      <c r="B580" s="143" t="s">
        <v>138</v>
      </c>
      <c r="C580" s="143" t="s">
        <v>139</v>
      </c>
      <c r="D580" s="143" t="s">
        <v>69</v>
      </c>
      <c r="E580" s="257">
        <v>40000</v>
      </c>
      <c r="F580" s="257">
        <v>4000</v>
      </c>
      <c r="G580" s="257">
        <v>4000</v>
      </c>
      <c r="H580" s="257">
        <v>0</v>
      </c>
      <c r="I580" s="257">
        <v>0</v>
      </c>
      <c r="J580" s="257">
        <v>0</v>
      </c>
      <c r="K580" s="257">
        <v>0</v>
      </c>
      <c r="L580" s="257"/>
      <c r="M580" s="257">
        <v>0</v>
      </c>
      <c r="N580" s="257"/>
      <c r="O580" s="257">
        <v>4000</v>
      </c>
      <c r="P580" s="257">
        <v>4000</v>
      </c>
    </row>
    <row r="581" spans="1:16" hidden="1" x14ac:dyDescent="0.25">
      <c r="A581" s="143" t="s">
        <v>714</v>
      </c>
      <c r="B581" s="143" t="s">
        <v>140</v>
      </c>
      <c r="C581" s="143" t="s">
        <v>141</v>
      </c>
      <c r="D581" s="143" t="s">
        <v>69</v>
      </c>
      <c r="E581" s="257">
        <v>0</v>
      </c>
      <c r="F581" s="257">
        <v>0</v>
      </c>
      <c r="G581" s="257">
        <v>0</v>
      </c>
      <c r="H581" s="257">
        <v>0</v>
      </c>
      <c r="I581" s="257">
        <v>0</v>
      </c>
      <c r="J581" s="257">
        <v>0</v>
      </c>
      <c r="K581" s="257">
        <v>0</v>
      </c>
      <c r="L581" s="257"/>
      <c r="M581" s="257">
        <v>0</v>
      </c>
      <c r="N581" s="257"/>
      <c r="O581" s="257">
        <v>0</v>
      </c>
      <c r="P581" s="257">
        <v>0</v>
      </c>
    </row>
    <row r="582" spans="1:16" hidden="1" x14ac:dyDescent="0.25">
      <c r="A582" s="143" t="s">
        <v>714</v>
      </c>
      <c r="B582" s="143" t="s">
        <v>144</v>
      </c>
      <c r="C582" s="143" t="s">
        <v>145</v>
      </c>
      <c r="D582" s="143" t="s">
        <v>69</v>
      </c>
      <c r="E582" s="257">
        <v>0</v>
      </c>
      <c r="F582" s="257">
        <v>0</v>
      </c>
      <c r="G582" s="257">
        <v>0</v>
      </c>
      <c r="H582" s="257">
        <v>0</v>
      </c>
      <c r="I582" s="257">
        <v>0</v>
      </c>
      <c r="J582" s="257">
        <v>0</v>
      </c>
      <c r="K582" s="257">
        <v>0</v>
      </c>
      <c r="L582" s="257"/>
      <c r="M582" s="257">
        <v>0</v>
      </c>
      <c r="N582" s="257"/>
      <c r="O582" s="257">
        <v>0</v>
      </c>
      <c r="P582" s="257">
        <v>0</v>
      </c>
    </row>
    <row r="583" spans="1:16" hidden="1" x14ac:dyDescent="0.25">
      <c r="A583" s="143" t="s">
        <v>714</v>
      </c>
      <c r="B583" s="143" t="s">
        <v>162</v>
      </c>
      <c r="C583" s="143" t="s">
        <v>163</v>
      </c>
      <c r="D583" s="143" t="s">
        <v>69</v>
      </c>
      <c r="E583" s="257">
        <v>500000</v>
      </c>
      <c r="F583" s="257">
        <v>410000</v>
      </c>
      <c r="G583" s="257">
        <v>410000</v>
      </c>
      <c r="H583" s="257">
        <v>0</v>
      </c>
      <c r="I583" s="257">
        <v>0</v>
      </c>
      <c r="J583" s="257">
        <v>0</v>
      </c>
      <c r="K583" s="257">
        <v>0</v>
      </c>
      <c r="L583" s="257"/>
      <c r="M583" s="257">
        <v>0</v>
      </c>
      <c r="N583" s="257"/>
      <c r="O583" s="257">
        <v>410000</v>
      </c>
      <c r="P583" s="257">
        <v>410000</v>
      </c>
    </row>
    <row r="584" spans="1:16" hidden="1" x14ac:dyDescent="0.25">
      <c r="A584" s="143" t="s">
        <v>714</v>
      </c>
      <c r="B584" s="143" t="s">
        <v>164</v>
      </c>
      <c r="C584" s="143" t="s">
        <v>165</v>
      </c>
      <c r="D584" s="143" t="s">
        <v>69</v>
      </c>
      <c r="E584" s="257">
        <v>100000</v>
      </c>
      <c r="F584" s="257">
        <v>10000</v>
      </c>
      <c r="G584" s="257">
        <v>10000</v>
      </c>
      <c r="H584" s="257">
        <v>0</v>
      </c>
      <c r="I584" s="257">
        <v>0</v>
      </c>
      <c r="J584" s="257">
        <v>0</v>
      </c>
      <c r="K584" s="257">
        <v>0</v>
      </c>
      <c r="L584" s="257"/>
      <c r="M584" s="257">
        <v>0</v>
      </c>
      <c r="N584" s="257"/>
      <c r="O584" s="257">
        <v>10000</v>
      </c>
      <c r="P584" s="257">
        <v>10000</v>
      </c>
    </row>
    <row r="585" spans="1:16" hidden="1" x14ac:dyDescent="0.25">
      <c r="A585" s="143" t="s">
        <v>714</v>
      </c>
      <c r="B585" s="143" t="s">
        <v>172</v>
      </c>
      <c r="C585" s="143" t="s">
        <v>173</v>
      </c>
      <c r="D585" s="143" t="s">
        <v>69</v>
      </c>
      <c r="E585" s="257">
        <v>400000</v>
      </c>
      <c r="F585" s="257">
        <v>400000</v>
      </c>
      <c r="G585" s="257">
        <v>400000</v>
      </c>
      <c r="H585" s="257">
        <v>0</v>
      </c>
      <c r="I585" s="257">
        <v>0</v>
      </c>
      <c r="J585" s="257">
        <v>0</v>
      </c>
      <c r="K585" s="257">
        <v>0</v>
      </c>
      <c r="L585" s="257"/>
      <c r="M585" s="257">
        <v>0</v>
      </c>
      <c r="N585" s="257"/>
      <c r="O585" s="257">
        <v>400000</v>
      </c>
      <c r="P585" s="257">
        <v>400000</v>
      </c>
    </row>
    <row r="586" spans="1:16" hidden="1" x14ac:dyDescent="0.25">
      <c r="A586" s="143" t="s">
        <v>714</v>
      </c>
      <c r="B586" s="143" t="s">
        <v>184</v>
      </c>
      <c r="C586" s="143" t="s">
        <v>185</v>
      </c>
      <c r="D586" s="143" t="s">
        <v>69</v>
      </c>
      <c r="E586" s="257">
        <v>301595100</v>
      </c>
      <c r="F586" s="257">
        <v>261450403</v>
      </c>
      <c r="G586" s="257">
        <v>235053671</v>
      </c>
      <c r="H586" s="257">
        <v>0</v>
      </c>
      <c r="I586" s="257">
        <v>24750494.41</v>
      </c>
      <c r="J586" s="257">
        <v>300321</v>
      </c>
      <c r="K586" s="257">
        <v>136987707.38</v>
      </c>
      <c r="L586" s="257"/>
      <c r="M586" s="257">
        <v>124665593.28</v>
      </c>
      <c r="N586" s="257"/>
      <c r="O586" s="257">
        <v>99411880.209999993</v>
      </c>
      <c r="P586" s="257">
        <v>73015148.209999993</v>
      </c>
    </row>
    <row r="587" spans="1:16" hidden="1" x14ac:dyDescent="0.25">
      <c r="A587" s="143" t="s">
        <v>714</v>
      </c>
      <c r="B587" s="143" t="s">
        <v>186</v>
      </c>
      <c r="C587" s="143" t="s">
        <v>187</v>
      </c>
      <c r="D587" s="143" t="s">
        <v>69</v>
      </c>
      <c r="E587" s="257">
        <v>6620568</v>
      </c>
      <c r="F587" s="257">
        <v>4620568</v>
      </c>
      <c r="G587" s="257">
        <v>3067939</v>
      </c>
      <c r="H587" s="257">
        <v>0</v>
      </c>
      <c r="I587" s="257">
        <v>0</v>
      </c>
      <c r="J587" s="257">
        <v>0</v>
      </c>
      <c r="K587" s="257">
        <v>1071878.6599999999</v>
      </c>
      <c r="L587" s="257"/>
      <c r="M587" s="257">
        <v>0</v>
      </c>
      <c r="N587" s="257"/>
      <c r="O587" s="257">
        <v>3548689.34</v>
      </c>
      <c r="P587" s="257">
        <v>1996060.34</v>
      </c>
    </row>
    <row r="588" spans="1:16" hidden="1" x14ac:dyDescent="0.25">
      <c r="A588" s="143" t="s">
        <v>714</v>
      </c>
      <c r="B588" s="143" t="s">
        <v>188</v>
      </c>
      <c r="C588" s="143" t="s">
        <v>189</v>
      </c>
      <c r="D588" s="143" t="s">
        <v>69</v>
      </c>
      <c r="E588" s="257">
        <v>2413000</v>
      </c>
      <c r="F588" s="257">
        <v>2413000</v>
      </c>
      <c r="G588" s="257">
        <v>860371</v>
      </c>
      <c r="H588" s="257">
        <v>0</v>
      </c>
      <c r="I588" s="257">
        <v>0</v>
      </c>
      <c r="J588" s="257">
        <v>0</v>
      </c>
      <c r="K588" s="257">
        <v>0</v>
      </c>
      <c r="L588" s="257"/>
      <c r="M588" s="257">
        <v>0</v>
      </c>
      <c r="N588" s="257"/>
      <c r="O588" s="257">
        <v>2413000</v>
      </c>
      <c r="P588" s="257">
        <v>860371</v>
      </c>
    </row>
    <row r="589" spans="1:16" hidden="1" x14ac:dyDescent="0.25">
      <c r="A589" s="143" t="s">
        <v>714</v>
      </c>
      <c r="B589" s="143" t="s">
        <v>350</v>
      </c>
      <c r="C589" s="143" t="s">
        <v>351</v>
      </c>
      <c r="D589" s="143" t="s">
        <v>69</v>
      </c>
      <c r="E589" s="257">
        <v>63287</v>
      </c>
      <c r="F589" s="257">
        <v>63287</v>
      </c>
      <c r="G589" s="257">
        <v>63287</v>
      </c>
      <c r="H589" s="257">
        <v>0</v>
      </c>
      <c r="I589" s="257">
        <v>0</v>
      </c>
      <c r="J589" s="257">
        <v>0</v>
      </c>
      <c r="K589" s="257">
        <v>0</v>
      </c>
      <c r="L589" s="257"/>
      <c r="M589" s="257">
        <v>0</v>
      </c>
      <c r="N589" s="257"/>
      <c r="O589" s="257">
        <v>63287</v>
      </c>
      <c r="P589" s="257">
        <v>63287</v>
      </c>
    </row>
    <row r="590" spans="1:16" hidden="1" x14ac:dyDescent="0.25">
      <c r="A590" s="143" t="s">
        <v>714</v>
      </c>
      <c r="B590" s="143" t="s">
        <v>194</v>
      </c>
      <c r="C590" s="143" t="s">
        <v>195</v>
      </c>
      <c r="D590" s="143" t="s">
        <v>69</v>
      </c>
      <c r="E590" s="257">
        <v>4144281</v>
      </c>
      <c r="F590" s="257">
        <v>2144281</v>
      </c>
      <c r="G590" s="257">
        <v>2144281</v>
      </c>
      <c r="H590" s="257">
        <v>0</v>
      </c>
      <c r="I590" s="257">
        <v>0</v>
      </c>
      <c r="J590" s="257">
        <v>0</v>
      </c>
      <c r="K590" s="257">
        <v>1071878.6599999999</v>
      </c>
      <c r="L590" s="257"/>
      <c r="M590" s="257">
        <v>0</v>
      </c>
      <c r="N590" s="257"/>
      <c r="O590" s="257">
        <v>1072402.3400000001</v>
      </c>
      <c r="P590" s="257">
        <v>1072402.3400000001</v>
      </c>
    </row>
    <row r="591" spans="1:16" hidden="1" x14ac:dyDescent="0.25">
      <c r="A591" s="143" t="s">
        <v>714</v>
      </c>
      <c r="B591" s="143" t="s">
        <v>196</v>
      </c>
      <c r="C591" s="143" t="s">
        <v>197</v>
      </c>
      <c r="D591" s="143" t="s">
        <v>69</v>
      </c>
      <c r="E591" s="257">
        <v>280709986</v>
      </c>
      <c r="F591" s="257">
        <v>254166598</v>
      </c>
      <c r="G591" s="257">
        <v>229514627</v>
      </c>
      <c r="H591" s="257">
        <v>0</v>
      </c>
      <c r="I591" s="257">
        <v>24490255.399999999</v>
      </c>
      <c r="J591" s="257">
        <v>300321</v>
      </c>
      <c r="K591" s="257">
        <v>134139705.39</v>
      </c>
      <c r="L591" s="257"/>
      <c r="M591" s="257">
        <v>122889469.95</v>
      </c>
      <c r="N591" s="257"/>
      <c r="O591" s="257">
        <v>95236316.209999993</v>
      </c>
      <c r="P591" s="257">
        <v>70584345.209999993</v>
      </c>
    </row>
    <row r="592" spans="1:16" hidden="1" x14ac:dyDescent="0.25">
      <c r="A592" s="143" t="s">
        <v>714</v>
      </c>
      <c r="B592" s="143" t="s">
        <v>579</v>
      </c>
      <c r="C592" s="143" t="s">
        <v>580</v>
      </c>
      <c r="D592" s="143" t="s">
        <v>69</v>
      </c>
      <c r="E592" s="257">
        <v>1988520</v>
      </c>
      <c r="F592" s="257">
        <v>1444180</v>
      </c>
      <c r="G592" s="257">
        <v>1327860</v>
      </c>
      <c r="H592" s="257">
        <v>0</v>
      </c>
      <c r="I592" s="257">
        <v>0</v>
      </c>
      <c r="J592" s="257">
        <v>0</v>
      </c>
      <c r="K592" s="257">
        <v>899840</v>
      </c>
      <c r="L592" s="257"/>
      <c r="M592" s="257">
        <v>899840</v>
      </c>
      <c r="N592" s="257"/>
      <c r="O592" s="257">
        <v>544340</v>
      </c>
      <c r="P592" s="257">
        <v>428020</v>
      </c>
    </row>
    <row r="593" spans="1:16" hidden="1" x14ac:dyDescent="0.25">
      <c r="A593" s="143" t="s">
        <v>714</v>
      </c>
      <c r="B593" s="143" t="s">
        <v>198</v>
      </c>
      <c r="C593" s="143" t="s">
        <v>199</v>
      </c>
      <c r="D593" s="143" t="s">
        <v>69</v>
      </c>
      <c r="E593" s="257">
        <v>278273098</v>
      </c>
      <c r="F593" s="257">
        <v>252353456</v>
      </c>
      <c r="G593" s="257">
        <v>227817805</v>
      </c>
      <c r="H593" s="257">
        <v>0</v>
      </c>
      <c r="I593" s="257">
        <v>24490255.390000001</v>
      </c>
      <c r="J593" s="257">
        <v>300321</v>
      </c>
      <c r="K593" s="257">
        <v>132870903.72</v>
      </c>
      <c r="L593" s="257"/>
      <c r="M593" s="257">
        <v>121620668.28</v>
      </c>
      <c r="N593" s="257"/>
      <c r="O593" s="257">
        <v>94691975.890000001</v>
      </c>
      <c r="P593" s="257">
        <v>70156324.890000001</v>
      </c>
    </row>
    <row r="594" spans="1:16" hidden="1" x14ac:dyDescent="0.25">
      <c r="A594" s="143" t="s">
        <v>714</v>
      </c>
      <c r="B594" s="143" t="s">
        <v>352</v>
      </c>
      <c r="C594" s="143" t="s">
        <v>353</v>
      </c>
      <c r="D594" s="143" t="s">
        <v>69</v>
      </c>
      <c r="E594" s="257">
        <v>448368</v>
      </c>
      <c r="F594" s="257">
        <v>368962</v>
      </c>
      <c r="G594" s="257">
        <v>368962</v>
      </c>
      <c r="H594" s="257">
        <v>0</v>
      </c>
      <c r="I594" s="257">
        <v>0.01</v>
      </c>
      <c r="J594" s="257">
        <v>0</v>
      </c>
      <c r="K594" s="257">
        <v>368961.67</v>
      </c>
      <c r="L594" s="257"/>
      <c r="M594" s="257">
        <v>368961.67</v>
      </c>
      <c r="N594" s="257"/>
      <c r="O594" s="257">
        <v>0.32</v>
      </c>
      <c r="P594" s="257">
        <v>0.32</v>
      </c>
    </row>
    <row r="595" spans="1:16" hidden="1" x14ac:dyDescent="0.25">
      <c r="A595" s="143" t="s">
        <v>714</v>
      </c>
      <c r="B595" s="143" t="s">
        <v>200</v>
      </c>
      <c r="C595" s="143" t="s">
        <v>201</v>
      </c>
      <c r="D595" s="143" t="s">
        <v>69</v>
      </c>
      <c r="E595" s="257">
        <v>8117062</v>
      </c>
      <c r="F595" s="257">
        <v>1522387</v>
      </c>
      <c r="G595" s="257">
        <v>1417655</v>
      </c>
      <c r="H595" s="257">
        <v>0</v>
      </c>
      <c r="I595" s="257">
        <v>0</v>
      </c>
      <c r="J595" s="257">
        <v>0</v>
      </c>
      <c r="K595" s="257">
        <v>1110192.48</v>
      </c>
      <c r="L595" s="257"/>
      <c r="M595" s="257">
        <v>1110192.48</v>
      </c>
      <c r="N595" s="257"/>
      <c r="O595" s="257">
        <v>412194.52</v>
      </c>
      <c r="P595" s="257">
        <v>307462.52</v>
      </c>
    </row>
    <row r="596" spans="1:16" hidden="1" x14ac:dyDescent="0.25">
      <c r="A596" s="143" t="s">
        <v>714</v>
      </c>
      <c r="B596" s="143" t="s">
        <v>314</v>
      </c>
      <c r="C596" s="143" t="s">
        <v>315</v>
      </c>
      <c r="D596" s="143" t="s">
        <v>69</v>
      </c>
      <c r="E596" s="257">
        <v>2959825</v>
      </c>
      <c r="F596" s="257">
        <v>0</v>
      </c>
      <c r="G596" s="257">
        <v>0</v>
      </c>
      <c r="H596" s="257">
        <v>0</v>
      </c>
      <c r="I596" s="257">
        <v>0</v>
      </c>
      <c r="J596" s="257">
        <v>0</v>
      </c>
      <c r="K596" s="257">
        <v>0</v>
      </c>
      <c r="L596" s="257"/>
      <c r="M596" s="257">
        <v>0</v>
      </c>
      <c r="N596" s="257"/>
      <c r="O596" s="257">
        <v>0</v>
      </c>
      <c r="P596" s="257">
        <v>0</v>
      </c>
    </row>
    <row r="597" spans="1:16" hidden="1" x14ac:dyDescent="0.25">
      <c r="A597" s="143" t="s">
        <v>714</v>
      </c>
      <c r="B597" s="143" t="s">
        <v>202</v>
      </c>
      <c r="C597" s="143" t="s">
        <v>203</v>
      </c>
      <c r="D597" s="143" t="s">
        <v>69</v>
      </c>
      <c r="E597" s="257">
        <v>1322500</v>
      </c>
      <c r="F597" s="257">
        <v>22500</v>
      </c>
      <c r="G597" s="257">
        <v>0</v>
      </c>
      <c r="H597" s="257">
        <v>0</v>
      </c>
      <c r="I597" s="257">
        <v>0</v>
      </c>
      <c r="J597" s="257">
        <v>0</v>
      </c>
      <c r="K597" s="257">
        <v>0</v>
      </c>
      <c r="L597" s="257"/>
      <c r="M597" s="257">
        <v>0</v>
      </c>
      <c r="N597" s="257"/>
      <c r="O597" s="257">
        <v>22500</v>
      </c>
      <c r="P597" s="257">
        <v>0</v>
      </c>
    </row>
    <row r="598" spans="1:16" hidden="1" x14ac:dyDescent="0.25">
      <c r="A598" s="143" t="s">
        <v>714</v>
      </c>
      <c r="B598" s="143" t="s">
        <v>320</v>
      </c>
      <c r="C598" s="143" t="s">
        <v>321</v>
      </c>
      <c r="D598" s="143" t="s">
        <v>69</v>
      </c>
      <c r="E598" s="257">
        <v>220000</v>
      </c>
      <c r="F598" s="257">
        <v>0</v>
      </c>
      <c r="G598" s="257">
        <v>0</v>
      </c>
      <c r="H598" s="257">
        <v>0</v>
      </c>
      <c r="I598" s="257">
        <v>0</v>
      </c>
      <c r="J598" s="257">
        <v>0</v>
      </c>
      <c r="K598" s="257">
        <v>0</v>
      </c>
      <c r="L598" s="257"/>
      <c r="M598" s="257">
        <v>0</v>
      </c>
      <c r="N598" s="257"/>
      <c r="O598" s="257">
        <v>0</v>
      </c>
      <c r="P598" s="257">
        <v>0</v>
      </c>
    </row>
    <row r="599" spans="1:16" hidden="1" x14ac:dyDescent="0.25">
      <c r="A599" s="143" t="s">
        <v>714</v>
      </c>
      <c r="B599" s="143" t="s">
        <v>204</v>
      </c>
      <c r="C599" s="143" t="s">
        <v>205</v>
      </c>
      <c r="D599" s="143" t="s">
        <v>69</v>
      </c>
      <c r="E599" s="257">
        <v>1532505</v>
      </c>
      <c r="F599" s="257">
        <v>1417655</v>
      </c>
      <c r="G599" s="257">
        <v>1417655</v>
      </c>
      <c r="H599" s="257">
        <v>0</v>
      </c>
      <c r="I599" s="257">
        <v>0</v>
      </c>
      <c r="J599" s="257">
        <v>0</v>
      </c>
      <c r="K599" s="257">
        <v>1110192.48</v>
      </c>
      <c r="L599" s="257"/>
      <c r="M599" s="257">
        <v>1110192.48</v>
      </c>
      <c r="N599" s="257"/>
      <c r="O599" s="257">
        <v>307462.52</v>
      </c>
      <c r="P599" s="257">
        <v>307462.52</v>
      </c>
    </row>
    <row r="600" spans="1:16" hidden="1" x14ac:dyDescent="0.25">
      <c r="A600" s="143" t="s">
        <v>714</v>
      </c>
      <c r="B600" s="143" t="s">
        <v>322</v>
      </c>
      <c r="C600" s="143" t="s">
        <v>323</v>
      </c>
      <c r="D600" s="143" t="s">
        <v>69</v>
      </c>
      <c r="E600" s="257">
        <v>2082232</v>
      </c>
      <c r="F600" s="257">
        <v>82232</v>
      </c>
      <c r="G600" s="257">
        <v>0</v>
      </c>
      <c r="H600" s="257">
        <v>0</v>
      </c>
      <c r="I600" s="257">
        <v>0</v>
      </c>
      <c r="J600" s="257">
        <v>0</v>
      </c>
      <c r="K600" s="257">
        <v>0</v>
      </c>
      <c r="L600" s="257"/>
      <c r="M600" s="257">
        <v>0</v>
      </c>
      <c r="N600" s="257"/>
      <c r="O600" s="257">
        <v>82232</v>
      </c>
      <c r="P600" s="257">
        <v>0</v>
      </c>
    </row>
    <row r="601" spans="1:16" hidden="1" x14ac:dyDescent="0.25">
      <c r="A601" s="143" t="s">
        <v>714</v>
      </c>
      <c r="B601" s="143" t="s">
        <v>206</v>
      </c>
      <c r="C601" s="143" t="s">
        <v>207</v>
      </c>
      <c r="D601" s="143" t="s">
        <v>69</v>
      </c>
      <c r="E601" s="257">
        <v>1362914</v>
      </c>
      <c r="F601" s="257">
        <v>91500</v>
      </c>
      <c r="G601" s="257">
        <v>91500</v>
      </c>
      <c r="H601" s="257">
        <v>0</v>
      </c>
      <c r="I601" s="257">
        <v>0</v>
      </c>
      <c r="J601" s="257">
        <v>0</v>
      </c>
      <c r="K601" s="257">
        <v>0</v>
      </c>
      <c r="L601" s="257"/>
      <c r="M601" s="257">
        <v>0</v>
      </c>
      <c r="N601" s="257"/>
      <c r="O601" s="257">
        <v>91500</v>
      </c>
      <c r="P601" s="257">
        <v>91500</v>
      </c>
    </row>
    <row r="602" spans="1:16" hidden="1" x14ac:dyDescent="0.25">
      <c r="A602" s="143" t="s">
        <v>714</v>
      </c>
      <c r="B602" s="143" t="s">
        <v>208</v>
      </c>
      <c r="C602" s="143" t="s">
        <v>209</v>
      </c>
      <c r="D602" s="143" t="s">
        <v>69</v>
      </c>
      <c r="E602" s="257">
        <v>571414</v>
      </c>
      <c r="F602" s="257">
        <v>0</v>
      </c>
      <c r="G602" s="257">
        <v>0</v>
      </c>
      <c r="H602" s="257">
        <v>0</v>
      </c>
      <c r="I602" s="257">
        <v>0</v>
      </c>
      <c r="J602" s="257">
        <v>0</v>
      </c>
      <c r="K602" s="257">
        <v>0</v>
      </c>
      <c r="L602" s="257"/>
      <c r="M602" s="257">
        <v>0</v>
      </c>
      <c r="N602" s="257"/>
      <c r="O602" s="257">
        <v>0</v>
      </c>
      <c r="P602" s="257">
        <v>0</v>
      </c>
    </row>
    <row r="603" spans="1:16" hidden="1" x14ac:dyDescent="0.25">
      <c r="A603" s="143" t="s">
        <v>714</v>
      </c>
      <c r="B603" s="143" t="s">
        <v>210</v>
      </c>
      <c r="C603" s="143" t="s">
        <v>211</v>
      </c>
      <c r="D603" s="143" t="s">
        <v>69</v>
      </c>
      <c r="E603" s="257">
        <v>791500</v>
      </c>
      <c r="F603" s="257">
        <v>91500</v>
      </c>
      <c r="G603" s="257">
        <v>91500</v>
      </c>
      <c r="H603" s="257">
        <v>0</v>
      </c>
      <c r="I603" s="257">
        <v>0</v>
      </c>
      <c r="J603" s="257">
        <v>0</v>
      </c>
      <c r="K603" s="257">
        <v>0</v>
      </c>
      <c r="L603" s="257"/>
      <c r="M603" s="257">
        <v>0</v>
      </c>
      <c r="N603" s="257"/>
      <c r="O603" s="257">
        <v>91500</v>
      </c>
      <c r="P603" s="257">
        <v>91500</v>
      </c>
    </row>
    <row r="604" spans="1:16" hidden="1" x14ac:dyDescent="0.25">
      <c r="A604" s="143" t="s">
        <v>714</v>
      </c>
      <c r="B604" s="143" t="s">
        <v>354</v>
      </c>
      <c r="C604" s="143" t="s">
        <v>355</v>
      </c>
      <c r="D604" s="143" t="s">
        <v>69</v>
      </c>
      <c r="E604" s="257">
        <v>585840</v>
      </c>
      <c r="F604" s="257">
        <v>0</v>
      </c>
      <c r="G604" s="257">
        <v>0</v>
      </c>
      <c r="H604" s="257">
        <v>0</v>
      </c>
      <c r="I604" s="257">
        <v>0</v>
      </c>
      <c r="J604" s="257">
        <v>0</v>
      </c>
      <c r="K604" s="257">
        <v>0</v>
      </c>
      <c r="L604" s="257"/>
      <c r="M604" s="257">
        <v>0</v>
      </c>
      <c r="N604" s="257"/>
      <c r="O604" s="257">
        <v>0</v>
      </c>
      <c r="P604" s="257">
        <v>0</v>
      </c>
    </row>
    <row r="605" spans="1:16" hidden="1" x14ac:dyDescent="0.25">
      <c r="A605" s="143" t="s">
        <v>714</v>
      </c>
      <c r="B605" s="143" t="s">
        <v>356</v>
      </c>
      <c r="C605" s="143" t="s">
        <v>357</v>
      </c>
      <c r="D605" s="143" t="s">
        <v>69</v>
      </c>
      <c r="E605" s="257">
        <v>585840</v>
      </c>
      <c r="F605" s="257">
        <v>0</v>
      </c>
      <c r="G605" s="257">
        <v>0</v>
      </c>
      <c r="H605" s="257">
        <v>0</v>
      </c>
      <c r="I605" s="257">
        <v>0</v>
      </c>
      <c r="J605" s="257">
        <v>0</v>
      </c>
      <c r="K605" s="257">
        <v>0</v>
      </c>
      <c r="L605" s="257"/>
      <c r="M605" s="257">
        <v>0</v>
      </c>
      <c r="N605" s="257"/>
      <c r="O605" s="257">
        <v>0</v>
      </c>
      <c r="P605" s="257">
        <v>0</v>
      </c>
    </row>
    <row r="606" spans="1:16" hidden="1" x14ac:dyDescent="0.25">
      <c r="A606" s="143" t="s">
        <v>714</v>
      </c>
      <c r="B606" s="143" t="s">
        <v>212</v>
      </c>
      <c r="C606" s="143" t="s">
        <v>213</v>
      </c>
      <c r="D606" s="143" t="s">
        <v>69</v>
      </c>
      <c r="E606" s="257">
        <v>4198730</v>
      </c>
      <c r="F606" s="257">
        <v>1049350</v>
      </c>
      <c r="G606" s="257">
        <v>961950</v>
      </c>
      <c r="H606" s="257">
        <v>0</v>
      </c>
      <c r="I606" s="257">
        <v>260239.01</v>
      </c>
      <c r="J606" s="257">
        <v>0</v>
      </c>
      <c r="K606" s="257">
        <v>665930.85</v>
      </c>
      <c r="L606" s="257"/>
      <c r="M606" s="257">
        <v>665930.85</v>
      </c>
      <c r="N606" s="257"/>
      <c r="O606" s="257">
        <v>123180.14</v>
      </c>
      <c r="P606" s="257">
        <v>35780.14</v>
      </c>
    </row>
    <row r="607" spans="1:16" hidden="1" x14ac:dyDescent="0.25">
      <c r="A607" s="143" t="s">
        <v>714</v>
      </c>
      <c r="B607" s="143" t="s">
        <v>220</v>
      </c>
      <c r="C607" s="143" t="s">
        <v>221</v>
      </c>
      <c r="D607" s="143" t="s">
        <v>69</v>
      </c>
      <c r="E607" s="257">
        <v>1076090</v>
      </c>
      <c r="F607" s="257">
        <v>926190</v>
      </c>
      <c r="G607" s="257">
        <v>926190</v>
      </c>
      <c r="H607" s="257">
        <v>0</v>
      </c>
      <c r="I607" s="257">
        <v>260239.01</v>
      </c>
      <c r="J607" s="257">
        <v>0</v>
      </c>
      <c r="K607" s="257">
        <v>665930.85</v>
      </c>
      <c r="L607" s="257"/>
      <c r="M607" s="257">
        <v>665930.85</v>
      </c>
      <c r="N607" s="257"/>
      <c r="O607" s="257">
        <v>20.14</v>
      </c>
      <c r="P607" s="257">
        <v>20.14</v>
      </c>
    </row>
    <row r="608" spans="1:16" hidden="1" x14ac:dyDescent="0.25">
      <c r="A608" s="143" t="s">
        <v>714</v>
      </c>
      <c r="B608" s="143" t="s">
        <v>222</v>
      </c>
      <c r="C608" s="143" t="s">
        <v>223</v>
      </c>
      <c r="D608" s="143" t="s">
        <v>69</v>
      </c>
      <c r="E608" s="257">
        <v>35760</v>
      </c>
      <c r="F608" s="257">
        <v>35760</v>
      </c>
      <c r="G608" s="257">
        <v>35760</v>
      </c>
      <c r="H608" s="257">
        <v>0</v>
      </c>
      <c r="I608" s="257">
        <v>0</v>
      </c>
      <c r="J608" s="257">
        <v>0</v>
      </c>
      <c r="K608" s="257">
        <v>0</v>
      </c>
      <c r="L608" s="257"/>
      <c r="M608" s="257">
        <v>0</v>
      </c>
      <c r="N608" s="257"/>
      <c r="O608" s="257">
        <v>35760</v>
      </c>
      <c r="P608" s="257">
        <v>35760</v>
      </c>
    </row>
    <row r="609" spans="1:16" hidden="1" x14ac:dyDescent="0.25">
      <c r="A609" s="143" t="s">
        <v>714</v>
      </c>
      <c r="B609" s="143" t="s">
        <v>224</v>
      </c>
      <c r="C609" s="143" t="s">
        <v>225</v>
      </c>
      <c r="D609" s="143" t="s">
        <v>69</v>
      </c>
      <c r="E609" s="257">
        <v>2587400</v>
      </c>
      <c r="F609" s="257">
        <v>87400</v>
      </c>
      <c r="G609" s="257">
        <v>0</v>
      </c>
      <c r="H609" s="257">
        <v>0</v>
      </c>
      <c r="I609" s="257">
        <v>0</v>
      </c>
      <c r="J609" s="257">
        <v>0</v>
      </c>
      <c r="K609" s="257">
        <v>0</v>
      </c>
      <c r="L609" s="257"/>
      <c r="M609" s="257">
        <v>0</v>
      </c>
      <c r="N609" s="257"/>
      <c r="O609" s="257">
        <v>87400</v>
      </c>
      <c r="P609" s="257">
        <v>0</v>
      </c>
    </row>
    <row r="610" spans="1:16" hidden="1" x14ac:dyDescent="0.25">
      <c r="A610" s="143" t="s">
        <v>714</v>
      </c>
      <c r="B610" s="143" t="s">
        <v>228</v>
      </c>
      <c r="C610" s="143" t="s">
        <v>229</v>
      </c>
      <c r="D610" s="143" t="s">
        <v>69</v>
      </c>
      <c r="E610" s="257">
        <v>499480</v>
      </c>
      <c r="F610" s="257">
        <v>0</v>
      </c>
      <c r="G610" s="257">
        <v>0</v>
      </c>
      <c r="H610" s="257">
        <v>0</v>
      </c>
      <c r="I610" s="257">
        <v>0</v>
      </c>
      <c r="J610" s="257">
        <v>0</v>
      </c>
      <c r="K610" s="257">
        <v>0</v>
      </c>
      <c r="L610" s="257"/>
      <c r="M610" s="257">
        <v>0</v>
      </c>
      <c r="N610" s="257"/>
      <c r="O610" s="257">
        <v>0</v>
      </c>
      <c r="P610" s="257">
        <v>0</v>
      </c>
    </row>
    <row r="611" spans="1:16" hidden="1" x14ac:dyDescent="0.25">
      <c r="A611" s="143" t="s">
        <v>714</v>
      </c>
      <c r="B611" s="143" t="s">
        <v>248</v>
      </c>
      <c r="C611" s="143" t="s">
        <v>249</v>
      </c>
      <c r="D611" s="143" t="s">
        <v>69</v>
      </c>
      <c r="E611" s="257">
        <v>32319360</v>
      </c>
      <c r="F611" s="257">
        <v>31841288</v>
      </c>
      <c r="G611" s="257">
        <v>31841288</v>
      </c>
      <c r="H611" s="257">
        <v>0</v>
      </c>
      <c r="I611" s="257">
        <v>4775220</v>
      </c>
      <c r="J611" s="257">
        <v>0</v>
      </c>
      <c r="K611" s="257">
        <v>24223046</v>
      </c>
      <c r="L611" s="257"/>
      <c r="M611" s="257">
        <v>24223046</v>
      </c>
      <c r="N611" s="257"/>
      <c r="O611" s="257">
        <v>2843022</v>
      </c>
      <c r="P611" s="257">
        <v>2843022</v>
      </c>
    </row>
    <row r="612" spans="1:16" hidden="1" x14ac:dyDescent="0.25">
      <c r="A612" s="143" t="s">
        <v>714</v>
      </c>
      <c r="B612" s="143" t="s">
        <v>250</v>
      </c>
      <c r="C612" s="143" t="s">
        <v>251</v>
      </c>
      <c r="D612" s="143" t="s">
        <v>69</v>
      </c>
      <c r="E612" s="257">
        <v>24819360</v>
      </c>
      <c r="F612" s="257">
        <v>24341288</v>
      </c>
      <c r="G612" s="257">
        <v>24341288</v>
      </c>
      <c r="H612" s="257">
        <v>0</v>
      </c>
      <c r="I612" s="257">
        <v>4775220</v>
      </c>
      <c r="J612" s="257">
        <v>0</v>
      </c>
      <c r="K612" s="257">
        <v>19382207</v>
      </c>
      <c r="L612" s="257"/>
      <c r="M612" s="257">
        <v>19382207</v>
      </c>
      <c r="N612" s="257"/>
      <c r="O612" s="257">
        <v>183861</v>
      </c>
      <c r="P612" s="257">
        <v>183861</v>
      </c>
    </row>
    <row r="613" spans="1:16" hidden="1" x14ac:dyDescent="0.25">
      <c r="A613" s="143" t="s">
        <v>714</v>
      </c>
      <c r="B613" s="143" t="s">
        <v>633</v>
      </c>
      <c r="C613" s="143" t="s">
        <v>702</v>
      </c>
      <c r="D613" s="143" t="s">
        <v>69</v>
      </c>
      <c r="E613" s="257">
        <v>21081545</v>
      </c>
      <c r="F613" s="257">
        <v>20675471</v>
      </c>
      <c r="G613" s="257">
        <v>20675471</v>
      </c>
      <c r="H613" s="257">
        <v>0</v>
      </c>
      <c r="I613" s="257">
        <v>4084277</v>
      </c>
      <c r="J613" s="257">
        <v>0</v>
      </c>
      <c r="K613" s="257">
        <v>16435023</v>
      </c>
      <c r="L613" s="257"/>
      <c r="M613" s="257">
        <v>16435023</v>
      </c>
      <c r="N613" s="257"/>
      <c r="O613" s="257">
        <v>156171</v>
      </c>
      <c r="P613" s="257">
        <v>156171</v>
      </c>
    </row>
    <row r="614" spans="1:16" hidden="1" x14ac:dyDescent="0.25">
      <c r="A614" s="143" t="s">
        <v>714</v>
      </c>
      <c r="B614" s="143" t="s">
        <v>648</v>
      </c>
      <c r="C614" s="143" t="s">
        <v>703</v>
      </c>
      <c r="D614" s="143" t="s">
        <v>69</v>
      </c>
      <c r="E614" s="257">
        <v>3737815</v>
      </c>
      <c r="F614" s="257">
        <v>3665817</v>
      </c>
      <c r="G614" s="257">
        <v>3665817</v>
      </c>
      <c r="H614" s="257">
        <v>0</v>
      </c>
      <c r="I614" s="257">
        <v>690943</v>
      </c>
      <c r="J614" s="257">
        <v>0</v>
      </c>
      <c r="K614" s="257">
        <v>2947184</v>
      </c>
      <c r="L614" s="257"/>
      <c r="M614" s="257">
        <v>2947184</v>
      </c>
      <c r="N614" s="257"/>
      <c r="O614" s="257">
        <v>27690</v>
      </c>
      <c r="P614" s="257">
        <v>27690</v>
      </c>
    </row>
    <row r="615" spans="1:16" hidden="1" x14ac:dyDescent="0.25">
      <c r="A615" s="143" t="s">
        <v>714</v>
      </c>
      <c r="B615" s="143" t="s">
        <v>260</v>
      </c>
      <c r="C615" s="143" t="s">
        <v>261</v>
      </c>
      <c r="D615" s="143" t="s">
        <v>69</v>
      </c>
      <c r="E615" s="257">
        <v>7500000</v>
      </c>
      <c r="F615" s="257">
        <v>7500000</v>
      </c>
      <c r="G615" s="257">
        <v>7500000</v>
      </c>
      <c r="H615" s="257">
        <v>0</v>
      </c>
      <c r="I615" s="257">
        <v>0</v>
      </c>
      <c r="J615" s="257">
        <v>0</v>
      </c>
      <c r="K615" s="257">
        <v>4840839</v>
      </c>
      <c r="L615" s="257"/>
      <c r="M615" s="257">
        <v>4840839</v>
      </c>
      <c r="N615" s="257"/>
      <c r="O615" s="257">
        <v>2659161</v>
      </c>
      <c r="P615" s="257">
        <v>2659161</v>
      </c>
    </row>
    <row r="616" spans="1:16" hidden="1" x14ac:dyDescent="0.25">
      <c r="A616" s="143" t="s">
        <v>714</v>
      </c>
      <c r="B616" s="143" t="s">
        <v>264</v>
      </c>
      <c r="C616" s="143" t="s">
        <v>265</v>
      </c>
      <c r="D616" s="143" t="s">
        <v>69</v>
      </c>
      <c r="E616" s="257">
        <v>7500000</v>
      </c>
      <c r="F616" s="257">
        <v>7500000</v>
      </c>
      <c r="G616" s="257">
        <v>7500000</v>
      </c>
      <c r="H616" s="257">
        <v>0</v>
      </c>
      <c r="I616" s="257">
        <v>0</v>
      </c>
      <c r="J616" s="257">
        <v>0</v>
      </c>
      <c r="K616" s="257">
        <v>4840839</v>
      </c>
      <c r="L616" s="257"/>
      <c r="M616" s="257">
        <v>4840839</v>
      </c>
      <c r="N616" s="257"/>
      <c r="O616" s="257">
        <v>2659161</v>
      </c>
      <c r="P616" s="257">
        <v>2659161</v>
      </c>
    </row>
    <row r="617" spans="1:16" hidden="1" x14ac:dyDescent="0.25">
      <c r="A617" s="143" t="s">
        <v>714</v>
      </c>
      <c r="B617" s="143" t="s">
        <v>230</v>
      </c>
      <c r="C617" s="143" t="s">
        <v>231</v>
      </c>
      <c r="D617" s="143" t="s">
        <v>85</v>
      </c>
      <c r="E617" s="257">
        <v>5038000</v>
      </c>
      <c r="F617" s="257">
        <v>729000</v>
      </c>
      <c r="G617" s="257">
        <v>75000</v>
      </c>
      <c r="H617" s="257">
        <v>0</v>
      </c>
      <c r="I617" s="257">
        <v>0</v>
      </c>
      <c r="J617" s="257">
        <v>0</v>
      </c>
      <c r="K617" s="257">
        <v>75000</v>
      </c>
      <c r="L617" s="257"/>
      <c r="M617" s="257">
        <v>75000</v>
      </c>
      <c r="N617" s="257"/>
      <c r="O617" s="257">
        <v>654000</v>
      </c>
      <c r="P617" s="257">
        <v>0</v>
      </c>
    </row>
    <row r="618" spans="1:16" hidden="1" x14ac:dyDescent="0.25">
      <c r="A618" s="143" t="s">
        <v>714</v>
      </c>
      <c r="B618" s="143" t="s">
        <v>232</v>
      </c>
      <c r="C618" s="143" t="s">
        <v>233</v>
      </c>
      <c r="D618" s="143" t="s">
        <v>85</v>
      </c>
      <c r="E618" s="257">
        <v>4954000</v>
      </c>
      <c r="F618" s="257">
        <v>654000</v>
      </c>
      <c r="G618" s="257">
        <v>0</v>
      </c>
      <c r="H618" s="257">
        <v>0</v>
      </c>
      <c r="I618" s="257">
        <v>0</v>
      </c>
      <c r="J618" s="257">
        <v>0</v>
      </c>
      <c r="K618" s="257">
        <v>0</v>
      </c>
      <c r="L618" s="257"/>
      <c r="M618" s="257">
        <v>0</v>
      </c>
      <c r="N618" s="257"/>
      <c r="O618" s="257">
        <v>654000</v>
      </c>
      <c r="P618" s="257">
        <v>0</v>
      </c>
    </row>
    <row r="619" spans="1:16" hidden="1" x14ac:dyDescent="0.25">
      <c r="A619" s="143" t="s">
        <v>714</v>
      </c>
      <c r="B619" s="143" t="s">
        <v>234</v>
      </c>
      <c r="C619" s="143" t="s">
        <v>235</v>
      </c>
      <c r="D619" s="143" t="s">
        <v>85</v>
      </c>
      <c r="E619" s="257">
        <v>3565000</v>
      </c>
      <c r="F619" s="257">
        <v>565000</v>
      </c>
      <c r="G619" s="257">
        <v>0</v>
      </c>
      <c r="H619" s="257">
        <v>0</v>
      </c>
      <c r="I619" s="257">
        <v>0</v>
      </c>
      <c r="J619" s="257">
        <v>0</v>
      </c>
      <c r="K619" s="257">
        <v>0</v>
      </c>
      <c r="L619" s="257"/>
      <c r="M619" s="257">
        <v>0</v>
      </c>
      <c r="N619" s="257"/>
      <c r="O619" s="257">
        <v>565000</v>
      </c>
      <c r="P619" s="257">
        <v>0</v>
      </c>
    </row>
    <row r="620" spans="1:16" hidden="1" x14ac:dyDescent="0.25">
      <c r="A620" s="143" t="s">
        <v>714</v>
      </c>
      <c r="B620" s="143" t="s">
        <v>242</v>
      </c>
      <c r="C620" s="143" t="s">
        <v>243</v>
      </c>
      <c r="D620" s="143" t="s">
        <v>85</v>
      </c>
      <c r="E620" s="257">
        <v>1389000</v>
      </c>
      <c r="F620" s="257">
        <v>89000</v>
      </c>
      <c r="G620" s="257">
        <v>0</v>
      </c>
      <c r="H620" s="257">
        <v>0</v>
      </c>
      <c r="I620" s="257">
        <v>0</v>
      </c>
      <c r="J620" s="257">
        <v>0</v>
      </c>
      <c r="K620" s="257">
        <v>0</v>
      </c>
      <c r="L620" s="257"/>
      <c r="M620" s="257">
        <v>0</v>
      </c>
      <c r="N620" s="257"/>
      <c r="O620" s="257">
        <v>89000</v>
      </c>
      <c r="P620" s="257">
        <v>0</v>
      </c>
    </row>
    <row r="621" spans="1:16" hidden="1" x14ac:dyDescent="0.25">
      <c r="A621" s="143" t="s">
        <v>714</v>
      </c>
      <c r="B621" s="143" t="s">
        <v>244</v>
      </c>
      <c r="C621" s="143" t="s">
        <v>245</v>
      </c>
      <c r="D621" s="143" t="s">
        <v>85</v>
      </c>
      <c r="E621" s="257">
        <v>84000</v>
      </c>
      <c r="F621" s="257">
        <v>75000</v>
      </c>
      <c r="G621" s="257">
        <v>75000</v>
      </c>
      <c r="H621" s="257">
        <v>0</v>
      </c>
      <c r="I621" s="257">
        <v>0</v>
      </c>
      <c r="J621" s="257">
        <v>0</v>
      </c>
      <c r="K621" s="257">
        <v>75000</v>
      </c>
      <c r="L621" s="257"/>
      <c r="M621" s="257">
        <v>75000</v>
      </c>
      <c r="N621" s="257"/>
      <c r="O621" s="257">
        <v>0</v>
      </c>
      <c r="P621" s="257">
        <v>0</v>
      </c>
    </row>
    <row r="622" spans="1:16" hidden="1" x14ac:dyDescent="0.25">
      <c r="A622" s="143" t="s">
        <v>714</v>
      </c>
      <c r="B622" s="143" t="s">
        <v>611</v>
      </c>
      <c r="C622" s="143" t="s">
        <v>612</v>
      </c>
      <c r="D622" s="143" t="s">
        <v>85</v>
      </c>
      <c r="E622" s="257">
        <v>84000</v>
      </c>
      <c r="F622" s="257">
        <v>75000</v>
      </c>
      <c r="G622" s="257">
        <v>75000</v>
      </c>
      <c r="H622" s="257">
        <v>0</v>
      </c>
      <c r="I622" s="257">
        <v>0</v>
      </c>
      <c r="J622" s="257">
        <v>0</v>
      </c>
      <c r="K622" s="257">
        <v>75000</v>
      </c>
      <c r="L622" s="257"/>
      <c r="M622" s="257">
        <v>75000</v>
      </c>
      <c r="N622" s="257"/>
      <c r="O622" s="257">
        <v>0</v>
      </c>
      <c r="P622" s="257">
        <v>0</v>
      </c>
    </row>
    <row r="623" spans="1:16" x14ac:dyDescent="0.25">
      <c r="A623" s="44">
        <v>214789005</v>
      </c>
      <c r="C623" s="44"/>
      <c r="D623" s="44" t="s">
        <v>69</v>
      </c>
      <c r="E623" s="257">
        <v>1188120522</v>
      </c>
      <c r="F623" s="50">
        <v>1156686277</v>
      </c>
      <c r="G623" s="257">
        <v>1154486277</v>
      </c>
      <c r="H623" s="50">
        <v>0</v>
      </c>
      <c r="I623" s="50">
        <v>120477196.67</v>
      </c>
      <c r="J623" s="50">
        <v>0</v>
      </c>
      <c r="K623" s="50">
        <v>886928385.84000003</v>
      </c>
      <c r="L623" s="152">
        <f>+K623/F623</f>
        <v>0.76678387517516988</v>
      </c>
      <c r="M623" s="50">
        <v>886790961.39999998</v>
      </c>
      <c r="N623" s="152">
        <f>+M623/F623</f>
        <v>0.76666506643443133</v>
      </c>
      <c r="O623" s="50">
        <v>149280694.49000001</v>
      </c>
      <c r="P623" s="152">
        <f>+O623/F623</f>
        <v>0.12905893106744276</v>
      </c>
    </row>
    <row r="624" spans="1:16" hidden="1" x14ac:dyDescent="0.25">
      <c r="A624" s="143" t="s">
        <v>715</v>
      </c>
      <c r="B624" s="143" t="s">
        <v>71</v>
      </c>
      <c r="C624" s="143" t="s">
        <v>72</v>
      </c>
      <c r="D624" s="143" t="s">
        <v>69</v>
      </c>
      <c r="E624" s="257">
        <v>1139557000</v>
      </c>
      <c r="F624" s="257">
        <v>1112320185</v>
      </c>
      <c r="G624" s="257">
        <v>1110120185</v>
      </c>
      <c r="H624" s="257">
        <v>0</v>
      </c>
      <c r="I624" s="257">
        <v>105293173.52</v>
      </c>
      <c r="J624" s="257">
        <v>0</v>
      </c>
      <c r="K624" s="257">
        <v>861062130.13</v>
      </c>
      <c r="L624" s="257"/>
      <c r="M624" s="257">
        <v>861062130.13</v>
      </c>
      <c r="N624" s="257"/>
      <c r="O624" s="257">
        <v>145964881.34999999</v>
      </c>
      <c r="P624" s="257">
        <v>143764881.34999999</v>
      </c>
    </row>
    <row r="625" spans="1:16" hidden="1" x14ac:dyDescent="0.25">
      <c r="A625" s="143" t="s">
        <v>715</v>
      </c>
      <c r="B625" s="143" t="s">
        <v>73</v>
      </c>
      <c r="C625" s="143" t="s">
        <v>74</v>
      </c>
      <c r="D625" s="143" t="s">
        <v>69</v>
      </c>
      <c r="E625" s="257">
        <v>400867000</v>
      </c>
      <c r="F625" s="257">
        <v>388692700</v>
      </c>
      <c r="G625" s="257">
        <v>388692700</v>
      </c>
      <c r="H625" s="257">
        <v>0</v>
      </c>
      <c r="I625" s="257">
        <v>0</v>
      </c>
      <c r="J625" s="257">
        <v>0</v>
      </c>
      <c r="K625" s="257">
        <v>338157444.12</v>
      </c>
      <c r="L625" s="257"/>
      <c r="M625" s="257">
        <v>338157444.12</v>
      </c>
      <c r="N625" s="257"/>
      <c r="O625" s="257">
        <v>50535255.880000003</v>
      </c>
      <c r="P625" s="257">
        <v>50535255.880000003</v>
      </c>
    </row>
    <row r="626" spans="1:16" hidden="1" x14ac:dyDescent="0.25">
      <c r="A626" s="143" t="s">
        <v>715</v>
      </c>
      <c r="B626" s="143" t="s">
        <v>75</v>
      </c>
      <c r="C626" s="143" t="s">
        <v>76</v>
      </c>
      <c r="D626" s="143" t="s">
        <v>69</v>
      </c>
      <c r="E626" s="257">
        <v>400867000</v>
      </c>
      <c r="F626" s="257">
        <v>388692700</v>
      </c>
      <c r="G626" s="257">
        <v>388692700</v>
      </c>
      <c r="H626" s="257">
        <v>0</v>
      </c>
      <c r="I626" s="257">
        <v>0</v>
      </c>
      <c r="J626" s="257">
        <v>0</v>
      </c>
      <c r="K626" s="257">
        <v>338157444.12</v>
      </c>
      <c r="L626" s="257"/>
      <c r="M626" s="257">
        <v>338157444.12</v>
      </c>
      <c r="N626" s="257"/>
      <c r="O626" s="257">
        <v>50535255.880000003</v>
      </c>
      <c r="P626" s="257">
        <v>50535255.880000003</v>
      </c>
    </row>
    <row r="627" spans="1:16" hidden="1" x14ac:dyDescent="0.25">
      <c r="A627" s="143" t="s">
        <v>715</v>
      </c>
      <c r="B627" s="143" t="s">
        <v>77</v>
      </c>
      <c r="C627" s="143" t="s">
        <v>78</v>
      </c>
      <c r="D627" s="143" t="s">
        <v>69</v>
      </c>
      <c r="E627" s="257">
        <v>564855020</v>
      </c>
      <c r="F627" s="257">
        <v>553413468</v>
      </c>
      <c r="G627" s="257">
        <v>553413468</v>
      </c>
      <c r="H627" s="257">
        <v>0</v>
      </c>
      <c r="I627" s="257">
        <v>69107723.519999996</v>
      </c>
      <c r="J627" s="257">
        <v>0</v>
      </c>
      <c r="K627" s="257">
        <v>392289915.00999999</v>
      </c>
      <c r="L627" s="257"/>
      <c r="M627" s="257">
        <v>392289915.00999999</v>
      </c>
      <c r="N627" s="257"/>
      <c r="O627" s="257">
        <v>92015829.469999999</v>
      </c>
      <c r="P627" s="257">
        <v>92015829.469999999</v>
      </c>
    </row>
    <row r="628" spans="1:16" hidden="1" x14ac:dyDescent="0.25">
      <c r="A628" s="143" t="s">
        <v>715</v>
      </c>
      <c r="B628" s="143" t="s">
        <v>79</v>
      </c>
      <c r="C628" s="143" t="s">
        <v>80</v>
      </c>
      <c r="D628" s="143" t="s">
        <v>69</v>
      </c>
      <c r="E628" s="257">
        <v>153608900</v>
      </c>
      <c r="F628" s="257">
        <v>153608900</v>
      </c>
      <c r="G628" s="257">
        <v>153608900</v>
      </c>
      <c r="H628" s="257">
        <v>0</v>
      </c>
      <c r="I628" s="257">
        <v>0</v>
      </c>
      <c r="J628" s="257">
        <v>0</v>
      </c>
      <c r="K628" s="257">
        <v>110980015.34</v>
      </c>
      <c r="L628" s="257"/>
      <c r="M628" s="257">
        <v>110980015.34</v>
      </c>
      <c r="N628" s="257"/>
      <c r="O628" s="257">
        <v>42628884.659999996</v>
      </c>
      <c r="P628" s="257">
        <v>42628884.659999996</v>
      </c>
    </row>
    <row r="629" spans="1:16" hidden="1" x14ac:dyDescent="0.25">
      <c r="A629" s="143" t="s">
        <v>715</v>
      </c>
      <c r="B629" s="143" t="s">
        <v>81</v>
      </c>
      <c r="C629" s="143" t="s">
        <v>82</v>
      </c>
      <c r="D629" s="143" t="s">
        <v>69</v>
      </c>
      <c r="E629" s="257">
        <v>194052109</v>
      </c>
      <c r="F629" s="257">
        <v>188799681</v>
      </c>
      <c r="G629" s="257">
        <v>188799681</v>
      </c>
      <c r="H629" s="257">
        <v>0</v>
      </c>
      <c r="I629" s="257">
        <v>0</v>
      </c>
      <c r="J629" s="257">
        <v>0</v>
      </c>
      <c r="K629" s="257">
        <v>162136152.90000001</v>
      </c>
      <c r="L629" s="257"/>
      <c r="M629" s="257">
        <v>162136152.90000001</v>
      </c>
      <c r="N629" s="257"/>
      <c r="O629" s="257">
        <v>26663528.100000001</v>
      </c>
      <c r="P629" s="257">
        <v>26663528.100000001</v>
      </c>
    </row>
    <row r="630" spans="1:16" hidden="1" x14ac:dyDescent="0.25">
      <c r="A630" s="143" t="s">
        <v>715</v>
      </c>
      <c r="B630" s="143" t="s">
        <v>86</v>
      </c>
      <c r="C630" s="143" t="s">
        <v>87</v>
      </c>
      <c r="D630" s="143" t="s">
        <v>69</v>
      </c>
      <c r="E630" s="257">
        <v>68267000</v>
      </c>
      <c r="F630" s="257">
        <v>64767000</v>
      </c>
      <c r="G630" s="257">
        <v>64767000</v>
      </c>
      <c r="H630" s="257">
        <v>0</v>
      </c>
      <c r="I630" s="257">
        <v>2250000</v>
      </c>
      <c r="J630" s="257">
        <v>0</v>
      </c>
      <c r="K630" s="257">
        <v>61310698.509999998</v>
      </c>
      <c r="L630" s="257"/>
      <c r="M630" s="257">
        <v>61310698.509999998</v>
      </c>
      <c r="N630" s="257"/>
      <c r="O630" s="257">
        <v>1206301.49</v>
      </c>
      <c r="P630" s="257">
        <v>1206301.49</v>
      </c>
    </row>
    <row r="631" spans="1:16" hidden="1" x14ac:dyDescent="0.25">
      <c r="A631" s="143" t="s">
        <v>715</v>
      </c>
      <c r="B631" s="143" t="s">
        <v>88</v>
      </c>
      <c r="C631" s="143" t="s">
        <v>89</v>
      </c>
      <c r="D631" s="143" t="s">
        <v>69</v>
      </c>
      <c r="E631" s="257">
        <v>74668200</v>
      </c>
      <c r="F631" s="257">
        <v>73525878</v>
      </c>
      <c r="G631" s="257">
        <v>73525878</v>
      </c>
      <c r="H631" s="257">
        <v>0</v>
      </c>
      <c r="I631" s="257">
        <v>0</v>
      </c>
      <c r="J631" s="257">
        <v>0</v>
      </c>
      <c r="K631" s="257">
        <v>57863048.259999998</v>
      </c>
      <c r="L631" s="257"/>
      <c r="M631" s="257">
        <v>57863048.259999998</v>
      </c>
      <c r="N631" s="257"/>
      <c r="O631" s="257">
        <v>15662829.74</v>
      </c>
      <c r="P631" s="257">
        <v>15662829.74</v>
      </c>
    </row>
    <row r="632" spans="1:16" hidden="1" x14ac:dyDescent="0.25">
      <c r="A632" s="143" t="s">
        <v>715</v>
      </c>
      <c r="B632" s="143" t="s">
        <v>83</v>
      </c>
      <c r="C632" s="143" t="s">
        <v>84</v>
      </c>
      <c r="D632" s="143" t="s">
        <v>85</v>
      </c>
      <c r="E632" s="257">
        <v>74258811</v>
      </c>
      <c r="F632" s="257">
        <v>72712009</v>
      </c>
      <c r="G632" s="257">
        <v>72712009</v>
      </c>
      <c r="H632" s="257">
        <v>0</v>
      </c>
      <c r="I632" s="257">
        <v>66857723.520000003</v>
      </c>
      <c r="J632" s="257">
        <v>0</v>
      </c>
      <c r="K632" s="257">
        <v>0</v>
      </c>
      <c r="L632" s="257"/>
      <c r="M632" s="257">
        <v>0</v>
      </c>
      <c r="N632" s="257"/>
      <c r="O632" s="257">
        <v>5854285.4800000004</v>
      </c>
      <c r="P632" s="257">
        <v>5854285.4800000004</v>
      </c>
    </row>
    <row r="633" spans="1:16" hidden="1" x14ac:dyDescent="0.25">
      <c r="A633" s="143" t="s">
        <v>715</v>
      </c>
      <c r="B633" s="143" t="s">
        <v>90</v>
      </c>
      <c r="C633" s="143" t="s">
        <v>91</v>
      </c>
      <c r="D633" s="143" t="s">
        <v>69</v>
      </c>
      <c r="E633" s="257">
        <v>86917540</v>
      </c>
      <c r="F633" s="257">
        <v>85107058</v>
      </c>
      <c r="G633" s="257">
        <v>85107058</v>
      </c>
      <c r="H633" s="257">
        <v>0</v>
      </c>
      <c r="I633" s="257">
        <v>19137422</v>
      </c>
      <c r="J633" s="257">
        <v>0</v>
      </c>
      <c r="K633" s="257">
        <v>65362738</v>
      </c>
      <c r="L633" s="257"/>
      <c r="M633" s="257">
        <v>65362738</v>
      </c>
      <c r="N633" s="257"/>
      <c r="O633" s="257">
        <v>606898</v>
      </c>
      <c r="P633" s="257">
        <v>606898</v>
      </c>
    </row>
    <row r="634" spans="1:16" hidden="1" x14ac:dyDescent="0.25">
      <c r="A634" s="143" t="s">
        <v>715</v>
      </c>
      <c r="B634" s="143" t="s">
        <v>425</v>
      </c>
      <c r="C634" s="143" t="s">
        <v>697</v>
      </c>
      <c r="D634" s="143" t="s">
        <v>69</v>
      </c>
      <c r="E634" s="257">
        <v>82460320</v>
      </c>
      <c r="F634" s="257">
        <v>80742683</v>
      </c>
      <c r="G634" s="257">
        <v>80742683</v>
      </c>
      <c r="H634" s="257">
        <v>0</v>
      </c>
      <c r="I634" s="257">
        <v>18156107</v>
      </c>
      <c r="J634" s="257">
        <v>0</v>
      </c>
      <c r="K634" s="257">
        <v>62010801</v>
      </c>
      <c r="L634" s="257"/>
      <c r="M634" s="257">
        <v>62010801</v>
      </c>
      <c r="N634" s="257"/>
      <c r="O634" s="257">
        <v>575775</v>
      </c>
      <c r="P634" s="257">
        <v>575775</v>
      </c>
    </row>
    <row r="635" spans="1:16" hidden="1" x14ac:dyDescent="0.25">
      <c r="A635" s="143" t="s">
        <v>715</v>
      </c>
      <c r="B635" s="143" t="s">
        <v>442</v>
      </c>
      <c r="C635" s="143" t="s">
        <v>95</v>
      </c>
      <c r="D635" s="143" t="s">
        <v>69</v>
      </c>
      <c r="E635" s="257">
        <v>4457220</v>
      </c>
      <c r="F635" s="257">
        <v>4364375</v>
      </c>
      <c r="G635" s="257">
        <v>4364375</v>
      </c>
      <c r="H635" s="257">
        <v>0</v>
      </c>
      <c r="I635" s="257">
        <v>981315</v>
      </c>
      <c r="J635" s="257">
        <v>0</v>
      </c>
      <c r="K635" s="257">
        <v>3351937</v>
      </c>
      <c r="L635" s="257"/>
      <c r="M635" s="257">
        <v>3351937</v>
      </c>
      <c r="N635" s="257"/>
      <c r="O635" s="257">
        <v>31123</v>
      </c>
      <c r="P635" s="257">
        <v>31123</v>
      </c>
    </row>
    <row r="636" spans="1:16" hidden="1" x14ac:dyDescent="0.25">
      <c r="A636" s="143" t="s">
        <v>715</v>
      </c>
      <c r="B636" s="143" t="s">
        <v>96</v>
      </c>
      <c r="C636" s="143" t="s">
        <v>97</v>
      </c>
      <c r="D636" s="143" t="s">
        <v>69</v>
      </c>
      <c r="E636" s="257">
        <v>86917440</v>
      </c>
      <c r="F636" s="257">
        <v>85106959</v>
      </c>
      <c r="G636" s="257">
        <v>82906959</v>
      </c>
      <c r="H636" s="257">
        <v>0</v>
      </c>
      <c r="I636" s="257">
        <v>17048028</v>
      </c>
      <c r="J636" s="257">
        <v>0</v>
      </c>
      <c r="K636" s="257">
        <v>65252033</v>
      </c>
      <c r="L636" s="257"/>
      <c r="M636" s="257">
        <v>65252033</v>
      </c>
      <c r="N636" s="257"/>
      <c r="O636" s="257">
        <v>2806898</v>
      </c>
      <c r="P636" s="257">
        <v>606898</v>
      </c>
    </row>
    <row r="637" spans="1:16" hidden="1" x14ac:dyDescent="0.25">
      <c r="A637" s="143" t="s">
        <v>715</v>
      </c>
      <c r="B637" s="143" t="s">
        <v>460</v>
      </c>
      <c r="C637" s="143" t="s">
        <v>698</v>
      </c>
      <c r="D637" s="143" t="s">
        <v>69</v>
      </c>
      <c r="E637" s="257">
        <v>46801760</v>
      </c>
      <c r="F637" s="257">
        <v>45826885</v>
      </c>
      <c r="G637" s="257">
        <v>45826885</v>
      </c>
      <c r="H637" s="257">
        <v>0</v>
      </c>
      <c r="I637" s="257">
        <v>10415478</v>
      </c>
      <c r="J637" s="257">
        <v>0</v>
      </c>
      <c r="K637" s="257">
        <v>35084616</v>
      </c>
      <c r="L637" s="257"/>
      <c r="M637" s="257">
        <v>35084616</v>
      </c>
      <c r="N637" s="257"/>
      <c r="O637" s="257">
        <v>326791</v>
      </c>
      <c r="P637" s="257">
        <v>326791</v>
      </c>
    </row>
    <row r="638" spans="1:16" hidden="1" x14ac:dyDescent="0.25">
      <c r="A638" s="143" t="s">
        <v>715</v>
      </c>
      <c r="B638" s="143" t="s">
        <v>477</v>
      </c>
      <c r="C638" s="143" t="s">
        <v>699</v>
      </c>
      <c r="D638" s="143" t="s">
        <v>69</v>
      </c>
      <c r="E638" s="257">
        <v>13371860</v>
      </c>
      <c r="F638" s="257">
        <v>13093325</v>
      </c>
      <c r="G638" s="257">
        <v>13093325</v>
      </c>
      <c r="H638" s="257">
        <v>0</v>
      </c>
      <c r="I638" s="257">
        <v>2004361</v>
      </c>
      <c r="J638" s="257">
        <v>0</v>
      </c>
      <c r="K638" s="257">
        <v>10995595</v>
      </c>
      <c r="L638" s="257"/>
      <c r="M638" s="257">
        <v>10995595</v>
      </c>
      <c r="N638" s="257"/>
      <c r="O638" s="257">
        <v>93369</v>
      </c>
      <c r="P638" s="257">
        <v>93369</v>
      </c>
    </row>
    <row r="639" spans="1:16" hidden="1" x14ac:dyDescent="0.25">
      <c r="A639" s="143" t="s">
        <v>715</v>
      </c>
      <c r="B639" s="143" t="s">
        <v>494</v>
      </c>
      <c r="C639" s="143" t="s">
        <v>700</v>
      </c>
      <c r="D639" s="143" t="s">
        <v>69</v>
      </c>
      <c r="E639" s="257">
        <v>26743820</v>
      </c>
      <c r="F639" s="257">
        <v>26186749</v>
      </c>
      <c r="G639" s="257">
        <v>23986749</v>
      </c>
      <c r="H639" s="257">
        <v>0</v>
      </c>
      <c r="I639" s="257">
        <v>4628189</v>
      </c>
      <c r="J639" s="257">
        <v>0</v>
      </c>
      <c r="K639" s="257">
        <v>19171822</v>
      </c>
      <c r="L639" s="257"/>
      <c r="M639" s="257">
        <v>19171822</v>
      </c>
      <c r="N639" s="257"/>
      <c r="O639" s="257">
        <v>2386738</v>
      </c>
      <c r="P639" s="257">
        <v>186738</v>
      </c>
    </row>
    <row r="640" spans="1:16" hidden="1" x14ac:dyDescent="0.25">
      <c r="A640" s="143" t="s">
        <v>715</v>
      </c>
      <c r="B640" s="143" t="s">
        <v>104</v>
      </c>
      <c r="C640" s="143" t="s">
        <v>105</v>
      </c>
      <c r="D640" s="143" t="s">
        <v>69</v>
      </c>
      <c r="E640" s="257">
        <v>30265400</v>
      </c>
      <c r="F640" s="257">
        <v>22876215</v>
      </c>
      <c r="G640" s="257">
        <v>22876215</v>
      </c>
      <c r="H640" s="257">
        <v>0</v>
      </c>
      <c r="I640" s="257">
        <v>11815197.15</v>
      </c>
      <c r="J640" s="257">
        <v>0</v>
      </c>
      <c r="K640" s="257">
        <v>10938688.710000001</v>
      </c>
      <c r="L640" s="257"/>
      <c r="M640" s="257">
        <v>10801264.27</v>
      </c>
      <c r="N640" s="257"/>
      <c r="O640" s="257">
        <v>122329.14</v>
      </c>
      <c r="P640" s="257">
        <v>122329.14</v>
      </c>
    </row>
    <row r="641" spans="1:16" hidden="1" x14ac:dyDescent="0.25">
      <c r="A641" s="143" t="s">
        <v>715</v>
      </c>
      <c r="B641" s="143" t="s">
        <v>112</v>
      </c>
      <c r="C641" s="143" t="s">
        <v>113</v>
      </c>
      <c r="D641" s="143" t="s">
        <v>69</v>
      </c>
      <c r="E641" s="257">
        <v>30265400</v>
      </c>
      <c r="F641" s="257">
        <v>22876215</v>
      </c>
      <c r="G641" s="257">
        <v>22876215</v>
      </c>
      <c r="H641" s="257">
        <v>0</v>
      </c>
      <c r="I641" s="257">
        <v>11815197.15</v>
      </c>
      <c r="J641" s="257">
        <v>0</v>
      </c>
      <c r="K641" s="257">
        <v>10938688.710000001</v>
      </c>
      <c r="L641" s="257"/>
      <c r="M641" s="257">
        <v>10801264.27</v>
      </c>
      <c r="N641" s="257"/>
      <c r="O641" s="257">
        <v>122329.14</v>
      </c>
      <c r="P641" s="257">
        <v>122329.14</v>
      </c>
    </row>
    <row r="642" spans="1:16" hidden="1" x14ac:dyDescent="0.25">
      <c r="A642" s="143" t="s">
        <v>715</v>
      </c>
      <c r="B642" s="143" t="s">
        <v>114</v>
      </c>
      <c r="C642" s="143" t="s">
        <v>115</v>
      </c>
      <c r="D642" s="143" t="s">
        <v>69</v>
      </c>
      <c r="E642" s="257">
        <v>3196000</v>
      </c>
      <c r="F642" s="257">
        <v>3196000</v>
      </c>
      <c r="G642" s="257">
        <v>3196000</v>
      </c>
      <c r="H642" s="257">
        <v>0</v>
      </c>
      <c r="I642" s="257">
        <v>842862</v>
      </c>
      <c r="J642" s="257">
        <v>0</v>
      </c>
      <c r="K642" s="257">
        <v>2353138</v>
      </c>
      <c r="L642" s="257"/>
      <c r="M642" s="257">
        <v>2347036</v>
      </c>
      <c r="N642" s="257"/>
      <c r="O642" s="257">
        <v>0</v>
      </c>
      <c r="P642" s="257">
        <v>0</v>
      </c>
    </row>
    <row r="643" spans="1:16" hidden="1" x14ac:dyDescent="0.25">
      <c r="A643" s="143" t="s">
        <v>715</v>
      </c>
      <c r="B643" s="143" t="s">
        <v>116</v>
      </c>
      <c r="C643" s="143" t="s">
        <v>117</v>
      </c>
      <c r="D643" s="143" t="s">
        <v>69</v>
      </c>
      <c r="E643" s="257">
        <v>21749400</v>
      </c>
      <c r="F643" s="257">
        <v>14529276</v>
      </c>
      <c r="G643" s="257">
        <v>14529276</v>
      </c>
      <c r="H643" s="257">
        <v>0</v>
      </c>
      <c r="I643" s="257">
        <v>7604770.9299999997</v>
      </c>
      <c r="J643" s="257">
        <v>0</v>
      </c>
      <c r="K643" s="257">
        <v>6924504.9299999997</v>
      </c>
      <c r="L643" s="257"/>
      <c r="M643" s="257">
        <v>6821505.2300000004</v>
      </c>
      <c r="N643" s="257"/>
      <c r="O643" s="257">
        <v>0.14000000000000001</v>
      </c>
      <c r="P643" s="257">
        <v>0.14000000000000001</v>
      </c>
    </row>
    <row r="644" spans="1:16" hidden="1" x14ac:dyDescent="0.25">
      <c r="A644" s="143" t="s">
        <v>715</v>
      </c>
      <c r="B644" s="143" t="s">
        <v>120</v>
      </c>
      <c r="C644" s="143" t="s">
        <v>121</v>
      </c>
      <c r="D644" s="143" t="s">
        <v>69</v>
      </c>
      <c r="E644" s="257">
        <v>4620000</v>
      </c>
      <c r="F644" s="257">
        <v>4620000</v>
      </c>
      <c r="G644" s="257">
        <v>4620000</v>
      </c>
      <c r="H644" s="257">
        <v>0</v>
      </c>
      <c r="I644" s="257">
        <v>3274999.62</v>
      </c>
      <c r="J644" s="257">
        <v>0</v>
      </c>
      <c r="K644" s="257">
        <v>1345000.38</v>
      </c>
      <c r="L644" s="257"/>
      <c r="M644" s="257">
        <v>1345000.38</v>
      </c>
      <c r="N644" s="257"/>
      <c r="O644" s="257">
        <v>0</v>
      </c>
      <c r="P644" s="257">
        <v>0</v>
      </c>
    </row>
    <row r="645" spans="1:16" hidden="1" x14ac:dyDescent="0.25">
      <c r="A645" s="143" t="s">
        <v>715</v>
      </c>
      <c r="B645" s="143" t="s">
        <v>122</v>
      </c>
      <c r="C645" s="143" t="s">
        <v>123</v>
      </c>
      <c r="D645" s="143" t="s">
        <v>69</v>
      </c>
      <c r="E645" s="257">
        <v>700000</v>
      </c>
      <c r="F645" s="257">
        <v>530939</v>
      </c>
      <c r="G645" s="257">
        <v>530939</v>
      </c>
      <c r="H645" s="257">
        <v>0</v>
      </c>
      <c r="I645" s="257">
        <v>92564.6</v>
      </c>
      <c r="J645" s="257">
        <v>0</v>
      </c>
      <c r="K645" s="257">
        <v>316045.40000000002</v>
      </c>
      <c r="L645" s="257"/>
      <c r="M645" s="257">
        <v>287722.65999999997</v>
      </c>
      <c r="N645" s="257"/>
      <c r="O645" s="257">
        <v>122329</v>
      </c>
      <c r="P645" s="257">
        <v>122329</v>
      </c>
    </row>
    <row r="646" spans="1:16" hidden="1" x14ac:dyDescent="0.25">
      <c r="A646" s="143" t="s">
        <v>715</v>
      </c>
      <c r="B646" s="143" t="s">
        <v>140</v>
      </c>
      <c r="C646" s="143" t="s">
        <v>141</v>
      </c>
      <c r="D646" s="143" t="s">
        <v>69</v>
      </c>
      <c r="E646" s="257">
        <v>0</v>
      </c>
      <c r="F646" s="257">
        <v>0</v>
      </c>
      <c r="G646" s="257">
        <v>0</v>
      </c>
      <c r="H646" s="257">
        <v>0</v>
      </c>
      <c r="I646" s="257">
        <v>0</v>
      </c>
      <c r="J646" s="257">
        <v>0</v>
      </c>
      <c r="K646" s="257">
        <v>0</v>
      </c>
      <c r="L646" s="257"/>
      <c r="M646" s="257">
        <v>0</v>
      </c>
      <c r="N646" s="257"/>
      <c r="O646" s="257">
        <v>0</v>
      </c>
      <c r="P646" s="257">
        <v>0</v>
      </c>
    </row>
    <row r="647" spans="1:16" hidden="1" x14ac:dyDescent="0.25">
      <c r="A647" s="143" t="s">
        <v>715</v>
      </c>
      <c r="B647" s="143" t="s">
        <v>144</v>
      </c>
      <c r="C647" s="143" t="s">
        <v>145</v>
      </c>
      <c r="D647" s="143" t="s">
        <v>69</v>
      </c>
      <c r="E647" s="257">
        <v>0</v>
      </c>
      <c r="F647" s="257">
        <v>0</v>
      </c>
      <c r="G647" s="257">
        <v>0</v>
      </c>
      <c r="H647" s="257">
        <v>0</v>
      </c>
      <c r="I647" s="257">
        <v>0</v>
      </c>
      <c r="J647" s="257">
        <v>0</v>
      </c>
      <c r="K647" s="257">
        <v>0</v>
      </c>
      <c r="L647" s="257"/>
      <c r="M647" s="257">
        <v>0</v>
      </c>
      <c r="N647" s="257"/>
      <c r="O647" s="257">
        <v>0</v>
      </c>
      <c r="P647" s="257">
        <v>0</v>
      </c>
    </row>
    <row r="648" spans="1:16" hidden="1" x14ac:dyDescent="0.25">
      <c r="A648" s="143" t="s">
        <v>715</v>
      </c>
      <c r="B648" s="143" t="s">
        <v>248</v>
      </c>
      <c r="C648" s="143" t="s">
        <v>249</v>
      </c>
      <c r="D648" s="143" t="s">
        <v>69</v>
      </c>
      <c r="E648" s="257">
        <v>18298122</v>
      </c>
      <c r="F648" s="257">
        <v>21489877</v>
      </c>
      <c r="G648" s="257">
        <v>21489877</v>
      </c>
      <c r="H648" s="257">
        <v>0</v>
      </c>
      <c r="I648" s="257">
        <v>3368826</v>
      </c>
      <c r="J648" s="257">
        <v>0</v>
      </c>
      <c r="K648" s="257">
        <v>14927567</v>
      </c>
      <c r="L648" s="257"/>
      <c r="M648" s="257">
        <v>14927567</v>
      </c>
      <c r="N648" s="257"/>
      <c r="O648" s="257">
        <v>3193484</v>
      </c>
      <c r="P648" s="257">
        <v>3193484</v>
      </c>
    </row>
    <row r="649" spans="1:16" hidden="1" x14ac:dyDescent="0.25">
      <c r="A649" s="143" t="s">
        <v>715</v>
      </c>
      <c r="B649" s="143" t="s">
        <v>250</v>
      </c>
      <c r="C649" s="143" t="s">
        <v>251</v>
      </c>
      <c r="D649" s="143" t="s">
        <v>69</v>
      </c>
      <c r="E649" s="257">
        <v>14798122</v>
      </c>
      <c r="F649" s="257">
        <v>14489877</v>
      </c>
      <c r="G649" s="257">
        <v>14489877</v>
      </c>
      <c r="H649" s="257">
        <v>0</v>
      </c>
      <c r="I649" s="257">
        <v>3368826</v>
      </c>
      <c r="J649" s="257">
        <v>0</v>
      </c>
      <c r="K649" s="257">
        <v>11017722</v>
      </c>
      <c r="L649" s="257"/>
      <c r="M649" s="257">
        <v>11017722</v>
      </c>
      <c r="N649" s="257"/>
      <c r="O649" s="257">
        <v>103329</v>
      </c>
      <c r="P649" s="257">
        <v>103329</v>
      </c>
    </row>
    <row r="650" spans="1:16" hidden="1" x14ac:dyDescent="0.25">
      <c r="A650" s="143" t="s">
        <v>715</v>
      </c>
      <c r="B650" s="143" t="s">
        <v>634</v>
      </c>
      <c r="C650" s="143" t="s">
        <v>702</v>
      </c>
      <c r="D650" s="143" t="s">
        <v>69</v>
      </c>
      <c r="E650" s="257">
        <v>12569562</v>
      </c>
      <c r="F650" s="257">
        <v>12307739</v>
      </c>
      <c r="G650" s="257">
        <v>12307739</v>
      </c>
      <c r="H650" s="257">
        <v>0</v>
      </c>
      <c r="I650" s="257">
        <v>2878216</v>
      </c>
      <c r="J650" s="257">
        <v>0</v>
      </c>
      <c r="K650" s="257">
        <v>9341756</v>
      </c>
      <c r="L650" s="257"/>
      <c r="M650" s="257">
        <v>9341756</v>
      </c>
      <c r="N650" s="257"/>
      <c r="O650" s="257">
        <v>87767</v>
      </c>
      <c r="P650" s="257">
        <v>87767</v>
      </c>
    </row>
    <row r="651" spans="1:16" hidden="1" x14ac:dyDescent="0.25">
      <c r="A651" s="143" t="s">
        <v>715</v>
      </c>
      <c r="B651" s="143" t="s">
        <v>649</v>
      </c>
      <c r="C651" s="143" t="s">
        <v>703</v>
      </c>
      <c r="D651" s="143" t="s">
        <v>69</v>
      </c>
      <c r="E651" s="257">
        <v>2228560</v>
      </c>
      <c r="F651" s="257">
        <v>2182138</v>
      </c>
      <c r="G651" s="257">
        <v>2182138</v>
      </c>
      <c r="H651" s="257">
        <v>0</v>
      </c>
      <c r="I651" s="257">
        <v>490610</v>
      </c>
      <c r="J651" s="257">
        <v>0</v>
      </c>
      <c r="K651" s="257">
        <v>1675966</v>
      </c>
      <c r="L651" s="257"/>
      <c r="M651" s="257">
        <v>1675966</v>
      </c>
      <c r="N651" s="257"/>
      <c r="O651" s="257">
        <v>15562</v>
      </c>
      <c r="P651" s="257">
        <v>15562</v>
      </c>
    </row>
    <row r="652" spans="1:16" hidden="1" x14ac:dyDescent="0.25">
      <c r="A652" s="143" t="s">
        <v>715</v>
      </c>
      <c r="B652" s="143" t="s">
        <v>260</v>
      </c>
      <c r="C652" s="143" t="s">
        <v>261</v>
      </c>
      <c r="D652" s="143" t="s">
        <v>69</v>
      </c>
      <c r="E652" s="257">
        <v>3500000</v>
      </c>
      <c r="F652" s="257">
        <v>7000000</v>
      </c>
      <c r="G652" s="257">
        <v>7000000</v>
      </c>
      <c r="H652" s="257">
        <v>0</v>
      </c>
      <c r="I652" s="257">
        <v>0</v>
      </c>
      <c r="J652" s="257">
        <v>0</v>
      </c>
      <c r="K652" s="257">
        <v>3909845</v>
      </c>
      <c r="L652" s="257"/>
      <c r="M652" s="257">
        <v>3909845</v>
      </c>
      <c r="N652" s="257"/>
      <c r="O652" s="257">
        <v>3090155</v>
      </c>
      <c r="P652" s="257">
        <v>3090155</v>
      </c>
    </row>
    <row r="653" spans="1:16" hidden="1" x14ac:dyDescent="0.25">
      <c r="A653" s="143" t="s">
        <v>715</v>
      </c>
      <c r="B653" s="143" t="s">
        <v>264</v>
      </c>
      <c r="C653" s="143" t="s">
        <v>265</v>
      </c>
      <c r="D653" s="143" t="s">
        <v>69</v>
      </c>
      <c r="E653" s="257">
        <v>3500000</v>
      </c>
      <c r="F653" s="257">
        <v>7000000</v>
      </c>
      <c r="G653" s="257">
        <v>7000000</v>
      </c>
      <c r="H653" s="257">
        <v>0</v>
      </c>
      <c r="I653" s="257">
        <v>0</v>
      </c>
      <c r="J653" s="257">
        <v>0</v>
      </c>
      <c r="K653" s="257">
        <v>3909845</v>
      </c>
      <c r="L653" s="257"/>
      <c r="M653" s="257">
        <v>3909845</v>
      </c>
      <c r="N653" s="257"/>
      <c r="O653" s="257">
        <v>3090155</v>
      </c>
      <c r="P653" s="257">
        <v>3090155</v>
      </c>
    </row>
    <row r="654" spans="1:16" x14ac:dyDescent="0.25">
      <c r="A654" s="44">
        <v>214789006</v>
      </c>
      <c r="C654" s="44"/>
      <c r="D654" s="44" t="s">
        <v>69</v>
      </c>
      <c r="E654" s="257">
        <v>7207746597</v>
      </c>
      <c r="F654" s="50">
        <v>6961566789</v>
      </c>
      <c r="G654" s="257">
        <v>6960966789</v>
      </c>
      <c r="H654" s="50">
        <v>0</v>
      </c>
      <c r="I654" s="50">
        <v>31499671.989999998</v>
      </c>
      <c r="J654" s="50">
        <v>0</v>
      </c>
      <c r="K654" s="50">
        <v>4737362729.5799999</v>
      </c>
      <c r="L654" s="152">
        <f>+K654/F654</f>
        <v>0.68050237441742656</v>
      </c>
      <c r="M654" s="50">
        <v>4349167020.9200001</v>
      </c>
      <c r="N654" s="152">
        <f>+M654/F654</f>
        <v>0.62473968184750261</v>
      </c>
      <c r="O654" s="50">
        <v>2192704387.4299998</v>
      </c>
      <c r="P654" s="152">
        <f>+O654/F654</f>
        <v>0.31497282923360026</v>
      </c>
    </row>
    <row r="655" spans="1:16" hidden="1" x14ac:dyDescent="0.25">
      <c r="A655" s="143" t="s">
        <v>716</v>
      </c>
      <c r="B655" s="143" t="s">
        <v>71</v>
      </c>
      <c r="C655" s="143" t="s">
        <v>72</v>
      </c>
      <c r="D655" s="143" t="s">
        <v>69</v>
      </c>
      <c r="E655" s="257">
        <v>273249937</v>
      </c>
      <c r="F655" s="257">
        <v>271537368</v>
      </c>
      <c r="G655" s="257">
        <v>270937368</v>
      </c>
      <c r="H655" s="257">
        <v>0</v>
      </c>
      <c r="I655" s="257">
        <v>29479172.800000001</v>
      </c>
      <c r="J655" s="257">
        <v>0</v>
      </c>
      <c r="K655" s="257">
        <v>210887915.83000001</v>
      </c>
      <c r="L655" s="257"/>
      <c r="M655" s="257">
        <v>210887915.83000001</v>
      </c>
      <c r="N655" s="257"/>
      <c r="O655" s="257">
        <v>31170279.370000001</v>
      </c>
      <c r="P655" s="257">
        <v>30570279.370000001</v>
      </c>
    </row>
    <row r="656" spans="1:16" hidden="1" x14ac:dyDescent="0.25">
      <c r="A656" s="143" t="s">
        <v>716</v>
      </c>
      <c r="B656" s="143" t="s">
        <v>73</v>
      </c>
      <c r="C656" s="143" t="s">
        <v>74</v>
      </c>
      <c r="D656" s="143" t="s">
        <v>69</v>
      </c>
      <c r="E656" s="257">
        <v>97637632</v>
      </c>
      <c r="F656" s="257">
        <v>96661384</v>
      </c>
      <c r="G656" s="257">
        <v>96661384</v>
      </c>
      <c r="H656" s="257">
        <v>0</v>
      </c>
      <c r="I656" s="257">
        <v>0</v>
      </c>
      <c r="J656" s="257">
        <v>0</v>
      </c>
      <c r="K656" s="257">
        <v>85178718.890000001</v>
      </c>
      <c r="L656" s="257"/>
      <c r="M656" s="257">
        <v>85178718.890000001</v>
      </c>
      <c r="N656" s="257"/>
      <c r="O656" s="257">
        <v>11482665.109999999</v>
      </c>
      <c r="P656" s="257">
        <v>11482665.109999999</v>
      </c>
    </row>
    <row r="657" spans="1:16" hidden="1" x14ac:dyDescent="0.25">
      <c r="A657" s="143" t="s">
        <v>716</v>
      </c>
      <c r="B657" s="143" t="s">
        <v>75</v>
      </c>
      <c r="C657" s="143" t="s">
        <v>76</v>
      </c>
      <c r="D657" s="143" t="s">
        <v>69</v>
      </c>
      <c r="E657" s="257">
        <v>97637632</v>
      </c>
      <c r="F657" s="257">
        <v>96661384</v>
      </c>
      <c r="G657" s="257">
        <v>96661384</v>
      </c>
      <c r="H657" s="257">
        <v>0</v>
      </c>
      <c r="I657" s="257">
        <v>0</v>
      </c>
      <c r="J657" s="257">
        <v>0</v>
      </c>
      <c r="K657" s="257">
        <v>85178718.890000001</v>
      </c>
      <c r="L657" s="257"/>
      <c r="M657" s="257">
        <v>85178718.890000001</v>
      </c>
      <c r="N657" s="257"/>
      <c r="O657" s="257">
        <v>11482665.109999999</v>
      </c>
      <c r="P657" s="257">
        <v>11482665.109999999</v>
      </c>
    </row>
    <row r="658" spans="1:16" hidden="1" x14ac:dyDescent="0.25">
      <c r="A658" s="143" t="s">
        <v>716</v>
      </c>
      <c r="B658" s="143" t="s">
        <v>77</v>
      </c>
      <c r="C658" s="143" t="s">
        <v>78</v>
      </c>
      <c r="D658" s="143" t="s">
        <v>69</v>
      </c>
      <c r="E658" s="257">
        <v>133929275</v>
      </c>
      <c r="F658" s="257">
        <v>133454197</v>
      </c>
      <c r="G658" s="257">
        <v>133454197</v>
      </c>
      <c r="H658" s="257">
        <v>0</v>
      </c>
      <c r="I658" s="257">
        <v>21716825.800000001</v>
      </c>
      <c r="J658" s="257">
        <v>0</v>
      </c>
      <c r="K658" s="257">
        <v>92911281.939999998</v>
      </c>
      <c r="L658" s="257"/>
      <c r="M658" s="257">
        <v>92911281.939999998</v>
      </c>
      <c r="N658" s="257"/>
      <c r="O658" s="257">
        <v>18826089.260000002</v>
      </c>
      <c r="P658" s="257">
        <v>18826089.260000002</v>
      </c>
    </row>
    <row r="659" spans="1:16" hidden="1" x14ac:dyDescent="0.25">
      <c r="A659" s="143" t="s">
        <v>716</v>
      </c>
      <c r="B659" s="143" t="s">
        <v>79</v>
      </c>
      <c r="C659" s="143" t="s">
        <v>80</v>
      </c>
      <c r="D659" s="143" t="s">
        <v>69</v>
      </c>
      <c r="E659" s="257">
        <v>34862400</v>
      </c>
      <c r="F659" s="257">
        <v>34862400</v>
      </c>
      <c r="G659" s="257">
        <v>34862400</v>
      </c>
      <c r="H659" s="257">
        <v>0</v>
      </c>
      <c r="I659" s="257">
        <v>0</v>
      </c>
      <c r="J659" s="257">
        <v>0</v>
      </c>
      <c r="K659" s="257">
        <v>30077354.949999999</v>
      </c>
      <c r="L659" s="257"/>
      <c r="M659" s="257">
        <v>30077354.949999999</v>
      </c>
      <c r="N659" s="257"/>
      <c r="O659" s="257">
        <v>4785045.05</v>
      </c>
      <c r="P659" s="257">
        <v>4785045.05</v>
      </c>
    </row>
    <row r="660" spans="1:16" hidden="1" x14ac:dyDescent="0.25">
      <c r="A660" s="143" t="s">
        <v>716</v>
      </c>
      <c r="B660" s="143" t="s">
        <v>81</v>
      </c>
      <c r="C660" s="143" t="s">
        <v>82</v>
      </c>
      <c r="D660" s="143" t="s">
        <v>69</v>
      </c>
      <c r="E660" s="257">
        <v>32733979</v>
      </c>
      <c r="F660" s="257">
        <v>32370500</v>
      </c>
      <c r="G660" s="257">
        <v>32370500</v>
      </c>
      <c r="H660" s="257">
        <v>0</v>
      </c>
      <c r="I660" s="257">
        <v>0</v>
      </c>
      <c r="J660" s="257">
        <v>0</v>
      </c>
      <c r="K660" s="257">
        <v>25263489.949999999</v>
      </c>
      <c r="L660" s="257"/>
      <c r="M660" s="257">
        <v>25263489.949999999</v>
      </c>
      <c r="N660" s="257"/>
      <c r="O660" s="257">
        <v>7107010.0499999998</v>
      </c>
      <c r="P660" s="257">
        <v>7107010.0499999998</v>
      </c>
    </row>
    <row r="661" spans="1:16" hidden="1" x14ac:dyDescent="0.25">
      <c r="A661" s="143" t="s">
        <v>716</v>
      </c>
      <c r="B661" s="143" t="s">
        <v>86</v>
      </c>
      <c r="C661" s="143" t="s">
        <v>87</v>
      </c>
      <c r="D661" s="143" t="s">
        <v>69</v>
      </c>
      <c r="E661" s="257">
        <v>16387600</v>
      </c>
      <c r="F661" s="257">
        <v>16387600</v>
      </c>
      <c r="G661" s="257">
        <v>16387600</v>
      </c>
      <c r="H661" s="257">
        <v>0</v>
      </c>
      <c r="I661" s="257">
        <v>5500000</v>
      </c>
      <c r="J661" s="257">
        <v>0</v>
      </c>
      <c r="K661" s="257">
        <v>9494365.5</v>
      </c>
      <c r="L661" s="257"/>
      <c r="M661" s="257">
        <v>9494365.5</v>
      </c>
      <c r="N661" s="257"/>
      <c r="O661" s="257">
        <v>1393234.5</v>
      </c>
      <c r="P661" s="257">
        <v>1393234.5</v>
      </c>
    </row>
    <row r="662" spans="1:16" hidden="1" x14ac:dyDescent="0.25">
      <c r="A662" s="143" t="s">
        <v>716</v>
      </c>
      <c r="B662" s="143" t="s">
        <v>88</v>
      </c>
      <c r="C662" s="143" t="s">
        <v>89</v>
      </c>
      <c r="D662" s="143" t="s">
        <v>69</v>
      </c>
      <c r="E662" s="257">
        <v>32139100</v>
      </c>
      <c r="F662" s="257">
        <v>32139100</v>
      </c>
      <c r="G662" s="257">
        <v>32139100</v>
      </c>
      <c r="H662" s="257">
        <v>0</v>
      </c>
      <c r="I662" s="257">
        <v>0</v>
      </c>
      <c r="J662" s="257">
        <v>0</v>
      </c>
      <c r="K662" s="257">
        <v>28076071.539999999</v>
      </c>
      <c r="L662" s="257"/>
      <c r="M662" s="257">
        <v>28076071.539999999</v>
      </c>
      <c r="N662" s="257"/>
      <c r="O662" s="257">
        <v>4063028.46</v>
      </c>
      <c r="P662" s="257">
        <v>4063028.46</v>
      </c>
    </row>
    <row r="663" spans="1:16" hidden="1" x14ac:dyDescent="0.25">
      <c r="A663" s="143" t="s">
        <v>716</v>
      </c>
      <c r="B663" s="143" t="s">
        <v>83</v>
      </c>
      <c r="C663" s="143" t="s">
        <v>84</v>
      </c>
      <c r="D663" s="143" t="s">
        <v>85</v>
      </c>
      <c r="E663" s="257">
        <v>17806196</v>
      </c>
      <c r="F663" s="257">
        <v>17694597</v>
      </c>
      <c r="G663" s="257">
        <v>17694597</v>
      </c>
      <c r="H663" s="257">
        <v>0</v>
      </c>
      <c r="I663" s="257">
        <v>16216825.800000001</v>
      </c>
      <c r="J663" s="257">
        <v>0</v>
      </c>
      <c r="K663" s="257">
        <v>0</v>
      </c>
      <c r="L663" s="257"/>
      <c r="M663" s="257">
        <v>0</v>
      </c>
      <c r="N663" s="257"/>
      <c r="O663" s="257">
        <v>1477771.2</v>
      </c>
      <c r="P663" s="257">
        <v>1477771.2</v>
      </c>
    </row>
    <row r="664" spans="1:16" hidden="1" x14ac:dyDescent="0.25">
      <c r="A664" s="143" t="s">
        <v>716</v>
      </c>
      <c r="B664" s="143" t="s">
        <v>90</v>
      </c>
      <c r="C664" s="143" t="s">
        <v>91</v>
      </c>
      <c r="D664" s="143" t="s">
        <v>69</v>
      </c>
      <c r="E664" s="257">
        <v>20841515</v>
      </c>
      <c r="F664" s="257">
        <v>20710893</v>
      </c>
      <c r="G664" s="257">
        <v>20710893</v>
      </c>
      <c r="H664" s="257">
        <v>0</v>
      </c>
      <c r="I664" s="257">
        <v>4167761</v>
      </c>
      <c r="J664" s="257">
        <v>0</v>
      </c>
      <c r="K664" s="257">
        <v>16412370</v>
      </c>
      <c r="L664" s="257"/>
      <c r="M664" s="257">
        <v>16412370</v>
      </c>
      <c r="N664" s="257"/>
      <c r="O664" s="257">
        <v>130762</v>
      </c>
      <c r="P664" s="257">
        <v>130762</v>
      </c>
    </row>
    <row r="665" spans="1:16" hidden="1" x14ac:dyDescent="0.25">
      <c r="A665" s="143" t="s">
        <v>716</v>
      </c>
      <c r="B665" s="143" t="s">
        <v>426</v>
      </c>
      <c r="C665" s="143" t="s">
        <v>697</v>
      </c>
      <c r="D665" s="143" t="s">
        <v>69</v>
      </c>
      <c r="E665" s="257">
        <v>19772804</v>
      </c>
      <c r="F665" s="257">
        <v>19648880</v>
      </c>
      <c r="G665" s="257">
        <v>19648880</v>
      </c>
      <c r="H665" s="257">
        <v>0</v>
      </c>
      <c r="I665" s="257">
        <v>3954113</v>
      </c>
      <c r="J665" s="257">
        <v>0</v>
      </c>
      <c r="K665" s="257">
        <v>15570711</v>
      </c>
      <c r="L665" s="257"/>
      <c r="M665" s="257">
        <v>15570711</v>
      </c>
      <c r="N665" s="257"/>
      <c r="O665" s="257">
        <v>124056</v>
      </c>
      <c r="P665" s="257">
        <v>124056</v>
      </c>
    </row>
    <row r="666" spans="1:16" hidden="1" x14ac:dyDescent="0.25">
      <c r="A666" s="143" t="s">
        <v>716</v>
      </c>
      <c r="B666" s="143" t="s">
        <v>443</v>
      </c>
      <c r="C666" s="143" t="s">
        <v>95</v>
      </c>
      <c r="D666" s="143" t="s">
        <v>69</v>
      </c>
      <c r="E666" s="257">
        <v>1068711</v>
      </c>
      <c r="F666" s="257">
        <v>1062013</v>
      </c>
      <c r="G666" s="257">
        <v>1062013</v>
      </c>
      <c r="H666" s="257">
        <v>0</v>
      </c>
      <c r="I666" s="257">
        <v>213648</v>
      </c>
      <c r="J666" s="257">
        <v>0</v>
      </c>
      <c r="K666" s="257">
        <v>841659</v>
      </c>
      <c r="L666" s="257"/>
      <c r="M666" s="257">
        <v>841659</v>
      </c>
      <c r="N666" s="257"/>
      <c r="O666" s="257">
        <v>6706</v>
      </c>
      <c r="P666" s="257">
        <v>6706</v>
      </c>
    </row>
    <row r="667" spans="1:16" hidden="1" x14ac:dyDescent="0.25">
      <c r="A667" s="143" t="s">
        <v>716</v>
      </c>
      <c r="B667" s="143" t="s">
        <v>96</v>
      </c>
      <c r="C667" s="143" t="s">
        <v>97</v>
      </c>
      <c r="D667" s="143" t="s">
        <v>69</v>
      </c>
      <c r="E667" s="257">
        <v>20841515</v>
      </c>
      <c r="F667" s="257">
        <v>20710894</v>
      </c>
      <c r="G667" s="257">
        <v>20110894</v>
      </c>
      <c r="H667" s="257">
        <v>0</v>
      </c>
      <c r="I667" s="257">
        <v>3594586</v>
      </c>
      <c r="J667" s="257">
        <v>0</v>
      </c>
      <c r="K667" s="257">
        <v>16385545</v>
      </c>
      <c r="L667" s="257"/>
      <c r="M667" s="257">
        <v>16385545</v>
      </c>
      <c r="N667" s="257"/>
      <c r="O667" s="257">
        <v>730763</v>
      </c>
      <c r="P667" s="257">
        <v>130763</v>
      </c>
    </row>
    <row r="668" spans="1:16" hidden="1" x14ac:dyDescent="0.25">
      <c r="A668" s="143" t="s">
        <v>716</v>
      </c>
      <c r="B668" s="143" t="s">
        <v>461</v>
      </c>
      <c r="C668" s="143" t="s">
        <v>698</v>
      </c>
      <c r="D668" s="143" t="s">
        <v>69</v>
      </c>
      <c r="E668" s="257">
        <v>11222416</v>
      </c>
      <c r="F668" s="257">
        <v>11152081</v>
      </c>
      <c r="G668" s="257">
        <v>11152081</v>
      </c>
      <c r="H668" s="257">
        <v>0</v>
      </c>
      <c r="I668" s="257">
        <v>2271066</v>
      </c>
      <c r="J668" s="257">
        <v>0</v>
      </c>
      <c r="K668" s="257">
        <v>8810605</v>
      </c>
      <c r="L668" s="257"/>
      <c r="M668" s="257">
        <v>8810605</v>
      </c>
      <c r="N668" s="257"/>
      <c r="O668" s="257">
        <v>70410</v>
      </c>
      <c r="P668" s="257">
        <v>70410</v>
      </c>
    </row>
    <row r="669" spans="1:16" hidden="1" x14ac:dyDescent="0.25">
      <c r="A669" s="143" t="s">
        <v>716</v>
      </c>
      <c r="B669" s="143" t="s">
        <v>478</v>
      </c>
      <c r="C669" s="143" t="s">
        <v>699</v>
      </c>
      <c r="D669" s="143" t="s">
        <v>69</v>
      </c>
      <c r="E669" s="257">
        <v>3206333</v>
      </c>
      <c r="F669" s="257">
        <v>3186238</v>
      </c>
      <c r="G669" s="257">
        <v>3186238</v>
      </c>
      <c r="H669" s="257">
        <v>0</v>
      </c>
      <c r="I669" s="257">
        <v>414895</v>
      </c>
      <c r="J669" s="257">
        <v>0</v>
      </c>
      <c r="K669" s="257">
        <v>2751225</v>
      </c>
      <c r="L669" s="257"/>
      <c r="M669" s="257">
        <v>2751225</v>
      </c>
      <c r="N669" s="257"/>
      <c r="O669" s="257">
        <v>20118</v>
      </c>
      <c r="P669" s="257">
        <v>20118</v>
      </c>
    </row>
    <row r="670" spans="1:16" hidden="1" x14ac:dyDescent="0.25">
      <c r="A670" s="143" t="s">
        <v>716</v>
      </c>
      <c r="B670" s="143" t="s">
        <v>495</v>
      </c>
      <c r="C670" s="143" t="s">
        <v>700</v>
      </c>
      <c r="D670" s="143" t="s">
        <v>69</v>
      </c>
      <c r="E670" s="257">
        <v>6412766</v>
      </c>
      <c r="F670" s="257">
        <v>6372575</v>
      </c>
      <c r="G670" s="257">
        <v>5772575</v>
      </c>
      <c r="H670" s="257">
        <v>0</v>
      </c>
      <c r="I670" s="257">
        <v>908625</v>
      </c>
      <c r="J670" s="257">
        <v>0</v>
      </c>
      <c r="K670" s="257">
        <v>4823715</v>
      </c>
      <c r="L670" s="257"/>
      <c r="M670" s="257">
        <v>4823715</v>
      </c>
      <c r="N670" s="257"/>
      <c r="O670" s="257">
        <v>640235</v>
      </c>
      <c r="P670" s="257">
        <v>40235</v>
      </c>
    </row>
    <row r="671" spans="1:16" hidden="1" x14ac:dyDescent="0.25">
      <c r="A671" s="143" t="s">
        <v>716</v>
      </c>
      <c r="B671" s="143" t="s">
        <v>104</v>
      </c>
      <c r="C671" s="143" t="s">
        <v>105</v>
      </c>
      <c r="D671" s="143" t="s">
        <v>69</v>
      </c>
      <c r="E671" s="257">
        <v>6929448400</v>
      </c>
      <c r="F671" s="257">
        <v>6685003400</v>
      </c>
      <c r="G671" s="257">
        <v>6685003400</v>
      </c>
      <c r="H671" s="257">
        <v>0</v>
      </c>
      <c r="I671" s="257">
        <v>1284227.19</v>
      </c>
      <c r="J671" s="257">
        <v>0</v>
      </c>
      <c r="K671" s="257">
        <v>4523521016.75</v>
      </c>
      <c r="L671" s="257"/>
      <c r="M671" s="257">
        <v>4135325308.0900002</v>
      </c>
      <c r="N671" s="257"/>
      <c r="O671" s="257">
        <v>2160198156.0599999</v>
      </c>
      <c r="P671" s="257">
        <v>2160198156.0599999</v>
      </c>
    </row>
    <row r="672" spans="1:16" hidden="1" x14ac:dyDescent="0.25">
      <c r="A672" s="143" t="s">
        <v>716</v>
      </c>
      <c r="B672" s="143" t="s">
        <v>106</v>
      </c>
      <c r="C672" s="143" t="s">
        <v>107</v>
      </c>
      <c r="D672" s="143" t="s">
        <v>69</v>
      </c>
      <c r="E672" s="257">
        <v>6927908871</v>
      </c>
      <c r="F672" s="257">
        <v>6677908871</v>
      </c>
      <c r="G672" s="257">
        <v>6677908871</v>
      </c>
      <c r="H672" s="257">
        <v>0</v>
      </c>
      <c r="I672" s="257">
        <v>0</v>
      </c>
      <c r="J672" s="257">
        <v>0</v>
      </c>
      <c r="K672" s="257">
        <v>4520010488.0200005</v>
      </c>
      <c r="L672" s="257"/>
      <c r="M672" s="257">
        <v>4131814779.3600001</v>
      </c>
      <c r="N672" s="257"/>
      <c r="O672" s="257">
        <v>2157898382.98</v>
      </c>
      <c r="P672" s="257">
        <v>2157898382.98</v>
      </c>
    </row>
    <row r="673" spans="1:16" hidden="1" x14ac:dyDescent="0.25">
      <c r="A673" s="143" t="s">
        <v>716</v>
      </c>
      <c r="B673" s="143" t="s">
        <v>110</v>
      </c>
      <c r="C673" s="143" t="s">
        <v>111</v>
      </c>
      <c r="D673" s="143" t="s">
        <v>69</v>
      </c>
      <c r="E673" s="257">
        <v>6927908871</v>
      </c>
      <c r="F673" s="257">
        <v>6677908871</v>
      </c>
      <c r="G673" s="257">
        <v>6677908871</v>
      </c>
      <c r="H673" s="257">
        <v>0</v>
      </c>
      <c r="I673" s="257">
        <v>0</v>
      </c>
      <c r="J673" s="257">
        <v>0</v>
      </c>
      <c r="K673" s="257">
        <v>4520010488.0200005</v>
      </c>
      <c r="L673" s="257"/>
      <c r="M673" s="257">
        <v>4131814779.3600001</v>
      </c>
      <c r="N673" s="257"/>
      <c r="O673" s="257">
        <v>2157898382.98</v>
      </c>
      <c r="P673" s="257">
        <v>2157898382.98</v>
      </c>
    </row>
    <row r="674" spans="1:16" hidden="1" x14ac:dyDescent="0.25">
      <c r="A674" s="143" t="s">
        <v>716</v>
      </c>
      <c r="B674" s="143" t="s">
        <v>112</v>
      </c>
      <c r="C674" s="143" t="s">
        <v>113</v>
      </c>
      <c r="D674" s="143" t="s">
        <v>69</v>
      </c>
      <c r="E674" s="257">
        <v>1539529</v>
      </c>
      <c r="F674" s="257">
        <v>1539529</v>
      </c>
      <c r="G674" s="257">
        <v>1539529</v>
      </c>
      <c r="H674" s="257">
        <v>0</v>
      </c>
      <c r="I674" s="257">
        <v>904482.54</v>
      </c>
      <c r="J674" s="257">
        <v>0</v>
      </c>
      <c r="K674" s="257">
        <v>635046.46</v>
      </c>
      <c r="L674" s="257"/>
      <c r="M674" s="257">
        <v>635046.46</v>
      </c>
      <c r="N674" s="257"/>
      <c r="O674" s="257">
        <v>0</v>
      </c>
      <c r="P674" s="257">
        <v>0</v>
      </c>
    </row>
    <row r="675" spans="1:16" hidden="1" x14ac:dyDescent="0.25">
      <c r="A675" s="143" t="s">
        <v>716</v>
      </c>
      <c r="B675" s="143" t="s">
        <v>120</v>
      </c>
      <c r="C675" s="143" t="s">
        <v>121</v>
      </c>
      <c r="D675" s="143" t="s">
        <v>69</v>
      </c>
      <c r="E675" s="257">
        <v>1539529</v>
      </c>
      <c r="F675" s="257">
        <v>1539529</v>
      </c>
      <c r="G675" s="257">
        <v>1539529</v>
      </c>
      <c r="H675" s="257">
        <v>0</v>
      </c>
      <c r="I675" s="257">
        <v>904482.54</v>
      </c>
      <c r="J675" s="257">
        <v>0</v>
      </c>
      <c r="K675" s="257">
        <v>635046.46</v>
      </c>
      <c r="L675" s="257"/>
      <c r="M675" s="257">
        <v>635046.46</v>
      </c>
      <c r="N675" s="257"/>
      <c r="O675" s="257">
        <v>0</v>
      </c>
      <c r="P675" s="257">
        <v>0</v>
      </c>
    </row>
    <row r="676" spans="1:16" hidden="1" x14ac:dyDescent="0.25">
      <c r="A676" s="143" t="s">
        <v>716</v>
      </c>
      <c r="B676" s="143" t="s">
        <v>140</v>
      </c>
      <c r="C676" s="143" t="s">
        <v>141</v>
      </c>
      <c r="D676" s="143" t="s">
        <v>69</v>
      </c>
      <c r="E676" s="257">
        <v>0</v>
      </c>
      <c r="F676" s="257">
        <v>0</v>
      </c>
      <c r="G676" s="257">
        <v>0</v>
      </c>
      <c r="H676" s="257">
        <v>0</v>
      </c>
      <c r="I676" s="257">
        <v>0</v>
      </c>
      <c r="J676" s="257">
        <v>0</v>
      </c>
      <c r="K676" s="257">
        <v>0</v>
      </c>
      <c r="L676" s="257"/>
      <c r="M676" s="257">
        <v>0</v>
      </c>
      <c r="N676" s="257"/>
      <c r="O676" s="257">
        <v>0</v>
      </c>
      <c r="P676" s="257">
        <v>0</v>
      </c>
    </row>
    <row r="677" spans="1:16" hidden="1" x14ac:dyDescent="0.25">
      <c r="A677" s="143" t="s">
        <v>716</v>
      </c>
      <c r="B677" s="143" t="s">
        <v>144</v>
      </c>
      <c r="C677" s="143" t="s">
        <v>145</v>
      </c>
      <c r="D677" s="143" t="s">
        <v>69</v>
      </c>
      <c r="E677" s="257">
        <v>0</v>
      </c>
      <c r="F677" s="257">
        <v>0</v>
      </c>
      <c r="G677" s="257">
        <v>0</v>
      </c>
      <c r="H677" s="257">
        <v>0</v>
      </c>
      <c r="I677" s="257">
        <v>0</v>
      </c>
      <c r="J677" s="257">
        <v>0</v>
      </c>
      <c r="K677" s="257">
        <v>0</v>
      </c>
      <c r="L677" s="257"/>
      <c r="M677" s="257">
        <v>0</v>
      </c>
      <c r="N677" s="257"/>
      <c r="O677" s="257">
        <v>0</v>
      </c>
      <c r="P677" s="257">
        <v>0</v>
      </c>
    </row>
    <row r="678" spans="1:16" hidden="1" x14ac:dyDescent="0.25">
      <c r="A678" s="143" t="s">
        <v>716</v>
      </c>
      <c r="B678" s="143" t="s">
        <v>178</v>
      </c>
      <c r="C678" s="143" t="s">
        <v>179</v>
      </c>
      <c r="D678" s="143" t="s">
        <v>69</v>
      </c>
      <c r="E678" s="257">
        <v>0</v>
      </c>
      <c r="F678" s="257">
        <v>5555000</v>
      </c>
      <c r="G678" s="257">
        <v>5555000</v>
      </c>
      <c r="H678" s="257">
        <v>0</v>
      </c>
      <c r="I678" s="257">
        <v>379744.65</v>
      </c>
      <c r="J678" s="257">
        <v>0</v>
      </c>
      <c r="K678" s="257">
        <v>2875482.27</v>
      </c>
      <c r="L678" s="257"/>
      <c r="M678" s="257">
        <v>2875482.27</v>
      </c>
      <c r="N678" s="257"/>
      <c r="O678" s="257">
        <v>2299773.08</v>
      </c>
      <c r="P678" s="257">
        <v>2299773.08</v>
      </c>
    </row>
    <row r="679" spans="1:16" hidden="1" x14ac:dyDescent="0.25">
      <c r="A679" s="143" t="s">
        <v>716</v>
      </c>
      <c r="B679" s="143" t="s">
        <v>180</v>
      </c>
      <c r="C679" s="143" t="s">
        <v>181</v>
      </c>
      <c r="D679" s="143" t="s">
        <v>69</v>
      </c>
      <c r="E679" s="257">
        <v>0</v>
      </c>
      <c r="F679" s="257">
        <v>5555000</v>
      </c>
      <c r="G679" s="257">
        <v>5555000</v>
      </c>
      <c r="H679" s="257">
        <v>0</v>
      </c>
      <c r="I679" s="257">
        <v>379744.65</v>
      </c>
      <c r="J679" s="257">
        <v>0</v>
      </c>
      <c r="K679" s="257">
        <v>2875482.27</v>
      </c>
      <c r="L679" s="257"/>
      <c r="M679" s="257">
        <v>2875482.27</v>
      </c>
      <c r="N679" s="257"/>
      <c r="O679" s="257">
        <v>2299773.08</v>
      </c>
      <c r="P679" s="257">
        <v>2299773.08</v>
      </c>
    </row>
    <row r="680" spans="1:16" hidden="1" x14ac:dyDescent="0.25">
      <c r="A680" s="143" t="s">
        <v>716</v>
      </c>
      <c r="B680" s="143" t="s">
        <v>248</v>
      </c>
      <c r="C680" s="143" t="s">
        <v>249</v>
      </c>
      <c r="D680" s="143" t="s">
        <v>69</v>
      </c>
      <c r="E680" s="257">
        <v>5048260</v>
      </c>
      <c r="F680" s="257">
        <v>5026021</v>
      </c>
      <c r="G680" s="257">
        <v>5026021</v>
      </c>
      <c r="H680" s="257">
        <v>0</v>
      </c>
      <c r="I680" s="257">
        <v>736272</v>
      </c>
      <c r="J680" s="257">
        <v>0</v>
      </c>
      <c r="K680" s="257">
        <v>2953797</v>
      </c>
      <c r="L680" s="257"/>
      <c r="M680" s="257">
        <v>2953797</v>
      </c>
      <c r="N680" s="257"/>
      <c r="O680" s="257">
        <v>1335952</v>
      </c>
      <c r="P680" s="257">
        <v>1335952</v>
      </c>
    </row>
    <row r="681" spans="1:16" hidden="1" x14ac:dyDescent="0.25">
      <c r="A681" s="143" t="s">
        <v>716</v>
      </c>
      <c r="B681" s="143" t="s">
        <v>250</v>
      </c>
      <c r="C681" s="143" t="s">
        <v>251</v>
      </c>
      <c r="D681" s="143" t="s">
        <v>69</v>
      </c>
      <c r="E681" s="257">
        <v>3548260</v>
      </c>
      <c r="F681" s="257">
        <v>3526021</v>
      </c>
      <c r="G681" s="257">
        <v>3526021</v>
      </c>
      <c r="H681" s="257">
        <v>0</v>
      </c>
      <c r="I681" s="257">
        <v>736272</v>
      </c>
      <c r="J681" s="257">
        <v>0</v>
      </c>
      <c r="K681" s="257">
        <v>2767486</v>
      </c>
      <c r="L681" s="257"/>
      <c r="M681" s="257">
        <v>2767486</v>
      </c>
      <c r="N681" s="257"/>
      <c r="O681" s="257">
        <v>22263</v>
      </c>
      <c r="P681" s="257">
        <v>22263</v>
      </c>
    </row>
    <row r="682" spans="1:16" hidden="1" x14ac:dyDescent="0.25">
      <c r="A682" s="143" t="s">
        <v>716</v>
      </c>
      <c r="B682" s="143" t="s">
        <v>635</v>
      </c>
      <c r="C682" s="143" t="s">
        <v>702</v>
      </c>
      <c r="D682" s="143" t="s">
        <v>69</v>
      </c>
      <c r="E682" s="257">
        <v>3013955</v>
      </c>
      <c r="F682" s="257">
        <v>2995065</v>
      </c>
      <c r="G682" s="257">
        <v>2995065</v>
      </c>
      <c r="H682" s="257">
        <v>0</v>
      </c>
      <c r="I682" s="257">
        <v>629499</v>
      </c>
      <c r="J682" s="257">
        <v>0</v>
      </c>
      <c r="K682" s="257">
        <v>2346656</v>
      </c>
      <c r="L682" s="257"/>
      <c r="M682" s="257">
        <v>2346656</v>
      </c>
      <c r="N682" s="257"/>
      <c r="O682" s="257">
        <v>18910</v>
      </c>
      <c r="P682" s="257">
        <v>18910</v>
      </c>
    </row>
    <row r="683" spans="1:16" hidden="1" x14ac:dyDescent="0.25">
      <c r="A683" s="143" t="s">
        <v>716</v>
      </c>
      <c r="B683" s="143" t="s">
        <v>650</v>
      </c>
      <c r="C683" s="143" t="s">
        <v>703</v>
      </c>
      <c r="D683" s="143" t="s">
        <v>69</v>
      </c>
      <c r="E683" s="257">
        <v>534305</v>
      </c>
      <c r="F683" s="257">
        <v>530956</v>
      </c>
      <c r="G683" s="257">
        <v>530956</v>
      </c>
      <c r="H683" s="257">
        <v>0</v>
      </c>
      <c r="I683" s="257">
        <v>106773</v>
      </c>
      <c r="J683" s="257">
        <v>0</v>
      </c>
      <c r="K683" s="257">
        <v>420830</v>
      </c>
      <c r="L683" s="257"/>
      <c r="M683" s="257">
        <v>420830</v>
      </c>
      <c r="N683" s="257"/>
      <c r="O683" s="257">
        <v>3353</v>
      </c>
      <c r="P683" s="257">
        <v>3353</v>
      </c>
    </row>
    <row r="684" spans="1:16" hidden="1" x14ac:dyDescent="0.25">
      <c r="A684" s="143" t="s">
        <v>716</v>
      </c>
      <c r="B684" s="143" t="s">
        <v>260</v>
      </c>
      <c r="C684" s="143" t="s">
        <v>261</v>
      </c>
      <c r="D684" s="143" t="s">
        <v>69</v>
      </c>
      <c r="E684" s="257">
        <v>1500000</v>
      </c>
      <c r="F684" s="257">
        <v>1500000</v>
      </c>
      <c r="G684" s="257">
        <v>1500000</v>
      </c>
      <c r="H684" s="257">
        <v>0</v>
      </c>
      <c r="I684" s="257">
        <v>0</v>
      </c>
      <c r="J684" s="257">
        <v>0</v>
      </c>
      <c r="K684" s="257">
        <v>186311</v>
      </c>
      <c r="L684" s="257"/>
      <c r="M684" s="257">
        <v>186311</v>
      </c>
      <c r="N684" s="257"/>
      <c r="O684" s="257">
        <v>1313689</v>
      </c>
      <c r="P684" s="257">
        <v>1313689</v>
      </c>
    </row>
    <row r="685" spans="1:16" hidden="1" x14ac:dyDescent="0.25">
      <c r="A685" s="143" t="s">
        <v>716</v>
      </c>
      <c r="B685" s="143" t="s">
        <v>264</v>
      </c>
      <c r="C685" s="143" t="s">
        <v>265</v>
      </c>
      <c r="D685" s="143" t="s">
        <v>69</v>
      </c>
      <c r="E685" s="257">
        <v>1500000</v>
      </c>
      <c r="F685" s="257">
        <v>1500000</v>
      </c>
      <c r="G685" s="257">
        <v>1500000</v>
      </c>
      <c r="H685" s="257">
        <v>0</v>
      </c>
      <c r="I685" s="257">
        <v>0</v>
      </c>
      <c r="J685" s="257">
        <v>0</v>
      </c>
      <c r="K685" s="257">
        <v>186311</v>
      </c>
      <c r="L685" s="257"/>
      <c r="M685" s="257">
        <v>186311</v>
      </c>
      <c r="N685" s="257"/>
      <c r="O685" s="257">
        <v>1313689</v>
      </c>
      <c r="P685" s="257">
        <v>1313689</v>
      </c>
    </row>
    <row r="686" spans="1:16" x14ac:dyDescent="0.25">
      <c r="A686" s="44">
        <v>214790</v>
      </c>
      <c r="C686" s="44"/>
      <c r="D686" s="44" t="s">
        <v>69</v>
      </c>
      <c r="E686" s="257">
        <v>1417740073</v>
      </c>
      <c r="F686" s="50">
        <v>1265316729</v>
      </c>
      <c r="G686" s="257">
        <v>1263016729</v>
      </c>
      <c r="H686" s="50">
        <v>0</v>
      </c>
      <c r="I686" s="50">
        <v>126832563.34999999</v>
      </c>
      <c r="J686" s="50">
        <v>646953.21</v>
      </c>
      <c r="K686" s="50">
        <v>933113713.36000001</v>
      </c>
      <c r="L686" s="152">
        <f>+K686/F686</f>
        <v>0.7374546561930424</v>
      </c>
      <c r="M686" s="50">
        <v>921626560.54999995</v>
      </c>
      <c r="N686" s="152">
        <f>+M686/F686</f>
        <v>0.72837617604121629</v>
      </c>
      <c r="O686" s="50">
        <v>204723499.08000001</v>
      </c>
      <c r="P686" s="152">
        <f>+O686/F686</f>
        <v>0.1617962478389077</v>
      </c>
    </row>
    <row r="687" spans="1:16" hidden="1" x14ac:dyDescent="0.25">
      <c r="A687" s="143" t="s">
        <v>717</v>
      </c>
      <c r="B687" s="143" t="s">
        <v>71</v>
      </c>
      <c r="C687" s="143" t="s">
        <v>72</v>
      </c>
      <c r="D687" s="143" t="s">
        <v>69</v>
      </c>
      <c r="E687" s="257">
        <v>1125132721</v>
      </c>
      <c r="F687" s="257">
        <v>1090417290</v>
      </c>
      <c r="G687" s="257">
        <v>1088117290</v>
      </c>
      <c r="H687" s="257">
        <v>0</v>
      </c>
      <c r="I687" s="257">
        <v>89987131.219999999</v>
      </c>
      <c r="J687" s="257">
        <v>0</v>
      </c>
      <c r="K687" s="257">
        <v>851298582.63</v>
      </c>
      <c r="L687" s="257"/>
      <c r="M687" s="257">
        <v>851298582.63</v>
      </c>
      <c r="N687" s="257"/>
      <c r="O687" s="257">
        <v>149131576.15000001</v>
      </c>
      <c r="P687" s="257">
        <v>146831576.15000001</v>
      </c>
    </row>
    <row r="688" spans="1:16" hidden="1" x14ac:dyDescent="0.25">
      <c r="A688" s="143" t="s">
        <v>717</v>
      </c>
      <c r="B688" s="143" t="s">
        <v>73</v>
      </c>
      <c r="C688" s="143" t="s">
        <v>74</v>
      </c>
      <c r="D688" s="143" t="s">
        <v>69</v>
      </c>
      <c r="E688" s="257">
        <v>456307400</v>
      </c>
      <c r="F688" s="257">
        <v>438060200</v>
      </c>
      <c r="G688" s="257">
        <v>438060200</v>
      </c>
      <c r="H688" s="257">
        <v>0</v>
      </c>
      <c r="I688" s="257">
        <v>0</v>
      </c>
      <c r="J688" s="257">
        <v>0</v>
      </c>
      <c r="K688" s="257">
        <v>375784866.38999999</v>
      </c>
      <c r="L688" s="257"/>
      <c r="M688" s="257">
        <v>375784866.38999999</v>
      </c>
      <c r="N688" s="257"/>
      <c r="O688" s="257">
        <v>62275333.609999999</v>
      </c>
      <c r="P688" s="257">
        <v>62275333.609999999</v>
      </c>
    </row>
    <row r="689" spans="1:16" hidden="1" x14ac:dyDescent="0.25">
      <c r="A689" s="143" t="s">
        <v>717</v>
      </c>
      <c r="B689" s="143" t="s">
        <v>75</v>
      </c>
      <c r="C689" s="143" t="s">
        <v>76</v>
      </c>
      <c r="D689" s="143" t="s">
        <v>69</v>
      </c>
      <c r="E689" s="257">
        <v>456307400</v>
      </c>
      <c r="F689" s="257">
        <v>438060200</v>
      </c>
      <c r="G689" s="257">
        <v>438060200</v>
      </c>
      <c r="H689" s="257">
        <v>0</v>
      </c>
      <c r="I689" s="257">
        <v>0</v>
      </c>
      <c r="J689" s="257">
        <v>0</v>
      </c>
      <c r="K689" s="257">
        <v>375784866.38999999</v>
      </c>
      <c r="L689" s="257"/>
      <c r="M689" s="257">
        <v>375784866.38999999</v>
      </c>
      <c r="N689" s="257"/>
      <c r="O689" s="257">
        <v>62275333.609999999</v>
      </c>
      <c r="P689" s="257">
        <v>62275333.609999999</v>
      </c>
    </row>
    <row r="690" spans="1:16" hidden="1" x14ac:dyDescent="0.25">
      <c r="A690" s="143" t="s">
        <v>717</v>
      </c>
      <c r="B690" s="143" t="s">
        <v>77</v>
      </c>
      <c r="C690" s="143" t="s">
        <v>78</v>
      </c>
      <c r="D690" s="143" t="s">
        <v>69</v>
      </c>
      <c r="E690" s="257">
        <v>497190642</v>
      </c>
      <c r="F690" s="257">
        <v>487056431</v>
      </c>
      <c r="G690" s="257">
        <v>487056431</v>
      </c>
      <c r="H690" s="257">
        <v>0</v>
      </c>
      <c r="I690" s="257">
        <v>65481088.219999999</v>
      </c>
      <c r="J690" s="257">
        <v>0</v>
      </c>
      <c r="K690" s="257">
        <v>337019100.24000001</v>
      </c>
      <c r="L690" s="257"/>
      <c r="M690" s="257">
        <v>337019100.24000001</v>
      </c>
      <c r="N690" s="257"/>
      <c r="O690" s="257">
        <v>84556242.540000007</v>
      </c>
      <c r="P690" s="257">
        <v>84556242.540000007</v>
      </c>
    </row>
    <row r="691" spans="1:16" hidden="1" x14ac:dyDescent="0.25">
      <c r="A691" s="143" t="s">
        <v>717</v>
      </c>
      <c r="B691" s="143" t="s">
        <v>79</v>
      </c>
      <c r="C691" s="143" t="s">
        <v>80</v>
      </c>
      <c r="D691" s="143" t="s">
        <v>69</v>
      </c>
      <c r="E691" s="257">
        <v>91313600</v>
      </c>
      <c r="F691" s="257">
        <v>91313600</v>
      </c>
      <c r="G691" s="257">
        <v>91313600</v>
      </c>
      <c r="H691" s="257">
        <v>0</v>
      </c>
      <c r="I691" s="257">
        <v>0</v>
      </c>
      <c r="J691" s="257">
        <v>0</v>
      </c>
      <c r="K691" s="257">
        <v>78691814.590000004</v>
      </c>
      <c r="L691" s="257"/>
      <c r="M691" s="257">
        <v>78691814.590000004</v>
      </c>
      <c r="N691" s="257"/>
      <c r="O691" s="257">
        <v>12621785.41</v>
      </c>
      <c r="P691" s="257">
        <v>12621785.41</v>
      </c>
    </row>
    <row r="692" spans="1:16" hidden="1" x14ac:dyDescent="0.25">
      <c r="A692" s="143" t="s">
        <v>717</v>
      </c>
      <c r="B692" s="143" t="s">
        <v>81</v>
      </c>
      <c r="C692" s="143" t="s">
        <v>82</v>
      </c>
      <c r="D692" s="143" t="s">
        <v>69</v>
      </c>
      <c r="E692" s="257">
        <v>214869984</v>
      </c>
      <c r="F692" s="257">
        <v>208123437</v>
      </c>
      <c r="G692" s="257">
        <v>208123437</v>
      </c>
      <c r="H692" s="257">
        <v>0</v>
      </c>
      <c r="I692" s="257">
        <v>0</v>
      </c>
      <c r="J692" s="257">
        <v>0</v>
      </c>
      <c r="K692" s="257">
        <v>170832427.15000001</v>
      </c>
      <c r="L692" s="257"/>
      <c r="M692" s="257">
        <v>170832427.15000001</v>
      </c>
      <c r="N692" s="257"/>
      <c r="O692" s="257">
        <v>37291009.850000001</v>
      </c>
      <c r="P692" s="257">
        <v>37291009.850000001</v>
      </c>
    </row>
    <row r="693" spans="1:16" hidden="1" x14ac:dyDescent="0.25">
      <c r="A693" s="143" t="s">
        <v>717</v>
      </c>
      <c r="B693" s="143" t="s">
        <v>86</v>
      </c>
      <c r="C693" s="143" t="s">
        <v>87</v>
      </c>
      <c r="D693" s="143" t="s">
        <v>69</v>
      </c>
      <c r="E693" s="257">
        <v>67452900</v>
      </c>
      <c r="F693" s="257">
        <v>67452900</v>
      </c>
      <c r="G693" s="257">
        <v>67452900</v>
      </c>
      <c r="H693" s="257">
        <v>0</v>
      </c>
      <c r="I693" s="257">
        <v>0</v>
      </c>
      <c r="J693" s="257">
        <v>0</v>
      </c>
      <c r="K693" s="257">
        <v>49771766.130000003</v>
      </c>
      <c r="L693" s="257"/>
      <c r="M693" s="257">
        <v>49771766.130000003</v>
      </c>
      <c r="N693" s="257"/>
      <c r="O693" s="257">
        <v>17681133.870000001</v>
      </c>
      <c r="P693" s="257">
        <v>17681133.870000001</v>
      </c>
    </row>
    <row r="694" spans="1:16" hidden="1" x14ac:dyDescent="0.25">
      <c r="A694" s="143" t="s">
        <v>717</v>
      </c>
      <c r="B694" s="143" t="s">
        <v>88</v>
      </c>
      <c r="C694" s="143" t="s">
        <v>89</v>
      </c>
      <c r="D694" s="143" t="s">
        <v>69</v>
      </c>
      <c r="E694" s="257">
        <v>50235300</v>
      </c>
      <c r="F694" s="257">
        <v>49553400</v>
      </c>
      <c r="G694" s="257">
        <v>49553400</v>
      </c>
      <c r="H694" s="257">
        <v>0</v>
      </c>
      <c r="I694" s="257">
        <v>0</v>
      </c>
      <c r="J694" s="257">
        <v>0</v>
      </c>
      <c r="K694" s="257">
        <v>37688645.270000003</v>
      </c>
      <c r="L694" s="257"/>
      <c r="M694" s="257">
        <v>37688645.270000003</v>
      </c>
      <c r="N694" s="257"/>
      <c r="O694" s="257">
        <v>11864754.73</v>
      </c>
      <c r="P694" s="257">
        <v>11864754.73</v>
      </c>
    </row>
    <row r="695" spans="1:16" hidden="1" x14ac:dyDescent="0.25">
      <c r="A695" s="143" t="s">
        <v>717</v>
      </c>
      <c r="B695" s="143" t="s">
        <v>83</v>
      </c>
      <c r="C695" s="143" t="s">
        <v>84</v>
      </c>
      <c r="D695" s="143" t="s">
        <v>85</v>
      </c>
      <c r="E695" s="257">
        <v>73318858</v>
      </c>
      <c r="F695" s="257">
        <v>70613094</v>
      </c>
      <c r="G695" s="257">
        <v>70613094</v>
      </c>
      <c r="H695" s="257">
        <v>0</v>
      </c>
      <c r="I695" s="257">
        <v>65481088.219999999</v>
      </c>
      <c r="J695" s="257">
        <v>0</v>
      </c>
      <c r="K695" s="257">
        <v>34447.1</v>
      </c>
      <c r="L695" s="257"/>
      <c r="M695" s="257">
        <v>34447.1</v>
      </c>
      <c r="N695" s="257"/>
      <c r="O695" s="257">
        <v>5097558.68</v>
      </c>
      <c r="P695" s="257">
        <v>5097558.68</v>
      </c>
    </row>
    <row r="696" spans="1:16" hidden="1" x14ac:dyDescent="0.25">
      <c r="A696" s="143" t="s">
        <v>717</v>
      </c>
      <c r="B696" s="143" t="s">
        <v>90</v>
      </c>
      <c r="C696" s="143" t="s">
        <v>91</v>
      </c>
      <c r="D696" s="143" t="s">
        <v>69</v>
      </c>
      <c r="E696" s="257">
        <v>85817390</v>
      </c>
      <c r="F696" s="257">
        <v>82650379</v>
      </c>
      <c r="G696" s="257">
        <v>82650379</v>
      </c>
      <c r="H696" s="257">
        <v>0</v>
      </c>
      <c r="I696" s="257">
        <v>13310607</v>
      </c>
      <c r="J696" s="257">
        <v>0</v>
      </c>
      <c r="K696" s="257">
        <v>69339772</v>
      </c>
      <c r="L696" s="257"/>
      <c r="M696" s="257">
        <v>69339772</v>
      </c>
      <c r="N696" s="257"/>
      <c r="O696" s="257">
        <v>0</v>
      </c>
      <c r="P696" s="257">
        <v>0</v>
      </c>
    </row>
    <row r="697" spans="1:16" hidden="1" x14ac:dyDescent="0.25">
      <c r="A697" s="143" t="s">
        <v>717</v>
      </c>
      <c r="B697" s="143" t="s">
        <v>427</v>
      </c>
      <c r="C697" s="143" t="s">
        <v>697</v>
      </c>
      <c r="D697" s="143" t="s">
        <v>69</v>
      </c>
      <c r="E697" s="257">
        <v>81416555</v>
      </c>
      <c r="F697" s="257">
        <v>78411955</v>
      </c>
      <c r="G697" s="257">
        <v>78411955</v>
      </c>
      <c r="H697" s="257">
        <v>0</v>
      </c>
      <c r="I697" s="257">
        <v>12628097</v>
      </c>
      <c r="J697" s="257">
        <v>0</v>
      </c>
      <c r="K697" s="257">
        <v>65783858</v>
      </c>
      <c r="L697" s="257"/>
      <c r="M697" s="257">
        <v>65783858</v>
      </c>
      <c r="N697" s="257"/>
      <c r="O697" s="257">
        <v>0</v>
      </c>
      <c r="P697" s="257">
        <v>0</v>
      </c>
    </row>
    <row r="698" spans="1:16" hidden="1" x14ac:dyDescent="0.25">
      <c r="A698" s="143" t="s">
        <v>717</v>
      </c>
      <c r="B698" s="143" t="s">
        <v>444</v>
      </c>
      <c r="C698" s="143" t="s">
        <v>95</v>
      </c>
      <c r="D698" s="143" t="s">
        <v>69</v>
      </c>
      <c r="E698" s="257">
        <v>4400835</v>
      </c>
      <c r="F698" s="257">
        <v>4238424</v>
      </c>
      <c r="G698" s="257">
        <v>4238424</v>
      </c>
      <c r="H698" s="257">
        <v>0</v>
      </c>
      <c r="I698" s="257">
        <v>682510</v>
      </c>
      <c r="J698" s="257">
        <v>0</v>
      </c>
      <c r="K698" s="257">
        <v>3555914</v>
      </c>
      <c r="L698" s="257"/>
      <c r="M698" s="257">
        <v>3555914</v>
      </c>
      <c r="N698" s="257"/>
      <c r="O698" s="257">
        <v>0</v>
      </c>
      <c r="P698" s="257">
        <v>0</v>
      </c>
    </row>
    <row r="699" spans="1:16" hidden="1" x14ac:dyDescent="0.25">
      <c r="A699" s="143" t="s">
        <v>717</v>
      </c>
      <c r="B699" s="143" t="s">
        <v>96</v>
      </c>
      <c r="C699" s="143" t="s">
        <v>97</v>
      </c>
      <c r="D699" s="143" t="s">
        <v>69</v>
      </c>
      <c r="E699" s="257">
        <v>85817289</v>
      </c>
      <c r="F699" s="257">
        <v>82650280</v>
      </c>
      <c r="G699" s="257">
        <v>80350280</v>
      </c>
      <c r="H699" s="257">
        <v>0</v>
      </c>
      <c r="I699" s="257">
        <v>11195436</v>
      </c>
      <c r="J699" s="257">
        <v>0</v>
      </c>
      <c r="K699" s="257">
        <v>69154844</v>
      </c>
      <c r="L699" s="257"/>
      <c r="M699" s="257">
        <v>69154844</v>
      </c>
      <c r="N699" s="257"/>
      <c r="O699" s="257">
        <v>2300000</v>
      </c>
      <c r="P699" s="257">
        <v>0</v>
      </c>
    </row>
    <row r="700" spans="1:16" hidden="1" x14ac:dyDescent="0.25">
      <c r="A700" s="143" t="s">
        <v>717</v>
      </c>
      <c r="B700" s="143" t="s">
        <v>462</v>
      </c>
      <c r="C700" s="143" t="s">
        <v>698</v>
      </c>
      <c r="D700" s="143" t="s">
        <v>69</v>
      </c>
      <c r="E700" s="257">
        <v>46209371</v>
      </c>
      <c r="F700" s="257">
        <v>44504058</v>
      </c>
      <c r="G700" s="257">
        <v>44504058</v>
      </c>
      <c r="H700" s="257">
        <v>0</v>
      </c>
      <c r="I700" s="257">
        <v>7352150</v>
      </c>
      <c r="J700" s="257">
        <v>0</v>
      </c>
      <c r="K700" s="257">
        <v>37151908</v>
      </c>
      <c r="L700" s="257"/>
      <c r="M700" s="257">
        <v>37151908</v>
      </c>
      <c r="N700" s="257"/>
      <c r="O700" s="257">
        <v>0</v>
      </c>
      <c r="P700" s="257">
        <v>0</v>
      </c>
    </row>
    <row r="701" spans="1:16" hidden="1" x14ac:dyDescent="0.25">
      <c r="A701" s="143" t="s">
        <v>717</v>
      </c>
      <c r="B701" s="143" t="s">
        <v>479</v>
      </c>
      <c r="C701" s="143" t="s">
        <v>699</v>
      </c>
      <c r="D701" s="143" t="s">
        <v>69</v>
      </c>
      <c r="E701" s="257">
        <v>13202606</v>
      </c>
      <c r="F701" s="257">
        <v>12715374</v>
      </c>
      <c r="G701" s="257">
        <v>12715374</v>
      </c>
      <c r="H701" s="257">
        <v>0</v>
      </c>
      <c r="I701" s="257">
        <v>1141482</v>
      </c>
      <c r="J701" s="257">
        <v>0</v>
      </c>
      <c r="K701" s="257">
        <v>11573892</v>
      </c>
      <c r="L701" s="257"/>
      <c r="M701" s="257">
        <v>11573892</v>
      </c>
      <c r="N701" s="257"/>
      <c r="O701" s="257">
        <v>0</v>
      </c>
      <c r="P701" s="257">
        <v>0</v>
      </c>
    </row>
    <row r="702" spans="1:16" hidden="1" x14ac:dyDescent="0.25">
      <c r="A702" s="143" t="s">
        <v>717</v>
      </c>
      <c r="B702" s="143" t="s">
        <v>496</v>
      </c>
      <c r="C702" s="143" t="s">
        <v>700</v>
      </c>
      <c r="D702" s="143" t="s">
        <v>69</v>
      </c>
      <c r="E702" s="257">
        <v>26405312</v>
      </c>
      <c r="F702" s="257">
        <v>25430848</v>
      </c>
      <c r="G702" s="257">
        <v>23130848</v>
      </c>
      <c r="H702" s="257">
        <v>0</v>
      </c>
      <c r="I702" s="257">
        <v>2701804</v>
      </c>
      <c r="J702" s="257">
        <v>0</v>
      </c>
      <c r="K702" s="257">
        <v>20429044</v>
      </c>
      <c r="L702" s="257"/>
      <c r="M702" s="257">
        <v>20429044</v>
      </c>
      <c r="N702" s="257"/>
      <c r="O702" s="257">
        <v>2300000</v>
      </c>
      <c r="P702" s="257">
        <v>0</v>
      </c>
    </row>
    <row r="703" spans="1:16" hidden="1" x14ac:dyDescent="0.25">
      <c r="A703" s="143" t="s">
        <v>717</v>
      </c>
      <c r="B703" s="143" t="s">
        <v>104</v>
      </c>
      <c r="C703" s="143" t="s">
        <v>105</v>
      </c>
      <c r="D703" s="143" t="s">
        <v>69</v>
      </c>
      <c r="E703" s="257">
        <v>143937951</v>
      </c>
      <c r="F703" s="257">
        <v>91784695</v>
      </c>
      <c r="G703" s="257">
        <v>91784695</v>
      </c>
      <c r="H703" s="257">
        <v>0</v>
      </c>
      <c r="I703" s="257">
        <v>21687683.34</v>
      </c>
      <c r="J703" s="257">
        <v>43640.11</v>
      </c>
      <c r="K703" s="257">
        <v>42852279.740000002</v>
      </c>
      <c r="L703" s="257"/>
      <c r="M703" s="257">
        <v>38563862.130000003</v>
      </c>
      <c r="N703" s="257"/>
      <c r="O703" s="257">
        <v>27201091.809999999</v>
      </c>
      <c r="P703" s="257">
        <v>27201091.809999999</v>
      </c>
    </row>
    <row r="704" spans="1:16" hidden="1" x14ac:dyDescent="0.25">
      <c r="A704" s="143" t="s">
        <v>717</v>
      </c>
      <c r="B704" s="143" t="s">
        <v>106</v>
      </c>
      <c r="C704" s="143" t="s">
        <v>107</v>
      </c>
      <c r="D704" s="143" t="s">
        <v>69</v>
      </c>
      <c r="E704" s="257">
        <v>60469231</v>
      </c>
      <c r="F704" s="257">
        <v>50315823</v>
      </c>
      <c r="G704" s="257">
        <v>50315823</v>
      </c>
      <c r="H704" s="257">
        <v>0</v>
      </c>
      <c r="I704" s="257">
        <v>9925573.7699999996</v>
      </c>
      <c r="J704" s="257">
        <v>43640.11</v>
      </c>
      <c r="K704" s="257">
        <v>25408530.82</v>
      </c>
      <c r="L704" s="257"/>
      <c r="M704" s="257">
        <v>21879397.489999998</v>
      </c>
      <c r="N704" s="257"/>
      <c r="O704" s="257">
        <v>14938078.300000001</v>
      </c>
      <c r="P704" s="257">
        <v>14938078.300000001</v>
      </c>
    </row>
    <row r="705" spans="1:16" hidden="1" x14ac:dyDescent="0.25">
      <c r="A705" s="143" t="s">
        <v>717</v>
      </c>
      <c r="B705" s="143" t="s">
        <v>108</v>
      </c>
      <c r="C705" s="143" t="s">
        <v>109</v>
      </c>
      <c r="D705" s="143" t="s">
        <v>69</v>
      </c>
      <c r="E705" s="257">
        <v>60469231</v>
      </c>
      <c r="F705" s="257">
        <v>50315823</v>
      </c>
      <c r="G705" s="257">
        <v>50315823</v>
      </c>
      <c r="H705" s="257">
        <v>0</v>
      </c>
      <c r="I705" s="257">
        <v>9925573.7699999996</v>
      </c>
      <c r="J705" s="257">
        <v>43640.11</v>
      </c>
      <c r="K705" s="257">
        <v>25408530.82</v>
      </c>
      <c r="L705" s="257"/>
      <c r="M705" s="257">
        <v>21879397.489999998</v>
      </c>
      <c r="N705" s="257"/>
      <c r="O705" s="257">
        <v>14938078.300000001</v>
      </c>
      <c r="P705" s="257">
        <v>14938078.300000001</v>
      </c>
    </row>
    <row r="706" spans="1:16" hidden="1" x14ac:dyDescent="0.25">
      <c r="A706" s="143" t="s">
        <v>717</v>
      </c>
      <c r="B706" s="143" t="s">
        <v>112</v>
      </c>
      <c r="C706" s="143" t="s">
        <v>113</v>
      </c>
      <c r="D706" s="143" t="s">
        <v>69</v>
      </c>
      <c r="E706" s="257">
        <v>12862800</v>
      </c>
      <c r="F706" s="257">
        <v>13016208</v>
      </c>
      <c r="G706" s="257">
        <v>13016208</v>
      </c>
      <c r="H706" s="257">
        <v>0</v>
      </c>
      <c r="I706" s="257">
        <v>5914163.0300000003</v>
      </c>
      <c r="J706" s="257">
        <v>0</v>
      </c>
      <c r="K706" s="257">
        <v>3276340.38</v>
      </c>
      <c r="L706" s="257"/>
      <c r="M706" s="257">
        <v>3276340.38</v>
      </c>
      <c r="N706" s="257"/>
      <c r="O706" s="257">
        <v>3825704.59</v>
      </c>
      <c r="P706" s="257">
        <v>3825704.59</v>
      </c>
    </row>
    <row r="707" spans="1:16" hidden="1" x14ac:dyDescent="0.25">
      <c r="A707" s="143" t="s">
        <v>717</v>
      </c>
      <c r="B707" s="143" t="s">
        <v>114</v>
      </c>
      <c r="C707" s="143" t="s">
        <v>115</v>
      </c>
      <c r="D707" s="143" t="s">
        <v>69</v>
      </c>
      <c r="E707" s="257">
        <v>0</v>
      </c>
      <c r="F707" s="257">
        <v>153408</v>
      </c>
      <c r="G707" s="257">
        <v>153408</v>
      </c>
      <c r="H707" s="257">
        <v>0</v>
      </c>
      <c r="I707" s="257">
        <v>0</v>
      </c>
      <c r="J707" s="257">
        <v>0</v>
      </c>
      <c r="K707" s="257">
        <v>89146</v>
      </c>
      <c r="L707" s="257"/>
      <c r="M707" s="257">
        <v>89146</v>
      </c>
      <c r="N707" s="257"/>
      <c r="O707" s="257">
        <v>64262</v>
      </c>
      <c r="P707" s="257">
        <v>64262</v>
      </c>
    </row>
    <row r="708" spans="1:16" hidden="1" x14ac:dyDescent="0.25">
      <c r="A708" s="143" t="s">
        <v>717</v>
      </c>
      <c r="B708" s="143" t="s">
        <v>116</v>
      </c>
      <c r="C708" s="143" t="s">
        <v>117</v>
      </c>
      <c r="D708" s="143" t="s">
        <v>69</v>
      </c>
      <c r="E708" s="257">
        <v>500000</v>
      </c>
      <c r="F708" s="257">
        <v>500000</v>
      </c>
      <c r="G708" s="257">
        <v>500000</v>
      </c>
      <c r="H708" s="257">
        <v>0</v>
      </c>
      <c r="I708" s="257">
        <v>35385</v>
      </c>
      <c r="J708" s="257">
        <v>0</v>
      </c>
      <c r="K708" s="257">
        <v>464023.75</v>
      </c>
      <c r="L708" s="257"/>
      <c r="M708" s="257">
        <v>464023.75</v>
      </c>
      <c r="N708" s="257"/>
      <c r="O708" s="257">
        <v>591.25</v>
      </c>
      <c r="P708" s="257">
        <v>591.25</v>
      </c>
    </row>
    <row r="709" spans="1:16" hidden="1" x14ac:dyDescent="0.25">
      <c r="A709" s="143" t="s">
        <v>717</v>
      </c>
      <c r="B709" s="143" t="s">
        <v>120</v>
      </c>
      <c r="C709" s="143" t="s">
        <v>121</v>
      </c>
      <c r="D709" s="143" t="s">
        <v>69</v>
      </c>
      <c r="E709" s="257">
        <v>12362800</v>
      </c>
      <c r="F709" s="257">
        <v>12362800</v>
      </c>
      <c r="G709" s="257">
        <v>12362800</v>
      </c>
      <c r="H709" s="257">
        <v>0</v>
      </c>
      <c r="I709" s="257">
        <v>5878778.0300000003</v>
      </c>
      <c r="J709" s="257">
        <v>0</v>
      </c>
      <c r="K709" s="257">
        <v>2723170.63</v>
      </c>
      <c r="L709" s="257"/>
      <c r="M709" s="257">
        <v>2723170.63</v>
      </c>
      <c r="N709" s="257"/>
      <c r="O709" s="257">
        <v>3760851.34</v>
      </c>
      <c r="P709" s="257">
        <v>3760851.34</v>
      </c>
    </row>
    <row r="710" spans="1:16" hidden="1" x14ac:dyDescent="0.25">
      <c r="A710" s="143" t="s">
        <v>717</v>
      </c>
      <c r="B710" s="143" t="s">
        <v>124</v>
      </c>
      <c r="C710" s="143" t="s">
        <v>125</v>
      </c>
      <c r="D710" s="143" t="s">
        <v>69</v>
      </c>
      <c r="E710" s="257">
        <v>4286000</v>
      </c>
      <c r="F710" s="257">
        <v>1559050</v>
      </c>
      <c r="G710" s="257">
        <v>1559050</v>
      </c>
      <c r="H710" s="257">
        <v>0</v>
      </c>
      <c r="I710" s="257">
        <v>368570</v>
      </c>
      <c r="J710" s="257">
        <v>0</v>
      </c>
      <c r="K710" s="257">
        <v>1188511.8</v>
      </c>
      <c r="L710" s="257"/>
      <c r="M710" s="257">
        <v>1188511.8</v>
      </c>
      <c r="N710" s="257"/>
      <c r="O710" s="257">
        <v>1968.2</v>
      </c>
      <c r="P710" s="257">
        <v>1968.2</v>
      </c>
    </row>
    <row r="711" spans="1:16" hidden="1" x14ac:dyDescent="0.25">
      <c r="A711" s="143" t="s">
        <v>717</v>
      </c>
      <c r="B711" s="143" t="s">
        <v>126</v>
      </c>
      <c r="C711" s="143" t="s">
        <v>127</v>
      </c>
      <c r="D711" s="143" t="s">
        <v>69</v>
      </c>
      <c r="E711" s="257">
        <v>450000</v>
      </c>
      <c r="F711" s="257">
        <v>350000</v>
      </c>
      <c r="G711" s="257">
        <v>350000</v>
      </c>
      <c r="H711" s="257">
        <v>0</v>
      </c>
      <c r="I711" s="257">
        <v>300350</v>
      </c>
      <c r="J711" s="257">
        <v>0</v>
      </c>
      <c r="K711" s="257">
        <v>49630</v>
      </c>
      <c r="L711" s="257"/>
      <c r="M711" s="257">
        <v>49630</v>
      </c>
      <c r="N711" s="257"/>
      <c r="O711" s="257">
        <v>20</v>
      </c>
      <c r="P711" s="257">
        <v>20</v>
      </c>
    </row>
    <row r="712" spans="1:16" hidden="1" x14ac:dyDescent="0.25">
      <c r="A712" s="143" t="s">
        <v>717</v>
      </c>
      <c r="B712" s="143" t="s">
        <v>532</v>
      </c>
      <c r="C712" s="143" t="s">
        <v>718</v>
      </c>
      <c r="D712" s="143" t="s">
        <v>69</v>
      </c>
      <c r="E712" s="257">
        <v>1336000</v>
      </c>
      <c r="F712" s="257">
        <v>209050</v>
      </c>
      <c r="G712" s="257">
        <v>209050</v>
      </c>
      <c r="H712" s="257">
        <v>0</v>
      </c>
      <c r="I712" s="257">
        <v>0</v>
      </c>
      <c r="J712" s="257">
        <v>0</v>
      </c>
      <c r="K712" s="257">
        <v>209050</v>
      </c>
      <c r="L712" s="257"/>
      <c r="M712" s="257">
        <v>209050</v>
      </c>
      <c r="N712" s="257"/>
      <c r="O712" s="257">
        <v>0</v>
      </c>
      <c r="P712" s="257">
        <v>0</v>
      </c>
    </row>
    <row r="713" spans="1:16" hidden="1" x14ac:dyDescent="0.25">
      <c r="A713" s="143" t="s">
        <v>717</v>
      </c>
      <c r="B713" s="143" t="s">
        <v>128</v>
      </c>
      <c r="C713" s="143" t="s">
        <v>129</v>
      </c>
      <c r="D713" s="143" t="s">
        <v>69</v>
      </c>
      <c r="E713" s="257">
        <v>2500000</v>
      </c>
      <c r="F713" s="257">
        <v>1000000</v>
      </c>
      <c r="G713" s="257">
        <v>1000000</v>
      </c>
      <c r="H713" s="257">
        <v>0</v>
      </c>
      <c r="I713" s="257">
        <v>68220</v>
      </c>
      <c r="J713" s="257">
        <v>0</v>
      </c>
      <c r="K713" s="257">
        <v>929831.8</v>
      </c>
      <c r="L713" s="257"/>
      <c r="M713" s="257">
        <v>929831.8</v>
      </c>
      <c r="N713" s="257"/>
      <c r="O713" s="257">
        <v>1948.2</v>
      </c>
      <c r="P713" s="257">
        <v>1948.2</v>
      </c>
    </row>
    <row r="714" spans="1:16" hidden="1" x14ac:dyDescent="0.25">
      <c r="A714" s="143" t="s">
        <v>717</v>
      </c>
      <c r="B714" s="143" t="s">
        <v>134</v>
      </c>
      <c r="C714" s="143" t="s">
        <v>135</v>
      </c>
      <c r="D714" s="143" t="s">
        <v>69</v>
      </c>
      <c r="E714" s="257">
        <v>3625200</v>
      </c>
      <c r="F714" s="257">
        <v>75000</v>
      </c>
      <c r="G714" s="257">
        <v>75000</v>
      </c>
      <c r="H714" s="257">
        <v>0</v>
      </c>
      <c r="I714" s="257">
        <v>6725.9</v>
      </c>
      <c r="J714" s="257">
        <v>0</v>
      </c>
      <c r="K714" s="257">
        <v>58274.1</v>
      </c>
      <c r="L714" s="257"/>
      <c r="M714" s="257">
        <v>42346.75</v>
      </c>
      <c r="N714" s="257"/>
      <c r="O714" s="257">
        <v>10000</v>
      </c>
      <c r="P714" s="257">
        <v>10000</v>
      </c>
    </row>
    <row r="715" spans="1:16" hidden="1" x14ac:dyDescent="0.25">
      <c r="A715" s="143" t="s">
        <v>717</v>
      </c>
      <c r="B715" s="143" t="s">
        <v>138</v>
      </c>
      <c r="C715" s="143" t="s">
        <v>139</v>
      </c>
      <c r="D715" s="143" t="s">
        <v>69</v>
      </c>
      <c r="E715" s="257">
        <v>3625200</v>
      </c>
      <c r="F715" s="257">
        <v>75000</v>
      </c>
      <c r="G715" s="257">
        <v>75000</v>
      </c>
      <c r="H715" s="257">
        <v>0</v>
      </c>
      <c r="I715" s="257">
        <v>6725.9</v>
      </c>
      <c r="J715" s="257">
        <v>0</v>
      </c>
      <c r="K715" s="257">
        <v>58274.1</v>
      </c>
      <c r="L715" s="257"/>
      <c r="M715" s="257">
        <v>42346.75</v>
      </c>
      <c r="N715" s="257"/>
      <c r="O715" s="257">
        <v>10000</v>
      </c>
      <c r="P715" s="257">
        <v>10000</v>
      </c>
    </row>
    <row r="716" spans="1:16" hidden="1" x14ac:dyDescent="0.25">
      <c r="A716" s="143" t="s">
        <v>717</v>
      </c>
      <c r="B716" s="143" t="s">
        <v>140</v>
      </c>
      <c r="C716" s="143" t="s">
        <v>141</v>
      </c>
      <c r="D716" s="143" t="s">
        <v>69</v>
      </c>
      <c r="E716" s="257">
        <v>18004720</v>
      </c>
      <c r="F716" s="257">
        <v>9119755</v>
      </c>
      <c r="G716" s="257">
        <v>9119755</v>
      </c>
      <c r="H716" s="257">
        <v>0</v>
      </c>
      <c r="I716" s="257">
        <v>1010010</v>
      </c>
      <c r="J716" s="257">
        <v>0</v>
      </c>
      <c r="K716" s="257">
        <v>4402510</v>
      </c>
      <c r="L716" s="257"/>
      <c r="M716" s="257">
        <v>4402510</v>
      </c>
      <c r="N716" s="257"/>
      <c r="O716" s="257">
        <v>3707235</v>
      </c>
      <c r="P716" s="257">
        <v>3707235</v>
      </c>
    </row>
    <row r="717" spans="1:16" hidden="1" x14ac:dyDescent="0.25">
      <c r="A717" s="143" t="s">
        <v>717</v>
      </c>
      <c r="B717" s="143" t="s">
        <v>142</v>
      </c>
      <c r="C717" s="143" t="s">
        <v>143</v>
      </c>
      <c r="D717" s="143" t="s">
        <v>69</v>
      </c>
      <c r="E717" s="257">
        <v>1560220</v>
      </c>
      <c r="F717" s="257">
        <v>394680</v>
      </c>
      <c r="G717" s="257">
        <v>394680</v>
      </c>
      <c r="H717" s="257">
        <v>0</v>
      </c>
      <c r="I717" s="257">
        <v>222910</v>
      </c>
      <c r="J717" s="257">
        <v>0</v>
      </c>
      <c r="K717" s="257">
        <v>171610</v>
      </c>
      <c r="L717" s="257"/>
      <c r="M717" s="257">
        <v>171610</v>
      </c>
      <c r="N717" s="257"/>
      <c r="O717" s="257">
        <v>160</v>
      </c>
      <c r="P717" s="257">
        <v>160</v>
      </c>
    </row>
    <row r="718" spans="1:16" hidden="1" x14ac:dyDescent="0.25">
      <c r="A718" s="143" t="s">
        <v>717</v>
      </c>
      <c r="B718" s="143" t="s">
        <v>144</v>
      </c>
      <c r="C718" s="143" t="s">
        <v>145</v>
      </c>
      <c r="D718" s="143" t="s">
        <v>69</v>
      </c>
      <c r="E718" s="257">
        <v>16444500</v>
      </c>
      <c r="F718" s="257">
        <v>8725075</v>
      </c>
      <c r="G718" s="257">
        <v>8725075</v>
      </c>
      <c r="H718" s="257">
        <v>0</v>
      </c>
      <c r="I718" s="257">
        <v>787100</v>
      </c>
      <c r="J718" s="257">
        <v>0</v>
      </c>
      <c r="K718" s="257">
        <v>4230900</v>
      </c>
      <c r="L718" s="257"/>
      <c r="M718" s="257">
        <v>4230900</v>
      </c>
      <c r="N718" s="257"/>
      <c r="O718" s="257">
        <v>3707075</v>
      </c>
      <c r="P718" s="257">
        <v>3707075</v>
      </c>
    </row>
    <row r="719" spans="1:16" hidden="1" x14ac:dyDescent="0.25">
      <c r="A719" s="143" t="s">
        <v>717</v>
      </c>
      <c r="B719" s="143" t="s">
        <v>150</v>
      </c>
      <c r="C719" s="143" t="s">
        <v>151</v>
      </c>
      <c r="D719" s="143" t="s">
        <v>69</v>
      </c>
      <c r="E719" s="257">
        <v>6000000</v>
      </c>
      <c r="F719" s="257">
        <v>5900000</v>
      </c>
      <c r="G719" s="257">
        <v>5900000</v>
      </c>
      <c r="H719" s="257">
        <v>0</v>
      </c>
      <c r="I719" s="257">
        <v>692786</v>
      </c>
      <c r="J719" s="257">
        <v>0</v>
      </c>
      <c r="K719" s="257">
        <v>4707214</v>
      </c>
      <c r="L719" s="257"/>
      <c r="M719" s="257">
        <v>4707214</v>
      </c>
      <c r="N719" s="257"/>
      <c r="O719" s="257">
        <v>500000</v>
      </c>
      <c r="P719" s="257">
        <v>500000</v>
      </c>
    </row>
    <row r="720" spans="1:16" hidden="1" x14ac:dyDescent="0.25">
      <c r="A720" s="143" t="s">
        <v>717</v>
      </c>
      <c r="B720" s="143" t="s">
        <v>152</v>
      </c>
      <c r="C720" s="143" t="s">
        <v>153</v>
      </c>
      <c r="D720" s="143" t="s">
        <v>69</v>
      </c>
      <c r="E720" s="257">
        <v>6000000</v>
      </c>
      <c r="F720" s="257">
        <v>5900000</v>
      </c>
      <c r="G720" s="257">
        <v>5900000</v>
      </c>
      <c r="H720" s="257">
        <v>0</v>
      </c>
      <c r="I720" s="257">
        <v>692786</v>
      </c>
      <c r="J720" s="257">
        <v>0</v>
      </c>
      <c r="K720" s="257">
        <v>4707214</v>
      </c>
      <c r="L720" s="257"/>
      <c r="M720" s="257">
        <v>4707214</v>
      </c>
      <c r="N720" s="257"/>
      <c r="O720" s="257">
        <v>500000</v>
      </c>
      <c r="P720" s="257">
        <v>500000</v>
      </c>
    </row>
    <row r="721" spans="1:16" hidden="1" x14ac:dyDescent="0.25">
      <c r="A721" s="143" t="s">
        <v>717</v>
      </c>
      <c r="B721" s="143" t="s">
        <v>154</v>
      </c>
      <c r="C721" s="143" t="s">
        <v>155</v>
      </c>
      <c r="D721" s="143" t="s">
        <v>69</v>
      </c>
      <c r="E721" s="257">
        <v>27190000</v>
      </c>
      <c r="F721" s="257">
        <v>3418859</v>
      </c>
      <c r="G721" s="257">
        <v>3418859</v>
      </c>
      <c r="H721" s="257">
        <v>0</v>
      </c>
      <c r="I721" s="257">
        <v>0</v>
      </c>
      <c r="J721" s="257">
        <v>0</v>
      </c>
      <c r="K721" s="257">
        <v>350300</v>
      </c>
      <c r="L721" s="257"/>
      <c r="M721" s="257">
        <v>350300</v>
      </c>
      <c r="N721" s="257"/>
      <c r="O721" s="257">
        <v>3068559</v>
      </c>
      <c r="P721" s="257">
        <v>3068559</v>
      </c>
    </row>
    <row r="722" spans="1:16" hidden="1" x14ac:dyDescent="0.25">
      <c r="A722" s="143" t="s">
        <v>717</v>
      </c>
      <c r="B722" s="143" t="s">
        <v>156</v>
      </c>
      <c r="C722" s="143" t="s">
        <v>157</v>
      </c>
      <c r="D722" s="143" t="s">
        <v>69</v>
      </c>
      <c r="E722" s="257">
        <v>27190000</v>
      </c>
      <c r="F722" s="257">
        <v>3418859</v>
      </c>
      <c r="G722" s="257">
        <v>3418859</v>
      </c>
      <c r="H722" s="257">
        <v>0</v>
      </c>
      <c r="I722" s="257">
        <v>0</v>
      </c>
      <c r="J722" s="257">
        <v>0</v>
      </c>
      <c r="K722" s="257">
        <v>350300</v>
      </c>
      <c r="L722" s="257"/>
      <c r="M722" s="257">
        <v>350300</v>
      </c>
      <c r="N722" s="257"/>
      <c r="O722" s="257">
        <v>3068559</v>
      </c>
      <c r="P722" s="257">
        <v>3068559</v>
      </c>
    </row>
    <row r="723" spans="1:16" hidden="1" x14ac:dyDescent="0.25">
      <c r="A723" s="143" t="s">
        <v>717</v>
      </c>
      <c r="B723" s="143" t="s">
        <v>162</v>
      </c>
      <c r="C723" s="143" t="s">
        <v>163</v>
      </c>
      <c r="D723" s="143" t="s">
        <v>69</v>
      </c>
      <c r="E723" s="257">
        <v>9500000</v>
      </c>
      <c r="F723" s="257">
        <v>7000000</v>
      </c>
      <c r="G723" s="257">
        <v>7000000</v>
      </c>
      <c r="H723" s="257">
        <v>0</v>
      </c>
      <c r="I723" s="257">
        <v>3185939.64</v>
      </c>
      <c r="J723" s="257">
        <v>0</v>
      </c>
      <c r="K723" s="257">
        <v>3214513.64</v>
      </c>
      <c r="L723" s="257"/>
      <c r="M723" s="257">
        <v>2471156.71</v>
      </c>
      <c r="N723" s="257"/>
      <c r="O723" s="257">
        <v>599546.72</v>
      </c>
      <c r="P723" s="257">
        <v>599546.72</v>
      </c>
    </row>
    <row r="724" spans="1:16" hidden="1" x14ac:dyDescent="0.25">
      <c r="A724" s="143" t="s">
        <v>717</v>
      </c>
      <c r="B724" s="143" t="s">
        <v>166</v>
      </c>
      <c r="C724" s="143" t="s">
        <v>167</v>
      </c>
      <c r="D724" s="143" t="s">
        <v>69</v>
      </c>
      <c r="E724" s="257">
        <v>4500000</v>
      </c>
      <c r="F724" s="257">
        <v>2000000</v>
      </c>
      <c r="G724" s="257">
        <v>2000000</v>
      </c>
      <c r="H724" s="257">
        <v>0</v>
      </c>
      <c r="I724" s="257">
        <v>835565</v>
      </c>
      <c r="J724" s="257">
        <v>0</v>
      </c>
      <c r="K724" s="257">
        <v>1161104.6000000001</v>
      </c>
      <c r="L724" s="257"/>
      <c r="M724" s="257">
        <v>1161104.6000000001</v>
      </c>
      <c r="N724" s="257"/>
      <c r="O724" s="257">
        <v>3330.4</v>
      </c>
      <c r="P724" s="257">
        <v>3330.4</v>
      </c>
    </row>
    <row r="725" spans="1:16" hidden="1" x14ac:dyDescent="0.25">
      <c r="A725" s="143" t="s">
        <v>717</v>
      </c>
      <c r="B725" s="143" t="s">
        <v>170</v>
      </c>
      <c r="C725" s="143" t="s">
        <v>171</v>
      </c>
      <c r="D725" s="143" t="s">
        <v>69</v>
      </c>
      <c r="E725" s="257">
        <v>5000000</v>
      </c>
      <c r="F725" s="257">
        <v>5000000</v>
      </c>
      <c r="G725" s="257">
        <v>5000000</v>
      </c>
      <c r="H725" s="257">
        <v>0</v>
      </c>
      <c r="I725" s="257">
        <v>2350374.64</v>
      </c>
      <c r="J725" s="257">
        <v>0</v>
      </c>
      <c r="K725" s="257">
        <v>2053409.04</v>
      </c>
      <c r="L725" s="257"/>
      <c r="M725" s="257">
        <v>1310052.1100000001</v>
      </c>
      <c r="N725" s="257"/>
      <c r="O725" s="257">
        <v>596216.31999999995</v>
      </c>
      <c r="P725" s="257">
        <v>596216.31999999995</v>
      </c>
    </row>
    <row r="726" spans="1:16" hidden="1" x14ac:dyDescent="0.25">
      <c r="A726" s="143" t="s">
        <v>717</v>
      </c>
      <c r="B726" s="143" t="s">
        <v>174</v>
      </c>
      <c r="C726" s="143" t="s">
        <v>175</v>
      </c>
      <c r="D726" s="143" t="s">
        <v>69</v>
      </c>
      <c r="E726" s="257">
        <v>500000</v>
      </c>
      <c r="F726" s="257">
        <v>380000</v>
      </c>
      <c r="G726" s="257">
        <v>380000</v>
      </c>
      <c r="H726" s="257">
        <v>0</v>
      </c>
      <c r="I726" s="257">
        <v>283915</v>
      </c>
      <c r="J726" s="257">
        <v>0</v>
      </c>
      <c r="K726" s="257">
        <v>46085</v>
      </c>
      <c r="L726" s="257"/>
      <c r="M726" s="257">
        <v>46085</v>
      </c>
      <c r="N726" s="257"/>
      <c r="O726" s="257">
        <v>50000</v>
      </c>
      <c r="P726" s="257">
        <v>50000</v>
      </c>
    </row>
    <row r="727" spans="1:16" hidden="1" x14ac:dyDescent="0.25">
      <c r="A727" s="143" t="s">
        <v>717</v>
      </c>
      <c r="B727" s="143" t="s">
        <v>176</v>
      </c>
      <c r="C727" s="143" t="s">
        <v>177</v>
      </c>
      <c r="D727" s="143" t="s">
        <v>69</v>
      </c>
      <c r="E727" s="257">
        <v>500000</v>
      </c>
      <c r="F727" s="257">
        <v>380000</v>
      </c>
      <c r="G727" s="257">
        <v>380000</v>
      </c>
      <c r="H727" s="257">
        <v>0</v>
      </c>
      <c r="I727" s="257">
        <v>283915</v>
      </c>
      <c r="J727" s="257">
        <v>0</v>
      </c>
      <c r="K727" s="257">
        <v>46085</v>
      </c>
      <c r="L727" s="257"/>
      <c r="M727" s="257">
        <v>46085</v>
      </c>
      <c r="N727" s="257"/>
      <c r="O727" s="257">
        <v>50000</v>
      </c>
      <c r="P727" s="257">
        <v>50000</v>
      </c>
    </row>
    <row r="728" spans="1:16" hidden="1" x14ac:dyDescent="0.25">
      <c r="A728" s="143" t="s">
        <v>717</v>
      </c>
      <c r="B728" s="143" t="s">
        <v>178</v>
      </c>
      <c r="C728" s="143" t="s">
        <v>179</v>
      </c>
      <c r="D728" s="143" t="s">
        <v>69</v>
      </c>
      <c r="E728" s="257">
        <v>1500000</v>
      </c>
      <c r="F728" s="257">
        <v>1000000</v>
      </c>
      <c r="G728" s="257">
        <v>1000000</v>
      </c>
      <c r="H728" s="257">
        <v>0</v>
      </c>
      <c r="I728" s="257">
        <v>300000</v>
      </c>
      <c r="J728" s="257">
        <v>0</v>
      </c>
      <c r="K728" s="257">
        <v>200000</v>
      </c>
      <c r="L728" s="257"/>
      <c r="M728" s="257">
        <v>200000</v>
      </c>
      <c r="N728" s="257"/>
      <c r="O728" s="257">
        <v>500000</v>
      </c>
      <c r="P728" s="257">
        <v>500000</v>
      </c>
    </row>
    <row r="729" spans="1:16" hidden="1" x14ac:dyDescent="0.25">
      <c r="A729" s="143" t="s">
        <v>717</v>
      </c>
      <c r="B729" s="143" t="s">
        <v>182</v>
      </c>
      <c r="C729" s="143" t="s">
        <v>183</v>
      </c>
      <c r="D729" s="143" t="s">
        <v>69</v>
      </c>
      <c r="E729" s="257">
        <v>1500000</v>
      </c>
      <c r="F729" s="257">
        <v>1000000</v>
      </c>
      <c r="G729" s="257">
        <v>1000000</v>
      </c>
      <c r="H729" s="257">
        <v>0</v>
      </c>
      <c r="I729" s="257">
        <v>300000</v>
      </c>
      <c r="J729" s="257">
        <v>0</v>
      </c>
      <c r="K729" s="257">
        <v>200000</v>
      </c>
      <c r="L729" s="257"/>
      <c r="M729" s="257">
        <v>200000</v>
      </c>
      <c r="N729" s="257"/>
      <c r="O729" s="257">
        <v>500000</v>
      </c>
      <c r="P729" s="257">
        <v>500000</v>
      </c>
    </row>
    <row r="730" spans="1:16" hidden="1" x14ac:dyDescent="0.25">
      <c r="A730" s="143" t="s">
        <v>717</v>
      </c>
      <c r="B730" s="143" t="s">
        <v>184</v>
      </c>
      <c r="C730" s="143" t="s">
        <v>185</v>
      </c>
      <c r="D730" s="143" t="s">
        <v>69</v>
      </c>
      <c r="E730" s="257">
        <v>52884335</v>
      </c>
      <c r="F730" s="257">
        <v>30715753</v>
      </c>
      <c r="G730" s="257">
        <v>30715753</v>
      </c>
      <c r="H730" s="257">
        <v>0</v>
      </c>
      <c r="I730" s="257">
        <v>8396118.4199999999</v>
      </c>
      <c r="J730" s="257">
        <v>603313.1</v>
      </c>
      <c r="K730" s="257">
        <v>17378586.739999998</v>
      </c>
      <c r="L730" s="257"/>
      <c r="M730" s="257">
        <v>13708728.539999999</v>
      </c>
      <c r="N730" s="257"/>
      <c r="O730" s="257">
        <v>4337734.74</v>
      </c>
      <c r="P730" s="257">
        <v>4337734.74</v>
      </c>
    </row>
    <row r="731" spans="1:16" hidden="1" x14ac:dyDescent="0.25">
      <c r="A731" s="143" t="s">
        <v>717</v>
      </c>
      <c r="B731" s="143" t="s">
        <v>186</v>
      </c>
      <c r="C731" s="143" t="s">
        <v>187</v>
      </c>
      <c r="D731" s="143" t="s">
        <v>69</v>
      </c>
      <c r="E731" s="257">
        <v>21308004</v>
      </c>
      <c r="F731" s="257">
        <v>10787684</v>
      </c>
      <c r="G731" s="257">
        <v>10787684</v>
      </c>
      <c r="H731" s="257">
        <v>0</v>
      </c>
      <c r="I731" s="257">
        <v>2351349.9500000002</v>
      </c>
      <c r="J731" s="257">
        <v>0</v>
      </c>
      <c r="K731" s="257">
        <v>5303287.2300000004</v>
      </c>
      <c r="L731" s="257"/>
      <c r="M731" s="257">
        <v>4330689.45</v>
      </c>
      <c r="N731" s="257"/>
      <c r="O731" s="257">
        <v>3133046.82</v>
      </c>
      <c r="P731" s="257">
        <v>3133046.82</v>
      </c>
    </row>
    <row r="732" spans="1:16" hidden="1" x14ac:dyDescent="0.25">
      <c r="A732" s="143" t="s">
        <v>717</v>
      </c>
      <c r="B732" s="143" t="s">
        <v>188</v>
      </c>
      <c r="C732" s="143" t="s">
        <v>189</v>
      </c>
      <c r="D732" s="143" t="s">
        <v>69</v>
      </c>
      <c r="E732" s="257">
        <v>9500000</v>
      </c>
      <c r="F732" s="257">
        <v>5710000</v>
      </c>
      <c r="G732" s="257">
        <v>5710000</v>
      </c>
      <c r="H732" s="257">
        <v>0</v>
      </c>
      <c r="I732" s="257">
        <v>709104.83</v>
      </c>
      <c r="J732" s="257">
        <v>0</v>
      </c>
      <c r="K732" s="257">
        <v>1992526.17</v>
      </c>
      <c r="L732" s="257"/>
      <c r="M732" s="257">
        <v>1992526.17</v>
      </c>
      <c r="N732" s="257"/>
      <c r="O732" s="257">
        <v>3008369</v>
      </c>
      <c r="P732" s="257">
        <v>3008369</v>
      </c>
    </row>
    <row r="733" spans="1:16" hidden="1" x14ac:dyDescent="0.25">
      <c r="A733" s="143" t="s">
        <v>717</v>
      </c>
      <c r="B733" s="143" t="s">
        <v>192</v>
      </c>
      <c r="C733" s="143" t="s">
        <v>193</v>
      </c>
      <c r="D733" s="143" t="s">
        <v>69</v>
      </c>
      <c r="E733" s="257">
        <v>11808004</v>
      </c>
      <c r="F733" s="257">
        <v>5077684</v>
      </c>
      <c r="G733" s="257">
        <v>5077684</v>
      </c>
      <c r="H733" s="257">
        <v>0</v>
      </c>
      <c r="I733" s="257">
        <v>1642245.1200000001</v>
      </c>
      <c r="J733" s="257">
        <v>0</v>
      </c>
      <c r="K733" s="257">
        <v>3310761.06</v>
      </c>
      <c r="L733" s="257"/>
      <c r="M733" s="257">
        <v>2338163.2799999998</v>
      </c>
      <c r="N733" s="257"/>
      <c r="O733" s="257">
        <v>124677.82</v>
      </c>
      <c r="P733" s="257">
        <v>124677.82</v>
      </c>
    </row>
    <row r="734" spans="1:16" hidden="1" x14ac:dyDescent="0.25">
      <c r="A734" s="143" t="s">
        <v>717</v>
      </c>
      <c r="B734" s="143" t="s">
        <v>196</v>
      </c>
      <c r="C734" s="143" t="s">
        <v>197</v>
      </c>
      <c r="D734" s="143" t="s">
        <v>69</v>
      </c>
      <c r="E734" s="257">
        <v>7008325</v>
      </c>
      <c r="F734" s="257">
        <v>6008325</v>
      </c>
      <c r="G734" s="257">
        <v>6008325</v>
      </c>
      <c r="H734" s="257">
        <v>0</v>
      </c>
      <c r="I734" s="257">
        <v>3424238.7</v>
      </c>
      <c r="J734" s="257">
        <v>0</v>
      </c>
      <c r="K734" s="257">
        <v>2582051</v>
      </c>
      <c r="L734" s="257"/>
      <c r="M734" s="257">
        <v>2582051</v>
      </c>
      <c r="N734" s="257"/>
      <c r="O734" s="257">
        <v>2035.3</v>
      </c>
      <c r="P734" s="257">
        <v>2035.3</v>
      </c>
    </row>
    <row r="735" spans="1:16" hidden="1" x14ac:dyDescent="0.25">
      <c r="A735" s="143" t="s">
        <v>717</v>
      </c>
      <c r="B735" s="143" t="s">
        <v>198</v>
      </c>
      <c r="C735" s="143" t="s">
        <v>199</v>
      </c>
      <c r="D735" s="143" t="s">
        <v>69</v>
      </c>
      <c r="E735" s="257">
        <v>7008325</v>
      </c>
      <c r="F735" s="257">
        <v>6008325</v>
      </c>
      <c r="G735" s="257">
        <v>6008325</v>
      </c>
      <c r="H735" s="257">
        <v>0</v>
      </c>
      <c r="I735" s="257">
        <v>3424238.7</v>
      </c>
      <c r="J735" s="257">
        <v>0</v>
      </c>
      <c r="K735" s="257">
        <v>2582051</v>
      </c>
      <c r="L735" s="257"/>
      <c r="M735" s="257">
        <v>2582051</v>
      </c>
      <c r="N735" s="257"/>
      <c r="O735" s="257">
        <v>2035.3</v>
      </c>
      <c r="P735" s="257">
        <v>2035.3</v>
      </c>
    </row>
    <row r="736" spans="1:16" hidden="1" x14ac:dyDescent="0.25">
      <c r="A736" s="143" t="s">
        <v>717</v>
      </c>
      <c r="B736" s="143" t="s">
        <v>200</v>
      </c>
      <c r="C736" s="143" t="s">
        <v>201</v>
      </c>
      <c r="D736" s="143" t="s">
        <v>69</v>
      </c>
      <c r="E736" s="257">
        <v>900000</v>
      </c>
      <c r="F736" s="257">
        <v>152954</v>
      </c>
      <c r="G736" s="257">
        <v>152954</v>
      </c>
      <c r="H736" s="257">
        <v>0</v>
      </c>
      <c r="I736" s="257">
        <v>10090.27</v>
      </c>
      <c r="J736" s="257">
        <v>0</v>
      </c>
      <c r="K736" s="257">
        <v>81840.02</v>
      </c>
      <c r="L736" s="257"/>
      <c r="M736" s="257">
        <v>0</v>
      </c>
      <c r="N736" s="257"/>
      <c r="O736" s="257">
        <v>61023.71</v>
      </c>
      <c r="P736" s="257">
        <v>61023.71</v>
      </c>
    </row>
    <row r="737" spans="1:16" hidden="1" x14ac:dyDescent="0.25">
      <c r="A737" s="143" t="s">
        <v>717</v>
      </c>
      <c r="B737" s="143" t="s">
        <v>316</v>
      </c>
      <c r="C737" s="143" t="s">
        <v>317</v>
      </c>
      <c r="D737" s="143" t="s">
        <v>69</v>
      </c>
      <c r="E737" s="257">
        <v>420000</v>
      </c>
      <c r="F737" s="257">
        <v>20000</v>
      </c>
      <c r="G737" s="257">
        <v>20000</v>
      </c>
      <c r="H737" s="257">
        <v>0</v>
      </c>
      <c r="I737" s="257">
        <v>0</v>
      </c>
      <c r="J737" s="257">
        <v>0</v>
      </c>
      <c r="K737" s="257">
        <v>0</v>
      </c>
      <c r="L737" s="257"/>
      <c r="M737" s="257">
        <v>0</v>
      </c>
      <c r="N737" s="257"/>
      <c r="O737" s="257">
        <v>20000</v>
      </c>
      <c r="P737" s="257">
        <v>20000</v>
      </c>
    </row>
    <row r="738" spans="1:16" hidden="1" x14ac:dyDescent="0.25">
      <c r="A738" s="143" t="s">
        <v>717</v>
      </c>
      <c r="B738" s="143" t="s">
        <v>202</v>
      </c>
      <c r="C738" s="143" t="s">
        <v>203</v>
      </c>
      <c r="D738" s="143" t="s">
        <v>69</v>
      </c>
      <c r="E738" s="257">
        <v>480000</v>
      </c>
      <c r="F738" s="257">
        <v>132954</v>
      </c>
      <c r="G738" s="257">
        <v>132954</v>
      </c>
      <c r="H738" s="257">
        <v>0</v>
      </c>
      <c r="I738" s="257">
        <v>10090.27</v>
      </c>
      <c r="J738" s="257">
        <v>0</v>
      </c>
      <c r="K738" s="257">
        <v>81840.02</v>
      </c>
      <c r="L738" s="257"/>
      <c r="M738" s="257">
        <v>0</v>
      </c>
      <c r="N738" s="257"/>
      <c r="O738" s="257">
        <v>41023.71</v>
      </c>
      <c r="P738" s="257">
        <v>41023.71</v>
      </c>
    </row>
    <row r="739" spans="1:16" hidden="1" x14ac:dyDescent="0.25">
      <c r="A739" s="143" t="s">
        <v>717</v>
      </c>
      <c r="B739" s="143" t="s">
        <v>206</v>
      </c>
      <c r="C739" s="143" t="s">
        <v>207</v>
      </c>
      <c r="D739" s="143" t="s">
        <v>69</v>
      </c>
      <c r="E739" s="257">
        <v>3052196</v>
      </c>
      <c r="F739" s="257">
        <v>0</v>
      </c>
      <c r="G739" s="257">
        <v>0</v>
      </c>
      <c r="H739" s="257">
        <v>0</v>
      </c>
      <c r="I739" s="257">
        <v>0</v>
      </c>
      <c r="J739" s="257">
        <v>0</v>
      </c>
      <c r="K739" s="257">
        <v>0</v>
      </c>
      <c r="L739" s="257"/>
      <c r="M739" s="257">
        <v>0</v>
      </c>
      <c r="N739" s="257"/>
      <c r="O739" s="257">
        <v>0</v>
      </c>
      <c r="P739" s="257">
        <v>0</v>
      </c>
    </row>
    <row r="740" spans="1:16" hidden="1" x14ac:dyDescent="0.25">
      <c r="A740" s="143" t="s">
        <v>717</v>
      </c>
      <c r="B740" s="143" t="s">
        <v>208</v>
      </c>
      <c r="C740" s="143" t="s">
        <v>209</v>
      </c>
      <c r="D740" s="143" t="s">
        <v>69</v>
      </c>
      <c r="E740" s="257">
        <v>885321</v>
      </c>
      <c r="F740" s="257">
        <v>0</v>
      </c>
      <c r="G740" s="257">
        <v>0</v>
      </c>
      <c r="H740" s="257">
        <v>0</v>
      </c>
      <c r="I740" s="257">
        <v>0</v>
      </c>
      <c r="J740" s="257">
        <v>0</v>
      </c>
      <c r="K740" s="257">
        <v>0</v>
      </c>
      <c r="L740" s="257"/>
      <c r="M740" s="257">
        <v>0</v>
      </c>
      <c r="N740" s="257"/>
      <c r="O740" s="257">
        <v>0</v>
      </c>
      <c r="P740" s="257">
        <v>0</v>
      </c>
    </row>
    <row r="741" spans="1:16" hidden="1" x14ac:dyDescent="0.25">
      <c r="A741" s="143" t="s">
        <v>717</v>
      </c>
      <c r="B741" s="143" t="s">
        <v>210</v>
      </c>
      <c r="C741" s="143" t="s">
        <v>211</v>
      </c>
      <c r="D741" s="143" t="s">
        <v>69</v>
      </c>
      <c r="E741" s="257">
        <v>2166875</v>
      </c>
      <c r="F741" s="257">
        <v>0</v>
      </c>
      <c r="G741" s="257">
        <v>0</v>
      </c>
      <c r="H741" s="257">
        <v>0</v>
      </c>
      <c r="I741" s="257">
        <v>0</v>
      </c>
      <c r="J741" s="257">
        <v>0</v>
      </c>
      <c r="K741" s="257">
        <v>0</v>
      </c>
      <c r="L741" s="257"/>
      <c r="M741" s="257">
        <v>0</v>
      </c>
      <c r="N741" s="257"/>
      <c r="O741" s="257">
        <v>0</v>
      </c>
      <c r="P741" s="257">
        <v>0</v>
      </c>
    </row>
    <row r="742" spans="1:16" hidden="1" x14ac:dyDescent="0.25">
      <c r="A742" s="143" t="s">
        <v>717</v>
      </c>
      <c r="B742" s="143" t="s">
        <v>212</v>
      </c>
      <c r="C742" s="143" t="s">
        <v>213</v>
      </c>
      <c r="D742" s="143" t="s">
        <v>69</v>
      </c>
      <c r="E742" s="257">
        <v>20615810</v>
      </c>
      <c r="F742" s="257">
        <v>13766790</v>
      </c>
      <c r="G742" s="257">
        <v>13766790</v>
      </c>
      <c r="H742" s="257">
        <v>0</v>
      </c>
      <c r="I742" s="257">
        <v>2610439.5</v>
      </c>
      <c r="J742" s="257">
        <v>603313.1</v>
      </c>
      <c r="K742" s="257">
        <v>9411408.4900000002</v>
      </c>
      <c r="L742" s="257"/>
      <c r="M742" s="257">
        <v>6795988.0899999999</v>
      </c>
      <c r="N742" s="257"/>
      <c r="O742" s="257">
        <v>1141628.9099999999</v>
      </c>
      <c r="P742" s="257">
        <v>1141628.9099999999</v>
      </c>
    </row>
    <row r="743" spans="1:16" hidden="1" x14ac:dyDescent="0.25">
      <c r="A743" s="143" t="s">
        <v>717</v>
      </c>
      <c r="B743" s="143" t="s">
        <v>214</v>
      </c>
      <c r="C743" s="143" t="s">
        <v>215</v>
      </c>
      <c r="D743" s="143" t="s">
        <v>69</v>
      </c>
      <c r="E743" s="257">
        <v>8014742</v>
      </c>
      <c r="F743" s="257">
        <v>5474742</v>
      </c>
      <c r="G743" s="257">
        <v>5474742</v>
      </c>
      <c r="H743" s="257">
        <v>0</v>
      </c>
      <c r="I743" s="257">
        <v>1114732.06</v>
      </c>
      <c r="J743" s="257">
        <v>139561.1</v>
      </c>
      <c r="K743" s="257">
        <v>4184606.34</v>
      </c>
      <c r="L743" s="257"/>
      <c r="M743" s="257">
        <v>2871009.33</v>
      </c>
      <c r="N743" s="257"/>
      <c r="O743" s="257">
        <v>35842.5</v>
      </c>
      <c r="P743" s="257">
        <v>35842.5</v>
      </c>
    </row>
    <row r="744" spans="1:16" hidden="1" x14ac:dyDescent="0.25">
      <c r="A744" s="143" t="s">
        <v>717</v>
      </c>
      <c r="B744" s="143" t="s">
        <v>218</v>
      </c>
      <c r="C744" s="143" t="s">
        <v>219</v>
      </c>
      <c r="D744" s="143" t="s">
        <v>69</v>
      </c>
      <c r="E744" s="257">
        <v>5268045</v>
      </c>
      <c r="F744" s="257">
        <v>3698045</v>
      </c>
      <c r="G744" s="257">
        <v>3698045</v>
      </c>
      <c r="H744" s="257">
        <v>0</v>
      </c>
      <c r="I744" s="257">
        <v>1457006.94</v>
      </c>
      <c r="J744" s="257">
        <v>0</v>
      </c>
      <c r="K744" s="257">
        <v>2164600.9</v>
      </c>
      <c r="L744" s="257"/>
      <c r="M744" s="257">
        <v>1636547.61</v>
      </c>
      <c r="N744" s="257"/>
      <c r="O744" s="257">
        <v>76437.16</v>
      </c>
      <c r="P744" s="257">
        <v>76437.16</v>
      </c>
    </row>
    <row r="745" spans="1:16" hidden="1" x14ac:dyDescent="0.25">
      <c r="A745" s="143" t="s">
        <v>717</v>
      </c>
      <c r="B745" s="143" t="s">
        <v>220</v>
      </c>
      <c r="C745" s="143" t="s">
        <v>221</v>
      </c>
      <c r="D745" s="143" t="s">
        <v>69</v>
      </c>
      <c r="E745" s="257">
        <v>3038980</v>
      </c>
      <c r="F745" s="257">
        <v>3980</v>
      </c>
      <c r="G745" s="257">
        <v>3980</v>
      </c>
      <c r="H745" s="257">
        <v>0</v>
      </c>
      <c r="I745" s="257">
        <v>0</v>
      </c>
      <c r="J745" s="257">
        <v>0</v>
      </c>
      <c r="K745" s="257">
        <v>0</v>
      </c>
      <c r="L745" s="257"/>
      <c r="M745" s="257">
        <v>0</v>
      </c>
      <c r="N745" s="257"/>
      <c r="O745" s="257">
        <v>3980</v>
      </c>
      <c r="P745" s="257">
        <v>3980</v>
      </c>
    </row>
    <row r="746" spans="1:16" hidden="1" x14ac:dyDescent="0.25">
      <c r="A746" s="143" t="s">
        <v>717</v>
      </c>
      <c r="B746" s="143" t="s">
        <v>222</v>
      </c>
      <c r="C746" s="143" t="s">
        <v>223</v>
      </c>
      <c r="D746" s="143" t="s">
        <v>69</v>
      </c>
      <c r="E746" s="257">
        <v>2590023</v>
      </c>
      <c r="F746" s="257">
        <v>4590023</v>
      </c>
      <c r="G746" s="257">
        <v>4590023</v>
      </c>
      <c r="H746" s="257">
        <v>0</v>
      </c>
      <c r="I746" s="257">
        <v>38700.5</v>
      </c>
      <c r="J746" s="257">
        <v>463752</v>
      </c>
      <c r="K746" s="257">
        <v>3062201.25</v>
      </c>
      <c r="L746" s="257"/>
      <c r="M746" s="257">
        <v>2288431.15</v>
      </c>
      <c r="N746" s="257"/>
      <c r="O746" s="257">
        <v>1025369.25</v>
      </c>
      <c r="P746" s="257">
        <v>1025369.25</v>
      </c>
    </row>
    <row r="747" spans="1:16" hidden="1" x14ac:dyDescent="0.25">
      <c r="A747" s="143" t="s">
        <v>717</v>
      </c>
      <c r="B747" s="143" t="s">
        <v>226</v>
      </c>
      <c r="C747" s="143" t="s">
        <v>227</v>
      </c>
      <c r="D747" s="143" t="s">
        <v>69</v>
      </c>
      <c r="E747" s="257">
        <v>774300</v>
      </c>
      <c r="F747" s="257">
        <v>0</v>
      </c>
      <c r="G747" s="257">
        <v>0</v>
      </c>
      <c r="H747" s="257">
        <v>0</v>
      </c>
      <c r="I747" s="257">
        <v>0</v>
      </c>
      <c r="J747" s="257">
        <v>0</v>
      </c>
      <c r="K747" s="257">
        <v>0</v>
      </c>
      <c r="L747" s="257"/>
      <c r="M747" s="257">
        <v>0</v>
      </c>
      <c r="N747" s="257"/>
      <c r="O747" s="257">
        <v>0</v>
      </c>
      <c r="P747" s="257">
        <v>0</v>
      </c>
    </row>
    <row r="748" spans="1:16" hidden="1" x14ac:dyDescent="0.25">
      <c r="A748" s="143" t="s">
        <v>717</v>
      </c>
      <c r="B748" s="143" t="s">
        <v>228</v>
      </c>
      <c r="C748" s="143" t="s">
        <v>229</v>
      </c>
      <c r="D748" s="143" t="s">
        <v>69</v>
      </c>
      <c r="E748" s="257">
        <v>929720</v>
      </c>
      <c r="F748" s="257">
        <v>0</v>
      </c>
      <c r="G748" s="257">
        <v>0</v>
      </c>
      <c r="H748" s="257">
        <v>0</v>
      </c>
      <c r="I748" s="257">
        <v>0</v>
      </c>
      <c r="J748" s="257">
        <v>0</v>
      </c>
      <c r="K748" s="257">
        <v>0</v>
      </c>
      <c r="L748" s="257"/>
      <c r="M748" s="257">
        <v>0</v>
      </c>
      <c r="N748" s="257"/>
      <c r="O748" s="257">
        <v>0</v>
      </c>
      <c r="P748" s="257">
        <v>0</v>
      </c>
    </row>
    <row r="749" spans="1:16" hidden="1" x14ac:dyDescent="0.25">
      <c r="A749" s="143" t="s">
        <v>717</v>
      </c>
      <c r="B749" s="143" t="s">
        <v>248</v>
      </c>
      <c r="C749" s="143" t="s">
        <v>249</v>
      </c>
      <c r="D749" s="143" t="s">
        <v>69</v>
      </c>
      <c r="E749" s="257">
        <v>50610852</v>
      </c>
      <c r="F749" s="257">
        <v>43071647</v>
      </c>
      <c r="G749" s="257">
        <v>43071647</v>
      </c>
      <c r="H749" s="257">
        <v>0</v>
      </c>
      <c r="I749" s="257">
        <v>2451064</v>
      </c>
      <c r="J749" s="257">
        <v>0</v>
      </c>
      <c r="K749" s="257">
        <v>16840020.5</v>
      </c>
      <c r="L749" s="257"/>
      <c r="M749" s="257">
        <v>16840020.5</v>
      </c>
      <c r="N749" s="257"/>
      <c r="O749" s="257">
        <v>23780562.5</v>
      </c>
      <c r="P749" s="257">
        <v>23780562.5</v>
      </c>
    </row>
    <row r="750" spans="1:16" hidden="1" x14ac:dyDescent="0.25">
      <c r="A750" s="143" t="s">
        <v>717</v>
      </c>
      <c r="B750" s="143" t="s">
        <v>250</v>
      </c>
      <c r="C750" s="143" t="s">
        <v>251</v>
      </c>
      <c r="D750" s="143" t="s">
        <v>69</v>
      </c>
      <c r="E750" s="257">
        <v>14610852</v>
      </c>
      <c r="F750" s="257">
        <v>14071647</v>
      </c>
      <c r="G750" s="257">
        <v>14071647</v>
      </c>
      <c r="H750" s="257">
        <v>0</v>
      </c>
      <c r="I750" s="257">
        <v>2451064</v>
      </c>
      <c r="J750" s="257">
        <v>0</v>
      </c>
      <c r="K750" s="257">
        <v>11620583</v>
      </c>
      <c r="L750" s="257"/>
      <c r="M750" s="257">
        <v>11620583</v>
      </c>
      <c r="N750" s="257"/>
      <c r="O750" s="257">
        <v>0</v>
      </c>
      <c r="P750" s="257">
        <v>0</v>
      </c>
    </row>
    <row r="751" spans="1:16" hidden="1" x14ac:dyDescent="0.25">
      <c r="A751" s="143" t="s">
        <v>717</v>
      </c>
      <c r="B751" s="143" t="s">
        <v>636</v>
      </c>
      <c r="C751" s="143" t="s">
        <v>702</v>
      </c>
      <c r="D751" s="143" t="s">
        <v>69</v>
      </c>
      <c r="E751" s="257">
        <v>12410435</v>
      </c>
      <c r="F751" s="257">
        <v>11952435</v>
      </c>
      <c r="G751" s="257">
        <v>11952435</v>
      </c>
      <c r="H751" s="257">
        <v>0</v>
      </c>
      <c r="I751" s="257">
        <v>2109796</v>
      </c>
      <c r="J751" s="257">
        <v>0</v>
      </c>
      <c r="K751" s="257">
        <v>9842639</v>
      </c>
      <c r="L751" s="257"/>
      <c r="M751" s="257">
        <v>9842639</v>
      </c>
      <c r="N751" s="257"/>
      <c r="O751" s="257">
        <v>0</v>
      </c>
      <c r="P751" s="257">
        <v>0</v>
      </c>
    </row>
    <row r="752" spans="1:16" hidden="1" x14ac:dyDescent="0.25">
      <c r="A752" s="143" t="s">
        <v>717</v>
      </c>
      <c r="B752" s="143" t="s">
        <v>651</v>
      </c>
      <c r="C752" s="143" t="s">
        <v>703</v>
      </c>
      <c r="D752" s="143" t="s">
        <v>69</v>
      </c>
      <c r="E752" s="257">
        <v>2200417</v>
      </c>
      <c r="F752" s="257">
        <v>2119212</v>
      </c>
      <c r="G752" s="257">
        <v>2119212</v>
      </c>
      <c r="H752" s="257">
        <v>0</v>
      </c>
      <c r="I752" s="257">
        <v>341268</v>
      </c>
      <c r="J752" s="257">
        <v>0</v>
      </c>
      <c r="K752" s="257">
        <v>1777944</v>
      </c>
      <c r="L752" s="257"/>
      <c r="M752" s="257">
        <v>1777944</v>
      </c>
      <c r="N752" s="257"/>
      <c r="O752" s="257">
        <v>0</v>
      </c>
      <c r="P752" s="257">
        <v>0</v>
      </c>
    </row>
    <row r="753" spans="1:16" hidden="1" x14ac:dyDescent="0.25">
      <c r="A753" s="143" t="s">
        <v>717</v>
      </c>
      <c r="B753" s="143" t="s">
        <v>260</v>
      </c>
      <c r="C753" s="143" t="s">
        <v>261</v>
      </c>
      <c r="D753" s="143" t="s">
        <v>69</v>
      </c>
      <c r="E753" s="257">
        <v>26000000</v>
      </c>
      <c r="F753" s="257">
        <v>21500000</v>
      </c>
      <c r="G753" s="257">
        <v>21500000</v>
      </c>
      <c r="H753" s="257">
        <v>0</v>
      </c>
      <c r="I753" s="257">
        <v>0</v>
      </c>
      <c r="J753" s="257">
        <v>0</v>
      </c>
      <c r="K753" s="257">
        <v>5219437.5</v>
      </c>
      <c r="L753" s="257"/>
      <c r="M753" s="257">
        <v>5219437.5</v>
      </c>
      <c r="N753" s="257"/>
      <c r="O753" s="257">
        <v>16280562.5</v>
      </c>
      <c r="P753" s="257">
        <v>16280562.5</v>
      </c>
    </row>
    <row r="754" spans="1:16" hidden="1" x14ac:dyDescent="0.25">
      <c r="A754" s="143" t="s">
        <v>717</v>
      </c>
      <c r="B754" s="143" t="s">
        <v>262</v>
      </c>
      <c r="C754" s="143" t="s">
        <v>263</v>
      </c>
      <c r="D754" s="143" t="s">
        <v>69</v>
      </c>
      <c r="E754" s="257">
        <v>18000000</v>
      </c>
      <c r="F754" s="257">
        <v>13500000</v>
      </c>
      <c r="G754" s="257">
        <v>13500000</v>
      </c>
      <c r="H754" s="257">
        <v>0</v>
      </c>
      <c r="I754" s="257">
        <v>0</v>
      </c>
      <c r="J754" s="257">
        <v>0</v>
      </c>
      <c r="K754" s="257">
        <v>0</v>
      </c>
      <c r="L754" s="257"/>
      <c r="M754" s="257">
        <v>0</v>
      </c>
      <c r="N754" s="257"/>
      <c r="O754" s="257">
        <v>13500000</v>
      </c>
      <c r="P754" s="257">
        <v>13500000</v>
      </c>
    </row>
    <row r="755" spans="1:16" hidden="1" x14ac:dyDescent="0.25">
      <c r="A755" s="143" t="s">
        <v>717</v>
      </c>
      <c r="B755" s="143" t="s">
        <v>264</v>
      </c>
      <c r="C755" s="143" t="s">
        <v>265</v>
      </c>
      <c r="D755" s="143" t="s">
        <v>69</v>
      </c>
      <c r="E755" s="257">
        <v>8000000</v>
      </c>
      <c r="F755" s="257">
        <v>8000000</v>
      </c>
      <c r="G755" s="257">
        <v>8000000</v>
      </c>
      <c r="H755" s="257">
        <v>0</v>
      </c>
      <c r="I755" s="257">
        <v>0</v>
      </c>
      <c r="J755" s="257">
        <v>0</v>
      </c>
      <c r="K755" s="257">
        <v>5219437.5</v>
      </c>
      <c r="L755" s="257"/>
      <c r="M755" s="257">
        <v>5219437.5</v>
      </c>
      <c r="N755" s="257"/>
      <c r="O755" s="257">
        <v>2780562.5</v>
      </c>
      <c r="P755" s="257">
        <v>2780562.5</v>
      </c>
    </row>
    <row r="756" spans="1:16" hidden="1" x14ac:dyDescent="0.25">
      <c r="A756" s="143" t="s">
        <v>717</v>
      </c>
      <c r="B756" s="143" t="s">
        <v>286</v>
      </c>
      <c r="C756" s="143" t="s">
        <v>287</v>
      </c>
      <c r="D756" s="143" t="s">
        <v>69</v>
      </c>
      <c r="E756" s="257">
        <v>10000000</v>
      </c>
      <c r="F756" s="257">
        <v>7500000</v>
      </c>
      <c r="G756" s="257">
        <v>7500000</v>
      </c>
      <c r="H756" s="257">
        <v>0</v>
      </c>
      <c r="I756" s="257">
        <v>0</v>
      </c>
      <c r="J756" s="257">
        <v>0</v>
      </c>
      <c r="K756" s="257">
        <v>0</v>
      </c>
      <c r="L756" s="257"/>
      <c r="M756" s="257">
        <v>0</v>
      </c>
      <c r="N756" s="257"/>
      <c r="O756" s="257">
        <v>7500000</v>
      </c>
      <c r="P756" s="257">
        <v>7500000</v>
      </c>
    </row>
    <row r="757" spans="1:16" hidden="1" x14ac:dyDescent="0.25">
      <c r="A757" s="143" t="s">
        <v>717</v>
      </c>
      <c r="B757" s="143" t="s">
        <v>288</v>
      </c>
      <c r="C757" s="143" t="s">
        <v>289</v>
      </c>
      <c r="D757" s="143" t="s">
        <v>69</v>
      </c>
      <c r="E757" s="257">
        <v>10000000</v>
      </c>
      <c r="F757" s="257">
        <v>7500000</v>
      </c>
      <c r="G757" s="257">
        <v>7500000</v>
      </c>
      <c r="H757" s="257">
        <v>0</v>
      </c>
      <c r="I757" s="257">
        <v>0</v>
      </c>
      <c r="J757" s="257">
        <v>0</v>
      </c>
      <c r="K757" s="257">
        <v>0</v>
      </c>
      <c r="L757" s="257"/>
      <c r="M757" s="257">
        <v>0</v>
      </c>
      <c r="N757" s="257"/>
      <c r="O757" s="257">
        <v>7500000</v>
      </c>
      <c r="P757" s="257">
        <v>7500000</v>
      </c>
    </row>
    <row r="758" spans="1:16" hidden="1" x14ac:dyDescent="0.25">
      <c r="A758" s="143" t="s">
        <v>717</v>
      </c>
      <c r="B758" s="143" t="s">
        <v>230</v>
      </c>
      <c r="C758" s="143" t="s">
        <v>231</v>
      </c>
      <c r="D758" s="143" t="s">
        <v>85</v>
      </c>
      <c r="E758" s="257">
        <v>45174214</v>
      </c>
      <c r="F758" s="257">
        <v>9327344</v>
      </c>
      <c r="G758" s="257">
        <v>9327344</v>
      </c>
      <c r="H758" s="257">
        <v>0</v>
      </c>
      <c r="I758" s="257">
        <v>4310566.37</v>
      </c>
      <c r="J758" s="257">
        <v>0</v>
      </c>
      <c r="K758" s="257">
        <v>4744243.75</v>
      </c>
      <c r="L758" s="257"/>
      <c r="M758" s="257">
        <v>1215366.75</v>
      </c>
      <c r="N758" s="257"/>
      <c r="O758" s="257">
        <v>272533.88</v>
      </c>
      <c r="P758" s="257">
        <v>272533.88</v>
      </c>
    </row>
    <row r="759" spans="1:16" hidden="1" x14ac:dyDescent="0.25">
      <c r="A759" s="143" t="s">
        <v>717</v>
      </c>
      <c r="B759" s="143" t="s">
        <v>232</v>
      </c>
      <c r="C759" s="143" t="s">
        <v>233</v>
      </c>
      <c r="D759" s="143" t="s">
        <v>85</v>
      </c>
      <c r="E759" s="257">
        <v>45174214</v>
      </c>
      <c r="F759" s="257">
        <v>9327344</v>
      </c>
      <c r="G759" s="257">
        <v>9327344</v>
      </c>
      <c r="H759" s="257">
        <v>0</v>
      </c>
      <c r="I759" s="257">
        <v>4310566.37</v>
      </c>
      <c r="J759" s="257">
        <v>0</v>
      </c>
      <c r="K759" s="257">
        <v>4744243.75</v>
      </c>
      <c r="L759" s="257"/>
      <c r="M759" s="257">
        <v>1215366.75</v>
      </c>
      <c r="N759" s="257"/>
      <c r="O759" s="257">
        <v>272533.88</v>
      </c>
      <c r="P759" s="257">
        <v>272533.88</v>
      </c>
    </row>
    <row r="760" spans="1:16" hidden="1" x14ac:dyDescent="0.25">
      <c r="A760" s="143" t="s">
        <v>717</v>
      </c>
      <c r="B760" s="143" t="s">
        <v>324</v>
      </c>
      <c r="C760" s="143" t="s">
        <v>325</v>
      </c>
      <c r="D760" s="143" t="s">
        <v>85</v>
      </c>
      <c r="E760" s="257">
        <v>400000</v>
      </c>
      <c r="F760" s="257">
        <v>0</v>
      </c>
      <c r="G760" s="257">
        <v>0</v>
      </c>
      <c r="H760" s="257">
        <v>0</v>
      </c>
      <c r="I760" s="257">
        <v>0</v>
      </c>
      <c r="J760" s="257">
        <v>0</v>
      </c>
      <c r="K760" s="257">
        <v>0</v>
      </c>
      <c r="L760" s="257"/>
      <c r="M760" s="257">
        <v>0</v>
      </c>
      <c r="N760" s="257"/>
      <c r="O760" s="257">
        <v>0</v>
      </c>
      <c r="P760" s="257">
        <v>0</v>
      </c>
    </row>
    <row r="761" spans="1:16" hidden="1" x14ac:dyDescent="0.25">
      <c r="A761" s="143" t="s">
        <v>717</v>
      </c>
      <c r="B761" s="143" t="s">
        <v>236</v>
      </c>
      <c r="C761" s="143" t="s">
        <v>237</v>
      </c>
      <c r="D761" s="143" t="s">
        <v>85</v>
      </c>
      <c r="E761" s="257">
        <v>10235014</v>
      </c>
      <c r="F761" s="257">
        <v>1010184</v>
      </c>
      <c r="G761" s="257">
        <v>1010184</v>
      </c>
      <c r="H761" s="257">
        <v>0</v>
      </c>
      <c r="I761" s="257">
        <v>0</v>
      </c>
      <c r="J761" s="257">
        <v>0</v>
      </c>
      <c r="K761" s="257">
        <v>1010183.4</v>
      </c>
      <c r="L761" s="257"/>
      <c r="M761" s="257">
        <v>1010183.4</v>
      </c>
      <c r="N761" s="257"/>
      <c r="O761" s="257">
        <v>0.60000000000000009</v>
      </c>
      <c r="P761" s="257">
        <v>0.60000000000000009</v>
      </c>
    </row>
    <row r="762" spans="1:16" hidden="1" x14ac:dyDescent="0.25">
      <c r="A762" s="143" t="s">
        <v>717</v>
      </c>
      <c r="B762" s="143" t="s">
        <v>238</v>
      </c>
      <c r="C762" s="143" t="s">
        <v>239</v>
      </c>
      <c r="D762" s="143" t="s">
        <v>85</v>
      </c>
      <c r="E762" s="257">
        <v>3243620</v>
      </c>
      <c r="F762" s="257">
        <v>243620</v>
      </c>
      <c r="G762" s="257">
        <v>243620</v>
      </c>
      <c r="H762" s="257">
        <v>0</v>
      </c>
      <c r="I762" s="257">
        <v>22870.37</v>
      </c>
      <c r="J762" s="257">
        <v>0</v>
      </c>
      <c r="K762" s="257">
        <v>205183.35</v>
      </c>
      <c r="L762" s="257"/>
      <c r="M762" s="257">
        <v>205183.35</v>
      </c>
      <c r="N762" s="257"/>
      <c r="O762" s="257">
        <v>15566.28</v>
      </c>
      <c r="P762" s="257">
        <v>15566.28</v>
      </c>
    </row>
    <row r="763" spans="1:16" hidden="1" x14ac:dyDescent="0.25">
      <c r="A763" s="143" t="s">
        <v>717</v>
      </c>
      <c r="B763" s="143" t="s">
        <v>282</v>
      </c>
      <c r="C763" s="143" t="s">
        <v>283</v>
      </c>
      <c r="D763" s="143" t="s">
        <v>85</v>
      </c>
      <c r="E763" s="257">
        <v>414480</v>
      </c>
      <c r="F763" s="257">
        <v>480</v>
      </c>
      <c r="G763" s="257">
        <v>480</v>
      </c>
      <c r="H763" s="257">
        <v>0</v>
      </c>
      <c r="I763" s="257">
        <v>0</v>
      </c>
      <c r="J763" s="257">
        <v>0</v>
      </c>
      <c r="K763" s="257">
        <v>0</v>
      </c>
      <c r="L763" s="257"/>
      <c r="M763" s="257">
        <v>0</v>
      </c>
      <c r="N763" s="257"/>
      <c r="O763" s="257">
        <v>480</v>
      </c>
      <c r="P763" s="257">
        <v>480</v>
      </c>
    </row>
    <row r="764" spans="1:16" hidden="1" x14ac:dyDescent="0.25">
      <c r="A764" s="143" t="s">
        <v>717</v>
      </c>
      <c r="B764" s="143" t="s">
        <v>240</v>
      </c>
      <c r="C764" s="143" t="s">
        <v>241</v>
      </c>
      <c r="D764" s="143" t="s">
        <v>85</v>
      </c>
      <c r="E764" s="257">
        <v>27531100</v>
      </c>
      <c r="F764" s="257">
        <v>8010660</v>
      </c>
      <c r="G764" s="257">
        <v>8010660</v>
      </c>
      <c r="H764" s="257">
        <v>0</v>
      </c>
      <c r="I764" s="257">
        <v>4225296</v>
      </c>
      <c r="J764" s="257">
        <v>0</v>
      </c>
      <c r="K764" s="257">
        <v>3528877</v>
      </c>
      <c r="L764" s="257"/>
      <c r="M764" s="257">
        <v>0</v>
      </c>
      <c r="N764" s="257"/>
      <c r="O764" s="257">
        <v>256487</v>
      </c>
      <c r="P764" s="257">
        <v>256487</v>
      </c>
    </row>
    <row r="765" spans="1:16" hidden="1" x14ac:dyDescent="0.25">
      <c r="A765" s="143" t="s">
        <v>717</v>
      </c>
      <c r="B765" s="143" t="s">
        <v>242</v>
      </c>
      <c r="C765" s="143" t="s">
        <v>243</v>
      </c>
      <c r="D765" s="143" t="s">
        <v>85</v>
      </c>
      <c r="E765" s="257">
        <v>3350000</v>
      </c>
      <c r="F765" s="257">
        <v>62400</v>
      </c>
      <c r="G765" s="257">
        <v>62400</v>
      </c>
      <c r="H765" s="257">
        <v>0</v>
      </c>
      <c r="I765" s="257">
        <v>62400</v>
      </c>
      <c r="J765" s="257">
        <v>0</v>
      </c>
      <c r="K765" s="257">
        <v>0</v>
      </c>
      <c r="L765" s="257"/>
      <c r="M765" s="257">
        <v>0</v>
      </c>
      <c r="N765" s="257"/>
      <c r="O765" s="257">
        <v>0</v>
      </c>
      <c r="P765" s="257">
        <v>0</v>
      </c>
    </row>
    <row r="766" spans="1:16" x14ac:dyDescent="0.25">
      <c r="A766" s="44">
        <v>214791</v>
      </c>
      <c r="C766" s="44"/>
      <c r="D766" s="44" t="s">
        <v>69</v>
      </c>
      <c r="E766" s="257">
        <v>7826709762</v>
      </c>
      <c r="F766" s="50">
        <v>7590011399</v>
      </c>
      <c r="G766" s="257">
        <v>7567363399</v>
      </c>
      <c r="H766" s="50">
        <v>0</v>
      </c>
      <c r="I766" s="50">
        <v>611770237.66999996</v>
      </c>
      <c r="J766" s="50">
        <v>0</v>
      </c>
      <c r="K766" s="50">
        <v>6224929380.3400002</v>
      </c>
      <c r="L766" s="152">
        <f>+K766/F766</f>
        <v>0.82014756672962941</v>
      </c>
      <c r="M766" s="50">
        <v>6224929380.3400002</v>
      </c>
      <c r="N766" s="152">
        <f>+M766/F766</f>
        <v>0.82014756672962941</v>
      </c>
      <c r="O766" s="50">
        <v>753311780.99000001</v>
      </c>
      <c r="P766" s="152">
        <f>+O766/F766</f>
        <v>9.9250414971609982E-2</v>
      </c>
    </row>
    <row r="767" spans="1:16" hidden="1" x14ac:dyDescent="0.25">
      <c r="A767" s="143" t="s">
        <v>719</v>
      </c>
      <c r="B767" s="143" t="s">
        <v>71</v>
      </c>
      <c r="C767" s="143" t="s">
        <v>72</v>
      </c>
      <c r="D767" s="143" t="s">
        <v>69</v>
      </c>
      <c r="E767" s="257">
        <v>7726375169</v>
      </c>
      <c r="F767" s="257">
        <v>7417608768</v>
      </c>
      <c r="G767" s="257">
        <v>7394960768</v>
      </c>
      <c r="H767" s="257">
        <v>0</v>
      </c>
      <c r="I767" s="257">
        <v>587675836.57000005</v>
      </c>
      <c r="J767" s="257">
        <v>0</v>
      </c>
      <c r="K767" s="257">
        <v>6098079878.4200001</v>
      </c>
      <c r="L767" s="257"/>
      <c r="M767" s="257">
        <v>6098079878.4200001</v>
      </c>
      <c r="N767" s="257"/>
      <c r="O767" s="257">
        <v>731853053.00999999</v>
      </c>
      <c r="P767" s="257">
        <v>709205053.00999999</v>
      </c>
    </row>
    <row r="768" spans="1:16" hidden="1" x14ac:dyDescent="0.25">
      <c r="A768" s="143" t="s">
        <v>719</v>
      </c>
      <c r="B768" s="143" t="s">
        <v>73</v>
      </c>
      <c r="C768" s="143" t="s">
        <v>74</v>
      </c>
      <c r="D768" s="143" t="s">
        <v>69</v>
      </c>
      <c r="E768" s="257">
        <v>2598911346</v>
      </c>
      <c r="F768" s="257">
        <v>2482450977</v>
      </c>
      <c r="G768" s="257">
        <v>2482450977</v>
      </c>
      <c r="H768" s="257">
        <v>0</v>
      </c>
      <c r="I768" s="257">
        <v>0</v>
      </c>
      <c r="J768" s="257">
        <v>0</v>
      </c>
      <c r="K768" s="257">
        <v>2220843173.1399999</v>
      </c>
      <c r="L768" s="257"/>
      <c r="M768" s="257">
        <v>2220843173.1399999</v>
      </c>
      <c r="N768" s="257"/>
      <c r="O768" s="257">
        <v>261607803.86000001</v>
      </c>
      <c r="P768" s="257">
        <v>261607803.86000001</v>
      </c>
    </row>
    <row r="769" spans="1:16" hidden="1" x14ac:dyDescent="0.25">
      <c r="A769" s="143" t="s">
        <v>719</v>
      </c>
      <c r="B769" s="143" t="s">
        <v>75</v>
      </c>
      <c r="C769" s="143" t="s">
        <v>76</v>
      </c>
      <c r="D769" s="143" t="s">
        <v>69</v>
      </c>
      <c r="E769" s="257">
        <v>2598911346</v>
      </c>
      <c r="F769" s="257">
        <v>2478450977</v>
      </c>
      <c r="G769" s="257">
        <v>2478450977</v>
      </c>
      <c r="H769" s="257">
        <v>0</v>
      </c>
      <c r="I769" s="257">
        <v>0</v>
      </c>
      <c r="J769" s="257">
        <v>0</v>
      </c>
      <c r="K769" s="257">
        <v>2220843173.1399999</v>
      </c>
      <c r="L769" s="257"/>
      <c r="M769" s="257">
        <v>2220843173.1399999</v>
      </c>
      <c r="N769" s="257"/>
      <c r="O769" s="257">
        <v>257607803.86000001</v>
      </c>
      <c r="P769" s="257">
        <v>257607803.86000001</v>
      </c>
    </row>
    <row r="770" spans="1:16" hidden="1" x14ac:dyDescent="0.25">
      <c r="A770" s="143" t="s">
        <v>719</v>
      </c>
      <c r="B770" s="143" t="s">
        <v>291</v>
      </c>
      <c r="C770" s="143" t="s">
        <v>292</v>
      </c>
      <c r="D770" s="143" t="s">
        <v>69</v>
      </c>
      <c r="E770" s="257">
        <v>0</v>
      </c>
      <c r="F770" s="257">
        <v>4000000</v>
      </c>
      <c r="G770" s="257">
        <v>4000000</v>
      </c>
      <c r="H770" s="257">
        <v>0</v>
      </c>
      <c r="I770" s="257">
        <v>0</v>
      </c>
      <c r="J770" s="257">
        <v>0</v>
      </c>
      <c r="K770" s="257">
        <v>0</v>
      </c>
      <c r="L770" s="257"/>
      <c r="M770" s="257">
        <v>0</v>
      </c>
      <c r="N770" s="257"/>
      <c r="O770" s="257">
        <v>4000000</v>
      </c>
      <c r="P770" s="257">
        <v>4000000</v>
      </c>
    </row>
    <row r="771" spans="1:16" hidden="1" x14ac:dyDescent="0.25">
      <c r="A771" s="143" t="s">
        <v>719</v>
      </c>
      <c r="B771" s="143" t="s">
        <v>77</v>
      </c>
      <c r="C771" s="143" t="s">
        <v>78</v>
      </c>
      <c r="D771" s="143" t="s">
        <v>69</v>
      </c>
      <c r="E771" s="257">
        <v>3948833757</v>
      </c>
      <c r="F771" s="257">
        <v>3802716439</v>
      </c>
      <c r="G771" s="257">
        <v>3797316439</v>
      </c>
      <c r="H771" s="257">
        <v>0</v>
      </c>
      <c r="I771" s="257">
        <v>459904629.51999998</v>
      </c>
      <c r="J771" s="257">
        <v>0</v>
      </c>
      <c r="K771" s="257">
        <v>2889814560.3299999</v>
      </c>
      <c r="L771" s="257"/>
      <c r="M771" s="257">
        <v>2889814560.3299999</v>
      </c>
      <c r="N771" s="257"/>
      <c r="O771" s="257">
        <v>452997249.14999998</v>
      </c>
      <c r="P771" s="257">
        <v>447597249.14999998</v>
      </c>
    </row>
    <row r="772" spans="1:16" hidden="1" x14ac:dyDescent="0.25">
      <c r="A772" s="143" t="s">
        <v>719</v>
      </c>
      <c r="B772" s="143" t="s">
        <v>79</v>
      </c>
      <c r="C772" s="143" t="s">
        <v>80</v>
      </c>
      <c r="D772" s="143" t="s">
        <v>69</v>
      </c>
      <c r="E772" s="257">
        <v>655368000</v>
      </c>
      <c r="F772" s="257">
        <v>637364393</v>
      </c>
      <c r="G772" s="257">
        <v>637364393</v>
      </c>
      <c r="H772" s="257">
        <v>0</v>
      </c>
      <c r="I772" s="257">
        <v>0</v>
      </c>
      <c r="J772" s="257">
        <v>0</v>
      </c>
      <c r="K772" s="257">
        <v>540637999.20000005</v>
      </c>
      <c r="L772" s="257"/>
      <c r="M772" s="257">
        <v>540637999.20000005</v>
      </c>
      <c r="N772" s="257"/>
      <c r="O772" s="257">
        <v>96726393.799999997</v>
      </c>
      <c r="P772" s="257">
        <v>96726393.799999997</v>
      </c>
    </row>
    <row r="773" spans="1:16" hidden="1" x14ac:dyDescent="0.25">
      <c r="A773" s="143" t="s">
        <v>719</v>
      </c>
      <c r="B773" s="143" t="s">
        <v>81</v>
      </c>
      <c r="C773" s="143" t="s">
        <v>82</v>
      </c>
      <c r="D773" s="143" t="s">
        <v>69</v>
      </c>
      <c r="E773" s="257">
        <v>1818533000</v>
      </c>
      <c r="F773" s="257">
        <v>1751449014</v>
      </c>
      <c r="G773" s="257">
        <v>1746049014</v>
      </c>
      <c r="H773" s="257">
        <v>0</v>
      </c>
      <c r="I773" s="257">
        <v>0</v>
      </c>
      <c r="J773" s="257">
        <v>0</v>
      </c>
      <c r="K773" s="257">
        <v>1515854558.8599999</v>
      </c>
      <c r="L773" s="257"/>
      <c r="M773" s="257">
        <v>1515854558.8599999</v>
      </c>
      <c r="N773" s="257"/>
      <c r="O773" s="257">
        <v>235594455.13999999</v>
      </c>
      <c r="P773" s="257">
        <v>230194455.13999999</v>
      </c>
    </row>
    <row r="774" spans="1:16" hidden="1" x14ac:dyDescent="0.25">
      <c r="A774" s="143" t="s">
        <v>719</v>
      </c>
      <c r="B774" s="143" t="s">
        <v>86</v>
      </c>
      <c r="C774" s="143" t="s">
        <v>87</v>
      </c>
      <c r="D774" s="143" t="s">
        <v>69</v>
      </c>
      <c r="E774" s="257">
        <v>463338500</v>
      </c>
      <c r="F774" s="257">
        <v>434338500</v>
      </c>
      <c r="G774" s="257">
        <v>434338500</v>
      </c>
      <c r="H774" s="257">
        <v>0</v>
      </c>
      <c r="I774" s="257">
        <v>362270.8</v>
      </c>
      <c r="J774" s="257">
        <v>0</v>
      </c>
      <c r="K774" s="257">
        <v>409371786.76999998</v>
      </c>
      <c r="L774" s="257"/>
      <c r="M774" s="257">
        <v>409371786.76999998</v>
      </c>
      <c r="N774" s="257"/>
      <c r="O774" s="257">
        <v>24604442.43</v>
      </c>
      <c r="P774" s="257">
        <v>24604442.43</v>
      </c>
    </row>
    <row r="775" spans="1:16" hidden="1" x14ac:dyDescent="0.25">
      <c r="A775" s="143" t="s">
        <v>719</v>
      </c>
      <c r="B775" s="143" t="s">
        <v>88</v>
      </c>
      <c r="C775" s="143" t="s">
        <v>89</v>
      </c>
      <c r="D775" s="143" t="s">
        <v>69</v>
      </c>
      <c r="E775" s="257">
        <v>508107900</v>
      </c>
      <c r="F775" s="257">
        <v>495809043</v>
      </c>
      <c r="G775" s="257">
        <v>495809043</v>
      </c>
      <c r="H775" s="257">
        <v>0</v>
      </c>
      <c r="I775" s="257">
        <v>0</v>
      </c>
      <c r="J775" s="257">
        <v>0</v>
      </c>
      <c r="K775" s="257">
        <v>423378787.80000001</v>
      </c>
      <c r="L775" s="257"/>
      <c r="M775" s="257">
        <v>423378787.80000001</v>
      </c>
      <c r="N775" s="257"/>
      <c r="O775" s="257">
        <v>72430255.200000003</v>
      </c>
      <c r="P775" s="257">
        <v>72430255.200000003</v>
      </c>
    </row>
    <row r="776" spans="1:16" hidden="1" x14ac:dyDescent="0.25">
      <c r="A776" s="143" t="s">
        <v>719</v>
      </c>
      <c r="B776" s="143" t="s">
        <v>83</v>
      </c>
      <c r="C776" s="143" t="s">
        <v>84</v>
      </c>
      <c r="D776" s="143" t="s">
        <v>85</v>
      </c>
      <c r="E776" s="257">
        <v>503486357</v>
      </c>
      <c r="F776" s="257">
        <v>483755489</v>
      </c>
      <c r="G776" s="257">
        <v>483755489</v>
      </c>
      <c r="H776" s="257">
        <v>0</v>
      </c>
      <c r="I776" s="257">
        <v>459542358.72000003</v>
      </c>
      <c r="J776" s="257">
        <v>0</v>
      </c>
      <c r="K776" s="257">
        <v>571427.69999999995</v>
      </c>
      <c r="L776" s="257"/>
      <c r="M776" s="257">
        <v>571427.69999999995</v>
      </c>
      <c r="N776" s="257"/>
      <c r="O776" s="257">
        <v>23641702.579999998</v>
      </c>
      <c r="P776" s="257">
        <v>23641702.579999998</v>
      </c>
    </row>
    <row r="777" spans="1:16" hidden="1" x14ac:dyDescent="0.25">
      <c r="A777" s="143" t="s">
        <v>719</v>
      </c>
      <c r="B777" s="143" t="s">
        <v>90</v>
      </c>
      <c r="C777" s="143" t="s">
        <v>91</v>
      </c>
      <c r="D777" s="143" t="s">
        <v>69</v>
      </c>
      <c r="E777" s="257">
        <v>589315133</v>
      </c>
      <c r="F777" s="257">
        <v>566220775</v>
      </c>
      <c r="G777" s="257">
        <v>566220775</v>
      </c>
      <c r="H777" s="257">
        <v>0</v>
      </c>
      <c r="I777" s="257">
        <v>69923193.930000007</v>
      </c>
      <c r="J777" s="257">
        <v>0</v>
      </c>
      <c r="K777" s="257">
        <v>496297581.06999999</v>
      </c>
      <c r="L777" s="257"/>
      <c r="M777" s="257">
        <v>496297581.06999999</v>
      </c>
      <c r="N777" s="257"/>
      <c r="O777" s="257">
        <v>0</v>
      </c>
      <c r="P777" s="257">
        <v>0</v>
      </c>
    </row>
    <row r="778" spans="1:16" hidden="1" x14ac:dyDescent="0.25">
      <c r="A778" s="143" t="s">
        <v>719</v>
      </c>
      <c r="B778" s="143" t="s">
        <v>428</v>
      </c>
      <c r="C778" s="143" t="s">
        <v>697</v>
      </c>
      <c r="D778" s="143" t="s">
        <v>69</v>
      </c>
      <c r="E778" s="257">
        <v>559093873</v>
      </c>
      <c r="F778" s="257">
        <v>537183840</v>
      </c>
      <c r="G778" s="257">
        <v>537183840</v>
      </c>
      <c r="H778" s="257">
        <v>0</v>
      </c>
      <c r="I778" s="257">
        <v>66336796.530000001</v>
      </c>
      <c r="J778" s="257">
        <v>0</v>
      </c>
      <c r="K778" s="257">
        <v>470847043.47000003</v>
      </c>
      <c r="L778" s="257"/>
      <c r="M778" s="257">
        <v>470847043.47000003</v>
      </c>
      <c r="N778" s="257"/>
      <c r="O778" s="257">
        <v>0</v>
      </c>
      <c r="P778" s="257">
        <v>0</v>
      </c>
    </row>
    <row r="779" spans="1:16" hidden="1" x14ac:dyDescent="0.25">
      <c r="A779" s="143" t="s">
        <v>719</v>
      </c>
      <c r="B779" s="143" t="s">
        <v>445</v>
      </c>
      <c r="C779" s="143" t="s">
        <v>95</v>
      </c>
      <c r="D779" s="143" t="s">
        <v>69</v>
      </c>
      <c r="E779" s="257">
        <v>30221260</v>
      </c>
      <c r="F779" s="257">
        <v>29036935</v>
      </c>
      <c r="G779" s="257">
        <v>29036935</v>
      </c>
      <c r="H779" s="257">
        <v>0</v>
      </c>
      <c r="I779" s="257">
        <v>3586397.4</v>
      </c>
      <c r="J779" s="257">
        <v>0</v>
      </c>
      <c r="K779" s="257">
        <v>25450537.600000001</v>
      </c>
      <c r="L779" s="257"/>
      <c r="M779" s="257">
        <v>25450537.600000001</v>
      </c>
      <c r="N779" s="257"/>
      <c r="O779" s="257">
        <v>0</v>
      </c>
      <c r="P779" s="257">
        <v>0</v>
      </c>
    </row>
    <row r="780" spans="1:16" hidden="1" x14ac:dyDescent="0.25">
      <c r="A780" s="143" t="s">
        <v>719</v>
      </c>
      <c r="B780" s="143" t="s">
        <v>96</v>
      </c>
      <c r="C780" s="143" t="s">
        <v>97</v>
      </c>
      <c r="D780" s="143" t="s">
        <v>69</v>
      </c>
      <c r="E780" s="257">
        <v>589314933</v>
      </c>
      <c r="F780" s="257">
        <v>566220577</v>
      </c>
      <c r="G780" s="257">
        <v>548972577</v>
      </c>
      <c r="H780" s="257">
        <v>0</v>
      </c>
      <c r="I780" s="257">
        <v>57848013.119999997</v>
      </c>
      <c r="J780" s="257">
        <v>0</v>
      </c>
      <c r="K780" s="257">
        <v>491124563.88</v>
      </c>
      <c r="L780" s="257"/>
      <c r="M780" s="257">
        <v>491124563.88</v>
      </c>
      <c r="N780" s="257"/>
      <c r="O780" s="257">
        <v>17248000</v>
      </c>
      <c r="P780" s="257">
        <v>0</v>
      </c>
    </row>
    <row r="781" spans="1:16" hidden="1" x14ac:dyDescent="0.25">
      <c r="A781" s="143" t="s">
        <v>719</v>
      </c>
      <c r="B781" s="143" t="s">
        <v>463</v>
      </c>
      <c r="C781" s="143" t="s">
        <v>698</v>
      </c>
      <c r="D781" s="143" t="s">
        <v>69</v>
      </c>
      <c r="E781" s="257">
        <v>317323487</v>
      </c>
      <c r="F781" s="257">
        <v>304888065</v>
      </c>
      <c r="G781" s="257">
        <v>304888065</v>
      </c>
      <c r="H781" s="257">
        <v>0</v>
      </c>
      <c r="I781" s="257">
        <v>42818761.780000001</v>
      </c>
      <c r="J781" s="257">
        <v>0</v>
      </c>
      <c r="K781" s="257">
        <v>262069303.22</v>
      </c>
      <c r="L781" s="257"/>
      <c r="M781" s="257">
        <v>262069303.22</v>
      </c>
      <c r="N781" s="257"/>
      <c r="O781" s="257">
        <v>0</v>
      </c>
      <c r="P781" s="257">
        <v>0</v>
      </c>
    </row>
    <row r="782" spans="1:16" hidden="1" x14ac:dyDescent="0.25">
      <c r="A782" s="143" t="s">
        <v>719</v>
      </c>
      <c r="B782" s="143" t="s">
        <v>480</v>
      </c>
      <c r="C782" s="143" t="s">
        <v>699</v>
      </c>
      <c r="D782" s="143" t="s">
        <v>69</v>
      </c>
      <c r="E782" s="257">
        <v>90663782</v>
      </c>
      <c r="F782" s="257">
        <v>87110804</v>
      </c>
      <c r="G782" s="257">
        <v>87110804</v>
      </c>
      <c r="H782" s="257">
        <v>0</v>
      </c>
      <c r="I782" s="257">
        <v>4270075.74</v>
      </c>
      <c r="J782" s="257">
        <v>0</v>
      </c>
      <c r="K782" s="257">
        <v>82840728.260000005</v>
      </c>
      <c r="L782" s="257"/>
      <c r="M782" s="257">
        <v>82840728.260000005</v>
      </c>
      <c r="N782" s="257"/>
      <c r="O782" s="257">
        <v>0</v>
      </c>
      <c r="P782" s="257">
        <v>0</v>
      </c>
    </row>
    <row r="783" spans="1:16" hidden="1" x14ac:dyDescent="0.25">
      <c r="A783" s="143" t="s">
        <v>719</v>
      </c>
      <c r="B783" s="143" t="s">
        <v>497</v>
      </c>
      <c r="C783" s="143" t="s">
        <v>700</v>
      </c>
      <c r="D783" s="143" t="s">
        <v>69</v>
      </c>
      <c r="E783" s="257">
        <v>181327664</v>
      </c>
      <c r="F783" s="257">
        <v>174221708</v>
      </c>
      <c r="G783" s="257">
        <v>156973708</v>
      </c>
      <c r="H783" s="257">
        <v>0</v>
      </c>
      <c r="I783" s="257">
        <v>10759175.6</v>
      </c>
      <c r="J783" s="257">
        <v>0</v>
      </c>
      <c r="K783" s="257">
        <v>146214532.40000001</v>
      </c>
      <c r="L783" s="257"/>
      <c r="M783" s="257">
        <v>146214532.40000001</v>
      </c>
      <c r="N783" s="257"/>
      <c r="O783" s="257">
        <v>17248000</v>
      </c>
      <c r="P783" s="257">
        <v>0</v>
      </c>
    </row>
    <row r="784" spans="1:16" hidden="1" x14ac:dyDescent="0.25">
      <c r="A784" s="143" t="s">
        <v>719</v>
      </c>
      <c r="B784" s="143" t="s">
        <v>248</v>
      </c>
      <c r="C784" s="143" t="s">
        <v>249</v>
      </c>
      <c r="D784" s="143" t="s">
        <v>69</v>
      </c>
      <c r="E784" s="257">
        <v>100334593</v>
      </c>
      <c r="F784" s="257">
        <v>172402631</v>
      </c>
      <c r="G784" s="257">
        <v>172402631</v>
      </c>
      <c r="H784" s="257">
        <v>0</v>
      </c>
      <c r="I784" s="257">
        <v>24094401.100000001</v>
      </c>
      <c r="J784" s="257">
        <v>0</v>
      </c>
      <c r="K784" s="257">
        <v>126849501.92</v>
      </c>
      <c r="L784" s="257"/>
      <c r="M784" s="257">
        <v>126849501.92</v>
      </c>
      <c r="N784" s="257"/>
      <c r="O784" s="257">
        <v>21458727.98</v>
      </c>
      <c r="P784" s="257">
        <v>21458727.98</v>
      </c>
    </row>
    <row r="785" spans="1:16" hidden="1" x14ac:dyDescent="0.25">
      <c r="A785" s="143" t="s">
        <v>719</v>
      </c>
      <c r="B785" s="143" t="s">
        <v>250</v>
      </c>
      <c r="C785" s="143" t="s">
        <v>251</v>
      </c>
      <c r="D785" s="143" t="s">
        <v>69</v>
      </c>
      <c r="E785" s="257">
        <v>100334593</v>
      </c>
      <c r="F785" s="257">
        <v>96402631</v>
      </c>
      <c r="G785" s="257">
        <v>96402631</v>
      </c>
      <c r="H785" s="257">
        <v>0</v>
      </c>
      <c r="I785" s="257">
        <v>13316117.4</v>
      </c>
      <c r="J785" s="257">
        <v>0</v>
      </c>
      <c r="K785" s="257">
        <v>83086513.599999994</v>
      </c>
      <c r="L785" s="257"/>
      <c r="M785" s="257">
        <v>83086513.599999994</v>
      </c>
      <c r="N785" s="257"/>
      <c r="O785" s="257">
        <v>0</v>
      </c>
      <c r="P785" s="257">
        <v>0</v>
      </c>
    </row>
    <row r="786" spans="1:16" hidden="1" x14ac:dyDescent="0.25">
      <c r="A786" s="143" t="s">
        <v>719</v>
      </c>
      <c r="B786" s="143" t="s">
        <v>637</v>
      </c>
      <c r="C786" s="143" t="s">
        <v>702</v>
      </c>
      <c r="D786" s="143" t="s">
        <v>69</v>
      </c>
      <c r="E786" s="257">
        <v>85224013</v>
      </c>
      <c r="F786" s="257">
        <v>81884214</v>
      </c>
      <c r="G786" s="257">
        <v>81884214</v>
      </c>
      <c r="H786" s="257">
        <v>0</v>
      </c>
      <c r="I786" s="257">
        <v>11523029.34</v>
      </c>
      <c r="J786" s="257">
        <v>0</v>
      </c>
      <c r="K786" s="257">
        <v>70361184.659999996</v>
      </c>
      <c r="L786" s="257"/>
      <c r="M786" s="257">
        <v>70361184.659999996</v>
      </c>
      <c r="N786" s="257"/>
      <c r="O786" s="257">
        <v>0</v>
      </c>
      <c r="P786" s="257">
        <v>0</v>
      </c>
    </row>
    <row r="787" spans="1:16" hidden="1" x14ac:dyDescent="0.25">
      <c r="A787" s="143" t="s">
        <v>719</v>
      </c>
      <c r="B787" s="143" t="s">
        <v>652</v>
      </c>
      <c r="C787" s="143" t="s">
        <v>703</v>
      </c>
      <c r="D787" s="143" t="s">
        <v>69</v>
      </c>
      <c r="E787" s="257">
        <v>15110580</v>
      </c>
      <c r="F787" s="257">
        <v>14518417</v>
      </c>
      <c r="G787" s="257">
        <v>14518417</v>
      </c>
      <c r="H787" s="257">
        <v>0</v>
      </c>
      <c r="I787" s="257">
        <v>1793088.06</v>
      </c>
      <c r="J787" s="257">
        <v>0</v>
      </c>
      <c r="K787" s="257">
        <v>12725328.939999999</v>
      </c>
      <c r="L787" s="257"/>
      <c r="M787" s="257">
        <v>12725328.939999999</v>
      </c>
      <c r="N787" s="257"/>
      <c r="O787" s="257">
        <v>0</v>
      </c>
      <c r="P787" s="257">
        <v>0</v>
      </c>
    </row>
    <row r="788" spans="1:16" hidden="1" x14ac:dyDescent="0.25">
      <c r="A788" s="143" t="s">
        <v>719</v>
      </c>
      <c r="B788" s="143" t="s">
        <v>260</v>
      </c>
      <c r="C788" s="143" t="s">
        <v>261</v>
      </c>
      <c r="D788" s="143" t="s">
        <v>69</v>
      </c>
      <c r="E788" s="257">
        <v>0</v>
      </c>
      <c r="F788" s="257">
        <v>76000000</v>
      </c>
      <c r="G788" s="257">
        <v>76000000</v>
      </c>
      <c r="H788" s="257">
        <v>0</v>
      </c>
      <c r="I788" s="257">
        <v>10778283.699999999</v>
      </c>
      <c r="J788" s="257">
        <v>0</v>
      </c>
      <c r="K788" s="257">
        <v>43762988.32</v>
      </c>
      <c r="L788" s="257"/>
      <c r="M788" s="257">
        <v>43762988.32</v>
      </c>
      <c r="N788" s="257"/>
      <c r="O788" s="257">
        <v>21458727.98</v>
      </c>
      <c r="P788" s="257">
        <v>21458727.98</v>
      </c>
    </row>
    <row r="789" spans="1:16" hidden="1" x14ac:dyDescent="0.25">
      <c r="A789" s="143" t="s">
        <v>719</v>
      </c>
      <c r="B789" s="143" t="s">
        <v>262</v>
      </c>
      <c r="C789" s="143" t="s">
        <v>263</v>
      </c>
      <c r="D789" s="143" t="s">
        <v>69</v>
      </c>
      <c r="E789" s="257">
        <v>0</v>
      </c>
      <c r="F789" s="257">
        <v>43000000</v>
      </c>
      <c r="G789" s="257">
        <v>43000000</v>
      </c>
      <c r="H789" s="257">
        <v>0</v>
      </c>
      <c r="I789" s="257">
        <v>10778283.699999999</v>
      </c>
      <c r="J789" s="257">
        <v>0</v>
      </c>
      <c r="K789" s="257">
        <v>26489294.82</v>
      </c>
      <c r="L789" s="257"/>
      <c r="M789" s="257">
        <v>26489294.82</v>
      </c>
      <c r="N789" s="257"/>
      <c r="O789" s="257">
        <v>5732421.4800000004</v>
      </c>
      <c r="P789" s="257">
        <v>5732421.4800000004</v>
      </c>
    </row>
    <row r="790" spans="1:16" hidden="1" x14ac:dyDescent="0.25">
      <c r="A790" s="143" t="s">
        <v>719</v>
      </c>
      <c r="B790" s="143" t="s">
        <v>264</v>
      </c>
      <c r="C790" s="143" t="s">
        <v>265</v>
      </c>
      <c r="D790" s="143" t="s">
        <v>69</v>
      </c>
      <c r="E790" s="257">
        <v>0</v>
      </c>
      <c r="F790" s="257">
        <v>33000000</v>
      </c>
      <c r="G790" s="257">
        <v>33000000</v>
      </c>
      <c r="H790" s="257">
        <v>0</v>
      </c>
      <c r="I790" s="257">
        <v>0</v>
      </c>
      <c r="J790" s="257">
        <v>0</v>
      </c>
      <c r="K790" s="257">
        <v>17273693.5</v>
      </c>
      <c r="L790" s="257"/>
      <c r="M790" s="257">
        <v>17273693.5</v>
      </c>
      <c r="N790" s="257"/>
      <c r="O790" s="257">
        <v>15726306.5</v>
      </c>
      <c r="P790" s="257">
        <v>15726306.5</v>
      </c>
    </row>
    <row r="791" spans="1:16" x14ac:dyDescent="0.25">
      <c r="A791" s="44">
        <v>214793</v>
      </c>
      <c r="C791" s="44"/>
      <c r="D791" s="44" t="s">
        <v>69</v>
      </c>
      <c r="E791" s="257">
        <v>918243709</v>
      </c>
      <c r="F791" s="50">
        <v>895550765</v>
      </c>
      <c r="G791" s="257">
        <v>893964965</v>
      </c>
      <c r="H791" s="50">
        <v>0</v>
      </c>
      <c r="I791" s="50">
        <v>66661105.240000002</v>
      </c>
      <c r="J791" s="50">
        <v>0</v>
      </c>
      <c r="K791" s="50">
        <v>761420675.55999994</v>
      </c>
      <c r="L791" s="152">
        <f>+K791/F791</f>
        <v>0.85022614609681002</v>
      </c>
      <c r="M791" s="50">
        <v>761420675.55999994</v>
      </c>
      <c r="N791" s="152">
        <f>+M791/F791</f>
        <v>0.85022614609681002</v>
      </c>
      <c r="O791" s="50">
        <v>67468984.200000003</v>
      </c>
      <c r="P791" s="152">
        <f>+O791/F791</f>
        <v>7.533797841153092E-2</v>
      </c>
    </row>
    <row r="792" spans="1:16" hidden="1" x14ac:dyDescent="0.25">
      <c r="A792" s="143" t="s">
        <v>720</v>
      </c>
      <c r="B792" s="143" t="s">
        <v>71</v>
      </c>
      <c r="C792" s="143" t="s">
        <v>72</v>
      </c>
      <c r="D792" s="143" t="s">
        <v>69</v>
      </c>
      <c r="E792" s="257">
        <v>899027714</v>
      </c>
      <c r="F792" s="257">
        <v>878789381</v>
      </c>
      <c r="G792" s="257">
        <v>877203581</v>
      </c>
      <c r="H792" s="257">
        <v>0</v>
      </c>
      <c r="I792" s="257">
        <v>65541717.539999999</v>
      </c>
      <c r="J792" s="257">
        <v>0</v>
      </c>
      <c r="K792" s="257">
        <v>748925259.53999996</v>
      </c>
      <c r="L792" s="257"/>
      <c r="M792" s="257">
        <v>748925259.53999996</v>
      </c>
      <c r="N792" s="257"/>
      <c r="O792" s="257">
        <v>64322403.920000002</v>
      </c>
      <c r="P792" s="257">
        <v>62736603.920000002</v>
      </c>
    </row>
    <row r="793" spans="1:16" hidden="1" x14ac:dyDescent="0.25">
      <c r="A793" s="143" t="s">
        <v>720</v>
      </c>
      <c r="B793" s="143" t="s">
        <v>73</v>
      </c>
      <c r="C793" s="143" t="s">
        <v>74</v>
      </c>
      <c r="D793" s="143" t="s">
        <v>69</v>
      </c>
      <c r="E793" s="257">
        <v>305726500</v>
      </c>
      <c r="F793" s="257">
        <v>299696000</v>
      </c>
      <c r="G793" s="257">
        <v>299696000</v>
      </c>
      <c r="H793" s="257">
        <v>0</v>
      </c>
      <c r="I793" s="257">
        <v>0</v>
      </c>
      <c r="J793" s="257">
        <v>0</v>
      </c>
      <c r="K793" s="257">
        <v>272538435.80000001</v>
      </c>
      <c r="L793" s="257"/>
      <c r="M793" s="257">
        <v>272538435.80000001</v>
      </c>
      <c r="N793" s="257"/>
      <c r="O793" s="257">
        <v>27157564.199999999</v>
      </c>
      <c r="P793" s="257">
        <v>27157564.199999999</v>
      </c>
    </row>
    <row r="794" spans="1:16" hidden="1" x14ac:dyDescent="0.25">
      <c r="A794" s="143" t="s">
        <v>720</v>
      </c>
      <c r="B794" s="143" t="s">
        <v>75</v>
      </c>
      <c r="C794" s="143" t="s">
        <v>76</v>
      </c>
      <c r="D794" s="143" t="s">
        <v>69</v>
      </c>
      <c r="E794" s="257">
        <v>305726500</v>
      </c>
      <c r="F794" s="257">
        <v>298196000</v>
      </c>
      <c r="G794" s="257">
        <v>298196000</v>
      </c>
      <c r="H794" s="257">
        <v>0</v>
      </c>
      <c r="I794" s="257">
        <v>0</v>
      </c>
      <c r="J794" s="257">
        <v>0</v>
      </c>
      <c r="K794" s="257">
        <v>272538435.80000001</v>
      </c>
      <c r="L794" s="257"/>
      <c r="M794" s="257">
        <v>272538435.80000001</v>
      </c>
      <c r="N794" s="257"/>
      <c r="O794" s="257">
        <v>25657564.199999999</v>
      </c>
      <c r="P794" s="257">
        <v>25657564.199999999</v>
      </c>
    </row>
    <row r="795" spans="1:16" hidden="1" x14ac:dyDescent="0.25">
      <c r="A795" s="143" t="s">
        <v>720</v>
      </c>
      <c r="B795" s="143" t="s">
        <v>291</v>
      </c>
      <c r="C795" s="143" t="s">
        <v>292</v>
      </c>
      <c r="D795" s="143" t="s">
        <v>69</v>
      </c>
      <c r="E795" s="257">
        <v>0</v>
      </c>
      <c r="F795" s="257">
        <v>1500000</v>
      </c>
      <c r="G795" s="257">
        <v>1500000</v>
      </c>
      <c r="H795" s="257">
        <v>0</v>
      </c>
      <c r="I795" s="257">
        <v>0</v>
      </c>
      <c r="J795" s="257">
        <v>0</v>
      </c>
      <c r="K795" s="257">
        <v>0</v>
      </c>
      <c r="L795" s="257"/>
      <c r="M795" s="257">
        <v>0</v>
      </c>
      <c r="N795" s="257"/>
      <c r="O795" s="257">
        <v>1500000</v>
      </c>
      <c r="P795" s="257">
        <v>1500000</v>
      </c>
    </row>
    <row r="796" spans="1:16" hidden="1" x14ac:dyDescent="0.25">
      <c r="A796" s="143" t="s">
        <v>720</v>
      </c>
      <c r="B796" s="143" t="s">
        <v>77</v>
      </c>
      <c r="C796" s="143" t="s">
        <v>78</v>
      </c>
      <c r="D796" s="143" t="s">
        <v>69</v>
      </c>
      <c r="E796" s="257">
        <v>456157950</v>
      </c>
      <c r="F796" s="257">
        <v>444960170</v>
      </c>
      <c r="G796" s="257">
        <v>444960170</v>
      </c>
      <c r="H796" s="257">
        <v>0</v>
      </c>
      <c r="I796" s="257">
        <v>56270399.039999999</v>
      </c>
      <c r="J796" s="257">
        <v>0</v>
      </c>
      <c r="K796" s="257">
        <v>353110731.24000001</v>
      </c>
      <c r="L796" s="257"/>
      <c r="M796" s="257">
        <v>353110731.24000001</v>
      </c>
      <c r="N796" s="257"/>
      <c r="O796" s="257">
        <v>35579039.719999999</v>
      </c>
      <c r="P796" s="257">
        <v>35579039.719999999</v>
      </c>
    </row>
    <row r="797" spans="1:16" hidden="1" x14ac:dyDescent="0.25">
      <c r="A797" s="143" t="s">
        <v>720</v>
      </c>
      <c r="B797" s="143" t="s">
        <v>79</v>
      </c>
      <c r="C797" s="143" t="s">
        <v>80</v>
      </c>
      <c r="D797" s="143" t="s">
        <v>69</v>
      </c>
      <c r="E797" s="257">
        <v>79360300</v>
      </c>
      <c r="F797" s="257">
        <v>77213355</v>
      </c>
      <c r="G797" s="257">
        <v>77213355</v>
      </c>
      <c r="H797" s="257">
        <v>0</v>
      </c>
      <c r="I797" s="257">
        <v>0</v>
      </c>
      <c r="J797" s="257">
        <v>0</v>
      </c>
      <c r="K797" s="257">
        <v>68715666.519999996</v>
      </c>
      <c r="L797" s="257"/>
      <c r="M797" s="257">
        <v>68715666.519999996</v>
      </c>
      <c r="N797" s="257"/>
      <c r="O797" s="257">
        <v>8497688.4800000004</v>
      </c>
      <c r="P797" s="257">
        <v>8497688.4800000004</v>
      </c>
    </row>
    <row r="798" spans="1:16" hidden="1" x14ac:dyDescent="0.25">
      <c r="A798" s="143" t="s">
        <v>720</v>
      </c>
      <c r="B798" s="143" t="s">
        <v>81</v>
      </c>
      <c r="C798" s="143" t="s">
        <v>82</v>
      </c>
      <c r="D798" s="143" t="s">
        <v>69</v>
      </c>
      <c r="E798" s="257">
        <v>203715000</v>
      </c>
      <c r="F798" s="257">
        <v>201884143</v>
      </c>
      <c r="G798" s="257">
        <v>201884143</v>
      </c>
      <c r="H798" s="257">
        <v>0</v>
      </c>
      <c r="I798" s="257">
        <v>0</v>
      </c>
      <c r="J798" s="257">
        <v>0</v>
      </c>
      <c r="K798" s="257">
        <v>183568045.50999999</v>
      </c>
      <c r="L798" s="257"/>
      <c r="M798" s="257">
        <v>183568045.50999999</v>
      </c>
      <c r="N798" s="257"/>
      <c r="O798" s="257">
        <v>18316097.489999998</v>
      </c>
      <c r="P798" s="257">
        <v>18316097.489999998</v>
      </c>
    </row>
    <row r="799" spans="1:16" hidden="1" x14ac:dyDescent="0.25">
      <c r="A799" s="143" t="s">
        <v>720</v>
      </c>
      <c r="B799" s="143" t="s">
        <v>86</v>
      </c>
      <c r="C799" s="143" t="s">
        <v>87</v>
      </c>
      <c r="D799" s="143" t="s">
        <v>69</v>
      </c>
      <c r="E799" s="257">
        <v>53908100</v>
      </c>
      <c r="F799" s="257">
        <v>48408100</v>
      </c>
      <c r="G799" s="257">
        <v>48408100</v>
      </c>
      <c r="H799" s="257">
        <v>0</v>
      </c>
      <c r="I799" s="257">
        <v>0</v>
      </c>
      <c r="J799" s="257">
        <v>0</v>
      </c>
      <c r="K799" s="257">
        <v>47507997.909999996</v>
      </c>
      <c r="L799" s="257"/>
      <c r="M799" s="257">
        <v>47507997.909999996</v>
      </c>
      <c r="N799" s="257"/>
      <c r="O799" s="257">
        <v>900102.09</v>
      </c>
      <c r="P799" s="257">
        <v>900102.09</v>
      </c>
    </row>
    <row r="800" spans="1:16" hidden="1" x14ac:dyDescent="0.25">
      <c r="A800" s="143" t="s">
        <v>720</v>
      </c>
      <c r="B800" s="143" t="s">
        <v>88</v>
      </c>
      <c r="C800" s="143" t="s">
        <v>89</v>
      </c>
      <c r="D800" s="143" t="s">
        <v>69</v>
      </c>
      <c r="E800" s="257">
        <v>60590000</v>
      </c>
      <c r="F800" s="257">
        <v>60155857</v>
      </c>
      <c r="G800" s="257">
        <v>60155857</v>
      </c>
      <c r="H800" s="257">
        <v>0</v>
      </c>
      <c r="I800" s="257">
        <v>0</v>
      </c>
      <c r="J800" s="257">
        <v>0</v>
      </c>
      <c r="K800" s="257">
        <v>53319021.299999997</v>
      </c>
      <c r="L800" s="257"/>
      <c r="M800" s="257">
        <v>53319021.299999997</v>
      </c>
      <c r="N800" s="257"/>
      <c r="O800" s="257">
        <v>6836835.7000000002</v>
      </c>
      <c r="P800" s="257">
        <v>6836835.7000000002</v>
      </c>
    </row>
    <row r="801" spans="1:16" hidden="1" x14ac:dyDescent="0.25">
      <c r="A801" s="143" t="s">
        <v>720</v>
      </c>
      <c r="B801" s="143" t="s">
        <v>83</v>
      </c>
      <c r="C801" s="143" t="s">
        <v>84</v>
      </c>
      <c r="D801" s="143" t="s">
        <v>85</v>
      </c>
      <c r="E801" s="257">
        <v>58584550</v>
      </c>
      <c r="F801" s="257">
        <v>57298715</v>
      </c>
      <c r="G801" s="257">
        <v>57298715</v>
      </c>
      <c r="H801" s="257">
        <v>0</v>
      </c>
      <c r="I801" s="257">
        <v>56270399.039999999</v>
      </c>
      <c r="J801" s="257">
        <v>0</v>
      </c>
      <c r="K801" s="257">
        <v>0</v>
      </c>
      <c r="L801" s="257"/>
      <c r="M801" s="257">
        <v>0</v>
      </c>
      <c r="N801" s="257"/>
      <c r="O801" s="257">
        <v>1028315.96</v>
      </c>
      <c r="P801" s="257">
        <v>1028315.96</v>
      </c>
    </row>
    <row r="802" spans="1:16" hidden="1" x14ac:dyDescent="0.25">
      <c r="A802" s="143" t="s">
        <v>720</v>
      </c>
      <c r="B802" s="143" t="s">
        <v>90</v>
      </c>
      <c r="C802" s="143" t="s">
        <v>91</v>
      </c>
      <c r="D802" s="143" t="s">
        <v>69</v>
      </c>
      <c r="E802" s="257">
        <v>68571682</v>
      </c>
      <c r="F802" s="257">
        <v>67066655</v>
      </c>
      <c r="G802" s="257">
        <v>67066655</v>
      </c>
      <c r="H802" s="257">
        <v>0</v>
      </c>
      <c r="I802" s="257">
        <v>5174007.8</v>
      </c>
      <c r="J802" s="257">
        <v>0</v>
      </c>
      <c r="K802" s="257">
        <v>61892647.200000003</v>
      </c>
      <c r="L802" s="257"/>
      <c r="M802" s="257">
        <v>61892647.200000003</v>
      </c>
      <c r="N802" s="257"/>
      <c r="O802" s="257">
        <v>0</v>
      </c>
      <c r="P802" s="257">
        <v>0</v>
      </c>
    </row>
    <row r="803" spans="1:16" hidden="1" x14ac:dyDescent="0.25">
      <c r="A803" s="143" t="s">
        <v>720</v>
      </c>
      <c r="B803" s="143" t="s">
        <v>429</v>
      </c>
      <c r="C803" s="143" t="s">
        <v>697</v>
      </c>
      <c r="D803" s="143" t="s">
        <v>69</v>
      </c>
      <c r="E803" s="257">
        <v>65055209</v>
      </c>
      <c r="F803" s="257">
        <v>63627362</v>
      </c>
      <c r="G803" s="257">
        <v>63627362</v>
      </c>
      <c r="H803" s="257">
        <v>0</v>
      </c>
      <c r="I803" s="257">
        <v>4909567.47</v>
      </c>
      <c r="J803" s="257">
        <v>0</v>
      </c>
      <c r="K803" s="257">
        <v>58717794.530000001</v>
      </c>
      <c r="L803" s="257"/>
      <c r="M803" s="257">
        <v>58717794.530000001</v>
      </c>
      <c r="N803" s="257"/>
      <c r="O803" s="257">
        <v>0</v>
      </c>
      <c r="P803" s="257">
        <v>0</v>
      </c>
    </row>
    <row r="804" spans="1:16" hidden="1" x14ac:dyDescent="0.25">
      <c r="A804" s="143" t="s">
        <v>720</v>
      </c>
      <c r="B804" s="143" t="s">
        <v>446</v>
      </c>
      <c r="C804" s="143" t="s">
        <v>95</v>
      </c>
      <c r="D804" s="143" t="s">
        <v>69</v>
      </c>
      <c r="E804" s="257">
        <v>3516473</v>
      </c>
      <c r="F804" s="257">
        <v>3439293</v>
      </c>
      <c r="G804" s="257">
        <v>3439293</v>
      </c>
      <c r="H804" s="257">
        <v>0</v>
      </c>
      <c r="I804" s="257">
        <v>264440.33</v>
      </c>
      <c r="J804" s="257">
        <v>0</v>
      </c>
      <c r="K804" s="257">
        <v>3174852.67</v>
      </c>
      <c r="L804" s="257"/>
      <c r="M804" s="257">
        <v>3174852.67</v>
      </c>
      <c r="N804" s="257"/>
      <c r="O804" s="257">
        <v>0</v>
      </c>
      <c r="P804" s="257">
        <v>0</v>
      </c>
    </row>
    <row r="805" spans="1:16" hidden="1" x14ac:dyDescent="0.25">
      <c r="A805" s="143" t="s">
        <v>720</v>
      </c>
      <c r="B805" s="143" t="s">
        <v>96</v>
      </c>
      <c r="C805" s="143" t="s">
        <v>97</v>
      </c>
      <c r="D805" s="143" t="s">
        <v>69</v>
      </c>
      <c r="E805" s="257">
        <v>68571582</v>
      </c>
      <c r="F805" s="257">
        <v>67066556</v>
      </c>
      <c r="G805" s="257">
        <v>65480756</v>
      </c>
      <c r="H805" s="257">
        <v>0</v>
      </c>
      <c r="I805" s="257">
        <v>4097310.7</v>
      </c>
      <c r="J805" s="257">
        <v>0</v>
      </c>
      <c r="K805" s="257">
        <v>61383445.299999997</v>
      </c>
      <c r="L805" s="257"/>
      <c r="M805" s="257">
        <v>61383445.299999997</v>
      </c>
      <c r="N805" s="257"/>
      <c r="O805" s="257">
        <v>1585800</v>
      </c>
      <c r="P805" s="257">
        <v>0</v>
      </c>
    </row>
    <row r="806" spans="1:16" hidden="1" x14ac:dyDescent="0.25">
      <c r="A806" s="143" t="s">
        <v>720</v>
      </c>
      <c r="B806" s="143" t="s">
        <v>464</v>
      </c>
      <c r="C806" s="143" t="s">
        <v>698</v>
      </c>
      <c r="D806" s="143" t="s">
        <v>69</v>
      </c>
      <c r="E806" s="257">
        <v>36923221</v>
      </c>
      <c r="F806" s="257">
        <v>36112821</v>
      </c>
      <c r="G806" s="257">
        <v>36112821</v>
      </c>
      <c r="H806" s="257">
        <v>0</v>
      </c>
      <c r="I806" s="257">
        <v>3294143.74</v>
      </c>
      <c r="J806" s="257">
        <v>0</v>
      </c>
      <c r="K806" s="257">
        <v>32818677.260000002</v>
      </c>
      <c r="L806" s="257"/>
      <c r="M806" s="257">
        <v>32818677.260000002</v>
      </c>
      <c r="N806" s="257"/>
      <c r="O806" s="257">
        <v>0</v>
      </c>
      <c r="P806" s="257">
        <v>0</v>
      </c>
    </row>
    <row r="807" spans="1:16" hidden="1" x14ac:dyDescent="0.25">
      <c r="A807" s="143" t="s">
        <v>720</v>
      </c>
      <c r="B807" s="143" t="s">
        <v>481</v>
      </c>
      <c r="C807" s="143" t="s">
        <v>699</v>
      </c>
      <c r="D807" s="143" t="s">
        <v>69</v>
      </c>
      <c r="E807" s="257">
        <v>10549420</v>
      </c>
      <c r="F807" s="257">
        <v>10317878</v>
      </c>
      <c r="G807" s="257">
        <v>10317878</v>
      </c>
      <c r="H807" s="257">
        <v>0</v>
      </c>
      <c r="I807" s="257">
        <v>6803.41</v>
      </c>
      <c r="J807" s="257">
        <v>0</v>
      </c>
      <c r="K807" s="257">
        <v>10311074.59</v>
      </c>
      <c r="L807" s="257"/>
      <c r="M807" s="257">
        <v>10311074.59</v>
      </c>
      <c r="N807" s="257"/>
      <c r="O807" s="257">
        <v>0</v>
      </c>
      <c r="P807" s="257">
        <v>0</v>
      </c>
    </row>
    <row r="808" spans="1:16" hidden="1" x14ac:dyDescent="0.25">
      <c r="A808" s="143" t="s">
        <v>720</v>
      </c>
      <c r="B808" s="143" t="s">
        <v>498</v>
      </c>
      <c r="C808" s="143" t="s">
        <v>700</v>
      </c>
      <c r="D808" s="143" t="s">
        <v>69</v>
      </c>
      <c r="E808" s="257">
        <v>21098941</v>
      </c>
      <c r="F808" s="257">
        <v>20635857</v>
      </c>
      <c r="G808" s="257">
        <v>19050057</v>
      </c>
      <c r="H808" s="257">
        <v>0</v>
      </c>
      <c r="I808" s="257">
        <v>796363.55</v>
      </c>
      <c r="J808" s="257">
        <v>0</v>
      </c>
      <c r="K808" s="257">
        <v>18253693.449999999</v>
      </c>
      <c r="L808" s="257"/>
      <c r="M808" s="257">
        <v>18253693.449999999</v>
      </c>
      <c r="N808" s="257"/>
      <c r="O808" s="257">
        <v>1585800</v>
      </c>
      <c r="P808" s="257">
        <v>0</v>
      </c>
    </row>
    <row r="809" spans="1:16" hidden="1" x14ac:dyDescent="0.25">
      <c r="A809" s="143" t="s">
        <v>720</v>
      </c>
      <c r="B809" s="143" t="s">
        <v>104</v>
      </c>
      <c r="C809" s="143" t="s">
        <v>105</v>
      </c>
      <c r="D809" s="143" t="s">
        <v>69</v>
      </c>
      <c r="E809" s="257">
        <v>7541300</v>
      </c>
      <c r="F809" s="257">
        <v>1342928</v>
      </c>
      <c r="G809" s="257">
        <v>1342928</v>
      </c>
      <c r="H809" s="257">
        <v>0</v>
      </c>
      <c r="I809" s="257">
        <v>0</v>
      </c>
      <c r="J809" s="257">
        <v>0</v>
      </c>
      <c r="K809" s="257">
        <v>1342926.72</v>
      </c>
      <c r="L809" s="257"/>
      <c r="M809" s="257">
        <v>1342926.72</v>
      </c>
      <c r="N809" s="257"/>
      <c r="O809" s="257">
        <v>1.28</v>
      </c>
      <c r="P809" s="257">
        <v>1.28</v>
      </c>
    </row>
    <row r="810" spans="1:16" hidden="1" x14ac:dyDescent="0.25">
      <c r="A810" s="143" t="s">
        <v>720</v>
      </c>
      <c r="B810" s="143" t="s">
        <v>140</v>
      </c>
      <c r="C810" s="143" t="s">
        <v>141</v>
      </c>
      <c r="D810" s="143" t="s">
        <v>69</v>
      </c>
      <c r="E810" s="257">
        <v>7541300</v>
      </c>
      <c r="F810" s="257">
        <v>1342928</v>
      </c>
      <c r="G810" s="257">
        <v>1342928</v>
      </c>
      <c r="H810" s="257">
        <v>0</v>
      </c>
      <c r="I810" s="257">
        <v>0</v>
      </c>
      <c r="J810" s="257">
        <v>0</v>
      </c>
      <c r="K810" s="257">
        <v>1342926.72</v>
      </c>
      <c r="L810" s="257"/>
      <c r="M810" s="257">
        <v>1342926.72</v>
      </c>
      <c r="N810" s="257"/>
      <c r="O810" s="257">
        <v>1.28</v>
      </c>
      <c r="P810" s="257">
        <v>1.28</v>
      </c>
    </row>
    <row r="811" spans="1:16" hidden="1" x14ac:dyDescent="0.25">
      <c r="A811" s="143" t="s">
        <v>720</v>
      </c>
      <c r="B811" s="143" t="s">
        <v>146</v>
      </c>
      <c r="C811" s="143" t="s">
        <v>147</v>
      </c>
      <c r="D811" s="143" t="s">
        <v>69</v>
      </c>
      <c r="E811" s="257">
        <v>2513800</v>
      </c>
      <c r="F811" s="257">
        <v>434386</v>
      </c>
      <c r="G811" s="257">
        <v>434386</v>
      </c>
      <c r="H811" s="257">
        <v>0</v>
      </c>
      <c r="I811" s="257">
        <v>0</v>
      </c>
      <c r="J811" s="257">
        <v>0</v>
      </c>
      <c r="K811" s="257">
        <v>434385.63</v>
      </c>
      <c r="L811" s="257"/>
      <c r="M811" s="257">
        <v>434385.63</v>
      </c>
      <c r="N811" s="257"/>
      <c r="O811" s="257">
        <v>0.37</v>
      </c>
      <c r="P811" s="257">
        <v>0.37</v>
      </c>
    </row>
    <row r="812" spans="1:16" hidden="1" x14ac:dyDescent="0.25">
      <c r="A812" s="143" t="s">
        <v>720</v>
      </c>
      <c r="B812" s="143" t="s">
        <v>148</v>
      </c>
      <c r="C812" s="143" t="s">
        <v>149</v>
      </c>
      <c r="D812" s="143" t="s">
        <v>69</v>
      </c>
      <c r="E812" s="257">
        <v>5027500</v>
      </c>
      <c r="F812" s="257">
        <v>908542</v>
      </c>
      <c r="G812" s="257">
        <v>908542</v>
      </c>
      <c r="H812" s="257">
        <v>0</v>
      </c>
      <c r="I812" s="257">
        <v>0</v>
      </c>
      <c r="J812" s="257">
        <v>0</v>
      </c>
      <c r="K812" s="257">
        <v>908541.09</v>
      </c>
      <c r="L812" s="257"/>
      <c r="M812" s="257">
        <v>908541.09</v>
      </c>
      <c r="N812" s="257"/>
      <c r="O812" s="257">
        <v>0.91</v>
      </c>
      <c r="P812" s="257">
        <v>0.91</v>
      </c>
    </row>
    <row r="813" spans="1:16" hidden="1" x14ac:dyDescent="0.25">
      <c r="A813" s="143" t="s">
        <v>720</v>
      </c>
      <c r="B813" s="143" t="s">
        <v>248</v>
      </c>
      <c r="C813" s="143" t="s">
        <v>249</v>
      </c>
      <c r="D813" s="143" t="s">
        <v>69</v>
      </c>
      <c r="E813" s="257">
        <v>11674695</v>
      </c>
      <c r="F813" s="257">
        <v>15418456</v>
      </c>
      <c r="G813" s="257">
        <v>15418456</v>
      </c>
      <c r="H813" s="257">
        <v>0</v>
      </c>
      <c r="I813" s="257">
        <v>1119387.7</v>
      </c>
      <c r="J813" s="257">
        <v>0</v>
      </c>
      <c r="K813" s="257">
        <v>11152489.300000001</v>
      </c>
      <c r="L813" s="257"/>
      <c r="M813" s="257">
        <v>11152489.300000001</v>
      </c>
      <c r="N813" s="257"/>
      <c r="O813" s="257">
        <v>3146579</v>
      </c>
      <c r="P813" s="257">
        <v>3146579</v>
      </c>
    </row>
    <row r="814" spans="1:16" hidden="1" x14ac:dyDescent="0.25">
      <c r="A814" s="143" t="s">
        <v>720</v>
      </c>
      <c r="B814" s="143" t="s">
        <v>250</v>
      </c>
      <c r="C814" s="143" t="s">
        <v>251</v>
      </c>
      <c r="D814" s="143" t="s">
        <v>69</v>
      </c>
      <c r="E814" s="257">
        <v>11674695</v>
      </c>
      <c r="F814" s="257">
        <v>11418456</v>
      </c>
      <c r="G814" s="257">
        <v>11418456</v>
      </c>
      <c r="H814" s="257">
        <v>0</v>
      </c>
      <c r="I814" s="257">
        <v>1119387.7</v>
      </c>
      <c r="J814" s="257">
        <v>0</v>
      </c>
      <c r="K814" s="257">
        <v>10299068.300000001</v>
      </c>
      <c r="L814" s="257"/>
      <c r="M814" s="257">
        <v>10299068.300000001</v>
      </c>
      <c r="N814" s="257"/>
      <c r="O814" s="257">
        <v>0</v>
      </c>
      <c r="P814" s="257">
        <v>0</v>
      </c>
    </row>
    <row r="815" spans="1:16" hidden="1" x14ac:dyDescent="0.25">
      <c r="A815" s="143" t="s">
        <v>720</v>
      </c>
      <c r="B815" s="143" t="s">
        <v>638</v>
      </c>
      <c r="C815" s="143" t="s">
        <v>702</v>
      </c>
      <c r="D815" s="143" t="s">
        <v>69</v>
      </c>
      <c r="E815" s="257">
        <v>9916509</v>
      </c>
      <c r="F815" s="257">
        <v>9698859</v>
      </c>
      <c r="G815" s="257">
        <v>9698859</v>
      </c>
      <c r="H815" s="257">
        <v>0</v>
      </c>
      <c r="I815" s="257">
        <v>977775.59</v>
      </c>
      <c r="J815" s="257">
        <v>0</v>
      </c>
      <c r="K815" s="257">
        <v>8721083.4100000001</v>
      </c>
      <c r="L815" s="257"/>
      <c r="M815" s="257">
        <v>8721083.4100000001</v>
      </c>
      <c r="N815" s="257"/>
      <c r="O815" s="257">
        <v>0</v>
      </c>
      <c r="P815" s="257">
        <v>0</v>
      </c>
    </row>
    <row r="816" spans="1:16" hidden="1" x14ac:dyDescent="0.25">
      <c r="A816" s="143" t="s">
        <v>720</v>
      </c>
      <c r="B816" s="143" t="s">
        <v>653</v>
      </c>
      <c r="C816" s="143" t="s">
        <v>703</v>
      </c>
      <c r="D816" s="143" t="s">
        <v>69</v>
      </c>
      <c r="E816" s="257">
        <v>1758186</v>
      </c>
      <c r="F816" s="257">
        <v>1719597</v>
      </c>
      <c r="G816" s="257">
        <v>1719597</v>
      </c>
      <c r="H816" s="257">
        <v>0</v>
      </c>
      <c r="I816" s="257">
        <v>141612.10999999999</v>
      </c>
      <c r="J816" s="257">
        <v>0</v>
      </c>
      <c r="K816" s="257">
        <v>1577984.89</v>
      </c>
      <c r="L816" s="257"/>
      <c r="M816" s="257">
        <v>1577984.89</v>
      </c>
      <c r="N816" s="257"/>
      <c r="O816" s="257">
        <v>0</v>
      </c>
      <c r="P816" s="257">
        <v>0</v>
      </c>
    </row>
    <row r="817" spans="1:16" hidden="1" x14ac:dyDescent="0.25">
      <c r="A817" s="143" t="s">
        <v>720</v>
      </c>
      <c r="B817" s="143" t="s">
        <v>260</v>
      </c>
      <c r="C817" s="143" t="s">
        <v>261</v>
      </c>
      <c r="D817" s="143" t="s">
        <v>69</v>
      </c>
      <c r="E817" s="257">
        <v>0</v>
      </c>
      <c r="F817" s="257">
        <v>4000000</v>
      </c>
      <c r="G817" s="257">
        <v>4000000</v>
      </c>
      <c r="H817" s="257">
        <v>0</v>
      </c>
      <c r="I817" s="257">
        <v>0</v>
      </c>
      <c r="J817" s="257">
        <v>0</v>
      </c>
      <c r="K817" s="257">
        <v>853421</v>
      </c>
      <c r="L817" s="257"/>
      <c r="M817" s="257">
        <v>853421</v>
      </c>
      <c r="N817" s="257"/>
      <c r="O817" s="257">
        <v>3146579</v>
      </c>
      <c r="P817" s="257">
        <v>3146579</v>
      </c>
    </row>
    <row r="818" spans="1:16" hidden="1" x14ac:dyDescent="0.25">
      <c r="A818" s="143" t="s">
        <v>720</v>
      </c>
      <c r="B818" s="143" t="s">
        <v>264</v>
      </c>
      <c r="C818" s="143" t="s">
        <v>265</v>
      </c>
      <c r="D818" s="143" t="s">
        <v>69</v>
      </c>
      <c r="E818" s="257">
        <v>0</v>
      </c>
      <c r="F818" s="257">
        <v>4000000</v>
      </c>
      <c r="G818" s="257">
        <v>4000000</v>
      </c>
      <c r="H818" s="257">
        <v>0</v>
      </c>
      <c r="I818" s="257">
        <v>0</v>
      </c>
      <c r="J818" s="257">
        <v>0</v>
      </c>
      <c r="K818" s="257">
        <v>853421</v>
      </c>
      <c r="L818" s="257"/>
      <c r="M818" s="257">
        <v>853421</v>
      </c>
      <c r="N818" s="257"/>
      <c r="O818" s="257">
        <v>3146579</v>
      </c>
      <c r="P818" s="257">
        <v>3146579</v>
      </c>
    </row>
    <row r="819" spans="1:16" x14ac:dyDescent="0.25">
      <c r="A819" s="44">
        <v>214794</v>
      </c>
      <c r="C819" s="44"/>
      <c r="D819" s="44" t="s">
        <v>69</v>
      </c>
      <c r="E819" s="257">
        <v>13895221022</v>
      </c>
      <c r="F819" s="50">
        <v>12811668105</v>
      </c>
      <c r="G819" s="257">
        <v>12782677066</v>
      </c>
      <c r="H819" s="50">
        <v>0</v>
      </c>
      <c r="I819" s="50">
        <v>1060844593.9400001</v>
      </c>
      <c r="J819" s="50">
        <v>0</v>
      </c>
      <c r="K819" s="50">
        <v>10395424083.360001</v>
      </c>
      <c r="L819" s="152">
        <f>+K819/F819</f>
        <v>0.81140285544104807</v>
      </c>
      <c r="M819" s="50">
        <v>10395424083.360001</v>
      </c>
      <c r="N819" s="152">
        <f>+M819/F819</f>
        <v>0.81140285544104807</v>
      </c>
      <c r="O819" s="50">
        <v>1355399427.7</v>
      </c>
      <c r="P819" s="152">
        <f>+O819/F819</f>
        <v>0.10579414144915519</v>
      </c>
    </row>
    <row r="820" spans="1:16" hidden="1" x14ac:dyDescent="0.25">
      <c r="A820" s="143" t="s">
        <v>721</v>
      </c>
      <c r="B820" s="143" t="s">
        <v>71</v>
      </c>
      <c r="C820" s="143" t="s">
        <v>72</v>
      </c>
      <c r="D820" s="143" t="s">
        <v>69</v>
      </c>
      <c r="E820" s="257">
        <v>13427888280</v>
      </c>
      <c r="F820" s="257">
        <v>12234029945.5</v>
      </c>
      <c r="G820" s="257">
        <v>12205038906.5</v>
      </c>
      <c r="H820" s="257">
        <v>0</v>
      </c>
      <c r="I820" s="257">
        <v>954772999.23000002</v>
      </c>
      <c r="J820" s="257">
        <v>0</v>
      </c>
      <c r="K820" s="257">
        <v>9942635586.0699997</v>
      </c>
      <c r="L820" s="257"/>
      <c r="M820" s="257">
        <v>9942635586.0699997</v>
      </c>
      <c r="N820" s="257"/>
      <c r="O820" s="257">
        <v>1336621360.2</v>
      </c>
      <c r="P820" s="257">
        <v>1307630321.2</v>
      </c>
    </row>
    <row r="821" spans="1:16" hidden="1" x14ac:dyDescent="0.25">
      <c r="A821" s="143" t="s">
        <v>721</v>
      </c>
      <c r="B821" s="143" t="s">
        <v>73</v>
      </c>
      <c r="C821" s="143" t="s">
        <v>74</v>
      </c>
      <c r="D821" s="143" t="s">
        <v>69</v>
      </c>
      <c r="E821" s="257">
        <v>4501527400</v>
      </c>
      <c r="F821" s="257">
        <v>3967779103.5</v>
      </c>
      <c r="G821" s="257">
        <v>3967779103.5</v>
      </c>
      <c r="H821" s="257">
        <v>0</v>
      </c>
      <c r="I821" s="257">
        <v>0</v>
      </c>
      <c r="J821" s="257">
        <v>0</v>
      </c>
      <c r="K821" s="257">
        <v>3460947432.0700002</v>
      </c>
      <c r="L821" s="257"/>
      <c r="M821" s="257">
        <v>3460947432.0700002</v>
      </c>
      <c r="N821" s="257"/>
      <c r="O821" s="257">
        <v>506831671.43000001</v>
      </c>
      <c r="P821" s="257">
        <v>506831671.43000001</v>
      </c>
    </row>
    <row r="822" spans="1:16" hidden="1" x14ac:dyDescent="0.25">
      <c r="A822" s="143" t="s">
        <v>721</v>
      </c>
      <c r="B822" s="143" t="s">
        <v>75</v>
      </c>
      <c r="C822" s="143" t="s">
        <v>76</v>
      </c>
      <c r="D822" s="143" t="s">
        <v>69</v>
      </c>
      <c r="E822" s="257">
        <v>4501527400</v>
      </c>
      <c r="F822" s="257">
        <v>3967779103.5</v>
      </c>
      <c r="G822" s="257">
        <v>3967779103.5</v>
      </c>
      <c r="H822" s="257">
        <v>0</v>
      </c>
      <c r="I822" s="257">
        <v>0</v>
      </c>
      <c r="J822" s="257">
        <v>0</v>
      </c>
      <c r="K822" s="257">
        <v>3460947432.0700002</v>
      </c>
      <c r="L822" s="257"/>
      <c r="M822" s="257">
        <v>3460947432.0700002</v>
      </c>
      <c r="N822" s="257"/>
      <c r="O822" s="257">
        <v>506831671.43000001</v>
      </c>
      <c r="P822" s="257">
        <v>506831671.43000001</v>
      </c>
    </row>
    <row r="823" spans="1:16" hidden="1" x14ac:dyDescent="0.25">
      <c r="A823" s="143" t="s">
        <v>721</v>
      </c>
      <c r="B823" s="143" t="s">
        <v>77</v>
      </c>
      <c r="C823" s="143" t="s">
        <v>78</v>
      </c>
      <c r="D823" s="143" t="s">
        <v>69</v>
      </c>
      <c r="E823" s="257">
        <v>6803353044</v>
      </c>
      <c r="F823" s="257">
        <v>6343742127</v>
      </c>
      <c r="G823" s="257">
        <v>6343742127</v>
      </c>
      <c r="H823" s="257">
        <v>0</v>
      </c>
      <c r="I823" s="257">
        <v>738752313.99000001</v>
      </c>
      <c r="J823" s="257">
        <v>0</v>
      </c>
      <c r="K823" s="257">
        <v>4829993811.2399998</v>
      </c>
      <c r="L823" s="257"/>
      <c r="M823" s="257">
        <v>4829993811.2399998</v>
      </c>
      <c r="N823" s="257"/>
      <c r="O823" s="257">
        <v>774996001.76999998</v>
      </c>
      <c r="P823" s="257">
        <v>774996001.76999998</v>
      </c>
    </row>
    <row r="824" spans="1:16" hidden="1" x14ac:dyDescent="0.25">
      <c r="A824" s="143" t="s">
        <v>721</v>
      </c>
      <c r="B824" s="143" t="s">
        <v>79</v>
      </c>
      <c r="C824" s="143" t="s">
        <v>80</v>
      </c>
      <c r="D824" s="143" t="s">
        <v>69</v>
      </c>
      <c r="E824" s="257">
        <v>1381150100</v>
      </c>
      <c r="F824" s="257">
        <v>1278788592</v>
      </c>
      <c r="G824" s="257">
        <v>1278788592</v>
      </c>
      <c r="H824" s="257">
        <v>0</v>
      </c>
      <c r="I824" s="257">
        <v>0</v>
      </c>
      <c r="J824" s="257">
        <v>0</v>
      </c>
      <c r="K824" s="257">
        <v>1123920030.6800001</v>
      </c>
      <c r="L824" s="257"/>
      <c r="M824" s="257">
        <v>1123920030.6800001</v>
      </c>
      <c r="N824" s="257"/>
      <c r="O824" s="257">
        <v>154868561.31999999</v>
      </c>
      <c r="P824" s="257">
        <v>154868561.31999999</v>
      </c>
    </row>
    <row r="825" spans="1:16" hidden="1" x14ac:dyDescent="0.25">
      <c r="A825" s="143" t="s">
        <v>721</v>
      </c>
      <c r="B825" s="143" t="s">
        <v>81</v>
      </c>
      <c r="C825" s="143" t="s">
        <v>82</v>
      </c>
      <c r="D825" s="143" t="s">
        <v>69</v>
      </c>
      <c r="E825" s="257">
        <v>2537511300</v>
      </c>
      <c r="F825" s="257">
        <v>2321501510</v>
      </c>
      <c r="G825" s="257">
        <v>2321501510</v>
      </c>
      <c r="H825" s="257">
        <v>0</v>
      </c>
      <c r="I825" s="257">
        <v>0</v>
      </c>
      <c r="J825" s="257">
        <v>0</v>
      </c>
      <c r="K825" s="257">
        <v>2025812097.6800001</v>
      </c>
      <c r="L825" s="257"/>
      <c r="M825" s="257">
        <v>2025812097.6800001</v>
      </c>
      <c r="N825" s="257"/>
      <c r="O825" s="257">
        <v>295689412.31999999</v>
      </c>
      <c r="P825" s="257">
        <v>295689412.31999999</v>
      </c>
    </row>
    <row r="826" spans="1:16" hidden="1" x14ac:dyDescent="0.25">
      <c r="A826" s="143" t="s">
        <v>721</v>
      </c>
      <c r="B826" s="143" t="s">
        <v>86</v>
      </c>
      <c r="C826" s="143" t="s">
        <v>87</v>
      </c>
      <c r="D826" s="143" t="s">
        <v>69</v>
      </c>
      <c r="E826" s="257">
        <v>799025700</v>
      </c>
      <c r="F826" s="257">
        <v>799025700</v>
      </c>
      <c r="G826" s="257">
        <v>799025700</v>
      </c>
      <c r="H826" s="257">
        <v>0</v>
      </c>
      <c r="I826" s="257">
        <v>5868601.2699999996</v>
      </c>
      <c r="J826" s="257">
        <v>0</v>
      </c>
      <c r="K826" s="257">
        <v>721573661.40999997</v>
      </c>
      <c r="L826" s="257"/>
      <c r="M826" s="257">
        <v>721573661.40999997</v>
      </c>
      <c r="N826" s="257"/>
      <c r="O826" s="257">
        <v>71583437.319999993</v>
      </c>
      <c r="P826" s="257">
        <v>71583437.319999993</v>
      </c>
    </row>
    <row r="827" spans="1:16" hidden="1" x14ac:dyDescent="0.25">
      <c r="A827" s="143" t="s">
        <v>721</v>
      </c>
      <c r="B827" s="143" t="s">
        <v>88</v>
      </c>
      <c r="C827" s="143" t="s">
        <v>89</v>
      </c>
      <c r="D827" s="143" t="s">
        <v>69</v>
      </c>
      <c r="E827" s="257">
        <v>1216380900</v>
      </c>
      <c r="F827" s="257">
        <v>1125506069</v>
      </c>
      <c r="G827" s="257">
        <v>1125506069</v>
      </c>
      <c r="H827" s="257">
        <v>0</v>
      </c>
      <c r="I827" s="257">
        <v>0</v>
      </c>
      <c r="J827" s="257">
        <v>0</v>
      </c>
      <c r="K827" s="257">
        <v>958346100.87</v>
      </c>
      <c r="L827" s="257"/>
      <c r="M827" s="257">
        <v>958346100.87</v>
      </c>
      <c r="N827" s="257"/>
      <c r="O827" s="257">
        <v>167159968.13</v>
      </c>
      <c r="P827" s="257">
        <v>167159968.13</v>
      </c>
    </row>
    <row r="828" spans="1:16" hidden="1" x14ac:dyDescent="0.25">
      <c r="A828" s="143" t="s">
        <v>721</v>
      </c>
      <c r="B828" s="143" t="s">
        <v>83</v>
      </c>
      <c r="C828" s="143" t="s">
        <v>84</v>
      </c>
      <c r="D828" s="143" t="s">
        <v>85</v>
      </c>
      <c r="E828" s="257">
        <v>869285044</v>
      </c>
      <c r="F828" s="257">
        <v>818920256</v>
      </c>
      <c r="G828" s="257">
        <v>818920256</v>
      </c>
      <c r="H828" s="257">
        <v>0</v>
      </c>
      <c r="I828" s="257">
        <v>732883712.72000003</v>
      </c>
      <c r="J828" s="257">
        <v>0</v>
      </c>
      <c r="K828" s="257">
        <v>341920.6</v>
      </c>
      <c r="L828" s="257"/>
      <c r="M828" s="257">
        <v>341920.6</v>
      </c>
      <c r="N828" s="257"/>
      <c r="O828" s="257">
        <v>85694622.680000007</v>
      </c>
      <c r="P828" s="257">
        <v>85694622.680000007</v>
      </c>
    </row>
    <row r="829" spans="1:16" hidden="1" x14ac:dyDescent="0.25">
      <c r="A829" s="143" t="s">
        <v>721</v>
      </c>
      <c r="B829" s="143" t="s">
        <v>90</v>
      </c>
      <c r="C829" s="143" t="s">
        <v>91</v>
      </c>
      <c r="D829" s="143" t="s">
        <v>69</v>
      </c>
      <c r="E829" s="257">
        <v>1017470468</v>
      </c>
      <c r="F829" s="257">
        <v>929763051</v>
      </c>
      <c r="G829" s="257">
        <v>929763051</v>
      </c>
      <c r="H829" s="257">
        <v>0</v>
      </c>
      <c r="I829" s="257">
        <v>120824749</v>
      </c>
      <c r="J829" s="257">
        <v>0</v>
      </c>
      <c r="K829" s="257">
        <v>808938302</v>
      </c>
      <c r="L829" s="257"/>
      <c r="M829" s="257">
        <v>808938302</v>
      </c>
      <c r="N829" s="257"/>
      <c r="O829" s="257">
        <v>0</v>
      </c>
      <c r="P829" s="257">
        <v>0</v>
      </c>
    </row>
    <row r="830" spans="1:16" hidden="1" x14ac:dyDescent="0.25">
      <c r="A830" s="143" t="s">
        <v>721</v>
      </c>
      <c r="B830" s="143" t="s">
        <v>430</v>
      </c>
      <c r="C830" s="143" t="s">
        <v>697</v>
      </c>
      <c r="D830" s="143" t="s">
        <v>69</v>
      </c>
      <c r="E830" s="257">
        <v>965292547</v>
      </c>
      <c r="F830" s="257">
        <v>882083282</v>
      </c>
      <c r="G830" s="257">
        <v>882083282</v>
      </c>
      <c r="H830" s="257">
        <v>0</v>
      </c>
      <c r="I830" s="257">
        <v>114625760</v>
      </c>
      <c r="J830" s="257">
        <v>0</v>
      </c>
      <c r="K830" s="257">
        <v>767457522</v>
      </c>
      <c r="L830" s="257"/>
      <c r="M830" s="257">
        <v>767457522</v>
      </c>
      <c r="N830" s="257"/>
      <c r="O830" s="257">
        <v>0</v>
      </c>
      <c r="P830" s="257">
        <v>0</v>
      </c>
    </row>
    <row r="831" spans="1:16" hidden="1" x14ac:dyDescent="0.25">
      <c r="A831" s="143" t="s">
        <v>721</v>
      </c>
      <c r="B831" s="143" t="s">
        <v>447</v>
      </c>
      <c r="C831" s="143" t="s">
        <v>95</v>
      </c>
      <c r="D831" s="143" t="s">
        <v>69</v>
      </c>
      <c r="E831" s="257">
        <v>52177921</v>
      </c>
      <c r="F831" s="257">
        <v>47679769</v>
      </c>
      <c r="G831" s="257">
        <v>47679769</v>
      </c>
      <c r="H831" s="257">
        <v>0</v>
      </c>
      <c r="I831" s="257">
        <v>6198989</v>
      </c>
      <c r="J831" s="257">
        <v>0</v>
      </c>
      <c r="K831" s="257">
        <v>41480780</v>
      </c>
      <c r="L831" s="257"/>
      <c r="M831" s="257">
        <v>41480780</v>
      </c>
      <c r="N831" s="257"/>
      <c r="O831" s="257">
        <v>0</v>
      </c>
      <c r="P831" s="257">
        <v>0</v>
      </c>
    </row>
    <row r="832" spans="1:16" hidden="1" x14ac:dyDescent="0.25">
      <c r="A832" s="143" t="s">
        <v>721</v>
      </c>
      <c r="B832" s="143" t="s">
        <v>96</v>
      </c>
      <c r="C832" s="143" t="s">
        <v>97</v>
      </c>
      <c r="D832" s="143" t="s">
        <v>69</v>
      </c>
      <c r="E832" s="257">
        <v>1105537368</v>
      </c>
      <c r="F832" s="257">
        <v>992745664</v>
      </c>
      <c r="G832" s="257">
        <v>963754625</v>
      </c>
      <c r="H832" s="257">
        <v>0</v>
      </c>
      <c r="I832" s="257">
        <v>95195936.239999995</v>
      </c>
      <c r="J832" s="257">
        <v>0</v>
      </c>
      <c r="K832" s="257">
        <v>842756040.75999999</v>
      </c>
      <c r="L832" s="257"/>
      <c r="M832" s="257">
        <v>842756040.75999999</v>
      </c>
      <c r="N832" s="257"/>
      <c r="O832" s="257">
        <v>54793687</v>
      </c>
      <c r="P832" s="257">
        <v>25802648</v>
      </c>
    </row>
    <row r="833" spans="1:16" hidden="1" x14ac:dyDescent="0.25">
      <c r="A833" s="143" t="s">
        <v>721</v>
      </c>
      <c r="B833" s="143" t="s">
        <v>465</v>
      </c>
      <c r="C833" s="143" t="s">
        <v>698</v>
      </c>
      <c r="D833" s="143" t="s">
        <v>69</v>
      </c>
      <c r="E833" s="257">
        <v>547868675</v>
      </c>
      <c r="F833" s="257">
        <v>475557312</v>
      </c>
      <c r="G833" s="257">
        <v>475557312</v>
      </c>
      <c r="H833" s="257">
        <v>0</v>
      </c>
      <c r="I833" s="257">
        <v>54185718</v>
      </c>
      <c r="J833" s="257">
        <v>0</v>
      </c>
      <c r="K833" s="257">
        <v>396287296</v>
      </c>
      <c r="L833" s="257"/>
      <c r="M833" s="257">
        <v>396287296</v>
      </c>
      <c r="N833" s="257"/>
      <c r="O833" s="257">
        <v>25084298</v>
      </c>
      <c r="P833" s="257">
        <v>25084298</v>
      </c>
    </row>
    <row r="834" spans="1:16" hidden="1" x14ac:dyDescent="0.25">
      <c r="A834" s="143" t="s">
        <v>721</v>
      </c>
      <c r="B834" s="143" t="s">
        <v>482</v>
      </c>
      <c r="C834" s="143" t="s">
        <v>699</v>
      </c>
      <c r="D834" s="143" t="s">
        <v>69</v>
      </c>
      <c r="E834" s="257">
        <v>156533864</v>
      </c>
      <c r="F834" s="257">
        <v>143040417</v>
      </c>
      <c r="G834" s="257">
        <v>143040417</v>
      </c>
      <c r="H834" s="257">
        <v>0</v>
      </c>
      <c r="I834" s="257">
        <v>8211832</v>
      </c>
      <c r="J834" s="257">
        <v>0</v>
      </c>
      <c r="K834" s="257">
        <v>134828585</v>
      </c>
      <c r="L834" s="257"/>
      <c r="M834" s="257">
        <v>134828585</v>
      </c>
      <c r="N834" s="257"/>
      <c r="O834" s="257">
        <v>0</v>
      </c>
      <c r="P834" s="257">
        <v>0</v>
      </c>
    </row>
    <row r="835" spans="1:16" hidden="1" x14ac:dyDescent="0.25">
      <c r="A835" s="143" t="s">
        <v>721</v>
      </c>
      <c r="B835" s="143" t="s">
        <v>499</v>
      </c>
      <c r="C835" s="143" t="s">
        <v>700</v>
      </c>
      <c r="D835" s="143" t="s">
        <v>69</v>
      </c>
      <c r="E835" s="257">
        <v>313067829</v>
      </c>
      <c r="F835" s="257">
        <v>286080935</v>
      </c>
      <c r="G835" s="257">
        <v>257089896</v>
      </c>
      <c r="H835" s="257">
        <v>0</v>
      </c>
      <c r="I835" s="257">
        <v>18598170</v>
      </c>
      <c r="J835" s="257">
        <v>0</v>
      </c>
      <c r="K835" s="257">
        <v>238491726</v>
      </c>
      <c r="L835" s="257"/>
      <c r="M835" s="257">
        <v>238491726</v>
      </c>
      <c r="N835" s="257"/>
      <c r="O835" s="257">
        <v>28991039</v>
      </c>
      <c r="P835" s="257">
        <v>0</v>
      </c>
    </row>
    <row r="836" spans="1:16" hidden="1" x14ac:dyDescent="0.25">
      <c r="A836" s="143" t="s">
        <v>721</v>
      </c>
      <c r="B836" s="143" t="s">
        <v>516</v>
      </c>
      <c r="C836" s="143" t="s">
        <v>722</v>
      </c>
      <c r="D836" s="143" t="s">
        <v>69</v>
      </c>
      <c r="E836" s="257">
        <v>88067000</v>
      </c>
      <c r="F836" s="257">
        <v>88067000</v>
      </c>
      <c r="G836" s="257">
        <v>88067000</v>
      </c>
      <c r="H836" s="257">
        <v>0</v>
      </c>
      <c r="I836" s="257">
        <v>14200216.24</v>
      </c>
      <c r="J836" s="257">
        <v>0</v>
      </c>
      <c r="K836" s="257">
        <v>73148433.760000005</v>
      </c>
      <c r="L836" s="257"/>
      <c r="M836" s="257">
        <v>73148433.760000005</v>
      </c>
      <c r="N836" s="257"/>
      <c r="O836" s="257">
        <v>718350</v>
      </c>
      <c r="P836" s="257">
        <v>718350</v>
      </c>
    </row>
    <row r="837" spans="1:16" hidden="1" x14ac:dyDescent="0.25">
      <c r="A837" s="143" t="s">
        <v>721</v>
      </c>
      <c r="B837" s="143" t="s">
        <v>104</v>
      </c>
      <c r="C837" s="143" t="s">
        <v>105</v>
      </c>
      <c r="D837" s="143" t="s">
        <v>69</v>
      </c>
      <c r="E837" s="257">
        <v>45500000</v>
      </c>
      <c r="F837" s="257">
        <v>44866179</v>
      </c>
      <c r="G837" s="257">
        <v>44866179</v>
      </c>
      <c r="H837" s="257">
        <v>0</v>
      </c>
      <c r="I837" s="257">
        <v>886800</v>
      </c>
      <c r="J837" s="257">
        <v>0</v>
      </c>
      <c r="K837" s="257">
        <v>43979379</v>
      </c>
      <c r="L837" s="257"/>
      <c r="M837" s="257">
        <v>43979379</v>
      </c>
      <c r="N837" s="257"/>
      <c r="O837" s="257">
        <v>0</v>
      </c>
      <c r="P837" s="257">
        <v>0</v>
      </c>
    </row>
    <row r="838" spans="1:16" hidden="1" x14ac:dyDescent="0.25">
      <c r="A838" s="143" t="s">
        <v>721</v>
      </c>
      <c r="B838" s="143" t="s">
        <v>150</v>
      </c>
      <c r="C838" s="143" t="s">
        <v>151</v>
      </c>
      <c r="D838" s="143" t="s">
        <v>69</v>
      </c>
      <c r="E838" s="257">
        <v>45500000</v>
      </c>
      <c r="F838" s="257">
        <v>44866179</v>
      </c>
      <c r="G838" s="257">
        <v>44866179</v>
      </c>
      <c r="H838" s="257">
        <v>0</v>
      </c>
      <c r="I838" s="257">
        <v>886800</v>
      </c>
      <c r="J838" s="257">
        <v>0</v>
      </c>
      <c r="K838" s="257">
        <v>43979379</v>
      </c>
      <c r="L838" s="257"/>
      <c r="M838" s="257">
        <v>43979379</v>
      </c>
      <c r="N838" s="257"/>
      <c r="O838" s="257">
        <v>0</v>
      </c>
      <c r="P838" s="257">
        <v>0</v>
      </c>
    </row>
    <row r="839" spans="1:16" hidden="1" x14ac:dyDescent="0.25">
      <c r="A839" s="143" t="s">
        <v>721</v>
      </c>
      <c r="B839" s="143" t="s">
        <v>152</v>
      </c>
      <c r="C839" s="143" t="s">
        <v>153</v>
      </c>
      <c r="D839" s="143" t="s">
        <v>69</v>
      </c>
      <c r="E839" s="257">
        <v>45500000</v>
      </c>
      <c r="F839" s="257">
        <v>44866179</v>
      </c>
      <c r="G839" s="257">
        <v>44866179</v>
      </c>
      <c r="H839" s="257">
        <v>0</v>
      </c>
      <c r="I839" s="257">
        <v>886800</v>
      </c>
      <c r="J839" s="257">
        <v>0</v>
      </c>
      <c r="K839" s="257">
        <v>43979379</v>
      </c>
      <c r="L839" s="257"/>
      <c r="M839" s="257">
        <v>43979379</v>
      </c>
      <c r="N839" s="257"/>
      <c r="O839" s="257">
        <v>0</v>
      </c>
      <c r="P839" s="257">
        <v>0</v>
      </c>
    </row>
    <row r="840" spans="1:16" hidden="1" x14ac:dyDescent="0.25">
      <c r="A840" s="143" t="s">
        <v>721</v>
      </c>
      <c r="B840" s="143" t="s">
        <v>248</v>
      </c>
      <c r="C840" s="143" t="s">
        <v>249</v>
      </c>
      <c r="D840" s="143" t="s">
        <v>69</v>
      </c>
      <c r="E840" s="257">
        <v>421832742</v>
      </c>
      <c r="F840" s="257">
        <v>532771980.5</v>
      </c>
      <c r="G840" s="257">
        <v>532771980.5</v>
      </c>
      <c r="H840" s="257">
        <v>0</v>
      </c>
      <c r="I840" s="257">
        <v>105184794.70999999</v>
      </c>
      <c r="J840" s="257">
        <v>0</v>
      </c>
      <c r="K840" s="257">
        <v>408809118.29000002</v>
      </c>
      <c r="L840" s="257"/>
      <c r="M840" s="257">
        <v>408809118.29000002</v>
      </c>
      <c r="N840" s="257"/>
      <c r="O840" s="257">
        <v>18778067.5</v>
      </c>
      <c r="P840" s="257">
        <v>18778067.5</v>
      </c>
    </row>
    <row r="841" spans="1:16" hidden="1" x14ac:dyDescent="0.25">
      <c r="A841" s="143" t="s">
        <v>721</v>
      </c>
      <c r="B841" s="143" t="s">
        <v>250</v>
      </c>
      <c r="C841" s="143" t="s">
        <v>251</v>
      </c>
      <c r="D841" s="143" t="s">
        <v>69</v>
      </c>
      <c r="E841" s="257">
        <v>173230842</v>
      </c>
      <c r="F841" s="257">
        <v>157944994</v>
      </c>
      <c r="G841" s="257">
        <v>157944994</v>
      </c>
      <c r="H841" s="257">
        <v>0</v>
      </c>
      <c r="I841" s="257">
        <v>22307530.100000001</v>
      </c>
      <c r="J841" s="257">
        <v>0</v>
      </c>
      <c r="K841" s="257">
        <v>135283774.90000001</v>
      </c>
      <c r="L841" s="257"/>
      <c r="M841" s="257">
        <v>135283774.90000001</v>
      </c>
      <c r="N841" s="257"/>
      <c r="O841" s="257">
        <v>353689</v>
      </c>
      <c r="P841" s="257">
        <v>353689</v>
      </c>
    </row>
    <row r="842" spans="1:16" hidden="1" x14ac:dyDescent="0.25">
      <c r="A842" s="143" t="s">
        <v>721</v>
      </c>
      <c r="B842" s="143" t="s">
        <v>639</v>
      </c>
      <c r="C842" s="143" t="s">
        <v>702</v>
      </c>
      <c r="D842" s="143" t="s">
        <v>69</v>
      </c>
      <c r="E842" s="257">
        <v>147141882</v>
      </c>
      <c r="F842" s="257">
        <v>134104605</v>
      </c>
      <c r="G842" s="257">
        <v>134104605</v>
      </c>
      <c r="H842" s="257">
        <v>0</v>
      </c>
      <c r="I842" s="257">
        <v>19206025.859999999</v>
      </c>
      <c r="J842" s="257">
        <v>0</v>
      </c>
      <c r="K842" s="257">
        <v>114544890.14</v>
      </c>
      <c r="L842" s="257"/>
      <c r="M842" s="257">
        <v>114544890.14</v>
      </c>
      <c r="N842" s="257"/>
      <c r="O842" s="257">
        <v>353689</v>
      </c>
      <c r="P842" s="257">
        <v>353689</v>
      </c>
    </row>
    <row r="843" spans="1:16" hidden="1" x14ac:dyDescent="0.25">
      <c r="A843" s="143" t="s">
        <v>721</v>
      </c>
      <c r="B843" s="143" t="s">
        <v>654</v>
      </c>
      <c r="C843" s="143" t="s">
        <v>703</v>
      </c>
      <c r="D843" s="143" t="s">
        <v>69</v>
      </c>
      <c r="E843" s="257">
        <v>26088960</v>
      </c>
      <c r="F843" s="257">
        <v>23840389</v>
      </c>
      <c r="G843" s="257">
        <v>23840389</v>
      </c>
      <c r="H843" s="257">
        <v>0</v>
      </c>
      <c r="I843" s="257">
        <v>3101504.24</v>
      </c>
      <c r="J843" s="257">
        <v>0</v>
      </c>
      <c r="K843" s="257">
        <v>20738884.760000002</v>
      </c>
      <c r="L843" s="257"/>
      <c r="M843" s="257">
        <v>20738884.760000002</v>
      </c>
      <c r="N843" s="257"/>
      <c r="O843" s="257">
        <v>0</v>
      </c>
      <c r="P843" s="257">
        <v>0</v>
      </c>
    </row>
    <row r="844" spans="1:16" hidden="1" x14ac:dyDescent="0.25">
      <c r="A844" s="143" t="s">
        <v>721</v>
      </c>
      <c r="B844" s="143" t="s">
        <v>260</v>
      </c>
      <c r="C844" s="143" t="s">
        <v>261</v>
      </c>
      <c r="D844" s="143" t="s">
        <v>69</v>
      </c>
      <c r="E844" s="257">
        <v>223601900</v>
      </c>
      <c r="F844" s="257">
        <v>349826986.5</v>
      </c>
      <c r="G844" s="257">
        <v>349826986.5</v>
      </c>
      <c r="H844" s="257">
        <v>0</v>
      </c>
      <c r="I844" s="257">
        <v>75187749.549999997</v>
      </c>
      <c r="J844" s="257">
        <v>0</v>
      </c>
      <c r="K844" s="257">
        <v>257264858.44999999</v>
      </c>
      <c r="L844" s="257"/>
      <c r="M844" s="257">
        <v>257264858.44999999</v>
      </c>
      <c r="N844" s="257"/>
      <c r="O844" s="257">
        <v>17374378.5</v>
      </c>
      <c r="P844" s="257">
        <v>17374378.5</v>
      </c>
    </row>
    <row r="845" spans="1:16" hidden="1" x14ac:dyDescent="0.25">
      <c r="A845" s="143" t="s">
        <v>721</v>
      </c>
      <c r="B845" s="143" t="s">
        <v>262</v>
      </c>
      <c r="C845" s="143" t="s">
        <v>263</v>
      </c>
      <c r="D845" s="143" t="s">
        <v>69</v>
      </c>
      <c r="E845" s="257">
        <v>150213900</v>
      </c>
      <c r="F845" s="257">
        <v>276438986.5</v>
      </c>
      <c r="G845" s="257">
        <v>276438986.5</v>
      </c>
      <c r="H845" s="257">
        <v>0</v>
      </c>
      <c r="I845" s="257">
        <v>75187749.549999997</v>
      </c>
      <c r="J845" s="257">
        <v>0</v>
      </c>
      <c r="K845" s="257">
        <v>201251236.94999999</v>
      </c>
      <c r="L845" s="257"/>
      <c r="M845" s="257">
        <v>201251236.94999999</v>
      </c>
      <c r="N845" s="257"/>
      <c r="O845" s="257">
        <v>0</v>
      </c>
      <c r="P845" s="257">
        <v>0</v>
      </c>
    </row>
    <row r="846" spans="1:16" hidden="1" x14ac:dyDescent="0.25">
      <c r="A846" s="143" t="s">
        <v>721</v>
      </c>
      <c r="B846" s="143" t="s">
        <v>264</v>
      </c>
      <c r="C846" s="143" t="s">
        <v>265</v>
      </c>
      <c r="D846" s="143" t="s">
        <v>69</v>
      </c>
      <c r="E846" s="257">
        <v>73388000</v>
      </c>
      <c r="F846" s="257">
        <v>73388000</v>
      </c>
      <c r="G846" s="257">
        <v>73388000</v>
      </c>
      <c r="H846" s="257">
        <v>0</v>
      </c>
      <c r="I846" s="257">
        <v>0</v>
      </c>
      <c r="J846" s="257">
        <v>0</v>
      </c>
      <c r="K846" s="257">
        <v>56013621.5</v>
      </c>
      <c r="L846" s="257"/>
      <c r="M846" s="257">
        <v>56013621.5</v>
      </c>
      <c r="N846" s="257"/>
      <c r="O846" s="257">
        <v>17374378.5</v>
      </c>
      <c r="P846" s="257">
        <v>17374378.5</v>
      </c>
    </row>
    <row r="847" spans="1:16" hidden="1" x14ac:dyDescent="0.25">
      <c r="A847" s="143" t="s">
        <v>721</v>
      </c>
      <c r="B847" s="143" t="s">
        <v>286</v>
      </c>
      <c r="C847" s="143" t="s">
        <v>287</v>
      </c>
      <c r="D847" s="143" t="s">
        <v>69</v>
      </c>
      <c r="E847" s="257">
        <v>25000000</v>
      </c>
      <c r="F847" s="257">
        <v>25000000</v>
      </c>
      <c r="G847" s="257">
        <v>25000000</v>
      </c>
      <c r="H847" s="257">
        <v>0</v>
      </c>
      <c r="I847" s="257">
        <v>7689515.0599999996</v>
      </c>
      <c r="J847" s="257">
        <v>0</v>
      </c>
      <c r="K847" s="257">
        <v>16260484.939999999</v>
      </c>
      <c r="L847" s="257"/>
      <c r="M847" s="257">
        <v>16260484.939999999</v>
      </c>
      <c r="N847" s="257"/>
      <c r="O847" s="257">
        <v>1050000</v>
      </c>
      <c r="P847" s="257">
        <v>1050000</v>
      </c>
    </row>
    <row r="848" spans="1:16" hidden="1" x14ac:dyDescent="0.25">
      <c r="A848" s="143" t="s">
        <v>721</v>
      </c>
      <c r="B848" s="143" t="s">
        <v>288</v>
      </c>
      <c r="C848" s="143" t="s">
        <v>289</v>
      </c>
      <c r="D848" s="143" t="s">
        <v>69</v>
      </c>
      <c r="E848" s="257">
        <v>10000000</v>
      </c>
      <c r="F848" s="257">
        <v>10000000</v>
      </c>
      <c r="G848" s="257">
        <v>10000000</v>
      </c>
      <c r="H848" s="257">
        <v>0</v>
      </c>
      <c r="I848" s="257">
        <v>4862799.49</v>
      </c>
      <c r="J848" s="257">
        <v>0</v>
      </c>
      <c r="K848" s="257">
        <v>4837200.51</v>
      </c>
      <c r="L848" s="257"/>
      <c r="M848" s="257">
        <v>4837200.51</v>
      </c>
      <c r="N848" s="257"/>
      <c r="O848" s="257">
        <v>300000</v>
      </c>
      <c r="P848" s="257">
        <v>300000</v>
      </c>
    </row>
    <row r="849" spans="1:16" hidden="1" x14ac:dyDescent="0.25">
      <c r="A849" s="143" t="s">
        <v>721</v>
      </c>
      <c r="B849" s="143" t="s">
        <v>370</v>
      </c>
      <c r="C849" s="143" t="s">
        <v>371</v>
      </c>
      <c r="D849" s="143" t="s">
        <v>69</v>
      </c>
      <c r="E849" s="257">
        <v>15000000</v>
      </c>
      <c r="F849" s="257">
        <v>15000000</v>
      </c>
      <c r="G849" s="257">
        <v>15000000</v>
      </c>
      <c r="H849" s="257">
        <v>0</v>
      </c>
      <c r="I849" s="257">
        <v>2826715.57</v>
      </c>
      <c r="J849" s="257">
        <v>0</v>
      </c>
      <c r="K849" s="257">
        <v>11423284.43</v>
      </c>
      <c r="L849" s="257"/>
      <c r="M849" s="257">
        <v>11423284.43</v>
      </c>
      <c r="N849" s="257"/>
      <c r="O849" s="257">
        <v>750000</v>
      </c>
      <c r="P849" s="257">
        <v>750000</v>
      </c>
    </row>
    <row r="850" spans="1:16" hidden="1" x14ac:dyDescent="0.25">
      <c r="A850" s="53"/>
      <c r="B850" s="53"/>
      <c r="C850" s="53"/>
      <c r="D850" s="53"/>
      <c r="E850" s="54">
        <v>765104920000</v>
      </c>
      <c r="F850" s="54">
        <v>741992058600</v>
      </c>
      <c r="G850" s="54">
        <v>740279009195</v>
      </c>
      <c r="H850" s="54">
        <v>839170865.95000005</v>
      </c>
      <c r="I850" s="54">
        <v>72109487563.699997</v>
      </c>
      <c r="J850" s="54">
        <v>2567514795.9000001</v>
      </c>
      <c r="K850" s="54">
        <v>579061555565.19995</v>
      </c>
      <c r="L850" s="54"/>
      <c r="M850" s="54">
        <v>572017306060.44995</v>
      </c>
      <c r="N850" s="54"/>
      <c r="O850" s="54">
        <v>87414329809.25</v>
      </c>
      <c r="P850" s="54">
        <v>85701280404.25</v>
      </c>
    </row>
  </sheetData>
  <sheetProtection selectLockedCells="1" selectUnlockedCells="1"/>
  <autoFilter ref="A1:P850"/>
  <conditionalFormatting sqref="K2:L451 L504 L551 L623 L654 L686 L766 L791 L819">
    <cfRule type="cellIs" dxfId="12" priority="1" stopIfTrue="1" operator="lessThan">
      <formula>0</formula>
    </cfRule>
  </conditionalFormatting>
  <pageMargins left="0.70833333333333337" right="0.70833333333333337" top="0.74791666666666667" bottom="0.74791666666666667" header="0.51180555555555551" footer="0.51180555555555551"/>
  <pageSetup scale="80" firstPageNumber="0" orientation="landscape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50"/>
  <sheetViews>
    <sheetView zoomScaleNormal="100" workbookViewId="0"/>
  </sheetViews>
  <sheetFormatPr baseColWidth="10" defaultColWidth="18" defaultRowHeight="15" x14ac:dyDescent="0.25"/>
  <cols>
    <col min="1" max="1" width="18" style="143"/>
    <col min="2" max="2" width="18" style="143" hidden="1" customWidth="1"/>
    <col min="3" max="3" width="59.7109375" style="143" hidden="1" customWidth="1"/>
    <col min="4" max="4" width="7.28515625" style="143" customWidth="1"/>
    <col min="5" max="5" width="18" style="143" hidden="1" customWidth="1"/>
    <col min="6" max="6" width="18" style="143"/>
    <col min="7" max="7" width="18" style="143" hidden="1" customWidth="1"/>
    <col min="8" max="12" width="18" style="143"/>
    <col min="13" max="13" width="22.28515625" style="143" customWidth="1"/>
    <col min="14" max="14" width="18" style="143" hidden="1" customWidth="1"/>
    <col min="15" max="16384" width="18" style="143"/>
  </cols>
  <sheetData>
    <row r="1" spans="1:14" x14ac:dyDescent="0.25">
      <c r="A1" s="144" t="s">
        <v>52</v>
      </c>
      <c r="B1" s="144" t="s">
        <v>691</v>
      </c>
      <c r="C1" s="144" t="s">
        <v>54</v>
      </c>
      <c r="D1" s="144" t="s">
        <v>55</v>
      </c>
      <c r="E1" s="144" t="s">
        <v>56</v>
      </c>
      <c r="F1" s="144" t="s">
        <v>57</v>
      </c>
      <c r="G1" s="144" t="s">
        <v>58</v>
      </c>
      <c r="H1" s="144" t="s">
        <v>59</v>
      </c>
      <c r="I1" s="144" t="s">
        <v>60</v>
      </c>
      <c r="J1" s="144" t="s">
        <v>61</v>
      </c>
      <c r="K1" s="144" t="s">
        <v>12</v>
      </c>
      <c r="L1" s="144" t="s">
        <v>63</v>
      </c>
      <c r="M1" s="144" t="s">
        <v>65</v>
      </c>
      <c r="N1" s="144" t="s">
        <v>67</v>
      </c>
    </row>
    <row r="2" spans="1:14" x14ac:dyDescent="0.25">
      <c r="A2" s="49" t="s">
        <v>68</v>
      </c>
      <c r="B2" s="49"/>
      <c r="C2" s="49"/>
      <c r="D2" s="49" t="s">
        <v>69</v>
      </c>
      <c r="E2" s="50">
        <v>153020984000</v>
      </c>
      <c r="F2" s="50">
        <v>148613841980</v>
      </c>
      <c r="G2" s="50">
        <v>146977601517.51999</v>
      </c>
      <c r="H2" s="50">
        <v>1173239289.73</v>
      </c>
      <c r="I2" s="50">
        <v>8956402333.0900002</v>
      </c>
      <c r="J2" s="50">
        <v>336710591</v>
      </c>
      <c r="K2" s="50">
        <v>105421590558.28</v>
      </c>
      <c r="L2" s="50">
        <v>104034659504.33</v>
      </c>
      <c r="M2" s="50">
        <v>32725899207.900002</v>
      </c>
      <c r="N2" s="50">
        <v>31089658745.419998</v>
      </c>
    </row>
    <row r="3" spans="1:14" x14ac:dyDescent="0.25">
      <c r="A3" s="49">
        <v>214786</v>
      </c>
      <c r="B3" s="49"/>
      <c r="C3" s="49"/>
      <c r="D3" s="49" t="s">
        <v>69</v>
      </c>
      <c r="E3" s="50">
        <v>2252563898</v>
      </c>
      <c r="F3" s="50">
        <v>2107733459</v>
      </c>
      <c r="G3" s="50">
        <v>2075437981.5999999</v>
      </c>
      <c r="H3" s="50">
        <v>122000</v>
      </c>
      <c r="I3" s="50">
        <v>166142410.61000001</v>
      </c>
      <c r="J3" s="50">
        <v>637424.99</v>
      </c>
      <c r="K3" s="50">
        <v>1401033257.7</v>
      </c>
      <c r="L3" s="50">
        <v>1394358776.53</v>
      </c>
      <c r="M3" s="50">
        <v>539798365.70000005</v>
      </c>
      <c r="N3" s="50">
        <v>507502888.30000001</v>
      </c>
    </row>
    <row r="4" spans="1:14" hidden="1" x14ac:dyDescent="0.25">
      <c r="A4" s="49" t="s">
        <v>696</v>
      </c>
      <c r="B4" s="49" t="s">
        <v>71</v>
      </c>
      <c r="C4" s="49" t="s">
        <v>72</v>
      </c>
      <c r="D4" s="49" t="s">
        <v>69</v>
      </c>
      <c r="E4" s="50">
        <v>1845529688</v>
      </c>
      <c r="F4" s="50">
        <v>1714066664</v>
      </c>
      <c r="G4" s="50">
        <v>1682113432</v>
      </c>
      <c r="H4" s="50">
        <v>0</v>
      </c>
      <c r="I4" s="50">
        <v>85241280</v>
      </c>
      <c r="J4" s="50">
        <v>0</v>
      </c>
      <c r="K4" s="50">
        <v>1120479306.71</v>
      </c>
      <c r="L4" s="50">
        <v>1120479306.71</v>
      </c>
      <c r="M4" s="50">
        <v>508346077.29000002</v>
      </c>
      <c r="N4" s="50">
        <v>476392845.29000002</v>
      </c>
    </row>
    <row r="5" spans="1:14" hidden="1" x14ac:dyDescent="0.25">
      <c r="A5" s="49" t="s">
        <v>696</v>
      </c>
      <c r="B5" s="49" t="s">
        <v>73</v>
      </c>
      <c r="C5" s="49" t="s">
        <v>74</v>
      </c>
      <c r="D5" s="49" t="s">
        <v>69</v>
      </c>
      <c r="E5" s="50">
        <v>712211400</v>
      </c>
      <c r="F5" s="50">
        <v>686759100</v>
      </c>
      <c r="G5" s="50">
        <v>676833600</v>
      </c>
      <c r="H5" s="50">
        <v>0</v>
      </c>
      <c r="I5" s="50">
        <v>0</v>
      </c>
      <c r="J5" s="50">
        <v>0</v>
      </c>
      <c r="K5" s="50">
        <v>501617323.24000001</v>
      </c>
      <c r="L5" s="50">
        <v>501617323.24000001</v>
      </c>
      <c r="M5" s="50">
        <v>185141776.75999999</v>
      </c>
      <c r="N5" s="50">
        <v>175216276.75999999</v>
      </c>
    </row>
    <row r="6" spans="1:14" hidden="1" x14ac:dyDescent="0.25">
      <c r="A6" s="49" t="s">
        <v>696</v>
      </c>
      <c r="B6" s="49" t="s">
        <v>75</v>
      </c>
      <c r="C6" s="49" t="s">
        <v>76</v>
      </c>
      <c r="D6" s="49" t="s">
        <v>69</v>
      </c>
      <c r="E6" s="50">
        <v>712211400</v>
      </c>
      <c r="F6" s="50">
        <v>686759100</v>
      </c>
      <c r="G6" s="50">
        <v>676833600</v>
      </c>
      <c r="H6" s="50">
        <v>0</v>
      </c>
      <c r="I6" s="50">
        <v>0</v>
      </c>
      <c r="J6" s="50">
        <v>0</v>
      </c>
      <c r="K6" s="50">
        <v>501617323.24000001</v>
      </c>
      <c r="L6" s="50">
        <v>501617323.24000001</v>
      </c>
      <c r="M6" s="50">
        <v>185141776.75999999</v>
      </c>
      <c r="N6" s="50">
        <v>175216276.75999999</v>
      </c>
    </row>
    <row r="7" spans="1:14" hidden="1" x14ac:dyDescent="0.25">
      <c r="A7" s="49" t="s">
        <v>696</v>
      </c>
      <c r="B7" s="49" t="s">
        <v>77</v>
      </c>
      <c r="C7" s="49" t="s">
        <v>78</v>
      </c>
      <c r="D7" s="49" t="s">
        <v>69</v>
      </c>
      <c r="E7" s="50">
        <v>851789535</v>
      </c>
      <c r="F7" s="50">
        <v>755470364</v>
      </c>
      <c r="G7" s="50">
        <v>741062753</v>
      </c>
      <c r="H7" s="50">
        <v>0</v>
      </c>
      <c r="I7" s="50">
        <v>0</v>
      </c>
      <c r="J7" s="50">
        <v>0</v>
      </c>
      <c r="K7" s="50">
        <v>439956184.47000003</v>
      </c>
      <c r="L7" s="50">
        <v>439956184.47000003</v>
      </c>
      <c r="M7" s="50">
        <v>315514179.52999997</v>
      </c>
      <c r="N7" s="50">
        <v>301106568.52999997</v>
      </c>
    </row>
    <row r="8" spans="1:14" hidden="1" x14ac:dyDescent="0.25">
      <c r="A8" s="49" t="s">
        <v>696</v>
      </c>
      <c r="B8" s="49" t="s">
        <v>79</v>
      </c>
      <c r="C8" s="49" t="s">
        <v>80</v>
      </c>
      <c r="D8" s="49" t="s">
        <v>69</v>
      </c>
      <c r="E8" s="50">
        <v>171630900</v>
      </c>
      <c r="F8" s="50">
        <v>171630900</v>
      </c>
      <c r="G8" s="50">
        <v>166370155</v>
      </c>
      <c r="H8" s="50">
        <v>0</v>
      </c>
      <c r="I8" s="50">
        <v>0</v>
      </c>
      <c r="J8" s="50">
        <v>0</v>
      </c>
      <c r="K8" s="50">
        <v>120997716.33</v>
      </c>
      <c r="L8" s="50">
        <v>120997716.33</v>
      </c>
      <c r="M8" s="50">
        <v>50633183.670000002</v>
      </c>
      <c r="N8" s="50">
        <v>45372438.670000002</v>
      </c>
    </row>
    <row r="9" spans="1:14" hidden="1" x14ac:dyDescent="0.25">
      <c r="A9" s="49" t="s">
        <v>696</v>
      </c>
      <c r="B9" s="49" t="s">
        <v>81</v>
      </c>
      <c r="C9" s="49" t="s">
        <v>82</v>
      </c>
      <c r="D9" s="49" t="s">
        <v>69</v>
      </c>
      <c r="E9" s="50">
        <v>362005040</v>
      </c>
      <c r="F9" s="50">
        <v>342729445</v>
      </c>
      <c r="G9" s="50">
        <v>338637370</v>
      </c>
      <c r="H9" s="50">
        <v>0</v>
      </c>
      <c r="I9" s="50">
        <v>0</v>
      </c>
      <c r="J9" s="50">
        <v>0</v>
      </c>
      <c r="K9" s="50">
        <v>235011779.36000001</v>
      </c>
      <c r="L9" s="50">
        <v>235011779.36000001</v>
      </c>
      <c r="M9" s="50">
        <v>107717665.64</v>
      </c>
      <c r="N9" s="50">
        <v>103625590.64</v>
      </c>
    </row>
    <row r="10" spans="1:14" hidden="1" x14ac:dyDescent="0.25">
      <c r="A10" s="49" t="s">
        <v>696</v>
      </c>
      <c r="B10" s="49" t="s">
        <v>86</v>
      </c>
      <c r="C10" s="49" t="s">
        <v>87</v>
      </c>
      <c r="D10" s="49" t="s">
        <v>69</v>
      </c>
      <c r="E10" s="50">
        <v>110671900</v>
      </c>
      <c r="F10" s="50">
        <v>38177498</v>
      </c>
      <c r="G10" s="50">
        <v>36177498</v>
      </c>
      <c r="H10" s="50">
        <v>0</v>
      </c>
      <c r="I10" s="50">
        <v>0</v>
      </c>
      <c r="J10" s="50">
        <v>0</v>
      </c>
      <c r="K10" s="50">
        <v>26177497.469999999</v>
      </c>
      <c r="L10" s="50">
        <v>26177497.469999999</v>
      </c>
      <c r="M10" s="50">
        <v>12000000.529999999</v>
      </c>
      <c r="N10" s="50">
        <v>10000000.529999999</v>
      </c>
    </row>
    <row r="11" spans="1:14" hidden="1" x14ac:dyDescent="0.25">
      <c r="A11" s="49" t="s">
        <v>696</v>
      </c>
      <c r="B11" s="49" t="s">
        <v>88</v>
      </c>
      <c r="C11" s="49" t="s">
        <v>89</v>
      </c>
      <c r="D11" s="49" t="s">
        <v>69</v>
      </c>
      <c r="E11" s="50">
        <v>87218400</v>
      </c>
      <c r="F11" s="50">
        <v>86809260</v>
      </c>
      <c r="G11" s="50">
        <v>85471779</v>
      </c>
      <c r="H11" s="50">
        <v>0</v>
      </c>
      <c r="I11" s="50">
        <v>0</v>
      </c>
      <c r="J11" s="50">
        <v>0</v>
      </c>
      <c r="K11" s="50">
        <v>57769191.310000002</v>
      </c>
      <c r="L11" s="50">
        <v>57769191.310000002</v>
      </c>
      <c r="M11" s="50">
        <v>29040068.690000001</v>
      </c>
      <c r="N11" s="50">
        <v>27702587.690000001</v>
      </c>
    </row>
    <row r="12" spans="1:14" hidden="1" x14ac:dyDescent="0.25">
      <c r="A12" s="49" t="s">
        <v>696</v>
      </c>
      <c r="B12" s="49" t="s">
        <v>83</v>
      </c>
      <c r="C12" s="49" t="s">
        <v>84</v>
      </c>
      <c r="D12" s="49" t="s">
        <v>85</v>
      </c>
      <c r="E12" s="50">
        <v>120263295</v>
      </c>
      <c r="F12" s="50">
        <v>116123261</v>
      </c>
      <c r="G12" s="50">
        <v>114405951</v>
      </c>
      <c r="H12" s="50">
        <v>0</v>
      </c>
      <c r="I12" s="50">
        <v>0</v>
      </c>
      <c r="J12" s="50">
        <v>0</v>
      </c>
      <c r="K12" s="50">
        <v>0</v>
      </c>
      <c r="L12" s="50">
        <v>0</v>
      </c>
      <c r="M12" s="50">
        <v>116123261</v>
      </c>
      <c r="N12" s="50">
        <v>114405951</v>
      </c>
    </row>
    <row r="13" spans="1:14" hidden="1" x14ac:dyDescent="0.25">
      <c r="A13" s="49" t="s">
        <v>696</v>
      </c>
      <c r="B13" s="49" t="s">
        <v>90</v>
      </c>
      <c r="C13" s="49" t="s">
        <v>91</v>
      </c>
      <c r="D13" s="49" t="s">
        <v>69</v>
      </c>
      <c r="E13" s="50">
        <v>140764376</v>
      </c>
      <c r="F13" s="50">
        <v>135918599</v>
      </c>
      <c r="G13" s="50">
        <v>133908533</v>
      </c>
      <c r="H13" s="50">
        <v>0</v>
      </c>
      <c r="I13" s="50">
        <v>44304972</v>
      </c>
      <c r="J13" s="50">
        <v>0</v>
      </c>
      <c r="K13" s="50">
        <v>89533561</v>
      </c>
      <c r="L13" s="50">
        <v>89533561</v>
      </c>
      <c r="M13" s="50">
        <v>2080066</v>
      </c>
      <c r="N13" s="50">
        <v>70000</v>
      </c>
    </row>
    <row r="14" spans="1:14" hidden="1" x14ac:dyDescent="0.25">
      <c r="A14" s="49" t="s">
        <v>696</v>
      </c>
      <c r="B14" s="49" t="s">
        <v>416</v>
      </c>
      <c r="C14" s="49" t="s">
        <v>697</v>
      </c>
      <c r="D14" s="49" t="s">
        <v>69</v>
      </c>
      <c r="E14" s="50">
        <v>133545724</v>
      </c>
      <c r="F14" s="50">
        <v>128948448</v>
      </c>
      <c r="G14" s="50">
        <v>127041476</v>
      </c>
      <c r="H14" s="50">
        <v>0</v>
      </c>
      <c r="I14" s="50">
        <v>42029350</v>
      </c>
      <c r="J14" s="50">
        <v>0</v>
      </c>
      <c r="K14" s="50">
        <v>84942126</v>
      </c>
      <c r="L14" s="50">
        <v>84942126</v>
      </c>
      <c r="M14" s="50">
        <v>1976972</v>
      </c>
      <c r="N14" s="50">
        <v>70000</v>
      </c>
    </row>
    <row r="15" spans="1:14" hidden="1" x14ac:dyDescent="0.25">
      <c r="A15" s="49" t="s">
        <v>696</v>
      </c>
      <c r="B15" s="49" t="s">
        <v>433</v>
      </c>
      <c r="C15" s="49" t="s">
        <v>95</v>
      </c>
      <c r="D15" s="49" t="s">
        <v>69</v>
      </c>
      <c r="E15" s="50">
        <v>7218652</v>
      </c>
      <c r="F15" s="50">
        <v>6970151</v>
      </c>
      <c r="G15" s="50">
        <v>6867057</v>
      </c>
      <c r="H15" s="50">
        <v>0</v>
      </c>
      <c r="I15" s="50">
        <v>2275622</v>
      </c>
      <c r="J15" s="50">
        <v>0</v>
      </c>
      <c r="K15" s="50">
        <v>4591435</v>
      </c>
      <c r="L15" s="50">
        <v>4591435</v>
      </c>
      <c r="M15" s="50">
        <v>103094</v>
      </c>
      <c r="N15" s="50">
        <v>0</v>
      </c>
    </row>
    <row r="16" spans="1:14" hidden="1" x14ac:dyDescent="0.25">
      <c r="A16" s="49" t="s">
        <v>696</v>
      </c>
      <c r="B16" s="49" t="s">
        <v>96</v>
      </c>
      <c r="C16" s="49" t="s">
        <v>97</v>
      </c>
      <c r="D16" s="49" t="s">
        <v>69</v>
      </c>
      <c r="E16" s="50">
        <v>140764377</v>
      </c>
      <c r="F16" s="50">
        <v>135918601</v>
      </c>
      <c r="G16" s="50">
        <v>130308546</v>
      </c>
      <c r="H16" s="50">
        <v>0</v>
      </c>
      <c r="I16" s="50">
        <v>40936308</v>
      </c>
      <c r="J16" s="50">
        <v>0</v>
      </c>
      <c r="K16" s="50">
        <v>89372238</v>
      </c>
      <c r="L16" s="50">
        <v>89372238</v>
      </c>
      <c r="M16" s="50">
        <v>5610055</v>
      </c>
      <c r="N16" s="50">
        <v>0</v>
      </c>
    </row>
    <row r="17" spans="1:14" hidden="1" x14ac:dyDescent="0.25">
      <c r="A17" s="49" t="s">
        <v>696</v>
      </c>
      <c r="B17" s="49" t="s">
        <v>451</v>
      </c>
      <c r="C17" s="49" t="s">
        <v>698</v>
      </c>
      <c r="D17" s="49" t="s">
        <v>69</v>
      </c>
      <c r="E17" s="50">
        <v>75796203</v>
      </c>
      <c r="F17" s="50">
        <v>73186939</v>
      </c>
      <c r="G17" s="50">
        <v>72104601</v>
      </c>
      <c r="H17" s="50">
        <v>0</v>
      </c>
      <c r="I17" s="50">
        <v>24055565</v>
      </c>
      <c r="J17" s="50">
        <v>0</v>
      </c>
      <c r="K17" s="50">
        <v>48049036</v>
      </c>
      <c r="L17" s="50">
        <v>48049036</v>
      </c>
      <c r="M17" s="50">
        <v>1082338</v>
      </c>
      <c r="N17" s="50">
        <v>0</v>
      </c>
    </row>
    <row r="18" spans="1:14" hidden="1" x14ac:dyDescent="0.25">
      <c r="A18" s="49" t="s">
        <v>696</v>
      </c>
      <c r="B18" s="49" t="s">
        <v>468</v>
      </c>
      <c r="C18" s="49" t="s">
        <v>699</v>
      </c>
      <c r="D18" s="49" t="s">
        <v>69</v>
      </c>
      <c r="E18" s="50">
        <v>21656058</v>
      </c>
      <c r="F18" s="50">
        <v>20910554</v>
      </c>
      <c r="G18" s="50">
        <v>20601312</v>
      </c>
      <c r="H18" s="50">
        <v>0</v>
      </c>
      <c r="I18" s="50">
        <v>6826906</v>
      </c>
      <c r="J18" s="50">
        <v>0</v>
      </c>
      <c r="K18" s="50">
        <v>13774406</v>
      </c>
      <c r="L18" s="50">
        <v>13774406</v>
      </c>
      <c r="M18" s="50">
        <v>309242</v>
      </c>
      <c r="N18" s="50">
        <v>0</v>
      </c>
    </row>
    <row r="19" spans="1:14" hidden="1" x14ac:dyDescent="0.25">
      <c r="A19" s="49" t="s">
        <v>696</v>
      </c>
      <c r="B19" s="49" t="s">
        <v>485</v>
      </c>
      <c r="C19" s="49" t="s">
        <v>700</v>
      </c>
      <c r="D19" s="49" t="s">
        <v>69</v>
      </c>
      <c r="E19" s="50">
        <v>43312116</v>
      </c>
      <c r="F19" s="50">
        <v>41821108</v>
      </c>
      <c r="G19" s="50">
        <v>37602633</v>
      </c>
      <c r="H19" s="50">
        <v>0</v>
      </c>
      <c r="I19" s="50">
        <v>10053837</v>
      </c>
      <c r="J19" s="50">
        <v>0</v>
      </c>
      <c r="K19" s="50">
        <v>27548796</v>
      </c>
      <c r="L19" s="50">
        <v>27548796</v>
      </c>
      <c r="M19" s="50">
        <v>4218475</v>
      </c>
      <c r="N19" s="50">
        <v>0</v>
      </c>
    </row>
    <row r="20" spans="1:14" hidden="1" x14ac:dyDescent="0.25">
      <c r="A20" s="49" t="s">
        <v>696</v>
      </c>
      <c r="B20" s="49" t="s">
        <v>104</v>
      </c>
      <c r="C20" s="49" t="s">
        <v>105</v>
      </c>
      <c r="D20" s="49" t="s">
        <v>69</v>
      </c>
      <c r="E20" s="50">
        <v>83371900</v>
      </c>
      <c r="F20" s="50">
        <v>66099608</v>
      </c>
      <c r="G20" s="50">
        <v>66099607.600000001</v>
      </c>
      <c r="H20" s="50">
        <v>122000</v>
      </c>
      <c r="I20" s="50">
        <v>17674000.190000001</v>
      </c>
      <c r="J20" s="50">
        <v>476540.99</v>
      </c>
      <c r="K20" s="50">
        <v>38797864.109999999</v>
      </c>
      <c r="L20" s="50">
        <v>32288678.010000002</v>
      </c>
      <c r="M20" s="50">
        <v>9029202.7100000009</v>
      </c>
      <c r="N20" s="50">
        <v>9029202.3100000005</v>
      </c>
    </row>
    <row r="21" spans="1:14" hidden="1" x14ac:dyDescent="0.25">
      <c r="A21" s="49" t="s">
        <v>696</v>
      </c>
      <c r="B21" s="49" t="s">
        <v>106</v>
      </c>
      <c r="C21" s="49" t="s">
        <v>107</v>
      </c>
      <c r="D21" s="49" t="s">
        <v>69</v>
      </c>
      <c r="E21" s="50">
        <v>55749325</v>
      </c>
      <c r="F21" s="50">
        <v>54664325</v>
      </c>
      <c r="G21" s="50">
        <v>54664324.600000001</v>
      </c>
      <c r="H21" s="50">
        <v>0</v>
      </c>
      <c r="I21" s="50">
        <v>13127829.640000001</v>
      </c>
      <c r="J21" s="50">
        <v>475704.99</v>
      </c>
      <c r="K21" s="50">
        <v>32267813.190000001</v>
      </c>
      <c r="L21" s="50">
        <v>25767627.09</v>
      </c>
      <c r="M21" s="50">
        <v>8792977.1799999997</v>
      </c>
      <c r="N21" s="50">
        <v>8792976.7799999993</v>
      </c>
    </row>
    <row r="22" spans="1:14" hidden="1" x14ac:dyDescent="0.25">
      <c r="A22" s="49" t="s">
        <v>696</v>
      </c>
      <c r="B22" s="49" t="s">
        <v>108</v>
      </c>
      <c r="C22" s="49" t="s">
        <v>109</v>
      </c>
      <c r="D22" s="49" t="s">
        <v>69</v>
      </c>
      <c r="E22" s="50">
        <v>55664325</v>
      </c>
      <c r="F22" s="50">
        <v>54664325</v>
      </c>
      <c r="G22" s="50">
        <v>54664324.600000001</v>
      </c>
      <c r="H22" s="50">
        <v>0</v>
      </c>
      <c r="I22" s="50">
        <v>13127829.640000001</v>
      </c>
      <c r="J22" s="50">
        <v>475704.99</v>
      </c>
      <c r="K22" s="50">
        <v>32267813.190000001</v>
      </c>
      <c r="L22" s="50">
        <v>25767627.09</v>
      </c>
      <c r="M22" s="50">
        <v>8792977.1799999997</v>
      </c>
      <c r="N22" s="50">
        <v>8792976.7799999993</v>
      </c>
    </row>
    <row r="23" spans="1:14" hidden="1" x14ac:dyDescent="0.25">
      <c r="A23" s="49" t="s">
        <v>696</v>
      </c>
      <c r="B23" s="49" t="s">
        <v>110</v>
      </c>
      <c r="C23" s="49" t="s">
        <v>111</v>
      </c>
      <c r="D23" s="49" t="s">
        <v>69</v>
      </c>
      <c r="E23" s="50">
        <v>85000</v>
      </c>
      <c r="F23" s="50">
        <v>0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</row>
    <row r="24" spans="1:14" hidden="1" x14ac:dyDescent="0.25">
      <c r="A24" s="49" t="s">
        <v>696</v>
      </c>
      <c r="B24" s="49" t="s">
        <v>124</v>
      </c>
      <c r="C24" s="49" t="s">
        <v>125</v>
      </c>
      <c r="D24" s="49" t="s">
        <v>69</v>
      </c>
      <c r="E24" s="50">
        <v>1900000</v>
      </c>
      <c r="F24" s="50">
        <v>680000</v>
      </c>
      <c r="G24" s="50">
        <v>680000</v>
      </c>
      <c r="H24" s="50">
        <v>0</v>
      </c>
      <c r="I24" s="50">
        <v>481664</v>
      </c>
      <c r="J24" s="50">
        <v>836</v>
      </c>
      <c r="K24" s="50">
        <v>195490</v>
      </c>
      <c r="L24" s="50">
        <v>195490</v>
      </c>
      <c r="M24" s="50">
        <v>2010</v>
      </c>
      <c r="N24" s="50">
        <v>2010</v>
      </c>
    </row>
    <row r="25" spans="1:14" hidden="1" x14ac:dyDescent="0.25">
      <c r="A25" s="49" t="s">
        <v>696</v>
      </c>
      <c r="B25" s="49" t="s">
        <v>128</v>
      </c>
      <c r="C25" s="49" t="s">
        <v>129</v>
      </c>
      <c r="D25" s="49" t="s">
        <v>69</v>
      </c>
      <c r="E25" s="50">
        <v>1250000</v>
      </c>
      <c r="F25" s="50">
        <v>380000</v>
      </c>
      <c r="G25" s="50">
        <v>380000</v>
      </c>
      <c r="H25" s="50">
        <v>0</v>
      </c>
      <c r="I25" s="50">
        <v>184180</v>
      </c>
      <c r="J25" s="50">
        <v>0</v>
      </c>
      <c r="K25" s="50">
        <v>195490</v>
      </c>
      <c r="L25" s="50">
        <v>195490</v>
      </c>
      <c r="M25" s="50">
        <v>330</v>
      </c>
      <c r="N25" s="50">
        <v>330</v>
      </c>
    </row>
    <row r="26" spans="1:14" hidden="1" x14ac:dyDescent="0.25">
      <c r="A26" s="49" t="s">
        <v>696</v>
      </c>
      <c r="B26" s="49" t="s">
        <v>130</v>
      </c>
      <c r="C26" s="49" t="s">
        <v>131</v>
      </c>
      <c r="D26" s="49" t="s">
        <v>69</v>
      </c>
      <c r="E26" s="50">
        <v>50000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0</v>
      </c>
      <c r="L26" s="50">
        <v>0</v>
      </c>
      <c r="M26" s="50">
        <v>0</v>
      </c>
      <c r="N26" s="50">
        <v>0</v>
      </c>
    </row>
    <row r="27" spans="1:14" hidden="1" x14ac:dyDescent="0.25">
      <c r="A27" s="49" t="s">
        <v>696</v>
      </c>
      <c r="B27" s="49" t="s">
        <v>132</v>
      </c>
      <c r="C27" s="49" t="s">
        <v>133</v>
      </c>
      <c r="D27" s="49" t="s">
        <v>69</v>
      </c>
      <c r="E27" s="50">
        <v>600000</v>
      </c>
      <c r="F27" s="50">
        <v>300000</v>
      </c>
      <c r="G27" s="50">
        <v>300000</v>
      </c>
      <c r="H27" s="50">
        <v>0</v>
      </c>
      <c r="I27" s="50">
        <v>297484</v>
      </c>
      <c r="J27" s="50">
        <v>836</v>
      </c>
      <c r="K27" s="50">
        <v>0</v>
      </c>
      <c r="L27" s="50">
        <v>0</v>
      </c>
      <c r="M27" s="50">
        <v>1680</v>
      </c>
      <c r="N27" s="50">
        <v>1680</v>
      </c>
    </row>
    <row r="28" spans="1:14" hidden="1" x14ac:dyDescent="0.25">
      <c r="A28" s="49" t="s">
        <v>696</v>
      </c>
      <c r="B28" s="49" t="s">
        <v>140</v>
      </c>
      <c r="C28" s="49" t="s">
        <v>141</v>
      </c>
      <c r="D28" s="49" t="s">
        <v>69</v>
      </c>
      <c r="E28" s="50">
        <v>25000000</v>
      </c>
      <c r="F28" s="50">
        <v>10387708</v>
      </c>
      <c r="G28" s="50">
        <v>10387708</v>
      </c>
      <c r="H28" s="50">
        <v>122000</v>
      </c>
      <c r="I28" s="50">
        <v>3699996.8</v>
      </c>
      <c r="J28" s="50">
        <v>0</v>
      </c>
      <c r="K28" s="50">
        <v>6334560.9199999999</v>
      </c>
      <c r="L28" s="50">
        <v>6325560.9199999999</v>
      </c>
      <c r="M28" s="50">
        <v>231150.28</v>
      </c>
      <c r="N28" s="50">
        <v>231150.28</v>
      </c>
    </row>
    <row r="29" spans="1:14" hidden="1" x14ac:dyDescent="0.25">
      <c r="A29" s="49" t="s">
        <v>696</v>
      </c>
      <c r="B29" s="49" t="s">
        <v>142</v>
      </c>
      <c r="C29" s="49" t="s">
        <v>143</v>
      </c>
      <c r="D29" s="49" t="s">
        <v>69</v>
      </c>
      <c r="E29" s="50">
        <v>100000</v>
      </c>
      <c r="F29" s="50">
        <v>65000</v>
      </c>
      <c r="G29" s="50">
        <v>65000</v>
      </c>
      <c r="H29" s="50">
        <v>0</v>
      </c>
      <c r="I29" s="50">
        <v>29340</v>
      </c>
      <c r="J29" s="50">
        <v>0</v>
      </c>
      <c r="K29" s="50">
        <v>35660</v>
      </c>
      <c r="L29" s="50">
        <v>35660</v>
      </c>
      <c r="M29" s="50">
        <v>0</v>
      </c>
      <c r="N29" s="50">
        <v>0</v>
      </c>
    </row>
    <row r="30" spans="1:14" hidden="1" x14ac:dyDescent="0.25">
      <c r="A30" s="49" t="s">
        <v>696</v>
      </c>
      <c r="B30" s="49" t="s">
        <v>144</v>
      </c>
      <c r="C30" s="49" t="s">
        <v>145</v>
      </c>
      <c r="D30" s="49" t="s">
        <v>69</v>
      </c>
      <c r="E30" s="50">
        <v>8085000</v>
      </c>
      <c r="F30" s="50">
        <v>4853850</v>
      </c>
      <c r="G30" s="50">
        <v>4853850</v>
      </c>
      <c r="H30" s="50">
        <v>122000</v>
      </c>
      <c r="I30" s="50">
        <v>3664000</v>
      </c>
      <c r="J30" s="50">
        <v>0</v>
      </c>
      <c r="K30" s="50">
        <v>836700</v>
      </c>
      <c r="L30" s="50">
        <v>827700</v>
      </c>
      <c r="M30" s="50">
        <v>231150</v>
      </c>
      <c r="N30" s="50">
        <v>231150</v>
      </c>
    </row>
    <row r="31" spans="1:14" hidden="1" x14ac:dyDescent="0.25">
      <c r="A31" s="49" t="s">
        <v>696</v>
      </c>
      <c r="B31" s="49" t="s">
        <v>146</v>
      </c>
      <c r="C31" s="49" t="s">
        <v>147</v>
      </c>
      <c r="D31" s="49" t="s">
        <v>69</v>
      </c>
      <c r="E31" s="50">
        <v>8295000</v>
      </c>
      <c r="F31" s="50">
        <v>1585000</v>
      </c>
      <c r="G31" s="50">
        <v>1585000</v>
      </c>
      <c r="H31" s="50">
        <v>0</v>
      </c>
      <c r="I31" s="50">
        <v>6656.8</v>
      </c>
      <c r="J31" s="50">
        <v>0</v>
      </c>
      <c r="K31" s="50">
        <v>1578343.2</v>
      </c>
      <c r="L31" s="50">
        <v>1578343.2</v>
      </c>
      <c r="M31" s="50">
        <v>0</v>
      </c>
      <c r="N31" s="50">
        <v>0</v>
      </c>
    </row>
    <row r="32" spans="1:14" hidden="1" x14ac:dyDescent="0.25">
      <c r="A32" s="49" t="s">
        <v>696</v>
      </c>
      <c r="B32" s="49" t="s">
        <v>148</v>
      </c>
      <c r="C32" s="49" t="s">
        <v>149</v>
      </c>
      <c r="D32" s="49" t="s">
        <v>69</v>
      </c>
      <c r="E32" s="50">
        <v>8520000</v>
      </c>
      <c r="F32" s="50">
        <v>3883858</v>
      </c>
      <c r="G32" s="50">
        <v>3883858</v>
      </c>
      <c r="H32" s="50">
        <v>0</v>
      </c>
      <c r="I32" s="50">
        <v>0</v>
      </c>
      <c r="J32" s="50">
        <v>0</v>
      </c>
      <c r="K32" s="50">
        <v>3883857.72</v>
      </c>
      <c r="L32" s="50">
        <v>3883857.72</v>
      </c>
      <c r="M32" s="50">
        <v>0.28000000000000003</v>
      </c>
      <c r="N32" s="50">
        <v>0.28000000000000003</v>
      </c>
    </row>
    <row r="33" spans="1:14" hidden="1" x14ac:dyDescent="0.25">
      <c r="A33" s="49" t="s">
        <v>696</v>
      </c>
      <c r="B33" s="49" t="s">
        <v>154</v>
      </c>
      <c r="C33" s="49" t="s">
        <v>155</v>
      </c>
      <c r="D33" s="49" t="s">
        <v>69</v>
      </c>
      <c r="E33" s="50">
        <v>400000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</row>
    <row r="34" spans="1:14" hidden="1" x14ac:dyDescent="0.25">
      <c r="A34" s="49" t="s">
        <v>696</v>
      </c>
      <c r="B34" s="49" t="s">
        <v>160</v>
      </c>
      <c r="C34" s="49" t="s">
        <v>161</v>
      </c>
      <c r="D34" s="49" t="s">
        <v>69</v>
      </c>
      <c r="E34" s="50">
        <v>400000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</row>
    <row r="35" spans="1:14" hidden="1" x14ac:dyDescent="0.25">
      <c r="A35" s="49" t="s">
        <v>696</v>
      </c>
      <c r="B35" s="49" t="s">
        <v>162</v>
      </c>
      <c r="C35" s="49" t="s">
        <v>163</v>
      </c>
      <c r="D35" s="49" t="s">
        <v>69</v>
      </c>
      <c r="E35" s="50">
        <v>322575</v>
      </c>
      <c r="F35" s="50">
        <v>367575</v>
      </c>
      <c r="G35" s="50">
        <v>367575</v>
      </c>
      <c r="H35" s="50">
        <v>0</v>
      </c>
      <c r="I35" s="50">
        <v>364509.75</v>
      </c>
      <c r="J35" s="50">
        <v>0</v>
      </c>
      <c r="K35" s="50">
        <v>0</v>
      </c>
      <c r="L35" s="50">
        <v>0</v>
      </c>
      <c r="M35" s="50">
        <v>3065.25</v>
      </c>
      <c r="N35" s="50">
        <v>3065.25</v>
      </c>
    </row>
    <row r="36" spans="1:14" hidden="1" x14ac:dyDescent="0.25">
      <c r="A36" s="49" t="s">
        <v>696</v>
      </c>
      <c r="B36" s="49" t="s">
        <v>170</v>
      </c>
      <c r="C36" s="49" t="s">
        <v>171</v>
      </c>
      <c r="D36" s="49" t="s">
        <v>69</v>
      </c>
      <c r="E36" s="50">
        <v>322575</v>
      </c>
      <c r="F36" s="50">
        <v>367575</v>
      </c>
      <c r="G36" s="50">
        <v>367575</v>
      </c>
      <c r="H36" s="50">
        <v>0</v>
      </c>
      <c r="I36" s="50">
        <v>364509.75</v>
      </c>
      <c r="J36" s="50">
        <v>0</v>
      </c>
      <c r="K36" s="50">
        <v>0</v>
      </c>
      <c r="L36" s="50">
        <v>0</v>
      </c>
      <c r="M36" s="50">
        <v>3065.25</v>
      </c>
      <c r="N36" s="50">
        <v>3065.25</v>
      </c>
    </row>
    <row r="37" spans="1:14" hidden="1" x14ac:dyDescent="0.25">
      <c r="A37" s="49" t="s">
        <v>696</v>
      </c>
      <c r="B37" s="49" t="s">
        <v>184</v>
      </c>
      <c r="C37" s="49" t="s">
        <v>185</v>
      </c>
      <c r="D37" s="49" t="s">
        <v>69</v>
      </c>
      <c r="E37" s="50">
        <v>4976400</v>
      </c>
      <c r="F37" s="50">
        <v>3876300</v>
      </c>
      <c r="G37" s="50">
        <v>3876300</v>
      </c>
      <c r="H37" s="50">
        <v>0</v>
      </c>
      <c r="I37" s="50">
        <v>357534.01</v>
      </c>
      <c r="J37" s="50">
        <v>160884</v>
      </c>
      <c r="K37" s="50">
        <v>3067138.94</v>
      </c>
      <c r="L37" s="50">
        <v>2901843.87</v>
      </c>
      <c r="M37" s="50">
        <v>290743.05</v>
      </c>
      <c r="N37" s="50">
        <v>290743.05</v>
      </c>
    </row>
    <row r="38" spans="1:14" hidden="1" x14ac:dyDescent="0.25">
      <c r="A38" s="49" t="s">
        <v>696</v>
      </c>
      <c r="B38" s="49" t="s">
        <v>186</v>
      </c>
      <c r="C38" s="49" t="s">
        <v>187</v>
      </c>
      <c r="D38" s="49" t="s">
        <v>69</v>
      </c>
      <c r="E38" s="50">
        <v>43000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</row>
    <row r="39" spans="1:14" hidden="1" x14ac:dyDescent="0.25">
      <c r="A39" s="49" t="s">
        <v>696</v>
      </c>
      <c r="B39" s="49" t="s">
        <v>192</v>
      </c>
      <c r="C39" s="49" t="s">
        <v>193</v>
      </c>
      <c r="D39" s="49" t="s">
        <v>69</v>
      </c>
      <c r="E39" s="50">
        <v>43000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</row>
    <row r="40" spans="1:14" hidden="1" x14ac:dyDescent="0.25">
      <c r="A40" s="49" t="s">
        <v>696</v>
      </c>
      <c r="B40" s="49" t="s">
        <v>206</v>
      </c>
      <c r="C40" s="49" t="s">
        <v>207</v>
      </c>
      <c r="D40" s="49" t="s">
        <v>69</v>
      </c>
      <c r="E40" s="50">
        <v>49000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</row>
    <row r="41" spans="1:14" hidden="1" x14ac:dyDescent="0.25">
      <c r="A41" s="49" t="s">
        <v>696</v>
      </c>
      <c r="B41" s="49" t="s">
        <v>208</v>
      </c>
      <c r="C41" s="49" t="s">
        <v>209</v>
      </c>
      <c r="D41" s="49" t="s">
        <v>69</v>
      </c>
      <c r="E41" s="50">
        <v>49000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</row>
    <row r="42" spans="1:14" hidden="1" x14ac:dyDescent="0.25">
      <c r="A42" s="49" t="s">
        <v>696</v>
      </c>
      <c r="B42" s="49" t="s">
        <v>212</v>
      </c>
      <c r="C42" s="49" t="s">
        <v>213</v>
      </c>
      <c r="D42" s="49" t="s">
        <v>69</v>
      </c>
      <c r="E42" s="50">
        <v>4884400</v>
      </c>
      <c r="F42" s="50">
        <v>3876300</v>
      </c>
      <c r="G42" s="50">
        <v>3876300</v>
      </c>
      <c r="H42" s="50">
        <v>0</v>
      </c>
      <c r="I42" s="50">
        <v>357534.01</v>
      </c>
      <c r="J42" s="50">
        <v>160884</v>
      </c>
      <c r="K42" s="50">
        <v>3067138.94</v>
      </c>
      <c r="L42" s="50">
        <v>2901843.87</v>
      </c>
      <c r="M42" s="50">
        <v>290743.05</v>
      </c>
      <c r="N42" s="50">
        <v>290743.05</v>
      </c>
    </row>
    <row r="43" spans="1:14" hidden="1" x14ac:dyDescent="0.25">
      <c r="A43" s="49" t="s">
        <v>696</v>
      </c>
      <c r="B43" s="49" t="s">
        <v>214</v>
      </c>
      <c r="C43" s="49" t="s">
        <v>215</v>
      </c>
      <c r="D43" s="49" t="s">
        <v>69</v>
      </c>
      <c r="E43" s="50">
        <v>2500000</v>
      </c>
      <c r="F43" s="50">
        <v>1950000</v>
      </c>
      <c r="G43" s="50">
        <v>1950000</v>
      </c>
      <c r="H43" s="50">
        <v>0</v>
      </c>
      <c r="I43" s="50">
        <v>357534.01</v>
      </c>
      <c r="J43" s="50">
        <v>160884</v>
      </c>
      <c r="K43" s="50">
        <v>1323786.1499999999</v>
      </c>
      <c r="L43" s="50">
        <v>1269726.54</v>
      </c>
      <c r="M43" s="50">
        <v>107795.84</v>
      </c>
      <c r="N43" s="50">
        <v>107795.84</v>
      </c>
    </row>
    <row r="44" spans="1:14" hidden="1" x14ac:dyDescent="0.25">
      <c r="A44" s="49" t="s">
        <v>696</v>
      </c>
      <c r="B44" s="49" t="s">
        <v>218</v>
      </c>
      <c r="C44" s="49" t="s">
        <v>219</v>
      </c>
      <c r="D44" s="49" t="s">
        <v>69</v>
      </c>
      <c r="E44" s="50">
        <v>1800000</v>
      </c>
      <c r="F44" s="50">
        <v>1476300</v>
      </c>
      <c r="G44" s="50">
        <v>1476300</v>
      </c>
      <c r="H44" s="50">
        <v>0</v>
      </c>
      <c r="I44" s="50">
        <v>0</v>
      </c>
      <c r="J44" s="50">
        <v>0</v>
      </c>
      <c r="K44" s="50">
        <v>1430237.18</v>
      </c>
      <c r="L44" s="50">
        <v>1430237.18</v>
      </c>
      <c r="M44" s="50">
        <v>46062.82</v>
      </c>
      <c r="N44" s="50">
        <v>46062.82</v>
      </c>
    </row>
    <row r="45" spans="1:14" hidden="1" x14ac:dyDescent="0.25">
      <c r="A45" s="49" t="s">
        <v>696</v>
      </c>
      <c r="B45" s="49" t="s">
        <v>222</v>
      </c>
      <c r="C45" s="49" t="s">
        <v>223</v>
      </c>
      <c r="D45" s="49" t="s">
        <v>69</v>
      </c>
      <c r="E45" s="50">
        <v>500000</v>
      </c>
      <c r="F45" s="50">
        <v>450000</v>
      </c>
      <c r="G45" s="50">
        <v>450000</v>
      </c>
      <c r="H45" s="50">
        <v>0</v>
      </c>
      <c r="I45" s="50">
        <v>0</v>
      </c>
      <c r="J45" s="50">
        <v>0</v>
      </c>
      <c r="K45" s="50">
        <v>313115.61</v>
      </c>
      <c r="L45" s="50">
        <v>201880.15</v>
      </c>
      <c r="M45" s="50">
        <v>136884.39000000001</v>
      </c>
      <c r="N45" s="50">
        <v>136884.39000000001</v>
      </c>
    </row>
    <row r="46" spans="1:14" hidden="1" x14ac:dyDescent="0.25">
      <c r="A46" s="49" t="s">
        <v>696</v>
      </c>
      <c r="B46" s="49" t="s">
        <v>226</v>
      </c>
      <c r="C46" s="49" t="s">
        <v>227</v>
      </c>
      <c r="D46" s="49" t="s">
        <v>69</v>
      </c>
      <c r="E46" s="50">
        <v>37400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</row>
    <row r="47" spans="1:14" hidden="1" x14ac:dyDescent="0.25">
      <c r="A47" s="49" t="s">
        <v>696</v>
      </c>
      <c r="B47" s="49" t="s">
        <v>228</v>
      </c>
      <c r="C47" s="49" t="s">
        <v>229</v>
      </c>
      <c r="D47" s="49" t="s">
        <v>69</v>
      </c>
      <c r="E47" s="50">
        <v>47000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</row>
    <row r="48" spans="1:14" hidden="1" x14ac:dyDescent="0.25">
      <c r="A48" s="49" t="s">
        <v>696</v>
      </c>
      <c r="B48" s="49" t="s">
        <v>248</v>
      </c>
      <c r="C48" s="49" t="s">
        <v>249</v>
      </c>
      <c r="D48" s="49" t="s">
        <v>69</v>
      </c>
      <c r="E48" s="50">
        <v>314465910</v>
      </c>
      <c r="F48" s="50">
        <v>320640887</v>
      </c>
      <c r="G48" s="50">
        <v>320298642</v>
      </c>
      <c r="H48" s="50">
        <v>0</v>
      </c>
      <c r="I48" s="50">
        <v>62869596.390000001</v>
      </c>
      <c r="J48" s="50">
        <v>0</v>
      </c>
      <c r="K48" s="50">
        <v>236344955.91</v>
      </c>
      <c r="L48" s="50">
        <v>236344955.91</v>
      </c>
      <c r="M48" s="50">
        <v>21426334.699999999</v>
      </c>
      <c r="N48" s="50">
        <v>21084089.699999999</v>
      </c>
    </row>
    <row r="49" spans="1:14" hidden="1" x14ac:dyDescent="0.25">
      <c r="A49" s="49" t="s">
        <v>696</v>
      </c>
      <c r="B49" s="49" t="s">
        <v>250</v>
      </c>
      <c r="C49" s="49" t="s">
        <v>251</v>
      </c>
      <c r="D49" s="49" t="s">
        <v>69</v>
      </c>
      <c r="E49" s="50">
        <v>281465910</v>
      </c>
      <c r="F49" s="50">
        <v>280640887</v>
      </c>
      <c r="G49" s="50">
        <v>280298642</v>
      </c>
      <c r="H49" s="50">
        <v>0</v>
      </c>
      <c r="I49" s="50">
        <v>62869596</v>
      </c>
      <c r="J49" s="50">
        <v>0</v>
      </c>
      <c r="K49" s="50">
        <v>217403735</v>
      </c>
      <c r="L49" s="50">
        <v>217403735</v>
      </c>
      <c r="M49" s="50">
        <v>367556</v>
      </c>
      <c r="N49" s="50">
        <v>25311</v>
      </c>
    </row>
    <row r="50" spans="1:14" hidden="1" x14ac:dyDescent="0.25">
      <c r="A50" s="49" t="s">
        <v>696</v>
      </c>
      <c r="B50" s="49" t="s">
        <v>619</v>
      </c>
      <c r="C50" s="49" t="s">
        <v>701</v>
      </c>
      <c r="D50" s="49" t="s">
        <v>69</v>
      </c>
      <c r="E50" s="50">
        <v>257500000</v>
      </c>
      <c r="F50" s="50">
        <v>257500000</v>
      </c>
      <c r="G50" s="50">
        <v>257500000</v>
      </c>
      <c r="H50" s="50">
        <v>0</v>
      </c>
      <c r="I50" s="50">
        <v>55178572</v>
      </c>
      <c r="J50" s="50">
        <v>0</v>
      </c>
      <c r="K50" s="50">
        <v>202321427</v>
      </c>
      <c r="L50" s="50">
        <v>202321427</v>
      </c>
      <c r="M50" s="50">
        <v>1</v>
      </c>
      <c r="N50" s="50">
        <v>1</v>
      </c>
    </row>
    <row r="51" spans="1:14" hidden="1" x14ac:dyDescent="0.25">
      <c r="A51" s="49" t="s">
        <v>696</v>
      </c>
      <c r="B51" s="49" t="s">
        <v>625</v>
      </c>
      <c r="C51" s="49" t="s">
        <v>702</v>
      </c>
      <c r="D51" s="49" t="s">
        <v>69</v>
      </c>
      <c r="E51" s="50">
        <v>20356634</v>
      </c>
      <c r="F51" s="50">
        <v>19655861</v>
      </c>
      <c r="G51" s="50">
        <v>19365163</v>
      </c>
      <c r="H51" s="50">
        <v>0</v>
      </c>
      <c r="I51" s="50">
        <v>6578587</v>
      </c>
      <c r="J51" s="50">
        <v>0</v>
      </c>
      <c r="K51" s="50">
        <v>12786574</v>
      </c>
      <c r="L51" s="50">
        <v>12786574</v>
      </c>
      <c r="M51" s="50">
        <v>290700</v>
      </c>
      <c r="N51" s="50">
        <v>2</v>
      </c>
    </row>
    <row r="52" spans="1:14" hidden="1" x14ac:dyDescent="0.25">
      <c r="A52" s="49" t="s">
        <v>696</v>
      </c>
      <c r="B52" s="49" t="s">
        <v>640</v>
      </c>
      <c r="C52" s="49" t="s">
        <v>703</v>
      </c>
      <c r="D52" s="49" t="s">
        <v>69</v>
      </c>
      <c r="E52" s="50">
        <v>3609276</v>
      </c>
      <c r="F52" s="50">
        <v>3485026</v>
      </c>
      <c r="G52" s="50">
        <v>3433479</v>
      </c>
      <c r="H52" s="50">
        <v>0</v>
      </c>
      <c r="I52" s="50">
        <v>1112437</v>
      </c>
      <c r="J52" s="50">
        <v>0</v>
      </c>
      <c r="K52" s="50">
        <v>2295734</v>
      </c>
      <c r="L52" s="50">
        <v>2295734</v>
      </c>
      <c r="M52" s="50">
        <v>76855</v>
      </c>
      <c r="N52" s="50">
        <v>25308</v>
      </c>
    </row>
    <row r="53" spans="1:14" hidden="1" x14ac:dyDescent="0.25">
      <c r="A53" s="49" t="s">
        <v>696</v>
      </c>
      <c r="B53" s="49" t="s">
        <v>260</v>
      </c>
      <c r="C53" s="49" t="s">
        <v>261</v>
      </c>
      <c r="D53" s="49" t="s">
        <v>69</v>
      </c>
      <c r="E53" s="50">
        <v>33000000</v>
      </c>
      <c r="F53" s="50">
        <v>40000000</v>
      </c>
      <c r="G53" s="50">
        <v>40000000</v>
      </c>
      <c r="H53" s="50">
        <v>0</v>
      </c>
      <c r="I53" s="50">
        <v>0.39</v>
      </c>
      <c r="J53" s="50">
        <v>0</v>
      </c>
      <c r="K53" s="50">
        <v>18941220.91</v>
      </c>
      <c r="L53" s="50">
        <v>18941220.91</v>
      </c>
      <c r="M53" s="50">
        <v>21058778.699999999</v>
      </c>
      <c r="N53" s="50">
        <v>21058778.699999999</v>
      </c>
    </row>
    <row r="54" spans="1:14" hidden="1" x14ac:dyDescent="0.25">
      <c r="A54" s="49" t="s">
        <v>696</v>
      </c>
      <c r="B54" s="49" t="s">
        <v>262</v>
      </c>
      <c r="C54" s="49" t="s">
        <v>263</v>
      </c>
      <c r="D54" s="49" t="s">
        <v>69</v>
      </c>
      <c r="E54" s="50">
        <v>23000000</v>
      </c>
      <c r="F54" s="50">
        <v>23000000</v>
      </c>
      <c r="G54" s="50">
        <v>23000000</v>
      </c>
      <c r="H54" s="50">
        <v>0</v>
      </c>
      <c r="I54" s="50">
        <v>0.39</v>
      </c>
      <c r="J54" s="50">
        <v>0</v>
      </c>
      <c r="K54" s="50">
        <v>5194620.41</v>
      </c>
      <c r="L54" s="50">
        <v>5194620.41</v>
      </c>
      <c r="M54" s="50">
        <v>17805379.199999999</v>
      </c>
      <c r="N54" s="50">
        <v>17805379.199999999</v>
      </c>
    </row>
    <row r="55" spans="1:14" hidden="1" x14ac:dyDescent="0.25">
      <c r="A55" s="49" t="s">
        <v>696</v>
      </c>
      <c r="B55" s="49" t="s">
        <v>264</v>
      </c>
      <c r="C55" s="49" t="s">
        <v>265</v>
      </c>
      <c r="D55" s="49" t="s">
        <v>69</v>
      </c>
      <c r="E55" s="50">
        <v>10000000</v>
      </c>
      <c r="F55" s="50">
        <v>17000000</v>
      </c>
      <c r="G55" s="50">
        <v>17000000</v>
      </c>
      <c r="H55" s="50">
        <v>0</v>
      </c>
      <c r="I55" s="50">
        <v>0</v>
      </c>
      <c r="J55" s="50">
        <v>0</v>
      </c>
      <c r="K55" s="50">
        <v>13746600.5</v>
      </c>
      <c r="L55" s="50">
        <v>13746600.5</v>
      </c>
      <c r="M55" s="50">
        <v>3253399.5</v>
      </c>
      <c r="N55" s="50">
        <v>3253399.5</v>
      </c>
    </row>
    <row r="56" spans="1:14" hidden="1" x14ac:dyDescent="0.25">
      <c r="A56" s="49" t="s">
        <v>696</v>
      </c>
      <c r="B56" s="49" t="s">
        <v>230</v>
      </c>
      <c r="C56" s="49" t="s">
        <v>231</v>
      </c>
      <c r="D56" s="49" t="s">
        <v>85</v>
      </c>
      <c r="E56" s="50">
        <v>4220000</v>
      </c>
      <c r="F56" s="50">
        <v>3050000</v>
      </c>
      <c r="G56" s="50">
        <v>3050000</v>
      </c>
      <c r="H56" s="50">
        <v>0</v>
      </c>
      <c r="I56" s="50">
        <v>0.02</v>
      </c>
      <c r="J56" s="50">
        <v>0</v>
      </c>
      <c r="K56" s="50">
        <v>2343992.0299999998</v>
      </c>
      <c r="L56" s="50">
        <v>2343992.0299999998</v>
      </c>
      <c r="M56" s="50">
        <v>706007.95</v>
      </c>
      <c r="N56" s="50">
        <v>706007.95</v>
      </c>
    </row>
    <row r="57" spans="1:14" hidden="1" x14ac:dyDescent="0.25">
      <c r="A57" s="49" t="s">
        <v>696</v>
      </c>
      <c r="B57" s="49" t="s">
        <v>232</v>
      </c>
      <c r="C57" s="49" t="s">
        <v>233</v>
      </c>
      <c r="D57" s="49" t="s">
        <v>85</v>
      </c>
      <c r="E57" s="50">
        <v>3320000</v>
      </c>
      <c r="F57" s="50">
        <v>3050000</v>
      </c>
      <c r="G57" s="50">
        <v>3050000</v>
      </c>
      <c r="H57" s="50">
        <v>0</v>
      </c>
      <c r="I57" s="50">
        <v>0.02</v>
      </c>
      <c r="J57" s="50">
        <v>0</v>
      </c>
      <c r="K57" s="50">
        <v>2343992.0299999998</v>
      </c>
      <c r="L57" s="50">
        <v>2343992.0299999998</v>
      </c>
      <c r="M57" s="50">
        <v>706007.95</v>
      </c>
      <c r="N57" s="50">
        <v>706007.95</v>
      </c>
    </row>
    <row r="58" spans="1:14" hidden="1" x14ac:dyDescent="0.25">
      <c r="A58" s="49" t="s">
        <v>696</v>
      </c>
      <c r="B58" s="49" t="s">
        <v>236</v>
      </c>
      <c r="C58" s="49" t="s">
        <v>237</v>
      </c>
      <c r="D58" s="49" t="s">
        <v>85</v>
      </c>
      <c r="E58" s="50">
        <v>120000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</row>
    <row r="59" spans="1:14" hidden="1" x14ac:dyDescent="0.25">
      <c r="A59" s="49" t="s">
        <v>696</v>
      </c>
      <c r="B59" s="49" t="s">
        <v>238</v>
      </c>
      <c r="C59" s="49" t="s">
        <v>239</v>
      </c>
      <c r="D59" s="49" t="s">
        <v>85</v>
      </c>
      <c r="E59" s="50">
        <v>3200000</v>
      </c>
      <c r="F59" s="50">
        <v>3050000</v>
      </c>
      <c r="G59" s="50">
        <v>3050000</v>
      </c>
      <c r="H59" s="50">
        <v>0</v>
      </c>
      <c r="I59" s="50">
        <v>0.02</v>
      </c>
      <c r="J59" s="50">
        <v>0</v>
      </c>
      <c r="K59" s="50">
        <v>2343992.0299999998</v>
      </c>
      <c r="L59" s="50">
        <v>2343992.0299999998</v>
      </c>
      <c r="M59" s="50">
        <v>706007.95</v>
      </c>
      <c r="N59" s="50">
        <v>706007.95</v>
      </c>
    </row>
    <row r="60" spans="1:14" hidden="1" x14ac:dyDescent="0.25">
      <c r="A60" s="49" t="s">
        <v>696</v>
      </c>
      <c r="B60" s="49" t="s">
        <v>244</v>
      </c>
      <c r="C60" s="49" t="s">
        <v>245</v>
      </c>
      <c r="D60" s="49" t="s">
        <v>85</v>
      </c>
      <c r="E60" s="50">
        <v>900000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</row>
    <row r="61" spans="1:14" hidden="1" x14ac:dyDescent="0.25">
      <c r="A61" s="49" t="s">
        <v>696</v>
      </c>
      <c r="B61" s="49" t="s">
        <v>246</v>
      </c>
      <c r="C61" s="49" t="s">
        <v>247</v>
      </c>
      <c r="D61" s="49" t="s">
        <v>85</v>
      </c>
      <c r="E61" s="50">
        <v>900000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</row>
    <row r="62" spans="1:14" x14ac:dyDescent="0.25">
      <c r="A62" s="49">
        <v>214787</v>
      </c>
      <c r="B62" s="49"/>
      <c r="C62" s="49"/>
      <c r="D62" s="49" t="s">
        <v>69</v>
      </c>
      <c r="E62" s="50">
        <v>3672713874</v>
      </c>
      <c r="F62" s="50">
        <v>3477014422</v>
      </c>
      <c r="G62" s="50">
        <v>3462309456</v>
      </c>
      <c r="H62" s="50">
        <v>0</v>
      </c>
      <c r="I62" s="50">
        <v>301758722.49000001</v>
      </c>
      <c r="J62" s="50">
        <v>1191232.5</v>
      </c>
      <c r="K62" s="50">
        <v>2479855045.7399998</v>
      </c>
      <c r="L62" s="50">
        <v>2454083098.52</v>
      </c>
      <c r="M62" s="50">
        <v>694209421.26999998</v>
      </c>
      <c r="N62" s="50">
        <v>679504455.26999998</v>
      </c>
    </row>
    <row r="63" spans="1:14" hidden="1" x14ac:dyDescent="0.25">
      <c r="A63" s="49" t="s">
        <v>704</v>
      </c>
      <c r="B63" s="49" t="s">
        <v>71</v>
      </c>
      <c r="C63" s="49" t="s">
        <v>72</v>
      </c>
      <c r="D63" s="49" t="s">
        <v>69</v>
      </c>
      <c r="E63" s="50">
        <v>2848782596</v>
      </c>
      <c r="F63" s="50">
        <v>2674350536</v>
      </c>
      <c r="G63" s="50">
        <v>2659767424</v>
      </c>
      <c r="H63" s="50">
        <v>0</v>
      </c>
      <c r="I63" s="50">
        <v>97925894</v>
      </c>
      <c r="J63" s="50">
        <v>0</v>
      </c>
      <c r="K63" s="50">
        <v>1933498952.78</v>
      </c>
      <c r="L63" s="50">
        <v>1933498952.78</v>
      </c>
      <c r="M63" s="50">
        <v>642925689.22000003</v>
      </c>
      <c r="N63" s="50">
        <v>628342577.22000003</v>
      </c>
    </row>
    <row r="64" spans="1:14" hidden="1" x14ac:dyDescent="0.25">
      <c r="A64" s="49" t="s">
        <v>704</v>
      </c>
      <c r="B64" s="49" t="s">
        <v>73</v>
      </c>
      <c r="C64" s="49" t="s">
        <v>74</v>
      </c>
      <c r="D64" s="49" t="s">
        <v>69</v>
      </c>
      <c r="E64" s="50">
        <v>1118901696</v>
      </c>
      <c r="F64" s="50">
        <v>1090175970</v>
      </c>
      <c r="G64" s="50">
        <v>1085616270</v>
      </c>
      <c r="H64" s="50">
        <v>0</v>
      </c>
      <c r="I64" s="50">
        <v>0</v>
      </c>
      <c r="J64" s="50">
        <v>0</v>
      </c>
      <c r="K64" s="50">
        <v>853606396.07000005</v>
      </c>
      <c r="L64" s="50">
        <v>853606396.07000005</v>
      </c>
      <c r="M64" s="50">
        <v>236569573.93000001</v>
      </c>
      <c r="N64" s="50">
        <v>232009873.93000001</v>
      </c>
    </row>
    <row r="65" spans="1:14" hidden="1" x14ac:dyDescent="0.25">
      <c r="A65" s="49" t="s">
        <v>704</v>
      </c>
      <c r="B65" s="49" t="s">
        <v>75</v>
      </c>
      <c r="C65" s="49" t="s">
        <v>76</v>
      </c>
      <c r="D65" s="49" t="s">
        <v>69</v>
      </c>
      <c r="E65" s="50">
        <v>1118901696</v>
      </c>
      <c r="F65" s="50">
        <v>1090175970</v>
      </c>
      <c r="G65" s="50">
        <v>1085616270</v>
      </c>
      <c r="H65" s="50">
        <v>0</v>
      </c>
      <c r="I65" s="50">
        <v>0</v>
      </c>
      <c r="J65" s="50">
        <v>0</v>
      </c>
      <c r="K65" s="50">
        <v>853606396.07000005</v>
      </c>
      <c r="L65" s="50">
        <v>853606396.07000005</v>
      </c>
      <c r="M65" s="50">
        <v>236569573.93000001</v>
      </c>
      <c r="N65" s="50">
        <v>232009873.93000001</v>
      </c>
    </row>
    <row r="66" spans="1:14" hidden="1" x14ac:dyDescent="0.25">
      <c r="A66" s="49" t="s">
        <v>704</v>
      </c>
      <c r="B66" s="49" t="s">
        <v>77</v>
      </c>
      <c r="C66" s="49" t="s">
        <v>78</v>
      </c>
      <c r="D66" s="49" t="s">
        <v>69</v>
      </c>
      <c r="E66" s="50">
        <v>1295309720</v>
      </c>
      <c r="F66" s="50">
        <v>1160748440</v>
      </c>
      <c r="G66" s="50">
        <v>1157356394</v>
      </c>
      <c r="H66" s="50">
        <v>0</v>
      </c>
      <c r="I66" s="50">
        <v>0</v>
      </c>
      <c r="J66" s="50">
        <v>0</v>
      </c>
      <c r="K66" s="50">
        <v>761023690.71000004</v>
      </c>
      <c r="L66" s="50">
        <v>761023690.71000004</v>
      </c>
      <c r="M66" s="50">
        <v>399724749.29000002</v>
      </c>
      <c r="N66" s="50">
        <v>396332703.29000002</v>
      </c>
    </row>
    <row r="67" spans="1:14" hidden="1" x14ac:dyDescent="0.25">
      <c r="A67" s="49" t="s">
        <v>704</v>
      </c>
      <c r="B67" s="49" t="s">
        <v>79</v>
      </c>
      <c r="C67" s="49" t="s">
        <v>80</v>
      </c>
      <c r="D67" s="49" t="s">
        <v>69</v>
      </c>
      <c r="E67" s="50">
        <v>329734600</v>
      </c>
      <c r="F67" s="50">
        <v>328933600</v>
      </c>
      <c r="G67" s="50">
        <v>328933600</v>
      </c>
      <c r="H67" s="50">
        <v>0</v>
      </c>
      <c r="I67" s="50">
        <v>0</v>
      </c>
      <c r="J67" s="50">
        <v>0</v>
      </c>
      <c r="K67" s="50">
        <v>259038997.87</v>
      </c>
      <c r="L67" s="50">
        <v>259038997.87</v>
      </c>
      <c r="M67" s="50">
        <v>69894602.129999995</v>
      </c>
      <c r="N67" s="50">
        <v>69894602.129999995</v>
      </c>
    </row>
    <row r="68" spans="1:14" hidden="1" x14ac:dyDescent="0.25">
      <c r="A68" s="49" t="s">
        <v>704</v>
      </c>
      <c r="B68" s="49" t="s">
        <v>81</v>
      </c>
      <c r="C68" s="49" t="s">
        <v>82</v>
      </c>
      <c r="D68" s="49" t="s">
        <v>69</v>
      </c>
      <c r="E68" s="50">
        <v>442514922</v>
      </c>
      <c r="F68" s="50">
        <v>431161620</v>
      </c>
      <c r="G68" s="50">
        <v>428653782</v>
      </c>
      <c r="H68" s="50">
        <v>0</v>
      </c>
      <c r="I68" s="50">
        <v>0</v>
      </c>
      <c r="J68" s="50">
        <v>0</v>
      </c>
      <c r="K68" s="50">
        <v>332839110.56</v>
      </c>
      <c r="L68" s="50">
        <v>332839110.56</v>
      </c>
      <c r="M68" s="50">
        <v>98322509.439999998</v>
      </c>
      <c r="N68" s="50">
        <v>95814671.439999998</v>
      </c>
    </row>
    <row r="69" spans="1:14" hidden="1" x14ac:dyDescent="0.25">
      <c r="A69" s="49" t="s">
        <v>704</v>
      </c>
      <c r="B69" s="49" t="s">
        <v>86</v>
      </c>
      <c r="C69" s="49" t="s">
        <v>87</v>
      </c>
      <c r="D69" s="49" t="s">
        <v>69</v>
      </c>
      <c r="E69" s="50">
        <v>170646400</v>
      </c>
      <c r="F69" s="50">
        <v>55646400</v>
      </c>
      <c r="G69" s="50">
        <v>55646400</v>
      </c>
      <c r="H69" s="50">
        <v>0</v>
      </c>
      <c r="I69" s="50">
        <v>0</v>
      </c>
      <c r="J69" s="50">
        <v>0</v>
      </c>
      <c r="K69" s="50">
        <v>40448779.990000002</v>
      </c>
      <c r="L69" s="50">
        <v>40448779.990000002</v>
      </c>
      <c r="M69" s="50">
        <v>15197620.01</v>
      </c>
      <c r="N69" s="50">
        <v>15197620.01</v>
      </c>
    </row>
    <row r="70" spans="1:14" hidden="1" x14ac:dyDescent="0.25">
      <c r="A70" s="49" t="s">
        <v>704</v>
      </c>
      <c r="B70" s="49" t="s">
        <v>88</v>
      </c>
      <c r="C70" s="49" t="s">
        <v>89</v>
      </c>
      <c r="D70" s="49" t="s">
        <v>69</v>
      </c>
      <c r="E70" s="50">
        <v>166773800</v>
      </c>
      <c r="F70" s="50">
        <v>164127760</v>
      </c>
      <c r="G70" s="50">
        <v>163855000</v>
      </c>
      <c r="H70" s="50">
        <v>0</v>
      </c>
      <c r="I70" s="50">
        <v>0</v>
      </c>
      <c r="J70" s="50">
        <v>0</v>
      </c>
      <c r="K70" s="50">
        <v>128696802.29000001</v>
      </c>
      <c r="L70" s="50">
        <v>128696802.29000001</v>
      </c>
      <c r="M70" s="50">
        <v>35430957.710000001</v>
      </c>
      <c r="N70" s="50">
        <v>35158197.710000001</v>
      </c>
    </row>
    <row r="71" spans="1:14" hidden="1" x14ac:dyDescent="0.25">
      <c r="A71" s="49" t="s">
        <v>704</v>
      </c>
      <c r="B71" s="49" t="s">
        <v>83</v>
      </c>
      <c r="C71" s="49" t="s">
        <v>84</v>
      </c>
      <c r="D71" s="49" t="s">
        <v>85</v>
      </c>
      <c r="E71" s="50">
        <v>185639998</v>
      </c>
      <c r="F71" s="50">
        <v>180879060</v>
      </c>
      <c r="G71" s="50">
        <v>180267612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50">
        <v>180879060</v>
      </c>
      <c r="N71" s="50">
        <v>180267612</v>
      </c>
    </row>
    <row r="72" spans="1:14" hidden="1" x14ac:dyDescent="0.25">
      <c r="A72" s="49" t="s">
        <v>704</v>
      </c>
      <c r="B72" s="49" t="s">
        <v>90</v>
      </c>
      <c r="C72" s="49" t="s">
        <v>91</v>
      </c>
      <c r="D72" s="49" t="s">
        <v>69</v>
      </c>
      <c r="E72" s="50">
        <v>217285640</v>
      </c>
      <c r="F72" s="50">
        <v>211713113</v>
      </c>
      <c r="G72" s="50">
        <v>210997433</v>
      </c>
      <c r="H72" s="50">
        <v>0</v>
      </c>
      <c r="I72" s="50">
        <v>51375229</v>
      </c>
      <c r="J72" s="50">
        <v>0</v>
      </c>
      <c r="K72" s="50">
        <v>159622204</v>
      </c>
      <c r="L72" s="50">
        <v>159622204</v>
      </c>
      <c r="M72" s="50">
        <v>715680</v>
      </c>
      <c r="N72" s="50">
        <v>0</v>
      </c>
    </row>
    <row r="73" spans="1:14" hidden="1" x14ac:dyDescent="0.25">
      <c r="A73" s="49" t="s">
        <v>704</v>
      </c>
      <c r="B73" s="49" t="s">
        <v>418</v>
      </c>
      <c r="C73" s="49" t="s">
        <v>697</v>
      </c>
      <c r="D73" s="49" t="s">
        <v>69</v>
      </c>
      <c r="E73" s="50">
        <v>206142800</v>
      </c>
      <c r="F73" s="50">
        <v>200856044</v>
      </c>
      <c r="G73" s="50">
        <v>200177066</v>
      </c>
      <c r="H73" s="50">
        <v>0</v>
      </c>
      <c r="I73" s="50">
        <v>48740597</v>
      </c>
      <c r="J73" s="50">
        <v>0</v>
      </c>
      <c r="K73" s="50">
        <v>151436469</v>
      </c>
      <c r="L73" s="50">
        <v>151436469</v>
      </c>
      <c r="M73" s="50">
        <v>678978</v>
      </c>
      <c r="N73" s="50">
        <v>0</v>
      </c>
    </row>
    <row r="74" spans="1:14" hidden="1" x14ac:dyDescent="0.25">
      <c r="A74" s="49" t="s">
        <v>704</v>
      </c>
      <c r="B74" s="49" t="s">
        <v>435</v>
      </c>
      <c r="C74" s="49" t="s">
        <v>95</v>
      </c>
      <c r="D74" s="49" t="s">
        <v>69</v>
      </c>
      <c r="E74" s="50">
        <v>11142840</v>
      </c>
      <c r="F74" s="50">
        <v>10857069</v>
      </c>
      <c r="G74" s="50">
        <v>10820367</v>
      </c>
      <c r="H74" s="50">
        <v>0</v>
      </c>
      <c r="I74" s="50">
        <v>2634632</v>
      </c>
      <c r="J74" s="50">
        <v>0</v>
      </c>
      <c r="K74" s="50">
        <v>8185735</v>
      </c>
      <c r="L74" s="50">
        <v>8185735</v>
      </c>
      <c r="M74" s="50">
        <v>36702</v>
      </c>
      <c r="N74" s="50">
        <v>0</v>
      </c>
    </row>
    <row r="75" spans="1:14" hidden="1" x14ac:dyDescent="0.25">
      <c r="A75" s="49" t="s">
        <v>704</v>
      </c>
      <c r="B75" s="49" t="s">
        <v>96</v>
      </c>
      <c r="C75" s="49" t="s">
        <v>97</v>
      </c>
      <c r="D75" s="49" t="s">
        <v>69</v>
      </c>
      <c r="E75" s="50">
        <v>217285540</v>
      </c>
      <c r="F75" s="50">
        <v>211713013</v>
      </c>
      <c r="G75" s="50">
        <v>205797327</v>
      </c>
      <c r="H75" s="50">
        <v>0</v>
      </c>
      <c r="I75" s="50">
        <v>46550665</v>
      </c>
      <c r="J75" s="50">
        <v>0</v>
      </c>
      <c r="K75" s="50">
        <v>159246662</v>
      </c>
      <c r="L75" s="50">
        <v>159246662</v>
      </c>
      <c r="M75" s="50">
        <v>5915686</v>
      </c>
      <c r="N75" s="50">
        <v>0</v>
      </c>
    </row>
    <row r="76" spans="1:14" hidden="1" x14ac:dyDescent="0.25">
      <c r="A76" s="49" t="s">
        <v>704</v>
      </c>
      <c r="B76" s="49" t="s">
        <v>453</v>
      </c>
      <c r="C76" s="49" t="s">
        <v>698</v>
      </c>
      <c r="D76" s="49" t="s">
        <v>69</v>
      </c>
      <c r="E76" s="50">
        <v>116999976</v>
      </c>
      <c r="F76" s="50">
        <v>113999385</v>
      </c>
      <c r="G76" s="50">
        <v>113614017</v>
      </c>
      <c r="H76" s="50">
        <v>0</v>
      </c>
      <c r="I76" s="50">
        <v>28039166</v>
      </c>
      <c r="J76" s="50">
        <v>0</v>
      </c>
      <c r="K76" s="50">
        <v>85574851</v>
      </c>
      <c r="L76" s="50">
        <v>85574851</v>
      </c>
      <c r="M76" s="50">
        <v>385368</v>
      </c>
      <c r="N76" s="50">
        <v>0</v>
      </c>
    </row>
    <row r="77" spans="1:14" hidden="1" x14ac:dyDescent="0.25">
      <c r="A77" s="49" t="s">
        <v>704</v>
      </c>
      <c r="B77" s="49" t="s">
        <v>470</v>
      </c>
      <c r="C77" s="49" t="s">
        <v>699</v>
      </c>
      <c r="D77" s="49" t="s">
        <v>69</v>
      </c>
      <c r="E77" s="50">
        <v>33428521</v>
      </c>
      <c r="F77" s="50">
        <v>32571209</v>
      </c>
      <c r="G77" s="50">
        <v>32461103</v>
      </c>
      <c r="H77" s="50">
        <v>0</v>
      </c>
      <c r="I77" s="50">
        <v>7903829</v>
      </c>
      <c r="J77" s="50">
        <v>0</v>
      </c>
      <c r="K77" s="50">
        <v>24557274</v>
      </c>
      <c r="L77" s="50">
        <v>24557274</v>
      </c>
      <c r="M77" s="50">
        <v>110106</v>
      </c>
      <c r="N77" s="50">
        <v>0</v>
      </c>
    </row>
    <row r="78" spans="1:14" hidden="1" x14ac:dyDescent="0.25">
      <c r="A78" s="49" t="s">
        <v>704</v>
      </c>
      <c r="B78" s="49" t="s">
        <v>487</v>
      </c>
      <c r="C78" s="49" t="s">
        <v>700</v>
      </c>
      <c r="D78" s="49" t="s">
        <v>69</v>
      </c>
      <c r="E78" s="50">
        <v>66857043</v>
      </c>
      <c r="F78" s="50">
        <v>65142419</v>
      </c>
      <c r="G78" s="50">
        <v>59722207</v>
      </c>
      <c r="H78" s="50">
        <v>0</v>
      </c>
      <c r="I78" s="50">
        <v>10607670</v>
      </c>
      <c r="J78" s="50">
        <v>0</v>
      </c>
      <c r="K78" s="50">
        <v>49114537</v>
      </c>
      <c r="L78" s="50">
        <v>49114537</v>
      </c>
      <c r="M78" s="50">
        <v>5420212</v>
      </c>
      <c r="N78" s="50">
        <v>0</v>
      </c>
    </row>
    <row r="79" spans="1:14" hidden="1" x14ac:dyDescent="0.25">
      <c r="A79" s="49" t="s">
        <v>704</v>
      </c>
      <c r="B79" s="49" t="s">
        <v>104</v>
      </c>
      <c r="C79" s="49" t="s">
        <v>105</v>
      </c>
      <c r="D79" s="49" t="s">
        <v>69</v>
      </c>
      <c r="E79" s="50">
        <v>261541565</v>
      </c>
      <c r="F79" s="50">
        <v>249886315</v>
      </c>
      <c r="G79" s="50">
        <v>249886315</v>
      </c>
      <c r="H79" s="50">
        <v>0</v>
      </c>
      <c r="I79" s="50">
        <v>97758970.890000001</v>
      </c>
      <c r="J79" s="50">
        <v>911698.5</v>
      </c>
      <c r="K79" s="50">
        <v>136223575.37</v>
      </c>
      <c r="L79" s="50">
        <v>121384965.75</v>
      </c>
      <c r="M79" s="50">
        <v>14992070.24</v>
      </c>
      <c r="N79" s="50">
        <v>14992070.24</v>
      </c>
    </row>
    <row r="80" spans="1:14" hidden="1" x14ac:dyDescent="0.25">
      <c r="A80" s="49" t="s">
        <v>704</v>
      </c>
      <c r="B80" s="49" t="s">
        <v>106</v>
      </c>
      <c r="C80" s="49" t="s">
        <v>107</v>
      </c>
      <c r="D80" s="49" t="s">
        <v>69</v>
      </c>
      <c r="E80" s="50">
        <v>90013380</v>
      </c>
      <c r="F80" s="50">
        <v>90013380</v>
      </c>
      <c r="G80" s="50">
        <v>90013380</v>
      </c>
      <c r="H80" s="50">
        <v>0</v>
      </c>
      <c r="I80" s="50">
        <v>21513076.25</v>
      </c>
      <c r="J80" s="50">
        <v>30000</v>
      </c>
      <c r="K80" s="50">
        <v>55865824.770000003</v>
      </c>
      <c r="L80" s="50">
        <v>43398973.149999999</v>
      </c>
      <c r="M80" s="50">
        <v>12604478.98</v>
      </c>
      <c r="N80" s="50">
        <v>12604478.98</v>
      </c>
    </row>
    <row r="81" spans="1:14" hidden="1" x14ac:dyDescent="0.25">
      <c r="A81" s="49" t="s">
        <v>704</v>
      </c>
      <c r="B81" s="49" t="s">
        <v>108</v>
      </c>
      <c r="C81" s="49" t="s">
        <v>109</v>
      </c>
      <c r="D81" s="49" t="s">
        <v>69</v>
      </c>
      <c r="E81" s="50">
        <v>0</v>
      </c>
      <c r="F81" s="50">
        <v>90013379.840000004</v>
      </c>
      <c r="G81" s="50">
        <v>90013379.840000004</v>
      </c>
      <c r="H81" s="50">
        <v>0</v>
      </c>
      <c r="I81" s="50">
        <v>21513076.25</v>
      </c>
      <c r="J81" s="50">
        <v>30000</v>
      </c>
      <c r="K81" s="50">
        <v>55865824.770000003</v>
      </c>
      <c r="L81" s="50">
        <v>43398973.149999999</v>
      </c>
      <c r="M81" s="50">
        <v>12604478.82</v>
      </c>
      <c r="N81" s="50">
        <v>12604478.82</v>
      </c>
    </row>
    <row r="82" spans="1:14" hidden="1" x14ac:dyDescent="0.25">
      <c r="A82" s="49" t="s">
        <v>704</v>
      </c>
      <c r="B82" s="49" t="s">
        <v>304</v>
      </c>
      <c r="C82" s="49" t="s">
        <v>305</v>
      </c>
      <c r="D82" s="49" t="s">
        <v>69</v>
      </c>
      <c r="E82" s="50">
        <v>90013380</v>
      </c>
      <c r="F82" s="50">
        <v>0.16</v>
      </c>
      <c r="G82" s="50">
        <v>0.16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50">
        <v>0.16</v>
      </c>
      <c r="N82" s="50">
        <v>0.16</v>
      </c>
    </row>
    <row r="83" spans="1:14" hidden="1" x14ac:dyDescent="0.25">
      <c r="A83" s="49" t="s">
        <v>704</v>
      </c>
      <c r="B83" s="49" t="s">
        <v>112</v>
      </c>
      <c r="C83" s="49" t="s">
        <v>113</v>
      </c>
      <c r="D83" s="49" t="s">
        <v>69</v>
      </c>
      <c r="E83" s="50">
        <v>105953785</v>
      </c>
      <c r="F83" s="50">
        <v>102953785</v>
      </c>
      <c r="G83" s="50">
        <v>102953785</v>
      </c>
      <c r="H83" s="50">
        <v>0</v>
      </c>
      <c r="I83" s="50">
        <v>59769506.039999999</v>
      </c>
      <c r="J83" s="50">
        <v>0</v>
      </c>
      <c r="K83" s="50">
        <v>42014858.520000003</v>
      </c>
      <c r="L83" s="50">
        <v>41770108.520000003</v>
      </c>
      <c r="M83" s="50">
        <v>1169420.44</v>
      </c>
      <c r="N83" s="50">
        <v>1169420.44</v>
      </c>
    </row>
    <row r="84" spans="1:14" hidden="1" x14ac:dyDescent="0.25">
      <c r="A84" s="49" t="s">
        <v>704</v>
      </c>
      <c r="B84" s="49" t="s">
        <v>114</v>
      </c>
      <c r="C84" s="49" t="s">
        <v>115</v>
      </c>
      <c r="D84" s="49" t="s">
        <v>69</v>
      </c>
      <c r="E84" s="50">
        <v>8169861</v>
      </c>
      <c r="F84" s="50">
        <v>6169861</v>
      </c>
      <c r="G84" s="50">
        <v>6169861</v>
      </c>
      <c r="H84" s="50">
        <v>0</v>
      </c>
      <c r="I84" s="50">
        <v>1711944</v>
      </c>
      <c r="J84" s="50">
        <v>0</v>
      </c>
      <c r="K84" s="50">
        <v>3303511</v>
      </c>
      <c r="L84" s="50">
        <v>3058761</v>
      </c>
      <c r="M84" s="50">
        <v>1154406</v>
      </c>
      <c r="N84" s="50">
        <v>1154406</v>
      </c>
    </row>
    <row r="85" spans="1:14" hidden="1" x14ac:dyDescent="0.25">
      <c r="A85" s="49" t="s">
        <v>704</v>
      </c>
      <c r="B85" s="49" t="s">
        <v>116</v>
      </c>
      <c r="C85" s="49" t="s">
        <v>117</v>
      </c>
      <c r="D85" s="49" t="s">
        <v>69</v>
      </c>
      <c r="E85" s="50">
        <v>49884000</v>
      </c>
      <c r="F85" s="50">
        <v>49884000</v>
      </c>
      <c r="G85" s="50">
        <v>49884000</v>
      </c>
      <c r="H85" s="50">
        <v>0</v>
      </c>
      <c r="I85" s="50">
        <v>16718691.550000001</v>
      </c>
      <c r="J85" s="50">
        <v>0</v>
      </c>
      <c r="K85" s="50">
        <v>33165308.449999999</v>
      </c>
      <c r="L85" s="50">
        <v>33165308.449999999</v>
      </c>
      <c r="M85" s="50">
        <v>0</v>
      </c>
      <c r="N85" s="50">
        <v>0</v>
      </c>
    </row>
    <row r="86" spans="1:14" hidden="1" x14ac:dyDescent="0.25">
      <c r="A86" s="49" t="s">
        <v>704</v>
      </c>
      <c r="B86" s="49" t="s">
        <v>118</v>
      </c>
      <c r="C86" s="49" t="s">
        <v>119</v>
      </c>
      <c r="D86" s="49" t="s">
        <v>69</v>
      </c>
      <c r="E86" s="50">
        <v>19924</v>
      </c>
      <c r="F86" s="50">
        <v>19924</v>
      </c>
      <c r="G86" s="50">
        <v>19924</v>
      </c>
      <c r="H86" s="50">
        <v>0</v>
      </c>
      <c r="I86" s="50">
        <v>999</v>
      </c>
      <c r="J86" s="50">
        <v>0</v>
      </c>
      <c r="K86" s="50">
        <v>18925</v>
      </c>
      <c r="L86" s="50">
        <v>18925</v>
      </c>
      <c r="M86" s="50">
        <v>0</v>
      </c>
      <c r="N86" s="50">
        <v>0</v>
      </c>
    </row>
    <row r="87" spans="1:14" hidden="1" x14ac:dyDescent="0.25">
      <c r="A87" s="49" t="s">
        <v>704</v>
      </c>
      <c r="B87" s="49" t="s">
        <v>120</v>
      </c>
      <c r="C87" s="49" t="s">
        <v>121</v>
      </c>
      <c r="D87" s="49" t="s">
        <v>69</v>
      </c>
      <c r="E87" s="50">
        <v>47460000</v>
      </c>
      <c r="F87" s="50">
        <v>46460000</v>
      </c>
      <c r="G87" s="50">
        <v>46460000</v>
      </c>
      <c r="H87" s="50">
        <v>0</v>
      </c>
      <c r="I87" s="50">
        <v>41038769.32</v>
      </c>
      <c r="J87" s="50">
        <v>0</v>
      </c>
      <c r="K87" s="50">
        <v>5421230.2400000002</v>
      </c>
      <c r="L87" s="50">
        <v>5421230.2400000002</v>
      </c>
      <c r="M87" s="50">
        <v>0.44</v>
      </c>
      <c r="N87" s="50">
        <v>0.44</v>
      </c>
    </row>
    <row r="88" spans="1:14" hidden="1" x14ac:dyDescent="0.25">
      <c r="A88" s="49" t="s">
        <v>704</v>
      </c>
      <c r="B88" s="49" t="s">
        <v>122</v>
      </c>
      <c r="C88" s="49" t="s">
        <v>123</v>
      </c>
      <c r="D88" s="49" t="s">
        <v>69</v>
      </c>
      <c r="E88" s="50">
        <v>420000</v>
      </c>
      <c r="F88" s="50">
        <v>420000</v>
      </c>
      <c r="G88" s="50">
        <v>420000</v>
      </c>
      <c r="H88" s="50">
        <v>0</v>
      </c>
      <c r="I88" s="50">
        <v>299102.17</v>
      </c>
      <c r="J88" s="50">
        <v>0</v>
      </c>
      <c r="K88" s="50">
        <v>105883.83</v>
      </c>
      <c r="L88" s="50">
        <v>105883.83</v>
      </c>
      <c r="M88" s="50">
        <v>15014</v>
      </c>
      <c r="N88" s="50">
        <v>15014</v>
      </c>
    </row>
    <row r="89" spans="1:14" hidden="1" x14ac:dyDescent="0.25">
      <c r="A89" s="49" t="s">
        <v>704</v>
      </c>
      <c r="B89" s="49" t="s">
        <v>124</v>
      </c>
      <c r="C89" s="49" t="s">
        <v>125</v>
      </c>
      <c r="D89" s="49" t="s">
        <v>69</v>
      </c>
      <c r="E89" s="50">
        <v>8000000</v>
      </c>
      <c r="F89" s="50">
        <v>10750000</v>
      </c>
      <c r="G89" s="50">
        <v>10750000</v>
      </c>
      <c r="H89" s="50">
        <v>0</v>
      </c>
      <c r="I89" s="50">
        <v>3523767.2</v>
      </c>
      <c r="J89" s="50">
        <v>193600</v>
      </c>
      <c r="K89" s="50">
        <v>6909016</v>
      </c>
      <c r="L89" s="50">
        <v>6909016</v>
      </c>
      <c r="M89" s="50">
        <v>123616.8</v>
      </c>
      <c r="N89" s="50">
        <v>123616.8</v>
      </c>
    </row>
    <row r="90" spans="1:14" hidden="1" x14ac:dyDescent="0.25">
      <c r="A90" s="49" t="s">
        <v>704</v>
      </c>
      <c r="B90" s="49" t="s">
        <v>126</v>
      </c>
      <c r="C90" s="49" t="s">
        <v>127</v>
      </c>
      <c r="D90" s="49" t="s">
        <v>69</v>
      </c>
      <c r="E90" s="50">
        <v>7000000</v>
      </c>
      <c r="F90" s="50">
        <v>10450000</v>
      </c>
      <c r="G90" s="50">
        <v>10450000</v>
      </c>
      <c r="H90" s="50">
        <v>0</v>
      </c>
      <c r="I90" s="50">
        <v>3362413.2</v>
      </c>
      <c r="J90" s="50">
        <v>193600</v>
      </c>
      <c r="K90" s="50">
        <v>6870370</v>
      </c>
      <c r="L90" s="50">
        <v>6870370</v>
      </c>
      <c r="M90" s="50">
        <v>23616.799999999999</v>
      </c>
      <c r="N90" s="50">
        <v>23616.799999999999</v>
      </c>
    </row>
    <row r="91" spans="1:14" hidden="1" x14ac:dyDescent="0.25">
      <c r="A91" s="49" t="s">
        <v>704</v>
      </c>
      <c r="B91" s="49" t="s">
        <v>132</v>
      </c>
      <c r="C91" s="49" t="s">
        <v>133</v>
      </c>
      <c r="D91" s="49" t="s">
        <v>69</v>
      </c>
      <c r="E91" s="50">
        <v>1000000</v>
      </c>
      <c r="F91" s="50">
        <v>300000</v>
      </c>
      <c r="G91" s="50">
        <v>300000</v>
      </c>
      <c r="H91" s="50">
        <v>0</v>
      </c>
      <c r="I91" s="50">
        <v>161354</v>
      </c>
      <c r="J91" s="50">
        <v>0</v>
      </c>
      <c r="K91" s="50">
        <v>38646</v>
      </c>
      <c r="L91" s="50">
        <v>38646</v>
      </c>
      <c r="M91" s="50">
        <v>100000</v>
      </c>
      <c r="N91" s="50">
        <v>100000</v>
      </c>
    </row>
    <row r="92" spans="1:14" hidden="1" x14ac:dyDescent="0.25">
      <c r="A92" s="49" t="s">
        <v>704</v>
      </c>
      <c r="B92" s="49" t="s">
        <v>134</v>
      </c>
      <c r="C92" s="49" t="s">
        <v>135</v>
      </c>
      <c r="D92" s="49" t="s">
        <v>69</v>
      </c>
      <c r="E92" s="50">
        <v>3480000</v>
      </c>
      <c r="F92" s="50">
        <v>1480000</v>
      </c>
      <c r="G92" s="50">
        <v>1480000</v>
      </c>
      <c r="H92" s="50">
        <v>0</v>
      </c>
      <c r="I92" s="50">
        <v>475888.12</v>
      </c>
      <c r="J92" s="50">
        <v>0</v>
      </c>
      <c r="K92" s="50">
        <v>1003792.56</v>
      </c>
      <c r="L92" s="50">
        <v>1003792.56</v>
      </c>
      <c r="M92" s="50">
        <v>319.32</v>
      </c>
      <c r="N92" s="50">
        <v>319.32</v>
      </c>
    </row>
    <row r="93" spans="1:14" hidden="1" x14ac:dyDescent="0.25">
      <c r="A93" s="49" t="s">
        <v>704</v>
      </c>
      <c r="B93" s="49" t="s">
        <v>136</v>
      </c>
      <c r="C93" s="49" t="s">
        <v>137</v>
      </c>
      <c r="D93" s="49" t="s">
        <v>69</v>
      </c>
      <c r="E93" s="50">
        <v>2000000</v>
      </c>
      <c r="F93" s="50">
        <v>0</v>
      </c>
      <c r="G93" s="50">
        <v>0</v>
      </c>
      <c r="H93" s="50">
        <v>0</v>
      </c>
      <c r="I93" s="50">
        <v>0</v>
      </c>
      <c r="J93" s="50">
        <v>0</v>
      </c>
      <c r="K93" s="50">
        <v>0</v>
      </c>
      <c r="L93" s="50">
        <v>0</v>
      </c>
      <c r="M93" s="50">
        <v>0</v>
      </c>
      <c r="N93" s="50">
        <v>0</v>
      </c>
    </row>
    <row r="94" spans="1:14" hidden="1" x14ac:dyDescent="0.25">
      <c r="A94" s="49" t="s">
        <v>704</v>
      </c>
      <c r="B94" s="49" t="s">
        <v>138</v>
      </c>
      <c r="C94" s="49" t="s">
        <v>139</v>
      </c>
      <c r="D94" s="49" t="s">
        <v>69</v>
      </c>
      <c r="E94" s="50">
        <v>1480000</v>
      </c>
      <c r="F94" s="50">
        <v>1480000</v>
      </c>
      <c r="G94" s="50">
        <v>1480000</v>
      </c>
      <c r="H94" s="50">
        <v>0</v>
      </c>
      <c r="I94" s="50">
        <v>475888.12</v>
      </c>
      <c r="J94" s="50">
        <v>0</v>
      </c>
      <c r="K94" s="50">
        <v>1003792.56</v>
      </c>
      <c r="L94" s="50">
        <v>1003792.56</v>
      </c>
      <c r="M94" s="50">
        <v>319.32</v>
      </c>
      <c r="N94" s="50">
        <v>319.32</v>
      </c>
    </row>
    <row r="95" spans="1:14" hidden="1" x14ac:dyDescent="0.25">
      <c r="A95" s="49" t="s">
        <v>704</v>
      </c>
      <c r="B95" s="49" t="s">
        <v>140</v>
      </c>
      <c r="C95" s="49" t="s">
        <v>141</v>
      </c>
      <c r="D95" s="49" t="s">
        <v>69</v>
      </c>
      <c r="E95" s="50">
        <v>1500000</v>
      </c>
      <c r="F95" s="50">
        <v>791650</v>
      </c>
      <c r="G95" s="50">
        <v>791650</v>
      </c>
      <c r="H95" s="50">
        <v>0</v>
      </c>
      <c r="I95" s="50">
        <v>404550</v>
      </c>
      <c r="J95" s="50">
        <v>0</v>
      </c>
      <c r="K95" s="50">
        <v>315500</v>
      </c>
      <c r="L95" s="50">
        <v>315500</v>
      </c>
      <c r="M95" s="50">
        <v>71600</v>
      </c>
      <c r="N95" s="50">
        <v>71600</v>
      </c>
    </row>
    <row r="96" spans="1:14" hidden="1" x14ac:dyDescent="0.25">
      <c r="A96" s="49" t="s">
        <v>704</v>
      </c>
      <c r="B96" s="49" t="s">
        <v>144</v>
      </c>
      <c r="C96" s="49" t="s">
        <v>145</v>
      </c>
      <c r="D96" s="49" t="s">
        <v>69</v>
      </c>
      <c r="E96" s="50">
        <v>1500000</v>
      </c>
      <c r="F96" s="50">
        <v>791650</v>
      </c>
      <c r="G96" s="50">
        <v>791650</v>
      </c>
      <c r="H96" s="50">
        <v>0</v>
      </c>
      <c r="I96" s="50">
        <v>404550</v>
      </c>
      <c r="J96" s="50">
        <v>0</v>
      </c>
      <c r="K96" s="50">
        <v>315500</v>
      </c>
      <c r="L96" s="50">
        <v>315500</v>
      </c>
      <c r="M96" s="50">
        <v>71600</v>
      </c>
      <c r="N96" s="50">
        <v>71600</v>
      </c>
    </row>
    <row r="97" spans="1:14" hidden="1" x14ac:dyDescent="0.25">
      <c r="A97" s="49" t="s">
        <v>704</v>
      </c>
      <c r="B97" s="49" t="s">
        <v>150</v>
      </c>
      <c r="C97" s="49" t="s">
        <v>151</v>
      </c>
      <c r="D97" s="49" t="s">
        <v>69</v>
      </c>
      <c r="E97" s="50">
        <v>29000000</v>
      </c>
      <c r="F97" s="50">
        <v>24000000</v>
      </c>
      <c r="G97" s="50">
        <v>24000000</v>
      </c>
      <c r="H97" s="50">
        <v>0</v>
      </c>
      <c r="I97" s="50">
        <v>0</v>
      </c>
      <c r="J97" s="50">
        <v>0</v>
      </c>
      <c r="K97" s="50">
        <v>23906599</v>
      </c>
      <c r="L97" s="50">
        <v>21779591</v>
      </c>
      <c r="M97" s="50">
        <v>93401</v>
      </c>
      <c r="N97" s="50">
        <v>93401</v>
      </c>
    </row>
    <row r="98" spans="1:14" hidden="1" x14ac:dyDescent="0.25">
      <c r="A98" s="49" t="s">
        <v>704</v>
      </c>
      <c r="B98" s="49" t="s">
        <v>152</v>
      </c>
      <c r="C98" s="49" t="s">
        <v>153</v>
      </c>
      <c r="D98" s="49" t="s">
        <v>69</v>
      </c>
      <c r="E98" s="50">
        <v>29000000</v>
      </c>
      <c r="F98" s="50">
        <v>24000000</v>
      </c>
      <c r="G98" s="50">
        <v>24000000</v>
      </c>
      <c r="H98" s="50">
        <v>0</v>
      </c>
      <c r="I98" s="50">
        <v>0</v>
      </c>
      <c r="J98" s="50">
        <v>0</v>
      </c>
      <c r="K98" s="50">
        <v>23906599</v>
      </c>
      <c r="L98" s="50">
        <v>21779591</v>
      </c>
      <c r="M98" s="50">
        <v>93401</v>
      </c>
      <c r="N98" s="50">
        <v>93401</v>
      </c>
    </row>
    <row r="99" spans="1:14" hidden="1" x14ac:dyDescent="0.25">
      <c r="A99" s="49" t="s">
        <v>704</v>
      </c>
      <c r="B99" s="49" t="s">
        <v>154</v>
      </c>
      <c r="C99" s="49" t="s">
        <v>155</v>
      </c>
      <c r="D99" s="49" t="s">
        <v>69</v>
      </c>
      <c r="E99" s="50">
        <v>200000</v>
      </c>
      <c r="F99" s="50">
        <v>0</v>
      </c>
      <c r="G99" s="50">
        <v>0</v>
      </c>
      <c r="H99" s="50">
        <v>0</v>
      </c>
      <c r="I99" s="50">
        <v>0</v>
      </c>
      <c r="J99" s="50">
        <v>0</v>
      </c>
      <c r="K99" s="50">
        <v>0</v>
      </c>
      <c r="L99" s="50">
        <v>0</v>
      </c>
      <c r="M99" s="50">
        <v>0</v>
      </c>
      <c r="N99" s="50">
        <v>0</v>
      </c>
    </row>
    <row r="100" spans="1:14" hidden="1" x14ac:dyDescent="0.25">
      <c r="A100" s="49" t="s">
        <v>704</v>
      </c>
      <c r="B100" s="49" t="s">
        <v>160</v>
      </c>
      <c r="C100" s="49" t="s">
        <v>161</v>
      </c>
      <c r="D100" s="49" t="s">
        <v>69</v>
      </c>
      <c r="E100" s="50">
        <v>200000</v>
      </c>
      <c r="F100" s="50">
        <v>0</v>
      </c>
      <c r="G100" s="50">
        <v>0</v>
      </c>
      <c r="H100" s="50">
        <v>0</v>
      </c>
      <c r="I100" s="50">
        <v>0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</row>
    <row r="101" spans="1:14" hidden="1" x14ac:dyDescent="0.25">
      <c r="A101" s="49" t="s">
        <v>704</v>
      </c>
      <c r="B101" s="49" t="s">
        <v>162</v>
      </c>
      <c r="C101" s="49" t="s">
        <v>163</v>
      </c>
      <c r="D101" s="49" t="s">
        <v>69</v>
      </c>
      <c r="E101" s="50">
        <v>21394400</v>
      </c>
      <c r="F101" s="50">
        <v>17897500</v>
      </c>
      <c r="G101" s="50">
        <v>17897500</v>
      </c>
      <c r="H101" s="50">
        <v>0</v>
      </c>
      <c r="I101" s="50">
        <v>10400314.279999999</v>
      </c>
      <c r="J101" s="50">
        <v>688098.5</v>
      </c>
      <c r="K101" s="50">
        <v>5879853.5199999996</v>
      </c>
      <c r="L101" s="50">
        <v>5879853.5199999996</v>
      </c>
      <c r="M101" s="50">
        <v>929233.7</v>
      </c>
      <c r="N101" s="50">
        <v>929233.7</v>
      </c>
    </row>
    <row r="102" spans="1:14" hidden="1" x14ac:dyDescent="0.25">
      <c r="A102" s="49" t="s">
        <v>704</v>
      </c>
      <c r="B102" s="49" t="s">
        <v>166</v>
      </c>
      <c r="C102" s="49" t="s">
        <v>167</v>
      </c>
      <c r="D102" s="49" t="s">
        <v>69</v>
      </c>
      <c r="E102" s="50">
        <v>13000000</v>
      </c>
      <c r="F102" s="50">
        <v>12988100</v>
      </c>
      <c r="G102" s="50">
        <v>12988100</v>
      </c>
      <c r="H102" s="50">
        <v>0</v>
      </c>
      <c r="I102" s="50">
        <v>8840318.6199999992</v>
      </c>
      <c r="J102" s="50">
        <v>202098.5</v>
      </c>
      <c r="K102" s="50">
        <v>3936369.69</v>
      </c>
      <c r="L102" s="50">
        <v>3936369.69</v>
      </c>
      <c r="M102" s="50">
        <v>9313.19</v>
      </c>
      <c r="N102" s="50">
        <v>9313.19</v>
      </c>
    </row>
    <row r="103" spans="1:14" hidden="1" x14ac:dyDescent="0.25">
      <c r="A103" s="49" t="s">
        <v>704</v>
      </c>
      <c r="B103" s="49" t="s">
        <v>168</v>
      </c>
      <c r="C103" s="49" t="s">
        <v>169</v>
      </c>
      <c r="D103" s="49" t="s">
        <v>69</v>
      </c>
      <c r="E103" s="50">
        <v>6194400</v>
      </c>
      <c r="F103" s="50">
        <v>3194400</v>
      </c>
      <c r="G103" s="50">
        <v>3194400</v>
      </c>
      <c r="H103" s="50">
        <v>0</v>
      </c>
      <c r="I103" s="50">
        <v>450473</v>
      </c>
      <c r="J103" s="50">
        <v>486000</v>
      </c>
      <c r="K103" s="50">
        <v>1351367</v>
      </c>
      <c r="L103" s="50">
        <v>1351367</v>
      </c>
      <c r="M103" s="50">
        <v>906560</v>
      </c>
      <c r="N103" s="50">
        <v>906560</v>
      </c>
    </row>
    <row r="104" spans="1:14" hidden="1" x14ac:dyDescent="0.25">
      <c r="A104" s="49" t="s">
        <v>704</v>
      </c>
      <c r="B104" s="49" t="s">
        <v>172</v>
      </c>
      <c r="C104" s="49" t="s">
        <v>173</v>
      </c>
      <c r="D104" s="49" t="s">
        <v>69</v>
      </c>
      <c r="E104" s="50">
        <v>2200000</v>
      </c>
      <c r="F104" s="50">
        <v>1715000</v>
      </c>
      <c r="G104" s="50">
        <v>1715000</v>
      </c>
      <c r="H104" s="50">
        <v>0</v>
      </c>
      <c r="I104" s="50">
        <v>1109522.6599999999</v>
      </c>
      <c r="J104" s="50">
        <v>0</v>
      </c>
      <c r="K104" s="50">
        <v>592116.82999999996</v>
      </c>
      <c r="L104" s="50">
        <v>592116.82999999996</v>
      </c>
      <c r="M104" s="50">
        <v>13360.51</v>
      </c>
      <c r="N104" s="50">
        <v>13360.51</v>
      </c>
    </row>
    <row r="105" spans="1:14" hidden="1" x14ac:dyDescent="0.25">
      <c r="A105" s="49" t="s">
        <v>704</v>
      </c>
      <c r="B105" s="49" t="s">
        <v>174</v>
      </c>
      <c r="C105" s="49" t="s">
        <v>175</v>
      </c>
      <c r="D105" s="49" t="s">
        <v>69</v>
      </c>
      <c r="E105" s="50">
        <v>1000000</v>
      </c>
      <c r="F105" s="50">
        <v>1000000</v>
      </c>
      <c r="G105" s="50">
        <v>1000000</v>
      </c>
      <c r="H105" s="50">
        <v>0</v>
      </c>
      <c r="I105" s="50">
        <v>871869</v>
      </c>
      <c r="J105" s="50">
        <v>0</v>
      </c>
      <c r="K105" s="50">
        <v>128131</v>
      </c>
      <c r="L105" s="50">
        <v>128131</v>
      </c>
      <c r="M105" s="50">
        <v>0</v>
      </c>
      <c r="N105" s="50">
        <v>0</v>
      </c>
    </row>
    <row r="106" spans="1:14" hidden="1" x14ac:dyDescent="0.25">
      <c r="A106" s="49" t="s">
        <v>704</v>
      </c>
      <c r="B106" s="49" t="s">
        <v>176</v>
      </c>
      <c r="C106" s="49" t="s">
        <v>177</v>
      </c>
      <c r="D106" s="49" t="s">
        <v>69</v>
      </c>
      <c r="E106" s="50">
        <v>1000000</v>
      </c>
      <c r="F106" s="50">
        <v>1000000</v>
      </c>
      <c r="G106" s="50">
        <v>1000000</v>
      </c>
      <c r="H106" s="50">
        <v>0</v>
      </c>
      <c r="I106" s="50">
        <v>871869</v>
      </c>
      <c r="J106" s="50">
        <v>0</v>
      </c>
      <c r="K106" s="50">
        <v>128131</v>
      </c>
      <c r="L106" s="50">
        <v>128131</v>
      </c>
      <c r="M106" s="50">
        <v>0</v>
      </c>
      <c r="N106" s="50">
        <v>0</v>
      </c>
    </row>
    <row r="107" spans="1:14" hidden="1" x14ac:dyDescent="0.25">
      <c r="A107" s="49" t="s">
        <v>704</v>
      </c>
      <c r="B107" s="49" t="s">
        <v>178</v>
      </c>
      <c r="C107" s="49" t="s">
        <v>179</v>
      </c>
      <c r="D107" s="49" t="s">
        <v>69</v>
      </c>
      <c r="E107" s="50">
        <v>1000000</v>
      </c>
      <c r="F107" s="50">
        <v>1000000</v>
      </c>
      <c r="G107" s="50">
        <v>1000000</v>
      </c>
      <c r="H107" s="50">
        <v>0</v>
      </c>
      <c r="I107" s="50">
        <v>800000</v>
      </c>
      <c r="J107" s="50">
        <v>0</v>
      </c>
      <c r="K107" s="50">
        <v>200000</v>
      </c>
      <c r="L107" s="50">
        <v>200000</v>
      </c>
      <c r="M107" s="50">
        <v>0</v>
      </c>
      <c r="N107" s="50">
        <v>0</v>
      </c>
    </row>
    <row r="108" spans="1:14" hidden="1" x14ac:dyDescent="0.25">
      <c r="A108" s="49" t="s">
        <v>704</v>
      </c>
      <c r="B108" s="49" t="s">
        <v>182</v>
      </c>
      <c r="C108" s="49" t="s">
        <v>183</v>
      </c>
      <c r="D108" s="49" t="s">
        <v>69</v>
      </c>
      <c r="E108" s="50">
        <v>1000000</v>
      </c>
      <c r="F108" s="50">
        <v>1000000</v>
      </c>
      <c r="G108" s="50">
        <v>1000000</v>
      </c>
      <c r="H108" s="50">
        <v>0</v>
      </c>
      <c r="I108" s="50">
        <v>800000</v>
      </c>
      <c r="J108" s="50">
        <v>0</v>
      </c>
      <c r="K108" s="50">
        <v>200000</v>
      </c>
      <c r="L108" s="50">
        <v>200000</v>
      </c>
      <c r="M108" s="50">
        <v>0</v>
      </c>
      <c r="N108" s="50">
        <v>0</v>
      </c>
    </row>
    <row r="109" spans="1:14" hidden="1" x14ac:dyDescent="0.25">
      <c r="A109" s="49" t="s">
        <v>704</v>
      </c>
      <c r="B109" s="49" t="s">
        <v>184</v>
      </c>
      <c r="C109" s="49" t="s">
        <v>185</v>
      </c>
      <c r="D109" s="49" t="s">
        <v>69</v>
      </c>
      <c r="E109" s="50">
        <v>40981500</v>
      </c>
      <c r="F109" s="50">
        <v>33070115</v>
      </c>
      <c r="G109" s="50">
        <v>33070115</v>
      </c>
      <c r="H109" s="50">
        <v>0</v>
      </c>
      <c r="I109" s="50">
        <v>7214133.9400000004</v>
      </c>
      <c r="J109" s="50">
        <v>279534</v>
      </c>
      <c r="K109" s="50">
        <v>24359458.25</v>
      </c>
      <c r="L109" s="50">
        <v>13426120.65</v>
      </c>
      <c r="M109" s="50">
        <v>1216988.81</v>
      </c>
      <c r="N109" s="50">
        <v>1216988.81</v>
      </c>
    </row>
    <row r="110" spans="1:14" hidden="1" x14ac:dyDescent="0.25">
      <c r="A110" s="49" t="s">
        <v>704</v>
      </c>
      <c r="B110" s="49" t="s">
        <v>186</v>
      </c>
      <c r="C110" s="49" t="s">
        <v>187</v>
      </c>
      <c r="D110" s="49" t="s">
        <v>69</v>
      </c>
      <c r="E110" s="50">
        <v>14621000</v>
      </c>
      <c r="F110" s="50">
        <v>9600000</v>
      </c>
      <c r="G110" s="50">
        <v>9600000</v>
      </c>
      <c r="H110" s="50">
        <v>0</v>
      </c>
      <c r="I110" s="50">
        <v>3918260.6</v>
      </c>
      <c r="J110" s="50">
        <v>0</v>
      </c>
      <c r="K110" s="50">
        <v>5681739.4000000004</v>
      </c>
      <c r="L110" s="50">
        <v>5681739.4000000004</v>
      </c>
      <c r="M110" s="50">
        <v>0</v>
      </c>
      <c r="N110" s="50">
        <v>0</v>
      </c>
    </row>
    <row r="111" spans="1:14" hidden="1" x14ac:dyDescent="0.25">
      <c r="A111" s="49" t="s">
        <v>704</v>
      </c>
      <c r="B111" s="49" t="s">
        <v>188</v>
      </c>
      <c r="C111" s="49" t="s">
        <v>189</v>
      </c>
      <c r="D111" s="49" t="s">
        <v>69</v>
      </c>
      <c r="E111" s="50">
        <v>9600000</v>
      </c>
      <c r="F111" s="50">
        <v>9600000</v>
      </c>
      <c r="G111" s="50">
        <v>9600000</v>
      </c>
      <c r="H111" s="50">
        <v>0</v>
      </c>
      <c r="I111" s="50">
        <v>3918260.6</v>
      </c>
      <c r="J111" s="50">
        <v>0</v>
      </c>
      <c r="K111" s="50">
        <v>5681739.4000000004</v>
      </c>
      <c r="L111" s="50">
        <v>5681739.4000000004</v>
      </c>
      <c r="M111" s="50">
        <v>0</v>
      </c>
      <c r="N111" s="50">
        <v>0</v>
      </c>
    </row>
    <row r="112" spans="1:14" hidden="1" x14ac:dyDescent="0.25">
      <c r="A112" s="49" t="s">
        <v>704</v>
      </c>
      <c r="B112" s="49" t="s">
        <v>190</v>
      </c>
      <c r="C112" s="49" t="s">
        <v>191</v>
      </c>
      <c r="D112" s="49" t="s">
        <v>69</v>
      </c>
      <c r="E112" s="50">
        <v>5000000</v>
      </c>
      <c r="F112" s="50">
        <v>0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</row>
    <row r="113" spans="1:14" hidden="1" x14ac:dyDescent="0.25">
      <c r="A113" s="49" t="s">
        <v>704</v>
      </c>
      <c r="B113" s="49" t="s">
        <v>192</v>
      </c>
      <c r="C113" s="49" t="s">
        <v>193</v>
      </c>
      <c r="D113" s="49" t="s">
        <v>69</v>
      </c>
      <c r="E113" s="50">
        <v>21000</v>
      </c>
      <c r="F113" s="50">
        <v>0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</row>
    <row r="114" spans="1:14" hidden="1" x14ac:dyDescent="0.25">
      <c r="A114" s="49" t="s">
        <v>704</v>
      </c>
      <c r="B114" s="49" t="s">
        <v>196</v>
      </c>
      <c r="C114" s="49" t="s">
        <v>197</v>
      </c>
      <c r="D114" s="49" t="s">
        <v>69</v>
      </c>
      <c r="E114" s="50">
        <v>3000000</v>
      </c>
      <c r="F114" s="50">
        <v>2755000</v>
      </c>
      <c r="G114" s="50">
        <v>2755000</v>
      </c>
      <c r="H114" s="50">
        <v>0</v>
      </c>
      <c r="I114" s="50">
        <v>803026</v>
      </c>
      <c r="J114" s="50">
        <v>0</v>
      </c>
      <c r="K114" s="50">
        <v>1445734</v>
      </c>
      <c r="L114" s="50">
        <v>1445734</v>
      </c>
      <c r="M114" s="50">
        <v>506240</v>
      </c>
      <c r="N114" s="50">
        <v>506240</v>
      </c>
    </row>
    <row r="115" spans="1:14" hidden="1" x14ac:dyDescent="0.25">
      <c r="A115" s="49" t="s">
        <v>704</v>
      </c>
      <c r="B115" s="49" t="s">
        <v>198</v>
      </c>
      <c r="C115" s="49" t="s">
        <v>199</v>
      </c>
      <c r="D115" s="49" t="s">
        <v>69</v>
      </c>
      <c r="E115" s="50">
        <v>3000000</v>
      </c>
      <c r="F115" s="50">
        <v>2755000</v>
      </c>
      <c r="G115" s="50">
        <v>2755000</v>
      </c>
      <c r="H115" s="50">
        <v>0</v>
      </c>
      <c r="I115" s="50">
        <v>803026</v>
      </c>
      <c r="J115" s="50">
        <v>0</v>
      </c>
      <c r="K115" s="50">
        <v>1445734</v>
      </c>
      <c r="L115" s="50">
        <v>1445734</v>
      </c>
      <c r="M115" s="50">
        <v>506240</v>
      </c>
      <c r="N115" s="50">
        <v>506240</v>
      </c>
    </row>
    <row r="116" spans="1:14" hidden="1" x14ac:dyDescent="0.25">
      <c r="A116" s="49" t="s">
        <v>704</v>
      </c>
      <c r="B116" s="49" t="s">
        <v>206</v>
      </c>
      <c r="C116" s="49" t="s">
        <v>207</v>
      </c>
      <c r="D116" s="49" t="s">
        <v>69</v>
      </c>
      <c r="E116" s="50">
        <v>355000</v>
      </c>
      <c r="F116" s="50">
        <v>12615</v>
      </c>
      <c r="G116" s="50">
        <v>12615</v>
      </c>
      <c r="H116" s="50">
        <v>0</v>
      </c>
      <c r="I116" s="50">
        <v>0</v>
      </c>
      <c r="J116" s="50">
        <v>0</v>
      </c>
      <c r="K116" s="50">
        <v>12615</v>
      </c>
      <c r="L116" s="50">
        <v>12615</v>
      </c>
      <c r="M116" s="50">
        <v>0</v>
      </c>
      <c r="N116" s="50">
        <v>0</v>
      </c>
    </row>
    <row r="117" spans="1:14" hidden="1" x14ac:dyDescent="0.25">
      <c r="A117" s="49" t="s">
        <v>704</v>
      </c>
      <c r="B117" s="49" t="s">
        <v>208</v>
      </c>
      <c r="C117" s="49" t="s">
        <v>209</v>
      </c>
      <c r="D117" s="49" t="s">
        <v>69</v>
      </c>
      <c r="E117" s="50">
        <v>130000</v>
      </c>
      <c r="F117" s="50">
        <v>12615</v>
      </c>
      <c r="G117" s="50">
        <v>12615</v>
      </c>
      <c r="H117" s="50">
        <v>0</v>
      </c>
      <c r="I117" s="50">
        <v>0</v>
      </c>
      <c r="J117" s="50">
        <v>0</v>
      </c>
      <c r="K117" s="50">
        <v>12615</v>
      </c>
      <c r="L117" s="50">
        <v>12615</v>
      </c>
      <c r="M117" s="50">
        <v>0</v>
      </c>
      <c r="N117" s="50">
        <v>0</v>
      </c>
    </row>
    <row r="118" spans="1:14" hidden="1" x14ac:dyDescent="0.25">
      <c r="A118" s="49" t="s">
        <v>704</v>
      </c>
      <c r="B118" s="49" t="s">
        <v>210</v>
      </c>
      <c r="C118" s="49" t="s">
        <v>211</v>
      </c>
      <c r="D118" s="49" t="s">
        <v>69</v>
      </c>
      <c r="E118" s="50">
        <v>225000</v>
      </c>
      <c r="F118" s="50">
        <v>0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</row>
    <row r="119" spans="1:14" hidden="1" x14ac:dyDescent="0.25">
      <c r="A119" s="49" t="s">
        <v>704</v>
      </c>
      <c r="B119" s="49" t="s">
        <v>212</v>
      </c>
      <c r="C119" s="49" t="s">
        <v>213</v>
      </c>
      <c r="D119" s="49" t="s">
        <v>69</v>
      </c>
      <c r="E119" s="50">
        <v>23005500</v>
      </c>
      <c r="F119" s="50">
        <v>20702500</v>
      </c>
      <c r="G119" s="50">
        <v>20702500</v>
      </c>
      <c r="H119" s="50">
        <v>0</v>
      </c>
      <c r="I119" s="50">
        <v>2492847.34</v>
      </c>
      <c r="J119" s="50">
        <v>279534</v>
      </c>
      <c r="K119" s="50">
        <v>17219369.850000001</v>
      </c>
      <c r="L119" s="50">
        <v>6286032.25</v>
      </c>
      <c r="M119" s="50">
        <v>710748.81</v>
      </c>
      <c r="N119" s="50">
        <v>710748.81</v>
      </c>
    </row>
    <row r="120" spans="1:14" hidden="1" x14ac:dyDescent="0.25">
      <c r="A120" s="49" t="s">
        <v>704</v>
      </c>
      <c r="B120" s="49" t="s">
        <v>214</v>
      </c>
      <c r="C120" s="49" t="s">
        <v>215</v>
      </c>
      <c r="D120" s="49" t="s">
        <v>69</v>
      </c>
      <c r="E120" s="50">
        <v>2600000</v>
      </c>
      <c r="F120" s="50">
        <v>2050000</v>
      </c>
      <c r="G120" s="50">
        <v>2050000</v>
      </c>
      <c r="H120" s="50">
        <v>0</v>
      </c>
      <c r="I120" s="50">
        <v>238400.82</v>
      </c>
      <c r="J120" s="50">
        <v>279534</v>
      </c>
      <c r="K120" s="50">
        <v>1236620.6100000001</v>
      </c>
      <c r="L120" s="50">
        <v>1236620.6100000001</v>
      </c>
      <c r="M120" s="50">
        <v>295444.57</v>
      </c>
      <c r="N120" s="50">
        <v>295444.57</v>
      </c>
    </row>
    <row r="121" spans="1:14" hidden="1" x14ac:dyDescent="0.25">
      <c r="A121" s="49" t="s">
        <v>704</v>
      </c>
      <c r="B121" s="49" t="s">
        <v>216</v>
      </c>
      <c r="C121" s="49" t="s">
        <v>217</v>
      </c>
      <c r="D121" s="49" t="s">
        <v>69</v>
      </c>
      <c r="E121" s="50">
        <v>562500</v>
      </c>
      <c r="F121" s="50">
        <v>502500</v>
      </c>
      <c r="G121" s="50">
        <v>502500</v>
      </c>
      <c r="H121" s="50">
        <v>0</v>
      </c>
      <c r="I121" s="50">
        <v>0</v>
      </c>
      <c r="J121" s="50">
        <v>0</v>
      </c>
      <c r="K121" s="50">
        <v>495000</v>
      </c>
      <c r="L121" s="50">
        <v>495000</v>
      </c>
      <c r="M121" s="50">
        <v>7500</v>
      </c>
      <c r="N121" s="50">
        <v>7500</v>
      </c>
    </row>
    <row r="122" spans="1:14" hidden="1" x14ac:dyDescent="0.25">
      <c r="A122" s="49" t="s">
        <v>704</v>
      </c>
      <c r="B122" s="49" t="s">
        <v>218</v>
      </c>
      <c r="C122" s="49" t="s">
        <v>219</v>
      </c>
      <c r="D122" s="49" t="s">
        <v>69</v>
      </c>
      <c r="E122" s="50">
        <v>8000000</v>
      </c>
      <c r="F122" s="50">
        <v>6450000</v>
      </c>
      <c r="G122" s="50">
        <v>6450000</v>
      </c>
      <c r="H122" s="50">
        <v>0</v>
      </c>
      <c r="I122" s="50">
        <v>2076810.52</v>
      </c>
      <c r="J122" s="50">
        <v>0</v>
      </c>
      <c r="K122" s="50">
        <v>3996530.64</v>
      </c>
      <c r="L122" s="50">
        <v>3900141.64</v>
      </c>
      <c r="M122" s="50">
        <v>376658.84</v>
      </c>
      <c r="N122" s="50">
        <v>376658.84</v>
      </c>
    </row>
    <row r="123" spans="1:14" hidden="1" x14ac:dyDescent="0.25">
      <c r="A123" s="49" t="s">
        <v>704</v>
      </c>
      <c r="B123" s="49" t="s">
        <v>222</v>
      </c>
      <c r="C123" s="49" t="s">
        <v>223</v>
      </c>
      <c r="D123" s="49" t="s">
        <v>69</v>
      </c>
      <c r="E123" s="50">
        <v>11000000</v>
      </c>
      <c r="F123" s="50">
        <v>11000000</v>
      </c>
      <c r="G123" s="50">
        <v>11000000</v>
      </c>
      <c r="H123" s="50">
        <v>0</v>
      </c>
      <c r="I123" s="50">
        <v>177636</v>
      </c>
      <c r="J123" s="50">
        <v>0</v>
      </c>
      <c r="K123" s="50">
        <v>10809489.6</v>
      </c>
      <c r="L123" s="50">
        <v>0</v>
      </c>
      <c r="M123" s="50">
        <v>12874.4</v>
      </c>
      <c r="N123" s="50">
        <v>12874.4</v>
      </c>
    </row>
    <row r="124" spans="1:14" hidden="1" x14ac:dyDescent="0.25">
      <c r="A124" s="49" t="s">
        <v>704</v>
      </c>
      <c r="B124" s="49" t="s">
        <v>224</v>
      </c>
      <c r="C124" s="49" t="s">
        <v>225</v>
      </c>
      <c r="D124" s="49" t="s">
        <v>69</v>
      </c>
      <c r="E124" s="50">
        <v>800000</v>
      </c>
      <c r="F124" s="50">
        <v>700000</v>
      </c>
      <c r="G124" s="50">
        <v>700000</v>
      </c>
      <c r="H124" s="50">
        <v>0</v>
      </c>
      <c r="I124" s="50">
        <v>0</v>
      </c>
      <c r="J124" s="50">
        <v>0</v>
      </c>
      <c r="K124" s="50">
        <v>681729</v>
      </c>
      <c r="L124" s="50">
        <v>654270</v>
      </c>
      <c r="M124" s="50">
        <v>18271</v>
      </c>
      <c r="N124" s="50">
        <v>18271</v>
      </c>
    </row>
    <row r="125" spans="1:14" hidden="1" x14ac:dyDescent="0.25">
      <c r="A125" s="49" t="s">
        <v>704</v>
      </c>
      <c r="B125" s="49" t="s">
        <v>226</v>
      </c>
      <c r="C125" s="49" t="s">
        <v>227</v>
      </c>
      <c r="D125" s="49" t="s">
        <v>69</v>
      </c>
      <c r="E125" s="50">
        <v>10000</v>
      </c>
      <c r="F125" s="50">
        <v>0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</row>
    <row r="126" spans="1:14" hidden="1" x14ac:dyDescent="0.25">
      <c r="A126" s="49" t="s">
        <v>704</v>
      </c>
      <c r="B126" s="49" t="s">
        <v>228</v>
      </c>
      <c r="C126" s="49" t="s">
        <v>229</v>
      </c>
      <c r="D126" s="49" t="s">
        <v>69</v>
      </c>
      <c r="E126" s="50">
        <v>33000</v>
      </c>
      <c r="F126" s="50">
        <v>0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</row>
    <row r="127" spans="1:14" hidden="1" x14ac:dyDescent="0.25">
      <c r="A127" s="49" t="s">
        <v>704</v>
      </c>
      <c r="B127" s="49" t="s">
        <v>248</v>
      </c>
      <c r="C127" s="49" t="s">
        <v>249</v>
      </c>
      <c r="D127" s="49" t="s">
        <v>69</v>
      </c>
      <c r="E127" s="50">
        <v>509299073</v>
      </c>
      <c r="F127" s="50">
        <v>511238316</v>
      </c>
      <c r="G127" s="50">
        <v>511116462</v>
      </c>
      <c r="H127" s="50">
        <v>0</v>
      </c>
      <c r="I127" s="50">
        <v>98859723.659999996</v>
      </c>
      <c r="J127" s="50">
        <v>0</v>
      </c>
      <c r="K127" s="50">
        <v>385773059.33999997</v>
      </c>
      <c r="L127" s="50">
        <v>385773059.33999997</v>
      </c>
      <c r="M127" s="50">
        <v>26605533</v>
      </c>
      <c r="N127" s="50">
        <v>26483679</v>
      </c>
    </row>
    <row r="128" spans="1:14" hidden="1" x14ac:dyDescent="0.25">
      <c r="A128" s="49" t="s">
        <v>704</v>
      </c>
      <c r="B128" s="49" t="s">
        <v>250</v>
      </c>
      <c r="C128" s="49" t="s">
        <v>251</v>
      </c>
      <c r="D128" s="49" t="s">
        <v>69</v>
      </c>
      <c r="E128" s="50">
        <v>38994178</v>
      </c>
      <c r="F128" s="50">
        <v>38045421</v>
      </c>
      <c r="G128" s="50">
        <v>37923567</v>
      </c>
      <c r="H128" s="50">
        <v>0</v>
      </c>
      <c r="I128" s="50">
        <v>8689735</v>
      </c>
      <c r="J128" s="50">
        <v>0</v>
      </c>
      <c r="K128" s="50">
        <v>28801131</v>
      </c>
      <c r="L128" s="50">
        <v>28801131</v>
      </c>
      <c r="M128" s="50">
        <v>554555</v>
      </c>
      <c r="N128" s="50">
        <v>432701</v>
      </c>
    </row>
    <row r="129" spans="1:14" hidden="1" x14ac:dyDescent="0.25">
      <c r="A129" s="49" t="s">
        <v>704</v>
      </c>
      <c r="B129" s="49" t="s">
        <v>617</v>
      </c>
      <c r="C129" s="49" t="s">
        <v>253</v>
      </c>
      <c r="D129" s="49" t="s">
        <v>69</v>
      </c>
      <c r="E129" s="50">
        <v>2000000</v>
      </c>
      <c r="F129" s="50">
        <v>2000000</v>
      </c>
      <c r="G129" s="50">
        <v>2000000</v>
      </c>
      <c r="H129" s="50">
        <v>0</v>
      </c>
      <c r="I129" s="50">
        <v>0</v>
      </c>
      <c r="J129" s="50">
        <v>0</v>
      </c>
      <c r="K129" s="50">
        <v>2000000</v>
      </c>
      <c r="L129" s="50">
        <v>2000000</v>
      </c>
      <c r="M129" s="50">
        <v>0</v>
      </c>
      <c r="N129" s="50">
        <v>0</v>
      </c>
    </row>
    <row r="130" spans="1:14" hidden="1" x14ac:dyDescent="0.25">
      <c r="A130" s="49" t="s">
        <v>704</v>
      </c>
      <c r="B130" s="49" t="s">
        <v>627</v>
      </c>
      <c r="C130" s="49" t="s">
        <v>702</v>
      </c>
      <c r="D130" s="49" t="s">
        <v>69</v>
      </c>
      <c r="E130" s="50">
        <v>31422808</v>
      </c>
      <c r="F130" s="50">
        <v>30616936</v>
      </c>
      <c r="G130" s="50">
        <v>30513436</v>
      </c>
      <c r="H130" s="50">
        <v>0</v>
      </c>
      <c r="I130" s="50">
        <v>7805183</v>
      </c>
      <c r="J130" s="50">
        <v>0</v>
      </c>
      <c r="K130" s="50">
        <v>22708253</v>
      </c>
      <c r="L130" s="50">
        <v>22708253</v>
      </c>
      <c r="M130" s="50">
        <v>103500</v>
      </c>
      <c r="N130" s="50">
        <v>0</v>
      </c>
    </row>
    <row r="131" spans="1:14" hidden="1" x14ac:dyDescent="0.25">
      <c r="A131" s="49" t="s">
        <v>704</v>
      </c>
      <c r="B131" s="49" t="s">
        <v>642</v>
      </c>
      <c r="C131" s="49" t="s">
        <v>703</v>
      </c>
      <c r="D131" s="49" t="s">
        <v>69</v>
      </c>
      <c r="E131" s="50">
        <v>5571370</v>
      </c>
      <c r="F131" s="50">
        <v>5428485</v>
      </c>
      <c r="G131" s="50">
        <v>5410131</v>
      </c>
      <c r="H131" s="50">
        <v>0</v>
      </c>
      <c r="I131" s="50">
        <v>884552</v>
      </c>
      <c r="J131" s="50">
        <v>0</v>
      </c>
      <c r="K131" s="50">
        <v>4092878</v>
      </c>
      <c r="L131" s="50">
        <v>4092878</v>
      </c>
      <c r="M131" s="50">
        <v>451055</v>
      </c>
      <c r="N131" s="50">
        <v>432701</v>
      </c>
    </row>
    <row r="132" spans="1:14" hidden="1" x14ac:dyDescent="0.25">
      <c r="A132" s="49" t="s">
        <v>704</v>
      </c>
      <c r="B132" s="49" t="s">
        <v>260</v>
      </c>
      <c r="C132" s="49" t="s">
        <v>261</v>
      </c>
      <c r="D132" s="49" t="s">
        <v>69</v>
      </c>
      <c r="E132" s="50">
        <v>47000000</v>
      </c>
      <c r="F132" s="50">
        <v>50498000</v>
      </c>
      <c r="G132" s="50">
        <v>50498000</v>
      </c>
      <c r="H132" s="50">
        <v>0</v>
      </c>
      <c r="I132" s="50">
        <v>22000000</v>
      </c>
      <c r="J132" s="50">
        <v>0</v>
      </c>
      <c r="K132" s="50">
        <v>2447022</v>
      </c>
      <c r="L132" s="50">
        <v>2447022</v>
      </c>
      <c r="M132" s="50">
        <v>26050978</v>
      </c>
      <c r="N132" s="50">
        <v>26050978</v>
      </c>
    </row>
    <row r="133" spans="1:14" hidden="1" x14ac:dyDescent="0.25">
      <c r="A133" s="49" t="s">
        <v>704</v>
      </c>
      <c r="B133" s="49" t="s">
        <v>262</v>
      </c>
      <c r="C133" s="49" t="s">
        <v>263</v>
      </c>
      <c r="D133" s="49" t="s">
        <v>69</v>
      </c>
      <c r="E133" s="50">
        <v>22000000</v>
      </c>
      <c r="F133" s="50">
        <v>43498000</v>
      </c>
      <c r="G133" s="50">
        <v>43498000</v>
      </c>
      <c r="H133" s="50">
        <v>0</v>
      </c>
      <c r="I133" s="50">
        <v>22000000</v>
      </c>
      <c r="J133" s="50">
        <v>0</v>
      </c>
      <c r="K133" s="50">
        <v>0</v>
      </c>
      <c r="L133" s="50">
        <v>0</v>
      </c>
      <c r="M133" s="50">
        <v>21498000</v>
      </c>
      <c r="N133" s="50">
        <v>21498000</v>
      </c>
    </row>
    <row r="134" spans="1:14" hidden="1" x14ac:dyDescent="0.25">
      <c r="A134" s="49" t="s">
        <v>704</v>
      </c>
      <c r="B134" s="49" t="s">
        <v>264</v>
      </c>
      <c r="C134" s="49" t="s">
        <v>265</v>
      </c>
      <c r="D134" s="49" t="s">
        <v>69</v>
      </c>
      <c r="E134" s="50">
        <v>25000000</v>
      </c>
      <c r="F134" s="50">
        <v>7000000</v>
      </c>
      <c r="G134" s="50">
        <v>7000000</v>
      </c>
      <c r="H134" s="50">
        <v>0</v>
      </c>
      <c r="I134" s="50">
        <v>0</v>
      </c>
      <c r="J134" s="50">
        <v>0</v>
      </c>
      <c r="K134" s="50">
        <v>2447022</v>
      </c>
      <c r="L134" s="50">
        <v>2447022</v>
      </c>
      <c r="M134" s="50">
        <v>4552978</v>
      </c>
      <c r="N134" s="50">
        <v>4552978</v>
      </c>
    </row>
    <row r="135" spans="1:14" hidden="1" x14ac:dyDescent="0.25">
      <c r="A135" s="49" t="s">
        <v>704</v>
      </c>
      <c r="B135" s="49" t="s">
        <v>266</v>
      </c>
      <c r="C135" s="49" t="s">
        <v>267</v>
      </c>
      <c r="D135" s="49" t="s">
        <v>69</v>
      </c>
      <c r="E135" s="50">
        <v>423304895</v>
      </c>
      <c r="F135" s="50">
        <v>422694895</v>
      </c>
      <c r="G135" s="50">
        <v>422694895</v>
      </c>
      <c r="H135" s="50">
        <v>0</v>
      </c>
      <c r="I135" s="50">
        <v>68169988.659999996</v>
      </c>
      <c r="J135" s="50">
        <v>0</v>
      </c>
      <c r="K135" s="50">
        <v>354524906.33999997</v>
      </c>
      <c r="L135" s="50">
        <v>354524906.33999997</v>
      </c>
      <c r="M135" s="50">
        <v>0</v>
      </c>
      <c r="N135" s="50">
        <v>0</v>
      </c>
    </row>
    <row r="136" spans="1:14" hidden="1" x14ac:dyDescent="0.25">
      <c r="A136" s="49" t="s">
        <v>704</v>
      </c>
      <c r="B136" s="49" t="s">
        <v>664</v>
      </c>
      <c r="C136" s="49" t="s">
        <v>269</v>
      </c>
      <c r="D136" s="49" t="s">
        <v>69</v>
      </c>
      <c r="E136" s="50">
        <v>406300000</v>
      </c>
      <c r="F136" s="50">
        <v>406300000</v>
      </c>
      <c r="G136" s="50">
        <v>406300000</v>
      </c>
      <c r="H136" s="50">
        <v>0</v>
      </c>
      <c r="I136" s="50">
        <v>67716666</v>
      </c>
      <c r="J136" s="50">
        <v>0</v>
      </c>
      <c r="K136" s="50">
        <v>338583334</v>
      </c>
      <c r="L136" s="50">
        <v>338583334</v>
      </c>
      <c r="M136" s="50">
        <v>0</v>
      </c>
      <c r="N136" s="50">
        <v>0</v>
      </c>
    </row>
    <row r="137" spans="1:14" hidden="1" x14ac:dyDescent="0.25">
      <c r="A137" s="49" t="s">
        <v>704</v>
      </c>
      <c r="B137" s="49" t="s">
        <v>666</v>
      </c>
      <c r="C137" s="49" t="s">
        <v>705</v>
      </c>
      <c r="D137" s="49" t="s">
        <v>69</v>
      </c>
      <c r="E137" s="50">
        <v>13007200</v>
      </c>
      <c r="F137" s="50">
        <v>13007200</v>
      </c>
      <c r="G137" s="50">
        <v>13007200</v>
      </c>
      <c r="H137" s="50">
        <v>0</v>
      </c>
      <c r="I137" s="50">
        <v>445902.76</v>
      </c>
      <c r="J137" s="50">
        <v>0</v>
      </c>
      <c r="K137" s="50">
        <v>12561297.24</v>
      </c>
      <c r="L137" s="50">
        <v>12561297.24</v>
      </c>
      <c r="M137" s="50">
        <v>0</v>
      </c>
      <c r="N137" s="50">
        <v>0</v>
      </c>
    </row>
    <row r="138" spans="1:14" hidden="1" x14ac:dyDescent="0.25">
      <c r="A138" s="49" t="s">
        <v>704</v>
      </c>
      <c r="B138" s="49" t="s">
        <v>668</v>
      </c>
      <c r="C138" s="49" t="s">
        <v>273</v>
      </c>
      <c r="D138" s="49" t="s">
        <v>69</v>
      </c>
      <c r="E138" s="50">
        <v>3997695</v>
      </c>
      <c r="F138" s="50">
        <v>3387695</v>
      </c>
      <c r="G138" s="50">
        <v>3387695</v>
      </c>
      <c r="H138" s="50">
        <v>0</v>
      </c>
      <c r="I138" s="50">
        <v>7419.9</v>
      </c>
      <c r="J138" s="50">
        <v>0</v>
      </c>
      <c r="K138" s="50">
        <v>3380275.1</v>
      </c>
      <c r="L138" s="50">
        <v>3380275.1</v>
      </c>
      <c r="M138" s="50">
        <v>0</v>
      </c>
      <c r="N138" s="50">
        <v>0</v>
      </c>
    </row>
    <row r="139" spans="1:14" hidden="1" x14ac:dyDescent="0.25">
      <c r="A139" s="49" t="s">
        <v>704</v>
      </c>
      <c r="B139" s="49" t="s">
        <v>230</v>
      </c>
      <c r="C139" s="49" t="s">
        <v>231</v>
      </c>
      <c r="D139" s="49" t="s">
        <v>85</v>
      </c>
      <c r="E139" s="50">
        <v>12109140</v>
      </c>
      <c r="F139" s="50">
        <v>8469140</v>
      </c>
      <c r="G139" s="50">
        <v>8469140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50">
        <v>8469140</v>
      </c>
      <c r="N139" s="50">
        <v>8469140</v>
      </c>
    </row>
    <row r="140" spans="1:14" hidden="1" x14ac:dyDescent="0.25">
      <c r="A140" s="49" t="s">
        <v>704</v>
      </c>
      <c r="B140" s="49" t="s">
        <v>232</v>
      </c>
      <c r="C140" s="49" t="s">
        <v>233</v>
      </c>
      <c r="D140" s="49" t="s">
        <v>85</v>
      </c>
      <c r="E140" s="50">
        <v>12109140</v>
      </c>
      <c r="F140" s="50">
        <v>8469140</v>
      </c>
      <c r="G140" s="50">
        <v>8469140</v>
      </c>
      <c r="H140" s="50">
        <v>0</v>
      </c>
      <c r="I140" s="50">
        <v>0</v>
      </c>
      <c r="J140" s="50">
        <v>0</v>
      </c>
      <c r="K140" s="50">
        <v>0</v>
      </c>
      <c r="L140" s="50">
        <v>0</v>
      </c>
      <c r="M140" s="50">
        <v>8469140</v>
      </c>
      <c r="N140" s="50">
        <v>8469140</v>
      </c>
    </row>
    <row r="141" spans="1:14" hidden="1" x14ac:dyDescent="0.25">
      <c r="A141" s="49" t="s">
        <v>704</v>
      </c>
      <c r="B141" s="49" t="s">
        <v>234</v>
      </c>
      <c r="C141" s="49" t="s">
        <v>235</v>
      </c>
      <c r="D141" s="49" t="s">
        <v>85</v>
      </c>
      <c r="E141" s="50">
        <v>120000</v>
      </c>
      <c r="F141" s="50">
        <v>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</row>
    <row r="142" spans="1:14" hidden="1" x14ac:dyDescent="0.25">
      <c r="A142" s="49" t="s">
        <v>704</v>
      </c>
      <c r="B142" s="49" t="s">
        <v>236</v>
      </c>
      <c r="C142" s="49" t="s">
        <v>237</v>
      </c>
      <c r="D142" s="49" t="s">
        <v>85</v>
      </c>
      <c r="E142" s="50">
        <v>620000</v>
      </c>
      <c r="F142" s="50">
        <v>0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50">
        <v>0</v>
      </c>
      <c r="N142" s="50">
        <v>0</v>
      </c>
    </row>
    <row r="143" spans="1:14" hidden="1" x14ac:dyDescent="0.25">
      <c r="A143" s="49" t="s">
        <v>704</v>
      </c>
      <c r="B143" s="49" t="s">
        <v>238</v>
      </c>
      <c r="C143" s="49" t="s">
        <v>239</v>
      </c>
      <c r="D143" s="49" t="s">
        <v>85</v>
      </c>
      <c r="E143" s="50">
        <v>11369140</v>
      </c>
      <c r="F143" s="50">
        <v>8469140</v>
      </c>
      <c r="G143" s="50">
        <v>8469140</v>
      </c>
      <c r="H143" s="50">
        <v>0</v>
      </c>
      <c r="I143" s="50">
        <v>0</v>
      </c>
      <c r="J143" s="50">
        <v>0</v>
      </c>
      <c r="K143" s="50">
        <v>0</v>
      </c>
      <c r="L143" s="50">
        <v>0</v>
      </c>
      <c r="M143" s="50">
        <v>8469140</v>
      </c>
      <c r="N143" s="50">
        <v>8469140</v>
      </c>
    </row>
    <row r="144" spans="1:14" x14ac:dyDescent="0.25">
      <c r="A144" s="49">
        <v>214788</v>
      </c>
      <c r="B144" s="49"/>
      <c r="C144" s="49"/>
      <c r="D144" s="49" t="s">
        <v>69</v>
      </c>
      <c r="E144" s="50">
        <v>3537393833</v>
      </c>
      <c r="F144" s="50">
        <v>2849531919</v>
      </c>
      <c r="G144" s="50">
        <v>2730753999.73</v>
      </c>
      <c r="H144" s="50">
        <v>102135448.87</v>
      </c>
      <c r="I144" s="50">
        <v>254102917</v>
      </c>
      <c r="J144" s="50">
        <v>14196733.359999999</v>
      </c>
      <c r="K144" s="50">
        <v>1783526695.6500001</v>
      </c>
      <c r="L144" s="50">
        <v>1658325058.8299999</v>
      </c>
      <c r="M144" s="50">
        <v>695570124.12</v>
      </c>
      <c r="N144" s="50">
        <v>576792204.85000002</v>
      </c>
    </row>
    <row r="145" spans="1:14" hidden="1" x14ac:dyDescent="0.25">
      <c r="A145" s="49" t="s">
        <v>706</v>
      </c>
      <c r="B145" s="49" t="s">
        <v>71</v>
      </c>
      <c r="C145" s="49" t="s">
        <v>72</v>
      </c>
      <c r="D145" s="49" t="s">
        <v>69</v>
      </c>
      <c r="E145" s="50">
        <v>1329087181</v>
      </c>
      <c r="F145" s="50">
        <v>1295200816</v>
      </c>
      <c r="G145" s="50">
        <v>1195222901</v>
      </c>
      <c r="H145" s="50">
        <v>0</v>
      </c>
      <c r="I145" s="50">
        <v>49934541.950000003</v>
      </c>
      <c r="J145" s="50">
        <v>0</v>
      </c>
      <c r="K145" s="50">
        <v>896228520.67999995</v>
      </c>
      <c r="L145" s="50">
        <v>896228520.67999995</v>
      </c>
      <c r="M145" s="50">
        <v>349037753.37</v>
      </c>
      <c r="N145" s="50">
        <v>249059838.37</v>
      </c>
    </row>
    <row r="146" spans="1:14" hidden="1" x14ac:dyDescent="0.25">
      <c r="A146" s="49" t="s">
        <v>706</v>
      </c>
      <c r="B146" s="49" t="s">
        <v>73</v>
      </c>
      <c r="C146" s="49" t="s">
        <v>74</v>
      </c>
      <c r="D146" s="49" t="s">
        <v>69</v>
      </c>
      <c r="E146" s="50">
        <v>512821400</v>
      </c>
      <c r="F146" s="50">
        <v>494422100</v>
      </c>
      <c r="G146" s="50">
        <v>405152462</v>
      </c>
      <c r="H146" s="50">
        <v>0</v>
      </c>
      <c r="I146" s="50">
        <v>0</v>
      </c>
      <c r="J146" s="50">
        <v>0</v>
      </c>
      <c r="K146" s="50">
        <v>378745099.94999999</v>
      </c>
      <c r="L146" s="50">
        <v>378745099.94999999</v>
      </c>
      <c r="M146" s="50">
        <v>115677000.05</v>
      </c>
      <c r="N146" s="50">
        <v>26407362.050000001</v>
      </c>
    </row>
    <row r="147" spans="1:14" hidden="1" x14ac:dyDescent="0.25">
      <c r="A147" s="49" t="s">
        <v>706</v>
      </c>
      <c r="B147" s="49" t="s">
        <v>75</v>
      </c>
      <c r="C147" s="49" t="s">
        <v>76</v>
      </c>
      <c r="D147" s="49" t="s">
        <v>69</v>
      </c>
      <c r="E147" s="50">
        <v>507821400</v>
      </c>
      <c r="F147" s="50">
        <v>493222100</v>
      </c>
      <c r="G147" s="50">
        <v>403952462</v>
      </c>
      <c r="H147" s="50">
        <v>0</v>
      </c>
      <c r="I147" s="50">
        <v>0</v>
      </c>
      <c r="J147" s="50">
        <v>0</v>
      </c>
      <c r="K147" s="50">
        <v>378745099.94999999</v>
      </c>
      <c r="L147" s="50">
        <v>378745099.94999999</v>
      </c>
      <c r="M147" s="50">
        <v>114477000.05</v>
      </c>
      <c r="N147" s="50">
        <v>25207362.050000001</v>
      </c>
    </row>
    <row r="148" spans="1:14" hidden="1" x14ac:dyDescent="0.25">
      <c r="A148" s="49" t="s">
        <v>706</v>
      </c>
      <c r="B148" s="49" t="s">
        <v>291</v>
      </c>
      <c r="C148" s="49" t="s">
        <v>292</v>
      </c>
      <c r="D148" s="49" t="s">
        <v>69</v>
      </c>
      <c r="E148" s="50">
        <v>5000000</v>
      </c>
      <c r="F148" s="50">
        <v>1200000</v>
      </c>
      <c r="G148" s="50">
        <v>1200000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50">
        <v>1200000</v>
      </c>
      <c r="N148" s="50">
        <v>1200000</v>
      </c>
    </row>
    <row r="149" spans="1:14" hidden="1" x14ac:dyDescent="0.25">
      <c r="A149" s="49" t="s">
        <v>706</v>
      </c>
      <c r="B149" s="49" t="s">
        <v>293</v>
      </c>
      <c r="C149" s="49" t="s">
        <v>294</v>
      </c>
      <c r="D149" s="49" t="s">
        <v>69</v>
      </c>
      <c r="E149" s="50">
        <v>11000000</v>
      </c>
      <c r="F149" s="50">
        <v>11000000</v>
      </c>
      <c r="G149" s="50">
        <v>11000000</v>
      </c>
      <c r="H149" s="50">
        <v>0</v>
      </c>
      <c r="I149" s="50">
        <v>0</v>
      </c>
      <c r="J149" s="50">
        <v>0</v>
      </c>
      <c r="K149" s="50">
        <v>2788282.07</v>
      </c>
      <c r="L149" s="50">
        <v>2788282.07</v>
      </c>
      <c r="M149" s="50">
        <v>8211717.9299999997</v>
      </c>
      <c r="N149" s="50">
        <v>8211717.9299999997</v>
      </c>
    </row>
    <row r="150" spans="1:14" hidden="1" x14ac:dyDescent="0.25">
      <c r="A150" s="49" t="s">
        <v>706</v>
      </c>
      <c r="B150" s="49" t="s">
        <v>295</v>
      </c>
      <c r="C150" s="49" t="s">
        <v>296</v>
      </c>
      <c r="D150" s="49" t="s">
        <v>69</v>
      </c>
      <c r="E150" s="50">
        <v>11000000</v>
      </c>
      <c r="F150" s="50">
        <v>11000000</v>
      </c>
      <c r="G150" s="50">
        <v>11000000</v>
      </c>
      <c r="H150" s="50">
        <v>0</v>
      </c>
      <c r="I150" s="50">
        <v>0</v>
      </c>
      <c r="J150" s="50">
        <v>0</v>
      </c>
      <c r="K150" s="50">
        <v>2788282.07</v>
      </c>
      <c r="L150" s="50">
        <v>2788282.07</v>
      </c>
      <c r="M150" s="50">
        <v>8211717.9299999997</v>
      </c>
      <c r="N150" s="50">
        <v>8211717.9299999997</v>
      </c>
    </row>
    <row r="151" spans="1:14" hidden="1" x14ac:dyDescent="0.25">
      <c r="A151" s="49" t="s">
        <v>706</v>
      </c>
      <c r="B151" s="49" t="s">
        <v>77</v>
      </c>
      <c r="C151" s="49" t="s">
        <v>78</v>
      </c>
      <c r="D151" s="49" t="s">
        <v>69</v>
      </c>
      <c r="E151" s="50">
        <v>602518513</v>
      </c>
      <c r="F151" s="50">
        <v>592617728</v>
      </c>
      <c r="G151" s="50">
        <v>586019351</v>
      </c>
      <c r="H151" s="50">
        <v>0</v>
      </c>
      <c r="I151" s="50">
        <v>0</v>
      </c>
      <c r="J151" s="50">
        <v>0</v>
      </c>
      <c r="K151" s="50">
        <v>371578592.61000001</v>
      </c>
      <c r="L151" s="50">
        <v>371578592.61000001</v>
      </c>
      <c r="M151" s="50">
        <v>221039135.38999999</v>
      </c>
      <c r="N151" s="50">
        <v>214440758.38999999</v>
      </c>
    </row>
    <row r="152" spans="1:14" hidden="1" x14ac:dyDescent="0.25">
      <c r="A152" s="49" t="s">
        <v>706</v>
      </c>
      <c r="B152" s="49" t="s">
        <v>79</v>
      </c>
      <c r="C152" s="49" t="s">
        <v>80</v>
      </c>
      <c r="D152" s="49" t="s">
        <v>69</v>
      </c>
      <c r="E152" s="50">
        <v>160994500</v>
      </c>
      <c r="F152" s="50">
        <v>160412072</v>
      </c>
      <c r="G152" s="50">
        <v>153813695</v>
      </c>
      <c r="H152" s="50">
        <v>0</v>
      </c>
      <c r="I152" s="50">
        <v>0</v>
      </c>
      <c r="J152" s="50">
        <v>0</v>
      </c>
      <c r="K152" s="50">
        <v>113290298.36</v>
      </c>
      <c r="L152" s="50">
        <v>113290298.36</v>
      </c>
      <c r="M152" s="50">
        <v>47121773.640000001</v>
      </c>
      <c r="N152" s="50">
        <v>40523396.640000001</v>
      </c>
    </row>
    <row r="153" spans="1:14" hidden="1" x14ac:dyDescent="0.25">
      <c r="A153" s="49" t="s">
        <v>706</v>
      </c>
      <c r="B153" s="49" t="s">
        <v>81</v>
      </c>
      <c r="C153" s="49" t="s">
        <v>82</v>
      </c>
      <c r="D153" s="49" t="s">
        <v>69</v>
      </c>
      <c r="E153" s="50">
        <v>218799248</v>
      </c>
      <c r="F153" s="50">
        <v>212368846</v>
      </c>
      <c r="G153" s="50">
        <v>212368846</v>
      </c>
      <c r="H153" s="50">
        <v>0</v>
      </c>
      <c r="I153" s="50">
        <v>0</v>
      </c>
      <c r="J153" s="50">
        <v>0</v>
      </c>
      <c r="K153" s="50">
        <v>147611607.74000001</v>
      </c>
      <c r="L153" s="50">
        <v>147611607.74000001</v>
      </c>
      <c r="M153" s="50">
        <v>64757238.259999998</v>
      </c>
      <c r="N153" s="50">
        <v>64757238.259999998</v>
      </c>
    </row>
    <row r="154" spans="1:14" hidden="1" x14ac:dyDescent="0.25">
      <c r="A154" s="49" t="s">
        <v>706</v>
      </c>
      <c r="B154" s="49" t="s">
        <v>86</v>
      </c>
      <c r="C154" s="49" t="s">
        <v>87</v>
      </c>
      <c r="D154" s="49" t="s">
        <v>69</v>
      </c>
      <c r="E154" s="50">
        <v>79437600</v>
      </c>
      <c r="F154" s="50">
        <v>79437600</v>
      </c>
      <c r="G154" s="50">
        <v>79437600</v>
      </c>
      <c r="H154" s="50">
        <v>0</v>
      </c>
      <c r="I154" s="50">
        <v>0</v>
      </c>
      <c r="J154" s="50">
        <v>0</v>
      </c>
      <c r="K154" s="50">
        <v>70693690.870000005</v>
      </c>
      <c r="L154" s="50">
        <v>70693690.870000005</v>
      </c>
      <c r="M154" s="50">
        <v>8743909.1300000008</v>
      </c>
      <c r="N154" s="50">
        <v>8743909.1300000008</v>
      </c>
    </row>
    <row r="155" spans="1:14" hidden="1" x14ac:dyDescent="0.25">
      <c r="A155" s="49" t="s">
        <v>706</v>
      </c>
      <c r="B155" s="49" t="s">
        <v>88</v>
      </c>
      <c r="C155" s="49" t="s">
        <v>89</v>
      </c>
      <c r="D155" s="49" t="s">
        <v>69</v>
      </c>
      <c r="E155" s="50">
        <v>56677700</v>
      </c>
      <c r="F155" s="50">
        <v>56181050</v>
      </c>
      <c r="G155" s="50">
        <v>56181050</v>
      </c>
      <c r="H155" s="50">
        <v>0</v>
      </c>
      <c r="I155" s="50">
        <v>0</v>
      </c>
      <c r="J155" s="50">
        <v>0</v>
      </c>
      <c r="K155" s="50">
        <v>39892895.640000001</v>
      </c>
      <c r="L155" s="50">
        <v>39892895.640000001</v>
      </c>
      <c r="M155" s="50">
        <v>16288154.359999999</v>
      </c>
      <c r="N155" s="50">
        <v>16288154.359999999</v>
      </c>
    </row>
    <row r="156" spans="1:14" hidden="1" x14ac:dyDescent="0.25">
      <c r="A156" s="49" t="s">
        <v>706</v>
      </c>
      <c r="B156" s="49" t="s">
        <v>83</v>
      </c>
      <c r="C156" s="49" t="s">
        <v>84</v>
      </c>
      <c r="D156" s="49" t="s">
        <v>85</v>
      </c>
      <c r="E156" s="50">
        <v>86609465</v>
      </c>
      <c r="F156" s="50">
        <v>84218160</v>
      </c>
      <c r="G156" s="50">
        <v>84218160</v>
      </c>
      <c r="H156" s="50">
        <v>0</v>
      </c>
      <c r="I156" s="50">
        <v>0</v>
      </c>
      <c r="J156" s="50">
        <v>0</v>
      </c>
      <c r="K156" s="50">
        <v>90100</v>
      </c>
      <c r="L156" s="50">
        <v>90100</v>
      </c>
      <c r="M156" s="50">
        <v>84128060</v>
      </c>
      <c r="N156" s="50">
        <v>84128060</v>
      </c>
    </row>
    <row r="157" spans="1:14" hidden="1" x14ac:dyDescent="0.25">
      <c r="A157" s="49" t="s">
        <v>706</v>
      </c>
      <c r="B157" s="49" t="s">
        <v>90</v>
      </c>
      <c r="C157" s="49" t="s">
        <v>91</v>
      </c>
      <c r="D157" s="49" t="s">
        <v>69</v>
      </c>
      <c r="E157" s="50">
        <v>101373634</v>
      </c>
      <c r="F157" s="50">
        <v>98580493</v>
      </c>
      <c r="G157" s="50">
        <v>98580493</v>
      </c>
      <c r="H157" s="50">
        <v>0</v>
      </c>
      <c r="I157" s="50">
        <v>26711598.02</v>
      </c>
      <c r="J157" s="50">
        <v>0</v>
      </c>
      <c r="K157" s="50">
        <v>71868894.980000004</v>
      </c>
      <c r="L157" s="50">
        <v>71868894.980000004</v>
      </c>
      <c r="M157" s="50">
        <v>0</v>
      </c>
      <c r="N157" s="50">
        <v>0</v>
      </c>
    </row>
    <row r="158" spans="1:14" hidden="1" x14ac:dyDescent="0.25">
      <c r="A158" s="49" t="s">
        <v>706</v>
      </c>
      <c r="B158" s="49" t="s">
        <v>419</v>
      </c>
      <c r="C158" s="49" t="s">
        <v>697</v>
      </c>
      <c r="D158" s="49" t="s">
        <v>69</v>
      </c>
      <c r="E158" s="50">
        <v>96175035</v>
      </c>
      <c r="F158" s="50">
        <v>93525131</v>
      </c>
      <c r="G158" s="50">
        <v>93525131</v>
      </c>
      <c r="H158" s="50">
        <v>0</v>
      </c>
      <c r="I158" s="50">
        <v>25341662.050000001</v>
      </c>
      <c r="J158" s="50">
        <v>0</v>
      </c>
      <c r="K158" s="50">
        <v>68183468.950000003</v>
      </c>
      <c r="L158" s="50">
        <v>68183468.950000003</v>
      </c>
      <c r="M158" s="50">
        <v>0</v>
      </c>
      <c r="N158" s="50">
        <v>0</v>
      </c>
    </row>
    <row r="159" spans="1:14" hidden="1" x14ac:dyDescent="0.25">
      <c r="A159" s="49" t="s">
        <v>706</v>
      </c>
      <c r="B159" s="49" t="s">
        <v>436</v>
      </c>
      <c r="C159" s="49" t="s">
        <v>95</v>
      </c>
      <c r="D159" s="49" t="s">
        <v>69</v>
      </c>
      <c r="E159" s="50">
        <v>5198599</v>
      </c>
      <c r="F159" s="50">
        <v>5055362</v>
      </c>
      <c r="G159" s="50">
        <v>5055362</v>
      </c>
      <c r="H159" s="50">
        <v>0</v>
      </c>
      <c r="I159" s="50">
        <v>1369935.97</v>
      </c>
      <c r="J159" s="50">
        <v>0</v>
      </c>
      <c r="K159" s="50">
        <v>3685426.03</v>
      </c>
      <c r="L159" s="50">
        <v>3685426.03</v>
      </c>
      <c r="M159" s="50">
        <v>0</v>
      </c>
      <c r="N159" s="50">
        <v>0</v>
      </c>
    </row>
    <row r="160" spans="1:14" hidden="1" x14ac:dyDescent="0.25">
      <c r="A160" s="49" t="s">
        <v>706</v>
      </c>
      <c r="B160" s="49" t="s">
        <v>96</v>
      </c>
      <c r="C160" s="49" t="s">
        <v>97</v>
      </c>
      <c r="D160" s="49" t="s">
        <v>69</v>
      </c>
      <c r="E160" s="50">
        <v>101373634</v>
      </c>
      <c r="F160" s="50">
        <v>98580495</v>
      </c>
      <c r="G160" s="50">
        <v>94470595</v>
      </c>
      <c r="H160" s="50">
        <v>0</v>
      </c>
      <c r="I160" s="50">
        <v>23222943.93</v>
      </c>
      <c r="J160" s="50">
        <v>0</v>
      </c>
      <c r="K160" s="50">
        <v>71247651.069999993</v>
      </c>
      <c r="L160" s="50">
        <v>71247651.069999993</v>
      </c>
      <c r="M160" s="50">
        <v>4109900</v>
      </c>
      <c r="N160" s="50">
        <v>0</v>
      </c>
    </row>
    <row r="161" spans="1:14" hidden="1" x14ac:dyDescent="0.25">
      <c r="A161" s="49" t="s">
        <v>706</v>
      </c>
      <c r="B161" s="49" t="s">
        <v>454</v>
      </c>
      <c r="C161" s="49" t="s">
        <v>698</v>
      </c>
      <c r="D161" s="49" t="s">
        <v>69</v>
      </c>
      <c r="E161" s="50">
        <v>54585842</v>
      </c>
      <c r="F161" s="50">
        <v>53081843</v>
      </c>
      <c r="G161" s="50">
        <v>53081843</v>
      </c>
      <c r="H161" s="50">
        <v>0</v>
      </c>
      <c r="I161" s="50">
        <v>15003029.890000001</v>
      </c>
      <c r="J161" s="50">
        <v>0</v>
      </c>
      <c r="K161" s="50">
        <v>38078813.109999999</v>
      </c>
      <c r="L161" s="50">
        <v>38078813.109999999</v>
      </c>
      <c r="M161" s="50">
        <v>0</v>
      </c>
      <c r="N161" s="50">
        <v>0</v>
      </c>
    </row>
    <row r="162" spans="1:14" hidden="1" x14ac:dyDescent="0.25">
      <c r="A162" s="49" t="s">
        <v>706</v>
      </c>
      <c r="B162" s="49" t="s">
        <v>471</v>
      </c>
      <c r="C162" s="49" t="s">
        <v>699</v>
      </c>
      <c r="D162" s="49" t="s">
        <v>69</v>
      </c>
      <c r="E162" s="50">
        <v>15595897</v>
      </c>
      <c r="F162" s="50">
        <v>15166184</v>
      </c>
      <c r="G162" s="50">
        <v>15166184</v>
      </c>
      <c r="H162" s="50">
        <v>0</v>
      </c>
      <c r="I162" s="50">
        <v>4109898.08</v>
      </c>
      <c r="J162" s="50">
        <v>0</v>
      </c>
      <c r="K162" s="50">
        <v>11056285.92</v>
      </c>
      <c r="L162" s="50">
        <v>11056285.92</v>
      </c>
      <c r="M162" s="50">
        <v>0</v>
      </c>
      <c r="N162" s="50">
        <v>0</v>
      </c>
    </row>
    <row r="163" spans="1:14" hidden="1" x14ac:dyDescent="0.25">
      <c r="A163" s="49" t="s">
        <v>706</v>
      </c>
      <c r="B163" s="49" t="s">
        <v>488</v>
      </c>
      <c r="C163" s="49" t="s">
        <v>700</v>
      </c>
      <c r="D163" s="49" t="s">
        <v>69</v>
      </c>
      <c r="E163" s="50">
        <v>31191895</v>
      </c>
      <c r="F163" s="50">
        <v>30332468</v>
      </c>
      <c r="G163" s="50">
        <v>26222568</v>
      </c>
      <c r="H163" s="50">
        <v>0</v>
      </c>
      <c r="I163" s="50">
        <v>4110015.96</v>
      </c>
      <c r="J163" s="50">
        <v>0</v>
      </c>
      <c r="K163" s="50">
        <v>22112552.039999999</v>
      </c>
      <c r="L163" s="50">
        <v>22112552.039999999</v>
      </c>
      <c r="M163" s="50">
        <v>4109900</v>
      </c>
      <c r="N163" s="50">
        <v>0</v>
      </c>
    </row>
    <row r="164" spans="1:14" hidden="1" x14ac:dyDescent="0.25">
      <c r="A164" s="49" t="s">
        <v>706</v>
      </c>
      <c r="B164" s="49" t="s">
        <v>104</v>
      </c>
      <c r="C164" s="49" t="s">
        <v>105</v>
      </c>
      <c r="D164" s="49" t="s">
        <v>69</v>
      </c>
      <c r="E164" s="50">
        <v>1188545520</v>
      </c>
      <c r="F164" s="50">
        <v>1240795520</v>
      </c>
      <c r="G164" s="50">
        <v>1223095516.21</v>
      </c>
      <c r="H164" s="50">
        <v>75899993.870000005</v>
      </c>
      <c r="I164" s="50">
        <v>176714242.09999999</v>
      </c>
      <c r="J164" s="50">
        <v>14196733.359999999</v>
      </c>
      <c r="K164" s="50">
        <v>774951984.79999995</v>
      </c>
      <c r="L164" s="50">
        <v>667840650.30999994</v>
      </c>
      <c r="M164" s="50">
        <v>199032565.87</v>
      </c>
      <c r="N164" s="50">
        <v>181332562.08000001</v>
      </c>
    </row>
    <row r="165" spans="1:14" hidden="1" x14ac:dyDescent="0.25">
      <c r="A165" s="49" t="s">
        <v>706</v>
      </c>
      <c r="B165" s="49" t="s">
        <v>106</v>
      </c>
      <c r="C165" s="49" t="s">
        <v>107</v>
      </c>
      <c r="D165" s="49" t="s">
        <v>69</v>
      </c>
      <c r="E165" s="50">
        <v>411755980</v>
      </c>
      <c r="F165" s="50">
        <v>427355497.89999998</v>
      </c>
      <c r="G165" s="50">
        <v>427355495.72000003</v>
      </c>
      <c r="H165" s="50">
        <v>10763575.189999999</v>
      </c>
      <c r="I165" s="50">
        <v>91668472.730000004</v>
      </c>
      <c r="J165" s="50">
        <v>13154869.27</v>
      </c>
      <c r="K165" s="50">
        <v>276122890.05000001</v>
      </c>
      <c r="L165" s="50">
        <v>226288232.53</v>
      </c>
      <c r="M165" s="50">
        <v>35645690.659999996</v>
      </c>
      <c r="N165" s="50">
        <v>35645688.479999997</v>
      </c>
    </row>
    <row r="166" spans="1:14" hidden="1" x14ac:dyDescent="0.25">
      <c r="A166" s="49" t="s">
        <v>706</v>
      </c>
      <c r="B166" s="49" t="s">
        <v>280</v>
      </c>
      <c r="C166" s="49" t="s">
        <v>281</v>
      </c>
      <c r="D166" s="49" t="s">
        <v>69</v>
      </c>
      <c r="E166" s="50">
        <v>168555500</v>
      </c>
      <c r="F166" s="50">
        <v>186505500</v>
      </c>
      <c r="G166" s="50">
        <v>186505499.09</v>
      </c>
      <c r="H166" s="50">
        <v>0</v>
      </c>
      <c r="I166" s="50">
        <v>41438629.109999999</v>
      </c>
      <c r="J166" s="50">
        <v>1556205</v>
      </c>
      <c r="K166" s="50">
        <v>138836534.02000001</v>
      </c>
      <c r="L166" s="50">
        <v>138836534.02000001</v>
      </c>
      <c r="M166" s="50">
        <v>4674131.87</v>
      </c>
      <c r="N166" s="50">
        <v>4674130.96</v>
      </c>
    </row>
    <row r="167" spans="1:14" hidden="1" x14ac:dyDescent="0.25">
      <c r="A167" s="49" t="s">
        <v>706</v>
      </c>
      <c r="B167" s="49" t="s">
        <v>302</v>
      </c>
      <c r="C167" s="49" t="s">
        <v>303</v>
      </c>
      <c r="D167" s="49" t="s">
        <v>69</v>
      </c>
      <c r="E167" s="50">
        <v>3869560</v>
      </c>
      <c r="F167" s="50">
        <v>3869560</v>
      </c>
      <c r="G167" s="50">
        <v>3869560</v>
      </c>
      <c r="H167" s="50">
        <v>0</v>
      </c>
      <c r="I167" s="50">
        <v>67150.17</v>
      </c>
      <c r="J167" s="50">
        <v>0</v>
      </c>
      <c r="K167" s="50">
        <v>1999233.69</v>
      </c>
      <c r="L167" s="50">
        <v>1358036.37</v>
      </c>
      <c r="M167" s="50">
        <v>1803176.14</v>
      </c>
      <c r="N167" s="50">
        <v>1803176.14</v>
      </c>
    </row>
    <row r="168" spans="1:14" hidden="1" x14ac:dyDescent="0.25">
      <c r="A168" s="49" t="s">
        <v>706</v>
      </c>
      <c r="B168" s="49" t="s">
        <v>108</v>
      </c>
      <c r="C168" s="49" t="s">
        <v>109</v>
      </c>
      <c r="D168" s="49" t="s">
        <v>69</v>
      </c>
      <c r="E168" s="50">
        <v>194561670</v>
      </c>
      <c r="F168" s="50">
        <v>189561670</v>
      </c>
      <c r="G168" s="50">
        <v>189561669.5</v>
      </c>
      <c r="H168" s="50">
        <v>1685263.72</v>
      </c>
      <c r="I168" s="50">
        <v>48208807.259999998</v>
      </c>
      <c r="J168" s="50">
        <v>0</v>
      </c>
      <c r="K168" s="50">
        <v>111130956.44</v>
      </c>
      <c r="L168" s="50">
        <v>64541833.57</v>
      </c>
      <c r="M168" s="50">
        <v>28536642.579999998</v>
      </c>
      <c r="N168" s="50">
        <v>28536642.079999998</v>
      </c>
    </row>
    <row r="169" spans="1:14" hidden="1" x14ac:dyDescent="0.25">
      <c r="A169" s="49" t="s">
        <v>706</v>
      </c>
      <c r="B169" s="49" t="s">
        <v>304</v>
      </c>
      <c r="C169" s="49" t="s">
        <v>305</v>
      </c>
      <c r="D169" s="49" t="s">
        <v>69</v>
      </c>
      <c r="E169" s="50">
        <v>1649720</v>
      </c>
      <c r="F169" s="50">
        <v>1799237.9</v>
      </c>
      <c r="G169" s="50">
        <v>1799237.13</v>
      </c>
      <c r="H169" s="50">
        <v>0</v>
      </c>
      <c r="I169" s="50">
        <v>78775.570000000007</v>
      </c>
      <c r="J169" s="50">
        <v>0</v>
      </c>
      <c r="K169" s="50">
        <v>1416529.63</v>
      </c>
      <c r="L169" s="50">
        <v>1416529.63</v>
      </c>
      <c r="M169" s="50">
        <v>303932.7</v>
      </c>
      <c r="N169" s="50">
        <v>303931.93</v>
      </c>
    </row>
    <row r="170" spans="1:14" hidden="1" x14ac:dyDescent="0.25">
      <c r="A170" s="49" t="s">
        <v>706</v>
      </c>
      <c r="B170" s="49" t="s">
        <v>110</v>
      </c>
      <c r="C170" s="49" t="s">
        <v>111</v>
      </c>
      <c r="D170" s="49" t="s">
        <v>69</v>
      </c>
      <c r="E170" s="50">
        <v>43119530</v>
      </c>
      <c r="F170" s="50">
        <v>45619530</v>
      </c>
      <c r="G170" s="50">
        <v>45619530</v>
      </c>
      <c r="H170" s="50">
        <v>9078311.4700000007</v>
      </c>
      <c r="I170" s="50">
        <v>1875110.62</v>
      </c>
      <c r="J170" s="50">
        <v>11598664.27</v>
      </c>
      <c r="K170" s="50">
        <v>22739636.27</v>
      </c>
      <c r="L170" s="50">
        <v>20135298.940000001</v>
      </c>
      <c r="M170" s="50">
        <v>327807.37</v>
      </c>
      <c r="N170" s="50">
        <v>327807.37</v>
      </c>
    </row>
    <row r="171" spans="1:14" hidden="1" x14ac:dyDescent="0.25">
      <c r="A171" s="49" t="s">
        <v>706</v>
      </c>
      <c r="B171" s="49" t="s">
        <v>112</v>
      </c>
      <c r="C171" s="49" t="s">
        <v>113</v>
      </c>
      <c r="D171" s="49" t="s">
        <v>69</v>
      </c>
      <c r="E171" s="50">
        <v>114662680</v>
      </c>
      <c r="F171" s="50">
        <v>114662680</v>
      </c>
      <c r="G171" s="50">
        <v>114662679.39</v>
      </c>
      <c r="H171" s="50">
        <v>0</v>
      </c>
      <c r="I171" s="50">
        <v>18346949.52</v>
      </c>
      <c r="J171" s="50">
        <v>166524.59</v>
      </c>
      <c r="K171" s="50">
        <v>76156354.030000001</v>
      </c>
      <c r="L171" s="50">
        <v>71540948.510000005</v>
      </c>
      <c r="M171" s="50">
        <v>19992851.859999999</v>
      </c>
      <c r="N171" s="50">
        <v>19992851.25</v>
      </c>
    </row>
    <row r="172" spans="1:14" hidden="1" x14ac:dyDescent="0.25">
      <c r="A172" s="49" t="s">
        <v>706</v>
      </c>
      <c r="B172" s="49" t="s">
        <v>114</v>
      </c>
      <c r="C172" s="49" t="s">
        <v>115</v>
      </c>
      <c r="D172" s="49" t="s">
        <v>69</v>
      </c>
      <c r="E172" s="50">
        <v>19200000</v>
      </c>
      <c r="F172" s="50">
        <v>19200000</v>
      </c>
      <c r="G172" s="50">
        <v>19199999.890000001</v>
      </c>
      <c r="H172" s="50">
        <v>0</v>
      </c>
      <c r="I172" s="50">
        <v>3313198.01</v>
      </c>
      <c r="J172" s="50">
        <v>0</v>
      </c>
      <c r="K172" s="50">
        <v>14077723</v>
      </c>
      <c r="L172" s="50">
        <v>14077723</v>
      </c>
      <c r="M172" s="50">
        <v>1809078.99</v>
      </c>
      <c r="N172" s="50">
        <v>1809078.88</v>
      </c>
    </row>
    <row r="173" spans="1:14" hidden="1" x14ac:dyDescent="0.25">
      <c r="A173" s="49" t="s">
        <v>706</v>
      </c>
      <c r="B173" s="49" t="s">
        <v>116</v>
      </c>
      <c r="C173" s="49" t="s">
        <v>117</v>
      </c>
      <c r="D173" s="49" t="s">
        <v>69</v>
      </c>
      <c r="E173" s="50">
        <v>37800000</v>
      </c>
      <c r="F173" s="50">
        <v>37800000</v>
      </c>
      <c r="G173" s="50">
        <v>37799999.5</v>
      </c>
      <c r="H173" s="50">
        <v>0</v>
      </c>
      <c r="I173" s="50">
        <v>2994900.5</v>
      </c>
      <c r="J173" s="50">
        <v>0</v>
      </c>
      <c r="K173" s="50">
        <v>33788404.5</v>
      </c>
      <c r="L173" s="50">
        <v>31350340.350000001</v>
      </c>
      <c r="M173" s="50">
        <v>1016695</v>
      </c>
      <c r="N173" s="50">
        <v>1016694.5</v>
      </c>
    </row>
    <row r="174" spans="1:14" hidden="1" x14ac:dyDescent="0.25">
      <c r="A174" s="49" t="s">
        <v>706</v>
      </c>
      <c r="B174" s="49" t="s">
        <v>118</v>
      </c>
      <c r="C174" s="49" t="s">
        <v>119</v>
      </c>
      <c r="D174" s="49" t="s">
        <v>69</v>
      </c>
      <c r="E174" s="50">
        <v>7200000</v>
      </c>
      <c r="F174" s="50">
        <v>7200000</v>
      </c>
      <c r="G174" s="50">
        <v>7200000</v>
      </c>
      <c r="H174" s="50">
        <v>0</v>
      </c>
      <c r="I174" s="50">
        <v>275520.40000000002</v>
      </c>
      <c r="J174" s="50">
        <v>0</v>
      </c>
      <c r="K174" s="50">
        <v>974479.6</v>
      </c>
      <c r="L174" s="50">
        <v>974479.6</v>
      </c>
      <c r="M174" s="50">
        <v>5950000</v>
      </c>
      <c r="N174" s="50">
        <v>5950000</v>
      </c>
    </row>
    <row r="175" spans="1:14" hidden="1" x14ac:dyDescent="0.25">
      <c r="A175" s="49" t="s">
        <v>706</v>
      </c>
      <c r="B175" s="49" t="s">
        <v>120</v>
      </c>
      <c r="C175" s="49" t="s">
        <v>121</v>
      </c>
      <c r="D175" s="49" t="s">
        <v>69</v>
      </c>
      <c r="E175" s="50">
        <v>45662680</v>
      </c>
      <c r="F175" s="50">
        <v>45662680</v>
      </c>
      <c r="G175" s="50">
        <v>45662680</v>
      </c>
      <c r="H175" s="50">
        <v>0</v>
      </c>
      <c r="I175" s="50">
        <v>11761846.26</v>
      </c>
      <c r="J175" s="50">
        <v>166524.59</v>
      </c>
      <c r="K175" s="50">
        <v>26006681.68</v>
      </c>
      <c r="L175" s="50">
        <v>23829340.309999999</v>
      </c>
      <c r="M175" s="50">
        <v>7727627.4699999997</v>
      </c>
      <c r="N175" s="50">
        <v>7727627.4699999997</v>
      </c>
    </row>
    <row r="176" spans="1:14" hidden="1" x14ac:dyDescent="0.25">
      <c r="A176" s="49" t="s">
        <v>706</v>
      </c>
      <c r="B176" s="49" t="s">
        <v>122</v>
      </c>
      <c r="C176" s="49" t="s">
        <v>123</v>
      </c>
      <c r="D176" s="49" t="s">
        <v>69</v>
      </c>
      <c r="E176" s="50">
        <v>4800000</v>
      </c>
      <c r="F176" s="50">
        <v>4800000</v>
      </c>
      <c r="G176" s="50">
        <v>4800000</v>
      </c>
      <c r="H176" s="50">
        <v>0</v>
      </c>
      <c r="I176" s="50">
        <v>1484.35</v>
      </c>
      <c r="J176" s="50">
        <v>0</v>
      </c>
      <c r="K176" s="50">
        <v>1309065.25</v>
      </c>
      <c r="L176" s="50">
        <v>1309065.25</v>
      </c>
      <c r="M176" s="50">
        <v>3489450.4</v>
      </c>
      <c r="N176" s="50">
        <v>3489450.4</v>
      </c>
    </row>
    <row r="177" spans="1:14" hidden="1" x14ac:dyDescent="0.25">
      <c r="A177" s="49" t="s">
        <v>706</v>
      </c>
      <c r="B177" s="49" t="s">
        <v>124</v>
      </c>
      <c r="C177" s="49" t="s">
        <v>125</v>
      </c>
      <c r="D177" s="49" t="s">
        <v>69</v>
      </c>
      <c r="E177" s="50">
        <v>5424230</v>
      </c>
      <c r="F177" s="50">
        <v>6924230</v>
      </c>
      <c r="G177" s="50">
        <v>6924230</v>
      </c>
      <c r="H177" s="50">
        <v>0</v>
      </c>
      <c r="I177" s="50">
        <v>610700.12</v>
      </c>
      <c r="J177" s="50">
        <v>0</v>
      </c>
      <c r="K177" s="50">
        <v>1566052.4</v>
      </c>
      <c r="L177" s="50">
        <v>1327542.17</v>
      </c>
      <c r="M177" s="50">
        <v>4747477.4800000004</v>
      </c>
      <c r="N177" s="50">
        <v>4747477.4800000004</v>
      </c>
    </row>
    <row r="178" spans="1:14" hidden="1" x14ac:dyDescent="0.25">
      <c r="A178" s="49" t="s">
        <v>706</v>
      </c>
      <c r="B178" s="49" t="s">
        <v>126</v>
      </c>
      <c r="C178" s="49" t="s">
        <v>127</v>
      </c>
      <c r="D178" s="49" t="s">
        <v>69</v>
      </c>
      <c r="E178" s="50">
        <v>500000</v>
      </c>
      <c r="F178" s="50">
        <v>2000000</v>
      </c>
      <c r="G178" s="50">
        <v>2000000</v>
      </c>
      <c r="H178" s="50">
        <v>0</v>
      </c>
      <c r="I178" s="50">
        <v>115821.44</v>
      </c>
      <c r="J178" s="50">
        <v>0</v>
      </c>
      <c r="K178" s="50">
        <v>788213.6</v>
      </c>
      <c r="L178" s="50">
        <v>566801.4</v>
      </c>
      <c r="M178" s="50">
        <v>1095964.96</v>
      </c>
      <c r="N178" s="50">
        <v>1095964.96</v>
      </c>
    </row>
    <row r="179" spans="1:14" hidden="1" x14ac:dyDescent="0.25">
      <c r="A179" s="49" t="s">
        <v>706</v>
      </c>
      <c r="B179" s="49" t="s">
        <v>128</v>
      </c>
      <c r="C179" s="49" t="s">
        <v>129</v>
      </c>
      <c r="D179" s="49" t="s">
        <v>69</v>
      </c>
      <c r="E179" s="50">
        <v>1000000</v>
      </c>
      <c r="F179" s="50">
        <v>1000000</v>
      </c>
      <c r="G179" s="50">
        <v>1000000</v>
      </c>
      <c r="H179" s="50">
        <v>0</v>
      </c>
      <c r="I179" s="50">
        <v>158122.87</v>
      </c>
      <c r="J179" s="50">
        <v>0</v>
      </c>
      <c r="K179" s="50">
        <v>49492.13</v>
      </c>
      <c r="L179" s="50">
        <v>49492.13</v>
      </c>
      <c r="M179" s="50">
        <v>792385</v>
      </c>
      <c r="N179" s="50">
        <v>792385</v>
      </c>
    </row>
    <row r="180" spans="1:14" hidden="1" x14ac:dyDescent="0.25">
      <c r="A180" s="49" t="s">
        <v>706</v>
      </c>
      <c r="B180" s="49" t="s">
        <v>130</v>
      </c>
      <c r="C180" s="49" t="s">
        <v>131</v>
      </c>
      <c r="D180" s="49" t="s">
        <v>69</v>
      </c>
      <c r="E180" s="50">
        <v>138100</v>
      </c>
      <c r="F180" s="50">
        <v>138100</v>
      </c>
      <c r="G180" s="50">
        <v>138100</v>
      </c>
      <c r="H180" s="50">
        <v>0</v>
      </c>
      <c r="I180" s="50">
        <v>33819.9</v>
      </c>
      <c r="J180" s="50">
        <v>0</v>
      </c>
      <c r="K180" s="50">
        <v>74180.100000000006</v>
      </c>
      <c r="L180" s="50">
        <v>74180.100000000006</v>
      </c>
      <c r="M180" s="50">
        <v>30100</v>
      </c>
      <c r="N180" s="50">
        <v>30100</v>
      </c>
    </row>
    <row r="181" spans="1:14" hidden="1" x14ac:dyDescent="0.25">
      <c r="A181" s="49" t="s">
        <v>706</v>
      </c>
      <c r="B181" s="49" t="s">
        <v>132</v>
      </c>
      <c r="C181" s="49" t="s">
        <v>133</v>
      </c>
      <c r="D181" s="49" t="s">
        <v>69</v>
      </c>
      <c r="E181" s="50">
        <v>3786130</v>
      </c>
      <c r="F181" s="50">
        <v>3786130</v>
      </c>
      <c r="G181" s="50">
        <v>3786130</v>
      </c>
      <c r="H181" s="50">
        <v>0</v>
      </c>
      <c r="I181" s="50">
        <v>302935.90999999997</v>
      </c>
      <c r="J181" s="50">
        <v>0</v>
      </c>
      <c r="K181" s="50">
        <v>654166.56999999995</v>
      </c>
      <c r="L181" s="50">
        <v>637068.54</v>
      </c>
      <c r="M181" s="50">
        <v>2829027.52</v>
      </c>
      <c r="N181" s="50">
        <v>2829027.52</v>
      </c>
    </row>
    <row r="182" spans="1:14" hidden="1" x14ac:dyDescent="0.25">
      <c r="A182" s="49" t="s">
        <v>706</v>
      </c>
      <c r="B182" s="49" t="s">
        <v>134</v>
      </c>
      <c r="C182" s="49" t="s">
        <v>135</v>
      </c>
      <c r="D182" s="49" t="s">
        <v>69</v>
      </c>
      <c r="E182" s="50">
        <v>385113260</v>
      </c>
      <c r="F182" s="50">
        <v>425413260</v>
      </c>
      <c r="G182" s="50">
        <v>425413260</v>
      </c>
      <c r="H182" s="50">
        <v>63099159.780000001</v>
      </c>
      <c r="I182" s="50">
        <v>29031143.32</v>
      </c>
      <c r="J182" s="50">
        <v>0</v>
      </c>
      <c r="K182" s="50">
        <v>312786209.25999999</v>
      </c>
      <c r="L182" s="50">
        <v>266135286.16999999</v>
      </c>
      <c r="M182" s="50">
        <v>20496747.640000001</v>
      </c>
      <c r="N182" s="50">
        <v>20496747.640000001</v>
      </c>
    </row>
    <row r="183" spans="1:14" hidden="1" x14ac:dyDescent="0.25">
      <c r="A183" s="49" t="s">
        <v>706</v>
      </c>
      <c r="B183" s="49" t="s">
        <v>306</v>
      </c>
      <c r="C183" s="49" t="s">
        <v>307</v>
      </c>
      <c r="D183" s="49" t="s">
        <v>69</v>
      </c>
      <c r="E183" s="50">
        <v>2000000</v>
      </c>
      <c r="F183" s="50">
        <v>2000000</v>
      </c>
      <c r="G183" s="50">
        <v>2000000</v>
      </c>
      <c r="H183" s="50">
        <v>0</v>
      </c>
      <c r="I183" s="50">
        <v>0</v>
      </c>
      <c r="J183" s="50">
        <v>0</v>
      </c>
      <c r="K183" s="50">
        <v>0</v>
      </c>
      <c r="L183" s="50">
        <v>0</v>
      </c>
      <c r="M183" s="50">
        <v>2000000</v>
      </c>
      <c r="N183" s="50">
        <v>2000000</v>
      </c>
    </row>
    <row r="184" spans="1:14" hidden="1" x14ac:dyDescent="0.25">
      <c r="A184" s="49" t="s">
        <v>706</v>
      </c>
      <c r="B184" s="49" t="s">
        <v>136</v>
      </c>
      <c r="C184" s="49" t="s">
        <v>137</v>
      </c>
      <c r="D184" s="49" t="s">
        <v>69</v>
      </c>
      <c r="E184" s="50">
        <v>373281100</v>
      </c>
      <c r="F184" s="50">
        <v>407581100</v>
      </c>
      <c r="G184" s="50">
        <v>407581100</v>
      </c>
      <c r="H184" s="50">
        <v>62499159.780000001</v>
      </c>
      <c r="I184" s="50">
        <v>26908516.620000001</v>
      </c>
      <c r="J184" s="50">
        <v>0</v>
      </c>
      <c r="K184" s="50">
        <v>304023875.06999999</v>
      </c>
      <c r="L184" s="50">
        <v>258014863.25999999</v>
      </c>
      <c r="M184" s="50">
        <v>14149548.529999999</v>
      </c>
      <c r="N184" s="50">
        <v>14149548.529999999</v>
      </c>
    </row>
    <row r="185" spans="1:14" hidden="1" x14ac:dyDescent="0.25">
      <c r="A185" s="49" t="s">
        <v>706</v>
      </c>
      <c r="B185" s="49" t="s">
        <v>138</v>
      </c>
      <c r="C185" s="49" t="s">
        <v>139</v>
      </c>
      <c r="D185" s="49" t="s">
        <v>69</v>
      </c>
      <c r="E185" s="50">
        <v>9832160</v>
      </c>
      <c r="F185" s="50">
        <v>15832160</v>
      </c>
      <c r="G185" s="50">
        <v>15832160</v>
      </c>
      <c r="H185" s="50">
        <v>600000</v>
      </c>
      <c r="I185" s="50">
        <v>2122626.7000000002</v>
      </c>
      <c r="J185" s="50">
        <v>0</v>
      </c>
      <c r="K185" s="50">
        <v>8762334.1899999995</v>
      </c>
      <c r="L185" s="50">
        <v>8120422.9100000001</v>
      </c>
      <c r="M185" s="50">
        <v>4347199.1100000003</v>
      </c>
      <c r="N185" s="50">
        <v>4347199.1100000003</v>
      </c>
    </row>
    <row r="186" spans="1:14" hidden="1" x14ac:dyDescent="0.25">
      <c r="A186" s="49" t="s">
        <v>706</v>
      </c>
      <c r="B186" s="49" t="s">
        <v>140</v>
      </c>
      <c r="C186" s="49" t="s">
        <v>141</v>
      </c>
      <c r="D186" s="49" t="s">
        <v>69</v>
      </c>
      <c r="E186" s="50">
        <v>35800000</v>
      </c>
      <c r="F186" s="50">
        <v>35800000</v>
      </c>
      <c r="G186" s="50">
        <v>35799999</v>
      </c>
      <c r="H186" s="50">
        <v>0</v>
      </c>
      <c r="I186" s="50">
        <v>10436776.27</v>
      </c>
      <c r="J186" s="50">
        <v>0</v>
      </c>
      <c r="K186" s="50">
        <v>8191123.7300000004</v>
      </c>
      <c r="L186" s="50">
        <v>8062241.7300000004</v>
      </c>
      <c r="M186" s="50">
        <v>17172100</v>
      </c>
      <c r="N186" s="50">
        <v>17172099</v>
      </c>
    </row>
    <row r="187" spans="1:14" hidden="1" x14ac:dyDescent="0.25">
      <c r="A187" s="49" t="s">
        <v>706</v>
      </c>
      <c r="B187" s="49" t="s">
        <v>142</v>
      </c>
      <c r="C187" s="49" t="s">
        <v>143</v>
      </c>
      <c r="D187" s="49" t="s">
        <v>69</v>
      </c>
      <c r="E187" s="50">
        <v>1800000</v>
      </c>
      <c r="F187" s="50">
        <v>1800000</v>
      </c>
      <c r="G187" s="50">
        <v>1799999.5</v>
      </c>
      <c r="H187" s="50">
        <v>0</v>
      </c>
      <c r="I187" s="50">
        <v>280376.27</v>
      </c>
      <c r="J187" s="50">
        <v>0</v>
      </c>
      <c r="K187" s="50">
        <v>419623.73</v>
      </c>
      <c r="L187" s="50">
        <v>392941.73</v>
      </c>
      <c r="M187" s="50">
        <v>1100000</v>
      </c>
      <c r="N187" s="50">
        <v>1099999.5</v>
      </c>
    </row>
    <row r="188" spans="1:14" hidden="1" x14ac:dyDescent="0.25">
      <c r="A188" s="49" t="s">
        <v>706</v>
      </c>
      <c r="B188" s="49" t="s">
        <v>144</v>
      </c>
      <c r="C188" s="49" t="s">
        <v>145</v>
      </c>
      <c r="D188" s="49" t="s">
        <v>69</v>
      </c>
      <c r="E188" s="50">
        <v>34000000</v>
      </c>
      <c r="F188" s="50">
        <v>34000000</v>
      </c>
      <c r="G188" s="50">
        <v>33999999.5</v>
      </c>
      <c r="H188" s="50">
        <v>0</v>
      </c>
      <c r="I188" s="50">
        <v>10156400</v>
      </c>
      <c r="J188" s="50">
        <v>0</v>
      </c>
      <c r="K188" s="50">
        <v>7771500</v>
      </c>
      <c r="L188" s="50">
        <v>7669300</v>
      </c>
      <c r="M188" s="50">
        <v>16072100</v>
      </c>
      <c r="N188" s="50">
        <v>16072099.5</v>
      </c>
    </row>
    <row r="189" spans="1:14" hidden="1" x14ac:dyDescent="0.25">
      <c r="A189" s="49" t="s">
        <v>706</v>
      </c>
      <c r="B189" s="49" t="s">
        <v>150</v>
      </c>
      <c r="C189" s="49" t="s">
        <v>151</v>
      </c>
      <c r="D189" s="49" t="s">
        <v>69</v>
      </c>
      <c r="E189" s="50">
        <v>113000000</v>
      </c>
      <c r="F189" s="50">
        <v>113000000</v>
      </c>
      <c r="G189" s="50">
        <v>113000000</v>
      </c>
      <c r="H189" s="50">
        <v>0</v>
      </c>
      <c r="I189" s="50">
        <v>97207.72</v>
      </c>
      <c r="J189" s="50">
        <v>0</v>
      </c>
      <c r="K189" s="50">
        <v>70392536.819999993</v>
      </c>
      <c r="L189" s="50">
        <v>70203061.819999993</v>
      </c>
      <c r="M189" s="50">
        <v>42510255.460000001</v>
      </c>
      <c r="N189" s="50">
        <v>42510255.460000001</v>
      </c>
    </row>
    <row r="190" spans="1:14" hidden="1" x14ac:dyDescent="0.25">
      <c r="A190" s="49" t="s">
        <v>706</v>
      </c>
      <c r="B190" s="49" t="s">
        <v>152</v>
      </c>
      <c r="C190" s="49" t="s">
        <v>153</v>
      </c>
      <c r="D190" s="49" t="s">
        <v>69</v>
      </c>
      <c r="E190" s="50">
        <v>113000000</v>
      </c>
      <c r="F190" s="50">
        <v>113000000</v>
      </c>
      <c r="G190" s="50">
        <v>113000000</v>
      </c>
      <c r="H190" s="50">
        <v>0</v>
      </c>
      <c r="I190" s="50">
        <v>97207.72</v>
      </c>
      <c r="J190" s="50">
        <v>0</v>
      </c>
      <c r="K190" s="50">
        <v>70392536.819999993</v>
      </c>
      <c r="L190" s="50">
        <v>70203061.819999993</v>
      </c>
      <c r="M190" s="50">
        <v>42510255.460000001</v>
      </c>
      <c r="N190" s="50">
        <v>42510255.460000001</v>
      </c>
    </row>
    <row r="191" spans="1:14" hidden="1" x14ac:dyDescent="0.25">
      <c r="A191" s="49" t="s">
        <v>706</v>
      </c>
      <c r="B191" s="49" t="s">
        <v>162</v>
      </c>
      <c r="C191" s="49" t="s">
        <v>163</v>
      </c>
      <c r="D191" s="49" t="s">
        <v>69</v>
      </c>
      <c r="E191" s="50">
        <v>119064370</v>
      </c>
      <c r="F191" s="50">
        <v>113914852.09999999</v>
      </c>
      <c r="G191" s="50">
        <v>96214852.099999994</v>
      </c>
      <c r="H191" s="50">
        <v>2037258.9</v>
      </c>
      <c r="I191" s="50">
        <v>24995917.420000002</v>
      </c>
      <c r="J191" s="50">
        <v>875339.5</v>
      </c>
      <c r="K191" s="50">
        <v>29538893.510000002</v>
      </c>
      <c r="L191" s="50">
        <v>24130187.379999999</v>
      </c>
      <c r="M191" s="50">
        <v>56467442.770000003</v>
      </c>
      <c r="N191" s="50">
        <v>38767442.770000003</v>
      </c>
    </row>
    <row r="192" spans="1:14" hidden="1" x14ac:dyDescent="0.25">
      <c r="A192" s="49" t="s">
        <v>706</v>
      </c>
      <c r="B192" s="49" t="s">
        <v>310</v>
      </c>
      <c r="C192" s="49" t="s">
        <v>311</v>
      </c>
      <c r="D192" s="49" t="s">
        <v>69</v>
      </c>
      <c r="E192" s="50">
        <v>25816590</v>
      </c>
      <c r="F192" s="50">
        <v>25816590</v>
      </c>
      <c r="G192" s="50">
        <v>20816590</v>
      </c>
      <c r="H192" s="50">
        <v>714067.23</v>
      </c>
      <c r="I192" s="50">
        <v>11763576.15</v>
      </c>
      <c r="J192" s="50">
        <v>0</v>
      </c>
      <c r="K192" s="50">
        <v>2616077.69</v>
      </c>
      <c r="L192" s="50">
        <v>2097039.31</v>
      </c>
      <c r="M192" s="50">
        <v>10722868.93</v>
      </c>
      <c r="N192" s="50">
        <v>5722868.9299999997</v>
      </c>
    </row>
    <row r="193" spans="1:14" hidden="1" x14ac:dyDescent="0.25">
      <c r="A193" s="49" t="s">
        <v>706</v>
      </c>
      <c r="B193" s="49" t="s">
        <v>164</v>
      </c>
      <c r="C193" s="49" t="s">
        <v>165</v>
      </c>
      <c r="D193" s="49" t="s">
        <v>69</v>
      </c>
      <c r="E193" s="50">
        <v>4358000</v>
      </c>
      <c r="F193" s="50">
        <v>4358000</v>
      </c>
      <c r="G193" s="50">
        <v>4358000</v>
      </c>
      <c r="H193" s="50">
        <v>0</v>
      </c>
      <c r="I193" s="50">
        <v>1387942.13</v>
      </c>
      <c r="J193" s="50">
        <v>0</v>
      </c>
      <c r="K193" s="50">
        <v>1254490.69</v>
      </c>
      <c r="L193" s="50">
        <v>826722.13</v>
      </c>
      <c r="M193" s="50">
        <v>1715567.18</v>
      </c>
      <c r="N193" s="50">
        <v>1715567.18</v>
      </c>
    </row>
    <row r="194" spans="1:14" hidden="1" x14ac:dyDescent="0.25">
      <c r="A194" s="49" t="s">
        <v>706</v>
      </c>
      <c r="B194" s="49" t="s">
        <v>166</v>
      </c>
      <c r="C194" s="49" t="s">
        <v>167</v>
      </c>
      <c r="D194" s="49" t="s">
        <v>69</v>
      </c>
      <c r="E194" s="50">
        <v>28300000</v>
      </c>
      <c r="F194" s="50">
        <v>23150482.100000001</v>
      </c>
      <c r="G194" s="50">
        <v>15150482.1</v>
      </c>
      <c r="H194" s="50">
        <v>0</v>
      </c>
      <c r="I194" s="50">
        <v>4767377.66</v>
      </c>
      <c r="J194" s="50">
        <v>875339.5</v>
      </c>
      <c r="K194" s="50">
        <v>4016338.95</v>
      </c>
      <c r="L194" s="50">
        <v>4016338.95</v>
      </c>
      <c r="M194" s="50">
        <v>13491425.99</v>
      </c>
      <c r="N194" s="50">
        <v>5491425.9900000002</v>
      </c>
    </row>
    <row r="195" spans="1:14" hidden="1" x14ac:dyDescent="0.25">
      <c r="A195" s="49" t="s">
        <v>706</v>
      </c>
      <c r="B195" s="49" t="s">
        <v>312</v>
      </c>
      <c r="C195" s="49" t="s">
        <v>313</v>
      </c>
      <c r="D195" s="49" t="s">
        <v>69</v>
      </c>
      <c r="E195" s="50">
        <v>8695420</v>
      </c>
      <c r="F195" s="50">
        <v>8695420</v>
      </c>
      <c r="G195" s="50">
        <v>8695420</v>
      </c>
      <c r="H195" s="50">
        <v>365018.4</v>
      </c>
      <c r="I195" s="50">
        <v>962397.7</v>
      </c>
      <c r="J195" s="50">
        <v>0</v>
      </c>
      <c r="K195" s="50">
        <v>2845534.65</v>
      </c>
      <c r="L195" s="50">
        <v>2517008.39</v>
      </c>
      <c r="M195" s="50">
        <v>4522469.25</v>
      </c>
      <c r="N195" s="50">
        <v>4522469.25</v>
      </c>
    </row>
    <row r="196" spans="1:14" hidden="1" x14ac:dyDescent="0.25">
      <c r="A196" s="49" t="s">
        <v>706</v>
      </c>
      <c r="B196" s="49" t="s">
        <v>168</v>
      </c>
      <c r="C196" s="49" t="s">
        <v>169</v>
      </c>
      <c r="D196" s="49" t="s">
        <v>69</v>
      </c>
      <c r="E196" s="50">
        <v>19689160</v>
      </c>
      <c r="F196" s="50">
        <v>19689160</v>
      </c>
      <c r="G196" s="50">
        <v>16989160</v>
      </c>
      <c r="H196" s="50">
        <v>958173.27</v>
      </c>
      <c r="I196" s="50">
        <v>1177136.8400000001</v>
      </c>
      <c r="J196" s="50">
        <v>0</v>
      </c>
      <c r="K196" s="50">
        <v>4794086.93</v>
      </c>
      <c r="L196" s="50">
        <v>2969353.89</v>
      </c>
      <c r="M196" s="50">
        <v>12759762.960000001</v>
      </c>
      <c r="N196" s="50">
        <v>10059762.960000001</v>
      </c>
    </row>
    <row r="197" spans="1:14" hidden="1" x14ac:dyDescent="0.25">
      <c r="A197" s="49" t="s">
        <v>706</v>
      </c>
      <c r="B197" s="49" t="s">
        <v>170</v>
      </c>
      <c r="C197" s="49" t="s">
        <v>171</v>
      </c>
      <c r="D197" s="49" t="s">
        <v>69</v>
      </c>
      <c r="E197" s="50">
        <v>26663380</v>
      </c>
      <c r="F197" s="50">
        <v>26663380</v>
      </c>
      <c r="G197" s="50">
        <v>24663380</v>
      </c>
      <c r="H197" s="50">
        <v>0</v>
      </c>
      <c r="I197" s="50">
        <v>4188714.66</v>
      </c>
      <c r="J197" s="50">
        <v>0</v>
      </c>
      <c r="K197" s="50">
        <v>12173539.890000001</v>
      </c>
      <c r="L197" s="50">
        <v>9864900</v>
      </c>
      <c r="M197" s="50">
        <v>10301125.449999999</v>
      </c>
      <c r="N197" s="50">
        <v>8301125.4500000002</v>
      </c>
    </row>
    <row r="198" spans="1:14" hidden="1" x14ac:dyDescent="0.25">
      <c r="A198" s="49" t="s">
        <v>706</v>
      </c>
      <c r="B198" s="49" t="s">
        <v>172</v>
      </c>
      <c r="C198" s="49" t="s">
        <v>173</v>
      </c>
      <c r="D198" s="49" t="s">
        <v>69</v>
      </c>
      <c r="E198" s="50">
        <v>5541820</v>
      </c>
      <c r="F198" s="50">
        <v>5541820</v>
      </c>
      <c r="G198" s="50">
        <v>5541820</v>
      </c>
      <c r="H198" s="50">
        <v>0</v>
      </c>
      <c r="I198" s="50">
        <v>748772.28</v>
      </c>
      <c r="J198" s="50">
        <v>0</v>
      </c>
      <c r="K198" s="50">
        <v>1838824.71</v>
      </c>
      <c r="L198" s="50">
        <v>1838824.71</v>
      </c>
      <c r="M198" s="50">
        <v>2954223.01</v>
      </c>
      <c r="N198" s="50">
        <v>2954223.01</v>
      </c>
    </row>
    <row r="199" spans="1:14" hidden="1" x14ac:dyDescent="0.25">
      <c r="A199" s="49" t="s">
        <v>706</v>
      </c>
      <c r="B199" s="49" t="s">
        <v>174</v>
      </c>
      <c r="C199" s="49" t="s">
        <v>175</v>
      </c>
      <c r="D199" s="49" t="s">
        <v>69</v>
      </c>
      <c r="E199" s="50">
        <v>1525000</v>
      </c>
      <c r="F199" s="50">
        <v>1525000</v>
      </c>
      <c r="G199" s="50">
        <v>1525000</v>
      </c>
      <c r="H199" s="50">
        <v>0</v>
      </c>
      <c r="I199" s="50">
        <v>1477075</v>
      </c>
      <c r="J199" s="50">
        <v>0</v>
      </c>
      <c r="K199" s="50">
        <v>47925</v>
      </c>
      <c r="L199" s="50">
        <v>3150</v>
      </c>
      <c r="M199" s="50">
        <v>0</v>
      </c>
      <c r="N199" s="50">
        <v>0</v>
      </c>
    </row>
    <row r="200" spans="1:14" hidden="1" x14ac:dyDescent="0.25">
      <c r="A200" s="49" t="s">
        <v>706</v>
      </c>
      <c r="B200" s="49" t="s">
        <v>176</v>
      </c>
      <c r="C200" s="49" t="s">
        <v>177</v>
      </c>
      <c r="D200" s="49" t="s">
        <v>69</v>
      </c>
      <c r="E200" s="50">
        <v>1525000</v>
      </c>
      <c r="F200" s="50">
        <v>1525000</v>
      </c>
      <c r="G200" s="50">
        <v>1525000</v>
      </c>
      <c r="H200" s="50">
        <v>0</v>
      </c>
      <c r="I200" s="50">
        <v>1477075</v>
      </c>
      <c r="J200" s="50">
        <v>0</v>
      </c>
      <c r="K200" s="50">
        <v>47925</v>
      </c>
      <c r="L200" s="50">
        <v>3150</v>
      </c>
      <c r="M200" s="50">
        <v>0</v>
      </c>
      <c r="N200" s="50">
        <v>0</v>
      </c>
    </row>
    <row r="201" spans="1:14" hidden="1" x14ac:dyDescent="0.25">
      <c r="A201" s="49" t="s">
        <v>706</v>
      </c>
      <c r="B201" s="49" t="s">
        <v>178</v>
      </c>
      <c r="C201" s="49" t="s">
        <v>179</v>
      </c>
      <c r="D201" s="49" t="s">
        <v>69</v>
      </c>
      <c r="E201" s="50">
        <v>2200000</v>
      </c>
      <c r="F201" s="50">
        <v>2200000</v>
      </c>
      <c r="G201" s="50">
        <v>2200000</v>
      </c>
      <c r="H201" s="50">
        <v>0</v>
      </c>
      <c r="I201" s="50">
        <v>50000</v>
      </c>
      <c r="J201" s="50">
        <v>0</v>
      </c>
      <c r="K201" s="50">
        <v>150000</v>
      </c>
      <c r="L201" s="50">
        <v>150000</v>
      </c>
      <c r="M201" s="50">
        <v>2000000</v>
      </c>
      <c r="N201" s="50">
        <v>2000000</v>
      </c>
    </row>
    <row r="202" spans="1:14" hidden="1" x14ac:dyDescent="0.25">
      <c r="A202" s="49" t="s">
        <v>706</v>
      </c>
      <c r="B202" s="49" t="s">
        <v>180</v>
      </c>
      <c r="C202" s="49" t="s">
        <v>181</v>
      </c>
      <c r="D202" s="49" t="s">
        <v>69</v>
      </c>
      <c r="E202" s="50">
        <v>200000</v>
      </c>
      <c r="F202" s="50">
        <v>200000</v>
      </c>
      <c r="G202" s="50">
        <v>200000</v>
      </c>
      <c r="H202" s="50">
        <v>0</v>
      </c>
      <c r="I202" s="50">
        <v>0</v>
      </c>
      <c r="J202" s="50">
        <v>0</v>
      </c>
      <c r="K202" s="50">
        <v>0</v>
      </c>
      <c r="L202" s="50">
        <v>0</v>
      </c>
      <c r="M202" s="50">
        <v>200000</v>
      </c>
      <c r="N202" s="50">
        <v>200000</v>
      </c>
    </row>
    <row r="203" spans="1:14" hidden="1" x14ac:dyDescent="0.25">
      <c r="A203" s="49" t="s">
        <v>706</v>
      </c>
      <c r="B203" s="49" t="s">
        <v>182</v>
      </c>
      <c r="C203" s="49" t="s">
        <v>183</v>
      </c>
      <c r="D203" s="49" t="s">
        <v>69</v>
      </c>
      <c r="E203" s="50">
        <v>2000000</v>
      </c>
      <c r="F203" s="50">
        <v>2000000</v>
      </c>
      <c r="G203" s="50">
        <v>2000000</v>
      </c>
      <c r="H203" s="50">
        <v>0</v>
      </c>
      <c r="I203" s="50">
        <v>50000</v>
      </c>
      <c r="J203" s="50">
        <v>0</v>
      </c>
      <c r="K203" s="50">
        <v>150000</v>
      </c>
      <c r="L203" s="50">
        <v>150000</v>
      </c>
      <c r="M203" s="50">
        <v>1800000</v>
      </c>
      <c r="N203" s="50">
        <v>1800000</v>
      </c>
    </row>
    <row r="204" spans="1:14" hidden="1" x14ac:dyDescent="0.25">
      <c r="A204" s="49" t="s">
        <v>706</v>
      </c>
      <c r="B204" s="49" t="s">
        <v>184</v>
      </c>
      <c r="C204" s="49" t="s">
        <v>185</v>
      </c>
      <c r="D204" s="49" t="s">
        <v>69</v>
      </c>
      <c r="E204" s="50">
        <v>56348380</v>
      </c>
      <c r="F204" s="50">
        <v>50848380</v>
      </c>
      <c r="G204" s="50">
        <v>50848379.520000003</v>
      </c>
      <c r="H204" s="50">
        <v>3574740</v>
      </c>
      <c r="I204" s="50">
        <v>2666004.73</v>
      </c>
      <c r="J204" s="50">
        <v>0</v>
      </c>
      <c r="K204" s="50">
        <v>20725802.25</v>
      </c>
      <c r="L204" s="50">
        <v>19800822.629999999</v>
      </c>
      <c r="M204" s="50">
        <v>23881833.02</v>
      </c>
      <c r="N204" s="50">
        <v>23881832.539999999</v>
      </c>
    </row>
    <row r="205" spans="1:14" hidden="1" x14ac:dyDescent="0.25">
      <c r="A205" s="49" t="s">
        <v>706</v>
      </c>
      <c r="B205" s="49" t="s">
        <v>186</v>
      </c>
      <c r="C205" s="49" t="s">
        <v>187</v>
      </c>
      <c r="D205" s="49" t="s">
        <v>69</v>
      </c>
      <c r="E205" s="50">
        <v>30858480</v>
      </c>
      <c r="F205" s="50">
        <v>29358480</v>
      </c>
      <c r="G205" s="50">
        <v>29358480</v>
      </c>
      <c r="H205" s="50">
        <v>182800</v>
      </c>
      <c r="I205" s="50">
        <v>1117209.81</v>
      </c>
      <c r="J205" s="50">
        <v>0</v>
      </c>
      <c r="K205" s="50">
        <v>8539047.3599999994</v>
      </c>
      <c r="L205" s="50">
        <v>8082457.9199999999</v>
      </c>
      <c r="M205" s="50">
        <v>19519422.829999998</v>
      </c>
      <c r="N205" s="50">
        <v>19519422.829999998</v>
      </c>
    </row>
    <row r="206" spans="1:14" hidden="1" x14ac:dyDescent="0.25">
      <c r="A206" s="49" t="s">
        <v>706</v>
      </c>
      <c r="B206" s="49" t="s">
        <v>188</v>
      </c>
      <c r="C206" s="49" t="s">
        <v>189</v>
      </c>
      <c r="D206" s="49" t="s">
        <v>69</v>
      </c>
      <c r="E206" s="50">
        <v>25379000</v>
      </c>
      <c r="F206" s="50">
        <v>25379000</v>
      </c>
      <c r="G206" s="50">
        <v>25379000</v>
      </c>
      <c r="H206" s="50">
        <v>0</v>
      </c>
      <c r="I206" s="50">
        <v>970079.16</v>
      </c>
      <c r="J206" s="50">
        <v>0</v>
      </c>
      <c r="K206" s="50">
        <v>6041384.04</v>
      </c>
      <c r="L206" s="50">
        <v>6041384.04</v>
      </c>
      <c r="M206" s="50">
        <v>18367536.800000001</v>
      </c>
      <c r="N206" s="50">
        <v>18367536.800000001</v>
      </c>
    </row>
    <row r="207" spans="1:14" hidden="1" x14ac:dyDescent="0.25">
      <c r="A207" s="49" t="s">
        <v>706</v>
      </c>
      <c r="B207" s="49" t="s">
        <v>190</v>
      </c>
      <c r="C207" s="49" t="s">
        <v>191</v>
      </c>
      <c r="D207" s="49" t="s">
        <v>69</v>
      </c>
      <c r="E207" s="50">
        <v>231600</v>
      </c>
      <c r="F207" s="50">
        <v>231600</v>
      </c>
      <c r="G207" s="50">
        <v>231600</v>
      </c>
      <c r="H207" s="50">
        <v>0</v>
      </c>
      <c r="I207" s="50">
        <v>0</v>
      </c>
      <c r="J207" s="50">
        <v>0</v>
      </c>
      <c r="K207" s="50">
        <v>167805</v>
      </c>
      <c r="L207" s="50">
        <v>167805</v>
      </c>
      <c r="M207" s="50">
        <v>63795</v>
      </c>
      <c r="N207" s="50">
        <v>63795</v>
      </c>
    </row>
    <row r="208" spans="1:14" hidden="1" x14ac:dyDescent="0.25">
      <c r="A208" s="49" t="s">
        <v>706</v>
      </c>
      <c r="B208" s="49" t="s">
        <v>192</v>
      </c>
      <c r="C208" s="49" t="s">
        <v>193</v>
      </c>
      <c r="D208" s="49" t="s">
        <v>69</v>
      </c>
      <c r="E208" s="50">
        <v>4850880</v>
      </c>
      <c r="F208" s="50">
        <v>3350880</v>
      </c>
      <c r="G208" s="50">
        <v>3350880</v>
      </c>
      <c r="H208" s="50">
        <v>0</v>
      </c>
      <c r="I208" s="50">
        <v>147130.65</v>
      </c>
      <c r="J208" s="50">
        <v>0</v>
      </c>
      <c r="K208" s="50">
        <v>2329858.3199999998</v>
      </c>
      <c r="L208" s="50">
        <v>1873268.88</v>
      </c>
      <c r="M208" s="50">
        <v>873891.03</v>
      </c>
      <c r="N208" s="50">
        <v>873891.03</v>
      </c>
    </row>
    <row r="209" spans="1:14" hidden="1" x14ac:dyDescent="0.25">
      <c r="A209" s="49" t="s">
        <v>706</v>
      </c>
      <c r="B209" s="49" t="s">
        <v>194</v>
      </c>
      <c r="C209" s="49" t="s">
        <v>195</v>
      </c>
      <c r="D209" s="49" t="s">
        <v>69</v>
      </c>
      <c r="E209" s="50">
        <v>397000</v>
      </c>
      <c r="F209" s="50">
        <v>397000</v>
      </c>
      <c r="G209" s="50">
        <v>397000</v>
      </c>
      <c r="H209" s="50">
        <v>182800</v>
      </c>
      <c r="I209" s="50">
        <v>0</v>
      </c>
      <c r="J209" s="50">
        <v>0</v>
      </c>
      <c r="K209" s="50">
        <v>0</v>
      </c>
      <c r="L209" s="50">
        <v>0</v>
      </c>
      <c r="M209" s="50">
        <v>214200</v>
      </c>
      <c r="N209" s="50">
        <v>214200</v>
      </c>
    </row>
    <row r="210" spans="1:14" hidden="1" x14ac:dyDescent="0.25">
      <c r="A210" s="49" t="s">
        <v>706</v>
      </c>
      <c r="B210" s="49" t="s">
        <v>200</v>
      </c>
      <c r="C210" s="49" t="s">
        <v>201</v>
      </c>
      <c r="D210" s="49" t="s">
        <v>69</v>
      </c>
      <c r="E210" s="50">
        <v>5536500</v>
      </c>
      <c r="F210" s="50">
        <v>5536500</v>
      </c>
      <c r="G210" s="50">
        <v>5536500</v>
      </c>
      <c r="H210" s="50">
        <v>852549</v>
      </c>
      <c r="I210" s="50">
        <v>1330155.99</v>
      </c>
      <c r="J210" s="50">
        <v>0</v>
      </c>
      <c r="K210" s="50">
        <v>3189556.33</v>
      </c>
      <c r="L210" s="50">
        <v>3130570.89</v>
      </c>
      <c r="M210" s="50">
        <v>164238.68</v>
      </c>
      <c r="N210" s="50">
        <v>164238.68</v>
      </c>
    </row>
    <row r="211" spans="1:14" hidden="1" x14ac:dyDescent="0.25">
      <c r="A211" s="49" t="s">
        <v>706</v>
      </c>
      <c r="B211" s="49" t="s">
        <v>314</v>
      </c>
      <c r="C211" s="49" t="s">
        <v>315</v>
      </c>
      <c r="D211" s="49" t="s">
        <v>69</v>
      </c>
      <c r="E211" s="50">
        <v>1274000</v>
      </c>
      <c r="F211" s="50">
        <v>1274000</v>
      </c>
      <c r="G211" s="50">
        <v>1274000</v>
      </c>
      <c r="H211" s="50">
        <v>0</v>
      </c>
      <c r="I211" s="50">
        <v>130808.8</v>
      </c>
      <c r="J211" s="50">
        <v>0</v>
      </c>
      <c r="K211" s="50">
        <v>1118167.49</v>
      </c>
      <c r="L211" s="50">
        <v>1118167.49</v>
      </c>
      <c r="M211" s="50">
        <v>25023.71</v>
      </c>
      <c r="N211" s="50">
        <v>25023.71</v>
      </c>
    </row>
    <row r="212" spans="1:14" hidden="1" x14ac:dyDescent="0.25">
      <c r="A212" s="49" t="s">
        <v>706</v>
      </c>
      <c r="B212" s="49" t="s">
        <v>316</v>
      </c>
      <c r="C212" s="49" t="s">
        <v>317</v>
      </c>
      <c r="D212" s="49" t="s">
        <v>69</v>
      </c>
      <c r="E212" s="50">
        <v>290000</v>
      </c>
      <c r="F212" s="50">
        <v>290000</v>
      </c>
      <c r="G212" s="50">
        <v>290000</v>
      </c>
      <c r="H212" s="50">
        <v>0</v>
      </c>
      <c r="I212" s="50">
        <v>149952.13</v>
      </c>
      <c r="J212" s="50">
        <v>0</v>
      </c>
      <c r="K212" s="50">
        <v>137464.5</v>
      </c>
      <c r="L212" s="50">
        <v>137464.5</v>
      </c>
      <c r="M212" s="50">
        <v>2583.37</v>
      </c>
      <c r="N212" s="50">
        <v>2583.37</v>
      </c>
    </row>
    <row r="213" spans="1:14" hidden="1" x14ac:dyDescent="0.25">
      <c r="A213" s="49" t="s">
        <v>706</v>
      </c>
      <c r="B213" s="49" t="s">
        <v>318</v>
      </c>
      <c r="C213" s="49" t="s">
        <v>319</v>
      </c>
      <c r="D213" s="49" t="s">
        <v>69</v>
      </c>
      <c r="E213" s="50">
        <v>100000</v>
      </c>
      <c r="F213" s="50">
        <v>100000</v>
      </c>
      <c r="G213" s="50">
        <v>100000</v>
      </c>
      <c r="H213" s="50">
        <v>0</v>
      </c>
      <c r="I213" s="50">
        <v>1944.28</v>
      </c>
      <c r="J213" s="50">
        <v>0</v>
      </c>
      <c r="K213" s="50">
        <v>78619.070000000007</v>
      </c>
      <c r="L213" s="50">
        <v>78619.070000000007</v>
      </c>
      <c r="M213" s="50">
        <v>19436.650000000001</v>
      </c>
      <c r="N213" s="50">
        <v>19436.650000000001</v>
      </c>
    </row>
    <row r="214" spans="1:14" hidden="1" x14ac:dyDescent="0.25">
      <c r="A214" s="49" t="s">
        <v>706</v>
      </c>
      <c r="B214" s="49" t="s">
        <v>202</v>
      </c>
      <c r="C214" s="49" t="s">
        <v>203</v>
      </c>
      <c r="D214" s="49" t="s">
        <v>69</v>
      </c>
      <c r="E214" s="50">
        <v>2782500</v>
      </c>
      <c r="F214" s="50">
        <v>2782500</v>
      </c>
      <c r="G214" s="50">
        <v>2782500</v>
      </c>
      <c r="H214" s="50">
        <v>111150</v>
      </c>
      <c r="I214" s="50">
        <v>909868.42</v>
      </c>
      <c r="J214" s="50">
        <v>0</v>
      </c>
      <c r="K214" s="50">
        <v>1650894.83</v>
      </c>
      <c r="L214" s="50">
        <v>1650894.83</v>
      </c>
      <c r="M214" s="50">
        <v>110586.75</v>
      </c>
      <c r="N214" s="50">
        <v>110586.75</v>
      </c>
    </row>
    <row r="215" spans="1:14" hidden="1" x14ac:dyDescent="0.25">
      <c r="A215" s="49" t="s">
        <v>706</v>
      </c>
      <c r="B215" s="49" t="s">
        <v>204</v>
      </c>
      <c r="C215" s="49" t="s">
        <v>205</v>
      </c>
      <c r="D215" s="49" t="s">
        <v>69</v>
      </c>
      <c r="E215" s="50">
        <v>200000</v>
      </c>
      <c r="F215" s="50">
        <v>200000</v>
      </c>
      <c r="G215" s="50">
        <v>200000</v>
      </c>
      <c r="H215" s="50">
        <v>0</v>
      </c>
      <c r="I215" s="50">
        <v>137582.35999999999</v>
      </c>
      <c r="J215" s="50">
        <v>0</v>
      </c>
      <c r="K215" s="50">
        <v>58985.440000000002</v>
      </c>
      <c r="L215" s="50">
        <v>0</v>
      </c>
      <c r="M215" s="50">
        <v>3432.2</v>
      </c>
      <c r="N215" s="50">
        <v>3432.2</v>
      </c>
    </row>
    <row r="216" spans="1:14" hidden="1" x14ac:dyDescent="0.25">
      <c r="A216" s="49" t="s">
        <v>706</v>
      </c>
      <c r="B216" s="49" t="s">
        <v>322</v>
      </c>
      <c r="C216" s="49" t="s">
        <v>323</v>
      </c>
      <c r="D216" s="49" t="s">
        <v>69</v>
      </c>
      <c r="E216" s="50">
        <v>890000</v>
      </c>
      <c r="F216" s="50">
        <v>890000</v>
      </c>
      <c r="G216" s="50">
        <v>890000</v>
      </c>
      <c r="H216" s="50">
        <v>741399</v>
      </c>
      <c r="I216" s="50">
        <v>0</v>
      </c>
      <c r="J216" s="50">
        <v>0</v>
      </c>
      <c r="K216" s="50">
        <v>145425</v>
      </c>
      <c r="L216" s="50">
        <v>145425</v>
      </c>
      <c r="M216" s="50">
        <v>3176</v>
      </c>
      <c r="N216" s="50">
        <v>3176</v>
      </c>
    </row>
    <row r="217" spans="1:14" hidden="1" x14ac:dyDescent="0.25">
      <c r="A217" s="49" t="s">
        <v>706</v>
      </c>
      <c r="B217" s="49" t="s">
        <v>206</v>
      </c>
      <c r="C217" s="49" t="s">
        <v>207</v>
      </c>
      <c r="D217" s="49" t="s">
        <v>69</v>
      </c>
      <c r="E217" s="50">
        <v>3341900</v>
      </c>
      <c r="F217" s="50">
        <v>2341900</v>
      </c>
      <c r="G217" s="50">
        <v>2341900</v>
      </c>
      <c r="H217" s="50">
        <v>492820</v>
      </c>
      <c r="I217" s="50">
        <v>5557.67</v>
      </c>
      <c r="J217" s="50">
        <v>0</v>
      </c>
      <c r="K217" s="50">
        <v>111538.33</v>
      </c>
      <c r="L217" s="50">
        <v>111538.33</v>
      </c>
      <c r="M217" s="50">
        <v>1731984</v>
      </c>
      <c r="N217" s="50">
        <v>1731984</v>
      </c>
    </row>
    <row r="218" spans="1:14" hidden="1" x14ac:dyDescent="0.25">
      <c r="A218" s="49" t="s">
        <v>706</v>
      </c>
      <c r="B218" s="49" t="s">
        <v>208</v>
      </c>
      <c r="C218" s="49" t="s">
        <v>209</v>
      </c>
      <c r="D218" s="49" t="s">
        <v>69</v>
      </c>
      <c r="E218" s="50">
        <v>671900</v>
      </c>
      <c r="F218" s="50">
        <v>671900</v>
      </c>
      <c r="G218" s="50">
        <v>671900</v>
      </c>
      <c r="H218" s="50">
        <v>492820</v>
      </c>
      <c r="I218" s="50">
        <v>0</v>
      </c>
      <c r="J218" s="50">
        <v>0</v>
      </c>
      <c r="K218" s="50">
        <v>45250</v>
      </c>
      <c r="L218" s="50">
        <v>45250</v>
      </c>
      <c r="M218" s="50">
        <v>133830</v>
      </c>
      <c r="N218" s="50">
        <v>133830</v>
      </c>
    </row>
    <row r="219" spans="1:14" hidden="1" x14ac:dyDescent="0.25">
      <c r="A219" s="49" t="s">
        <v>706</v>
      </c>
      <c r="B219" s="49" t="s">
        <v>210</v>
      </c>
      <c r="C219" s="49" t="s">
        <v>211</v>
      </c>
      <c r="D219" s="49" t="s">
        <v>69</v>
      </c>
      <c r="E219" s="50">
        <v>2670000</v>
      </c>
      <c r="F219" s="50">
        <v>1670000</v>
      </c>
      <c r="G219" s="50">
        <v>1670000</v>
      </c>
      <c r="H219" s="50">
        <v>0</v>
      </c>
      <c r="I219" s="50">
        <v>5557.67</v>
      </c>
      <c r="J219" s="50">
        <v>0</v>
      </c>
      <c r="K219" s="50">
        <v>66288.33</v>
      </c>
      <c r="L219" s="50">
        <v>66288.33</v>
      </c>
      <c r="M219" s="50">
        <v>1598154</v>
      </c>
      <c r="N219" s="50">
        <v>1598154</v>
      </c>
    </row>
    <row r="220" spans="1:14" hidden="1" x14ac:dyDescent="0.25">
      <c r="A220" s="49" t="s">
        <v>706</v>
      </c>
      <c r="B220" s="49" t="s">
        <v>212</v>
      </c>
      <c r="C220" s="49" t="s">
        <v>213</v>
      </c>
      <c r="D220" s="49" t="s">
        <v>69</v>
      </c>
      <c r="E220" s="50">
        <v>16611500</v>
      </c>
      <c r="F220" s="50">
        <v>13611500</v>
      </c>
      <c r="G220" s="50">
        <v>13611499.52</v>
      </c>
      <c r="H220" s="50">
        <v>2046571</v>
      </c>
      <c r="I220" s="50">
        <v>213081.26</v>
      </c>
      <c r="J220" s="50">
        <v>0</v>
      </c>
      <c r="K220" s="50">
        <v>8885660.2300000004</v>
      </c>
      <c r="L220" s="50">
        <v>8476255.4900000002</v>
      </c>
      <c r="M220" s="50">
        <v>2466187.5099999998</v>
      </c>
      <c r="N220" s="50">
        <v>2466187.0299999998</v>
      </c>
    </row>
    <row r="221" spans="1:14" hidden="1" x14ac:dyDescent="0.25">
      <c r="A221" s="49" t="s">
        <v>706</v>
      </c>
      <c r="B221" s="49" t="s">
        <v>214</v>
      </c>
      <c r="C221" s="49" t="s">
        <v>215</v>
      </c>
      <c r="D221" s="49" t="s">
        <v>69</v>
      </c>
      <c r="E221" s="50">
        <v>5232000</v>
      </c>
      <c r="F221" s="50">
        <v>2232000</v>
      </c>
      <c r="G221" s="50">
        <v>2232000</v>
      </c>
      <c r="H221" s="50">
        <v>0</v>
      </c>
      <c r="I221" s="50">
        <v>0</v>
      </c>
      <c r="J221" s="50">
        <v>0</v>
      </c>
      <c r="K221" s="50">
        <v>2152542.12</v>
      </c>
      <c r="L221" s="50">
        <v>2152542.12</v>
      </c>
      <c r="M221" s="50">
        <v>79457.88</v>
      </c>
      <c r="N221" s="50">
        <v>79457.88</v>
      </c>
    </row>
    <row r="222" spans="1:14" hidden="1" x14ac:dyDescent="0.25">
      <c r="A222" s="49" t="s">
        <v>706</v>
      </c>
      <c r="B222" s="49" t="s">
        <v>218</v>
      </c>
      <c r="C222" s="49" t="s">
        <v>219</v>
      </c>
      <c r="D222" s="49" t="s">
        <v>69</v>
      </c>
      <c r="E222" s="50">
        <v>6600000</v>
      </c>
      <c r="F222" s="50">
        <v>2600000</v>
      </c>
      <c r="G222" s="50">
        <v>2599999.52</v>
      </c>
      <c r="H222" s="50">
        <v>0</v>
      </c>
      <c r="I222" s="50">
        <v>94500.02</v>
      </c>
      <c r="J222" s="50">
        <v>0</v>
      </c>
      <c r="K222" s="50">
        <v>2192594.7000000002</v>
      </c>
      <c r="L222" s="50">
        <v>2118014.7000000002</v>
      </c>
      <c r="M222" s="50">
        <v>312905.28000000003</v>
      </c>
      <c r="N222" s="50">
        <v>312904.8</v>
      </c>
    </row>
    <row r="223" spans="1:14" hidden="1" x14ac:dyDescent="0.25">
      <c r="A223" s="49" t="s">
        <v>706</v>
      </c>
      <c r="B223" s="49" t="s">
        <v>220</v>
      </c>
      <c r="C223" s="49" t="s">
        <v>221</v>
      </c>
      <c r="D223" s="49" t="s">
        <v>69</v>
      </c>
      <c r="E223" s="50">
        <v>340000</v>
      </c>
      <c r="F223" s="50">
        <v>340000</v>
      </c>
      <c r="G223" s="50">
        <v>340000</v>
      </c>
      <c r="H223" s="50">
        <v>0</v>
      </c>
      <c r="I223" s="50">
        <v>0</v>
      </c>
      <c r="J223" s="50">
        <v>0</v>
      </c>
      <c r="K223" s="50">
        <v>334824.74</v>
      </c>
      <c r="L223" s="50">
        <v>0</v>
      </c>
      <c r="M223" s="50">
        <v>5175.26</v>
      </c>
      <c r="N223" s="50">
        <v>5175.26</v>
      </c>
    </row>
    <row r="224" spans="1:14" hidden="1" x14ac:dyDescent="0.25">
      <c r="A224" s="49" t="s">
        <v>706</v>
      </c>
      <c r="B224" s="49" t="s">
        <v>222</v>
      </c>
      <c r="C224" s="49" t="s">
        <v>223</v>
      </c>
      <c r="D224" s="49" t="s">
        <v>69</v>
      </c>
      <c r="E224" s="50">
        <v>1393100</v>
      </c>
      <c r="F224" s="50">
        <v>5393100</v>
      </c>
      <c r="G224" s="50">
        <v>5393100</v>
      </c>
      <c r="H224" s="50">
        <v>962975</v>
      </c>
      <c r="I224" s="50">
        <v>118581.24</v>
      </c>
      <c r="J224" s="50">
        <v>0</v>
      </c>
      <c r="K224" s="50">
        <v>3767752.67</v>
      </c>
      <c r="L224" s="50">
        <v>3767752.67</v>
      </c>
      <c r="M224" s="50">
        <v>543791.09</v>
      </c>
      <c r="N224" s="50">
        <v>543791.09</v>
      </c>
    </row>
    <row r="225" spans="1:14" hidden="1" x14ac:dyDescent="0.25">
      <c r="A225" s="49" t="s">
        <v>706</v>
      </c>
      <c r="B225" s="49" t="s">
        <v>224</v>
      </c>
      <c r="C225" s="49" t="s">
        <v>225</v>
      </c>
      <c r="D225" s="49" t="s">
        <v>69</v>
      </c>
      <c r="E225" s="50">
        <v>2296200</v>
      </c>
      <c r="F225" s="50">
        <v>2296200</v>
      </c>
      <c r="G225" s="50">
        <v>2296200</v>
      </c>
      <c r="H225" s="50">
        <v>670796</v>
      </c>
      <c r="I225" s="50">
        <v>0</v>
      </c>
      <c r="J225" s="50">
        <v>0</v>
      </c>
      <c r="K225" s="50">
        <v>101106</v>
      </c>
      <c r="L225" s="50">
        <v>101106</v>
      </c>
      <c r="M225" s="50">
        <v>1524298</v>
      </c>
      <c r="N225" s="50">
        <v>1524298</v>
      </c>
    </row>
    <row r="226" spans="1:14" hidden="1" x14ac:dyDescent="0.25">
      <c r="A226" s="49" t="s">
        <v>706</v>
      </c>
      <c r="B226" s="49" t="s">
        <v>228</v>
      </c>
      <c r="C226" s="49" t="s">
        <v>229</v>
      </c>
      <c r="D226" s="49" t="s">
        <v>69</v>
      </c>
      <c r="E226" s="50">
        <v>750200</v>
      </c>
      <c r="F226" s="50">
        <v>750200</v>
      </c>
      <c r="G226" s="50">
        <v>750200</v>
      </c>
      <c r="H226" s="50">
        <v>412800</v>
      </c>
      <c r="I226" s="50">
        <v>0</v>
      </c>
      <c r="J226" s="50">
        <v>0</v>
      </c>
      <c r="K226" s="50">
        <v>336840</v>
      </c>
      <c r="L226" s="50">
        <v>336840</v>
      </c>
      <c r="M226" s="50">
        <v>560</v>
      </c>
      <c r="N226" s="50">
        <v>560</v>
      </c>
    </row>
    <row r="227" spans="1:14" hidden="1" x14ac:dyDescent="0.25">
      <c r="A227" s="49" t="s">
        <v>706</v>
      </c>
      <c r="B227" s="49" t="s">
        <v>248</v>
      </c>
      <c r="C227" s="49" t="s">
        <v>249</v>
      </c>
      <c r="D227" s="49" t="s">
        <v>69</v>
      </c>
      <c r="E227" s="50">
        <v>218960452</v>
      </c>
      <c r="F227" s="50">
        <v>123234903</v>
      </c>
      <c r="G227" s="50">
        <v>123234903</v>
      </c>
      <c r="H227" s="50">
        <v>0</v>
      </c>
      <c r="I227" s="50">
        <v>4707041.62</v>
      </c>
      <c r="J227" s="50">
        <v>0</v>
      </c>
      <c r="K227" s="50">
        <v>29261293.199999999</v>
      </c>
      <c r="L227" s="50">
        <v>29261293.199999999</v>
      </c>
      <c r="M227" s="50">
        <v>89266568.180000007</v>
      </c>
      <c r="N227" s="50">
        <v>89266568.180000007</v>
      </c>
    </row>
    <row r="228" spans="1:14" hidden="1" x14ac:dyDescent="0.25">
      <c r="A228" s="49" t="s">
        <v>706</v>
      </c>
      <c r="B228" s="49" t="s">
        <v>250</v>
      </c>
      <c r="C228" s="49" t="s">
        <v>251</v>
      </c>
      <c r="D228" s="49" t="s">
        <v>69</v>
      </c>
      <c r="E228" s="50">
        <v>17259352</v>
      </c>
      <c r="F228" s="50">
        <v>16783803</v>
      </c>
      <c r="G228" s="50">
        <v>16783803</v>
      </c>
      <c r="H228" s="50">
        <v>0</v>
      </c>
      <c r="I228" s="50">
        <v>4707041.62</v>
      </c>
      <c r="J228" s="50">
        <v>0</v>
      </c>
      <c r="K228" s="50">
        <v>12076761.380000001</v>
      </c>
      <c r="L228" s="50">
        <v>12076761.380000001</v>
      </c>
      <c r="M228" s="50">
        <v>0</v>
      </c>
      <c r="N228" s="50">
        <v>0</v>
      </c>
    </row>
    <row r="229" spans="1:14" hidden="1" x14ac:dyDescent="0.25">
      <c r="A229" s="49" t="s">
        <v>706</v>
      </c>
      <c r="B229" s="49" t="s">
        <v>628</v>
      </c>
      <c r="C229" s="49" t="s">
        <v>702</v>
      </c>
      <c r="D229" s="49" t="s">
        <v>69</v>
      </c>
      <c r="E229" s="50">
        <v>14660103</v>
      </c>
      <c r="F229" s="50">
        <v>14256172</v>
      </c>
      <c r="G229" s="50">
        <v>14256172</v>
      </c>
      <c r="H229" s="50">
        <v>0</v>
      </c>
      <c r="I229" s="50">
        <v>4031028.56</v>
      </c>
      <c r="J229" s="50">
        <v>0</v>
      </c>
      <c r="K229" s="50">
        <v>10225143.439999999</v>
      </c>
      <c r="L229" s="50">
        <v>10225143.439999999</v>
      </c>
      <c r="M229" s="50">
        <v>0</v>
      </c>
      <c r="N229" s="50">
        <v>0</v>
      </c>
    </row>
    <row r="230" spans="1:14" hidden="1" x14ac:dyDescent="0.25">
      <c r="A230" s="49" t="s">
        <v>706</v>
      </c>
      <c r="B230" s="49" t="s">
        <v>643</v>
      </c>
      <c r="C230" s="49" t="s">
        <v>703</v>
      </c>
      <c r="D230" s="49" t="s">
        <v>69</v>
      </c>
      <c r="E230" s="50">
        <v>2599249</v>
      </c>
      <c r="F230" s="50">
        <v>2527631</v>
      </c>
      <c r="G230" s="50">
        <v>2527631</v>
      </c>
      <c r="H230" s="50">
        <v>0</v>
      </c>
      <c r="I230" s="50">
        <v>676013.06</v>
      </c>
      <c r="J230" s="50">
        <v>0</v>
      </c>
      <c r="K230" s="50">
        <v>1851617.94</v>
      </c>
      <c r="L230" s="50">
        <v>1851617.94</v>
      </c>
      <c r="M230" s="50">
        <v>0</v>
      </c>
      <c r="N230" s="50">
        <v>0</v>
      </c>
    </row>
    <row r="231" spans="1:14" hidden="1" x14ac:dyDescent="0.25">
      <c r="A231" s="49" t="s">
        <v>706</v>
      </c>
      <c r="B231" s="49" t="s">
        <v>260</v>
      </c>
      <c r="C231" s="49" t="s">
        <v>261</v>
      </c>
      <c r="D231" s="49" t="s">
        <v>69</v>
      </c>
      <c r="E231" s="50">
        <v>195701100</v>
      </c>
      <c r="F231" s="50">
        <v>100451100</v>
      </c>
      <c r="G231" s="50">
        <v>100451100</v>
      </c>
      <c r="H231" s="50">
        <v>0</v>
      </c>
      <c r="I231" s="50">
        <v>0</v>
      </c>
      <c r="J231" s="50">
        <v>0</v>
      </c>
      <c r="K231" s="50">
        <v>17184531.82</v>
      </c>
      <c r="L231" s="50">
        <v>17184531.82</v>
      </c>
      <c r="M231" s="50">
        <v>83266568.180000007</v>
      </c>
      <c r="N231" s="50">
        <v>83266568.180000007</v>
      </c>
    </row>
    <row r="232" spans="1:14" hidden="1" x14ac:dyDescent="0.25">
      <c r="A232" s="49" t="s">
        <v>706</v>
      </c>
      <c r="B232" s="49" t="s">
        <v>262</v>
      </c>
      <c r="C232" s="49" t="s">
        <v>263</v>
      </c>
      <c r="D232" s="49" t="s">
        <v>69</v>
      </c>
      <c r="E232" s="50">
        <v>165701100</v>
      </c>
      <c r="F232" s="50">
        <v>70451100</v>
      </c>
      <c r="G232" s="50">
        <v>70451100</v>
      </c>
      <c r="H232" s="50">
        <v>0</v>
      </c>
      <c r="I232" s="50">
        <v>0</v>
      </c>
      <c r="J232" s="50">
        <v>0</v>
      </c>
      <c r="K232" s="50">
        <v>14880077.82</v>
      </c>
      <c r="L232" s="50">
        <v>14880077.82</v>
      </c>
      <c r="M232" s="50">
        <v>55571022.18</v>
      </c>
      <c r="N232" s="50">
        <v>55571022.18</v>
      </c>
    </row>
    <row r="233" spans="1:14" hidden="1" x14ac:dyDescent="0.25">
      <c r="A233" s="49" t="s">
        <v>706</v>
      </c>
      <c r="B233" s="49" t="s">
        <v>264</v>
      </c>
      <c r="C233" s="49" t="s">
        <v>265</v>
      </c>
      <c r="D233" s="49" t="s">
        <v>69</v>
      </c>
      <c r="E233" s="50">
        <v>30000000</v>
      </c>
      <c r="F233" s="50">
        <v>30000000</v>
      </c>
      <c r="G233" s="50">
        <v>30000000</v>
      </c>
      <c r="H233" s="50">
        <v>0</v>
      </c>
      <c r="I233" s="50">
        <v>0</v>
      </c>
      <c r="J233" s="50">
        <v>0</v>
      </c>
      <c r="K233" s="50">
        <v>2304454</v>
      </c>
      <c r="L233" s="50">
        <v>2304454</v>
      </c>
      <c r="M233" s="50">
        <v>27695546</v>
      </c>
      <c r="N233" s="50">
        <v>27695546</v>
      </c>
    </row>
    <row r="234" spans="1:14" hidden="1" x14ac:dyDescent="0.25">
      <c r="A234" s="49" t="s">
        <v>706</v>
      </c>
      <c r="B234" s="49" t="s">
        <v>286</v>
      </c>
      <c r="C234" s="49" t="s">
        <v>287</v>
      </c>
      <c r="D234" s="49" t="s">
        <v>69</v>
      </c>
      <c r="E234" s="50">
        <v>6000000</v>
      </c>
      <c r="F234" s="50">
        <v>6000000</v>
      </c>
      <c r="G234" s="50">
        <v>6000000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50">
        <v>6000000</v>
      </c>
      <c r="N234" s="50">
        <v>6000000</v>
      </c>
    </row>
    <row r="235" spans="1:14" hidden="1" x14ac:dyDescent="0.25">
      <c r="A235" s="49" t="s">
        <v>706</v>
      </c>
      <c r="B235" s="49" t="s">
        <v>288</v>
      </c>
      <c r="C235" s="49" t="s">
        <v>289</v>
      </c>
      <c r="D235" s="49" t="s">
        <v>69</v>
      </c>
      <c r="E235" s="50">
        <v>6000000</v>
      </c>
      <c r="F235" s="50">
        <v>6000000</v>
      </c>
      <c r="G235" s="50">
        <v>6000000</v>
      </c>
      <c r="H235" s="50">
        <v>0</v>
      </c>
      <c r="I235" s="50">
        <v>0</v>
      </c>
      <c r="J235" s="50">
        <v>0</v>
      </c>
      <c r="K235" s="50">
        <v>0</v>
      </c>
      <c r="L235" s="50">
        <v>0</v>
      </c>
      <c r="M235" s="50">
        <v>6000000</v>
      </c>
      <c r="N235" s="50">
        <v>6000000</v>
      </c>
    </row>
    <row r="236" spans="1:14" hidden="1" x14ac:dyDescent="0.25">
      <c r="A236" s="49" t="s">
        <v>706</v>
      </c>
      <c r="B236" s="49" t="s">
        <v>230</v>
      </c>
      <c r="C236" s="49" t="s">
        <v>231</v>
      </c>
      <c r="D236" s="49" t="s">
        <v>85</v>
      </c>
      <c r="E236" s="50">
        <v>744452300</v>
      </c>
      <c r="F236" s="50">
        <v>139452300</v>
      </c>
      <c r="G236" s="50">
        <v>138352300</v>
      </c>
      <c r="H236" s="50">
        <v>22660715</v>
      </c>
      <c r="I236" s="50">
        <v>20081086.600000001</v>
      </c>
      <c r="J236" s="50">
        <v>0</v>
      </c>
      <c r="K236" s="50">
        <v>62359094.719999999</v>
      </c>
      <c r="L236" s="50">
        <v>45193772.009999998</v>
      </c>
      <c r="M236" s="50">
        <v>34351403.68</v>
      </c>
      <c r="N236" s="50">
        <v>33251403.68</v>
      </c>
    </row>
    <row r="237" spans="1:14" hidden="1" x14ac:dyDescent="0.25">
      <c r="A237" s="49" t="s">
        <v>706</v>
      </c>
      <c r="B237" s="49" t="s">
        <v>232</v>
      </c>
      <c r="C237" s="49" t="s">
        <v>233</v>
      </c>
      <c r="D237" s="49" t="s">
        <v>85</v>
      </c>
      <c r="E237" s="50">
        <v>67752300</v>
      </c>
      <c r="F237" s="50">
        <v>53252300</v>
      </c>
      <c r="G237" s="50">
        <v>52152300</v>
      </c>
      <c r="H237" s="50">
        <v>16867991</v>
      </c>
      <c r="I237" s="50">
        <v>2512532.7799999998</v>
      </c>
      <c r="J237" s="50">
        <v>0</v>
      </c>
      <c r="K237" s="50">
        <v>32243558.710000001</v>
      </c>
      <c r="L237" s="50">
        <v>24514978.530000001</v>
      </c>
      <c r="M237" s="50">
        <v>1628217.51</v>
      </c>
      <c r="N237" s="50">
        <v>528217.51</v>
      </c>
    </row>
    <row r="238" spans="1:14" hidden="1" x14ac:dyDescent="0.25">
      <c r="A238" s="49" t="s">
        <v>706</v>
      </c>
      <c r="B238" s="49" t="s">
        <v>234</v>
      </c>
      <c r="C238" s="49" t="s">
        <v>235</v>
      </c>
      <c r="D238" s="49" t="s">
        <v>85</v>
      </c>
      <c r="E238" s="50">
        <v>0</v>
      </c>
      <c r="F238" s="50">
        <v>0</v>
      </c>
      <c r="G238" s="50">
        <v>0</v>
      </c>
      <c r="H238" s="50">
        <v>0</v>
      </c>
      <c r="I238" s="50">
        <v>0</v>
      </c>
      <c r="J238" s="50">
        <v>0</v>
      </c>
      <c r="K238" s="50">
        <v>0</v>
      </c>
      <c r="L238" s="50">
        <v>0</v>
      </c>
      <c r="M238" s="50">
        <v>0</v>
      </c>
      <c r="N238" s="50">
        <v>0</v>
      </c>
    </row>
    <row r="239" spans="1:14" hidden="1" x14ac:dyDescent="0.25">
      <c r="A239" s="49" t="s">
        <v>706</v>
      </c>
      <c r="B239" s="49" t="s">
        <v>238</v>
      </c>
      <c r="C239" s="49" t="s">
        <v>239</v>
      </c>
      <c r="D239" s="49" t="s">
        <v>85</v>
      </c>
      <c r="E239" s="50">
        <v>45252300</v>
      </c>
      <c r="F239" s="50">
        <v>17752300</v>
      </c>
      <c r="G239" s="50">
        <v>16652300</v>
      </c>
      <c r="H239" s="50">
        <v>0</v>
      </c>
      <c r="I239" s="50">
        <v>1480653.43</v>
      </c>
      <c r="J239" s="50">
        <v>0</v>
      </c>
      <c r="K239" s="50">
        <v>14682244.199999999</v>
      </c>
      <c r="L239" s="50">
        <v>14682244.199999999</v>
      </c>
      <c r="M239" s="50">
        <v>1589402.37</v>
      </c>
      <c r="N239" s="50">
        <v>489402.37</v>
      </c>
    </row>
    <row r="240" spans="1:14" hidden="1" x14ac:dyDescent="0.25">
      <c r="A240" s="49" t="s">
        <v>706</v>
      </c>
      <c r="B240" s="49" t="s">
        <v>282</v>
      </c>
      <c r="C240" s="49" t="s">
        <v>283</v>
      </c>
      <c r="D240" s="49" t="s">
        <v>85</v>
      </c>
      <c r="E240" s="50">
        <v>22500000</v>
      </c>
      <c r="F240" s="50">
        <v>35500000</v>
      </c>
      <c r="G240" s="50">
        <v>35500000</v>
      </c>
      <c r="H240" s="50">
        <v>16867991</v>
      </c>
      <c r="I240" s="50">
        <v>1031879.35</v>
      </c>
      <c r="J240" s="50">
        <v>0</v>
      </c>
      <c r="K240" s="50">
        <v>17561314.510000002</v>
      </c>
      <c r="L240" s="50">
        <v>9832734.3300000001</v>
      </c>
      <c r="M240" s="50">
        <v>38815.14</v>
      </c>
      <c r="N240" s="50">
        <v>38815.14</v>
      </c>
    </row>
    <row r="241" spans="1:14" hidden="1" x14ac:dyDescent="0.25">
      <c r="A241" s="49" t="s">
        <v>706</v>
      </c>
      <c r="B241" s="49" t="s">
        <v>242</v>
      </c>
      <c r="C241" s="49" t="s">
        <v>243</v>
      </c>
      <c r="D241" s="49" t="s">
        <v>85</v>
      </c>
      <c r="E241" s="50">
        <v>0</v>
      </c>
      <c r="F241" s="50">
        <v>0</v>
      </c>
      <c r="G241" s="50">
        <v>0</v>
      </c>
      <c r="H241" s="50">
        <v>0</v>
      </c>
      <c r="I241" s="50">
        <v>0</v>
      </c>
      <c r="J241" s="50">
        <v>0</v>
      </c>
      <c r="K241" s="50">
        <v>0</v>
      </c>
      <c r="L241" s="50">
        <v>0</v>
      </c>
      <c r="M241" s="50">
        <v>0</v>
      </c>
      <c r="N241" s="50">
        <v>0</v>
      </c>
    </row>
    <row r="242" spans="1:14" hidden="1" x14ac:dyDescent="0.25">
      <c r="A242" s="49" t="s">
        <v>706</v>
      </c>
      <c r="B242" s="49" t="s">
        <v>328</v>
      </c>
      <c r="C242" s="49" t="s">
        <v>329</v>
      </c>
      <c r="D242" s="49" t="s">
        <v>85</v>
      </c>
      <c r="E242" s="50">
        <v>630000000</v>
      </c>
      <c r="F242" s="50">
        <v>30000000</v>
      </c>
      <c r="G242" s="50">
        <v>30000000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50">
        <v>30000000</v>
      </c>
      <c r="N242" s="50">
        <v>30000000</v>
      </c>
    </row>
    <row r="243" spans="1:14" hidden="1" x14ac:dyDescent="0.25">
      <c r="A243" s="49" t="s">
        <v>706</v>
      </c>
      <c r="B243" s="49" t="s">
        <v>330</v>
      </c>
      <c r="C243" s="49" t="s">
        <v>331</v>
      </c>
      <c r="D243" s="49" t="s">
        <v>85</v>
      </c>
      <c r="E243" s="50">
        <v>630000000</v>
      </c>
      <c r="F243" s="50">
        <v>30000000</v>
      </c>
      <c r="G243" s="50">
        <v>30000000</v>
      </c>
      <c r="H243" s="50">
        <v>0</v>
      </c>
      <c r="I243" s="50">
        <v>0</v>
      </c>
      <c r="J243" s="50">
        <v>0</v>
      </c>
      <c r="K243" s="50">
        <v>0</v>
      </c>
      <c r="L243" s="50">
        <v>0</v>
      </c>
      <c r="M243" s="50">
        <v>30000000</v>
      </c>
      <c r="N243" s="50">
        <v>30000000</v>
      </c>
    </row>
    <row r="244" spans="1:14" hidden="1" x14ac:dyDescent="0.25">
      <c r="A244" s="49" t="s">
        <v>706</v>
      </c>
      <c r="B244" s="49" t="s">
        <v>244</v>
      </c>
      <c r="C244" s="49" t="s">
        <v>245</v>
      </c>
      <c r="D244" s="49" t="s">
        <v>85</v>
      </c>
      <c r="E244" s="50">
        <v>46700000</v>
      </c>
      <c r="F244" s="50">
        <v>56200000</v>
      </c>
      <c r="G244" s="50">
        <v>56200000</v>
      </c>
      <c r="H244" s="50">
        <v>5792724</v>
      </c>
      <c r="I244" s="50">
        <v>17568553.82</v>
      </c>
      <c r="J244" s="50">
        <v>0</v>
      </c>
      <c r="K244" s="50">
        <v>30115536.010000002</v>
      </c>
      <c r="L244" s="50">
        <v>20678793.48</v>
      </c>
      <c r="M244" s="50">
        <v>2723186.17</v>
      </c>
      <c r="N244" s="50">
        <v>2723186.17</v>
      </c>
    </row>
    <row r="245" spans="1:14" hidden="1" x14ac:dyDescent="0.25">
      <c r="A245" s="49" t="s">
        <v>706</v>
      </c>
      <c r="B245" s="49" t="s">
        <v>246</v>
      </c>
      <c r="C245" s="49" t="s">
        <v>247</v>
      </c>
      <c r="D245" s="49" t="s">
        <v>85</v>
      </c>
      <c r="E245" s="50">
        <v>46700000</v>
      </c>
      <c r="F245" s="50">
        <v>56200000</v>
      </c>
      <c r="G245" s="50">
        <v>56200000</v>
      </c>
      <c r="H245" s="50">
        <v>5792724</v>
      </c>
      <c r="I245" s="50">
        <v>17568553.82</v>
      </c>
      <c r="J245" s="50">
        <v>0</v>
      </c>
      <c r="K245" s="50">
        <v>30115536.010000002</v>
      </c>
      <c r="L245" s="50">
        <v>20678793.48</v>
      </c>
      <c r="M245" s="50">
        <v>2723186.17</v>
      </c>
      <c r="N245" s="50">
        <v>2723186.17</v>
      </c>
    </row>
    <row r="246" spans="1:14" x14ac:dyDescent="0.25">
      <c r="A246" s="49">
        <v>214789</v>
      </c>
      <c r="B246" s="49"/>
      <c r="C246" s="49"/>
      <c r="D246" s="49" t="s">
        <v>69</v>
      </c>
      <c r="E246" s="50">
        <v>77210852108</v>
      </c>
      <c r="F246" s="50">
        <v>75853899258</v>
      </c>
      <c r="G246" s="50">
        <v>75220083787.380005</v>
      </c>
      <c r="H246" s="50">
        <v>123961274.97</v>
      </c>
      <c r="I246" s="50">
        <v>5806411759.2200003</v>
      </c>
      <c r="J246" s="50">
        <v>303464378.69999999</v>
      </c>
      <c r="K246" s="50">
        <v>55184073349.459999</v>
      </c>
      <c r="L246" s="50">
        <v>53986396434.809998</v>
      </c>
      <c r="M246" s="50">
        <v>14435988495.65</v>
      </c>
      <c r="N246" s="50">
        <v>13802173025.030001</v>
      </c>
    </row>
    <row r="247" spans="1:14" hidden="1" x14ac:dyDescent="0.25">
      <c r="A247" s="49" t="s">
        <v>707</v>
      </c>
      <c r="B247" s="49" t="s">
        <v>71</v>
      </c>
      <c r="C247" s="49" t="s">
        <v>72</v>
      </c>
      <c r="D247" s="49" t="s">
        <v>69</v>
      </c>
      <c r="E247" s="50">
        <v>48966684366</v>
      </c>
      <c r="F247" s="50">
        <v>48019702941</v>
      </c>
      <c r="G247" s="50">
        <v>47910517096</v>
      </c>
      <c r="H247" s="50">
        <v>0</v>
      </c>
      <c r="I247" s="50">
        <v>1095008272</v>
      </c>
      <c r="J247" s="50">
        <v>0</v>
      </c>
      <c r="K247" s="50">
        <v>36502223688.370003</v>
      </c>
      <c r="L247" s="50">
        <v>36502223688.370003</v>
      </c>
      <c r="M247" s="50">
        <v>10422470980.629999</v>
      </c>
      <c r="N247" s="50">
        <v>10313285135.629999</v>
      </c>
    </row>
    <row r="248" spans="1:14" hidden="1" x14ac:dyDescent="0.25">
      <c r="A248" s="49" t="s">
        <v>707</v>
      </c>
      <c r="B248" s="49" t="s">
        <v>73</v>
      </c>
      <c r="C248" s="49" t="s">
        <v>74</v>
      </c>
      <c r="D248" s="49" t="s">
        <v>69</v>
      </c>
      <c r="E248" s="50">
        <v>17541843984</v>
      </c>
      <c r="F248" s="50">
        <v>16935768300</v>
      </c>
      <c r="G248" s="50">
        <v>16912582455</v>
      </c>
      <c r="H248" s="50">
        <v>0</v>
      </c>
      <c r="I248" s="50">
        <v>0</v>
      </c>
      <c r="J248" s="50">
        <v>0</v>
      </c>
      <c r="K248" s="50">
        <v>13481625496.299999</v>
      </c>
      <c r="L248" s="50">
        <v>13481625496.299999</v>
      </c>
      <c r="M248" s="50">
        <v>3454142803.6999998</v>
      </c>
      <c r="N248" s="50">
        <v>3430956958.6999998</v>
      </c>
    </row>
    <row r="249" spans="1:14" hidden="1" x14ac:dyDescent="0.25">
      <c r="A249" s="49" t="s">
        <v>707</v>
      </c>
      <c r="B249" s="49" t="s">
        <v>75</v>
      </c>
      <c r="C249" s="49" t="s">
        <v>76</v>
      </c>
      <c r="D249" s="49" t="s">
        <v>69</v>
      </c>
      <c r="E249" s="50">
        <v>17541843984</v>
      </c>
      <c r="F249" s="50">
        <v>16935768300</v>
      </c>
      <c r="G249" s="50">
        <v>16912582455</v>
      </c>
      <c r="H249" s="50">
        <v>0</v>
      </c>
      <c r="I249" s="50">
        <v>0</v>
      </c>
      <c r="J249" s="50">
        <v>0</v>
      </c>
      <c r="K249" s="50">
        <v>13481625496.299999</v>
      </c>
      <c r="L249" s="50">
        <v>13481625496.299999</v>
      </c>
      <c r="M249" s="50">
        <v>3454142803.6999998</v>
      </c>
      <c r="N249" s="50">
        <v>3430956958.6999998</v>
      </c>
    </row>
    <row r="250" spans="1:14" hidden="1" x14ac:dyDescent="0.25">
      <c r="A250" s="49" t="s">
        <v>707</v>
      </c>
      <c r="B250" s="49" t="s">
        <v>293</v>
      </c>
      <c r="C250" s="49" t="s">
        <v>294</v>
      </c>
      <c r="D250" s="49" t="s">
        <v>69</v>
      </c>
      <c r="E250" s="50">
        <v>3681614000</v>
      </c>
      <c r="F250" s="50">
        <v>3681614000</v>
      </c>
      <c r="G250" s="50">
        <v>3681614000</v>
      </c>
      <c r="H250" s="50">
        <v>0</v>
      </c>
      <c r="I250" s="50">
        <v>0</v>
      </c>
      <c r="J250" s="50">
        <v>0</v>
      </c>
      <c r="K250" s="50">
        <v>3021992145.9699998</v>
      </c>
      <c r="L250" s="50">
        <v>3021992145.9699998</v>
      </c>
      <c r="M250" s="50">
        <v>659621854.02999997</v>
      </c>
      <c r="N250" s="50">
        <v>659621854.02999997</v>
      </c>
    </row>
    <row r="251" spans="1:14" hidden="1" x14ac:dyDescent="0.25">
      <c r="A251" s="49" t="s">
        <v>707</v>
      </c>
      <c r="B251" s="49" t="s">
        <v>295</v>
      </c>
      <c r="C251" s="49" t="s">
        <v>296</v>
      </c>
      <c r="D251" s="49" t="s">
        <v>69</v>
      </c>
      <c r="E251" s="50">
        <v>8000000</v>
      </c>
      <c r="F251" s="50">
        <v>8000000</v>
      </c>
      <c r="G251" s="50">
        <v>8000000</v>
      </c>
      <c r="H251" s="50">
        <v>0</v>
      </c>
      <c r="I251" s="50">
        <v>0</v>
      </c>
      <c r="J251" s="50">
        <v>0</v>
      </c>
      <c r="K251" s="50">
        <v>4972501.4800000004</v>
      </c>
      <c r="L251" s="50">
        <v>4972501.4800000004</v>
      </c>
      <c r="M251" s="50">
        <v>3027498.52</v>
      </c>
      <c r="N251" s="50">
        <v>3027498.52</v>
      </c>
    </row>
    <row r="252" spans="1:14" hidden="1" x14ac:dyDescent="0.25">
      <c r="A252" s="49" t="s">
        <v>707</v>
      </c>
      <c r="B252" s="49" t="s">
        <v>337</v>
      </c>
      <c r="C252" s="49" t="s">
        <v>338</v>
      </c>
      <c r="D252" s="49" t="s">
        <v>69</v>
      </c>
      <c r="E252" s="50">
        <v>25000000</v>
      </c>
      <c r="F252" s="50">
        <v>25000000</v>
      </c>
      <c r="G252" s="50">
        <v>25000000</v>
      </c>
      <c r="H252" s="50">
        <v>0</v>
      </c>
      <c r="I252" s="50">
        <v>0</v>
      </c>
      <c r="J252" s="50">
        <v>0</v>
      </c>
      <c r="K252" s="50">
        <v>2126940</v>
      </c>
      <c r="L252" s="50">
        <v>2126940</v>
      </c>
      <c r="M252" s="50">
        <v>22873060</v>
      </c>
      <c r="N252" s="50">
        <v>22873060</v>
      </c>
    </row>
    <row r="253" spans="1:14" hidden="1" x14ac:dyDescent="0.25">
      <c r="A253" s="49" t="s">
        <v>707</v>
      </c>
      <c r="B253" s="49" t="s">
        <v>339</v>
      </c>
      <c r="C253" s="49" t="s">
        <v>340</v>
      </c>
      <c r="D253" s="49" t="s">
        <v>69</v>
      </c>
      <c r="E253" s="50">
        <v>3648614000</v>
      </c>
      <c r="F253" s="50">
        <v>3648614000</v>
      </c>
      <c r="G253" s="50">
        <v>3648614000</v>
      </c>
      <c r="H253" s="50">
        <v>0</v>
      </c>
      <c r="I253" s="50">
        <v>0</v>
      </c>
      <c r="J253" s="50">
        <v>0</v>
      </c>
      <c r="K253" s="50">
        <v>3014892704.4899998</v>
      </c>
      <c r="L253" s="50">
        <v>3014892704.4899998</v>
      </c>
      <c r="M253" s="50">
        <v>633721295.50999999</v>
      </c>
      <c r="N253" s="50">
        <v>633721295.50999999</v>
      </c>
    </row>
    <row r="254" spans="1:14" hidden="1" x14ac:dyDescent="0.25">
      <c r="A254" s="49" t="s">
        <v>707</v>
      </c>
      <c r="B254" s="49" t="s">
        <v>77</v>
      </c>
      <c r="C254" s="49" t="s">
        <v>78</v>
      </c>
      <c r="D254" s="49" t="s">
        <v>69</v>
      </c>
      <c r="E254" s="50">
        <v>20273537632</v>
      </c>
      <c r="F254" s="50">
        <v>20043354521</v>
      </c>
      <c r="G254" s="50">
        <v>20043354521</v>
      </c>
      <c r="H254" s="50">
        <v>0</v>
      </c>
      <c r="I254" s="50">
        <v>0</v>
      </c>
      <c r="J254" s="50">
        <v>0</v>
      </c>
      <c r="K254" s="50">
        <v>13886318349.1</v>
      </c>
      <c r="L254" s="50">
        <v>13886318349.1</v>
      </c>
      <c r="M254" s="50">
        <v>6157036171.8999996</v>
      </c>
      <c r="N254" s="50">
        <v>6157036171.8999996</v>
      </c>
    </row>
    <row r="255" spans="1:14" hidden="1" x14ac:dyDescent="0.25">
      <c r="A255" s="49" t="s">
        <v>707</v>
      </c>
      <c r="B255" s="49" t="s">
        <v>79</v>
      </c>
      <c r="C255" s="49" t="s">
        <v>80</v>
      </c>
      <c r="D255" s="49" t="s">
        <v>69</v>
      </c>
      <c r="E255" s="50">
        <v>7240363600</v>
      </c>
      <c r="F255" s="50">
        <v>7234363600</v>
      </c>
      <c r="G255" s="50">
        <v>7234363600</v>
      </c>
      <c r="H255" s="50">
        <v>0</v>
      </c>
      <c r="I255" s="50">
        <v>0</v>
      </c>
      <c r="J255" s="50">
        <v>0</v>
      </c>
      <c r="K255" s="50">
        <v>5677498004.8400002</v>
      </c>
      <c r="L255" s="50">
        <v>5677498004.8400002</v>
      </c>
      <c r="M255" s="50">
        <v>1556865595.1600001</v>
      </c>
      <c r="N255" s="50">
        <v>1556865595.1600001</v>
      </c>
    </row>
    <row r="256" spans="1:14" hidden="1" x14ac:dyDescent="0.25">
      <c r="A256" s="49" t="s">
        <v>707</v>
      </c>
      <c r="B256" s="49" t="s">
        <v>81</v>
      </c>
      <c r="C256" s="49" t="s">
        <v>82</v>
      </c>
      <c r="D256" s="49" t="s">
        <v>69</v>
      </c>
      <c r="E256" s="50">
        <v>646663149</v>
      </c>
      <c r="F256" s="50">
        <v>507159410</v>
      </c>
      <c r="G256" s="50">
        <v>507159410</v>
      </c>
      <c r="H256" s="50">
        <v>0</v>
      </c>
      <c r="I256" s="50">
        <v>0</v>
      </c>
      <c r="J256" s="50">
        <v>0</v>
      </c>
      <c r="K256" s="50">
        <v>382872455.10000002</v>
      </c>
      <c r="L256" s="50">
        <v>382872455.10000002</v>
      </c>
      <c r="M256" s="50">
        <v>124286954.90000001</v>
      </c>
      <c r="N256" s="50">
        <v>124286954.90000001</v>
      </c>
    </row>
    <row r="257" spans="1:14" hidden="1" x14ac:dyDescent="0.25">
      <c r="A257" s="49" t="s">
        <v>707</v>
      </c>
      <c r="B257" s="49" t="s">
        <v>86</v>
      </c>
      <c r="C257" s="49" t="s">
        <v>87</v>
      </c>
      <c r="D257" s="49" t="s">
        <v>69</v>
      </c>
      <c r="E257" s="50">
        <v>2924191700</v>
      </c>
      <c r="F257" s="50">
        <v>2924191700</v>
      </c>
      <c r="G257" s="50">
        <v>2924191700</v>
      </c>
      <c r="H257" s="50">
        <v>0</v>
      </c>
      <c r="I257" s="50">
        <v>0</v>
      </c>
      <c r="J257" s="50">
        <v>0</v>
      </c>
      <c r="K257" s="50">
        <v>2864128603.6799998</v>
      </c>
      <c r="L257" s="50">
        <v>2864128603.6799998</v>
      </c>
      <c r="M257" s="50">
        <v>60063096.32</v>
      </c>
      <c r="N257" s="50">
        <v>60063096.32</v>
      </c>
    </row>
    <row r="258" spans="1:14" hidden="1" x14ac:dyDescent="0.25">
      <c r="A258" s="49" t="s">
        <v>707</v>
      </c>
      <c r="B258" s="49" t="s">
        <v>88</v>
      </c>
      <c r="C258" s="49" t="s">
        <v>89</v>
      </c>
      <c r="D258" s="49" t="s">
        <v>69</v>
      </c>
      <c r="E258" s="50">
        <v>6271421300</v>
      </c>
      <c r="F258" s="50">
        <v>6239262627</v>
      </c>
      <c r="G258" s="50">
        <v>6239262627</v>
      </c>
      <c r="H258" s="50">
        <v>0</v>
      </c>
      <c r="I258" s="50">
        <v>0</v>
      </c>
      <c r="J258" s="50">
        <v>0</v>
      </c>
      <c r="K258" s="50">
        <v>4961548131.25</v>
      </c>
      <c r="L258" s="50">
        <v>4961548131.25</v>
      </c>
      <c r="M258" s="50">
        <v>1277714495.75</v>
      </c>
      <c r="N258" s="50">
        <v>1277714495.75</v>
      </c>
    </row>
    <row r="259" spans="1:14" hidden="1" x14ac:dyDescent="0.25">
      <c r="A259" s="49" t="s">
        <v>707</v>
      </c>
      <c r="B259" s="49" t="s">
        <v>83</v>
      </c>
      <c r="C259" s="49" t="s">
        <v>84</v>
      </c>
      <c r="D259" s="49" t="s">
        <v>85</v>
      </c>
      <c r="E259" s="50">
        <v>3190897883</v>
      </c>
      <c r="F259" s="50">
        <v>3138377184</v>
      </c>
      <c r="G259" s="50">
        <v>3138377184</v>
      </c>
      <c r="H259" s="50">
        <v>0</v>
      </c>
      <c r="I259" s="50">
        <v>0</v>
      </c>
      <c r="J259" s="50">
        <v>0</v>
      </c>
      <c r="K259" s="50">
        <v>271154.23</v>
      </c>
      <c r="L259" s="50">
        <v>271154.23</v>
      </c>
      <c r="M259" s="50">
        <v>3138106029.77</v>
      </c>
      <c r="N259" s="50">
        <v>3138106029.77</v>
      </c>
    </row>
    <row r="260" spans="1:14" hidden="1" x14ac:dyDescent="0.25">
      <c r="A260" s="49" t="s">
        <v>707</v>
      </c>
      <c r="B260" s="49" t="s">
        <v>90</v>
      </c>
      <c r="C260" s="49" t="s">
        <v>91</v>
      </c>
      <c r="D260" s="49" t="s">
        <v>69</v>
      </c>
      <c r="E260" s="50">
        <v>3734844376</v>
      </c>
      <c r="F260" s="50">
        <v>3679483060</v>
      </c>
      <c r="G260" s="50">
        <v>3679483060</v>
      </c>
      <c r="H260" s="50">
        <v>0</v>
      </c>
      <c r="I260" s="50">
        <v>584372815</v>
      </c>
      <c r="J260" s="50">
        <v>0</v>
      </c>
      <c r="K260" s="50">
        <v>3062275170</v>
      </c>
      <c r="L260" s="50">
        <v>3062275170</v>
      </c>
      <c r="M260" s="50">
        <v>32835075</v>
      </c>
      <c r="N260" s="50">
        <v>32835075</v>
      </c>
    </row>
    <row r="261" spans="1:14" hidden="1" x14ac:dyDescent="0.25">
      <c r="A261" s="49" t="s">
        <v>707</v>
      </c>
      <c r="B261" s="49" t="s">
        <v>420</v>
      </c>
      <c r="C261" s="49" t="s">
        <v>697</v>
      </c>
      <c r="D261" s="49" t="s">
        <v>69</v>
      </c>
      <c r="E261" s="50">
        <v>3543313962</v>
      </c>
      <c r="F261" s="50">
        <v>3490791688</v>
      </c>
      <c r="G261" s="50">
        <v>3490791688</v>
      </c>
      <c r="H261" s="50">
        <v>0</v>
      </c>
      <c r="I261" s="50">
        <v>554335744</v>
      </c>
      <c r="J261" s="50">
        <v>0</v>
      </c>
      <c r="K261" s="50">
        <v>2905304719</v>
      </c>
      <c r="L261" s="50">
        <v>2905304719</v>
      </c>
      <c r="M261" s="50">
        <v>31151225</v>
      </c>
      <c r="N261" s="50">
        <v>31151225</v>
      </c>
    </row>
    <row r="262" spans="1:14" hidden="1" x14ac:dyDescent="0.25">
      <c r="A262" s="49" t="s">
        <v>707</v>
      </c>
      <c r="B262" s="49" t="s">
        <v>437</v>
      </c>
      <c r="C262" s="49" t="s">
        <v>95</v>
      </c>
      <c r="D262" s="49" t="s">
        <v>69</v>
      </c>
      <c r="E262" s="50">
        <v>191530414</v>
      </c>
      <c r="F262" s="50">
        <v>188691372</v>
      </c>
      <c r="G262" s="50">
        <v>188691372</v>
      </c>
      <c r="H262" s="50">
        <v>0</v>
      </c>
      <c r="I262" s="50">
        <v>30037071</v>
      </c>
      <c r="J262" s="50">
        <v>0</v>
      </c>
      <c r="K262" s="50">
        <v>156970451</v>
      </c>
      <c r="L262" s="50">
        <v>156970451</v>
      </c>
      <c r="M262" s="50">
        <v>1683850</v>
      </c>
      <c r="N262" s="50">
        <v>1683850</v>
      </c>
    </row>
    <row r="263" spans="1:14" hidden="1" x14ac:dyDescent="0.25">
      <c r="A263" s="49" t="s">
        <v>707</v>
      </c>
      <c r="B263" s="49" t="s">
        <v>96</v>
      </c>
      <c r="C263" s="49" t="s">
        <v>97</v>
      </c>
      <c r="D263" s="49" t="s">
        <v>69</v>
      </c>
      <c r="E263" s="50">
        <v>3734844374</v>
      </c>
      <c r="F263" s="50">
        <v>3679483060</v>
      </c>
      <c r="G263" s="50">
        <v>3593483060</v>
      </c>
      <c r="H263" s="50">
        <v>0</v>
      </c>
      <c r="I263" s="50">
        <v>510635457</v>
      </c>
      <c r="J263" s="50">
        <v>0</v>
      </c>
      <c r="K263" s="50">
        <v>3050012527</v>
      </c>
      <c r="L263" s="50">
        <v>3050012527</v>
      </c>
      <c r="M263" s="50">
        <v>118835076</v>
      </c>
      <c r="N263" s="50">
        <v>32835076</v>
      </c>
    </row>
    <row r="264" spans="1:14" hidden="1" x14ac:dyDescent="0.25">
      <c r="A264" s="49" t="s">
        <v>707</v>
      </c>
      <c r="B264" s="49" t="s">
        <v>455</v>
      </c>
      <c r="C264" s="49" t="s">
        <v>698</v>
      </c>
      <c r="D264" s="49" t="s">
        <v>69</v>
      </c>
      <c r="E264" s="50">
        <v>2011070048</v>
      </c>
      <c r="F264" s="50">
        <v>1981260109</v>
      </c>
      <c r="G264" s="50">
        <v>1981260109</v>
      </c>
      <c r="H264" s="50">
        <v>0</v>
      </c>
      <c r="I264" s="50">
        <v>326304575</v>
      </c>
      <c r="J264" s="50">
        <v>0</v>
      </c>
      <c r="K264" s="50">
        <v>1637275109</v>
      </c>
      <c r="L264" s="50">
        <v>1637275109</v>
      </c>
      <c r="M264" s="50">
        <v>17680425</v>
      </c>
      <c r="N264" s="50">
        <v>17680425</v>
      </c>
    </row>
    <row r="265" spans="1:14" hidden="1" x14ac:dyDescent="0.25">
      <c r="A265" s="49" t="s">
        <v>707</v>
      </c>
      <c r="B265" s="49" t="s">
        <v>472</v>
      </c>
      <c r="C265" s="49" t="s">
        <v>699</v>
      </c>
      <c r="D265" s="49" t="s">
        <v>69</v>
      </c>
      <c r="E265" s="50">
        <v>574591442</v>
      </c>
      <c r="F265" s="50">
        <v>566074317</v>
      </c>
      <c r="G265" s="50">
        <v>566074317</v>
      </c>
      <c r="H265" s="50">
        <v>0</v>
      </c>
      <c r="I265" s="50">
        <v>90110317</v>
      </c>
      <c r="J265" s="50">
        <v>0</v>
      </c>
      <c r="K265" s="50">
        <v>470912450</v>
      </c>
      <c r="L265" s="50">
        <v>470912450</v>
      </c>
      <c r="M265" s="50">
        <v>5051550</v>
      </c>
      <c r="N265" s="50">
        <v>5051550</v>
      </c>
    </row>
    <row r="266" spans="1:14" hidden="1" x14ac:dyDescent="0.25">
      <c r="A266" s="49" t="s">
        <v>707</v>
      </c>
      <c r="B266" s="49" t="s">
        <v>489</v>
      </c>
      <c r="C266" s="49" t="s">
        <v>700</v>
      </c>
      <c r="D266" s="49" t="s">
        <v>69</v>
      </c>
      <c r="E266" s="50">
        <v>1149182884</v>
      </c>
      <c r="F266" s="50">
        <v>1132148634</v>
      </c>
      <c r="G266" s="50">
        <v>1046148634</v>
      </c>
      <c r="H266" s="50">
        <v>0</v>
      </c>
      <c r="I266" s="50">
        <v>94220565</v>
      </c>
      <c r="J266" s="50">
        <v>0</v>
      </c>
      <c r="K266" s="50">
        <v>941824968</v>
      </c>
      <c r="L266" s="50">
        <v>941824968</v>
      </c>
      <c r="M266" s="50">
        <v>96103101</v>
      </c>
      <c r="N266" s="50">
        <v>10103101</v>
      </c>
    </row>
    <row r="267" spans="1:14" hidden="1" x14ac:dyDescent="0.25">
      <c r="A267" s="49" t="s">
        <v>707</v>
      </c>
      <c r="B267" s="49" t="s">
        <v>104</v>
      </c>
      <c r="C267" s="49" t="s">
        <v>105</v>
      </c>
      <c r="D267" s="49" t="s">
        <v>69</v>
      </c>
      <c r="E267" s="50">
        <v>6509291577</v>
      </c>
      <c r="F267" s="50">
        <v>6441103286</v>
      </c>
      <c r="G267" s="50">
        <v>6295711666.5900002</v>
      </c>
      <c r="H267" s="50">
        <v>6859479</v>
      </c>
      <c r="I267" s="50">
        <v>1527319764.05</v>
      </c>
      <c r="J267" s="50">
        <v>63412590.789999999</v>
      </c>
      <c r="K267" s="50">
        <v>3934596186.3499999</v>
      </c>
      <c r="L267" s="50">
        <v>3718938493.2600002</v>
      </c>
      <c r="M267" s="50">
        <v>908915265.80999994</v>
      </c>
      <c r="N267" s="50">
        <v>763523646.39999998</v>
      </c>
    </row>
    <row r="268" spans="1:14" hidden="1" x14ac:dyDescent="0.25">
      <c r="A268" s="49" t="s">
        <v>707</v>
      </c>
      <c r="B268" s="49" t="s">
        <v>106</v>
      </c>
      <c r="C268" s="49" t="s">
        <v>107</v>
      </c>
      <c r="D268" s="49" t="s">
        <v>69</v>
      </c>
      <c r="E268" s="50">
        <v>3002893777</v>
      </c>
      <c r="F268" s="50">
        <v>2992122950</v>
      </c>
      <c r="G268" s="50">
        <v>2958042980</v>
      </c>
      <c r="H268" s="50">
        <v>0</v>
      </c>
      <c r="I268" s="50">
        <v>670379125.84000003</v>
      </c>
      <c r="J268" s="50">
        <v>7894520</v>
      </c>
      <c r="K268" s="50">
        <v>1765276722.9300001</v>
      </c>
      <c r="L268" s="50">
        <v>1621285547.24</v>
      </c>
      <c r="M268" s="50">
        <v>548572581.23000002</v>
      </c>
      <c r="N268" s="50">
        <v>514492611.23000002</v>
      </c>
    </row>
    <row r="269" spans="1:14" hidden="1" x14ac:dyDescent="0.25">
      <c r="A269" s="49" t="s">
        <v>707</v>
      </c>
      <c r="B269" s="49" t="s">
        <v>280</v>
      </c>
      <c r="C269" s="49" t="s">
        <v>281</v>
      </c>
      <c r="D269" s="49" t="s">
        <v>69</v>
      </c>
      <c r="E269" s="50">
        <v>540000000</v>
      </c>
      <c r="F269" s="50">
        <v>493566479</v>
      </c>
      <c r="G269" s="50">
        <v>493566479</v>
      </c>
      <c r="H269" s="50">
        <v>0</v>
      </c>
      <c r="I269" s="50">
        <v>81843811.430000007</v>
      </c>
      <c r="J269" s="50">
        <v>87000</v>
      </c>
      <c r="K269" s="50">
        <v>346958491.73000002</v>
      </c>
      <c r="L269" s="50">
        <v>346958491.73000002</v>
      </c>
      <c r="M269" s="50">
        <v>64677175.840000004</v>
      </c>
      <c r="N269" s="50">
        <v>64677175.840000004</v>
      </c>
    </row>
    <row r="270" spans="1:14" hidden="1" x14ac:dyDescent="0.25">
      <c r="A270" s="49" t="s">
        <v>707</v>
      </c>
      <c r="B270" s="49" t="s">
        <v>108</v>
      </c>
      <c r="C270" s="49" t="s">
        <v>109</v>
      </c>
      <c r="D270" s="49" t="s">
        <v>69</v>
      </c>
      <c r="E270" s="50">
        <v>974595134</v>
      </c>
      <c r="F270" s="50">
        <v>1010257828</v>
      </c>
      <c r="G270" s="50">
        <v>1010257828</v>
      </c>
      <c r="H270" s="50">
        <v>0</v>
      </c>
      <c r="I270" s="50">
        <v>344703010.73000002</v>
      </c>
      <c r="J270" s="50">
        <v>0</v>
      </c>
      <c r="K270" s="50">
        <v>548162626.49000001</v>
      </c>
      <c r="L270" s="50">
        <v>484230343.60000002</v>
      </c>
      <c r="M270" s="50">
        <v>117392190.78</v>
      </c>
      <c r="N270" s="50">
        <v>117392190.78</v>
      </c>
    </row>
    <row r="271" spans="1:14" hidden="1" x14ac:dyDescent="0.25">
      <c r="A271" s="49" t="s">
        <v>707</v>
      </c>
      <c r="B271" s="49" t="s">
        <v>304</v>
      </c>
      <c r="C271" s="49" t="s">
        <v>305</v>
      </c>
      <c r="D271" s="49" t="s">
        <v>69</v>
      </c>
      <c r="E271" s="50">
        <v>114061860</v>
      </c>
      <c r="F271" s="50">
        <v>114061860</v>
      </c>
      <c r="G271" s="50">
        <v>79981890</v>
      </c>
      <c r="H271" s="50">
        <v>0</v>
      </c>
      <c r="I271" s="50">
        <v>31666502.510000002</v>
      </c>
      <c r="J271" s="50">
        <v>0</v>
      </c>
      <c r="K271" s="50">
        <v>20560552.489999998</v>
      </c>
      <c r="L271" s="50">
        <v>20560552.489999998</v>
      </c>
      <c r="M271" s="50">
        <v>61834805</v>
      </c>
      <c r="N271" s="50">
        <v>27754835</v>
      </c>
    </row>
    <row r="272" spans="1:14" hidden="1" x14ac:dyDescent="0.25">
      <c r="A272" s="49" t="s">
        <v>707</v>
      </c>
      <c r="B272" s="49" t="s">
        <v>110</v>
      </c>
      <c r="C272" s="49" t="s">
        <v>111</v>
      </c>
      <c r="D272" s="49" t="s">
        <v>69</v>
      </c>
      <c r="E272" s="50">
        <v>1374236783</v>
      </c>
      <c r="F272" s="50">
        <v>1374236783</v>
      </c>
      <c r="G272" s="50">
        <v>1374236783</v>
      </c>
      <c r="H272" s="50">
        <v>0</v>
      </c>
      <c r="I272" s="50">
        <v>212165801.16999999</v>
      </c>
      <c r="J272" s="50">
        <v>7807520</v>
      </c>
      <c r="K272" s="50">
        <v>849595052.22000003</v>
      </c>
      <c r="L272" s="50">
        <v>769536159.41999996</v>
      </c>
      <c r="M272" s="50">
        <v>304668409.61000001</v>
      </c>
      <c r="N272" s="50">
        <v>304668409.61000001</v>
      </c>
    </row>
    <row r="273" spans="1:14" hidden="1" x14ac:dyDescent="0.25">
      <c r="A273" s="49" t="s">
        <v>707</v>
      </c>
      <c r="B273" s="49" t="s">
        <v>112</v>
      </c>
      <c r="C273" s="49" t="s">
        <v>113</v>
      </c>
      <c r="D273" s="49" t="s">
        <v>69</v>
      </c>
      <c r="E273" s="50">
        <v>758051064</v>
      </c>
      <c r="F273" s="50">
        <v>708510005</v>
      </c>
      <c r="G273" s="50">
        <v>692686555.34000003</v>
      </c>
      <c r="H273" s="50">
        <v>0</v>
      </c>
      <c r="I273" s="50">
        <v>38939089.770000003</v>
      </c>
      <c r="J273" s="50">
        <v>25392477.66</v>
      </c>
      <c r="K273" s="50">
        <v>525045691.06</v>
      </c>
      <c r="L273" s="50">
        <v>497997314.42000002</v>
      </c>
      <c r="M273" s="50">
        <v>119132746.51000001</v>
      </c>
      <c r="N273" s="50">
        <v>103309296.84999999</v>
      </c>
    </row>
    <row r="274" spans="1:14" hidden="1" x14ac:dyDescent="0.25">
      <c r="A274" s="49" t="s">
        <v>707</v>
      </c>
      <c r="B274" s="49" t="s">
        <v>114</v>
      </c>
      <c r="C274" s="49" t="s">
        <v>115</v>
      </c>
      <c r="D274" s="49" t="s">
        <v>69</v>
      </c>
      <c r="E274" s="50">
        <v>18001000</v>
      </c>
      <c r="F274" s="50">
        <v>18001000</v>
      </c>
      <c r="G274" s="50">
        <v>18001000</v>
      </c>
      <c r="H274" s="50">
        <v>0</v>
      </c>
      <c r="I274" s="50">
        <v>4883270</v>
      </c>
      <c r="J274" s="50">
        <v>0</v>
      </c>
      <c r="K274" s="50">
        <v>13117730</v>
      </c>
      <c r="L274" s="50">
        <v>13117730</v>
      </c>
      <c r="M274" s="50">
        <v>0</v>
      </c>
      <c r="N274" s="50">
        <v>0</v>
      </c>
    </row>
    <row r="275" spans="1:14" hidden="1" x14ac:dyDescent="0.25">
      <c r="A275" s="49" t="s">
        <v>707</v>
      </c>
      <c r="B275" s="49" t="s">
        <v>116</v>
      </c>
      <c r="C275" s="49" t="s">
        <v>117</v>
      </c>
      <c r="D275" s="49" t="s">
        <v>69</v>
      </c>
      <c r="E275" s="50">
        <v>244470000</v>
      </c>
      <c r="F275" s="50">
        <v>206743349</v>
      </c>
      <c r="G275" s="50">
        <v>190919899.34</v>
      </c>
      <c r="H275" s="50">
        <v>0</v>
      </c>
      <c r="I275" s="50">
        <v>15200437.699999999</v>
      </c>
      <c r="J275" s="50">
        <v>0</v>
      </c>
      <c r="K275" s="50">
        <v>174929115.12</v>
      </c>
      <c r="L275" s="50">
        <v>174929115.12</v>
      </c>
      <c r="M275" s="50">
        <v>16613796.18</v>
      </c>
      <c r="N275" s="50">
        <v>790346.52</v>
      </c>
    </row>
    <row r="276" spans="1:14" hidden="1" x14ac:dyDescent="0.25">
      <c r="A276" s="49" t="s">
        <v>707</v>
      </c>
      <c r="B276" s="49" t="s">
        <v>118</v>
      </c>
      <c r="C276" s="49" t="s">
        <v>119</v>
      </c>
      <c r="D276" s="49" t="s">
        <v>69</v>
      </c>
      <c r="E276" s="50">
        <v>6000000</v>
      </c>
      <c r="F276" s="50">
        <v>4500000</v>
      </c>
      <c r="G276" s="50">
        <v>4500000</v>
      </c>
      <c r="H276" s="50">
        <v>0</v>
      </c>
      <c r="I276" s="50">
        <v>2038860.6</v>
      </c>
      <c r="J276" s="50">
        <v>0</v>
      </c>
      <c r="K276" s="50">
        <v>961139.4</v>
      </c>
      <c r="L276" s="50">
        <v>961139.4</v>
      </c>
      <c r="M276" s="50">
        <v>1500000</v>
      </c>
      <c r="N276" s="50">
        <v>1500000</v>
      </c>
    </row>
    <row r="277" spans="1:14" hidden="1" x14ac:dyDescent="0.25">
      <c r="A277" s="49" t="s">
        <v>707</v>
      </c>
      <c r="B277" s="49" t="s">
        <v>120</v>
      </c>
      <c r="C277" s="49" t="s">
        <v>121</v>
      </c>
      <c r="D277" s="49" t="s">
        <v>69</v>
      </c>
      <c r="E277" s="50">
        <v>411938379</v>
      </c>
      <c r="F277" s="50">
        <v>411938379</v>
      </c>
      <c r="G277" s="50">
        <v>411938379</v>
      </c>
      <c r="H277" s="50">
        <v>0</v>
      </c>
      <c r="I277" s="50">
        <v>9488588.8699999992</v>
      </c>
      <c r="J277" s="50">
        <v>25392477.66</v>
      </c>
      <c r="K277" s="50">
        <v>306164181.25999999</v>
      </c>
      <c r="L277" s="50">
        <v>279115804.62</v>
      </c>
      <c r="M277" s="50">
        <v>70893131.209999993</v>
      </c>
      <c r="N277" s="50">
        <v>70893131.209999993</v>
      </c>
    </row>
    <row r="278" spans="1:14" hidden="1" x14ac:dyDescent="0.25">
      <c r="A278" s="49" t="s">
        <v>707</v>
      </c>
      <c r="B278" s="49" t="s">
        <v>122</v>
      </c>
      <c r="C278" s="49" t="s">
        <v>123</v>
      </c>
      <c r="D278" s="49" t="s">
        <v>69</v>
      </c>
      <c r="E278" s="50">
        <v>77641685</v>
      </c>
      <c r="F278" s="50">
        <v>67327277</v>
      </c>
      <c r="G278" s="50">
        <v>67327277</v>
      </c>
      <c r="H278" s="50">
        <v>0</v>
      </c>
      <c r="I278" s="50">
        <v>7327932.5999999996</v>
      </c>
      <c r="J278" s="50">
        <v>0</v>
      </c>
      <c r="K278" s="50">
        <v>29873525.280000001</v>
      </c>
      <c r="L278" s="50">
        <v>29873525.280000001</v>
      </c>
      <c r="M278" s="50">
        <v>30125819.120000001</v>
      </c>
      <c r="N278" s="50">
        <v>30125819.120000001</v>
      </c>
    </row>
    <row r="279" spans="1:14" hidden="1" x14ac:dyDescent="0.25">
      <c r="A279" s="49" t="s">
        <v>707</v>
      </c>
      <c r="B279" s="49" t="s">
        <v>116</v>
      </c>
      <c r="C279" s="49" t="s">
        <v>117</v>
      </c>
      <c r="D279" s="49" t="s">
        <v>85</v>
      </c>
      <c r="E279" s="50">
        <v>0</v>
      </c>
      <c r="F279" s="50">
        <v>0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50">
        <v>0</v>
      </c>
      <c r="N279" s="50">
        <v>0</v>
      </c>
    </row>
    <row r="280" spans="1:14" hidden="1" x14ac:dyDescent="0.25">
      <c r="A280" s="49" t="s">
        <v>707</v>
      </c>
      <c r="B280" s="49" t="s">
        <v>124</v>
      </c>
      <c r="C280" s="49" t="s">
        <v>125</v>
      </c>
      <c r="D280" s="49" t="s">
        <v>69</v>
      </c>
      <c r="E280" s="50">
        <v>9633760</v>
      </c>
      <c r="F280" s="50">
        <v>9633760</v>
      </c>
      <c r="G280" s="50">
        <v>9633760</v>
      </c>
      <c r="H280" s="50">
        <v>0</v>
      </c>
      <c r="I280" s="50">
        <v>3092000</v>
      </c>
      <c r="J280" s="50">
        <v>0</v>
      </c>
      <c r="K280" s="50">
        <v>2081792.51</v>
      </c>
      <c r="L280" s="50">
        <v>2081792.51</v>
      </c>
      <c r="M280" s="50">
        <v>4459967.49</v>
      </c>
      <c r="N280" s="50">
        <v>4459967.49</v>
      </c>
    </row>
    <row r="281" spans="1:14" hidden="1" x14ac:dyDescent="0.25">
      <c r="A281" s="49" t="s">
        <v>707</v>
      </c>
      <c r="B281" s="49" t="s">
        <v>126</v>
      </c>
      <c r="C281" s="49" t="s">
        <v>127</v>
      </c>
      <c r="D281" s="49" t="s">
        <v>69</v>
      </c>
      <c r="E281" s="50">
        <v>5513760</v>
      </c>
      <c r="F281" s="50">
        <v>5513760</v>
      </c>
      <c r="G281" s="50">
        <v>5513760</v>
      </c>
      <c r="H281" s="50">
        <v>0</v>
      </c>
      <c r="I281" s="50">
        <v>2592000</v>
      </c>
      <c r="J281" s="50">
        <v>0</v>
      </c>
      <c r="K281" s="50">
        <v>401200.01</v>
      </c>
      <c r="L281" s="50">
        <v>401200.01</v>
      </c>
      <c r="M281" s="50">
        <v>2520559.9900000002</v>
      </c>
      <c r="N281" s="50">
        <v>2520559.9900000002</v>
      </c>
    </row>
    <row r="282" spans="1:14" hidden="1" x14ac:dyDescent="0.25">
      <c r="A282" s="49" t="s">
        <v>707</v>
      </c>
      <c r="B282" s="49" t="s">
        <v>128</v>
      </c>
      <c r="C282" s="49" t="s">
        <v>129</v>
      </c>
      <c r="D282" s="49" t="s">
        <v>69</v>
      </c>
      <c r="E282" s="50">
        <v>2620000</v>
      </c>
      <c r="F282" s="50">
        <v>2620000</v>
      </c>
      <c r="G282" s="50">
        <v>2620000</v>
      </c>
      <c r="H282" s="50">
        <v>0</v>
      </c>
      <c r="I282" s="50">
        <v>0</v>
      </c>
      <c r="J282" s="50">
        <v>0</v>
      </c>
      <c r="K282" s="50">
        <v>1680592.5</v>
      </c>
      <c r="L282" s="50">
        <v>1680592.5</v>
      </c>
      <c r="M282" s="50">
        <v>939407.5</v>
      </c>
      <c r="N282" s="50">
        <v>939407.5</v>
      </c>
    </row>
    <row r="283" spans="1:14" hidden="1" x14ac:dyDescent="0.25">
      <c r="A283" s="49" t="s">
        <v>707</v>
      </c>
      <c r="B283" s="49" t="s">
        <v>132</v>
      </c>
      <c r="C283" s="49" t="s">
        <v>133</v>
      </c>
      <c r="D283" s="49" t="s">
        <v>69</v>
      </c>
      <c r="E283" s="50">
        <v>1500000</v>
      </c>
      <c r="F283" s="50">
        <v>1500000</v>
      </c>
      <c r="G283" s="50">
        <v>1500000</v>
      </c>
      <c r="H283" s="50">
        <v>0</v>
      </c>
      <c r="I283" s="50">
        <v>500000</v>
      </c>
      <c r="J283" s="50">
        <v>0</v>
      </c>
      <c r="K283" s="50">
        <v>0</v>
      </c>
      <c r="L283" s="50">
        <v>0</v>
      </c>
      <c r="M283" s="50">
        <v>1000000</v>
      </c>
      <c r="N283" s="50">
        <v>1000000</v>
      </c>
    </row>
    <row r="284" spans="1:14" hidden="1" x14ac:dyDescent="0.25">
      <c r="A284" s="49" t="s">
        <v>707</v>
      </c>
      <c r="B284" s="49" t="s">
        <v>134</v>
      </c>
      <c r="C284" s="49" t="s">
        <v>135</v>
      </c>
      <c r="D284" s="49" t="s">
        <v>69</v>
      </c>
      <c r="E284" s="50">
        <v>312558343</v>
      </c>
      <c r="F284" s="50">
        <v>319872751</v>
      </c>
      <c r="G284" s="50">
        <v>278479567.98000002</v>
      </c>
      <c r="H284" s="50">
        <v>3100000</v>
      </c>
      <c r="I284" s="50">
        <v>49824098.670000002</v>
      </c>
      <c r="J284" s="50">
        <v>13546009.93</v>
      </c>
      <c r="K284" s="50">
        <v>183225045.31999999</v>
      </c>
      <c r="L284" s="50">
        <v>181927218.66999999</v>
      </c>
      <c r="M284" s="50">
        <v>70177597.079999998</v>
      </c>
      <c r="N284" s="50">
        <v>28784414.059999999</v>
      </c>
    </row>
    <row r="285" spans="1:14" hidden="1" x14ac:dyDescent="0.25">
      <c r="A285" s="49" t="s">
        <v>707</v>
      </c>
      <c r="B285" s="49" t="s">
        <v>346</v>
      </c>
      <c r="C285" s="49" t="s">
        <v>347</v>
      </c>
      <c r="D285" s="49" t="s">
        <v>69</v>
      </c>
      <c r="E285" s="50">
        <v>34001608</v>
      </c>
      <c r="F285" s="50">
        <v>31001608</v>
      </c>
      <c r="G285" s="50">
        <v>12025548.75</v>
      </c>
      <c r="H285" s="50">
        <v>3100000</v>
      </c>
      <c r="I285" s="50">
        <v>671757.29</v>
      </c>
      <c r="J285" s="50">
        <v>0</v>
      </c>
      <c r="K285" s="50">
        <v>5800895.9900000002</v>
      </c>
      <c r="L285" s="50">
        <v>5800895.9900000002</v>
      </c>
      <c r="M285" s="50">
        <v>21428954.719999999</v>
      </c>
      <c r="N285" s="50">
        <v>2452895.4700000002</v>
      </c>
    </row>
    <row r="286" spans="1:14" hidden="1" x14ac:dyDescent="0.25">
      <c r="A286" s="49" t="s">
        <v>707</v>
      </c>
      <c r="B286" s="49" t="s">
        <v>308</v>
      </c>
      <c r="C286" s="49" t="s">
        <v>309</v>
      </c>
      <c r="D286" s="49" t="s">
        <v>69</v>
      </c>
      <c r="E286" s="50">
        <v>95000000</v>
      </c>
      <c r="F286" s="50">
        <v>95000000</v>
      </c>
      <c r="G286" s="50">
        <v>73219179.230000004</v>
      </c>
      <c r="H286" s="50">
        <v>0</v>
      </c>
      <c r="I286" s="50">
        <v>17144627.850000001</v>
      </c>
      <c r="J286" s="50">
        <v>8370062.2300000004</v>
      </c>
      <c r="K286" s="50">
        <v>45533954.329999998</v>
      </c>
      <c r="L286" s="50">
        <v>45493728.079999998</v>
      </c>
      <c r="M286" s="50">
        <v>23951355.59</v>
      </c>
      <c r="N286" s="50">
        <v>2170534.8199999998</v>
      </c>
    </row>
    <row r="287" spans="1:14" hidden="1" x14ac:dyDescent="0.25">
      <c r="A287" s="49" t="s">
        <v>707</v>
      </c>
      <c r="B287" s="49" t="s">
        <v>136</v>
      </c>
      <c r="C287" s="49" t="s">
        <v>137</v>
      </c>
      <c r="D287" s="49" t="s">
        <v>69</v>
      </c>
      <c r="E287" s="50">
        <v>131200000</v>
      </c>
      <c r="F287" s="50">
        <v>141514408</v>
      </c>
      <c r="G287" s="50">
        <v>140878105</v>
      </c>
      <c r="H287" s="50">
        <v>0</v>
      </c>
      <c r="I287" s="50">
        <v>22394784.73</v>
      </c>
      <c r="J287" s="50">
        <v>5046671.7</v>
      </c>
      <c r="K287" s="50">
        <v>94968026.890000001</v>
      </c>
      <c r="L287" s="50">
        <v>94968026.890000001</v>
      </c>
      <c r="M287" s="50">
        <v>19104924.68</v>
      </c>
      <c r="N287" s="50">
        <v>18468621.68</v>
      </c>
    </row>
    <row r="288" spans="1:14" hidden="1" x14ac:dyDescent="0.25">
      <c r="A288" s="49" t="s">
        <v>707</v>
      </c>
      <c r="B288" s="49" t="s">
        <v>138</v>
      </c>
      <c r="C288" s="49" t="s">
        <v>139</v>
      </c>
      <c r="D288" s="49" t="s">
        <v>69</v>
      </c>
      <c r="E288" s="50">
        <v>52356735</v>
      </c>
      <c r="F288" s="50">
        <v>52356735</v>
      </c>
      <c r="G288" s="50">
        <v>52356735</v>
      </c>
      <c r="H288" s="50">
        <v>0</v>
      </c>
      <c r="I288" s="50">
        <v>9612928.8000000007</v>
      </c>
      <c r="J288" s="50">
        <v>129276</v>
      </c>
      <c r="K288" s="50">
        <v>36922168.109999999</v>
      </c>
      <c r="L288" s="50">
        <v>35664567.710000001</v>
      </c>
      <c r="M288" s="50">
        <v>5692362.0899999999</v>
      </c>
      <c r="N288" s="50">
        <v>5692362.0899999999</v>
      </c>
    </row>
    <row r="289" spans="1:14" hidden="1" x14ac:dyDescent="0.25">
      <c r="A289" s="49" t="s">
        <v>707</v>
      </c>
      <c r="B289" s="49" t="s">
        <v>140</v>
      </c>
      <c r="C289" s="49" t="s">
        <v>141</v>
      </c>
      <c r="D289" s="49" t="s">
        <v>69</v>
      </c>
      <c r="E289" s="50">
        <v>134000000</v>
      </c>
      <c r="F289" s="50">
        <v>134000000</v>
      </c>
      <c r="G289" s="50">
        <v>92171529</v>
      </c>
      <c r="H289" s="50">
        <v>959000</v>
      </c>
      <c r="I289" s="50">
        <v>24800980</v>
      </c>
      <c r="J289" s="50">
        <v>0</v>
      </c>
      <c r="K289" s="50">
        <v>54154813</v>
      </c>
      <c r="L289" s="50">
        <v>53662813</v>
      </c>
      <c r="M289" s="50">
        <v>54085207</v>
      </c>
      <c r="N289" s="50">
        <v>12256736</v>
      </c>
    </row>
    <row r="290" spans="1:14" hidden="1" x14ac:dyDescent="0.25">
      <c r="A290" s="49" t="s">
        <v>707</v>
      </c>
      <c r="B290" s="49" t="s">
        <v>142</v>
      </c>
      <c r="C290" s="49" t="s">
        <v>143</v>
      </c>
      <c r="D290" s="49" t="s">
        <v>69</v>
      </c>
      <c r="E290" s="50">
        <v>4000000</v>
      </c>
      <c r="F290" s="50">
        <v>4000000</v>
      </c>
      <c r="G290" s="50">
        <v>2171529</v>
      </c>
      <c r="H290" s="50">
        <v>0</v>
      </c>
      <c r="I290" s="50">
        <v>747980</v>
      </c>
      <c r="J290" s="50">
        <v>0</v>
      </c>
      <c r="K290" s="50">
        <v>1223549</v>
      </c>
      <c r="L290" s="50">
        <v>1223549</v>
      </c>
      <c r="M290" s="50">
        <v>2028471</v>
      </c>
      <c r="N290" s="50">
        <v>200000</v>
      </c>
    </row>
    <row r="291" spans="1:14" hidden="1" x14ac:dyDescent="0.25">
      <c r="A291" s="49" t="s">
        <v>707</v>
      </c>
      <c r="B291" s="49" t="s">
        <v>144</v>
      </c>
      <c r="C291" s="49" t="s">
        <v>145</v>
      </c>
      <c r="D291" s="49" t="s">
        <v>69</v>
      </c>
      <c r="E291" s="50">
        <v>130000000</v>
      </c>
      <c r="F291" s="50">
        <v>130000000</v>
      </c>
      <c r="G291" s="50">
        <v>90000000</v>
      </c>
      <c r="H291" s="50">
        <v>959000</v>
      </c>
      <c r="I291" s="50">
        <v>24053000</v>
      </c>
      <c r="J291" s="50">
        <v>0</v>
      </c>
      <c r="K291" s="50">
        <v>52931264</v>
      </c>
      <c r="L291" s="50">
        <v>52439264</v>
      </c>
      <c r="M291" s="50">
        <v>52056736</v>
      </c>
      <c r="N291" s="50">
        <v>12056736</v>
      </c>
    </row>
    <row r="292" spans="1:14" hidden="1" x14ac:dyDescent="0.25">
      <c r="A292" s="49" t="s">
        <v>707</v>
      </c>
      <c r="B292" s="49" t="s">
        <v>150</v>
      </c>
      <c r="C292" s="49" t="s">
        <v>151</v>
      </c>
      <c r="D292" s="49" t="s">
        <v>69</v>
      </c>
      <c r="E292" s="50">
        <v>1300000000</v>
      </c>
      <c r="F292" s="50">
        <v>1300000000</v>
      </c>
      <c r="G292" s="50">
        <v>1300000000</v>
      </c>
      <c r="H292" s="50">
        <v>0</v>
      </c>
      <c r="I292" s="50">
        <v>343582495.69999999</v>
      </c>
      <c r="J292" s="50">
        <v>0</v>
      </c>
      <c r="K292" s="50">
        <v>926735737</v>
      </c>
      <c r="L292" s="50">
        <v>926735737</v>
      </c>
      <c r="M292" s="50">
        <v>29681767.300000001</v>
      </c>
      <c r="N292" s="50">
        <v>29681767.300000001</v>
      </c>
    </row>
    <row r="293" spans="1:14" hidden="1" x14ac:dyDescent="0.25">
      <c r="A293" s="49" t="s">
        <v>707</v>
      </c>
      <c r="B293" s="49" t="s">
        <v>152</v>
      </c>
      <c r="C293" s="49" t="s">
        <v>153</v>
      </c>
      <c r="D293" s="49" t="s">
        <v>69</v>
      </c>
      <c r="E293" s="50">
        <v>1300000000</v>
      </c>
      <c r="F293" s="50">
        <v>1300000000</v>
      </c>
      <c r="G293" s="50">
        <v>1300000000</v>
      </c>
      <c r="H293" s="50">
        <v>0</v>
      </c>
      <c r="I293" s="50">
        <v>343582495.69999999</v>
      </c>
      <c r="J293" s="50">
        <v>0</v>
      </c>
      <c r="K293" s="50">
        <v>926735737</v>
      </c>
      <c r="L293" s="50">
        <v>926735737</v>
      </c>
      <c r="M293" s="50">
        <v>29681767.300000001</v>
      </c>
      <c r="N293" s="50">
        <v>29681767.300000001</v>
      </c>
    </row>
    <row r="294" spans="1:14" hidden="1" x14ac:dyDescent="0.25">
      <c r="A294" s="49" t="s">
        <v>707</v>
      </c>
      <c r="B294" s="49" t="s">
        <v>154</v>
      </c>
      <c r="C294" s="49" t="s">
        <v>155</v>
      </c>
      <c r="D294" s="49" t="s">
        <v>69</v>
      </c>
      <c r="E294" s="50">
        <v>5000000</v>
      </c>
      <c r="F294" s="50">
        <v>1303100</v>
      </c>
      <c r="G294" s="50">
        <v>1303100</v>
      </c>
      <c r="H294" s="50">
        <v>0</v>
      </c>
      <c r="I294" s="50">
        <v>810900</v>
      </c>
      <c r="J294" s="50">
        <v>0</v>
      </c>
      <c r="K294" s="50">
        <v>357000</v>
      </c>
      <c r="L294" s="50">
        <v>357000</v>
      </c>
      <c r="M294" s="50">
        <v>135200</v>
      </c>
      <c r="N294" s="50">
        <v>135200</v>
      </c>
    </row>
    <row r="295" spans="1:14" hidden="1" x14ac:dyDescent="0.25">
      <c r="A295" s="49" t="s">
        <v>707</v>
      </c>
      <c r="B295" s="49" t="s">
        <v>156</v>
      </c>
      <c r="C295" s="49" t="s">
        <v>157</v>
      </c>
      <c r="D295" s="49" t="s">
        <v>69</v>
      </c>
      <c r="E295" s="50">
        <v>5000000</v>
      </c>
      <c r="F295" s="50">
        <v>1303100</v>
      </c>
      <c r="G295" s="50">
        <v>1303100</v>
      </c>
      <c r="H295" s="50">
        <v>0</v>
      </c>
      <c r="I295" s="50">
        <v>810900</v>
      </c>
      <c r="J295" s="50">
        <v>0</v>
      </c>
      <c r="K295" s="50">
        <v>357000</v>
      </c>
      <c r="L295" s="50">
        <v>357000</v>
      </c>
      <c r="M295" s="50">
        <v>135200</v>
      </c>
      <c r="N295" s="50">
        <v>135200</v>
      </c>
    </row>
    <row r="296" spans="1:14" hidden="1" x14ac:dyDescent="0.25">
      <c r="A296" s="49" t="s">
        <v>707</v>
      </c>
      <c r="B296" s="49" t="s">
        <v>162</v>
      </c>
      <c r="C296" s="49" t="s">
        <v>163</v>
      </c>
      <c r="D296" s="49" t="s">
        <v>69</v>
      </c>
      <c r="E296" s="50">
        <v>932264008</v>
      </c>
      <c r="F296" s="50">
        <v>924325095</v>
      </c>
      <c r="G296" s="50">
        <v>923325095</v>
      </c>
      <c r="H296" s="50">
        <v>2800479</v>
      </c>
      <c r="I296" s="50">
        <v>387871771.67000002</v>
      </c>
      <c r="J296" s="50">
        <v>16579583.199999999</v>
      </c>
      <c r="K296" s="50">
        <v>474784581.75999999</v>
      </c>
      <c r="L296" s="50">
        <v>431956267.64999998</v>
      </c>
      <c r="M296" s="50">
        <v>42288679.369999997</v>
      </c>
      <c r="N296" s="50">
        <v>41288679.369999997</v>
      </c>
    </row>
    <row r="297" spans="1:14" hidden="1" x14ac:dyDescent="0.25">
      <c r="A297" s="49" t="s">
        <v>707</v>
      </c>
      <c r="B297" s="49" t="s">
        <v>310</v>
      </c>
      <c r="C297" s="49" t="s">
        <v>311</v>
      </c>
      <c r="D297" s="49" t="s">
        <v>69</v>
      </c>
      <c r="E297" s="50">
        <v>120656000</v>
      </c>
      <c r="F297" s="50">
        <v>118656000</v>
      </c>
      <c r="G297" s="50">
        <v>117656000</v>
      </c>
      <c r="H297" s="50">
        <v>0</v>
      </c>
      <c r="I297" s="50">
        <v>66256621.460000001</v>
      </c>
      <c r="J297" s="50">
        <v>6901735.4299999997</v>
      </c>
      <c r="K297" s="50">
        <v>35418841.229999997</v>
      </c>
      <c r="L297" s="50">
        <v>17585674.260000002</v>
      </c>
      <c r="M297" s="50">
        <v>10078801.880000001</v>
      </c>
      <c r="N297" s="50">
        <v>9078801.8800000008</v>
      </c>
    </row>
    <row r="298" spans="1:14" hidden="1" x14ac:dyDescent="0.25">
      <c r="A298" s="49" t="s">
        <v>707</v>
      </c>
      <c r="B298" s="49" t="s">
        <v>164</v>
      </c>
      <c r="C298" s="49" t="s">
        <v>165</v>
      </c>
      <c r="D298" s="49" t="s">
        <v>69</v>
      </c>
      <c r="E298" s="50">
        <v>504520000</v>
      </c>
      <c r="F298" s="50">
        <v>504520000</v>
      </c>
      <c r="G298" s="50">
        <v>504520000</v>
      </c>
      <c r="H298" s="50">
        <v>0</v>
      </c>
      <c r="I298" s="50">
        <v>185867129.43000001</v>
      </c>
      <c r="J298" s="50">
        <v>7547816.2300000004</v>
      </c>
      <c r="K298" s="50">
        <v>301559523.01999998</v>
      </c>
      <c r="L298" s="50">
        <v>280959329.88999999</v>
      </c>
      <c r="M298" s="50">
        <v>9545531.3200000003</v>
      </c>
      <c r="N298" s="50">
        <v>9545531.3200000003</v>
      </c>
    </row>
    <row r="299" spans="1:14" hidden="1" x14ac:dyDescent="0.25">
      <c r="A299" s="49" t="s">
        <v>707</v>
      </c>
      <c r="B299" s="49" t="s">
        <v>166</v>
      </c>
      <c r="C299" s="49" t="s">
        <v>167</v>
      </c>
      <c r="D299" s="49" t="s">
        <v>69</v>
      </c>
      <c r="E299" s="50">
        <v>95028648</v>
      </c>
      <c r="F299" s="50">
        <v>95028648</v>
      </c>
      <c r="G299" s="50">
        <v>95028648</v>
      </c>
      <c r="H299" s="50">
        <v>0</v>
      </c>
      <c r="I299" s="50">
        <v>26641356.800000001</v>
      </c>
      <c r="J299" s="50">
        <v>139300</v>
      </c>
      <c r="K299" s="50">
        <v>68082812.469999999</v>
      </c>
      <c r="L299" s="50">
        <v>68082812.469999999</v>
      </c>
      <c r="M299" s="50">
        <v>165178.73000000001</v>
      </c>
      <c r="N299" s="50">
        <v>165178.73000000001</v>
      </c>
    </row>
    <row r="300" spans="1:14" hidden="1" x14ac:dyDescent="0.25">
      <c r="A300" s="49" t="s">
        <v>707</v>
      </c>
      <c r="B300" s="49" t="s">
        <v>312</v>
      </c>
      <c r="C300" s="49" t="s">
        <v>313</v>
      </c>
      <c r="D300" s="49" t="s">
        <v>69</v>
      </c>
      <c r="E300" s="50">
        <v>3000000</v>
      </c>
      <c r="F300" s="50">
        <v>3000000</v>
      </c>
      <c r="G300" s="50">
        <v>3000000</v>
      </c>
      <c r="H300" s="50">
        <v>2800479</v>
      </c>
      <c r="I300" s="50">
        <v>0</v>
      </c>
      <c r="J300" s="50">
        <v>0</v>
      </c>
      <c r="K300" s="50">
        <v>0</v>
      </c>
      <c r="L300" s="50">
        <v>0</v>
      </c>
      <c r="M300" s="50">
        <v>199521</v>
      </c>
      <c r="N300" s="50">
        <v>199521</v>
      </c>
    </row>
    <row r="301" spans="1:14" hidden="1" x14ac:dyDescent="0.25">
      <c r="A301" s="49" t="s">
        <v>707</v>
      </c>
      <c r="B301" s="49" t="s">
        <v>168</v>
      </c>
      <c r="C301" s="49" t="s">
        <v>169</v>
      </c>
      <c r="D301" s="49" t="s">
        <v>69</v>
      </c>
      <c r="E301" s="50">
        <v>16864852</v>
      </c>
      <c r="F301" s="50">
        <v>11257762</v>
      </c>
      <c r="G301" s="50">
        <v>11257762</v>
      </c>
      <c r="H301" s="50">
        <v>0</v>
      </c>
      <c r="I301" s="50">
        <v>4808896.76</v>
      </c>
      <c r="J301" s="50">
        <v>545731.54</v>
      </c>
      <c r="K301" s="50">
        <v>5892242.25</v>
      </c>
      <c r="L301" s="50">
        <v>5265312.25</v>
      </c>
      <c r="M301" s="50">
        <v>10891.45</v>
      </c>
      <c r="N301" s="50">
        <v>10891.45</v>
      </c>
    </row>
    <row r="302" spans="1:14" hidden="1" x14ac:dyDescent="0.25">
      <c r="A302" s="49" t="s">
        <v>707</v>
      </c>
      <c r="B302" s="49" t="s">
        <v>170</v>
      </c>
      <c r="C302" s="49" t="s">
        <v>171</v>
      </c>
      <c r="D302" s="49" t="s">
        <v>69</v>
      </c>
      <c r="E302" s="50">
        <v>40562000</v>
      </c>
      <c r="F302" s="50">
        <v>24844258</v>
      </c>
      <c r="G302" s="50">
        <v>24844258</v>
      </c>
      <c r="H302" s="50">
        <v>0</v>
      </c>
      <c r="I302" s="50">
        <v>18862201.129999999</v>
      </c>
      <c r="J302" s="50">
        <v>0</v>
      </c>
      <c r="K302" s="50">
        <v>3768024.01</v>
      </c>
      <c r="L302" s="50">
        <v>0</v>
      </c>
      <c r="M302" s="50">
        <v>2214032.86</v>
      </c>
      <c r="N302" s="50">
        <v>2214032.86</v>
      </c>
    </row>
    <row r="303" spans="1:14" hidden="1" x14ac:dyDescent="0.25">
      <c r="A303" s="49" t="s">
        <v>707</v>
      </c>
      <c r="B303" s="49" t="s">
        <v>172</v>
      </c>
      <c r="C303" s="49" t="s">
        <v>173</v>
      </c>
      <c r="D303" s="49" t="s">
        <v>69</v>
      </c>
      <c r="E303" s="50">
        <v>151632508</v>
      </c>
      <c r="F303" s="50">
        <v>167018427</v>
      </c>
      <c r="G303" s="50">
        <v>167018427</v>
      </c>
      <c r="H303" s="50">
        <v>0</v>
      </c>
      <c r="I303" s="50">
        <v>85435566.090000004</v>
      </c>
      <c r="J303" s="50">
        <v>1445000</v>
      </c>
      <c r="K303" s="50">
        <v>60063138.780000001</v>
      </c>
      <c r="L303" s="50">
        <v>60063138.780000001</v>
      </c>
      <c r="M303" s="50">
        <v>20074722.129999999</v>
      </c>
      <c r="N303" s="50">
        <v>20074722.129999999</v>
      </c>
    </row>
    <row r="304" spans="1:14" hidden="1" x14ac:dyDescent="0.25">
      <c r="A304" s="49" t="s">
        <v>707</v>
      </c>
      <c r="B304" s="49" t="s">
        <v>164</v>
      </c>
      <c r="C304" s="49" t="s">
        <v>165</v>
      </c>
      <c r="D304" s="49" t="s">
        <v>85</v>
      </c>
      <c r="E304" s="50">
        <v>0</v>
      </c>
      <c r="F304" s="50">
        <v>0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50">
        <v>0</v>
      </c>
      <c r="M304" s="50">
        <v>0</v>
      </c>
      <c r="N304" s="50">
        <v>0</v>
      </c>
    </row>
    <row r="305" spans="1:14" hidden="1" x14ac:dyDescent="0.25">
      <c r="A305" s="49" t="s">
        <v>707</v>
      </c>
      <c r="B305" s="49" t="s">
        <v>174</v>
      </c>
      <c r="C305" s="49" t="s">
        <v>175</v>
      </c>
      <c r="D305" s="49" t="s">
        <v>69</v>
      </c>
      <c r="E305" s="50">
        <v>18000000</v>
      </c>
      <c r="F305" s="50">
        <v>18000000</v>
      </c>
      <c r="G305" s="50">
        <v>18000000</v>
      </c>
      <c r="H305" s="50">
        <v>0</v>
      </c>
      <c r="I305" s="50">
        <v>1328634</v>
      </c>
      <c r="J305" s="50">
        <v>0</v>
      </c>
      <c r="K305" s="50">
        <v>221366</v>
      </c>
      <c r="L305" s="50">
        <v>221366</v>
      </c>
      <c r="M305" s="50">
        <v>16450000</v>
      </c>
      <c r="N305" s="50">
        <v>16450000</v>
      </c>
    </row>
    <row r="306" spans="1:14" hidden="1" x14ac:dyDescent="0.25">
      <c r="A306" s="49" t="s">
        <v>707</v>
      </c>
      <c r="B306" s="49" t="s">
        <v>176</v>
      </c>
      <c r="C306" s="49" t="s">
        <v>177</v>
      </c>
      <c r="D306" s="49" t="s">
        <v>69</v>
      </c>
      <c r="E306" s="50">
        <v>18000000</v>
      </c>
      <c r="F306" s="50">
        <v>18000000</v>
      </c>
      <c r="G306" s="50">
        <v>18000000</v>
      </c>
      <c r="H306" s="50">
        <v>0</v>
      </c>
      <c r="I306" s="50">
        <v>1328634</v>
      </c>
      <c r="J306" s="50">
        <v>0</v>
      </c>
      <c r="K306" s="50">
        <v>221366</v>
      </c>
      <c r="L306" s="50">
        <v>221366</v>
      </c>
      <c r="M306" s="50">
        <v>16450000</v>
      </c>
      <c r="N306" s="50">
        <v>16450000</v>
      </c>
    </row>
    <row r="307" spans="1:14" hidden="1" x14ac:dyDescent="0.25">
      <c r="A307" s="49" t="s">
        <v>707</v>
      </c>
      <c r="B307" s="49" t="s">
        <v>178</v>
      </c>
      <c r="C307" s="49" t="s">
        <v>179</v>
      </c>
      <c r="D307" s="49" t="s">
        <v>69</v>
      </c>
      <c r="E307" s="50">
        <v>36890625</v>
      </c>
      <c r="F307" s="50">
        <v>33335625</v>
      </c>
      <c r="G307" s="50">
        <v>22069079.27</v>
      </c>
      <c r="H307" s="50">
        <v>0</v>
      </c>
      <c r="I307" s="50">
        <v>6690668.4000000004</v>
      </c>
      <c r="J307" s="50">
        <v>0</v>
      </c>
      <c r="K307" s="50">
        <v>2713436.77</v>
      </c>
      <c r="L307" s="50">
        <v>2713436.77</v>
      </c>
      <c r="M307" s="50">
        <v>23931519.829999998</v>
      </c>
      <c r="N307" s="50">
        <v>12664974.1</v>
      </c>
    </row>
    <row r="308" spans="1:14" hidden="1" x14ac:dyDescent="0.25">
      <c r="A308" s="49" t="s">
        <v>707</v>
      </c>
      <c r="B308" s="49" t="s">
        <v>348</v>
      </c>
      <c r="C308" s="49" t="s">
        <v>349</v>
      </c>
      <c r="D308" s="49" t="s">
        <v>69</v>
      </c>
      <c r="E308" s="50">
        <v>3000000</v>
      </c>
      <c r="F308" s="50">
        <v>5000000</v>
      </c>
      <c r="G308" s="50">
        <v>5000000</v>
      </c>
      <c r="H308" s="50">
        <v>0</v>
      </c>
      <c r="I308" s="50">
        <v>2078562.3</v>
      </c>
      <c r="J308" s="50">
        <v>0</v>
      </c>
      <c r="K308" s="50">
        <v>2713436.77</v>
      </c>
      <c r="L308" s="50">
        <v>2713436.77</v>
      </c>
      <c r="M308" s="50">
        <v>208000.93</v>
      </c>
      <c r="N308" s="50">
        <v>208000.93</v>
      </c>
    </row>
    <row r="309" spans="1:14" hidden="1" x14ac:dyDescent="0.25">
      <c r="A309" s="49" t="s">
        <v>707</v>
      </c>
      <c r="B309" s="49" t="s">
        <v>180</v>
      </c>
      <c r="C309" s="49" t="s">
        <v>181</v>
      </c>
      <c r="D309" s="49" t="s">
        <v>69</v>
      </c>
      <c r="E309" s="50">
        <v>19500000</v>
      </c>
      <c r="F309" s="50">
        <v>13945000</v>
      </c>
      <c r="G309" s="50">
        <v>2678454.27</v>
      </c>
      <c r="H309" s="50">
        <v>0</v>
      </c>
      <c r="I309" s="50">
        <v>1426615.85</v>
      </c>
      <c r="J309" s="50">
        <v>0</v>
      </c>
      <c r="K309" s="50">
        <v>0</v>
      </c>
      <c r="L309" s="50">
        <v>0</v>
      </c>
      <c r="M309" s="50">
        <v>12518384.15</v>
      </c>
      <c r="N309" s="50">
        <v>1251838.42</v>
      </c>
    </row>
    <row r="310" spans="1:14" hidden="1" x14ac:dyDescent="0.25">
      <c r="A310" s="49" t="s">
        <v>707</v>
      </c>
      <c r="B310" s="49" t="s">
        <v>182</v>
      </c>
      <c r="C310" s="49" t="s">
        <v>183</v>
      </c>
      <c r="D310" s="49" t="s">
        <v>69</v>
      </c>
      <c r="E310" s="50">
        <v>14390625</v>
      </c>
      <c r="F310" s="50">
        <v>14390625</v>
      </c>
      <c r="G310" s="50">
        <v>14390625</v>
      </c>
      <c r="H310" s="50">
        <v>0</v>
      </c>
      <c r="I310" s="50">
        <v>3185490.25</v>
      </c>
      <c r="J310" s="50">
        <v>0</v>
      </c>
      <c r="K310" s="50">
        <v>0</v>
      </c>
      <c r="L310" s="50">
        <v>0</v>
      </c>
      <c r="M310" s="50">
        <v>11205134.75</v>
      </c>
      <c r="N310" s="50">
        <v>11205134.75</v>
      </c>
    </row>
    <row r="311" spans="1:14" hidden="1" x14ac:dyDescent="0.25">
      <c r="A311" s="49" t="s">
        <v>707</v>
      </c>
      <c r="B311" s="49" t="s">
        <v>184</v>
      </c>
      <c r="C311" s="49" t="s">
        <v>185</v>
      </c>
      <c r="D311" s="49" t="s">
        <v>69</v>
      </c>
      <c r="E311" s="50">
        <v>5938711949</v>
      </c>
      <c r="F311" s="50">
        <v>5607355253</v>
      </c>
      <c r="G311" s="50">
        <v>5395933675.5500002</v>
      </c>
      <c r="H311" s="50">
        <v>26202326.640000001</v>
      </c>
      <c r="I311" s="50">
        <v>1147477919.8199999</v>
      </c>
      <c r="J311" s="50">
        <v>195014718.83000001</v>
      </c>
      <c r="K311" s="50">
        <v>3758184568.5</v>
      </c>
      <c r="L311" s="50">
        <v>2824907951.3000002</v>
      </c>
      <c r="M311" s="50">
        <v>480475719.20999998</v>
      </c>
      <c r="N311" s="50">
        <v>269054141.75999999</v>
      </c>
    </row>
    <row r="312" spans="1:14" hidden="1" x14ac:dyDescent="0.25">
      <c r="A312" s="49" t="s">
        <v>707</v>
      </c>
      <c r="B312" s="49" t="s">
        <v>186</v>
      </c>
      <c r="C312" s="49" t="s">
        <v>187</v>
      </c>
      <c r="D312" s="49" t="s">
        <v>69</v>
      </c>
      <c r="E312" s="50">
        <v>1018969461</v>
      </c>
      <c r="F312" s="50">
        <v>1024605450</v>
      </c>
      <c r="G312" s="50">
        <v>867253786</v>
      </c>
      <c r="H312" s="50">
        <v>0</v>
      </c>
      <c r="I312" s="50">
        <v>115924394.43000001</v>
      </c>
      <c r="J312" s="50">
        <v>5722442</v>
      </c>
      <c r="K312" s="50">
        <v>619898443.22000003</v>
      </c>
      <c r="L312" s="50">
        <v>602435961.14999998</v>
      </c>
      <c r="M312" s="50">
        <v>283060170.35000002</v>
      </c>
      <c r="N312" s="50">
        <v>125708506.34999999</v>
      </c>
    </row>
    <row r="313" spans="1:14" hidden="1" x14ac:dyDescent="0.25">
      <c r="A313" s="49" t="s">
        <v>707</v>
      </c>
      <c r="B313" s="49" t="s">
        <v>188</v>
      </c>
      <c r="C313" s="49" t="s">
        <v>189</v>
      </c>
      <c r="D313" s="49" t="s">
        <v>69</v>
      </c>
      <c r="E313" s="50">
        <v>735778133</v>
      </c>
      <c r="F313" s="50">
        <v>749681315</v>
      </c>
      <c r="G313" s="50">
        <v>592329957</v>
      </c>
      <c r="H313" s="50">
        <v>0</v>
      </c>
      <c r="I313" s="50">
        <v>88380875.629999995</v>
      </c>
      <c r="J313" s="50">
        <v>4675000</v>
      </c>
      <c r="K313" s="50">
        <v>393836038.44</v>
      </c>
      <c r="L313" s="50">
        <v>376373556.37</v>
      </c>
      <c r="M313" s="50">
        <v>262789400.93000001</v>
      </c>
      <c r="N313" s="50">
        <v>105438042.93000001</v>
      </c>
    </row>
    <row r="314" spans="1:14" hidden="1" x14ac:dyDescent="0.25">
      <c r="A314" s="49" t="s">
        <v>707</v>
      </c>
      <c r="B314" s="49" t="s">
        <v>190</v>
      </c>
      <c r="C314" s="49" t="s">
        <v>191</v>
      </c>
      <c r="D314" s="49" t="s">
        <v>69</v>
      </c>
      <c r="E314" s="50">
        <v>224830540</v>
      </c>
      <c r="F314" s="50">
        <v>220146790</v>
      </c>
      <c r="G314" s="50">
        <v>220146790</v>
      </c>
      <c r="H314" s="50">
        <v>0</v>
      </c>
      <c r="I314" s="50">
        <v>25977601</v>
      </c>
      <c r="J314" s="50">
        <v>0</v>
      </c>
      <c r="K314" s="50">
        <v>186909564.38</v>
      </c>
      <c r="L314" s="50">
        <v>186909564.38</v>
      </c>
      <c r="M314" s="50">
        <v>7259624.6200000001</v>
      </c>
      <c r="N314" s="50">
        <v>7259624.6200000001</v>
      </c>
    </row>
    <row r="315" spans="1:14" hidden="1" x14ac:dyDescent="0.25">
      <c r="A315" s="49" t="s">
        <v>707</v>
      </c>
      <c r="B315" s="49" t="s">
        <v>350</v>
      </c>
      <c r="C315" s="49" t="s">
        <v>351</v>
      </c>
      <c r="D315" s="49" t="s">
        <v>69</v>
      </c>
      <c r="E315" s="50">
        <v>12909188</v>
      </c>
      <c r="F315" s="50">
        <v>12909188</v>
      </c>
      <c r="G315" s="50">
        <v>12909188</v>
      </c>
      <c r="H315" s="50">
        <v>0</v>
      </c>
      <c r="I315" s="50">
        <v>120975</v>
      </c>
      <c r="J315" s="50">
        <v>0</v>
      </c>
      <c r="K315" s="50">
        <v>2016114.92</v>
      </c>
      <c r="L315" s="50">
        <v>2016114.92</v>
      </c>
      <c r="M315" s="50">
        <v>10772098.08</v>
      </c>
      <c r="N315" s="50">
        <v>10772098.08</v>
      </c>
    </row>
    <row r="316" spans="1:14" hidden="1" x14ac:dyDescent="0.25">
      <c r="A316" s="49" t="s">
        <v>707</v>
      </c>
      <c r="B316" s="49" t="s">
        <v>192</v>
      </c>
      <c r="C316" s="49" t="s">
        <v>193</v>
      </c>
      <c r="D316" s="49" t="s">
        <v>69</v>
      </c>
      <c r="E316" s="50">
        <v>40465200</v>
      </c>
      <c r="F316" s="50">
        <v>36881757</v>
      </c>
      <c r="G316" s="50">
        <v>36881451</v>
      </c>
      <c r="H316" s="50">
        <v>0</v>
      </c>
      <c r="I316" s="50">
        <v>1444942.8</v>
      </c>
      <c r="J316" s="50">
        <v>1047442</v>
      </c>
      <c r="K316" s="50">
        <v>34137152.119999997</v>
      </c>
      <c r="L316" s="50">
        <v>34137152.119999997</v>
      </c>
      <c r="M316" s="50">
        <v>252220.08</v>
      </c>
      <c r="N316" s="50">
        <v>251914.08</v>
      </c>
    </row>
    <row r="317" spans="1:14" hidden="1" x14ac:dyDescent="0.25">
      <c r="A317" s="49" t="s">
        <v>707</v>
      </c>
      <c r="B317" s="49" t="s">
        <v>194</v>
      </c>
      <c r="C317" s="49" t="s">
        <v>195</v>
      </c>
      <c r="D317" s="49" t="s">
        <v>69</v>
      </c>
      <c r="E317" s="50">
        <v>4986400</v>
      </c>
      <c r="F317" s="50">
        <v>4986400</v>
      </c>
      <c r="G317" s="50">
        <v>4986400</v>
      </c>
      <c r="H317" s="50">
        <v>0</v>
      </c>
      <c r="I317" s="50">
        <v>0</v>
      </c>
      <c r="J317" s="50">
        <v>0</v>
      </c>
      <c r="K317" s="50">
        <v>2999573.36</v>
      </c>
      <c r="L317" s="50">
        <v>2999573.36</v>
      </c>
      <c r="M317" s="50">
        <v>1986826.64</v>
      </c>
      <c r="N317" s="50">
        <v>1986826.64</v>
      </c>
    </row>
    <row r="318" spans="1:14" hidden="1" x14ac:dyDescent="0.25">
      <c r="A318" s="49" t="s">
        <v>707</v>
      </c>
      <c r="B318" s="49" t="s">
        <v>196</v>
      </c>
      <c r="C318" s="49" t="s">
        <v>197</v>
      </c>
      <c r="D318" s="49" t="s">
        <v>69</v>
      </c>
      <c r="E318" s="50">
        <v>1012911000</v>
      </c>
      <c r="F318" s="50">
        <v>1012911000</v>
      </c>
      <c r="G318" s="50">
        <v>1012900892.55</v>
      </c>
      <c r="H318" s="50">
        <v>0</v>
      </c>
      <c r="I318" s="50">
        <v>137357295.16</v>
      </c>
      <c r="J318" s="50">
        <v>36937802.990000002</v>
      </c>
      <c r="K318" s="50">
        <v>833555854.23000002</v>
      </c>
      <c r="L318" s="50">
        <v>788626085.23000002</v>
      </c>
      <c r="M318" s="50">
        <v>5060047.62</v>
      </c>
      <c r="N318" s="50">
        <v>5049940.17</v>
      </c>
    </row>
    <row r="319" spans="1:14" hidden="1" x14ac:dyDescent="0.25">
      <c r="A319" s="49" t="s">
        <v>707</v>
      </c>
      <c r="B319" s="49" t="s">
        <v>198</v>
      </c>
      <c r="C319" s="49" t="s">
        <v>199</v>
      </c>
      <c r="D319" s="49" t="s">
        <v>69</v>
      </c>
      <c r="E319" s="50">
        <v>987000000</v>
      </c>
      <c r="F319" s="50">
        <v>987000000</v>
      </c>
      <c r="G319" s="50">
        <v>987000000</v>
      </c>
      <c r="H319" s="50">
        <v>0</v>
      </c>
      <c r="I319" s="50">
        <v>125138124.91</v>
      </c>
      <c r="J319" s="50">
        <v>36937802.990000002</v>
      </c>
      <c r="K319" s="50">
        <v>819875254.98000002</v>
      </c>
      <c r="L319" s="50">
        <v>774945485.98000002</v>
      </c>
      <c r="M319" s="50">
        <v>5048817.12</v>
      </c>
      <c r="N319" s="50">
        <v>5048817.12</v>
      </c>
    </row>
    <row r="320" spans="1:14" hidden="1" x14ac:dyDescent="0.25">
      <c r="A320" s="49" t="s">
        <v>707</v>
      </c>
      <c r="B320" s="49" t="s">
        <v>352</v>
      </c>
      <c r="C320" s="49" t="s">
        <v>353</v>
      </c>
      <c r="D320" s="49" t="s">
        <v>69</v>
      </c>
      <c r="E320" s="50">
        <v>25911000</v>
      </c>
      <c r="F320" s="50">
        <v>25911000</v>
      </c>
      <c r="G320" s="50">
        <v>25900892.550000001</v>
      </c>
      <c r="H320" s="50">
        <v>0</v>
      </c>
      <c r="I320" s="50">
        <v>12219170.25</v>
      </c>
      <c r="J320" s="50">
        <v>0</v>
      </c>
      <c r="K320" s="50">
        <v>13680599.25</v>
      </c>
      <c r="L320" s="50">
        <v>13680599.25</v>
      </c>
      <c r="M320" s="50">
        <v>11230.5</v>
      </c>
      <c r="N320" s="50">
        <v>1123.05</v>
      </c>
    </row>
    <row r="321" spans="1:14" hidden="1" x14ac:dyDescent="0.25">
      <c r="A321" s="49" t="s">
        <v>707</v>
      </c>
      <c r="B321" s="49" t="s">
        <v>200</v>
      </c>
      <c r="C321" s="49" t="s">
        <v>201</v>
      </c>
      <c r="D321" s="49" t="s">
        <v>69</v>
      </c>
      <c r="E321" s="50">
        <v>492133633</v>
      </c>
      <c r="F321" s="50">
        <v>532279085</v>
      </c>
      <c r="G321" s="50">
        <v>531798290</v>
      </c>
      <c r="H321" s="50">
        <v>0</v>
      </c>
      <c r="I321" s="50">
        <v>95783331.700000003</v>
      </c>
      <c r="J321" s="50">
        <v>19624639.780000001</v>
      </c>
      <c r="K321" s="50">
        <v>400050222.38</v>
      </c>
      <c r="L321" s="50">
        <v>375575270.45999998</v>
      </c>
      <c r="M321" s="50">
        <v>16820891.140000001</v>
      </c>
      <c r="N321" s="50">
        <v>16340096.140000001</v>
      </c>
    </row>
    <row r="322" spans="1:14" hidden="1" x14ac:dyDescent="0.25">
      <c r="A322" s="49" t="s">
        <v>707</v>
      </c>
      <c r="B322" s="49" t="s">
        <v>314</v>
      </c>
      <c r="C322" s="49" t="s">
        <v>315</v>
      </c>
      <c r="D322" s="49" t="s">
        <v>69</v>
      </c>
      <c r="E322" s="50">
        <v>116502163</v>
      </c>
      <c r="F322" s="50">
        <v>138638873</v>
      </c>
      <c r="G322" s="50">
        <v>138638873</v>
      </c>
      <c r="H322" s="50">
        <v>0</v>
      </c>
      <c r="I322" s="50">
        <v>22776710.98</v>
      </c>
      <c r="J322" s="50">
        <v>5589893.7999999998</v>
      </c>
      <c r="K322" s="50">
        <v>103410140.13</v>
      </c>
      <c r="L322" s="50">
        <v>85138235.909999996</v>
      </c>
      <c r="M322" s="50">
        <v>6862128.0899999999</v>
      </c>
      <c r="N322" s="50">
        <v>6862128.0899999999</v>
      </c>
    </row>
    <row r="323" spans="1:14" hidden="1" x14ac:dyDescent="0.25">
      <c r="A323" s="49" t="s">
        <v>707</v>
      </c>
      <c r="B323" s="49" t="s">
        <v>316</v>
      </c>
      <c r="C323" s="49" t="s">
        <v>317</v>
      </c>
      <c r="D323" s="49" t="s">
        <v>69</v>
      </c>
      <c r="E323" s="50">
        <v>100168000</v>
      </c>
      <c r="F323" s="50">
        <v>100168000</v>
      </c>
      <c r="G323" s="50">
        <v>100168000</v>
      </c>
      <c r="H323" s="50">
        <v>0</v>
      </c>
      <c r="I323" s="50">
        <v>16846473</v>
      </c>
      <c r="J323" s="50">
        <v>1428000</v>
      </c>
      <c r="K323" s="50">
        <v>80079070.760000005</v>
      </c>
      <c r="L323" s="50">
        <v>76044970.760000005</v>
      </c>
      <c r="M323" s="50">
        <v>1814456.24</v>
      </c>
      <c r="N323" s="50">
        <v>1814456.24</v>
      </c>
    </row>
    <row r="324" spans="1:14" hidden="1" x14ac:dyDescent="0.25">
      <c r="A324" s="49" t="s">
        <v>707</v>
      </c>
      <c r="B324" s="49" t="s">
        <v>318</v>
      </c>
      <c r="C324" s="49" t="s">
        <v>319</v>
      </c>
      <c r="D324" s="49" t="s">
        <v>69</v>
      </c>
      <c r="E324" s="50">
        <v>88546837</v>
      </c>
      <c r="F324" s="50">
        <v>124611598</v>
      </c>
      <c r="G324" s="50">
        <v>124589535</v>
      </c>
      <c r="H324" s="50">
        <v>0</v>
      </c>
      <c r="I324" s="50">
        <v>17759667.600000001</v>
      </c>
      <c r="J324" s="50">
        <v>0</v>
      </c>
      <c r="K324" s="50">
        <v>106729563.36</v>
      </c>
      <c r="L324" s="50">
        <v>106729563.36</v>
      </c>
      <c r="M324" s="50">
        <v>122367.03999999999</v>
      </c>
      <c r="N324" s="50">
        <v>100304.04</v>
      </c>
    </row>
    <row r="325" spans="1:14" hidden="1" x14ac:dyDescent="0.25">
      <c r="A325" s="49" t="s">
        <v>707</v>
      </c>
      <c r="B325" s="49" t="s">
        <v>202</v>
      </c>
      <c r="C325" s="49" t="s">
        <v>203</v>
      </c>
      <c r="D325" s="49" t="s">
        <v>69</v>
      </c>
      <c r="E325" s="50">
        <v>110456300</v>
      </c>
      <c r="F325" s="50">
        <v>105456300</v>
      </c>
      <c r="G325" s="50">
        <v>105456299</v>
      </c>
      <c r="H325" s="50">
        <v>0</v>
      </c>
      <c r="I325" s="50">
        <v>34462435.770000003</v>
      </c>
      <c r="J325" s="50">
        <v>772759.46</v>
      </c>
      <c r="K325" s="50">
        <v>65667613.549999997</v>
      </c>
      <c r="L325" s="50">
        <v>64515564.149999999</v>
      </c>
      <c r="M325" s="50">
        <v>4553491.22</v>
      </c>
      <c r="N325" s="50">
        <v>4553490.22</v>
      </c>
    </row>
    <row r="326" spans="1:14" hidden="1" x14ac:dyDescent="0.25">
      <c r="A326" s="49" t="s">
        <v>707</v>
      </c>
      <c r="B326" s="49" t="s">
        <v>320</v>
      </c>
      <c r="C326" s="49" t="s">
        <v>321</v>
      </c>
      <c r="D326" s="49" t="s">
        <v>69</v>
      </c>
      <c r="E326" s="50">
        <v>2261183</v>
      </c>
      <c r="F326" s="50">
        <v>1140592</v>
      </c>
      <c r="G326" s="50">
        <v>1091036</v>
      </c>
      <c r="H326" s="50">
        <v>0</v>
      </c>
      <c r="I326" s="50">
        <v>0</v>
      </c>
      <c r="J326" s="50">
        <v>0</v>
      </c>
      <c r="K326" s="50">
        <v>1016898.3</v>
      </c>
      <c r="L326" s="50">
        <v>0</v>
      </c>
      <c r="M326" s="50">
        <v>123693.7</v>
      </c>
      <c r="N326" s="50">
        <v>74137.7</v>
      </c>
    </row>
    <row r="327" spans="1:14" hidden="1" x14ac:dyDescent="0.25">
      <c r="A327" s="49" t="s">
        <v>707</v>
      </c>
      <c r="B327" s="49" t="s">
        <v>204</v>
      </c>
      <c r="C327" s="49" t="s">
        <v>205</v>
      </c>
      <c r="D327" s="49" t="s">
        <v>69</v>
      </c>
      <c r="E327" s="50">
        <v>51120350</v>
      </c>
      <c r="F327" s="50">
        <v>39184922</v>
      </c>
      <c r="G327" s="50">
        <v>39184922</v>
      </c>
      <c r="H327" s="50">
        <v>0</v>
      </c>
      <c r="I327" s="50">
        <v>434275.95</v>
      </c>
      <c r="J327" s="50">
        <v>11833986.52</v>
      </c>
      <c r="K327" s="50">
        <v>24397936.649999999</v>
      </c>
      <c r="L327" s="50">
        <v>24397936.649999999</v>
      </c>
      <c r="M327" s="50">
        <v>2518722.88</v>
      </c>
      <c r="N327" s="50">
        <v>2518722.88</v>
      </c>
    </row>
    <row r="328" spans="1:14" hidden="1" x14ac:dyDescent="0.25">
      <c r="A328" s="49" t="s">
        <v>707</v>
      </c>
      <c r="B328" s="49" t="s">
        <v>322</v>
      </c>
      <c r="C328" s="49" t="s">
        <v>323</v>
      </c>
      <c r="D328" s="49" t="s">
        <v>69</v>
      </c>
      <c r="E328" s="50">
        <v>23078800</v>
      </c>
      <c r="F328" s="50">
        <v>23078800</v>
      </c>
      <c r="G328" s="50">
        <v>22669625</v>
      </c>
      <c r="H328" s="50">
        <v>0</v>
      </c>
      <c r="I328" s="50">
        <v>3503768.4</v>
      </c>
      <c r="J328" s="50">
        <v>0</v>
      </c>
      <c r="K328" s="50">
        <v>18748999.629999999</v>
      </c>
      <c r="L328" s="50">
        <v>18748999.629999999</v>
      </c>
      <c r="M328" s="50">
        <v>826031.97</v>
      </c>
      <c r="N328" s="50">
        <v>416856.97</v>
      </c>
    </row>
    <row r="329" spans="1:14" hidden="1" x14ac:dyDescent="0.25">
      <c r="A329" s="49" t="s">
        <v>707</v>
      </c>
      <c r="B329" s="49" t="s">
        <v>206</v>
      </c>
      <c r="C329" s="49" t="s">
        <v>207</v>
      </c>
      <c r="D329" s="49" t="s">
        <v>69</v>
      </c>
      <c r="E329" s="50">
        <v>144803139</v>
      </c>
      <c r="F329" s="50">
        <v>148458599</v>
      </c>
      <c r="G329" s="50">
        <v>147229775</v>
      </c>
      <c r="H329" s="50">
        <v>0</v>
      </c>
      <c r="I329" s="50">
        <v>23344130.640000001</v>
      </c>
      <c r="J329" s="50">
        <v>29243236.350000001</v>
      </c>
      <c r="K329" s="50">
        <v>69958566.379999995</v>
      </c>
      <c r="L329" s="50">
        <v>69685512.200000003</v>
      </c>
      <c r="M329" s="50">
        <v>25912665.629999999</v>
      </c>
      <c r="N329" s="50">
        <v>24683841.629999999</v>
      </c>
    </row>
    <row r="330" spans="1:14" hidden="1" x14ac:dyDescent="0.25">
      <c r="A330" s="49" t="s">
        <v>707</v>
      </c>
      <c r="B330" s="49" t="s">
        <v>208</v>
      </c>
      <c r="C330" s="49" t="s">
        <v>209</v>
      </c>
      <c r="D330" s="49" t="s">
        <v>69</v>
      </c>
      <c r="E330" s="50">
        <v>17162500</v>
      </c>
      <c r="F330" s="50">
        <v>22627960</v>
      </c>
      <c r="G330" s="50">
        <v>22413980</v>
      </c>
      <c r="H330" s="50">
        <v>0</v>
      </c>
      <c r="I330" s="50">
        <v>782.09</v>
      </c>
      <c r="J330" s="50">
        <v>0</v>
      </c>
      <c r="K330" s="50">
        <v>16190004.48</v>
      </c>
      <c r="L330" s="50">
        <v>15919950.300000001</v>
      </c>
      <c r="M330" s="50">
        <v>6437173.4299999997</v>
      </c>
      <c r="N330" s="50">
        <v>6223193.4299999997</v>
      </c>
    </row>
    <row r="331" spans="1:14" hidden="1" x14ac:dyDescent="0.25">
      <c r="A331" s="49" t="s">
        <v>707</v>
      </c>
      <c r="B331" s="49" t="s">
        <v>210</v>
      </c>
      <c r="C331" s="49" t="s">
        <v>211</v>
      </c>
      <c r="D331" s="49" t="s">
        <v>69</v>
      </c>
      <c r="E331" s="50">
        <v>127640639</v>
      </c>
      <c r="F331" s="50">
        <v>125830639</v>
      </c>
      <c r="G331" s="50">
        <v>124815795</v>
      </c>
      <c r="H331" s="50">
        <v>0</v>
      </c>
      <c r="I331" s="50">
        <v>23343348.550000001</v>
      </c>
      <c r="J331" s="50">
        <v>29243236.350000001</v>
      </c>
      <c r="K331" s="50">
        <v>53768561.899999999</v>
      </c>
      <c r="L331" s="50">
        <v>53765561.899999999</v>
      </c>
      <c r="M331" s="50">
        <v>19475492.199999999</v>
      </c>
      <c r="N331" s="50">
        <v>18460648.199999999</v>
      </c>
    </row>
    <row r="332" spans="1:14" hidden="1" x14ac:dyDescent="0.25">
      <c r="A332" s="49" t="s">
        <v>707</v>
      </c>
      <c r="B332" s="49" t="s">
        <v>212</v>
      </c>
      <c r="C332" s="49" t="s">
        <v>213</v>
      </c>
      <c r="D332" s="49" t="s">
        <v>69</v>
      </c>
      <c r="E332" s="50">
        <v>3269894716</v>
      </c>
      <c r="F332" s="50">
        <v>2889101119</v>
      </c>
      <c r="G332" s="50">
        <v>2836750932</v>
      </c>
      <c r="H332" s="50">
        <v>26202326.640000001</v>
      </c>
      <c r="I332" s="50">
        <v>775068767.88999999</v>
      </c>
      <c r="J332" s="50">
        <v>103486597.70999999</v>
      </c>
      <c r="K332" s="50">
        <v>1834721482.29</v>
      </c>
      <c r="L332" s="50">
        <v>988585122.25999999</v>
      </c>
      <c r="M332" s="50">
        <v>149621944.47</v>
      </c>
      <c r="N332" s="50">
        <v>97271757.469999999</v>
      </c>
    </row>
    <row r="333" spans="1:14" hidden="1" x14ac:dyDescent="0.25">
      <c r="A333" s="49" t="s">
        <v>707</v>
      </c>
      <c r="B333" s="49" t="s">
        <v>214</v>
      </c>
      <c r="C333" s="49" t="s">
        <v>215</v>
      </c>
      <c r="D333" s="49" t="s">
        <v>69</v>
      </c>
      <c r="E333" s="50">
        <v>34070136</v>
      </c>
      <c r="F333" s="50">
        <v>14603063</v>
      </c>
      <c r="G333" s="50">
        <v>14603063</v>
      </c>
      <c r="H333" s="50">
        <v>0</v>
      </c>
      <c r="I333" s="50">
        <v>2632528.2599999998</v>
      </c>
      <c r="J333" s="50">
        <v>0</v>
      </c>
      <c r="K333" s="50">
        <v>11319225.75</v>
      </c>
      <c r="L333" s="50">
        <v>11319225.75</v>
      </c>
      <c r="M333" s="50">
        <v>651308.99</v>
      </c>
      <c r="N333" s="50">
        <v>651308.99</v>
      </c>
    </row>
    <row r="334" spans="1:14" hidden="1" x14ac:dyDescent="0.25">
      <c r="A334" s="49" t="s">
        <v>707</v>
      </c>
      <c r="B334" s="49" t="s">
        <v>216</v>
      </c>
      <c r="C334" s="49" t="s">
        <v>217</v>
      </c>
      <c r="D334" s="49" t="s">
        <v>69</v>
      </c>
      <c r="E334" s="50">
        <v>26479307</v>
      </c>
      <c r="F334" s="50">
        <v>26479307</v>
      </c>
      <c r="G334" s="50">
        <v>26479307</v>
      </c>
      <c r="H334" s="50">
        <v>367855.77</v>
      </c>
      <c r="I334" s="50">
        <v>7582844.5499999998</v>
      </c>
      <c r="J334" s="50">
        <v>9040662.5600000005</v>
      </c>
      <c r="K334" s="50">
        <v>8783550.6600000001</v>
      </c>
      <c r="L334" s="50">
        <v>6984477.6600000001</v>
      </c>
      <c r="M334" s="50">
        <v>704393.46</v>
      </c>
      <c r="N334" s="50">
        <v>704393.46</v>
      </c>
    </row>
    <row r="335" spans="1:14" hidden="1" x14ac:dyDescent="0.25">
      <c r="A335" s="49" t="s">
        <v>707</v>
      </c>
      <c r="B335" s="49" t="s">
        <v>218</v>
      </c>
      <c r="C335" s="49" t="s">
        <v>219</v>
      </c>
      <c r="D335" s="49" t="s">
        <v>69</v>
      </c>
      <c r="E335" s="50">
        <v>140601000</v>
      </c>
      <c r="F335" s="50">
        <v>120972732</v>
      </c>
      <c r="G335" s="50">
        <v>81947267</v>
      </c>
      <c r="H335" s="50">
        <v>0</v>
      </c>
      <c r="I335" s="50">
        <v>9298152</v>
      </c>
      <c r="J335" s="50">
        <v>0</v>
      </c>
      <c r="K335" s="50">
        <v>58483260.600000001</v>
      </c>
      <c r="L335" s="50">
        <v>58214038.609999999</v>
      </c>
      <c r="M335" s="50">
        <v>53191319.399999999</v>
      </c>
      <c r="N335" s="50">
        <v>14165854.4</v>
      </c>
    </row>
    <row r="336" spans="1:14" hidden="1" x14ac:dyDescent="0.25">
      <c r="A336" s="49" t="s">
        <v>707</v>
      </c>
      <c r="B336" s="49" t="s">
        <v>220</v>
      </c>
      <c r="C336" s="49" t="s">
        <v>221</v>
      </c>
      <c r="D336" s="49" t="s">
        <v>69</v>
      </c>
      <c r="E336" s="50">
        <v>1260371675</v>
      </c>
      <c r="F336" s="50">
        <v>1239367145</v>
      </c>
      <c r="G336" s="50">
        <v>1238685978</v>
      </c>
      <c r="H336" s="50">
        <v>13836663</v>
      </c>
      <c r="I336" s="50">
        <v>564847293.13</v>
      </c>
      <c r="J336" s="50">
        <v>1931367.75</v>
      </c>
      <c r="K336" s="50">
        <v>601695804.50999999</v>
      </c>
      <c r="L336" s="50">
        <v>130096451.90000001</v>
      </c>
      <c r="M336" s="50">
        <v>57056016.609999999</v>
      </c>
      <c r="N336" s="50">
        <v>56374849.609999999</v>
      </c>
    </row>
    <row r="337" spans="1:14" hidden="1" x14ac:dyDescent="0.25">
      <c r="A337" s="49" t="s">
        <v>707</v>
      </c>
      <c r="B337" s="49" t="s">
        <v>222</v>
      </c>
      <c r="C337" s="49" t="s">
        <v>223</v>
      </c>
      <c r="D337" s="49" t="s">
        <v>69</v>
      </c>
      <c r="E337" s="50">
        <v>291010979</v>
      </c>
      <c r="F337" s="50">
        <v>313668508</v>
      </c>
      <c r="G337" s="50">
        <v>313668508</v>
      </c>
      <c r="H337" s="50">
        <v>5474950</v>
      </c>
      <c r="I337" s="50">
        <v>39686413.600000001</v>
      </c>
      <c r="J337" s="50">
        <v>38508456.539999999</v>
      </c>
      <c r="K337" s="50">
        <v>229954170.03999999</v>
      </c>
      <c r="L337" s="50">
        <v>227856032.84</v>
      </c>
      <c r="M337" s="50">
        <v>44517.82</v>
      </c>
      <c r="N337" s="50">
        <v>44517.82</v>
      </c>
    </row>
    <row r="338" spans="1:14" hidden="1" x14ac:dyDescent="0.25">
      <c r="A338" s="49" t="s">
        <v>707</v>
      </c>
      <c r="B338" s="49" t="s">
        <v>224</v>
      </c>
      <c r="C338" s="49" t="s">
        <v>225</v>
      </c>
      <c r="D338" s="49" t="s">
        <v>69</v>
      </c>
      <c r="E338" s="50">
        <v>1243089320</v>
      </c>
      <c r="F338" s="50">
        <v>899738065</v>
      </c>
      <c r="G338" s="50">
        <v>887095368</v>
      </c>
      <c r="H338" s="50">
        <v>4523731.87</v>
      </c>
      <c r="I338" s="50">
        <v>85213627.430000007</v>
      </c>
      <c r="J338" s="50">
        <v>54006110.859999999</v>
      </c>
      <c r="K338" s="50">
        <v>718820247.65999997</v>
      </c>
      <c r="L338" s="50">
        <v>348449672.43000001</v>
      </c>
      <c r="M338" s="50">
        <v>37174347.18</v>
      </c>
      <c r="N338" s="50">
        <v>24531650.18</v>
      </c>
    </row>
    <row r="339" spans="1:14" hidden="1" x14ac:dyDescent="0.25">
      <c r="A339" s="49" t="s">
        <v>707</v>
      </c>
      <c r="B339" s="49" t="s">
        <v>226</v>
      </c>
      <c r="C339" s="49" t="s">
        <v>227</v>
      </c>
      <c r="D339" s="49" t="s">
        <v>69</v>
      </c>
      <c r="E339" s="50">
        <v>90632447</v>
      </c>
      <c r="F339" s="50">
        <v>90632447</v>
      </c>
      <c r="G339" s="50">
        <v>90632447</v>
      </c>
      <c r="H339" s="50">
        <v>0</v>
      </c>
      <c r="I339" s="50">
        <v>4164190.25</v>
      </c>
      <c r="J339" s="50">
        <v>0</v>
      </c>
      <c r="K339" s="50">
        <v>86313998.739999995</v>
      </c>
      <c r="L339" s="50">
        <v>86313998.739999995</v>
      </c>
      <c r="M339" s="50">
        <v>154258.01</v>
      </c>
      <c r="N339" s="50">
        <v>154258.01</v>
      </c>
    </row>
    <row r="340" spans="1:14" hidden="1" x14ac:dyDescent="0.25">
      <c r="A340" s="49" t="s">
        <v>707</v>
      </c>
      <c r="B340" s="49" t="s">
        <v>228</v>
      </c>
      <c r="C340" s="49" t="s">
        <v>229</v>
      </c>
      <c r="D340" s="49" t="s">
        <v>69</v>
      </c>
      <c r="E340" s="50">
        <v>183639852</v>
      </c>
      <c r="F340" s="50">
        <v>183639852</v>
      </c>
      <c r="G340" s="50">
        <v>183638994</v>
      </c>
      <c r="H340" s="50">
        <v>1999126</v>
      </c>
      <c r="I340" s="50">
        <v>61643718.670000002</v>
      </c>
      <c r="J340" s="50">
        <v>0</v>
      </c>
      <c r="K340" s="50">
        <v>119351224.33</v>
      </c>
      <c r="L340" s="50">
        <v>119351224.33</v>
      </c>
      <c r="M340" s="50">
        <v>645783</v>
      </c>
      <c r="N340" s="50">
        <v>644925</v>
      </c>
    </row>
    <row r="341" spans="1:14" hidden="1" x14ac:dyDescent="0.25">
      <c r="A341" s="49" t="s">
        <v>707</v>
      </c>
      <c r="B341" s="49" t="s">
        <v>248</v>
      </c>
      <c r="C341" s="49" t="s">
        <v>249</v>
      </c>
      <c r="D341" s="49" t="s">
        <v>69</v>
      </c>
      <c r="E341" s="50">
        <v>13160774264</v>
      </c>
      <c r="F341" s="50">
        <v>13151348647</v>
      </c>
      <c r="G341" s="50">
        <v>13151348647</v>
      </c>
      <c r="H341" s="50">
        <v>0</v>
      </c>
      <c r="I341" s="50">
        <v>1146752164.97</v>
      </c>
      <c r="J341" s="50">
        <v>0</v>
      </c>
      <c r="K341" s="50">
        <v>9942424413.7099991</v>
      </c>
      <c r="L341" s="50">
        <v>9942424413.7099991</v>
      </c>
      <c r="M341" s="50">
        <v>2062172068.3199999</v>
      </c>
      <c r="N341" s="50">
        <v>2062172068.3199999</v>
      </c>
    </row>
    <row r="342" spans="1:14" hidden="1" x14ac:dyDescent="0.25">
      <c r="A342" s="49" t="s">
        <v>707</v>
      </c>
      <c r="B342" s="49" t="s">
        <v>250</v>
      </c>
      <c r="C342" s="49" t="s">
        <v>251</v>
      </c>
      <c r="D342" s="49" t="s">
        <v>69</v>
      </c>
      <c r="E342" s="50">
        <v>11073271142</v>
      </c>
      <c r="F342" s="50">
        <v>11063845525</v>
      </c>
      <c r="G342" s="50">
        <v>11063845525</v>
      </c>
      <c r="H342" s="50">
        <v>0</v>
      </c>
      <c r="I342" s="50">
        <v>858944685.98000002</v>
      </c>
      <c r="J342" s="50">
        <v>0</v>
      </c>
      <c r="K342" s="50">
        <v>8925400355.0200005</v>
      </c>
      <c r="L342" s="50">
        <v>8925400355.0200005</v>
      </c>
      <c r="M342" s="50">
        <v>1279500484</v>
      </c>
      <c r="N342" s="50">
        <v>1279500484</v>
      </c>
    </row>
    <row r="343" spans="1:14" hidden="1" x14ac:dyDescent="0.25">
      <c r="A343" s="49" t="s">
        <v>707</v>
      </c>
      <c r="B343" s="49" t="s">
        <v>621</v>
      </c>
      <c r="C343" s="49" t="s">
        <v>708</v>
      </c>
      <c r="D343" s="49" t="s">
        <v>69</v>
      </c>
      <c r="E343" s="50">
        <v>44000000</v>
      </c>
      <c r="F343" s="50">
        <v>44000000</v>
      </c>
      <c r="G343" s="50">
        <v>44000000</v>
      </c>
      <c r="H343" s="50">
        <v>0</v>
      </c>
      <c r="I343" s="50">
        <v>19000000</v>
      </c>
      <c r="J343" s="50">
        <v>0</v>
      </c>
      <c r="K343" s="50">
        <v>25000000</v>
      </c>
      <c r="L343" s="50">
        <v>25000000</v>
      </c>
      <c r="M343" s="50">
        <v>0</v>
      </c>
      <c r="N343" s="50">
        <v>0</v>
      </c>
    </row>
    <row r="344" spans="1:14" hidden="1" x14ac:dyDescent="0.25">
      <c r="A344" s="49" t="s">
        <v>707</v>
      </c>
      <c r="B344" s="49" t="s">
        <v>629</v>
      </c>
      <c r="C344" s="49" t="s">
        <v>702</v>
      </c>
      <c r="D344" s="49" t="s">
        <v>69</v>
      </c>
      <c r="E344" s="50">
        <v>540115935</v>
      </c>
      <c r="F344" s="50">
        <v>532109838</v>
      </c>
      <c r="G344" s="50">
        <v>532109838</v>
      </c>
      <c r="H344" s="50">
        <v>0</v>
      </c>
      <c r="I344" s="50">
        <v>96086142</v>
      </c>
      <c r="J344" s="50">
        <v>0</v>
      </c>
      <c r="K344" s="50">
        <v>431275239</v>
      </c>
      <c r="L344" s="50">
        <v>431275239</v>
      </c>
      <c r="M344" s="50">
        <v>4748457</v>
      </c>
      <c r="N344" s="50">
        <v>4748457</v>
      </c>
    </row>
    <row r="345" spans="1:14" hidden="1" x14ac:dyDescent="0.25">
      <c r="A345" s="49" t="s">
        <v>707</v>
      </c>
      <c r="B345" s="49" t="s">
        <v>644</v>
      </c>
      <c r="C345" s="49" t="s">
        <v>703</v>
      </c>
      <c r="D345" s="49" t="s">
        <v>69</v>
      </c>
      <c r="E345" s="50">
        <v>95765207</v>
      </c>
      <c r="F345" s="50">
        <v>94345687</v>
      </c>
      <c r="G345" s="50">
        <v>94345687</v>
      </c>
      <c r="H345" s="50">
        <v>0</v>
      </c>
      <c r="I345" s="50">
        <v>15027216</v>
      </c>
      <c r="J345" s="50">
        <v>0</v>
      </c>
      <c r="K345" s="50">
        <v>78476546</v>
      </c>
      <c r="L345" s="50">
        <v>78476546</v>
      </c>
      <c r="M345" s="50">
        <v>841925</v>
      </c>
      <c r="N345" s="50">
        <v>841925</v>
      </c>
    </row>
    <row r="346" spans="1:14" hidden="1" x14ac:dyDescent="0.25">
      <c r="A346" s="49" t="s">
        <v>707</v>
      </c>
      <c r="B346" s="49" t="s">
        <v>655</v>
      </c>
      <c r="C346" s="49" t="s">
        <v>709</v>
      </c>
      <c r="D346" s="49" t="s">
        <v>69</v>
      </c>
      <c r="E346" s="50">
        <v>10393390000</v>
      </c>
      <c r="F346" s="50">
        <v>10393390000</v>
      </c>
      <c r="G346" s="50">
        <v>10393390000</v>
      </c>
      <c r="H346" s="50">
        <v>0</v>
      </c>
      <c r="I346" s="50">
        <v>728831327.98000002</v>
      </c>
      <c r="J346" s="50">
        <v>0</v>
      </c>
      <c r="K346" s="50">
        <v>8390648570.0200005</v>
      </c>
      <c r="L346" s="50">
        <v>8390648570.0200005</v>
      </c>
      <c r="M346" s="50">
        <v>1273910102</v>
      </c>
      <c r="N346" s="50">
        <v>1273910102</v>
      </c>
    </row>
    <row r="347" spans="1:14" hidden="1" x14ac:dyDescent="0.25">
      <c r="A347" s="49" t="s">
        <v>707</v>
      </c>
      <c r="B347" s="49" t="s">
        <v>366</v>
      </c>
      <c r="C347" s="49" t="s">
        <v>367</v>
      </c>
      <c r="D347" s="49" t="s">
        <v>69</v>
      </c>
      <c r="E347" s="50">
        <v>666000000</v>
      </c>
      <c r="F347" s="50">
        <v>666000000</v>
      </c>
      <c r="G347" s="50">
        <v>666000000</v>
      </c>
      <c r="H347" s="50">
        <v>0</v>
      </c>
      <c r="I347" s="50">
        <v>149850000</v>
      </c>
      <c r="J347" s="50">
        <v>0</v>
      </c>
      <c r="K347" s="50">
        <v>499500000</v>
      </c>
      <c r="L347" s="50">
        <v>499500000</v>
      </c>
      <c r="M347" s="50">
        <v>16650000</v>
      </c>
      <c r="N347" s="50">
        <v>16650000</v>
      </c>
    </row>
    <row r="348" spans="1:14" hidden="1" x14ac:dyDescent="0.25">
      <c r="A348" s="49" t="s">
        <v>707</v>
      </c>
      <c r="B348" s="49" t="s">
        <v>368</v>
      </c>
      <c r="C348" s="49" t="s">
        <v>369</v>
      </c>
      <c r="D348" s="49" t="s">
        <v>69</v>
      </c>
      <c r="E348" s="50">
        <v>666000000</v>
      </c>
      <c r="F348" s="50">
        <v>666000000</v>
      </c>
      <c r="G348" s="50">
        <v>666000000</v>
      </c>
      <c r="H348" s="50">
        <v>0</v>
      </c>
      <c r="I348" s="50">
        <v>149850000</v>
      </c>
      <c r="J348" s="50">
        <v>0</v>
      </c>
      <c r="K348" s="50">
        <v>499500000</v>
      </c>
      <c r="L348" s="50">
        <v>499500000</v>
      </c>
      <c r="M348" s="50">
        <v>16650000</v>
      </c>
      <c r="N348" s="50">
        <v>16650000</v>
      </c>
    </row>
    <row r="349" spans="1:14" hidden="1" x14ac:dyDescent="0.25">
      <c r="A349" s="49" t="s">
        <v>707</v>
      </c>
      <c r="B349" s="49" t="s">
        <v>260</v>
      </c>
      <c r="C349" s="49" t="s">
        <v>261</v>
      </c>
      <c r="D349" s="49" t="s">
        <v>69</v>
      </c>
      <c r="E349" s="50">
        <v>1271503122</v>
      </c>
      <c r="F349" s="50">
        <v>1271503122</v>
      </c>
      <c r="G349" s="50">
        <v>1271503122</v>
      </c>
      <c r="H349" s="50">
        <v>0</v>
      </c>
      <c r="I349" s="50">
        <v>83755776.890000001</v>
      </c>
      <c r="J349" s="50">
        <v>0</v>
      </c>
      <c r="K349" s="50">
        <v>493968578.47000003</v>
      </c>
      <c r="L349" s="50">
        <v>493968578.47000003</v>
      </c>
      <c r="M349" s="50">
        <v>693778766.63999999</v>
      </c>
      <c r="N349" s="50">
        <v>693778766.63999999</v>
      </c>
    </row>
    <row r="350" spans="1:14" hidden="1" x14ac:dyDescent="0.25">
      <c r="A350" s="49" t="s">
        <v>707</v>
      </c>
      <c r="B350" s="49" t="s">
        <v>262</v>
      </c>
      <c r="C350" s="49" t="s">
        <v>263</v>
      </c>
      <c r="D350" s="49" t="s">
        <v>69</v>
      </c>
      <c r="E350" s="50">
        <v>1000003122</v>
      </c>
      <c r="F350" s="50">
        <v>1000003122</v>
      </c>
      <c r="G350" s="50">
        <v>1000003122</v>
      </c>
      <c r="H350" s="50">
        <v>0</v>
      </c>
      <c r="I350" s="50">
        <v>83755776.890000001</v>
      </c>
      <c r="J350" s="50">
        <v>0</v>
      </c>
      <c r="K350" s="50">
        <v>366245003.11000001</v>
      </c>
      <c r="L350" s="50">
        <v>366245003.11000001</v>
      </c>
      <c r="M350" s="50">
        <v>550002342</v>
      </c>
      <c r="N350" s="50">
        <v>550002342</v>
      </c>
    </row>
    <row r="351" spans="1:14" hidden="1" x14ac:dyDescent="0.25">
      <c r="A351" s="49" t="s">
        <v>707</v>
      </c>
      <c r="B351" s="49" t="s">
        <v>264</v>
      </c>
      <c r="C351" s="49" t="s">
        <v>265</v>
      </c>
      <c r="D351" s="49" t="s">
        <v>69</v>
      </c>
      <c r="E351" s="50">
        <v>271500000</v>
      </c>
      <c r="F351" s="50">
        <v>271500000</v>
      </c>
      <c r="G351" s="50">
        <v>271500000</v>
      </c>
      <c r="H351" s="50">
        <v>0</v>
      </c>
      <c r="I351" s="50">
        <v>0</v>
      </c>
      <c r="J351" s="50">
        <v>0</v>
      </c>
      <c r="K351" s="50">
        <v>127723575.36</v>
      </c>
      <c r="L351" s="50">
        <v>127723575.36</v>
      </c>
      <c r="M351" s="50">
        <v>143776424.63999999</v>
      </c>
      <c r="N351" s="50">
        <v>143776424.63999999</v>
      </c>
    </row>
    <row r="352" spans="1:14" hidden="1" x14ac:dyDescent="0.25">
      <c r="A352" s="49" t="s">
        <v>707</v>
      </c>
      <c r="B352" s="49" t="s">
        <v>286</v>
      </c>
      <c r="C352" s="49" t="s">
        <v>287</v>
      </c>
      <c r="D352" s="49" t="s">
        <v>69</v>
      </c>
      <c r="E352" s="50">
        <v>150000000</v>
      </c>
      <c r="F352" s="50">
        <v>150000000</v>
      </c>
      <c r="G352" s="50">
        <v>150000000</v>
      </c>
      <c r="H352" s="50">
        <v>0</v>
      </c>
      <c r="I352" s="50">
        <v>54201702.100000001</v>
      </c>
      <c r="J352" s="50">
        <v>0</v>
      </c>
      <c r="K352" s="50">
        <v>23555480.219999999</v>
      </c>
      <c r="L352" s="50">
        <v>23555480.219999999</v>
      </c>
      <c r="M352" s="50">
        <v>72242817.680000007</v>
      </c>
      <c r="N352" s="50">
        <v>72242817.680000007</v>
      </c>
    </row>
    <row r="353" spans="1:14" hidden="1" x14ac:dyDescent="0.25">
      <c r="A353" s="49" t="s">
        <v>707</v>
      </c>
      <c r="B353" s="49" t="s">
        <v>288</v>
      </c>
      <c r="C353" s="49" t="s">
        <v>289</v>
      </c>
      <c r="D353" s="49" t="s">
        <v>69</v>
      </c>
      <c r="E353" s="50">
        <v>100000000</v>
      </c>
      <c r="F353" s="50">
        <v>100000000</v>
      </c>
      <c r="G353" s="50">
        <v>100000000</v>
      </c>
      <c r="H353" s="50">
        <v>0</v>
      </c>
      <c r="I353" s="50">
        <v>47368336.640000001</v>
      </c>
      <c r="J353" s="50">
        <v>0</v>
      </c>
      <c r="K353" s="50">
        <v>2888845.68</v>
      </c>
      <c r="L353" s="50">
        <v>2888845.68</v>
      </c>
      <c r="M353" s="50">
        <v>49742817.68</v>
      </c>
      <c r="N353" s="50">
        <v>49742817.68</v>
      </c>
    </row>
    <row r="354" spans="1:14" hidden="1" x14ac:dyDescent="0.25">
      <c r="A354" s="49" t="s">
        <v>707</v>
      </c>
      <c r="B354" s="49" t="s">
        <v>370</v>
      </c>
      <c r="C354" s="49" t="s">
        <v>371</v>
      </c>
      <c r="D354" s="49" t="s">
        <v>69</v>
      </c>
      <c r="E354" s="50">
        <v>50000000</v>
      </c>
      <c r="F354" s="50">
        <v>50000000</v>
      </c>
      <c r="G354" s="50">
        <v>50000000</v>
      </c>
      <c r="H354" s="50">
        <v>0</v>
      </c>
      <c r="I354" s="50">
        <v>6833365.46</v>
      </c>
      <c r="J354" s="50">
        <v>0</v>
      </c>
      <c r="K354" s="50">
        <v>20666634.539999999</v>
      </c>
      <c r="L354" s="50">
        <v>20666634.539999999</v>
      </c>
      <c r="M354" s="50">
        <v>22500000</v>
      </c>
      <c r="N354" s="50">
        <v>22500000</v>
      </c>
    </row>
    <row r="355" spans="1:14" hidden="1" x14ac:dyDescent="0.25">
      <c r="A355" s="49" t="s">
        <v>707</v>
      </c>
      <c r="B355" s="49" t="s">
        <v>230</v>
      </c>
      <c r="C355" s="49" t="s">
        <v>231</v>
      </c>
      <c r="D355" s="49" t="s">
        <v>85</v>
      </c>
      <c r="E355" s="50">
        <v>2053989952</v>
      </c>
      <c r="F355" s="50">
        <v>2052989131</v>
      </c>
      <c r="G355" s="50">
        <v>1885172702.24</v>
      </c>
      <c r="H355" s="50">
        <v>90899469.329999998</v>
      </c>
      <c r="I355" s="50">
        <v>426701231.42000002</v>
      </c>
      <c r="J355" s="50">
        <v>45037069.079999998</v>
      </c>
      <c r="K355" s="50">
        <v>928396899.49000001</v>
      </c>
      <c r="L355" s="50">
        <v>879654295.13</v>
      </c>
      <c r="M355" s="50">
        <v>561954461.67999995</v>
      </c>
      <c r="N355" s="50">
        <v>394138032.92000002</v>
      </c>
    </row>
    <row r="356" spans="1:14" hidden="1" x14ac:dyDescent="0.25">
      <c r="A356" s="49" t="s">
        <v>707</v>
      </c>
      <c r="B356" s="49" t="s">
        <v>232</v>
      </c>
      <c r="C356" s="49" t="s">
        <v>233</v>
      </c>
      <c r="D356" s="49" t="s">
        <v>85</v>
      </c>
      <c r="E356" s="50">
        <v>1511257014</v>
      </c>
      <c r="F356" s="50">
        <v>1463751731</v>
      </c>
      <c r="G356" s="50">
        <v>1296761440.8800001</v>
      </c>
      <c r="H356" s="50">
        <v>1134500</v>
      </c>
      <c r="I356" s="50">
        <v>223795167.18000001</v>
      </c>
      <c r="J356" s="50">
        <v>45037069.079999998</v>
      </c>
      <c r="K356" s="50">
        <v>922376265.74000001</v>
      </c>
      <c r="L356" s="50">
        <v>873633661.38</v>
      </c>
      <c r="M356" s="50">
        <v>271408729</v>
      </c>
      <c r="N356" s="50">
        <v>104418438.88</v>
      </c>
    </row>
    <row r="357" spans="1:14" hidden="1" x14ac:dyDescent="0.25">
      <c r="A357" s="49" t="s">
        <v>707</v>
      </c>
      <c r="B357" s="49" t="s">
        <v>234</v>
      </c>
      <c r="C357" s="49" t="s">
        <v>235</v>
      </c>
      <c r="D357" s="49" t="s">
        <v>85</v>
      </c>
      <c r="E357" s="50">
        <v>46000000</v>
      </c>
      <c r="F357" s="50">
        <v>46000000</v>
      </c>
      <c r="G357" s="50">
        <v>38692637.880000003</v>
      </c>
      <c r="H357" s="50">
        <v>0</v>
      </c>
      <c r="I357" s="50">
        <v>34130572.100000001</v>
      </c>
      <c r="J357" s="50">
        <v>0</v>
      </c>
      <c r="K357" s="50">
        <v>3750136.65</v>
      </c>
      <c r="L357" s="50">
        <v>3750136.65</v>
      </c>
      <c r="M357" s="50">
        <v>8119291.25</v>
      </c>
      <c r="N357" s="50">
        <v>811929.13</v>
      </c>
    </row>
    <row r="358" spans="1:14" hidden="1" x14ac:dyDescent="0.25">
      <c r="A358" s="49" t="s">
        <v>707</v>
      </c>
      <c r="B358" s="49" t="s">
        <v>324</v>
      </c>
      <c r="C358" s="49" t="s">
        <v>325</v>
      </c>
      <c r="D358" s="49" t="s">
        <v>85</v>
      </c>
      <c r="E358" s="50">
        <v>0</v>
      </c>
      <c r="F358" s="50">
        <v>815400</v>
      </c>
      <c r="G358" s="50">
        <v>815400</v>
      </c>
      <c r="H358" s="50">
        <v>0</v>
      </c>
      <c r="I358" s="50">
        <v>815400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</row>
    <row r="359" spans="1:14" hidden="1" x14ac:dyDescent="0.25">
      <c r="A359" s="49" t="s">
        <v>707</v>
      </c>
      <c r="B359" s="49" t="s">
        <v>236</v>
      </c>
      <c r="C359" s="49" t="s">
        <v>237</v>
      </c>
      <c r="D359" s="49" t="s">
        <v>85</v>
      </c>
      <c r="E359" s="50">
        <v>302703422</v>
      </c>
      <c r="F359" s="50">
        <v>287003422</v>
      </c>
      <c r="G359" s="50">
        <v>284269894</v>
      </c>
      <c r="H359" s="50">
        <v>0</v>
      </c>
      <c r="I359" s="50">
        <v>3718716.02</v>
      </c>
      <c r="J359" s="50">
        <v>0</v>
      </c>
      <c r="K359" s="50">
        <v>258615757.62</v>
      </c>
      <c r="L359" s="50">
        <v>258615757.62</v>
      </c>
      <c r="M359" s="50">
        <v>24668948.359999999</v>
      </c>
      <c r="N359" s="50">
        <v>21935420.359999999</v>
      </c>
    </row>
    <row r="360" spans="1:14" hidden="1" x14ac:dyDescent="0.25">
      <c r="A360" s="49" t="s">
        <v>707</v>
      </c>
      <c r="B360" s="49" t="s">
        <v>238</v>
      </c>
      <c r="C360" s="49" t="s">
        <v>239</v>
      </c>
      <c r="D360" s="49" t="s">
        <v>85</v>
      </c>
      <c r="E360" s="50">
        <v>68995579</v>
      </c>
      <c r="F360" s="50">
        <v>122129459</v>
      </c>
      <c r="G360" s="50">
        <v>122014297</v>
      </c>
      <c r="H360" s="50">
        <v>734500</v>
      </c>
      <c r="I360" s="50">
        <v>12461545.32</v>
      </c>
      <c r="J360" s="50">
        <v>34548750</v>
      </c>
      <c r="K360" s="50">
        <v>62113881.469999999</v>
      </c>
      <c r="L360" s="50">
        <v>54073931.469999999</v>
      </c>
      <c r="M360" s="50">
        <v>12270782.210000001</v>
      </c>
      <c r="N360" s="50">
        <v>12155620.210000001</v>
      </c>
    </row>
    <row r="361" spans="1:14" hidden="1" x14ac:dyDescent="0.25">
      <c r="A361" s="49" t="s">
        <v>707</v>
      </c>
      <c r="B361" s="49" t="s">
        <v>282</v>
      </c>
      <c r="C361" s="49" t="s">
        <v>283</v>
      </c>
      <c r="D361" s="49" t="s">
        <v>85</v>
      </c>
      <c r="E361" s="50">
        <v>100000000</v>
      </c>
      <c r="F361" s="50">
        <v>100000000</v>
      </c>
      <c r="G361" s="50">
        <v>100000000</v>
      </c>
      <c r="H361" s="50">
        <v>400000</v>
      </c>
      <c r="I361" s="50">
        <v>39796324.899999999</v>
      </c>
      <c r="J361" s="50">
        <v>0</v>
      </c>
      <c r="K361" s="50">
        <v>57151159.82</v>
      </c>
      <c r="L361" s="50">
        <v>50942100.170000002</v>
      </c>
      <c r="M361" s="50">
        <v>2652515.2799999998</v>
      </c>
      <c r="N361" s="50">
        <v>2652515.2799999998</v>
      </c>
    </row>
    <row r="362" spans="1:14" hidden="1" x14ac:dyDescent="0.25">
      <c r="A362" s="49" t="s">
        <v>707</v>
      </c>
      <c r="B362" s="49" t="s">
        <v>326</v>
      </c>
      <c r="C362" s="49" t="s">
        <v>327</v>
      </c>
      <c r="D362" s="49" t="s">
        <v>85</v>
      </c>
      <c r="E362" s="50">
        <v>1200000</v>
      </c>
      <c r="F362" s="50">
        <v>1200000</v>
      </c>
      <c r="G362" s="50">
        <v>1200000</v>
      </c>
      <c r="H362" s="50">
        <v>0</v>
      </c>
      <c r="I362" s="50">
        <v>0</v>
      </c>
      <c r="J362" s="50">
        <v>888319.08</v>
      </c>
      <c r="K362" s="50">
        <v>39000</v>
      </c>
      <c r="L362" s="50">
        <v>39000</v>
      </c>
      <c r="M362" s="50">
        <v>272680.92</v>
      </c>
      <c r="N362" s="50">
        <v>272680.92</v>
      </c>
    </row>
    <row r="363" spans="1:14" hidden="1" x14ac:dyDescent="0.25">
      <c r="A363" s="49" t="s">
        <v>707</v>
      </c>
      <c r="B363" s="49" t="s">
        <v>240</v>
      </c>
      <c r="C363" s="49" t="s">
        <v>241</v>
      </c>
      <c r="D363" s="49" t="s">
        <v>85</v>
      </c>
      <c r="E363" s="50">
        <v>2700000</v>
      </c>
      <c r="F363" s="50">
        <v>2700000</v>
      </c>
      <c r="G363" s="50">
        <v>2700000</v>
      </c>
      <c r="H363" s="50">
        <v>0</v>
      </c>
      <c r="I363" s="50">
        <v>2575676.65</v>
      </c>
      <c r="J363" s="50">
        <v>0</v>
      </c>
      <c r="K363" s="50">
        <v>0</v>
      </c>
      <c r="L363" s="50">
        <v>0</v>
      </c>
      <c r="M363" s="50">
        <v>124323.35</v>
      </c>
      <c r="N363" s="50">
        <v>124323.35</v>
      </c>
    </row>
    <row r="364" spans="1:14" hidden="1" x14ac:dyDescent="0.25">
      <c r="A364" s="49" t="s">
        <v>707</v>
      </c>
      <c r="B364" s="49" t="s">
        <v>242</v>
      </c>
      <c r="C364" s="49" t="s">
        <v>243</v>
      </c>
      <c r="D364" s="49" t="s">
        <v>85</v>
      </c>
      <c r="E364" s="50">
        <v>989658013</v>
      </c>
      <c r="F364" s="50">
        <v>903903450</v>
      </c>
      <c r="G364" s="50">
        <v>747069212</v>
      </c>
      <c r="H364" s="50">
        <v>0</v>
      </c>
      <c r="I364" s="50">
        <v>130296932.19</v>
      </c>
      <c r="J364" s="50">
        <v>9600000</v>
      </c>
      <c r="K364" s="50">
        <v>540706330.17999995</v>
      </c>
      <c r="L364" s="50">
        <v>506212735.47000003</v>
      </c>
      <c r="M364" s="50">
        <v>223300187.63</v>
      </c>
      <c r="N364" s="50">
        <v>66465949.630000003</v>
      </c>
    </row>
    <row r="365" spans="1:14" hidden="1" x14ac:dyDescent="0.25">
      <c r="A365" s="49" t="s">
        <v>707</v>
      </c>
      <c r="B365" s="49" t="s">
        <v>328</v>
      </c>
      <c r="C365" s="49" t="s">
        <v>329</v>
      </c>
      <c r="D365" s="49" t="s">
        <v>85</v>
      </c>
      <c r="E365" s="50">
        <v>94148000</v>
      </c>
      <c r="F365" s="50">
        <v>94148000</v>
      </c>
      <c r="G365" s="50">
        <v>93321861.359999999</v>
      </c>
      <c r="H365" s="50">
        <v>89764969.329999998</v>
      </c>
      <c r="I365" s="50">
        <v>0</v>
      </c>
      <c r="J365" s="50">
        <v>0</v>
      </c>
      <c r="K365" s="50">
        <v>3465098.52</v>
      </c>
      <c r="L365" s="50">
        <v>3465098.52</v>
      </c>
      <c r="M365" s="50">
        <v>917932.15</v>
      </c>
      <c r="N365" s="50">
        <v>91793.51</v>
      </c>
    </row>
    <row r="366" spans="1:14" hidden="1" x14ac:dyDescent="0.25">
      <c r="A366" s="49" t="s">
        <v>707</v>
      </c>
      <c r="B366" s="49" t="s">
        <v>330</v>
      </c>
      <c r="C366" s="49" t="s">
        <v>331</v>
      </c>
      <c r="D366" s="49" t="s">
        <v>85</v>
      </c>
      <c r="E366" s="50">
        <v>92800000</v>
      </c>
      <c r="F366" s="50">
        <v>92800000</v>
      </c>
      <c r="G366" s="50">
        <v>92800000</v>
      </c>
      <c r="H366" s="50">
        <v>89764969.329999998</v>
      </c>
      <c r="I366" s="50">
        <v>0</v>
      </c>
      <c r="J366" s="50">
        <v>0</v>
      </c>
      <c r="K366" s="50">
        <v>3035030.34</v>
      </c>
      <c r="L366" s="50">
        <v>3035030.34</v>
      </c>
      <c r="M366" s="50">
        <v>0.33</v>
      </c>
      <c r="N366" s="50">
        <v>0.33</v>
      </c>
    </row>
    <row r="367" spans="1:14" hidden="1" x14ac:dyDescent="0.25">
      <c r="A367" s="49" t="s">
        <v>707</v>
      </c>
      <c r="B367" s="49" t="s">
        <v>358</v>
      </c>
      <c r="C367" s="49" t="s">
        <v>359</v>
      </c>
      <c r="D367" s="49" t="s">
        <v>85</v>
      </c>
      <c r="E367" s="50">
        <v>1348000</v>
      </c>
      <c r="F367" s="50">
        <v>1348000</v>
      </c>
      <c r="G367" s="50">
        <v>521861.36</v>
      </c>
      <c r="H367" s="50">
        <v>0</v>
      </c>
      <c r="I367" s="50">
        <v>0</v>
      </c>
      <c r="J367" s="50">
        <v>0</v>
      </c>
      <c r="K367" s="50">
        <v>430068.18</v>
      </c>
      <c r="L367" s="50">
        <v>430068.18</v>
      </c>
      <c r="M367" s="50">
        <v>917931.82</v>
      </c>
      <c r="N367" s="50">
        <v>91793.18</v>
      </c>
    </row>
    <row r="368" spans="1:14" hidden="1" x14ac:dyDescent="0.25">
      <c r="A368" s="49" t="s">
        <v>707</v>
      </c>
      <c r="B368" s="49" t="s">
        <v>244</v>
      </c>
      <c r="C368" s="49" t="s">
        <v>245</v>
      </c>
      <c r="D368" s="49" t="s">
        <v>85</v>
      </c>
      <c r="E368" s="50">
        <v>448584938</v>
      </c>
      <c r="F368" s="50">
        <v>495089400</v>
      </c>
      <c r="G368" s="50">
        <v>495089400</v>
      </c>
      <c r="H368" s="50">
        <v>0</v>
      </c>
      <c r="I368" s="50">
        <v>202906064.24000001</v>
      </c>
      <c r="J368" s="50">
        <v>0</v>
      </c>
      <c r="K368" s="50">
        <v>2555535.23</v>
      </c>
      <c r="L368" s="50">
        <v>2555535.23</v>
      </c>
      <c r="M368" s="50">
        <v>289627800.52999997</v>
      </c>
      <c r="N368" s="50">
        <v>289627800.52999997</v>
      </c>
    </row>
    <row r="369" spans="1:14" hidden="1" x14ac:dyDescent="0.25">
      <c r="A369" s="49" t="s">
        <v>707</v>
      </c>
      <c r="B369" s="49" t="s">
        <v>246</v>
      </c>
      <c r="C369" s="49" t="s">
        <v>247</v>
      </c>
      <c r="D369" s="49" t="s">
        <v>85</v>
      </c>
      <c r="E369" s="50">
        <v>448584938</v>
      </c>
      <c r="F369" s="50">
        <v>495089400</v>
      </c>
      <c r="G369" s="50">
        <v>495089400</v>
      </c>
      <c r="H369" s="50">
        <v>0</v>
      </c>
      <c r="I369" s="50">
        <v>202906064.24000001</v>
      </c>
      <c r="J369" s="50">
        <v>0</v>
      </c>
      <c r="K369" s="50">
        <v>2555535.23</v>
      </c>
      <c r="L369" s="50">
        <v>2555535.23</v>
      </c>
      <c r="M369" s="50">
        <v>289627800.52999997</v>
      </c>
      <c r="N369" s="50">
        <v>289627800.52999997</v>
      </c>
    </row>
    <row r="370" spans="1:14" hidden="1" x14ac:dyDescent="0.25">
      <c r="A370" s="49" t="s">
        <v>707</v>
      </c>
      <c r="B370" s="49" t="s">
        <v>372</v>
      </c>
      <c r="C370" s="49" t="s">
        <v>373</v>
      </c>
      <c r="D370" s="49" t="s">
        <v>85</v>
      </c>
      <c r="E370" s="50">
        <v>581400000</v>
      </c>
      <c r="F370" s="50">
        <v>581400000</v>
      </c>
      <c r="G370" s="50">
        <v>581400000</v>
      </c>
      <c r="H370" s="50">
        <v>0</v>
      </c>
      <c r="I370" s="50">
        <v>463152406.95999998</v>
      </c>
      <c r="J370" s="50">
        <v>0</v>
      </c>
      <c r="K370" s="50">
        <v>118247593.04000001</v>
      </c>
      <c r="L370" s="50">
        <v>118247593.04000001</v>
      </c>
      <c r="M370" s="50">
        <v>0</v>
      </c>
      <c r="N370" s="50">
        <v>0</v>
      </c>
    </row>
    <row r="371" spans="1:14" hidden="1" x14ac:dyDescent="0.25">
      <c r="A371" s="49" t="s">
        <v>707</v>
      </c>
      <c r="B371" s="49" t="s">
        <v>374</v>
      </c>
      <c r="C371" s="49" t="s">
        <v>375</v>
      </c>
      <c r="D371" s="49" t="s">
        <v>85</v>
      </c>
      <c r="E371" s="50">
        <v>581400000</v>
      </c>
      <c r="F371" s="50">
        <v>581400000</v>
      </c>
      <c r="G371" s="50">
        <v>581400000</v>
      </c>
      <c r="H371" s="50">
        <v>0</v>
      </c>
      <c r="I371" s="50">
        <v>463152406.95999998</v>
      </c>
      <c r="J371" s="50">
        <v>0</v>
      </c>
      <c r="K371" s="50">
        <v>118247593.04000001</v>
      </c>
      <c r="L371" s="50">
        <v>118247593.04000001</v>
      </c>
      <c r="M371" s="50">
        <v>0</v>
      </c>
      <c r="N371" s="50">
        <v>0</v>
      </c>
    </row>
    <row r="372" spans="1:14" hidden="1" x14ac:dyDescent="0.25">
      <c r="A372" s="49" t="s">
        <v>707</v>
      </c>
      <c r="B372" s="49" t="s">
        <v>674</v>
      </c>
      <c r="C372" s="49" t="s">
        <v>710</v>
      </c>
      <c r="D372" s="49" t="s">
        <v>85</v>
      </c>
      <c r="E372" s="50">
        <v>581400000</v>
      </c>
      <c r="F372" s="50">
        <v>581400000</v>
      </c>
      <c r="G372" s="50">
        <v>581400000</v>
      </c>
      <c r="H372" s="50">
        <v>0</v>
      </c>
      <c r="I372" s="50">
        <v>463152406.95999998</v>
      </c>
      <c r="J372" s="50">
        <v>0</v>
      </c>
      <c r="K372" s="50">
        <v>118247593.04000001</v>
      </c>
      <c r="L372" s="50">
        <v>118247593.04000001</v>
      </c>
      <c r="M372" s="50">
        <v>0</v>
      </c>
      <c r="N372" s="50">
        <v>0</v>
      </c>
    </row>
    <row r="373" spans="1:14" x14ac:dyDescent="0.25">
      <c r="A373" s="49">
        <v>214789001</v>
      </c>
      <c r="B373" s="49"/>
      <c r="C373" s="49"/>
      <c r="D373" s="49" t="s">
        <v>69</v>
      </c>
      <c r="E373" s="50">
        <v>27896892306</v>
      </c>
      <c r="F373" s="50">
        <v>27565207857</v>
      </c>
      <c r="G373" s="50">
        <v>27451956452.720001</v>
      </c>
      <c r="H373" s="50">
        <v>903102960.88</v>
      </c>
      <c r="I373" s="50">
        <v>1308543194.1199999</v>
      </c>
      <c r="J373" s="50">
        <v>3981836.43</v>
      </c>
      <c r="K373" s="50">
        <v>18639840292.529999</v>
      </c>
      <c r="L373" s="50">
        <v>18617591489.009998</v>
      </c>
      <c r="M373" s="50">
        <v>6709739573.04</v>
      </c>
      <c r="N373" s="50">
        <v>6596488168.7600002</v>
      </c>
    </row>
    <row r="374" spans="1:14" hidden="1" x14ac:dyDescent="0.25">
      <c r="A374" s="49" t="s">
        <v>711</v>
      </c>
      <c r="B374" s="49" t="s">
        <v>71</v>
      </c>
      <c r="C374" s="49" t="s">
        <v>72</v>
      </c>
      <c r="D374" s="49" t="s">
        <v>69</v>
      </c>
      <c r="E374" s="50">
        <v>13888392480</v>
      </c>
      <c r="F374" s="50">
        <v>13554210603</v>
      </c>
      <c r="G374" s="50">
        <v>13510210603</v>
      </c>
      <c r="H374" s="50">
        <v>0</v>
      </c>
      <c r="I374" s="50">
        <v>583709331</v>
      </c>
      <c r="J374" s="50">
        <v>0</v>
      </c>
      <c r="K374" s="50">
        <v>9694843797.4099998</v>
      </c>
      <c r="L374" s="50">
        <v>9694843797.4099998</v>
      </c>
      <c r="M374" s="50">
        <v>3275657474.5900002</v>
      </c>
      <c r="N374" s="50">
        <v>3231657474.5900002</v>
      </c>
    </row>
    <row r="375" spans="1:14" hidden="1" x14ac:dyDescent="0.25">
      <c r="A375" s="49" t="s">
        <v>711</v>
      </c>
      <c r="B375" s="49" t="s">
        <v>73</v>
      </c>
      <c r="C375" s="49" t="s">
        <v>74</v>
      </c>
      <c r="D375" s="49" t="s">
        <v>69</v>
      </c>
      <c r="E375" s="50">
        <v>5229936552</v>
      </c>
      <c r="F375" s="50">
        <v>5032025148</v>
      </c>
      <c r="G375" s="50">
        <v>5032025148</v>
      </c>
      <c r="H375" s="50">
        <v>0</v>
      </c>
      <c r="I375" s="50">
        <v>0</v>
      </c>
      <c r="J375" s="50">
        <v>0</v>
      </c>
      <c r="K375" s="50">
        <v>3948339191.1500001</v>
      </c>
      <c r="L375" s="50">
        <v>3948339191.1500001</v>
      </c>
      <c r="M375" s="50">
        <v>1083685956.8499999</v>
      </c>
      <c r="N375" s="50">
        <v>1083685956.8499999</v>
      </c>
    </row>
    <row r="376" spans="1:14" hidden="1" x14ac:dyDescent="0.25">
      <c r="A376" s="49" t="s">
        <v>711</v>
      </c>
      <c r="B376" s="49" t="s">
        <v>75</v>
      </c>
      <c r="C376" s="49" t="s">
        <v>76</v>
      </c>
      <c r="D376" s="49" t="s">
        <v>69</v>
      </c>
      <c r="E376" s="50">
        <v>5229936552</v>
      </c>
      <c r="F376" s="50">
        <v>5032025148</v>
      </c>
      <c r="G376" s="50">
        <v>5032025148</v>
      </c>
      <c r="H376" s="50">
        <v>0</v>
      </c>
      <c r="I376" s="50">
        <v>0</v>
      </c>
      <c r="J376" s="50">
        <v>0</v>
      </c>
      <c r="K376" s="50">
        <v>3948339191.1500001</v>
      </c>
      <c r="L376" s="50">
        <v>3948339191.1500001</v>
      </c>
      <c r="M376" s="50">
        <v>1083685956.8499999</v>
      </c>
      <c r="N376" s="50">
        <v>1083685956.8499999</v>
      </c>
    </row>
    <row r="377" spans="1:14" hidden="1" x14ac:dyDescent="0.25">
      <c r="A377" s="49" t="s">
        <v>711</v>
      </c>
      <c r="B377" s="49" t="s">
        <v>293</v>
      </c>
      <c r="C377" s="49" t="s">
        <v>294</v>
      </c>
      <c r="D377" s="49" t="s">
        <v>69</v>
      </c>
      <c r="E377" s="50">
        <v>26335200</v>
      </c>
      <c r="F377" s="50">
        <v>26335200</v>
      </c>
      <c r="G377" s="50">
        <v>26335200</v>
      </c>
      <c r="H377" s="50">
        <v>0</v>
      </c>
      <c r="I377" s="50">
        <v>0</v>
      </c>
      <c r="J377" s="50">
        <v>0</v>
      </c>
      <c r="K377" s="50">
        <v>4199753.17</v>
      </c>
      <c r="L377" s="50">
        <v>4199753.17</v>
      </c>
      <c r="M377" s="50">
        <v>22135446.829999998</v>
      </c>
      <c r="N377" s="50">
        <v>22135446.829999998</v>
      </c>
    </row>
    <row r="378" spans="1:14" hidden="1" x14ac:dyDescent="0.25">
      <c r="A378" s="49" t="s">
        <v>711</v>
      </c>
      <c r="B378" s="49" t="s">
        <v>339</v>
      </c>
      <c r="C378" s="49" t="s">
        <v>340</v>
      </c>
      <c r="D378" s="49" t="s">
        <v>69</v>
      </c>
      <c r="E378" s="50">
        <v>26335200</v>
      </c>
      <c r="F378" s="50">
        <v>26335200</v>
      </c>
      <c r="G378" s="50">
        <v>26335200</v>
      </c>
      <c r="H378" s="50">
        <v>0</v>
      </c>
      <c r="I378" s="50">
        <v>0</v>
      </c>
      <c r="J378" s="50">
        <v>0</v>
      </c>
      <c r="K378" s="50">
        <v>4199753.17</v>
      </c>
      <c r="L378" s="50">
        <v>4199753.17</v>
      </c>
      <c r="M378" s="50">
        <v>22135446.829999998</v>
      </c>
      <c r="N378" s="50">
        <v>22135446.829999998</v>
      </c>
    </row>
    <row r="379" spans="1:14" hidden="1" x14ac:dyDescent="0.25">
      <c r="A379" s="49" t="s">
        <v>711</v>
      </c>
      <c r="B379" s="49" t="s">
        <v>77</v>
      </c>
      <c r="C379" s="49" t="s">
        <v>78</v>
      </c>
      <c r="D379" s="49" t="s">
        <v>69</v>
      </c>
      <c r="E379" s="50">
        <v>6513497315</v>
      </c>
      <c r="F379" s="50">
        <v>6428205068</v>
      </c>
      <c r="G379" s="50">
        <v>6408205068</v>
      </c>
      <c r="H379" s="50">
        <v>0</v>
      </c>
      <c r="I379" s="50">
        <v>0</v>
      </c>
      <c r="J379" s="50">
        <v>0</v>
      </c>
      <c r="K379" s="50">
        <v>4298229101.0900002</v>
      </c>
      <c r="L379" s="50">
        <v>4298229101.0900002</v>
      </c>
      <c r="M379" s="50">
        <v>2129975966.9100001</v>
      </c>
      <c r="N379" s="50">
        <v>2109975966.9100001</v>
      </c>
    </row>
    <row r="380" spans="1:14" hidden="1" x14ac:dyDescent="0.25">
      <c r="A380" s="49" t="s">
        <v>711</v>
      </c>
      <c r="B380" s="49" t="s">
        <v>79</v>
      </c>
      <c r="C380" s="49" t="s">
        <v>80</v>
      </c>
      <c r="D380" s="49" t="s">
        <v>69</v>
      </c>
      <c r="E380" s="50">
        <v>1819317700</v>
      </c>
      <c r="F380" s="50">
        <v>1819317700</v>
      </c>
      <c r="G380" s="50">
        <v>1818117700</v>
      </c>
      <c r="H380" s="50">
        <v>0</v>
      </c>
      <c r="I380" s="50">
        <v>0</v>
      </c>
      <c r="J380" s="50">
        <v>0</v>
      </c>
      <c r="K380" s="50">
        <v>1258549177.51</v>
      </c>
      <c r="L380" s="50">
        <v>1258549177.51</v>
      </c>
      <c r="M380" s="50">
        <v>560768522.49000001</v>
      </c>
      <c r="N380" s="50">
        <v>559568522.49000001</v>
      </c>
    </row>
    <row r="381" spans="1:14" hidden="1" x14ac:dyDescent="0.25">
      <c r="A381" s="49" t="s">
        <v>711</v>
      </c>
      <c r="B381" s="49" t="s">
        <v>81</v>
      </c>
      <c r="C381" s="49" t="s">
        <v>82</v>
      </c>
      <c r="D381" s="49" t="s">
        <v>69</v>
      </c>
      <c r="E381" s="50">
        <v>1750176673</v>
      </c>
      <c r="F381" s="50">
        <v>1705397775</v>
      </c>
      <c r="G381" s="50">
        <v>1704597775</v>
      </c>
      <c r="H381" s="50">
        <v>0</v>
      </c>
      <c r="I381" s="50">
        <v>0</v>
      </c>
      <c r="J381" s="50">
        <v>0</v>
      </c>
      <c r="K381" s="50">
        <v>1302321586.1800001</v>
      </c>
      <c r="L381" s="50">
        <v>1302321586.1800001</v>
      </c>
      <c r="M381" s="50">
        <v>403076188.81999999</v>
      </c>
      <c r="N381" s="50">
        <v>402276188.81999999</v>
      </c>
    </row>
    <row r="382" spans="1:14" hidden="1" x14ac:dyDescent="0.25">
      <c r="A382" s="49" t="s">
        <v>711</v>
      </c>
      <c r="B382" s="49" t="s">
        <v>86</v>
      </c>
      <c r="C382" s="49" t="s">
        <v>87</v>
      </c>
      <c r="D382" s="49" t="s">
        <v>69</v>
      </c>
      <c r="E382" s="50">
        <v>831593600</v>
      </c>
      <c r="F382" s="50">
        <v>831593600</v>
      </c>
      <c r="G382" s="50">
        <v>813593600</v>
      </c>
      <c r="H382" s="50">
        <v>0</v>
      </c>
      <c r="I382" s="50">
        <v>0</v>
      </c>
      <c r="J382" s="50">
        <v>0</v>
      </c>
      <c r="K382" s="50">
        <v>804861075</v>
      </c>
      <c r="L382" s="50">
        <v>804861075</v>
      </c>
      <c r="M382" s="50">
        <v>26732525</v>
      </c>
      <c r="N382" s="50">
        <v>8732525</v>
      </c>
    </row>
    <row r="383" spans="1:14" hidden="1" x14ac:dyDescent="0.25">
      <c r="A383" s="49" t="s">
        <v>711</v>
      </c>
      <c r="B383" s="49" t="s">
        <v>88</v>
      </c>
      <c r="C383" s="49" t="s">
        <v>89</v>
      </c>
      <c r="D383" s="49" t="s">
        <v>69</v>
      </c>
      <c r="E383" s="50">
        <v>1207376800</v>
      </c>
      <c r="F383" s="50">
        <v>1188640303</v>
      </c>
      <c r="G383" s="50">
        <v>1188640303</v>
      </c>
      <c r="H383" s="50">
        <v>0</v>
      </c>
      <c r="I383" s="50">
        <v>0</v>
      </c>
      <c r="J383" s="50">
        <v>0</v>
      </c>
      <c r="K383" s="50">
        <v>932108818.78999996</v>
      </c>
      <c r="L383" s="50">
        <v>932108818.78999996</v>
      </c>
      <c r="M383" s="50">
        <v>256531484.21000001</v>
      </c>
      <c r="N383" s="50">
        <v>256531484.21000001</v>
      </c>
    </row>
    <row r="384" spans="1:14" hidden="1" x14ac:dyDescent="0.25">
      <c r="A384" s="49" t="s">
        <v>711</v>
      </c>
      <c r="B384" s="49" t="s">
        <v>83</v>
      </c>
      <c r="C384" s="49" t="s">
        <v>84</v>
      </c>
      <c r="D384" s="49" t="s">
        <v>85</v>
      </c>
      <c r="E384" s="50">
        <v>905032542</v>
      </c>
      <c r="F384" s="50">
        <v>883255690</v>
      </c>
      <c r="G384" s="50">
        <v>883255690</v>
      </c>
      <c r="H384" s="50">
        <v>0</v>
      </c>
      <c r="I384" s="50">
        <v>0</v>
      </c>
      <c r="J384" s="50">
        <v>0</v>
      </c>
      <c r="K384" s="50">
        <v>388443.61</v>
      </c>
      <c r="L384" s="50">
        <v>388443.61</v>
      </c>
      <c r="M384" s="50">
        <v>882867246.38999999</v>
      </c>
      <c r="N384" s="50">
        <v>882867246.38999999</v>
      </c>
    </row>
    <row r="385" spans="1:14" hidden="1" x14ac:dyDescent="0.25">
      <c r="A385" s="49" t="s">
        <v>711</v>
      </c>
      <c r="B385" s="49" t="s">
        <v>90</v>
      </c>
      <c r="C385" s="49" t="s">
        <v>91</v>
      </c>
      <c r="D385" s="49" t="s">
        <v>69</v>
      </c>
      <c r="E385" s="50">
        <v>1059311707</v>
      </c>
      <c r="F385" s="50">
        <v>1033822594</v>
      </c>
      <c r="G385" s="50">
        <v>1033822594</v>
      </c>
      <c r="H385" s="50">
        <v>0</v>
      </c>
      <c r="I385" s="50">
        <v>303229660</v>
      </c>
      <c r="J385" s="50">
        <v>0</v>
      </c>
      <c r="K385" s="50">
        <v>722662882</v>
      </c>
      <c r="L385" s="50">
        <v>722662882</v>
      </c>
      <c r="M385" s="50">
        <v>7930052</v>
      </c>
      <c r="N385" s="50">
        <v>7930052</v>
      </c>
    </row>
    <row r="386" spans="1:14" hidden="1" x14ac:dyDescent="0.25">
      <c r="A386" s="49" t="s">
        <v>711</v>
      </c>
      <c r="B386" s="49" t="s">
        <v>421</v>
      </c>
      <c r="C386" s="49" t="s">
        <v>697</v>
      </c>
      <c r="D386" s="49" t="s">
        <v>69</v>
      </c>
      <c r="E386" s="50">
        <v>1004988079</v>
      </c>
      <c r="F386" s="50">
        <v>980806100</v>
      </c>
      <c r="G386" s="50">
        <v>980806100</v>
      </c>
      <c r="H386" s="50">
        <v>0</v>
      </c>
      <c r="I386" s="50">
        <v>287679471</v>
      </c>
      <c r="J386" s="50">
        <v>0</v>
      </c>
      <c r="K386" s="50">
        <v>685603246</v>
      </c>
      <c r="L386" s="50">
        <v>685603246</v>
      </c>
      <c r="M386" s="50">
        <v>7523383</v>
      </c>
      <c r="N386" s="50">
        <v>7523383</v>
      </c>
    </row>
    <row r="387" spans="1:14" hidden="1" x14ac:dyDescent="0.25">
      <c r="A387" s="49" t="s">
        <v>711</v>
      </c>
      <c r="B387" s="49" t="s">
        <v>438</v>
      </c>
      <c r="C387" s="49" t="s">
        <v>95</v>
      </c>
      <c r="D387" s="49" t="s">
        <v>69</v>
      </c>
      <c r="E387" s="50">
        <v>54323628</v>
      </c>
      <c r="F387" s="50">
        <v>53016494</v>
      </c>
      <c r="G387" s="50">
        <v>53016494</v>
      </c>
      <c r="H387" s="50">
        <v>0</v>
      </c>
      <c r="I387" s="50">
        <v>15550189</v>
      </c>
      <c r="J387" s="50">
        <v>0</v>
      </c>
      <c r="K387" s="50">
        <v>37059636</v>
      </c>
      <c r="L387" s="50">
        <v>37059636</v>
      </c>
      <c r="M387" s="50">
        <v>406669</v>
      </c>
      <c r="N387" s="50">
        <v>406669</v>
      </c>
    </row>
    <row r="388" spans="1:14" hidden="1" x14ac:dyDescent="0.25">
      <c r="A388" s="49" t="s">
        <v>711</v>
      </c>
      <c r="B388" s="49" t="s">
        <v>96</v>
      </c>
      <c r="C388" s="49" t="s">
        <v>97</v>
      </c>
      <c r="D388" s="49" t="s">
        <v>69</v>
      </c>
      <c r="E388" s="50">
        <v>1059311706</v>
      </c>
      <c r="F388" s="50">
        <v>1033822593</v>
      </c>
      <c r="G388" s="50">
        <v>1009822593</v>
      </c>
      <c r="H388" s="50">
        <v>0</v>
      </c>
      <c r="I388" s="50">
        <v>280479671</v>
      </c>
      <c r="J388" s="50">
        <v>0</v>
      </c>
      <c r="K388" s="50">
        <v>721412870</v>
      </c>
      <c r="L388" s="50">
        <v>721412870</v>
      </c>
      <c r="M388" s="50">
        <v>31930052</v>
      </c>
      <c r="N388" s="50">
        <v>7930052</v>
      </c>
    </row>
    <row r="389" spans="1:14" hidden="1" x14ac:dyDescent="0.25">
      <c r="A389" s="49" t="s">
        <v>711</v>
      </c>
      <c r="B389" s="49" t="s">
        <v>456</v>
      </c>
      <c r="C389" s="49" t="s">
        <v>698</v>
      </c>
      <c r="D389" s="49" t="s">
        <v>69</v>
      </c>
      <c r="E389" s="50">
        <v>570398650</v>
      </c>
      <c r="F389" s="50">
        <v>556673743</v>
      </c>
      <c r="G389" s="50">
        <v>556673743</v>
      </c>
      <c r="H389" s="50">
        <v>0</v>
      </c>
      <c r="I389" s="50">
        <v>164527559</v>
      </c>
      <c r="J389" s="50">
        <v>0</v>
      </c>
      <c r="K389" s="50">
        <v>387876156</v>
      </c>
      <c r="L389" s="50">
        <v>387876156</v>
      </c>
      <c r="M389" s="50">
        <v>4270028</v>
      </c>
      <c r="N389" s="50">
        <v>4270028</v>
      </c>
    </row>
    <row r="390" spans="1:14" hidden="1" x14ac:dyDescent="0.25">
      <c r="A390" s="49" t="s">
        <v>711</v>
      </c>
      <c r="B390" s="49" t="s">
        <v>473</v>
      </c>
      <c r="C390" s="49" t="s">
        <v>699</v>
      </c>
      <c r="D390" s="49" t="s">
        <v>69</v>
      </c>
      <c r="E390" s="50">
        <v>162970985</v>
      </c>
      <c r="F390" s="50">
        <v>159049583</v>
      </c>
      <c r="G390" s="50">
        <v>159049583</v>
      </c>
      <c r="H390" s="50">
        <v>0</v>
      </c>
      <c r="I390" s="50">
        <v>46650670</v>
      </c>
      <c r="J390" s="50">
        <v>0</v>
      </c>
      <c r="K390" s="50">
        <v>111178905</v>
      </c>
      <c r="L390" s="50">
        <v>111178905</v>
      </c>
      <c r="M390" s="50">
        <v>1220008</v>
      </c>
      <c r="N390" s="50">
        <v>1220008</v>
      </c>
    </row>
    <row r="391" spans="1:14" hidden="1" x14ac:dyDescent="0.25">
      <c r="A391" s="49" t="s">
        <v>711</v>
      </c>
      <c r="B391" s="49" t="s">
        <v>490</v>
      </c>
      <c r="C391" s="49" t="s">
        <v>700</v>
      </c>
      <c r="D391" s="49" t="s">
        <v>69</v>
      </c>
      <c r="E391" s="50">
        <v>325942071</v>
      </c>
      <c r="F391" s="50">
        <v>318099267</v>
      </c>
      <c r="G391" s="50">
        <v>294099267</v>
      </c>
      <c r="H391" s="50">
        <v>0</v>
      </c>
      <c r="I391" s="50">
        <v>69301442</v>
      </c>
      <c r="J391" s="50">
        <v>0</v>
      </c>
      <c r="K391" s="50">
        <v>222357809</v>
      </c>
      <c r="L391" s="50">
        <v>222357809</v>
      </c>
      <c r="M391" s="50">
        <v>26440016</v>
      </c>
      <c r="N391" s="50">
        <v>2440016</v>
      </c>
    </row>
    <row r="392" spans="1:14" hidden="1" x14ac:dyDescent="0.25">
      <c r="A392" s="49" t="s">
        <v>711</v>
      </c>
      <c r="B392" s="49" t="s">
        <v>104</v>
      </c>
      <c r="C392" s="49" t="s">
        <v>105</v>
      </c>
      <c r="D392" s="49" t="s">
        <v>69</v>
      </c>
      <c r="E392" s="50">
        <v>3955829992</v>
      </c>
      <c r="F392" s="50">
        <v>3999861533</v>
      </c>
      <c r="G392" s="50">
        <v>3940945577.71</v>
      </c>
      <c r="H392" s="50">
        <v>0</v>
      </c>
      <c r="I392" s="50">
        <v>92616114.680000007</v>
      </c>
      <c r="J392" s="50">
        <v>0</v>
      </c>
      <c r="K392" s="50">
        <v>2993294194.1500001</v>
      </c>
      <c r="L392" s="50">
        <v>2993290158.1500001</v>
      </c>
      <c r="M392" s="50">
        <v>913951224.16999996</v>
      </c>
      <c r="N392" s="50">
        <v>855035268.88</v>
      </c>
    </row>
    <row r="393" spans="1:14" hidden="1" x14ac:dyDescent="0.25">
      <c r="A393" s="49" t="s">
        <v>711</v>
      </c>
      <c r="B393" s="49" t="s">
        <v>112</v>
      </c>
      <c r="C393" s="49" t="s">
        <v>113</v>
      </c>
      <c r="D393" s="49" t="s">
        <v>69</v>
      </c>
      <c r="E393" s="50">
        <v>3954369992</v>
      </c>
      <c r="F393" s="50">
        <v>3999201533</v>
      </c>
      <c r="G393" s="50">
        <v>3940879577.71</v>
      </c>
      <c r="H393" s="50">
        <v>0</v>
      </c>
      <c r="I393" s="50">
        <v>92616114.680000007</v>
      </c>
      <c r="J393" s="50">
        <v>0</v>
      </c>
      <c r="K393" s="50">
        <v>2993294194.1500001</v>
      </c>
      <c r="L393" s="50">
        <v>2993290158.1500001</v>
      </c>
      <c r="M393" s="50">
        <v>913291224.16999996</v>
      </c>
      <c r="N393" s="50">
        <v>854969268.88</v>
      </c>
    </row>
    <row r="394" spans="1:14" hidden="1" x14ac:dyDescent="0.25">
      <c r="A394" s="49" t="s">
        <v>711</v>
      </c>
      <c r="B394" s="49" t="s">
        <v>114</v>
      </c>
      <c r="C394" s="49" t="s">
        <v>115</v>
      </c>
      <c r="D394" s="49" t="s">
        <v>69</v>
      </c>
      <c r="E394" s="50">
        <v>2664489000</v>
      </c>
      <c r="F394" s="50">
        <v>2664489000</v>
      </c>
      <c r="G394" s="50">
        <v>2664489000</v>
      </c>
      <c r="H394" s="50">
        <v>0</v>
      </c>
      <c r="I394" s="50">
        <v>5714032.5599999996</v>
      </c>
      <c r="J394" s="50">
        <v>0</v>
      </c>
      <c r="K394" s="50">
        <v>1981777046.3599999</v>
      </c>
      <c r="L394" s="50">
        <v>1981777046.3599999</v>
      </c>
      <c r="M394" s="50">
        <v>676997921.08000004</v>
      </c>
      <c r="N394" s="50">
        <v>676997921.08000004</v>
      </c>
    </row>
    <row r="395" spans="1:14" hidden="1" x14ac:dyDescent="0.25">
      <c r="A395" s="49" t="s">
        <v>711</v>
      </c>
      <c r="B395" s="49" t="s">
        <v>116</v>
      </c>
      <c r="C395" s="49" t="s">
        <v>117</v>
      </c>
      <c r="D395" s="49" t="s">
        <v>69</v>
      </c>
      <c r="E395" s="50">
        <v>1052390992</v>
      </c>
      <c r="F395" s="50">
        <v>1097222533</v>
      </c>
      <c r="G395" s="50">
        <v>1097222533</v>
      </c>
      <c r="H395" s="50">
        <v>0</v>
      </c>
      <c r="I395" s="50">
        <v>69373814.140000001</v>
      </c>
      <c r="J395" s="50">
        <v>0</v>
      </c>
      <c r="K395" s="50">
        <v>920704612.86000001</v>
      </c>
      <c r="L395" s="50">
        <v>920704612.86000001</v>
      </c>
      <c r="M395" s="50">
        <v>107144106</v>
      </c>
      <c r="N395" s="50">
        <v>107144106</v>
      </c>
    </row>
    <row r="396" spans="1:14" hidden="1" x14ac:dyDescent="0.25">
      <c r="A396" s="49" t="s">
        <v>711</v>
      </c>
      <c r="B396" s="49" t="s">
        <v>120</v>
      </c>
      <c r="C396" s="49" t="s">
        <v>121</v>
      </c>
      <c r="D396" s="49" t="s">
        <v>69</v>
      </c>
      <c r="E396" s="50">
        <v>124690000</v>
      </c>
      <c r="F396" s="50">
        <v>124690000</v>
      </c>
      <c r="G396" s="50">
        <v>124690000</v>
      </c>
      <c r="H396" s="50">
        <v>0</v>
      </c>
      <c r="I396" s="50">
        <v>14772132.470000001</v>
      </c>
      <c r="J396" s="50">
        <v>0</v>
      </c>
      <c r="K396" s="50">
        <v>47572867.530000001</v>
      </c>
      <c r="L396" s="50">
        <v>47572867.530000001</v>
      </c>
      <c r="M396" s="50">
        <v>62345000</v>
      </c>
      <c r="N396" s="50">
        <v>62345000</v>
      </c>
    </row>
    <row r="397" spans="1:14" hidden="1" x14ac:dyDescent="0.25">
      <c r="A397" s="49" t="s">
        <v>711</v>
      </c>
      <c r="B397" s="49" t="s">
        <v>122</v>
      </c>
      <c r="C397" s="49" t="s">
        <v>123</v>
      </c>
      <c r="D397" s="49" t="s">
        <v>69</v>
      </c>
      <c r="E397" s="50">
        <v>112800000</v>
      </c>
      <c r="F397" s="50">
        <v>112800000</v>
      </c>
      <c r="G397" s="50">
        <v>54478044.710000001</v>
      </c>
      <c r="H397" s="50">
        <v>0</v>
      </c>
      <c r="I397" s="50">
        <v>2756135.51</v>
      </c>
      <c r="J397" s="50">
        <v>0</v>
      </c>
      <c r="K397" s="50">
        <v>43239667.399999999</v>
      </c>
      <c r="L397" s="50">
        <v>43235631.399999999</v>
      </c>
      <c r="M397" s="50">
        <v>66804197.090000004</v>
      </c>
      <c r="N397" s="50">
        <v>8482241.8000000007</v>
      </c>
    </row>
    <row r="398" spans="1:14" hidden="1" x14ac:dyDescent="0.25">
      <c r="A398" s="49" t="s">
        <v>711</v>
      </c>
      <c r="B398" s="49" t="s">
        <v>134</v>
      </c>
      <c r="C398" s="49" t="s">
        <v>135</v>
      </c>
      <c r="D398" s="49" t="s">
        <v>69</v>
      </c>
      <c r="E398" s="50">
        <v>340000</v>
      </c>
      <c r="F398" s="50">
        <v>340000</v>
      </c>
      <c r="G398" s="50">
        <v>34000</v>
      </c>
      <c r="H398" s="50">
        <v>0</v>
      </c>
      <c r="I398" s="50">
        <v>0</v>
      </c>
      <c r="J398" s="50">
        <v>0</v>
      </c>
      <c r="K398" s="50">
        <v>0</v>
      </c>
      <c r="L398" s="50">
        <v>0</v>
      </c>
      <c r="M398" s="50">
        <v>340000</v>
      </c>
      <c r="N398" s="50">
        <v>34000</v>
      </c>
    </row>
    <row r="399" spans="1:14" hidden="1" x14ac:dyDescent="0.25">
      <c r="A399" s="49" t="s">
        <v>711</v>
      </c>
      <c r="B399" s="49" t="s">
        <v>346</v>
      </c>
      <c r="C399" s="49" t="s">
        <v>347</v>
      </c>
      <c r="D399" s="49" t="s">
        <v>69</v>
      </c>
      <c r="E399" s="50">
        <v>180000</v>
      </c>
      <c r="F399" s="50">
        <v>180000</v>
      </c>
      <c r="G399" s="50">
        <v>18000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50">
        <v>180000</v>
      </c>
      <c r="N399" s="50">
        <v>18000</v>
      </c>
    </row>
    <row r="400" spans="1:14" hidden="1" x14ac:dyDescent="0.25">
      <c r="A400" s="49" t="s">
        <v>711</v>
      </c>
      <c r="B400" s="49" t="s">
        <v>138</v>
      </c>
      <c r="C400" s="49" t="s">
        <v>139</v>
      </c>
      <c r="D400" s="49" t="s">
        <v>69</v>
      </c>
      <c r="E400" s="50">
        <v>160000</v>
      </c>
      <c r="F400" s="50">
        <v>160000</v>
      </c>
      <c r="G400" s="50">
        <v>16000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50">
        <v>160000</v>
      </c>
      <c r="N400" s="50">
        <v>16000</v>
      </c>
    </row>
    <row r="401" spans="1:14" hidden="1" x14ac:dyDescent="0.25">
      <c r="A401" s="49" t="s">
        <v>711</v>
      </c>
      <c r="B401" s="49" t="s">
        <v>140</v>
      </c>
      <c r="C401" s="49" t="s">
        <v>141</v>
      </c>
      <c r="D401" s="49" t="s">
        <v>69</v>
      </c>
      <c r="E401" s="50">
        <v>0</v>
      </c>
      <c r="F401" s="50">
        <v>0</v>
      </c>
      <c r="G401" s="50">
        <v>0</v>
      </c>
      <c r="H401" s="50">
        <v>0</v>
      </c>
      <c r="I401" s="50">
        <v>0</v>
      </c>
      <c r="J401" s="50">
        <v>0</v>
      </c>
      <c r="K401" s="50">
        <v>0</v>
      </c>
      <c r="L401" s="50">
        <v>0</v>
      </c>
      <c r="M401" s="50">
        <v>0</v>
      </c>
      <c r="N401" s="50">
        <v>0</v>
      </c>
    </row>
    <row r="402" spans="1:14" hidden="1" x14ac:dyDescent="0.25">
      <c r="A402" s="49" t="s">
        <v>711</v>
      </c>
      <c r="B402" s="49" t="s">
        <v>144</v>
      </c>
      <c r="C402" s="49" t="s">
        <v>145</v>
      </c>
      <c r="D402" s="49" t="s">
        <v>69</v>
      </c>
      <c r="E402" s="50">
        <v>0</v>
      </c>
      <c r="F402" s="50">
        <v>0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50">
        <v>0</v>
      </c>
      <c r="N402" s="50">
        <v>0</v>
      </c>
    </row>
    <row r="403" spans="1:14" hidden="1" x14ac:dyDescent="0.25">
      <c r="A403" s="49" t="s">
        <v>711</v>
      </c>
      <c r="B403" s="49" t="s">
        <v>162</v>
      </c>
      <c r="C403" s="49" t="s">
        <v>163</v>
      </c>
      <c r="D403" s="49" t="s">
        <v>69</v>
      </c>
      <c r="E403" s="50">
        <v>1120000</v>
      </c>
      <c r="F403" s="50">
        <v>320000</v>
      </c>
      <c r="G403" s="50">
        <v>32000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50">
        <v>320000</v>
      </c>
      <c r="N403" s="50">
        <v>32000</v>
      </c>
    </row>
    <row r="404" spans="1:14" hidden="1" x14ac:dyDescent="0.25">
      <c r="A404" s="49" t="s">
        <v>711</v>
      </c>
      <c r="B404" s="49" t="s">
        <v>164</v>
      </c>
      <c r="C404" s="49" t="s">
        <v>165</v>
      </c>
      <c r="D404" s="49" t="s">
        <v>69</v>
      </c>
      <c r="E404" s="50">
        <v>800000</v>
      </c>
      <c r="F404" s="50">
        <v>0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0</v>
      </c>
      <c r="M404" s="50">
        <v>0</v>
      </c>
      <c r="N404" s="50">
        <v>0</v>
      </c>
    </row>
    <row r="405" spans="1:14" hidden="1" x14ac:dyDescent="0.25">
      <c r="A405" s="49" t="s">
        <v>711</v>
      </c>
      <c r="B405" s="49" t="s">
        <v>172</v>
      </c>
      <c r="C405" s="49" t="s">
        <v>173</v>
      </c>
      <c r="D405" s="49" t="s">
        <v>69</v>
      </c>
      <c r="E405" s="50">
        <v>320000</v>
      </c>
      <c r="F405" s="50">
        <v>320000</v>
      </c>
      <c r="G405" s="50">
        <v>32000</v>
      </c>
      <c r="H405" s="50">
        <v>0</v>
      </c>
      <c r="I405" s="50">
        <v>0</v>
      </c>
      <c r="J405" s="50">
        <v>0</v>
      </c>
      <c r="K405" s="50">
        <v>0</v>
      </c>
      <c r="L405" s="50">
        <v>0</v>
      </c>
      <c r="M405" s="50">
        <v>320000</v>
      </c>
      <c r="N405" s="50">
        <v>32000</v>
      </c>
    </row>
    <row r="406" spans="1:14" hidden="1" x14ac:dyDescent="0.25">
      <c r="A406" s="49" t="s">
        <v>711</v>
      </c>
      <c r="B406" s="49" t="s">
        <v>184</v>
      </c>
      <c r="C406" s="49" t="s">
        <v>185</v>
      </c>
      <c r="D406" s="49" t="s">
        <v>69</v>
      </c>
      <c r="E406" s="50">
        <v>9762991308</v>
      </c>
      <c r="F406" s="50">
        <v>9727778878</v>
      </c>
      <c r="G406" s="50">
        <v>9717630460.0100002</v>
      </c>
      <c r="H406" s="50">
        <v>861578892.89999998</v>
      </c>
      <c r="I406" s="50">
        <v>579341022.44000006</v>
      </c>
      <c r="J406" s="50">
        <v>3157842.52</v>
      </c>
      <c r="K406" s="50">
        <v>5765153806.4700003</v>
      </c>
      <c r="L406" s="50">
        <v>5742909038.9499998</v>
      </c>
      <c r="M406" s="50">
        <v>2518547313.6700001</v>
      </c>
      <c r="N406" s="50">
        <v>2508398895.6799998</v>
      </c>
    </row>
    <row r="407" spans="1:14" hidden="1" x14ac:dyDescent="0.25">
      <c r="A407" s="49" t="s">
        <v>711</v>
      </c>
      <c r="B407" s="49" t="s">
        <v>186</v>
      </c>
      <c r="C407" s="49" t="s">
        <v>187</v>
      </c>
      <c r="D407" s="49" t="s">
        <v>69</v>
      </c>
      <c r="E407" s="50">
        <v>20114885</v>
      </c>
      <c r="F407" s="50">
        <v>15114885</v>
      </c>
      <c r="G407" s="50">
        <v>11692175</v>
      </c>
      <c r="H407" s="50">
        <v>0</v>
      </c>
      <c r="I407" s="50">
        <v>6796085.2199999997</v>
      </c>
      <c r="J407" s="50">
        <v>0</v>
      </c>
      <c r="K407" s="50">
        <v>1170358.99</v>
      </c>
      <c r="L407" s="50">
        <v>1170358.99</v>
      </c>
      <c r="M407" s="50">
        <v>7148440.79</v>
      </c>
      <c r="N407" s="50">
        <v>3725730.79</v>
      </c>
    </row>
    <row r="408" spans="1:14" hidden="1" x14ac:dyDescent="0.25">
      <c r="A408" s="49" t="s">
        <v>711</v>
      </c>
      <c r="B408" s="49" t="s">
        <v>188</v>
      </c>
      <c r="C408" s="49" t="s">
        <v>189</v>
      </c>
      <c r="D408" s="49" t="s">
        <v>69</v>
      </c>
      <c r="E408" s="50">
        <v>4558400</v>
      </c>
      <c r="F408" s="50">
        <v>4558400</v>
      </c>
      <c r="G408" s="50">
        <v>1139600</v>
      </c>
      <c r="H408" s="50">
        <v>0</v>
      </c>
      <c r="I408" s="50">
        <v>0</v>
      </c>
      <c r="J408" s="50">
        <v>0</v>
      </c>
      <c r="K408" s="50">
        <v>0</v>
      </c>
      <c r="L408" s="50">
        <v>0</v>
      </c>
      <c r="M408" s="50">
        <v>4558400</v>
      </c>
      <c r="N408" s="50">
        <v>1139600</v>
      </c>
    </row>
    <row r="409" spans="1:14" hidden="1" x14ac:dyDescent="0.25">
      <c r="A409" s="49" t="s">
        <v>711</v>
      </c>
      <c r="B409" s="49" t="s">
        <v>190</v>
      </c>
      <c r="C409" s="49" t="s">
        <v>191</v>
      </c>
      <c r="D409" s="49" t="s">
        <v>69</v>
      </c>
      <c r="E409" s="50">
        <v>1998283</v>
      </c>
      <c r="F409" s="50">
        <v>3620553</v>
      </c>
      <c r="G409" s="50">
        <v>3616643</v>
      </c>
      <c r="H409" s="50">
        <v>0</v>
      </c>
      <c r="I409" s="50">
        <v>1657639.52</v>
      </c>
      <c r="J409" s="50">
        <v>0</v>
      </c>
      <c r="K409" s="50">
        <v>0</v>
      </c>
      <c r="L409" s="50">
        <v>0</v>
      </c>
      <c r="M409" s="50">
        <v>1962913.48</v>
      </c>
      <c r="N409" s="50">
        <v>1959003.48</v>
      </c>
    </row>
    <row r="410" spans="1:14" hidden="1" x14ac:dyDescent="0.25">
      <c r="A410" s="49" t="s">
        <v>711</v>
      </c>
      <c r="B410" s="49" t="s">
        <v>350</v>
      </c>
      <c r="C410" s="49" t="s">
        <v>351</v>
      </c>
      <c r="D410" s="49" t="s">
        <v>69</v>
      </c>
      <c r="E410" s="50">
        <v>1432676</v>
      </c>
      <c r="F410" s="50">
        <v>1432676</v>
      </c>
      <c r="G410" s="50">
        <v>1432676</v>
      </c>
      <c r="H410" s="50">
        <v>0</v>
      </c>
      <c r="I410" s="50">
        <v>0</v>
      </c>
      <c r="J410" s="50">
        <v>0</v>
      </c>
      <c r="K410" s="50">
        <v>1170358.99</v>
      </c>
      <c r="L410" s="50">
        <v>1170358.99</v>
      </c>
      <c r="M410" s="50">
        <v>262317.01</v>
      </c>
      <c r="N410" s="50">
        <v>262317.01</v>
      </c>
    </row>
    <row r="411" spans="1:14" hidden="1" x14ac:dyDescent="0.25">
      <c r="A411" s="49" t="s">
        <v>711</v>
      </c>
      <c r="B411" s="49" t="s">
        <v>194</v>
      </c>
      <c r="C411" s="49" t="s">
        <v>195</v>
      </c>
      <c r="D411" s="49" t="s">
        <v>69</v>
      </c>
      <c r="E411" s="50">
        <v>12125526</v>
      </c>
      <c r="F411" s="50">
        <v>5503256</v>
      </c>
      <c r="G411" s="50">
        <v>5503256</v>
      </c>
      <c r="H411" s="50">
        <v>0</v>
      </c>
      <c r="I411" s="50">
        <v>5138445.7</v>
      </c>
      <c r="J411" s="50">
        <v>0</v>
      </c>
      <c r="K411" s="50">
        <v>0</v>
      </c>
      <c r="L411" s="50">
        <v>0</v>
      </c>
      <c r="M411" s="50">
        <v>364810.3</v>
      </c>
      <c r="N411" s="50">
        <v>364810.3</v>
      </c>
    </row>
    <row r="412" spans="1:14" hidden="1" x14ac:dyDescent="0.25">
      <c r="A412" s="49" t="s">
        <v>711</v>
      </c>
      <c r="B412" s="49" t="s">
        <v>196</v>
      </c>
      <c r="C412" s="49" t="s">
        <v>197</v>
      </c>
      <c r="D412" s="49" t="s">
        <v>69</v>
      </c>
      <c r="E412" s="50">
        <v>9704809902</v>
      </c>
      <c r="F412" s="50">
        <v>9683827239</v>
      </c>
      <c r="G412" s="50">
        <v>9683525554</v>
      </c>
      <c r="H412" s="50">
        <v>861015002.98000002</v>
      </c>
      <c r="I412" s="50">
        <v>564990288.23000002</v>
      </c>
      <c r="J412" s="50">
        <v>3157842.52</v>
      </c>
      <c r="K412" s="50">
        <v>5755482218.1300001</v>
      </c>
      <c r="L412" s="50">
        <v>5733249541.6099997</v>
      </c>
      <c r="M412" s="50">
        <v>2499181887.1399999</v>
      </c>
      <c r="N412" s="50">
        <v>2498880202.1399999</v>
      </c>
    </row>
    <row r="413" spans="1:14" hidden="1" x14ac:dyDescent="0.25">
      <c r="A413" s="49" t="s">
        <v>711</v>
      </c>
      <c r="B413" s="49" t="s">
        <v>579</v>
      </c>
      <c r="C413" s="49" t="s">
        <v>580</v>
      </c>
      <c r="D413" s="49" t="s">
        <v>69</v>
      </c>
      <c r="E413" s="50">
        <v>3494885</v>
      </c>
      <c r="F413" s="50">
        <v>2843230</v>
      </c>
      <c r="G413" s="50">
        <v>2541545</v>
      </c>
      <c r="H413" s="50">
        <v>0</v>
      </c>
      <c r="I413" s="50">
        <v>327640</v>
      </c>
      <c r="J413" s="50">
        <v>0</v>
      </c>
      <c r="K413" s="50">
        <v>1863935</v>
      </c>
      <c r="L413" s="50">
        <v>1863935</v>
      </c>
      <c r="M413" s="50">
        <v>651655</v>
      </c>
      <c r="N413" s="50">
        <v>349970</v>
      </c>
    </row>
    <row r="414" spans="1:14" hidden="1" x14ac:dyDescent="0.25">
      <c r="A414" s="49" t="s">
        <v>711</v>
      </c>
      <c r="B414" s="49" t="s">
        <v>198</v>
      </c>
      <c r="C414" s="49" t="s">
        <v>199</v>
      </c>
      <c r="D414" s="49" t="s">
        <v>69</v>
      </c>
      <c r="E414" s="50">
        <v>9654391017</v>
      </c>
      <c r="F414" s="50">
        <v>9654391017</v>
      </c>
      <c r="G414" s="50">
        <v>9654391017</v>
      </c>
      <c r="H414" s="50">
        <v>861015002.98000002</v>
      </c>
      <c r="I414" s="50">
        <v>554906929.08000004</v>
      </c>
      <c r="J414" s="50">
        <v>0</v>
      </c>
      <c r="K414" s="50">
        <v>5744238853.7700005</v>
      </c>
      <c r="L414" s="50">
        <v>5722006177.25</v>
      </c>
      <c r="M414" s="50">
        <v>2494230231.1700001</v>
      </c>
      <c r="N414" s="50">
        <v>2494230231.1700001</v>
      </c>
    </row>
    <row r="415" spans="1:14" hidden="1" x14ac:dyDescent="0.25">
      <c r="A415" s="49" t="s">
        <v>711</v>
      </c>
      <c r="B415" s="49" t="s">
        <v>352</v>
      </c>
      <c r="C415" s="49" t="s">
        <v>353</v>
      </c>
      <c r="D415" s="49" t="s">
        <v>69</v>
      </c>
      <c r="E415" s="50">
        <v>46924000</v>
      </c>
      <c r="F415" s="50">
        <v>26592992</v>
      </c>
      <c r="G415" s="50">
        <v>26592992</v>
      </c>
      <c r="H415" s="50">
        <v>0</v>
      </c>
      <c r="I415" s="50">
        <v>9755719.1500000004</v>
      </c>
      <c r="J415" s="50">
        <v>3157842.52</v>
      </c>
      <c r="K415" s="50">
        <v>9379429.3599999994</v>
      </c>
      <c r="L415" s="50">
        <v>9379429.3599999994</v>
      </c>
      <c r="M415" s="50">
        <v>4300000.97</v>
      </c>
      <c r="N415" s="50">
        <v>4300000.97</v>
      </c>
    </row>
    <row r="416" spans="1:14" hidden="1" x14ac:dyDescent="0.25">
      <c r="A416" s="49" t="s">
        <v>711</v>
      </c>
      <c r="B416" s="49" t="s">
        <v>198</v>
      </c>
      <c r="C416" s="49" t="s">
        <v>199</v>
      </c>
      <c r="D416" s="49" t="s">
        <v>85</v>
      </c>
      <c r="E416" s="50">
        <v>0</v>
      </c>
      <c r="F416" s="50">
        <v>0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50">
        <v>0</v>
      </c>
      <c r="N416" s="50">
        <v>0</v>
      </c>
    </row>
    <row r="417" spans="1:14" hidden="1" x14ac:dyDescent="0.25">
      <c r="A417" s="49" t="s">
        <v>711</v>
      </c>
      <c r="B417" s="49" t="s">
        <v>200</v>
      </c>
      <c r="C417" s="49" t="s">
        <v>201</v>
      </c>
      <c r="D417" s="49" t="s">
        <v>69</v>
      </c>
      <c r="E417" s="50">
        <v>9701312</v>
      </c>
      <c r="F417" s="50">
        <v>8721992</v>
      </c>
      <c r="G417" s="50">
        <v>7078749.8099999996</v>
      </c>
      <c r="H417" s="50">
        <v>0</v>
      </c>
      <c r="I417" s="50">
        <v>196680.3</v>
      </c>
      <c r="J417" s="50">
        <v>0</v>
      </c>
      <c r="K417" s="50">
        <v>5501736.3300000001</v>
      </c>
      <c r="L417" s="50">
        <v>5489645.3300000001</v>
      </c>
      <c r="M417" s="50">
        <v>3023575.37</v>
      </c>
      <c r="N417" s="50">
        <v>1380333.18</v>
      </c>
    </row>
    <row r="418" spans="1:14" hidden="1" x14ac:dyDescent="0.25">
      <c r="A418" s="49" t="s">
        <v>711</v>
      </c>
      <c r="B418" s="49" t="s">
        <v>314</v>
      </c>
      <c r="C418" s="49" t="s">
        <v>315</v>
      </c>
      <c r="D418" s="49" t="s">
        <v>69</v>
      </c>
      <c r="E418" s="50">
        <v>3440012</v>
      </c>
      <c r="F418" s="50">
        <v>3440012</v>
      </c>
      <c r="G418" s="50">
        <v>2712257.31</v>
      </c>
      <c r="H418" s="50">
        <v>0</v>
      </c>
      <c r="I418" s="50">
        <v>196680.3</v>
      </c>
      <c r="J418" s="50">
        <v>0</v>
      </c>
      <c r="K418" s="50">
        <v>2418048.58</v>
      </c>
      <c r="L418" s="50">
        <v>2418048.58</v>
      </c>
      <c r="M418" s="50">
        <v>825283.12</v>
      </c>
      <c r="N418" s="50">
        <v>97528.43</v>
      </c>
    </row>
    <row r="419" spans="1:14" hidden="1" x14ac:dyDescent="0.25">
      <c r="A419" s="49" t="s">
        <v>711</v>
      </c>
      <c r="B419" s="49" t="s">
        <v>316</v>
      </c>
      <c r="C419" s="49" t="s">
        <v>317</v>
      </c>
      <c r="D419" s="49" t="s">
        <v>69</v>
      </c>
      <c r="E419" s="50">
        <v>678950</v>
      </c>
      <c r="F419" s="50">
        <v>0</v>
      </c>
      <c r="G419" s="50">
        <v>0</v>
      </c>
      <c r="H419" s="50">
        <v>0</v>
      </c>
      <c r="I419" s="50">
        <v>0</v>
      </c>
      <c r="J419" s="50">
        <v>0</v>
      </c>
      <c r="K419" s="50">
        <v>0</v>
      </c>
      <c r="L419" s="50">
        <v>0</v>
      </c>
      <c r="M419" s="50">
        <v>0</v>
      </c>
      <c r="N419" s="50">
        <v>0</v>
      </c>
    </row>
    <row r="420" spans="1:14" hidden="1" x14ac:dyDescent="0.25">
      <c r="A420" s="49" t="s">
        <v>711</v>
      </c>
      <c r="B420" s="49" t="s">
        <v>318</v>
      </c>
      <c r="C420" s="49" t="s">
        <v>319</v>
      </c>
      <c r="D420" s="49" t="s">
        <v>69</v>
      </c>
      <c r="E420" s="50">
        <v>648835</v>
      </c>
      <c r="F420" s="50">
        <v>600000</v>
      </c>
      <c r="G420" s="50">
        <v>60000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50">
        <v>600000</v>
      </c>
      <c r="N420" s="50">
        <v>60000</v>
      </c>
    </row>
    <row r="421" spans="1:14" hidden="1" x14ac:dyDescent="0.25">
      <c r="A421" s="49" t="s">
        <v>711</v>
      </c>
      <c r="B421" s="49" t="s">
        <v>202</v>
      </c>
      <c r="C421" s="49" t="s">
        <v>203</v>
      </c>
      <c r="D421" s="49" t="s">
        <v>69</v>
      </c>
      <c r="E421" s="50">
        <v>274510</v>
      </c>
      <c r="F421" s="50">
        <v>274510</v>
      </c>
      <c r="G421" s="50">
        <v>271864</v>
      </c>
      <c r="H421" s="50">
        <v>0</v>
      </c>
      <c r="I421" s="50">
        <v>0</v>
      </c>
      <c r="J421" s="50">
        <v>0</v>
      </c>
      <c r="K421" s="50">
        <v>112924.29</v>
      </c>
      <c r="L421" s="50">
        <v>112924.29</v>
      </c>
      <c r="M421" s="50">
        <v>161585.71</v>
      </c>
      <c r="N421" s="50">
        <v>158939.71</v>
      </c>
    </row>
    <row r="422" spans="1:14" hidden="1" x14ac:dyDescent="0.25">
      <c r="A422" s="49" t="s">
        <v>711</v>
      </c>
      <c r="B422" s="49" t="s">
        <v>204</v>
      </c>
      <c r="C422" s="49" t="s">
        <v>205</v>
      </c>
      <c r="D422" s="49" t="s">
        <v>69</v>
      </c>
      <c r="E422" s="50">
        <v>4524220</v>
      </c>
      <c r="F422" s="50">
        <v>4272685</v>
      </c>
      <c r="G422" s="50">
        <v>4021150</v>
      </c>
      <c r="H422" s="50">
        <v>0</v>
      </c>
      <c r="I422" s="50">
        <v>0</v>
      </c>
      <c r="J422" s="50">
        <v>0</v>
      </c>
      <c r="K422" s="50">
        <v>2970763.46</v>
      </c>
      <c r="L422" s="50">
        <v>2958672.46</v>
      </c>
      <c r="M422" s="50">
        <v>1301921.54</v>
      </c>
      <c r="N422" s="50">
        <v>1050386.54</v>
      </c>
    </row>
    <row r="423" spans="1:14" hidden="1" x14ac:dyDescent="0.25">
      <c r="A423" s="49" t="s">
        <v>711</v>
      </c>
      <c r="B423" s="49" t="s">
        <v>322</v>
      </c>
      <c r="C423" s="49" t="s">
        <v>323</v>
      </c>
      <c r="D423" s="49" t="s">
        <v>69</v>
      </c>
      <c r="E423" s="50">
        <v>134785</v>
      </c>
      <c r="F423" s="50">
        <v>134785</v>
      </c>
      <c r="G423" s="50">
        <v>13478.5</v>
      </c>
      <c r="H423" s="50">
        <v>0</v>
      </c>
      <c r="I423" s="50">
        <v>0</v>
      </c>
      <c r="J423" s="50">
        <v>0</v>
      </c>
      <c r="K423" s="50">
        <v>0</v>
      </c>
      <c r="L423" s="50">
        <v>0</v>
      </c>
      <c r="M423" s="50">
        <v>134785</v>
      </c>
      <c r="N423" s="50">
        <v>13478.5</v>
      </c>
    </row>
    <row r="424" spans="1:14" hidden="1" x14ac:dyDescent="0.25">
      <c r="A424" s="49" t="s">
        <v>711</v>
      </c>
      <c r="B424" s="49" t="s">
        <v>206</v>
      </c>
      <c r="C424" s="49" t="s">
        <v>207</v>
      </c>
      <c r="D424" s="49" t="s">
        <v>69</v>
      </c>
      <c r="E424" s="50">
        <v>4818247</v>
      </c>
      <c r="F424" s="50">
        <v>0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50">
        <v>0</v>
      </c>
      <c r="M424" s="50">
        <v>0</v>
      </c>
      <c r="N424" s="50">
        <v>0</v>
      </c>
    </row>
    <row r="425" spans="1:14" hidden="1" x14ac:dyDescent="0.25">
      <c r="A425" s="49" t="s">
        <v>711</v>
      </c>
      <c r="B425" s="49" t="s">
        <v>208</v>
      </c>
      <c r="C425" s="49" t="s">
        <v>209</v>
      </c>
      <c r="D425" s="49" t="s">
        <v>69</v>
      </c>
      <c r="E425" s="50">
        <v>4818247</v>
      </c>
      <c r="F425" s="50">
        <v>0</v>
      </c>
      <c r="G425" s="50">
        <v>0</v>
      </c>
      <c r="H425" s="50">
        <v>0</v>
      </c>
      <c r="I425" s="50">
        <v>0</v>
      </c>
      <c r="J425" s="50">
        <v>0</v>
      </c>
      <c r="K425" s="50">
        <v>0</v>
      </c>
      <c r="L425" s="50">
        <v>0</v>
      </c>
      <c r="M425" s="50">
        <v>0</v>
      </c>
      <c r="N425" s="50">
        <v>0</v>
      </c>
    </row>
    <row r="426" spans="1:14" hidden="1" x14ac:dyDescent="0.25">
      <c r="A426" s="49" t="s">
        <v>711</v>
      </c>
      <c r="B426" s="49" t="s">
        <v>354</v>
      </c>
      <c r="C426" s="49" t="s">
        <v>355</v>
      </c>
      <c r="D426" s="49" t="s">
        <v>69</v>
      </c>
      <c r="E426" s="50">
        <v>2859160</v>
      </c>
      <c r="F426" s="50">
        <v>859160</v>
      </c>
      <c r="G426" s="50">
        <v>0</v>
      </c>
      <c r="H426" s="50">
        <v>0</v>
      </c>
      <c r="I426" s="50">
        <v>0</v>
      </c>
      <c r="J426" s="50">
        <v>0</v>
      </c>
      <c r="K426" s="50">
        <v>0</v>
      </c>
      <c r="L426" s="50">
        <v>0</v>
      </c>
      <c r="M426" s="50">
        <v>859160</v>
      </c>
      <c r="N426" s="50">
        <v>0</v>
      </c>
    </row>
    <row r="427" spans="1:14" hidden="1" x14ac:dyDescent="0.25">
      <c r="A427" s="49" t="s">
        <v>711</v>
      </c>
      <c r="B427" s="49" t="s">
        <v>356</v>
      </c>
      <c r="C427" s="49" t="s">
        <v>357</v>
      </c>
      <c r="D427" s="49" t="s">
        <v>69</v>
      </c>
      <c r="E427" s="50">
        <v>2859160</v>
      </c>
      <c r="F427" s="50">
        <v>859160</v>
      </c>
      <c r="G427" s="50">
        <v>0</v>
      </c>
      <c r="H427" s="50">
        <v>0</v>
      </c>
      <c r="I427" s="50">
        <v>0</v>
      </c>
      <c r="J427" s="50">
        <v>0</v>
      </c>
      <c r="K427" s="50">
        <v>0</v>
      </c>
      <c r="L427" s="50">
        <v>0</v>
      </c>
      <c r="M427" s="50">
        <v>859160</v>
      </c>
      <c r="N427" s="50">
        <v>0</v>
      </c>
    </row>
    <row r="428" spans="1:14" hidden="1" x14ac:dyDescent="0.25">
      <c r="A428" s="49" t="s">
        <v>711</v>
      </c>
      <c r="B428" s="49" t="s">
        <v>212</v>
      </c>
      <c r="C428" s="49" t="s">
        <v>213</v>
      </c>
      <c r="D428" s="49" t="s">
        <v>69</v>
      </c>
      <c r="E428" s="50">
        <v>20687802</v>
      </c>
      <c r="F428" s="50">
        <v>19255602</v>
      </c>
      <c r="G428" s="50">
        <v>15333981.199999999</v>
      </c>
      <c r="H428" s="50">
        <v>563889.92000000004</v>
      </c>
      <c r="I428" s="50">
        <v>7357968.6900000004</v>
      </c>
      <c r="J428" s="50">
        <v>0</v>
      </c>
      <c r="K428" s="50">
        <v>2999493.02</v>
      </c>
      <c r="L428" s="50">
        <v>2999493.02</v>
      </c>
      <c r="M428" s="50">
        <v>8334250.3700000001</v>
      </c>
      <c r="N428" s="50">
        <v>4412629.57</v>
      </c>
    </row>
    <row r="429" spans="1:14" hidden="1" x14ac:dyDescent="0.25">
      <c r="A429" s="49" t="s">
        <v>711</v>
      </c>
      <c r="B429" s="49" t="s">
        <v>216</v>
      </c>
      <c r="C429" s="49" t="s">
        <v>217</v>
      </c>
      <c r="D429" s="49" t="s">
        <v>69</v>
      </c>
      <c r="E429" s="50">
        <v>9443712</v>
      </c>
      <c r="F429" s="50">
        <v>9443712</v>
      </c>
      <c r="G429" s="50">
        <v>5525693.2000000002</v>
      </c>
      <c r="H429" s="50">
        <v>310219.40000000002</v>
      </c>
      <c r="I429" s="50">
        <v>2605851.42</v>
      </c>
      <c r="J429" s="50">
        <v>0</v>
      </c>
      <c r="K429" s="50">
        <v>0</v>
      </c>
      <c r="L429" s="50">
        <v>0</v>
      </c>
      <c r="M429" s="50">
        <v>6527641.1799999997</v>
      </c>
      <c r="N429" s="50">
        <v>2609622.38</v>
      </c>
    </row>
    <row r="430" spans="1:14" hidden="1" x14ac:dyDescent="0.25">
      <c r="A430" s="49" t="s">
        <v>711</v>
      </c>
      <c r="B430" s="49" t="s">
        <v>218</v>
      </c>
      <c r="C430" s="49" t="s">
        <v>219</v>
      </c>
      <c r="D430" s="49" t="s">
        <v>69</v>
      </c>
      <c r="E430" s="50">
        <v>4708500</v>
      </c>
      <c r="F430" s="50">
        <v>4708500</v>
      </c>
      <c r="G430" s="50">
        <v>4706173</v>
      </c>
      <c r="H430" s="50">
        <v>253670.52</v>
      </c>
      <c r="I430" s="50">
        <v>3454713.4</v>
      </c>
      <c r="J430" s="50">
        <v>0</v>
      </c>
      <c r="K430" s="50">
        <v>0</v>
      </c>
      <c r="L430" s="50">
        <v>0</v>
      </c>
      <c r="M430" s="50">
        <v>1000116.08</v>
      </c>
      <c r="N430" s="50">
        <v>997789.08</v>
      </c>
    </row>
    <row r="431" spans="1:14" hidden="1" x14ac:dyDescent="0.25">
      <c r="A431" s="49" t="s">
        <v>711</v>
      </c>
      <c r="B431" s="49" t="s">
        <v>220</v>
      </c>
      <c r="C431" s="49" t="s">
        <v>221</v>
      </c>
      <c r="D431" s="49" t="s">
        <v>69</v>
      </c>
      <c r="E431" s="50">
        <v>4306450</v>
      </c>
      <c r="F431" s="50">
        <v>3981750</v>
      </c>
      <c r="G431" s="50">
        <v>3981750</v>
      </c>
      <c r="H431" s="50">
        <v>0</v>
      </c>
      <c r="I431" s="50">
        <v>1265600.02</v>
      </c>
      <c r="J431" s="50">
        <v>0</v>
      </c>
      <c r="K431" s="50">
        <v>2409124.52</v>
      </c>
      <c r="L431" s="50">
        <v>2409124.52</v>
      </c>
      <c r="M431" s="50">
        <v>307025.46000000002</v>
      </c>
      <c r="N431" s="50">
        <v>307025.46000000002</v>
      </c>
    </row>
    <row r="432" spans="1:14" hidden="1" x14ac:dyDescent="0.25">
      <c r="A432" s="49" t="s">
        <v>711</v>
      </c>
      <c r="B432" s="49" t="s">
        <v>222</v>
      </c>
      <c r="C432" s="49" t="s">
        <v>223</v>
      </c>
      <c r="D432" s="49" t="s">
        <v>69</v>
      </c>
      <c r="E432" s="50">
        <v>842640</v>
      </c>
      <c r="F432" s="50">
        <v>842640</v>
      </c>
      <c r="G432" s="50">
        <v>842640</v>
      </c>
      <c r="H432" s="50">
        <v>0</v>
      </c>
      <c r="I432" s="50">
        <v>0</v>
      </c>
      <c r="J432" s="50">
        <v>0</v>
      </c>
      <c r="K432" s="50">
        <v>590368.5</v>
      </c>
      <c r="L432" s="50">
        <v>590368.5</v>
      </c>
      <c r="M432" s="50">
        <v>252271.5</v>
      </c>
      <c r="N432" s="50">
        <v>252271.5</v>
      </c>
    </row>
    <row r="433" spans="1:14" hidden="1" x14ac:dyDescent="0.25">
      <c r="A433" s="49" t="s">
        <v>711</v>
      </c>
      <c r="B433" s="49" t="s">
        <v>224</v>
      </c>
      <c r="C433" s="49" t="s">
        <v>225</v>
      </c>
      <c r="D433" s="49" t="s">
        <v>69</v>
      </c>
      <c r="E433" s="50">
        <v>887300</v>
      </c>
      <c r="F433" s="50">
        <v>162000</v>
      </c>
      <c r="G433" s="50">
        <v>160725</v>
      </c>
      <c r="H433" s="50">
        <v>0</v>
      </c>
      <c r="I433" s="50">
        <v>31803.85</v>
      </c>
      <c r="J433" s="50">
        <v>0</v>
      </c>
      <c r="K433" s="50">
        <v>0</v>
      </c>
      <c r="L433" s="50">
        <v>0</v>
      </c>
      <c r="M433" s="50">
        <v>130196.15</v>
      </c>
      <c r="N433" s="50">
        <v>128921.15</v>
      </c>
    </row>
    <row r="434" spans="1:14" hidden="1" x14ac:dyDescent="0.25">
      <c r="A434" s="49" t="s">
        <v>711</v>
      </c>
      <c r="B434" s="49" t="s">
        <v>228</v>
      </c>
      <c r="C434" s="49" t="s">
        <v>229</v>
      </c>
      <c r="D434" s="49" t="s">
        <v>69</v>
      </c>
      <c r="E434" s="50">
        <v>499200</v>
      </c>
      <c r="F434" s="50">
        <v>117000</v>
      </c>
      <c r="G434" s="50">
        <v>117000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50">
        <v>117000</v>
      </c>
      <c r="N434" s="50">
        <v>117000</v>
      </c>
    </row>
    <row r="435" spans="1:14" hidden="1" x14ac:dyDescent="0.25">
      <c r="A435" s="49" t="s">
        <v>711</v>
      </c>
      <c r="B435" s="49" t="s">
        <v>222</v>
      </c>
      <c r="C435" s="49" t="s">
        <v>223</v>
      </c>
      <c r="D435" s="49" t="s">
        <v>85</v>
      </c>
      <c r="E435" s="50">
        <v>0</v>
      </c>
      <c r="F435" s="50">
        <v>0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>
        <v>0</v>
      </c>
      <c r="M435" s="50">
        <v>0</v>
      </c>
      <c r="N435" s="50">
        <v>0</v>
      </c>
    </row>
    <row r="436" spans="1:14" hidden="1" x14ac:dyDescent="0.25">
      <c r="A436" s="49" t="s">
        <v>711</v>
      </c>
      <c r="B436" s="49" t="s">
        <v>248</v>
      </c>
      <c r="C436" s="49" t="s">
        <v>249</v>
      </c>
      <c r="D436" s="49" t="s">
        <v>69</v>
      </c>
      <c r="E436" s="50">
        <v>236354526</v>
      </c>
      <c r="F436" s="50">
        <v>232014843</v>
      </c>
      <c r="G436" s="50">
        <v>231974843</v>
      </c>
      <c r="H436" s="50">
        <v>0</v>
      </c>
      <c r="I436" s="50">
        <v>52876726</v>
      </c>
      <c r="J436" s="50">
        <v>0</v>
      </c>
      <c r="K436" s="50">
        <v>177748494.5</v>
      </c>
      <c r="L436" s="50">
        <v>177748494.5</v>
      </c>
      <c r="M436" s="50">
        <v>1389622.5</v>
      </c>
      <c r="N436" s="50">
        <v>1349622.5</v>
      </c>
    </row>
    <row r="437" spans="1:14" hidden="1" x14ac:dyDescent="0.25">
      <c r="A437" s="49" t="s">
        <v>711</v>
      </c>
      <c r="B437" s="49" t="s">
        <v>250</v>
      </c>
      <c r="C437" s="49" t="s">
        <v>251</v>
      </c>
      <c r="D437" s="49" t="s">
        <v>69</v>
      </c>
      <c r="E437" s="50">
        <v>180354526</v>
      </c>
      <c r="F437" s="50">
        <v>176014843</v>
      </c>
      <c r="G437" s="50">
        <v>175974843</v>
      </c>
      <c r="H437" s="50">
        <v>0</v>
      </c>
      <c r="I437" s="50">
        <v>52876726</v>
      </c>
      <c r="J437" s="50">
        <v>0</v>
      </c>
      <c r="K437" s="50">
        <v>121787975</v>
      </c>
      <c r="L437" s="50">
        <v>121787975</v>
      </c>
      <c r="M437" s="50">
        <v>1350142</v>
      </c>
      <c r="N437" s="50">
        <v>1310142</v>
      </c>
    </row>
    <row r="438" spans="1:14" hidden="1" x14ac:dyDescent="0.25">
      <c r="A438" s="49" t="s">
        <v>711</v>
      </c>
      <c r="B438" s="49" t="s">
        <v>630</v>
      </c>
      <c r="C438" s="49" t="s">
        <v>702</v>
      </c>
      <c r="D438" s="49" t="s">
        <v>69</v>
      </c>
      <c r="E438" s="50">
        <v>153192762</v>
      </c>
      <c r="F438" s="50">
        <v>149506644</v>
      </c>
      <c r="G438" s="50">
        <v>149466644</v>
      </c>
      <c r="H438" s="50">
        <v>0</v>
      </c>
      <c r="I438" s="50">
        <v>45101678</v>
      </c>
      <c r="J438" s="50">
        <v>0</v>
      </c>
      <c r="K438" s="50">
        <v>103258158</v>
      </c>
      <c r="L438" s="50">
        <v>103258158</v>
      </c>
      <c r="M438" s="50">
        <v>1146808</v>
      </c>
      <c r="N438" s="50">
        <v>1106808</v>
      </c>
    </row>
    <row r="439" spans="1:14" hidden="1" x14ac:dyDescent="0.25">
      <c r="A439" s="49" t="s">
        <v>711</v>
      </c>
      <c r="B439" s="49" t="s">
        <v>645</v>
      </c>
      <c r="C439" s="49" t="s">
        <v>703</v>
      </c>
      <c r="D439" s="49" t="s">
        <v>69</v>
      </c>
      <c r="E439" s="50">
        <v>27161764</v>
      </c>
      <c r="F439" s="50">
        <v>26508199</v>
      </c>
      <c r="G439" s="50">
        <v>26508199</v>
      </c>
      <c r="H439" s="50">
        <v>0</v>
      </c>
      <c r="I439" s="50">
        <v>7775048</v>
      </c>
      <c r="J439" s="50">
        <v>0</v>
      </c>
      <c r="K439" s="50">
        <v>18529817</v>
      </c>
      <c r="L439" s="50">
        <v>18529817</v>
      </c>
      <c r="M439" s="50">
        <v>203334</v>
      </c>
      <c r="N439" s="50">
        <v>203334</v>
      </c>
    </row>
    <row r="440" spans="1:14" hidden="1" x14ac:dyDescent="0.25">
      <c r="A440" s="49" t="s">
        <v>711</v>
      </c>
      <c r="B440" s="49" t="s">
        <v>260</v>
      </c>
      <c r="C440" s="49" t="s">
        <v>261</v>
      </c>
      <c r="D440" s="49" t="s">
        <v>69</v>
      </c>
      <c r="E440" s="50">
        <v>56000000</v>
      </c>
      <c r="F440" s="50">
        <v>56000000</v>
      </c>
      <c r="G440" s="50">
        <v>56000000</v>
      </c>
      <c r="H440" s="50">
        <v>0</v>
      </c>
      <c r="I440" s="50">
        <v>0</v>
      </c>
      <c r="J440" s="50">
        <v>0</v>
      </c>
      <c r="K440" s="50">
        <v>55960519.5</v>
      </c>
      <c r="L440" s="50">
        <v>55960519.5</v>
      </c>
      <c r="M440" s="50">
        <v>39480.5</v>
      </c>
      <c r="N440" s="50">
        <v>39480.5</v>
      </c>
    </row>
    <row r="441" spans="1:14" hidden="1" x14ac:dyDescent="0.25">
      <c r="A441" s="49" t="s">
        <v>711</v>
      </c>
      <c r="B441" s="49" t="s">
        <v>264</v>
      </c>
      <c r="C441" s="49" t="s">
        <v>265</v>
      </c>
      <c r="D441" s="49" t="s">
        <v>69</v>
      </c>
      <c r="E441" s="50">
        <v>56000000</v>
      </c>
      <c r="F441" s="50">
        <v>56000000</v>
      </c>
      <c r="G441" s="50">
        <v>56000000</v>
      </c>
      <c r="H441" s="50">
        <v>0</v>
      </c>
      <c r="I441" s="50">
        <v>0</v>
      </c>
      <c r="J441" s="50">
        <v>0</v>
      </c>
      <c r="K441" s="50">
        <v>55960519.5</v>
      </c>
      <c r="L441" s="50">
        <v>55960519.5</v>
      </c>
      <c r="M441" s="50">
        <v>39480.5</v>
      </c>
      <c r="N441" s="50">
        <v>39480.5</v>
      </c>
    </row>
    <row r="442" spans="1:14" hidden="1" x14ac:dyDescent="0.25">
      <c r="A442" s="49" t="s">
        <v>711</v>
      </c>
      <c r="B442" s="49" t="s">
        <v>230</v>
      </c>
      <c r="C442" s="49" t="s">
        <v>231</v>
      </c>
      <c r="D442" s="49" t="s">
        <v>85</v>
      </c>
      <c r="E442" s="50">
        <v>53324000</v>
      </c>
      <c r="F442" s="50">
        <v>51342000</v>
      </c>
      <c r="G442" s="50">
        <v>51194969</v>
      </c>
      <c r="H442" s="50">
        <v>41524067.979999997</v>
      </c>
      <c r="I442" s="50">
        <v>0</v>
      </c>
      <c r="J442" s="50">
        <v>823993.91</v>
      </c>
      <c r="K442" s="50">
        <v>8800000</v>
      </c>
      <c r="L442" s="50">
        <v>8800000</v>
      </c>
      <c r="M442" s="50">
        <v>193938.11</v>
      </c>
      <c r="N442" s="50">
        <v>46907.11</v>
      </c>
    </row>
    <row r="443" spans="1:14" hidden="1" x14ac:dyDescent="0.25">
      <c r="A443" s="49" t="s">
        <v>711</v>
      </c>
      <c r="B443" s="49" t="s">
        <v>232</v>
      </c>
      <c r="C443" s="49" t="s">
        <v>233</v>
      </c>
      <c r="D443" s="49" t="s">
        <v>85</v>
      </c>
      <c r="E443" s="50">
        <v>45824000</v>
      </c>
      <c r="F443" s="50">
        <v>42525000</v>
      </c>
      <c r="G443" s="50">
        <v>42377969</v>
      </c>
      <c r="H443" s="50">
        <v>41524067.979999997</v>
      </c>
      <c r="I443" s="50">
        <v>0</v>
      </c>
      <c r="J443" s="50">
        <v>823993.91</v>
      </c>
      <c r="K443" s="50">
        <v>0</v>
      </c>
      <c r="L443" s="50">
        <v>0</v>
      </c>
      <c r="M443" s="50">
        <v>176938.11</v>
      </c>
      <c r="N443" s="50">
        <v>29907.11</v>
      </c>
    </row>
    <row r="444" spans="1:14" hidden="1" x14ac:dyDescent="0.25">
      <c r="A444" s="49" t="s">
        <v>711</v>
      </c>
      <c r="B444" s="49" t="s">
        <v>234</v>
      </c>
      <c r="C444" s="49" t="s">
        <v>235</v>
      </c>
      <c r="D444" s="49" t="s">
        <v>85</v>
      </c>
      <c r="E444" s="50">
        <v>3490000</v>
      </c>
      <c r="F444" s="50">
        <v>790000</v>
      </c>
      <c r="G444" s="50">
        <v>754000</v>
      </c>
      <c r="H444" s="50">
        <v>0</v>
      </c>
      <c r="I444" s="50">
        <v>0</v>
      </c>
      <c r="J444" s="50">
        <v>749985.6</v>
      </c>
      <c r="K444" s="50">
        <v>0</v>
      </c>
      <c r="L444" s="50">
        <v>0</v>
      </c>
      <c r="M444" s="50">
        <v>40014.400000000001</v>
      </c>
      <c r="N444" s="50">
        <v>4014.4</v>
      </c>
    </row>
    <row r="445" spans="1:14" hidden="1" x14ac:dyDescent="0.25">
      <c r="A445" s="49" t="s">
        <v>711</v>
      </c>
      <c r="B445" s="49" t="s">
        <v>238</v>
      </c>
      <c r="C445" s="49" t="s">
        <v>239</v>
      </c>
      <c r="D445" s="49" t="s">
        <v>85</v>
      </c>
      <c r="E445" s="50">
        <v>420000</v>
      </c>
      <c r="F445" s="50">
        <v>0</v>
      </c>
      <c r="G445" s="50">
        <v>0</v>
      </c>
      <c r="H445" s="50">
        <v>0</v>
      </c>
      <c r="I445" s="50">
        <v>0</v>
      </c>
      <c r="J445" s="50">
        <v>0</v>
      </c>
      <c r="K445" s="50">
        <v>0</v>
      </c>
      <c r="L445" s="50">
        <v>0</v>
      </c>
      <c r="M445" s="50">
        <v>0</v>
      </c>
      <c r="N445" s="50">
        <v>0</v>
      </c>
    </row>
    <row r="446" spans="1:14" hidden="1" x14ac:dyDescent="0.25">
      <c r="A446" s="49" t="s">
        <v>711</v>
      </c>
      <c r="B446" s="49" t="s">
        <v>326</v>
      </c>
      <c r="C446" s="49" t="s">
        <v>327</v>
      </c>
      <c r="D446" s="49" t="s">
        <v>85</v>
      </c>
      <c r="E446" s="50">
        <v>41125000</v>
      </c>
      <c r="F446" s="50">
        <v>41545000</v>
      </c>
      <c r="G446" s="50">
        <v>41524069</v>
      </c>
      <c r="H446" s="50">
        <v>41524067.979999997</v>
      </c>
      <c r="I446" s="50">
        <v>0</v>
      </c>
      <c r="J446" s="50">
        <v>0</v>
      </c>
      <c r="K446" s="50">
        <v>0</v>
      </c>
      <c r="L446" s="50">
        <v>0</v>
      </c>
      <c r="M446" s="50">
        <v>20932.02</v>
      </c>
      <c r="N446" s="50">
        <v>1.02</v>
      </c>
    </row>
    <row r="447" spans="1:14" hidden="1" x14ac:dyDescent="0.25">
      <c r="A447" s="49" t="s">
        <v>711</v>
      </c>
      <c r="B447" s="49" t="s">
        <v>242</v>
      </c>
      <c r="C447" s="49" t="s">
        <v>243</v>
      </c>
      <c r="D447" s="49" t="s">
        <v>85</v>
      </c>
      <c r="E447" s="50">
        <v>789000</v>
      </c>
      <c r="F447" s="50">
        <v>190000</v>
      </c>
      <c r="G447" s="50">
        <v>99900</v>
      </c>
      <c r="H447" s="50">
        <v>0</v>
      </c>
      <c r="I447" s="50">
        <v>0</v>
      </c>
      <c r="J447" s="50">
        <v>74008.31</v>
      </c>
      <c r="K447" s="50">
        <v>0</v>
      </c>
      <c r="L447" s="50">
        <v>0</v>
      </c>
      <c r="M447" s="50">
        <v>115991.69</v>
      </c>
      <c r="N447" s="50">
        <v>25891.69</v>
      </c>
    </row>
    <row r="448" spans="1:14" hidden="1" x14ac:dyDescent="0.25">
      <c r="A448" s="49" t="s">
        <v>711</v>
      </c>
      <c r="B448" s="49" t="s">
        <v>244</v>
      </c>
      <c r="C448" s="49" t="s">
        <v>245</v>
      </c>
      <c r="D448" s="49" t="s">
        <v>85</v>
      </c>
      <c r="E448" s="50">
        <v>7500000</v>
      </c>
      <c r="F448" s="50">
        <v>8817000</v>
      </c>
      <c r="G448" s="50">
        <v>8817000</v>
      </c>
      <c r="H448" s="50">
        <v>0</v>
      </c>
      <c r="I448" s="50">
        <v>0</v>
      </c>
      <c r="J448" s="50">
        <v>0</v>
      </c>
      <c r="K448" s="50">
        <v>8800000</v>
      </c>
      <c r="L448" s="50">
        <v>8800000</v>
      </c>
      <c r="M448" s="50">
        <v>17000</v>
      </c>
      <c r="N448" s="50">
        <v>17000</v>
      </c>
    </row>
    <row r="449" spans="1:14" hidden="1" x14ac:dyDescent="0.25">
      <c r="A449" s="49" t="s">
        <v>711</v>
      </c>
      <c r="B449" s="49" t="s">
        <v>611</v>
      </c>
      <c r="C449" s="49" t="s">
        <v>612</v>
      </c>
      <c r="D449" s="49" t="s">
        <v>85</v>
      </c>
      <c r="E449" s="50">
        <v>7500000</v>
      </c>
      <c r="F449" s="50">
        <v>8817000</v>
      </c>
      <c r="G449" s="50">
        <v>8817000</v>
      </c>
      <c r="H449" s="50">
        <v>0</v>
      </c>
      <c r="I449" s="50">
        <v>0</v>
      </c>
      <c r="J449" s="50">
        <v>0</v>
      </c>
      <c r="K449" s="50">
        <v>8800000</v>
      </c>
      <c r="L449" s="50">
        <v>8800000</v>
      </c>
      <c r="M449" s="50">
        <v>17000</v>
      </c>
      <c r="N449" s="50">
        <v>17000</v>
      </c>
    </row>
    <row r="450" spans="1:14" x14ac:dyDescent="0.25">
      <c r="A450" s="49">
        <v>214789002</v>
      </c>
      <c r="B450" s="49"/>
      <c r="C450" s="49"/>
      <c r="D450" s="49" t="s">
        <v>69</v>
      </c>
      <c r="E450" s="50">
        <v>2218633702</v>
      </c>
      <c r="F450" s="50">
        <v>2188337693</v>
      </c>
      <c r="G450" s="50">
        <v>2007563728.8299999</v>
      </c>
      <c r="H450" s="50">
        <v>41427074.869999997</v>
      </c>
      <c r="I450" s="50">
        <v>108782117.02</v>
      </c>
      <c r="J450" s="50">
        <v>493765.37</v>
      </c>
      <c r="K450" s="50">
        <v>1432815921.23</v>
      </c>
      <c r="L450" s="50">
        <v>1429589225.6099999</v>
      </c>
      <c r="M450" s="50">
        <v>604818814.50999999</v>
      </c>
      <c r="N450" s="50">
        <v>424044850.33999997</v>
      </c>
    </row>
    <row r="451" spans="1:14" hidden="1" x14ac:dyDescent="0.25">
      <c r="A451" s="49" t="s">
        <v>712</v>
      </c>
      <c r="B451" s="49" t="s">
        <v>71</v>
      </c>
      <c r="C451" s="49" t="s">
        <v>72</v>
      </c>
      <c r="D451" s="49" t="s">
        <v>69</v>
      </c>
      <c r="E451" s="50">
        <v>1258145726</v>
      </c>
      <c r="F451" s="50">
        <v>1228348840</v>
      </c>
      <c r="G451" s="50">
        <v>1225548840</v>
      </c>
      <c r="H451" s="50">
        <v>0</v>
      </c>
      <c r="I451" s="50">
        <v>43145975</v>
      </c>
      <c r="J451" s="50">
        <v>0</v>
      </c>
      <c r="K451" s="50">
        <v>926047916.73000002</v>
      </c>
      <c r="L451" s="50">
        <v>926047916.73000002</v>
      </c>
      <c r="M451" s="50">
        <v>259154948.27000001</v>
      </c>
      <c r="N451" s="50">
        <v>256354948.27000001</v>
      </c>
    </row>
    <row r="452" spans="1:14" hidden="1" x14ac:dyDescent="0.25">
      <c r="A452" s="49" t="s">
        <v>712</v>
      </c>
      <c r="B452" s="49" t="s">
        <v>73</v>
      </c>
      <c r="C452" s="49" t="s">
        <v>74</v>
      </c>
      <c r="D452" s="49" t="s">
        <v>69</v>
      </c>
      <c r="E452" s="50">
        <v>493376624</v>
      </c>
      <c r="F452" s="50">
        <v>477092402</v>
      </c>
      <c r="G452" s="50">
        <v>477092402</v>
      </c>
      <c r="H452" s="50">
        <v>0</v>
      </c>
      <c r="I452" s="50">
        <v>0</v>
      </c>
      <c r="J452" s="50">
        <v>0</v>
      </c>
      <c r="K452" s="50">
        <v>381551464.77999997</v>
      </c>
      <c r="L452" s="50">
        <v>381551464.77999997</v>
      </c>
      <c r="M452" s="50">
        <v>95540937.219999999</v>
      </c>
      <c r="N452" s="50">
        <v>95540937.219999999</v>
      </c>
    </row>
    <row r="453" spans="1:14" hidden="1" x14ac:dyDescent="0.25">
      <c r="A453" s="49" t="s">
        <v>712</v>
      </c>
      <c r="B453" s="49" t="s">
        <v>75</v>
      </c>
      <c r="C453" s="49" t="s">
        <v>76</v>
      </c>
      <c r="D453" s="49" t="s">
        <v>69</v>
      </c>
      <c r="E453" s="50">
        <v>493376624</v>
      </c>
      <c r="F453" s="50">
        <v>477092402</v>
      </c>
      <c r="G453" s="50">
        <v>477092402</v>
      </c>
      <c r="H453" s="50">
        <v>0</v>
      </c>
      <c r="I453" s="50">
        <v>0</v>
      </c>
      <c r="J453" s="50">
        <v>0</v>
      </c>
      <c r="K453" s="50">
        <v>381551464.77999997</v>
      </c>
      <c r="L453" s="50">
        <v>381551464.77999997</v>
      </c>
      <c r="M453" s="50">
        <v>95540937.219999999</v>
      </c>
      <c r="N453" s="50">
        <v>95540937.219999999</v>
      </c>
    </row>
    <row r="454" spans="1:14" hidden="1" x14ac:dyDescent="0.25">
      <c r="A454" s="49" t="s">
        <v>712</v>
      </c>
      <c r="B454" s="49" t="s">
        <v>77</v>
      </c>
      <c r="C454" s="49" t="s">
        <v>78</v>
      </c>
      <c r="D454" s="49" t="s">
        <v>69</v>
      </c>
      <c r="E454" s="50">
        <v>572843880</v>
      </c>
      <c r="F454" s="50">
        <v>563876622</v>
      </c>
      <c r="G454" s="50">
        <v>563876622</v>
      </c>
      <c r="H454" s="50">
        <v>0</v>
      </c>
      <c r="I454" s="50">
        <v>0</v>
      </c>
      <c r="J454" s="50">
        <v>0</v>
      </c>
      <c r="K454" s="50">
        <v>404393440.94999999</v>
      </c>
      <c r="L454" s="50">
        <v>404393440.94999999</v>
      </c>
      <c r="M454" s="50">
        <v>159483181.05000001</v>
      </c>
      <c r="N454" s="50">
        <v>159483181.05000001</v>
      </c>
    </row>
    <row r="455" spans="1:14" hidden="1" x14ac:dyDescent="0.25">
      <c r="A455" s="49" t="s">
        <v>712</v>
      </c>
      <c r="B455" s="49" t="s">
        <v>79</v>
      </c>
      <c r="C455" s="49" t="s">
        <v>80</v>
      </c>
      <c r="D455" s="49" t="s">
        <v>69</v>
      </c>
      <c r="E455" s="50">
        <v>166263500</v>
      </c>
      <c r="F455" s="50">
        <v>166263500</v>
      </c>
      <c r="G455" s="50">
        <v>166263500</v>
      </c>
      <c r="H455" s="50">
        <v>0</v>
      </c>
      <c r="I455" s="50">
        <v>0</v>
      </c>
      <c r="J455" s="50">
        <v>0</v>
      </c>
      <c r="K455" s="50">
        <v>124221456.68000001</v>
      </c>
      <c r="L455" s="50">
        <v>124221456.68000001</v>
      </c>
      <c r="M455" s="50">
        <v>42042043.32</v>
      </c>
      <c r="N455" s="50">
        <v>42042043.32</v>
      </c>
    </row>
    <row r="456" spans="1:14" hidden="1" x14ac:dyDescent="0.25">
      <c r="A456" s="49" t="s">
        <v>712</v>
      </c>
      <c r="B456" s="49" t="s">
        <v>81</v>
      </c>
      <c r="C456" s="49" t="s">
        <v>82</v>
      </c>
      <c r="D456" s="49" t="s">
        <v>69</v>
      </c>
      <c r="E456" s="50">
        <v>139725380</v>
      </c>
      <c r="F456" s="50">
        <v>133724590</v>
      </c>
      <c r="G456" s="50">
        <v>133724590</v>
      </c>
      <c r="H456" s="50">
        <v>0</v>
      </c>
      <c r="I456" s="50">
        <v>0</v>
      </c>
      <c r="J456" s="50">
        <v>0</v>
      </c>
      <c r="K456" s="50">
        <v>121322307.91</v>
      </c>
      <c r="L456" s="50">
        <v>121322307.91</v>
      </c>
      <c r="M456" s="50">
        <v>12402282.09</v>
      </c>
      <c r="N456" s="50">
        <v>12402282.09</v>
      </c>
    </row>
    <row r="457" spans="1:14" hidden="1" x14ac:dyDescent="0.25">
      <c r="A457" s="49" t="s">
        <v>712</v>
      </c>
      <c r="B457" s="49" t="s">
        <v>86</v>
      </c>
      <c r="C457" s="49" t="s">
        <v>87</v>
      </c>
      <c r="D457" s="49" t="s">
        <v>69</v>
      </c>
      <c r="E457" s="50">
        <v>75278800</v>
      </c>
      <c r="F457" s="50">
        <v>75278800</v>
      </c>
      <c r="G457" s="50">
        <v>75278800</v>
      </c>
      <c r="H457" s="50">
        <v>0</v>
      </c>
      <c r="I457" s="50">
        <v>0</v>
      </c>
      <c r="J457" s="50">
        <v>0</v>
      </c>
      <c r="K457" s="50">
        <v>63401849.280000001</v>
      </c>
      <c r="L457" s="50">
        <v>63401849.280000001</v>
      </c>
      <c r="M457" s="50">
        <v>11876950.720000001</v>
      </c>
      <c r="N457" s="50">
        <v>11876950.720000001</v>
      </c>
    </row>
    <row r="458" spans="1:14" hidden="1" x14ac:dyDescent="0.25">
      <c r="A458" s="49" t="s">
        <v>712</v>
      </c>
      <c r="B458" s="49" t="s">
        <v>88</v>
      </c>
      <c r="C458" s="49" t="s">
        <v>89</v>
      </c>
      <c r="D458" s="49" t="s">
        <v>69</v>
      </c>
      <c r="E458" s="50">
        <v>109589600</v>
      </c>
      <c r="F458" s="50">
        <v>108564836</v>
      </c>
      <c r="G458" s="50">
        <v>108564836</v>
      </c>
      <c r="H458" s="50">
        <v>0</v>
      </c>
      <c r="I458" s="50">
        <v>0</v>
      </c>
      <c r="J458" s="50">
        <v>0</v>
      </c>
      <c r="K458" s="50">
        <v>95405343.769999996</v>
      </c>
      <c r="L458" s="50">
        <v>95405343.769999996</v>
      </c>
      <c r="M458" s="50">
        <v>13159492.23</v>
      </c>
      <c r="N458" s="50">
        <v>13159492.23</v>
      </c>
    </row>
    <row r="459" spans="1:14" hidden="1" x14ac:dyDescent="0.25">
      <c r="A459" s="49" t="s">
        <v>712</v>
      </c>
      <c r="B459" s="49" t="s">
        <v>83</v>
      </c>
      <c r="C459" s="49" t="s">
        <v>84</v>
      </c>
      <c r="D459" s="49" t="s">
        <v>85</v>
      </c>
      <c r="E459" s="50">
        <v>81986600</v>
      </c>
      <c r="F459" s="50">
        <v>80044896</v>
      </c>
      <c r="G459" s="50">
        <v>80044896</v>
      </c>
      <c r="H459" s="50">
        <v>0</v>
      </c>
      <c r="I459" s="50">
        <v>0</v>
      </c>
      <c r="J459" s="50">
        <v>0</v>
      </c>
      <c r="K459" s="50">
        <v>42483.31</v>
      </c>
      <c r="L459" s="50">
        <v>42483.31</v>
      </c>
      <c r="M459" s="50">
        <v>80002412.689999998</v>
      </c>
      <c r="N459" s="50">
        <v>80002412.689999998</v>
      </c>
    </row>
    <row r="460" spans="1:14" hidden="1" x14ac:dyDescent="0.25">
      <c r="A460" s="49" t="s">
        <v>712</v>
      </c>
      <c r="B460" s="49" t="s">
        <v>90</v>
      </c>
      <c r="C460" s="49" t="s">
        <v>91</v>
      </c>
      <c r="D460" s="49" t="s">
        <v>69</v>
      </c>
      <c r="E460" s="50">
        <v>95962711</v>
      </c>
      <c r="F460" s="50">
        <v>93690008</v>
      </c>
      <c r="G460" s="50">
        <v>93690008</v>
      </c>
      <c r="H460" s="50">
        <v>0</v>
      </c>
      <c r="I460" s="50">
        <v>22909849</v>
      </c>
      <c r="J460" s="50">
        <v>0</v>
      </c>
      <c r="K460" s="50">
        <v>70114744</v>
      </c>
      <c r="L460" s="50">
        <v>70114744</v>
      </c>
      <c r="M460" s="50">
        <v>665415</v>
      </c>
      <c r="N460" s="50">
        <v>665415</v>
      </c>
    </row>
    <row r="461" spans="1:14" hidden="1" x14ac:dyDescent="0.25">
      <c r="A461" s="49" t="s">
        <v>712</v>
      </c>
      <c r="B461" s="49" t="s">
        <v>422</v>
      </c>
      <c r="C461" s="49" t="s">
        <v>697</v>
      </c>
      <c r="D461" s="49" t="s">
        <v>69</v>
      </c>
      <c r="E461" s="50">
        <v>91041575</v>
      </c>
      <c r="F461" s="50">
        <v>88885421</v>
      </c>
      <c r="G461" s="50">
        <v>88885421</v>
      </c>
      <c r="H461" s="50">
        <v>0</v>
      </c>
      <c r="I461" s="50">
        <v>21735012</v>
      </c>
      <c r="J461" s="50">
        <v>0</v>
      </c>
      <c r="K461" s="50">
        <v>66519117</v>
      </c>
      <c r="L461" s="50">
        <v>66519117</v>
      </c>
      <c r="M461" s="50">
        <v>631292</v>
      </c>
      <c r="N461" s="50">
        <v>631292</v>
      </c>
    </row>
    <row r="462" spans="1:14" hidden="1" x14ac:dyDescent="0.25">
      <c r="A462" s="49" t="s">
        <v>712</v>
      </c>
      <c r="B462" s="49" t="s">
        <v>439</v>
      </c>
      <c r="C462" s="49" t="s">
        <v>95</v>
      </c>
      <c r="D462" s="49" t="s">
        <v>69</v>
      </c>
      <c r="E462" s="50">
        <v>4921136</v>
      </c>
      <c r="F462" s="50">
        <v>4804587</v>
      </c>
      <c r="G462" s="50">
        <v>4804587</v>
      </c>
      <c r="H462" s="50">
        <v>0</v>
      </c>
      <c r="I462" s="50">
        <v>1174837</v>
      </c>
      <c r="J462" s="50">
        <v>0</v>
      </c>
      <c r="K462" s="50">
        <v>3595627</v>
      </c>
      <c r="L462" s="50">
        <v>3595627</v>
      </c>
      <c r="M462" s="50">
        <v>34123</v>
      </c>
      <c r="N462" s="50">
        <v>34123</v>
      </c>
    </row>
    <row r="463" spans="1:14" hidden="1" x14ac:dyDescent="0.25">
      <c r="A463" s="49" t="s">
        <v>712</v>
      </c>
      <c r="B463" s="49" t="s">
        <v>96</v>
      </c>
      <c r="C463" s="49" t="s">
        <v>97</v>
      </c>
      <c r="D463" s="49" t="s">
        <v>69</v>
      </c>
      <c r="E463" s="50">
        <v>95962511</v>
      </c>
      <c r="F463" s="50">
        <v>93689808</v>
      </c>
      <c r="G463" s="50">
        <v>90889808</v>
      </c>
      <c r="H463" s="50">
        <v>0</v>
      </c>
      <c r="I463" s="50">
        <v>20236126</v>
      </c>
      <c r="J463" s="50">
        <v>0</v>
      </c>
      <c r="K463" s="50">
        <v>69988267</v>
      </c>
      <c r="L463" s="50">
        <v>69988267</v>
      </c>
      <c r="M463" s="50">
        <v>3465415</v>
      </c>
      <c r="N463" s="50">
        <v>665415</v>
      </c>
    </row>
    <row r="464" spans="1:14" hidden="1" x14ac:dyDescent="0.25">
      <c r="A464" s="49" t="s">
        <v>712</v>
      </c>
      <c r="B464" s="49" t="s">
        <v>457</v>
      </c>
      <c r="C464" s="49" t="s">
        <v>698</v>
      </c>
      <c r="D464" s="49" t="s">
        <v>69</v>
      </c>
      <c r="E464" s="50">
        <v>51672183</v>
      </c>
      <c r="F464" s="50">
        <v>50448420</v>
      </c>
      <c r="G464" s="50">
        <v>50448420</v>
      </c>
      <c r="H464" s="50">
        <v>0</v>
      </c>
      <c r="I464" s="50">
        <v>12462504</v>
      </c>
      <c r="J464" s="50">
        <v>0</v>
      </c>
      <c r="K464" s="50">
        <v>37627615</v>
      </c>
      <c r="L464" s="50">
        <v>37627615</v>
      </c>
      <c r="M464" s="50">
        <v>358301</v>
      </c>
      <c r="N464" s="50">
        <v>358301</v>
      </c>
    </row>
    <row r="465" spans="1:14" hidden="1" x14ac:dyDescent="0.25">
      <c r="A465" s="49" t="s">
        <v>712</v>
      </c>
      <c r="B465" s="49" t="s">
        <v>474</v>
      </c>
      <c r="C465" s="49" t="s">
        <v>699</v>
      </c>
      <c r="D465" s="49" t="s">
        <v>69</v>
      </c>
      <c r="E465" s="50">
        <v>14763409</v>
      </c>
      <c r="F465" s="50">
        <v>14413762</v>
      </c>
      <c r="G465" s="50">
        <v>14413762</v>
      </c>
      <c r="H465" s="50">
        <v>0</v>
      </c>
      <c r="I465" s="50">
        <v>3524508</v>
      </c>
      <c r="J465" s="50">
        <v>0</v>
      </c>
      <c r="K465" s="50">
        <v>10786883</v>
      </c>
      <c r="L465" s="50">
        <v>10786883</v>
      </c>
      <c r="M465" s="50">
        <v>102371</v>
      </c>
      <c r="N465" s="50">
        <v>102371</v>
      </c>
    </row>
    <row r="466" spans="1:14" hidden="1" x14ac:dyDescent="0.25">
      <c r="A466" s="49" t="s">
        <v>712</v>
      </c>
      <c r="B466" s="49" t="s">
        <v>491</v>
      </c>
      <c r="C466" s="49" t="s">
        <v>700</v>
      </c>
      <c r="D466" s="49" t="s">
        <v>69</v>
      </c>
      <c r="E466" s="50">
        <v>29526919</v>
      </c>
      <c r="F466" s="50">
        <v>28827626</v>
      </c>
      <c r="G466" s="50">
        <v>26027626</v>
      </c>
      <c r="H466" s="50">
        <v>0</v>
      </c>
      <c r="I466" s="50">
        <v>4249114</v>
      </c>
      <c r="J466" s="50">
        <v>0</v>
      </c>
      <c r="K466" s="50">
        <v>21573769</v>
      </c>
      <c r="L466" s="50">
        <v>21573769</v>
      </c>
      <c r="M466" s="50">
        <v>3004743</v>
      </c>
      <c r="N466" s="50">
        <v>204743</v>
      </c>
    </row>
    <row r="467" spans="1:14" hidden="1" x14ac:dyDescent="0.25">
      <c r="A467" s="49" t="s">
        <v>712</v>
      </c>
      <c r="B467" s="49" t="s">
        <v>104</v>
      </c>
      <c r="C467" s="49" t="s">
        <v>105</v>
      </c>
      <c r="D467" s="49" t="s">
        <v>69</v>
      </c>
      <c r="E467" s="50">
        <v>306630000</v>
      </c>
      <c r="F467" s="50">
        <v>306606621</v>
      </c>
      <c r="G467" s="50">
        <v>306606620.5</v>
      </c>
      <c r="H467" s="50">
        <v>0</v>
      </c>
      <c r="I467" s="50">
        <v>21919648.710000001</v>
      </c>
      <c r="J467" s="50">
        <v>0</v>
      </c>
      <c r="K467" s="50">
        <v>239490358.86000001</v>
      </c>
      <c r="L467" s="50">
        <v>238277169</v>
      </c>
      <c r="M467" s="50">
        <v>45196613.43</v>
      </c>
      <c r="N467" s="50">
        <v>45196612.93</v>
      </c>
    </row>
    <row r="468" spans="1:14" hidden="1" x14ac:dyDescent="0.25">
      <c r="A468" s="49" t="s">
        <v>712</v>
      </c>
      <c r="B468" s="49" t="s">
        <v>112</v>
      </c>
      <c r="C468" s="49" t="s">
        <v>113</v>
      </c>
      <c r="D468" s="49" t="s">
        <v>69</v>
      </c>
      <c r="E468" s="50">
        <v>291630000</v>
      </c>
      <c r="F468" s="50">
        <v>291640000</v>
      </c>
      <c r="G468" s="50">
        <v>291639999.5</v>
      </c>
      <c r="H468" s="50">
        <v>0</v>
      </c>
      <c r="I468" s="50">
        <v>10050220.77</v>
      </c>
      <c r="J468" s="50">
        <v>0</v>
      </c>
      <c r="K468" s="50">
        <v>237118825.34999999</v>
      </c>
      <c r="L468" s="50">
        <v>237118825.34999999</v>
      </c>
      <c r="M468" s="50">
        <v>44470953.880000003</v>
      </c>
      <c r="N468" s="50">
        <v>44470953.380000003</v>
      </c>
    </row>
    <row r="469" spans="1:14" hidden="1" x14ac:dyDescent="0.25">
      <c r="A469" s="49" t="s">
        <v>712</v>
      </c>
      <c r="B469" s="49" t="s">
        <v>114</v>
      </c>
      <c r="C469" s="49" t="s">
        <v>115</v>
      </c>
      <c r="D469" s="49" t="s">
        <v>69</v>
      </c>
      <c r="E469" s="50">
        <v>221840000</v>
      </c>
      <c r="F469" s="50">
        <v>221840000</v>
      </c>
      <c r="G469" s="50">
        <v>221839999.5</v>
      </c>
      <c r="H469" s="50">
        <v>0</v>
      </c>
      <c r="I469" s="50">
        <v>4904956.12</v>
      </c>
      <c r="J469" s="50">
        <v>0</v>
      </c>
      <c r="K469" s="50">
        <v>192059090</v>
      </c>
      <c r="L469" s="50">
        <v>192059090</v>
      </c>
      <c r="M469" s="50">
        <v>24875953.879999999</v>
      </c>
      <c r="N469" s="50">
        <v>24875953.379999999</v>
      </c>
    </row>
    <row r="470" spans="1:14" hidden="1" x14ac:dyDescent="0.25">
      <c r="A470" s="49" t="s">
        <v>712</v>
      </c>
      <c r="B470" s="49" t="s">
        <v>116</v>
      </c>
      <c r="C470" s="49" t="s">
        <v>117</v>
      </c>
      <c r="D470" s="49" t="s">
        <v>69</v>
      </c>
      <c r="E470" s="50">
        <v>52200000</v>
      </c>
      <c r="F470" s="50">
        <v>52200000</v>
      </c>
      <c r="G470" s="50">
        <v>52200000</v>
      </c>
      <c r="H470" s="50">
        <v>0</v>
      </c>
      <c r="I470" s="50">
        <v>3589310</v>
      </c>
      <c r="J470" s="50">
        <v>0</v>
      </c>
      <c r="K470" s="50">
        <v>35560690</v>
      </c>
      <c r="L470" s="50">
        <v>35560690</v>
      </c>
      <c r="M470" s="50">
        <v>13050000</v>
      </c>
      <c r="N470" s="50">
        <v>13050000</v>
      </c>
    </row>
    <row r="471" spans="1:14" hidden="1" x14ac:dyDescent="0.25">
      <c r="A471" s="49" t="s">
        <v>712</v>
      </c>
      <c r="B471" s="49" t="s">
        <v>120</v>
      </c>
      <c r="C471" s="49" t="s">
        <v>121</v>
      </c>
      <c r="D471" s="49" t="s">
        <v>69</v>
      </c>
      <c r="E471" s="50">
        <v>13090000</v>
      </c>
      <c r="F471" s="50">
        <v>13090000</v>
      </c>
      <c r="G471" s="50">
        <v>13090000</v>
      </c>
      <c r="H471" s="50">
        <v>0</v>
      </c>
      <c r="I471" s="50">
        <v>1553779.65</v>
      </c>
      <c r="J471" s="50">
        <v>0</v>
      </c>
      <c r="K471" s="50">
        <v>4991220.3499999996</v>
      </c>
      <c r="L471" s="50">
        <v>4991220.3499999996</v>
      </c>
      <c r="M471" s="50">
        <v>6545000</v>
      </c>
      <c r="N471" s="50">
        <v>6545000</v>
      </c>
    </row>
    <row r="472" spans="1:14" hidden="1" x14ac:dyDescent="0.25">
      <c r="A472" s="49" t="s">
        <v>712</v>
      </c>
      <c r="B472" s="49" t="s">
        <v>122</v>
      </c>
      <c r="C472" s="49" t="s">
        <v>123</v>
      </c>
      <c r="D472" s="49" t="s">
        <v>69</v>
      </c>
      <c r="E472" s="50">
        <v>4500000</v>
      </c>
      <c r="F472" s="50">
        <v>4510000</v>
      </c>
      <c r="G472" s="50">
        <v>4510000</v>
      </c>
      <c r="H472" s="50">
        <v>0</v>
      </c>
      <c r="I472" s="50">
        <v>2175</v>
      </c>
      <c r="J472" s="50">
        <v>0</v>
      </c>
      <c r="K472" s="50">
        <v>4507825</v>
      </c>
      <c r="L472" s="50">
        <v>4507825</v>
      </c>
      <c r="M472" s="50">
        <v>0</v>
      </c>
      <c r="N472" s="50">
        <v>0</v>
      </c>
    </row>
    <row r="473" spans="1:14" hidden="1" x14ac:dyDescent="0.25">
      <c r="A473" s="49" t="s">
        <v>712</v>
      </c>
      <c r="B473" s="49" t="s">
        <v>162</v>
      </c>
      <c r="C473" s="49" t="s">
        <v>163</v>
      </c>
      <c r="D473" s="49" t="s">
        <v>69</v>
      </c>
      <c r="E473" s="50">
        <v>15000000</v>
      </c>
      <c r="F473" s="50">
        <v>14966621</v>
      </c>
      <c r="G473" s="50">
        <v>14966621</v>
      </c>
      <c r="H473" s="50">
        <v>0</v>
      </c>
      <c r="I473" s="50">
        <v>11869427.939999999</v>
      </c>
      <c r="J473" s="50">
        <v>0</v>
      </c>
      <c r="K473" s="50">
        <v>2371533.5099999998</v>
      </c>
      <c r="L473" s="50">
        <v>1158343.6499999999</v>
      </c>
      <c r="M473" s="50">
        <v>725659.55</v>
      </c>
      <c r="N473" s="50">
        <v>725659.55</v>
      </c>
    </row>
    <row r="474" spans="1:14" hidden="1" x14ac:dyDescent="0.25">
      <c r="A474" s="49" t="s">
        <v>712</v>
      </c>
      <c r="B474" s="49" t="s">
        <v>164</v>
      </c>
      <c r="C474" s="49" t="s">
        <v>165</v>
      </c>
      <c r="D474" s="49" t="s">
        <v>69</v>
      </c>
      <c r="E474" s="50">
        <v>15000000</v>
      </c>
      <c r="F474" s="50">
        <v>14966621</v>
      </c>
      <c r="G474" s="50">
        <v>14966621</v>
      </c>
      <c r="H474" s="50">
        <v>0</v>
      </c>
      <c r="I474" s="50">
        <v>11869427.939999999</v>
      </c>
      <c r="J474" s="50">
        <v>0</v>
      </c>
      <c r="K474" s="50">
        <v>2371533.5099999998</v>
      </c>
      <c r="L474" s="50">
        <v>1158343.6499999999</v>
      </c>
      <c r="M474" s="50">
        <v>725659.55</v>
      </c>
      <c r="N474" s="50">
        <v>725659.55</v>
      </c>
    </row>
    <row r="475" spans="1:14" hidden="1" x14ac:dyDescent="0.25">
      <c r="A475" s="49" t="s">
        <v>712</v>
      </c>
      <c r="B475" s="49" t="s">
        <v>184</v>
      </c>
      <c r="C475" s="49" t="s">
        <v>185</v>
      </c>
      <c r="D475" s="49" t="s">
        <v>69</v>
      </c>
      <c r="E475" s="50">
        <v>621407272</v>
      </c>
      <c r="F475" s="50">
        <v>621318468</v>
      </c>
      <c r="G475" s="50">
        <v>443344504.32999998</v>
      </c>
      <c r="H475" s="50">
        <v>38347074.869999997</v>
      </c>
      <c r="I475" s="50">
        <v>39689527.310000002</v>
      </c>
      <c r="J475" s="50">
        <v>493765.37</v>
      </c>
      <c r="K475" s="50">
        <v>245972618.63999999</v>
      </c>
      <c r="L475" s="50">
        <v>243959112.88</v>
      </c>
      <c r="M475" s="50">
        <v>296815481.81</v>
      </c>
      <c r="N475" s="50">
        <v>118841518.14</v>
      </c>
    </row>
    <row r="476" spans="1:14" hidden="1" x14ac:dyDescent="0.25">
      <c r="A476" s="49" t="s">
        <v>712</v>
      </c>
      <c r="B476" s="49" t="s">
        <v>186</v>
      </c>
      <c r="C476" s="49" t="s">
        <v>187</v>
      </c>
      <c r="D476" s="49" t="s">
        <v>69</v>
      </c>
      <c r="E476" s="50">
        <v>25251750</v>
      </c>
      <c r="F476" s="50">
        <v>25251750</v>
      </c>
      <c r="G476" s="50">
        <v>9185560.1999999993</v>
      </c>
      <c r="H476" s="50">
        <v>0</v>
      </c>
      <c r="I476" s="50">
        <v>142476.37</v>
      </c>
      <c r="J476" s="50">
        <v>0</v>
      </c>
      <c r="K476" s="50">
        <v>0</v>
      </c>
      <c r="L476" s="50">
        <v>0</v>
      </c>
      <c r="M476" s="50">
        <v>25109273.629999999</v>
      </c>
      <c r="N476" s="50">
        <v>9043083.8300000001</v>
      </c>
    </row>
    <row r="477" spans="1:14" hidden="1" x14ac:dyDescent="0.25">
      <c r="A477" s="49" t="s">
        <v>712</v>
      </c>
      <c r="B477" s="49" t="s">
        <v>188</v>
      </c>
      <c r="C477" s="49" t="s">
        <v>189</v>
      </c>
      <c r="D477" s="49" t="s">
        <v>69</v>
      </c>
      <c r="E477" s="50">
        <v>24819750</v>
      </c>
      <c r="F477" s="50">
        <v>24819750</v>
      </c>
      <c r="G477" s="50">
        <v>8754186.1999999993</v>
      </c>
      <c r="H477" s="50">
        <v>0</v>
      </c>
      <c r="I477" s="50">
        <v>0</v>
      </c>
      <c r="J477" s="50">
        <v>0</v>
      </c>
      <c r="K477" s="50">
        <v>0</v>
      </c>
      <c r="L477" s="50">
        <v>0</v>
      </c>
      <c r="M477" s="50">
        <v>24819750</v>
      </c>
      <c r="N477" s="50">
        <v>8754186.1999999993</v>
      </c>
    </row>
    <row r="478" spans="1:14" hidden="1" x14ac:dyDescent="0.25">
      <c r="A478" s="49" t="s">
        <v>712</v>
      </c>
      <c r="B478" s="49" t="s">
        <v>190</v>
      </c>
      <c r="C478" s="49" t="s">
        <v>191</v>
      </c>
      <c r="D478" s="49" t="s">
        <v>69</v>
      </c>
      <c r="E478" s="50">
        <v>197000</v>
      </c>
      <c r="F478" s="50">
        <v>432000</v>
      </c>
      <c r="G478" s="50">
        <v>431374</v>
      </c>
      <c r="H478" s="50">
        <v>0</v>
      </c>
      <c r="I478" s="50">
        <v>142476.37</v>
      </c>
      <c r="J478" s="50">
        <v>0</v>
      </c>
      <c r="K478" s="50">
        <v>0</v>
      </c>
      <c r="L478" s="50">
        <v>0</v>
      </c>
      <c r="M478" s="50">
        <v>289523.63</v>
      </c>
      <c r="N478" s="50">
        <v>288897.63</v>
      </c>
    </row>
    <row r="479" spans="1:14" hidden="1" x14ac:dyDescent="0.25">
      <c r="A479" s="49" t="s">
        <v>712</v>
      </c>
      <c r="B479" s="49" t="s">
        <v>194</v>
      </c>
      <c r="C479" s="49" t="s">
        <v>195</v>
      </c>
      <c r="D479" s="49" t="s">
        <v>69</v>
      </c>
      <c r="E479" s="50">
        <v>235000</v>
      </c>
      <c r="F479" s="50">
        <v>0</v>
      </c>
      <c r="G479" s="50">
        <v>0</v>
      </c>
      <c r="H479" s="50">
        <v>0</v>
      </c>
      <c r="I479" s="50">
        <v>0</v>
      </c>
      <c r="J479" s="50">
        <v>0</v>
      </c>
      <c r="K479" s="50">
        <v>0</v>
      </c>
      <c r="L479" s="50">
        <v>0</v>
      </c>
      <c r="M479" s="50">
        <v>0</v>
      </c>
      <c r="N479" s="50">
        <v>0</v>
      </c>
    </row>
    <row r="480" spans="1:14" hidden="1" x14ac:dyDescent="0.25">
      <c r="A480" s="49" t="s">
        <v>712</v>
      </c>
      <c r="B480" s="49" t="s">
        <v>196</v>
      </c>
      <c r="C480" s="49" t="s">
        <v>197</v>
      </c>
      <c r="D480" s="49" t="s">
        <v>69</v>
      </c>
      <c r="E480" s="50">
        <v>582942552</v>
      </c>
      <c r="F480" s="50">
        <v>582942552</v>
      </c>
      <c r="G480" s="50">
        <v>421043122.13</v>
      </c>
      <c r="H480" s="50">
        <v>38314164.869999997</v>
      </c>
      <c r="I480" s="50">
        <v>38695073.789999999</v>
      </c>
      <c r="J480" s="50">
        <v>493765.37</v>
      </c>
      <c r="K480" s="50">
        <v>235942395.12</v>
      </c>
      <c r="L480" s="50">
        <v>233928889.36000001</v>
      </c>
      <c r="M480" s="50">
        <v>269497152.85000002</v>
      </c>
      <c r="N480" s="50">
        <v>107597722.98</v>
      </c>
    </row>
    <row r="481" spans="1:14" hidden="1" x14ac:dyDescent="0.25">
      <c r="A481" s="49" t="s">
        <v>712</v>
      </c>
      <c r="B481" s="49" t="s">
        <v>198</v>
      </c>
      <c r="C481" s="49" t="s">
        <v>199</v>
      </c>
      <c r="D481" s="49" t="s">
        <v>69</v>
      </c>
      <c r="E481" s="50">
        <v>582942552</v>
      </c>
      <c r="F481" s="50">
        <v>582942552</v>
      </c>
      <c r="G481" s="50">
        <v>421043122.13</v>
      </c>
      <c r="H481" s="50">
        <v>38314164.869999997</v>
      </c>
      <c r="I481" s="50">
        <v>38695073.789999999</v>
      </c>
      <c r="J481" s="50">
        <v>493765.37</v>
      </c>
      <c r="K481" s="50">
        <v>235942395.12</v>
      </c>
      <c r="L481" s="50">
        <v>233928889.36000001</v>
      </c>
      <c r="M481" s="50">
        <v>269497152.85000002</v>
      </c>
      <c r="N481" s="50">
        <v>107597722.98</v>
      </c>
    </row>
    <row r="482" spans="1:14" hidden="1" x14ac:dyDescent="0.25">
      <c r="A482" s="49" t="s">
        <v>712</v>
      </c>
      <c r="B482" s="49" t="s">
        <v>206</v>
      </c>
      <c r="C482" s="49" t="s">
        <v>207</v>
      </c>
      <c r="D482" s="49" t="s">
        <v>69</v>
      </c>
      <c r="E482" s="50">
        <v>367200</v>
      </c>
      <c r="F482" s="50">
        <v>367200</v>
      </c>
      <c r="G482" s="50">
        <v>367200</v>
      </c>
      <c r="H482" s="50">
        <v>0</v>
      </c>
      <c r="I482" s="50">
        <v>0</v>
      </c>
      <c r="J482" s="50">
        <v>0</v>
      </c>
      <c r="K482" s="50">
        <v>0</v>
      </c>
      <c r="L482" s="50">
        <v>0</v>
      </c>
      <c r="M482" s="50">
        <v>367200</v>
      </c>
      <c r="N482" s="50">
        <v>367200</v>
      </c>
    </row>
    <row r="483" spans="1:14" hidden="1" x14ac:dyDescent="0.25">
      <c r="A483" s="49" t="s">
        <v>712</v>
      </c>
      <c r="B483" s="49" t="s">
        <v>208</v>
      </c>
      <c r="C483" s="49" t="s">
        <v>209</v>
      </c>
      <c r="D483" s="49" t="s">
        <v>69</v>
      </c>
      <c r="E483" s="50">
        <v>367200</v>
      </c>
      <c r="F483" s="50">
        <v>367200</v>
      </c>
      <c r="G483" s="50">
        <v>367200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50">
        <v>367200</v>
      </c>
      <c r="N483" s="50">
        <v>367200</v>
      </c>
    </row>
    <row r="484" spans="1:14" hidden="1" x14ac:dyDescent="0.25">
      <c r="A484" s="49" t="s">
        <v>712</v>
      </c>
      <c r="B484" s="49" t="s">
        <v>354</v>
      </c>
      <c r="C484" s="49" t="s">
        <v>355</v>
      </c>
      <c r="D484" s="49" t="s">
        <v>69</v>
      </c>
      <c r="E484" s="50">
        <v>6280000</v>
      </c>
      <c r="F484" s="50">
        <v>6277196</v>
      </c>
      <c r="G484" s="50">
        <v>6277196</v>
      </c>
      <c r="H484" s="50">
        <v>0</v>
      </c>
      <c r="I484" s="50">
        <v>0</v>
      </c>
      <c r="J484" s="50">
        <v>0</v>
      </c>
      <c r="K484" s="50">
        <v>6277195.2000000002</v>
      </c>
      <c r="L484" s="50">
        <v>6277195.2000000002</v>
      </c>
      <c r="M484" s="50">
        <v>0.8</v>
      </c>
      <c r="N484" s="50">
        <v>0.8</v>
      </c>
    </row>
    <row r="485" spans="1:14" hidden="1" x14ac:dyDescent="0.25">
      <c r="A485" s="49" t="s">
        <v>712</v>
      </c>
      <c r="B485" s="49" t="s">
        <v>356</v>
      </c>
      <c r="C485" s="49" t="s">
        <v>357</v>
      </c>
      <c r="D485" s="49" t="s">
        <v>69</v>
      </c>
      <c r="E485" s="50">
        <v>6280000</v>
      </c>
      <c r="F485" s="50">
        <v>6277196</v>
      </c>
      <c r="G485" s="50">
        <v>6277196</v>
      </c>
      <c r="H485" s="50">
        <v>0</v>
      </c>
      <c r="I485" s="50">
        <v>0</v>
      </c>
      <c r="J485" s="50">
        <v>0</v>
      </c>
      <c r="K485" s="50">
        <v>6277195.2000000002</v>
      </c>
      <c r="L485" s="50">
        <v>6277195.2000000002</v>
      </c>
      <c r="M485" s="50">
        <v>0.8</v>
      </c>
      <c r="N485" s="50">
        <v>0.8</v>
      </c>
    </row>
    <row r="486" spans="1:14" hidden="1" x14ac:dyDescent="0.25">
      <c r="A486" s="49" t="s">
        <v>712</v>
      </c>
      <c r="B486" s="49" t="s">
        <v>212</v>
      </c>
      <c r="C486" s="49" t="s">
        <v>213</v>
      </c>
      <c r="D486" s="49" t="s">
        <v>69</v>
      </c>
      <c r="E486" s="50">
        <v>6565770</v>
      </c>
      <c r="F486" s="50">
        <v>6479770</v>
      </c>
      <c r="G486" s="50">
        <v>6471426</v>
      </c>
      <c r="H486" s="50">
        <v>32910</v>
      </c>
      <c r="I486" s="50">
        <v>851977.15</v>
      </c>
      <c r="J486" s="50">
        <v>0</v>
      </c>
      <c r="K486" s="50">
        <v>3753028.32</v>
      </c>
      <c r="L486" s="50">
        <v>3753028.32</v>
      </c>
      <c r="M486" s="50">
        <v>1841854.53</v>
      </c>
      <c r="N486" s="50">
        <v>1833510.53</v>
      </c>
    </row>
    <row r="487" spans="1:14" hidden="1" x14ac:dyDescent="0.25">
      <c r="A487" s="49" t="s">
        <v>712</v>
      </c>
      <c r="B487" s="49" t="s">
        <v>216</v>
      </c>
      <c r="C487" s="49" t="s">
        <v>217</v>
      </c>
      <c r="D487" s="49" t="s">
        <v>69</v>
      </c>
      <c r="E487" s="50">
        <v>1076170</v>
      </c>
      <c r="F487" s="50">
        <v>1076170</v>
      </c>
      <c r="G487" s="50">
        <v>1076170</v>
      </c>
      <c r="H487" s="50">
        <v>32910</v>
      </c>
      <c r="I487" s="50">
        <v>604425</v>
      </c>
      <c r="J487" s="50">
        <v>0</v>
      </c>
      <c r="K487" s="50">
        <v>0</v>
      </c>
      <c r="L487" s="50">
        <v>0</v>
      </c>
      <c r="M487" s="50">
        <v>438835</v>
      </c>
      <c r="N487" s="50">
        <v>438835</v>
      </c>
    </row>
    <row r="488" spans="1:14" hidden="1" x14ac:dyDescent="0.25">
      <c r="A488" s="49" t="s">
        <v>712</v>
      </c>
      <c r="B488" s="49" t="s">
        <v>218</v>
      </c>
      <c r="C488" s="49" t="s">
        <v>219</v>
      </c>
      <c r="D488" s="49" t="s">
        <v>69</v>
      </c>
      <c r="E488" s="50">
        <v>333500</v>
      </c>
      <c r="F488" s="50">
        <v>333500</v>
      </c>
      <c r="G488" s="50">
        <v>328569</v>
      </c>
      <c r="H488" s="50">
        <v>0</v>
      </c>
      <c r="I488" s="50">
        <v>242970</v>
      </c>
      <c r="J488" s="50">
        <v>0</v>
      </c>
      <c r="K488" s="50">
        <v>0</v>
      </c>
      <c r="L488" s="50">
        <v>0</v>
      </c>
      <c r="M488" s="50">
        <v>90530</v>
      </c>
      <c r="N488" s="50">
        <v>85599</v>
      </c>
    </row>
    <row r="489" spans="1:14" hidden="1" x14ac:dyDescent="0.25">
      <c r="A489" s="49" t="s">
        <v>712</v>
      </c>
      <c r="B489" s="49" t="s">
        <v>220</v>
      </c>
      <c r="C489" s="49" t="s">
        <v>221</v>
      </c>
      <c r="D489" s="49" t="s">
        <v>69</v>
      </c>
      <c r="E489" s="50">
        <v>2531700</v>
      </c>
      <c r="F489" s="50">
        <v>2530600</v>
      </c>
      <c r="G489" s="50">
        <v>2530600</v>
      </c>
      <c r="H489" s="50">
        <v>0</v>
      </c>
      <c r="I489" s="50">
        <v>0</v>
      </c>
      <c r="J489" s="50">
        <v>0</v>
      </c>
      <c r="K489" s="50">
        <v>2280937.77</v>
      </c>
      <c r="L489" s="50">
        <v>2280937.77</v>
      </c>
      <c r="M489" s="50">
        <v>249662.23</v>
      </c>
      <c r="N489" s="50">
        <v>249662.23</v>
      </c>
    </row>
    <row r="490" spans="1:14" hidden="1" x14ac:dyDescent="0.25">
      <c r="A490" s="49" t="s">
        <v>712</v>
      </c>
      <c r="B490" s="49" t="s">
        <v>224</v>
      </c>
      <c r="C490" s="49" t="s">
        <v>225</v>
      </c>
      <c r="D490" s="49" t="s">
        <v>69</v>
      </c>
      <c r="E490" s="50">
        <v>525000</v>
      </c>
      <c r="F490" s="50">
        <v>495000</v>
      </c>
      <c r="G490" s="50">
        <v>491587</v>
      </c>
      <c r="H490" s="50">
        <v>0</v>
      </c>
      <c r="I490" s="50">
        <v>4582.1499999999996</v>
      </c>
      <c r="J490" s="50">
        <v>0</v>
      </c>
      <c r="K490" s="50">
        <v>176280</v>
      </c>
      <c r="L490" s="50">
        <v>176280</v>
      </c>
      <c r="M490" s="50">
        <v>314137.84999999998</v>
      </c>
      <c r="N490" s="50">
        <v>310724.84999999998</v>
      </c>
    </row>
    <row r="491" spans="1:14" hidden="1" x14ac:dyDescent="0.25">
      <c r="A491" s="49" t="s">
        <v>712</v>
      </c>
      <c r="B491" s="49" t="s">
        <v>226</v>
      </c>
      <c r="C491" s="49" t="s">
        <v>227</v>
      </c>
      <c r="D491" s="49" t="s">
        <v>69</v>
      </c>
      <c r="E491" s="50">
        <v>2094900</v>
      </c>
      <c r="F491" s="50">
        <v>2040000</v>
      </c>
      <c r="G491" s="50">
        <v>2040000</v>
      </c>
      <c r="H491" s="50">
        <v>0</v>
      </c>
      <c r="I491" s="50">
        <v>0</v>
      </c>
      <c r="J491" s="50">
        <v>0</v>
      </c>
      <c r="K491" s="50">
        <v>1295810.55</v>
      </c>
      <c r="L491" s="50">
        <v>1295810.55</v>
      </c>
      <c r="M491" s="50">
        <v>744189.45</v>
      </c>
      <c r="N491" s="50">
        <v>744189.45</v>
      </c>
    </row>
    <row r="492" spans="1:14" hidden="1" x14ac:dyDescent="0.25">
      <c r="A492" s="49" t="s">
        <v>712</v>
      </c>
      <c r="B492" s="49" t="s">
        <v>228</v>
      </c>
      <c r="C492" s="49" t="s">
        <v>229</v>
      </c>
      <c r="D492" s="49" t="s">
        <v>69</v>
      </c>
      <c r="E492" s="50">
        <v>4500</v>
      </c>
      <c r="F492" s="50">
        <v>4500</v>
      </c>
      <c r="G492" s="50">
        <v>4500</v>
      </c>
      <c r="H492" s="50">
        <v>0</v>
      </c>
      <c r="I492" s="50">
        <v>0</v>
      </c>
      <c r="J492" s="50">
        <v>0</v>
      </c>
      <c r="K492" s="50">
        <v>0</v>
      </c>
      <c r="L492" s="50">
        <v>0</v>
      </c>
      <c r="M492" s="50">
        <v>4500</v>
      </c>
      <c r="N492" s="50">
        <v>4500</v>
      </c>
    </row>
    <row r="493" spans="1:14" hidden="1" x14ac:dyDescent="0.25">
      <c r="A493" s="49" t="s">
        <v>712</v>
      </c>
      <c r="B493" s="49" t="s">
        <v>248</v>
      </c>
      <c r="C493" s="49" t="s">
        <v>249</v>
      </c>
      <c r="D493" s="49" t="s">
        <v>69</v>
      </c>
      <c r="E493" s="50">
        <v>21838204</v>
      </c>
      <c r="F493" s="50">
        <v>21451264</v>
      </c>
      <c r="G493" s="50">
        <v>21451264</v>
      </c>
      <c r="H493" s="50">
        <v>0</v>
      </c>
      <c r="I493" s="50">
        <v>4026966</v>
      </c>
      <c r="J493" s="50">
        <v>0</v>
      </c>
      <c r="K493" s="50">
        <v>15486227</v>
      </c>
      <c r="L493" s="50">
        <v>15486227</v>
      </c>
      <c r="M493" s="50">
        <v>1938071</v>
      </c>
      <c r="N493" s="50">
        <v>1938071</v>
      </c>
    </row>
    <row r="494" spans="1:14" hidden="1" x14ac:dyDescent="0.25">
      <c r="A494" s="49" t="s">
        <v>712</v>
      </c>
      <c r="B494" s="49" t="s">
        <v>250</v>
      </c>
      <c r="C494" s="49" t="s">
        <v>251</v>
      </c>
      <c r="D494" s="49" t="s">
        <v>69</v>
      </c>
      <c r="E494" s="50">
        <v>16338204</v>
      </c>
      <c r="F494" s="50">
        <v>15951264</v>
      </c>
      <c r="G494" s="50">
        <v>15951264</v>
      </c>
      <c r="H494" s="50">
        <v>0</v>
      </c>
      <c r="I494" s="50">
        <v>4026966</v>
      </c>
      <c r="J494" s="50">
        <v>0</v>
      </c>
      <c r="K494" s="50">
        <v>11811007</v>
      </c>
      <c r="L494" s="50">
        <v>11811007</v>
      </c>
      <c r="M494" s="50">
        <v>113291</v>
      </c>
      <c r="N494" s="50">
        <v>113291</v>
      </c>
    </row>
    <row r="495" spans="1:14" hidden="1" x14ac:dyDescent="0.25">
      <c r="A495" s="49" t="s">
        <v>712</v>
      </c>
      <c r="B495" s="49" t="s">
        <v>631</v>
      </c>
      <c r="C495" s="49" t="s">
        <v>702</v>
      </c>
      <c r="D495" s="49" t="s">
        <v>69</v>
      </c>
      <c r="E495" s="50">
        <v>13877686</v>
      </c>
      <c r="F495" s="50">
        <v>13549019</v>
      </c>
      <c r="G495" s="50">
        <v>13549019</v>
      </c>
      <c r="H495" s="50">
        <v>0</v>
      </c>
      <c r="I495" s="50">
        <v>3439599</v>
      </c>
      <c r="J495" s="50">
        <v>0</v>
      </c>
      <c r="K495" s="50">
        <v>10013191</v>
      </c>
      <c r="L495" s="50">
        <v>10013191</v>
      </c>
      <c r="M495" s="50">
        <v>96229</v>
      </c>
      <c r="N495" s="50">
        <v>96229</v>
      </c>
    </row>
    <row r="496" spans="1:14" hidden="1" x14ac:dyDescent="0.25">
      <c r="A496" s="49" t="s">
        <v>712</v>
      </c>
      <c r="B496" s="49" t="s">
        <v>646</v>
      </c>
      <c r="C496" s="49" t="s">
        <v>703</v>
      </c>
      <c r="D496" s="49" t="s">
        <v>69</v>
      </c>
      <c r="E496" s="50">
        <v>2460518</v>
      </c>
      <c r="F496" s="50">
        <v>2402245</v>
      </c>
      <c r="G496" s="50">
        <v>2402245</v>
      </c>
      <c r="H496" s="50">
        <v>0</v>
      </c>
      <c r="I496" s="50">
        <v>587367</v>
      </c>
      <c r="J496" s="50">
        <v>0</v>
      </c>
      <c r="K496" s="50">
        <v>1797816</v>
      </c>
      <c r="L496" s="50">
        <v>1797816</v>
      </c>
      <c r="M496" s="50">
        <v>17062</v>
      </c>
      <c r="N496" s="50">
        <v>17062</v>
      </c>
    </row>
    <row r="497" spans="1:14" hidden="1" x14ac:dyDescent="0.25">
      <c r="A497" s="49" t="s">
        <v>712</v>
      </c>
      <c r="B497" s="49" t="s">
        <v>260</v>
      </c>
      <c r="C497" s="49" t="s">
        <v>261</v>
      </c>
      <c r="D497" s="49" t="s">
        <v>69</v>
      </c>
      <c r="E497" s="50">
        <v>5500000</v>
      </c>
      <c r="F497" s="50">
        <v>5500000</v>
      </c>
      <c r="G497" s="50">
        <v>5500000</v>
      </c>
      <c r="H497" s="50">
        <v>0</v>
      </c>
      <c r="I497" s="50">
        <v>0</v>
      </c>
      <c r="J497" s="50">
        <v>0</v>
      </c>
      <c r="K497" s="50">
        <v>3675220</v>
      </c>
      <c r="L497" s="50">
        <v>3675220</v>
      </c>
      <c r="M497" s="50">
        <v>1824780</v>
      </c>
      <c r="N497" s="50">
        <v>1824780</v>
      </c>
    </row>
    <row r="498" spans="1:14" hidden="1" x14ac:dyDescent="0.25">
      <c r="A498" s="49" t="s">
        <v>712</v>
      </c>
      <c r="B498" s="49" t="s">
        <v>264</v>
      </c>
      <c r="C498" s="49" t="s">
        <v>265</v>
      </c>
      <c r="D498" s="49" t="s">
        <v>69</v>
      </c>
      <c r="E498" s="50">
        <v>5500000</v>
      </c>
      <c r="F498" s="50">
        <v>5500000</v>
      </c>
      <c r="G498" s="50">
        <v>5500000</v>
      </c>
      <c r="H498" s="50">
        <v>0</v>
      </c>
      <c r="I498" s="50">
        <v>0</v>
      </c>
      <c r="J498" s="50">
        <v>0</v>
      </c>
      <c r="K498" s="50">
        <v>3675220</v>
      </c>
      <c r="L498" s="50">
        <v>3675220</v>
      </c>
      <c r="M498" s="50">
        <v>1824780</v>
      </c>
      <c r="N498" s="50">
        <v>1824780</v>
      </c>
    </row>
    <row r="499" spans="1:14" hidden="1" x14ac:dyDescent="0.25">
      <c r="A499" s="49" t="s">
        <v>712</v>
      </c>
      <c r="B499" s="49" t="s">
        <v>230</v>
      </c>
      <c r="C499" s="49" t="s">
        <v>231</v>
      </c>
      <c r="D499" s="49" t="s">
        <v>85</v>
      </c>
      <c r="E499" s="50">
        <v>10612500</v>
      </c>
      <c r="F499" s="50">
        <v>10612500</v>
      </c>
      <c r="G499" s="50">
        <v>10612500</v>
      </c>
      <c r="H499" s="50">
        <v>3080000</v>
      </c>
      <c r="I499" s="50">
        <v>0</v>
      </c>
      <c r="J499" s="50">
        <v>0</v>
      </c>
      <c r="K499" s="50">
        <v>5818800</v>
      </c>
      <c r="L499" s="50">
        <v>5818800</v>
      </c>
      <c r="M499" s="50">
        <v>1713700</v>
      </c>
      <c r="N499" s="50">
        <v>1713700</v>
      </c>
    </row>
    <row r="500" spans="1:14" hidden="1" x14ac:dyDescent="0.25">
      <c r="A500" s="49" t="s">
        <v>712</v>
      </c>
      <c r="B500" s="49" t="s">
        <v>232</v>
      </c>
      <c r="C500" s="49" t="s">
        <v>233</v>
      </c>
      <c r="D500" s="49" t="s">
        <v>85</v>
      </c>
      <c r="E500" s="50">
        <v>10612500</v>
      </c>
      <c r="F500" s="50">
        <v>10612500</v>
      </c>
      <c r="G500" s="50">
        <v>10612500</v>
      </c>
      <c r="H500" s="50">
        <v>3080000</v>
      </c>
      <c r="I500" s="50">
        <v>0</v>
      </c>
      <c r="J500" s="50">
        <v>0</v>
      </c>
      <c r="K500" s="50">
        <v>5818800</v>
      </c>
      <c r="L500" s="50">
        <v>5818800</v>
      </c>
      <c r="M500" s="50">
        <v>1713700</v>
      </c>
      <c r="N500" s="50">
        <v>1713700</v>
      </c>
    </row>
    <row r="501" spans="1:14" hidden="1" x14ac:dyDescent="0.25">
      <c r="A501" s="49" t="s">
        <v>712</v>
      </c>
      <c r="B501" s="49" t="s">
        <v>234</v>
      </c>
      <c r="C501" s="49" t="s">
        <v>235</v>
      </c>
      <c r="D501" s="49" t="s">
        <v>85</v>
      </c>
      <c r="E501" s="50">
        <v>6650000</v>
      </c>
      <c r="F501" s="50">
        <v>6650000</v>
      </c>
      <c r="G501" s="50">
        <v>6650000</v>
      </c>
      <c r="H501" s="50">
        <v>0</v>
      </c>
      <c r="I501" s="50">
        <v>0</v>
      </c>
      <c r="J501" s="50">
        <v>0</v>
      </c>
      <c r="K501" s="50">
        <v>5152800</v>
      </c>
      <c r="L501" s="50">
        <v>5152800</v>
      </c>
      <c r="M501" s="50">
        <v>1497200</v>
      </c>
      <c r="N501" s="50">
        <v>1497200</v>
      </c>
    </row>
    <row r="502" spans="1:14" hidden="1" x14ac:dyDescent="0.25">
      <c r="A502" s="49" t="s">
        <v>712</v>
      </c>
      <c r="B502" s="49" t="s">
        <v>326</v>
      </c>
      <c r="C502" s="49" t="s">
        <v>327</v>
      </c>
      <c r="D502" s="49" t="s">
        <v>85</v>
      </c>
      <c r="E502" s="50">
        <v>760000</v>
      </c>
      <c r="F502" s="50">
        <v>760000</v>
      </c>
      <c r="G502" s="50">
        <v>760000</v>
      </c>
      <c r="H502" s="50">
        <v>0</v>
      </c>
      <c r="I502" s="50">
        <v>0</v>
      </c>
      <c r="J502" s="50">
        <v>0</v>
      </c>
      <c r="K502" s="50">
        <v>666000</v>
      </c>
      <c r="L502" s="50">
        <v>666000</v>
      </c>
      <c r="M502" s="50">
        <v>94000</v>
      </c>
      <c r="N502" s="50">
        <v>94000</v>
      </c>
    </row>
    <row r="503" spans="1:14" hidden="1" x14ac:dyDescent="0.25">
      <c r="A503" s="49" t="s">
        <v>712</v>
      </c>
      <c r="B503" s="49" t="s">
        <v>242</v>
      </c>
      <c r="C503" s="49" t="s">
        <v>243</v>
      </c>
      <c r="D503" s="49" t="s">
        <v>85</v>
      </c>
      <c r="E503" s="50">
        <v>3202500</v>
      </c>
      <c r="F503" s="50">
        <v>3202500</v>
      </c>
      <c r="G503" s="50">
        <v>3202500</v>
      </c>
      <c r="H503" s="50">
        <v>3080000</v>
      </c>
      <c r="I503" s="50">
        <v>0</v>
      </c>
      <c r="J503" s="50">
        <v>0</v>
      </c>
      <c r="K503" s="50">
        <v>0</v>
      </c>
      <c r="L503" s="50">
        <v>0</v>
      </c>
      <c r="M503" s="50">
        <v>122500</v>
      </c>
      <c r="N503" s="50">
        <v>122500</v>
      </c>
    </row>
    <row r="504" spans="1:14" x14ac:dyDescent="0.25">
      <c r="A504" s="49">
        <v>214789003</v>
      </c>
      <c r="B504" s="49"/>
      <c r="C504" s="49"/>
      <c r="D504" s="49" t="s">
        <v>69</v>
      </c>
      <c r="E504" s="50">
        <v>1434240030</v>
      </c>
      <c r="F504" s="50">
        <v>1423727288</v>
      </c>
      <c r="G504" s="50">
        <v>1418093499.5899999</v>
      </c>
      <c r="H504" s="50">
        <v>18223.88</v>
      </c>
      <c r="I504" s="50">
        <v>88899062.689999998</v>
      </c>
      <c r="J504" s="50">
        <v>12300455.289999999</v>
      </c>
      <c r="K504" s="50">
        <v>999425163.77999997</v>
      </c>
      <c r="L504" s="50">
        <v>999174163.77999997</v>
      </c>
      <c r="M504" s="50">
        <v>323084382.36000001</v>
      </c>
      <c r="N504" s="50">
        <v>317450593.94999999</v>
      </c>
    </row>
    <row r="505" spans="1:14" hidden="1" x14ac:dyDescent="0.25">
      <c r="A505" s="49" t="s">
        <v>713</v>
      </c>
      <c r="B505" s="49" t="s">
        <v>71</v>
      </c>
      <c r="C505" s="49" t="s">
        <v>72</v>
      </c>
      <c r="D505" s="49" t="s">
        <v>69</v>
      </c>
      <c r="E505" s="50">
        <v>1171265212</v>
      </c>
      <c r="F505" s="50">
        <v>1160887237</v>
      </c>
      <c r="G505" s="50">
        <v>1155687237</v>
      </c>
      <c r="H505" s="50">
        <v>0</v>
      </c>
      <c r="I505" s="50">
        <v>50266979</v>
      </c>
      <c r="J505" s="50">
        <v>0</v>
      </c>
      <c r="K505" s="50">
        <v>819964836.33000004</v>
      </c>
      <c r="L505" s="50">
        <v>819964836.33000004</v>
      </c>
      <c r="M505" s="50">
        <v>290655421.67000002</v>
      </c>
      <c r="N505" s="50">
        <v>285455421.67000002</v>
      </c>
    </row>
    <row r="506" spans="1:14" hidden="1" x14ac:dyDescent="0.25">
      <c r="A506" s="49" t="s">
        <v>713</v>
      </c>
      <c r="B506" s="49" t="s">
        <v>73</v>
      </c>
      <c r="C506" s="49" t="s">
        <v>74</v>
      </c>
      <c r="D506" s="49" t="s">
        <v>69</v>
      </c>
      <c r="E506" s="50">
        <v>419650432</v>
      </c>
      <c r="F506" s="50">
        <v>414102244</v>
      </c>
      <c r="G506" s="50">
        <v>414102244</v>
      </c>
      <c r="H506" s="50">
        <v>0</v>
      </c>
      <c r="I506" s="50">
        <v>0</v>
      </c>
      <c r="J506" s="50">
        <v>0</v>
      </c>
      <c r="K506" s="50">
        <v>330161655.10000002</v>
      </c>
      <c r="L506" s="50">
        <v>330161655.10000002</v>
      </c>
      <c r="M506" s="50">
        <v>83940588.900000006</v>
      </c>
      <c r="N506" s="50">
        <v>83940588.900000006</v>
      </c>
    </row>
    <row r="507" spans="1:14" hidden="1" x14ac:dyDescent="0.25">
      <c r="A507" s="49" t="s">
        <v>713</v>
      </c>
      <c r="B507" s="49" t="s">
        <v>75</v>
      </c>
      <c r="C507" s="49" t="s">
        <v>76</v>
      </c>
      <c r="D507" s="49" t="s">
        <v>69</v>
      </c>
      <c r="E507" s="50">
        <v>419650432</v>
      </c>
      <c r="F507" s="50">
        <v>414102244</v>
      </c>
      <c r="G507" s="50">
        <v>414102244</v>
      </c>
      <c r="H507" s="50">
        <v>0</v>
      </c>
      <c r="I507" s="50">
        <v>0</v>
      </c>
      <c r="J507" s="50">
        <v>0</v>
      </c>
      <c r="K507" s="50">
        <v>330161655.10000002</v>
      </c>
      <c r="L507" s="50">
        <v>330161655.10000002</v>
      </c>
      <c r="M507" s="50">
        <v>83940588.900000006</v>
      </c>
      <c r="N507" s="50">
        <v>83940588.900000006</v>
      </c>
    </row>
    <row r="508" spans="1:14" hidden="1" x14ac:dyDescent="0.25">
      <c r="A508" s="49" t="s">
        <v>713</v>
      </c>
      <c r="B508" s="49" t="s">
        <v>293</v>
      </c>
      <c r="C508" s="49" t="s">
        <v>294</v>
      </c>
      <c r="D508" s="49" t="s">
        <v>69</v>
      </c>
      <c r="E508" s="50">
        <v>5204100</v>
      </c>
      <c r="F508" s="50">
        <v>5204100</v>
      </c>
      <c r="G508" s="50">
        <v>5204100</v>
      </c>
      <c r="H508" s="50">
        <v>0</v>
      </c>
      <c r="I508" s="50">
        <v>0</v>
      </c>
      <c r="J508" s="50">
        <v>0</v>
      </c>
      <c r="K508" s="50">
        <v>0</v>
      </c>
      <c r="L508" s="50">
        <v>0</v>
      </c>
      <c r="M508" s="50">
        <v>5204100</v>
      </c>
      <c r="N508" s="50">
        <v>5204100</v>
      </c>
    </row>
    <row r="509" spans="1:14" hidden="1" x14ac:dyDescent="0.25">
      <c r="A509" s="49" t="s">
        <v>713</v>
      </c>
      <c r="B509" s="49" t="s">
        <v>339</v>
      </c>
      <c r="C509" s="49" t="s">
        <v>340</v>
      </c>
      <c r="D509" s="49" t="s">
        <v>69</v>
      </c>
      <c r="E509" s="50">
        <v>5204100</v>
      </c>
      <c r="F509" s="50">
        <v>5204100</v>
      </c>
      <c r="G509" s="50">
        <v>5204100</v>
      </c>
      <c r="H509" s="50">
        <v>0</v>
      </c>
      <c r="I509" s="50">
        <v>0</v>
      </c>
      <c r="J509" s="50">
        <v>0</v>
      </c>
      <c r="K509" s="50">
        <v>0</v>
      </c>
      <c r="L509" s="50">
        <v>0</v>
      </c>
      <c r="M509" s="50">
        <v>5204100</v>
      </c>
      <c r="N509" s="50">
        <v>5204100</v>
      </c>
    </row>
    <row r="510" spans="1:14" hidden="1" x14ac:dyDescent="0.25">
      <c r="A510" s="49" t="s">
        <v>713</v>
      </c>
      <c r="B510" s="49" t="s">
        <v>77</v>
      </c>
      <c r="C510" s="49" t="s">
        <v>78</v>
      </c>
      <c r="D510" s="49" t="s">
        <v>69</v>
      </c>
      <c r="E510" s="50">
        <v>567738543</v>
      </c>
      <c r="F510" s="50">
        <v>564491876</v>
      </c>
      <c r="G510" s="50">
        <v>561491876</v>
      </c>
      <c r="H510" s="50">
        <v>0</v>
      </c>
      <c r="I510" s="50">
        <v>0</v>
      </c>
      <c r="J510" s="50">
        <v>0</v>
      </c>
      <c r="K510" s="50">
        <v>366444454.23000002</v>
      </c>
      <c r="L510" s="50">
        <v>366444454.23000002</v>
      </c>
      <c r="M510" s="50">
        <v>198047421.77000001</v>
      </c>
      <c r="N510" s="50">
        <v>195047421.77000001</v>
      </c>
    </row>
    <row r="511" spans="1:14" hidden="1" x14ac:dyDescent="0.25">
      <c r="A511" s="49" t="s">
        <v>713</v>
      </c>
      <c r="B511" s="49" t="s">
        <v>79</v>
      </c>
      <c r="C511" s="49" t="s">
        <v>80</v>
      </c>
      <c r="D511" s="49" t="s">
        <v>69</v>
      </c>
      <c r="E511" s="50">
        <v>176537100</v>
      </c>
      <c r="F511" s="50">
        <v>176537100</v>
      </c>
      <c r="G511" s="50">
        <v>176537100</v>
      </c>
      <c r="H511" s="50">
        <v>0</v>
      </c>
      <c r="I511" s="50">
        <v>0</v>
      </c>
      <c r="J511" s="50">
        <v>0</v>
      </c>
      <c r="K511" s="50">
        <v>122766999.54000001</v>
      </c>
      <c r="L511" s="50">
        <v>122766999.54000001</v>
      </c>
      <c r="M511" s="50">
        <v>53770100.460000001</v>
      </c>
      <c r="N511" s="50">
        <v>53770100.460000001</v>
      </c>
    </row>
    <row r="512" spans="1:14" hidden="1" x14ac:dyDescent="0.25">
      <c r="A512" s="49" t="s">
        <v>713</v>
      </c>
      <c r="B512" s="49" t="s">
        <v>81</v>
      </c>
      <c r="C512" s="49" t="s">
        <v>82</v>
      </c>
      <c r="D512" s="49" t="s">
        <v>69</v>
      </c>
      <c r="E512" s="50">
        <v>145353690</v>
      </c>
      <c r="F512" s="50">
        <v>142783300</v>
      </c>
      <c r="G512" s="50">
        <v>142783300</v>
      </c>
      <c r="H512" s="50">
        <v>0</v>
      </c>
      <c r="I512" s="50">
        <v>0</v>
      </c>
      <c r="J512" s="50">
        <v>0</v>
      </c>
      <c r="K512" s="50">
        <v>105836094.15000001</v>
      </c>
      <c r="L512" s="50">
        <v>105836094.15000001</v>
      </c>
      <c r="M512" s="50">
        <v>36947205.850000001</v>
      </c>
      <c r="N512" s="50">
        <v>36947205.850000001</v>
      </c>
    </row>
    <row r="513" spans="1:14" hidden="1" x14ac:dyDescent="0.25">
      <c r="A513" s="49" t="s">
        <v>713</v>
      </c>
      <c r="B513" s="49" t="s">
        <v>86</v>
      </c>
      <c r="C513" s="49" t="s">
        <v>87</v>
      </c>
      <c r="D513" s="49" t="s">
        <v>69</v>
      </c>
      <c r="E513" s="50">
        <v>70126000</v>
      </c>
      <c r="F513" s="50">
        <v>70126000</v>
      </c>
      <c r="G513" s="50">
        <v>67126000</v>
      </c>
      <c r="H513" s="50">
        <v>0</v>
      </c>
      <c r="I513" s="50">
        <v>0</v>
      </c>
      <c r="J513" s="50">
        <v>0</v>
      </c>
      <c r="K513" s="50">
        <v>62351269.950000003</v>
      </c>
      <c r="L513" s="50">
        <v>62351269.950000003</v>
      </c>
      <c r="M513" s="50">
        <v>7774730.0499999998</v>
      </c>
      <c r="N513" s="50">
        <v>4774730.05</v>
      </c>
    </row>
    <row r="514" spans="1:14" hidden="1" x14ac:dyDescent="0.25">
      <c r="A514" s="49" t="s">
        <v>713</v>
      </c>
      <c r="B514" s="49" t="s">
        <v>88</v>
      </c>
      <c r="C514" s="49" t="s">
        <v>89</v>
      </c>
      <c r="D514" s="49" t="s">
        <v>69</v>
      </c>
      <c r="E514" s="50">
        <v>99397100</v>
      </c>
      <c r="F514" s="50">
        <v>99397100</v>
      </c>
      <c r="G514" s="50">
        <v>99397100</v>
      </c>
      <c r="H514" s="50">
        <v>0</v>
      </c>
      <c r="I514" s="50">
        <v>0</v>
      </c>
      <c r="J514" s="50">
        <v>0</v>
      </c>
      <c r="K514" s="50">
        <v>75490090.590000004</v>
      </c>
      <c r="L514" s="50">
        <v>75490090.590000004</v>
      </c>
      <c r="M514" s="50">
        <v>23907009.41</v>
      </c>
      <c r="N514" s="50">
        <v>23907009.41</v>
      </c>
    </row>
    <row r="515" spans="1:14" hidden="1" x14ac:dyDescent="0.25">
      <c r="A515" s="49" t="s">
        <v>713</v>
      </c>
      <c r="B515" s="49" t="s">
        <v>83</v>
      </c>
      <c r="C515" s="49" t="s">
        <v>84</v>
      </c>
      <c r="D515" s="49" t="s">
        <v>85</v>
      </c>
      <c r="E515" s="50">
        <v>76324653</v>
      </c>
      <c r="F515" s="50">
        <v>75648376</v>
      </c>
      <c r="G515" s="50">
        <v>75648376</v>
      </c>
      <c r="H515" s="50">
        <v>0</v>
      </c>
      <c r="I515" s="50">
        <v>0</v>
      </c>
      <c r="J515" s="50">
        <v>0</v>
      </c>
      <c r="K515" s="50">
        <v>0</v>
      </c>
      <c r="L515" s="50">
        <v>0</v>
      </c>
      <c r="M515" s="50">
        <v>75648376</v>
      </c>
      <c r="N515" s="50">
        <v>75648376</v>
      </c>
    </row>
    <row r="516" spans="1:14" hidden="1" x14ac:dyDescent="0.25">
      <c r="A516" s="49" t="s">
        <v>713</v>
      </c>
      <c r="B516" s="49" t="s">
        <v>90</v>
      </c>
      <c r="C516" s="49" t="s">
        <v>91</v>
      </c>
      <c r="D516" s="49" t="s">
        <v>69</v>
      </c>
      <c r="E516" s="50">
        <v>89336069</v>
      </c>
      <c r="F516" s="50">
        <v>88544509</v>
      </c>
      <c r="G516" s="50">
        <v>88544509</v>
      </c>
      <c r="H516" s="50">
        <v>0</v>
      </c>
      <c r="I516" s="50">
        <v>26179649</v>
      </c>
      <c r="J516" s="50">
        <v>0</v>
      </c>
      <c r="K516" s="50">
        <v>61733204</v>
      </c>
      <c r="L516" s="50">
        <v>61733204</v>
      </c>
      <c r="M516" s="50">
        <v>631656</v>
      </c>
      <c r="N516" s="50">
        <v>631656</v>
      </c>
    </row>
    <row r="517" spans="1:14" hidden="1" x14ac:dyDescent="0.25">
      <c r="A517" s="49" t="s">
        <v>713</v>
      </c>
      <c r="B517" s="49" t="s">
        <v>423</v>
      </c>
      <c r="C517" s="49" t="s">
        <v>697</v>
      </c>
      <c r="D517" s="49" t="s">
        <v>69</v>
      </c>
      <c r="E517" s="50">
        <v>84754804</v>
      </c>
      <c r="F517" s="50">
        <v>84003836</v>
      </c>
      <c r="G517" s="50">
        <v>84003836</v>
      </c>
      <c r="H517" s="50">
        <v>0</v>
      </c>
      <c r="I517" s="50">
        <v>24837174</v>
      </c>
      <c r="J517" s="50">
        <v>0</v>
      </c>
      <c r="K517" s="50">
        <v>58567399</v>
      </c>
      <c r="L517" s="50">
        <v>58567399</v>
      </c>
      <c r="M517" s="50">
        <v>599263</v>
      </c>
      <c r="N517" s="50">
        <v>599263</v>
      </c>
    </row>
    <row r="518" spans="1:14" hidden="1" x14ac:dyDescent="0.25">
      <c r="A518" s="49" t="s">
        <v>713</v>
      </c>
      <c r="B518" s="49" t="s">
        <v>440</v>
      </c>
      <c r="C518" s="49" t="s">
        <v>95</v>
      </c>
      <c r="D518" s="49" t="s">
        <v>69</v>
      </c>
      <c r="E518" s="50">
        <v>4581265</v>
      </c>
      <c r="F518" s="50">
        <v>4540673</v>
      </c>
      <c r="G518" s="50">
        <v>4540673</v>
      </c>
      <c r="H518" s="50">
        <v>0</v>
      </c>
      <c r="I518" s="50">
        <v>1342475</v>
      </c>
      <c r="J518" s="50">
        <v>0</v>
      </c>
      <c r="K518" s="50">
        <v>3165805</v>
      </c>
      <c r="L518" s="50">
        <v>3165805</v>
      </c>
      <c r="M518" s="50">
        <v>32393</v>
      </c>
      <c r="N518" s="50">
        <v>32393</v>
      </c>
    </row>
    <row r="519" spans="1:14" hidden="1" x14ac:dyDescent="0.25">
      <c r="A519" s="49" t="s">
        <v>713</v>
      </c>
      <c r="B519" s="49" t="s">
        <v>96</v>
      </c>
      <c r="C519" s="49" t="s">
        <v>97</v>
      </c>
      <c r="D519" s="49" t="s">
        <v>69</v>
      </c>
      <c r="E519" s="50">
        <v>89336068</v>
      </c>
      <c r="F519" s="50">
        <v>88544508</v>
      </c>
      <c r="G519" s="50">
        <v>86344508</v>
      </c>
      <c r="H519" s="50">
        <v>0</v>
      </c>
      <c r="I519" s="50">
        <v>24087330</v>
      </c>
      <c r="J519" s="50">
        <v>0</v>
      </c>
      <c r="K519" s="50">
        <v>61625523</v>
      </c>
      <c r="L519" s="50">
        <v>61625523</v>
      </c>
      <c r="M519" s="50">
        <v>2831655</v>
      </c>
      <c r="N519" s="50">
        <v>631655</v>
      </c>
    </row>
    <row r="520" spans="1:14" hidden="1" x14ac:dyDescent="0.25">
      <c r="A520" s="49" t="s">
        <v>713</v>
      </c>
      <c r="B520" s="49" t="s">
        <v>458</v>
      </c>
      <c r="C520" s="49" t="s">
        <v>698</v>
      </c>
      <c r="D520" s="49" t="s">
        <v>69</v>
      </c>
      <c r="E520" s="50">
        <v>48104083</v>
      </c>
      <c r="F520" s="50">
        <v>47677858</v>
      </c>
      <c r="G520" s="50">
        <v>47677858</v>
      </c>
      <c r="H520" s="50">
        <v>0</v>
      </c>
      <c r="I520" s="50">
        <v>14204463</v>
      </c>
      <c r="J520" s="50">
        <v>0</v>
      </c>
      <c r="K520" s="50">
        <v>33133273</v>
      </c>
      <c r="L520" s="50">
        <v>33133273</v>
      </c>
      <c r="M520" s="50">
        <v>340122</v>
      </c>
      <c r="N520" s="50">
        <v>340122</v>
      </c>
    </row>
    <row r="521" spans="1:14" hidden="1" x14ac:dyDescent="0.25">
      <c r="A521" s="49" t="s">
        <v>713</v>
      </c>
      <c r="B521" s="49" t="s">
        <v>475</v>
      </c>
      <c r="C521" s="49" t="s">
        <v>699</v>
      </c>
      <c r="D521" s="49" t="s">
        <v>69</v>
      </c>
      <c r="E521" s="50">
        <v>13743995</v>
      </c>
      <c r="F521" s="50">
        <v>13622217</v>
      </c>
      <c r="G521" s="50">
        <v>13622217</v>
      </c>
      <c r="H521" s="50">
        <v>0</v>
      </c>
      <c r="I521" s="50">
        <v>4027622</v>
      </c>
      <c r="J521" s="50">
        <v>0</v>
      </c>
      <c r="K521" s="50">
        <v>9497417</v>
      </c>
      <c r="L521" s="50">
        <v>9497417</v>
      </c>
      <c r="M521" s="50">
        <v>97178</v>
      </c>
      <c r="N521" s="50">
        <v>97178</v>
      </c>
    </row>
    <row r="522" spans="1:14" hidden="1" x14ac:dyDescent="0.25">
      <c r="A522" s="49" t="s">
        <v>713</v>
      </c>
      <c r="B522" s="49" t="s">
        <v>492</v>
      </c>
      <c r="C522" s="49" t="s">
        <v>700</v>
      </c>
      <c r="D522" s="49" t="s">
        <v>69</v>
      </c>
      <c r="E522" s="50">
        <v>27487990</v>
      </c>
      <c r="F522" s="50">
        <v>27244433</v>
      </c>
      <c r="G522" s="50">
        <v>25044433</v>
      </c>
      <c r="H522" s="50">
        <v>0</v>
      </c>
      <c r="I522" s="50">
        <v>5855245</v>
      </c>
      <c r="J522" s="50">
        <v>0</v>
      </c>
      <c r="K522" s="50">
        <v>18994833</v>
      </c>
      <c r="L522" s="50">
        <v>18994833</v>
      </c>
      <c r="M522" s="50">
        <v>2394355</v>
      </c>
      <c r="N522" s="50">
        <v>194355</v>
      </c>
    </row>
    <row r="523" spans="1:14" hidden="1" x14ac:dyDescent="0.25">
      <c r="A523" s="49" t="s">
        <v>713</v>
      </c>
      <c r="B523" s="49" t="s">
        <v>104</v>
      </c>
      <c r="C523" s="49" t="s">
        <v>105</v>
      </c>
      <c r="D523" s="49" t="s">
        <v>69</v>
      </c>
      <c r="E523" s="50">
        <v>92630000</v>
      </c>
      <c r="F523" s="50">
        <v>92630000</v>
      </c>
      <c r="G523" s="50">
        <v>92229999.400000006</v>
      </c>
      <c r="H523" s="50">
        <v>0</v>
      </c>
      <c r="I523" s="50">
        <v>11970054.550000001</v>
      </c>
      <c r="J523" s="50">
        <v>0</v>
      </c>
      <c r="K523" s="50">
        <v>70084271.450000003</v>
      </c>
      <c r="L523" s="50">
        <v>70084271.450000003</v>
      </c>
      <c r="M523" s="50">
        <v>10575674</v>
      </c>
      <c r="N523" s="50">
        <v>10175673.4</v>
      </c>
    </row>
    <row r="524" spans="1:14" hidden="1" x14ac:dyDescent="0.25">
      <c r="A524" s="49" t="s">
        <v>713</v>
      </c>
      <c r="B524" s="49" t="s">
        <v>112</v>
      </c>
      <c r="C524" s="49" t="s">
        <v>113</v>
      </c>
      <c r="D524" s="49" t="s">
        <v>69</v>
      </c>
      <c r="E524" s="50">
        <v>92630000</v>
      </c>
      <c r="F524" s="50">
        <v>92630000</v>
      </c>
      <c r="G524" s="50">
        <v>92229999.400000006</v>
      </c>
      <c r="H524" s="50">
        <v>0</v>
      </c>
      <c r="I524" s="50">
        <v>11970054.550000001</v>
      </c>
      <c r="J524" s="50">
        <v>0</v>
      </c>
      <c r="K524" s="50">
        <v>70084271.450000003</v>
      </c>
      <c r="L524" s="50">
        <v>70084271.450000003</v>
      </c>
      <c r="M524" s="50">
        <v>10575674</v>
      </c>
      <c r="N524" s="50">
        <v>10175673.4</v>
      </c>
    </row>
    <row r="525" spans="1:14" hidden="1" x14ac:dyDescent="0.25">
      <c r="A525" s="49" t="s">
        <v>713</v>
      </c>
      <c r="B525" s="49" t="s">
        <v>114</v>
      </c>
      <c r="C525" s="49" t="s">
        <v>115</v>
      </c>
      <c r="D525" s="49" t="s">
        <v>69</v>
      </c>
      <c r="E525" s="50">
        <v>54520000</v>
      </c>
      <c r="F525" s="50">
        <v>54520000</v>
      </c>
      <c r="G525" s="50">
        <v>54519999.399999999</v>
      </c>
      <c r="H525" s="50">
        <v>0</v>
      </c>
      <c r="I525" s="50">
        <v>1803171</v>
      </c>
      <c r="J525" s="50">
        <v>0</v>
      </c>
      <c r="K525" s="50">
        <v>43809065</v>
      </c>
      <c r="L525" s="50">
        <v>43809065</v>
      </c>
      <c r="M525" s="50">
        <v>8907764</v>
      </c>
      <c r="N525" s="50">
        <v>8907763.4000000004</v>
      </c>
    </row>
    <row r="526" spans="1:14" hidden="1" x14ac:dyDescent="0.25">
      <c r="A526" s="49" t="s">
        <v>713</v>
      </c>
      <c r="B526" s="49" t="s">
        <v>116</v>
      </c>
      <c r="C526" s="49" t="s">
        <v>117</v>
      </c>
      <c r="D526" s="49" t="s">
        <v>69</v>
      </c>
      <c r="E526" s="50">
        <v>34800000</v>
      </c>
      <c r="F526" s="50">
        <v>34800000</v>
      </c>
      <c r="G526" s="50">
        <v>34800000</v>
      </c>
      <c r="H526" s="50">
        <v>0</v>
      </c>
      <c r="I526" s="50">
        <v>9943978.1999999993</v>
      </c>
      <c r="J526" s="50">
        <v>0</v>
      </c>
      <c r="K526" s="50">
        <v>24856021.800000001</v>
      </c>
      <c r="L526" s="50">
        <v>24856021.800000001</v>
      </c>
      <c r="M526" s="50">
        <v>0</v>
      </c>
      <c r="N526" s="50">
        <v>0</v>
      </c>
    </row>
    <row r="527" spans="1:14" hidden="1" x14ac:dyDescent="0.25">
      <c r="A527" s="49" t="s">
        <v>713</v>
      </c>
      <c r="B527" s="49" t="s">
        <v>120</v>
      </c>
      <c r="C527" s="49" t="s">
        <v>121</v>
      </c>
      <c r="D527" s="49" t="s">
        <v>69</v>
      </c>
      <c r="E527" s="50">
        <v>2310000</v>
      </c>
      <c r="F527" s="50">
        <v>2310000</v>
      </c>
      <c r="G527" s="50">
        <v>2310000</v>
      </c>
      <c r="H527" s="50">
        <v>0</v>
      </c>
      <c r="I527" s="50">
        <v>222905.35</v>
      </c>
      <c r="J527" s="50">
        <v>0</v>
      </c>
      <c r="K527" s="50">
        <v>932094.65</v>
      </c>
      <c r="L527" s="50">
        <v>932094.65</v>
      </c>
      <c r="M527" s="50">
        <v>1155000</v>
      </c>
      <c r="N527" s="50">
        <v>1155000</v>
      </c>
    </row>
    <row r="528" spans="1:14" hidden="1" x14ac:dyDescent="0.25">
      <c r="A528" s="49" t="s">
        <v>713</v>
      </c>
      <c r="B528" s="49" t="s">
        <v>122</v>
      </c>
      <c r="C528" s="49" t="s">
        <v>123</v>
      </c>
      <c r="D528" s="49" t="s">
        <v>69</v>
      </c>
      <c r="E528" s="50">
        <v>1000000</v>
      </c>
      <c r="F528" s="50">
        <v>1000000</v>
      </c>
      <c r="G528" s="50">
        <v>600000</v>
      </c>
      <c r="H528" s="50">
        <v>0</v>
      </c>
      <c r="I528" s="50">
        <v>0</v>
      </c>
      <c r="J528" s="50">
        <v>0</v>
      </c>
      <c r="K528" s="50">
        <v>487090</v>
      </c>
      <c r="L528" s="50">
        <v>487090</v>
      </c>
      <c r="M528" s="50">
        <v>512910</v>
      </c>
      <c r="N528" s="50">
        <v>112910</v>
      </c>
    </row>
    <row r="529" spans="1:14" hidden="1" x14ac:dyDescent="0.25">
      <c r="A529" s="49" t="s">
        <v>713</v>
      </c>
      <c r="B529" s="49" t="s">
        <v>140</v>
      </c>
      <c r="C529" s="49" t="s">
        <v>141</v>
      </c>
      <c r="D529" s="49" t="s">
        <v>69</v>
      </c>
      <c r="E529" s="50">
        <v>0</v>
      </c>
      <c r="F529" s="50">
        <v>0</v>
      </c>
      <c r="G529" s="50">
        <v>0</v>
      </c>
      <c r="H529" s="50">
        <v>0</v>
      </c>
      <c r="I529" s="50">
        <v>0</v>
      </c>
      <c r="J529" s="50">
        <v>0</v>
      </c>
      <c r="K529" s="50">
        <v>0</v>
      </c>
      <c r="L529" s="50">
        <v>0</v>
      </c>
      <c r="M529" s="50">
        <v>0</v>
      </c>
      <c r="N529" s="50">
        <v>0</v>
      </c>
    </row>
    <row r="530" spans="1:14" hidden="1" x14ac:dyDescent="0.25">
      <c r="A530" s="49" t="s">
        <v>713</v>
      </c>
      <c r="B530" s="49" t="s">
        <v>144</v>
      </c>
      <c r="C530" s="49" t="s">
        <v>145</v>
      </c>
      <c r="D530" s="49" t="s">
        <v>69</v>
      </c>
      <c r="E530" s="50">
        <v>0</v>
      </c>
      <c r="F530" s="50">
        <v>0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50">
        <v>0</v>
      </c>
      <c r="N530" s="50">
        <v>0</v>
      </c>
    </row>
    <row r="531" spans="1:14" hidden="1" x14ac:dyDescent="0.25">
      <c r="A531" s="49" t="s">
        <v>713</v>
      </c>
      <c r="B531" s="49" t="s">
        <v>184</v>
      </c>
      <c r="C531" s="49" t="s">
        <v>185</v>
      </c>
      <c r="D531" s="49" t="s">
        <v>69</v>
      </c>
      <c r="E531" s="50">
        <v>150099855</v>
      </c>
      <c r="F531" s="50">
        <v>150099855</v>
      </c>
      <c r="G531" s="50">
        <v>150087013.19</v>
      </c>
      <c r="H531" s="50">
        <v>18223.88</v>
      </c>
      <c r="I531" s="50">
        <v>21986459.16</v>
      </c>
      <c r="J531" s="50">
        <v>12300455.289999999</v>
      </c>
      <c r="K531" s="50">
        <v>94504583</v>
      </c>
      <c r="L531" s="50">
        <v>94504583</v>
      </c>
      <c r="M531" s="50">
        <v>21290133.670000002</v>
      </c>
      <c r="N531" s="50">
        <v>21277291.859999999</v>
      </c>
    </row>
    <row r="532" spans="1:14" hidden="1" x14ac:dyDescent="0.25">
      <c r="A532" s="49" t="s">
        <v>713</v>
      </c>
      <c r="B532" s="49" t="s">
        <v>186</v>
      </c>
      <c r="C532" s="49" t="s">
        <v>187</v>
      </c>
      <c r="D532" s="49" t="s">
        <v>69</v>
      </c>
      <c r="E532" s="50">
        <v>568000</v>
      </c>
      <c r="F532" s="50">
        <v>568000</v>
      </c>
      <c r="G532" s="50">
        <v>560093</v>
      </c>
      <c r="H532" s="50">
        <v>0</v>
      </c>
      <c r="I532" s="50">
        <v>271486.58</v>
      </c>
      <c r="J532" s="50">
        <v>0</v>
      </c>
      <c r="K532" s="50">
        <v>0</v>
      </c>
      <c r="L532" s="50">
        <v>0</v>
      </c>
      <c r="M532" s="50">
        <v>296513.42</v>
      </c>
      <c r="N532" s="50">
        <v>288606.42</v>
      </c>
    </row>
    <row r="533" spans="1:14" hidden="1" x14ac:dyDescent="0.25">
      <c r="A533" s="49" t="s">
        <v>713</v>
      </c>
      <c r="B533" s="49" t="s">
        <v>188</v>
      </c>
      <c r="C533" s="49" t="s">
        <v>189</v>
      </c>
      <c r="D533" s="49" t="s">
        <v>69</v>
      </c>
      <c r="E533" s="50">
        <v>5500</v>
      </c>
      <c r="F533" s="50">
        <v>5500</v>
      </c>
      <c r="G533" s="50">
        <v>550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50">
        <v>5500</v>
      </c>
      <c r="N533" s="50">
        <v>550</v>
      </c>
    </row>
    <row r="534" spans="1:14" hidden="1" x14ac:dyDescent="0.25">
      <c r="A534" s="49" t="s">
        <v>713</v>
      </c>
      <c r="B534" s="49" t="s">
        <v>190</v>
      </c>
      <c r="C534" s="49" t="s">
        <v>191</v>
      </c>
      <c r="D534" s="49" t="s">
        <v>69</v>
      </c>
      <c r="E534" s="50">
        <v>147500</v>
      </c>
      <c r="F534" s="50">
        <v>562500</v>
      </c>
      <c r="G534" s="50">
        <v>559543</v>
      </c>
      <c r="H534" s="50">
        <v>0</v>
      </c>
      <c r="I534" s="50">
        <v>271486.58</v>
      </c>
      <c r="J534" s="50">
        <v>0</v>
      </c>
      <c r="K534" s="50">
        <v>0</v>
      </c>
      <c r="L534" s="50">
        <v>0</v>
      </c>
      <c r="M534" s="50">
        <v>291013.42</v>
      </c>
      <c r="N534" s="50">
        <v>288056.42</v>
      </c>
    </row>
    <row r="535" spans="1:14" hidden="1" x14ac:dyDescent="0.25">
      <c r="A535" s="49" t="s">
        <v>713</v>
      </c>
      <c r="B535" s="49" t="s">
        <v>194</v>
      </c>
      <c r="C535" s="49" t="s">
        <v>195</v>
      </c>
      <c r="D535" s="49" t="s">
        <v>69</v>
      </c>
      <c r="E535" s="50">
        <v>415000</v>
      </c>
      <c r="F535" s="50">
        <v>0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50">
        <v>0</v>
      </c>
      <c r="N535" s="50">
        <v>0</v>
      </c>
    </row>
    <row r="536" spans="1:14" hidden="1" x14ac:dyDescent="0.25">
      <c r="A536" s="49" t="s">
        <v>713</v>
      </c>
      <c r="B536" s="49" t="s">
        <v>196</v>
      </c>
      <c r="C536" s="49" t="s">
        <v>197</v>
      </c>
      <c r="D536" s="49" t="s">
        <v>69</v>
      </c>
      <c r="E536" s="50">
        <v>148180115</v>
      </c>
      <c r="F536" s="50">
        <v>148180115</v>
      </c>
      <c r="G536" s="50">
        <v>148180115</v>
      </c>
      <c r="H536" s="50">
        <v>0</v>
      </c>
      <c r="I536" s="50">
        <v>21024145.43</v>
      </c>
      <c r="J536" s="50">
        <v>12300455.289999999</v>
      </c>
      <c r="K536" s="50">
        <v>94504583</v>
      </c>
      <c r="L536" s="50">
        <v>94504583</v>
      </c>
      <c r="M536" s="50">
        <v>20350931.280000001</v>
      </c>
      <c r="N536" s="50">
        <v>20350931.280000001</v>
      </c>
    </row>
    <row r="537" spans="1:14" hidden="1" x14ac:dyDescent="0.25">
      <c r="A537" s="49" t="s">
        <v>713</v>
      </c>
      <c r="B537" s="49" t="s">
        <v>198</v>
      </c>
      <c r="C537" s="49" t="s">
        <v>199</v>
      </c>
      <c r="D537" s="49" t="s">
        <v>69</v>
      </c>
      <c r="E537" s="50">
        <v>148180115</v>
      </c>
      <c r="F537" s="50">
        <v>148180115</v>
      </c>
      <c r="G537" s="50">
        <v>148180115</v>
      </c>
      <c r="H537" s="50">
        <v>0</v>
      </c>
      <c r="I537" s="50">
        <v>21024145.43</v>
      </c>
      <c r="J537" s="50">
        <v>12300455.289999999</v>
      </c>
      <c r="K537" s="50">
        <v>94504583</v>
      </c>
      <c r="L537" s="50">
        <v>94504583</v>
      </c>
      <c r="M537" s="50">
        <v>20350931.280000001</v>
      </c>
      <c r="N537" s="50">
        <v>20350931.280000001</v>
      </c>
    </row>
    <row r="538" spans="1:14" hidden="1" x14ac:dyDescent="0.25">
      <c r="A538" s="49" t="s">
        <v>713</v>
      </c>
      <c r="B538" s="49" t="s">
        <v>212</v>
      </c>
      <c r="C538" s="49" t="s">
        <v>213</v>
      </c>
      <c r="D538" s="49" t="s">
        <v>69</v>
      </c>
      <c r="E538" s="50">
        <v>1351740</v>
      </c>
      <c r="F538" s="50">
        <v>1351740</v>
      </c>
      <c r="G538" s="50">
        <v>1346805.19</v>
      </c>
      <c r="H538" s="50">
        <v>18223.88</v>
      </c>
      <c r="I538" s="50">
        <v>690827.15</v>
      </c>
      <c r="J538" s="50">
        <v>0</v>
      </c>
      <c r="K538" s="50">
        <v>0</v>
      </c>
      <c r="L538" s="50">
        <v>0</v>
      </c>
      <c r="M538" s="50">
        <v>642688.97</v>
      </c>
      <c r="N538" s="50">
        <v>637754.16</v>
      </c>
    </row>
    <row r="539" spans="1:14" hidden="1" x14ac:dyDescent="0.25">
      <c r="A539" s="49" t="s">
        <v>713</v>
      </c>
      <c r="B539" s="49" t="s">
        <v>216</v>
      </c>
      <c r="C539" s="49" t="s">
        <v>217</v>
      </c>
      <c r="D539" s="49" t="s">
        <v>69</v>
      </c>
      <c r="E539" s="50">
        <v>708740</v>
      </c>
      <c r="F539" s="50">
        <v>708740</v>
      </c>
      <c r="G539" s="50">
        <v>708740</v>
      </c>
      <c r="H539" s="50">
        <v>18223.88</v>
      </c>
      <c r="I539" s="50">
        <v>302775</v>
      </c>
      <c r="J539" s="50">
        <v>0</v>
      </c>
      <c r="K539" s="50">
        <v>0</v>
      </c>
      <c r="L539" s="50">
        <v>0</v>
      </c>
      <c r="M539" s="50">
        <v>387741.12</v>
      </c>
      <c r="N539" s="50">
        <v>387741.12</v>
      </c>
    </row>
    <row r="540" spans="1:14" hidden="1" x14ac:dyDescent="0.25">
      <c r="A540" s="49" t="s">
        <v>713</v>
      </c>
      <c r="B540" s="49" t="s">
        <v>218</v>
      </c>
      <c r="C540" s="49" t="s">
        <v>219</v>
      </c>
      <c r="D540" s="49" t="s">
        <v>69</v>
      </c>
      <c r="E540" s="50">
        <v>616000</v>
      </c>
      <c r="F540" s="50">
        <v>616000</v>
      </c>
      <c r="G540" s="50">
        <v>611779</v>
      </c>
      <c r="H540" s="50">
        <v>0</v>
      </c>
      <c r="I540" s="50">
        <v>383470</v>
      </c>
      <c r="J540" s="50">
        <v>0</v>
      </c>
      <c r="K540" s="50">
        <v>0</v>
      </c>
      <c r="L540" s="50">
        <v>0</v>
      </c>
      <c r="M540" s="50">
        <v>232530</v>
      </c>
      <c r="N540" s="50">
        <v>228309</v>
      </c>
    </row>
    <row r="541" spans="1:14" hidden="1" x14ac:dyDescent="0.25">
      <c r="A541" s="49" t="s">
        <v>713</v>
      </c>
      <c r="B541" s="49" t="s">
        <v>224</v>
      </c>
      <c r="C541" s="49" t="s">
        <v>225</v>
      </c>
      <c r="D541" s="49" t="s">
        <v>69</v>
      </c>
      <c r="E541" s="50">
        <v>27000</v>
      </c>
      <c r="F541" s="50">
        <v>27000</v>
      </c>
      <c r="G541" s="50">
        <v>26286.19</v>
      </c>
      <c r="H541" s="50">
        <v>0</v>
      </c>
      <c r="I541" s="50">
        <v>4582.1499999999996</v>
      </c>
      <c r="J541" s="50">
        <v>0</v>
      </c>
      <c r="K541" s="50">
        <v>0</v>
      </c>
      <c r="L541" s="50">
        <v>0</v>
      </c>
      <c r="M541" s="50">
        <v>22417.85</v>
      </c>
      <c r="N541" s="50">
        <v>21704.04</v>
      </c>
    </row>
    <row r="542" spans="1:14" hidden="1" x14ac:dyDescent="0.25">
      <c r="A542" s="49" t="s">
        <v>713</v>
      </c>
      <c r="B542" s="49" t="s">
        <v>248</v>
      </c>
      <c r="C542" s="49" t="s">
        <v>249</v>
      </c>
      <c r="D542" s="49" t="s">
        <v>69</v>
      </c>
      <c r="E542" s="50">
        <v>19709963</v>
      </c>
      <c r="F542" s="50">
        <v>19575196</v>
      </c>
      <c r="G542" s="50">
        <v>19556625</v>
      </c>
      <c r="H542" s="50">
        <v>0</v>
      </c>
      <c r="I542" s="50">
        <v>4564860</v>
      </c>
      <c r="J542" s="50">
        <v>0</v>
      </c>
      <c r="K542" s="50">
        <v>14545473</v>
      </c>
      <c r="L542" s="50">
        <v>14545473</v>
      </c>
      <c r="M542" s="50">
        <v>464863</v>
      </c>
      <c r="N542" s="50">
        <v>446292</v>
      </c>
    </row>
    <row r="543" spans="1:14" hidden="1" x14ac:dyDescent="0.25">
      <c r="A543" s="49" t="s">
        <v>713</v>
      </c>
      <c r="B543" s="49" t="s">
        <v>250</v>
      </c>
      <c r="C543" s="49" t="s">
        <v>251</v>
      </c>
      <c r="D543" s="49" t="s">
        <v>69</v>
      </c>
      <c r="E543" s="50">
        <v>15209963</v>
      </c>
      <c r="F543" s="50">
        <v>15075196</v>
      </c>
      <c r="G543" s="50">
        <v>15056625</v>
      </c>
      <c r="H543" s="50">
        <v>0</v>
      </c>
      <c r="I543" s="50">
        <v>4564860</v>
      </c>
      <c r="J543" s="50">
        <v>0</v>
      </c>
      <c r="K543" s="50">
        <v>10402792</v>
      </c>
      <c r="L543" s="50">
        <v>10402792</v>
      </c>
      <c r="M543" s="50">
        <v>107544</v>
      </c>
      <c r="N543" s="50">
        <v>88973</v>
      </c>
    </row>
    <row r="544" spans="1:14" hidden="1" x14ac:dyDescent="0.25">
      <c r="A544" s="49" t="s">
        <v>713</v>
      </c>
      <c r="B544" s="49" t="s">
        <v>632</v>
      </c>
      <c r="C544" s="49" t="s">
        <v>702</v>
      </c>
      <c r="D544" s="49" t="s">
        <v>69</v>
      </c>
      <c r="E544" s="50">
        <v>12919331</v>
      </c>
      <c r="F544" s="50">
        <v>12804860</v>
      </c>
      <c r="G544" s="50">
        <v>12802485</v>
      </c>
      <c r="H544" s="50">
        <v>0</v>
      </c>
      <c r="I544" s="50">
        <v>3893623</v>
      </c>
      <c r="J544" s="50">
        <v>0</v>
      </c>
      <c r="K544" s="50">
        <v>8819889</v>
      </c>
      <c r="L544" s="50">
        <v>8819889</v>
      </c>
      <c r="M544" s="50">
        <v>91348</v>
      </c>
      <c r="N544" s="50">
        <v>88973</v>
      </c>
    </row>
    <row r="545" spans="1:14" hidden="1" x14ac:dyDescent="0.25">
      <c r="A545" s="49" t="s">
        <v>713</v>
      </c>
      <c r="B545" s="49" t="s">
        <v>647</v>
      </c>
      <c r="C545" s="49" t="s">
        <v>703</v>
      </c>
      <c r="D545" s="49" t="s">
        <v>69</v>
      </c>
      <c r="E545" s="50">
        <v>2290632</v>
      </c>
      <c r="F545" s="50">
        <v>2270336</v>
      </c>
      <c r="G545" s="50">
        <v>2254140</v>
      </c>
      <c r="H545" s="50">
        <v>0</v>
      </c>
      <c r="I545" s="50">
        <v>671237</v>
      </c>
      <c r="J545" s="50">
        <v>0</v>
      </c>
      <c r="K545" s="50">
        <v>1582903</v>
      </c>
      <c r="L545" s="50">
        <v>1582903</v>
      </c>
      <c r="M545" s="50">
        <v>16196</v>
      </c>
      <c r="N545" s="50">
        <v>0</v>
      </c>
    </row>
    <row r="546" spans="1:14" hidden="1" x14ac:dyDescent="0.25">
      <c r="A546" s="49" t="s">
        <v>713</v>
      </c>
      <c r="B546" s="49" t="s">
        <v>260</v>
      </c>
      <c r="C546" s="49" t="s">
        <v>261</v>
      </c>
      <c r="D546" s="49" t="s">
        <v>69</v>
      </c>
      <c r="E546" s="50">
        <v>4500000</v>
      </c>
      <c r="F546" s="50">
        <v>4500000</v>
      </c>
      <c r="G546" s="50">
        <v>4500000</v>
      </c>
      <c r="H546" s="50">
        <v>0</v>
      </c>
      <c r="I546" s="50">
        <v>0</v>
      </c>
      <c r="J546" s="50">
        <v>0</v>
      </c>
      <c r="K546" s="50">
        <v>4142681</v>
      </c>
      <c r="L546" s="50">
        <v>4142681</v>
      </c>
      <c r="M546" s="50">
        <v>357319</v>
      </c>
      <c r="N546" s="50">
        <v>357319</v>
      </c>
    </row>
    <row r="547" spans="1:14" hidden="1" x14ac:dyDescent="0.25">
      <c r="A547" s="49" t="s">
        <v>713</v>
      </c>
      <c r="B547" s="49" t="s">
        <v>264</v>
      </c>
      <c r="C547" s="49" t="s">
        <v>265</v>
      </c>
      <c r="D547" s="49" t="s">
        <v>69</v>
      </c>
      <c r="E547" s="50">
        <v>4500000</v>
      </c>
      <c r="F547" s="50">
        <v>4500000</v>
      </c>
      <c r="G547" s="50">
        <v>4500000</v>
      </c>
      <c r="H547" s="50">
        <v>0</v>
      </c>
      <c r="I547" s="50">
        <v>0</v>
      </c>
      <c r="J547" s="50">
        <v>0</v>
      </c>
      <c r="K547" s="50">
        <v>4142681</v>
      </c>
      <c r="L547" s="50">
        <v>4142681</v>
      </c>
      <c r="M547" s="50">
        <v>357319</v>
      </c>
      <c r="N547" s="50">
        <v>357319</v>
      </c>
    </row>
    <row r="548" spans="1:14" hidden="1" x14ac:dyDescent="0.25">
      <c r="A548" s="49" t="s">
        <v>713</v>
      </c>
      <c r="B548" s="49" t="s">
        <v>230</v>
      </c>
      <c r="C548" s="49" t="s">
        <v>231</v>
      </c>
      <c r="D548" s="49" t="s">
        <v>85</v>
      </c>
      <c r="E548" s="50">
        <v>535000</v>
      </c>
      <c r="F548" s="50">
        <v>535000</v>
      </c>
      <c r="G548" s="50">
        <v>532625</v>
      </c>
      <c r="H548" s="50">
        <v>0</v>
      </c>
      <c r="I548" s="50">
        <v>110709.98</v>
      </c>
      <c r="J548" s="50">
        <v>0</v>
      </c>
      <c r="K548" s="50">
        <v>326000</v>
      </c>
      <c r="L548" s="50">
        <v>75000</v>
      </c>
      <c r="M548" s="50">
        <v>98290.02</v>
      </c>
      <c r="N548" s="50">
        <v>95915.02</v>
      </c>
    </row>
    <row r="549" spans="1:14" hidden="1" x14ac:dyDescent="0.25">
      <c r="A549" s="49" t="s">
        <v>713</v>
      </c>
      <c r="B549" s="49" t="s">
        <v>232</v>
      </c>
      <c r="C549" s="49" t="s">
        <v>233</v>
      </c>
      <c r="D549" s="49" t="s">
        <v>85</v>
      </c>
      <c r="E549" s="50">
        <v>535000</v>
      </c>
      <c r="F549" s="50">
        <v>535000</v>
      </c>
      <c r="G549" s="50">
        <v>532625</v>
      </c>
      <c r="H549" s="50">
        <v>0</v>
      </c>
      <c r="I549" s="50">
        <v>110709.98</v>
      </c>
      <c r="J549" s="50">
        <v>0</v>
      </c>
      <c r="K549" s="50">
        <v>326000</v>
      </c>
      <c r="L549" s="50">
        <v>75000</v>
      </c>
      <c r="M549" s="50">
        <v>98290.02</v>
      </c>
      <c r="N549" s="50">
        <v>95915.02</v>
      </c>
    </row>
    <row r="550" spans="1:14" hidden="1" x14ac:dyDescent="0.25">
      <c r="A550" s="49" t="s">
        <v>713</v>
      </c>
      <c r="B550" s="49" t="s">
        <v>326</v>
      </c>
      <c r="C550" s="49" t="s">
        <v>327</v>
      </c>
      <c r="D550" s="49" t="s">
        <v>85</v>
      </c>
      <c r="E550" s="50">
        <v>535000</v>
      </c>
      <c r="F550" s="50">
        <v>535000</v>
      </c>
      <c r="G550" s="50">
        <v>532625</v>
      </c>
      <c r="H550" s="50">
        <v>0</v>
      </c>
      <c r="I550" s="50">
        <v>110709.98</v>
      </c>
      <c r="J550" s="50">
        <v>0</v>
      </c>
      <c r="K550" s="50">
        <v>326000</v>
      </c>
      <c r="L550" s="50">
        <v>75000</v>
      </c>
      <c r="M550" s="50">
        <v>98290.02</v>
      </c>
      <c r="N550" s="50">
        <v>95915.02</v>
      </c>
    </row>
    <row r="551" spans="1:14" x14ac:dyDescent="0.25">
      <c r="A551" s="49">
        <v>214789004</v>
      </c>
      <c r="B551" s="49"/>
      <c r="C551" s="49"/>
      <c r="D551" s="49" t="s">
        <v>69</v>
      </c>
      <c r="E551" s="50">
        <v>2343912564</v>
      </c>
      <c r="F551" s="50">
        <v>2285498408</v>
      </c>
      <c r="G551" s="50">
        <v>2202114165.73</v>
      </c>
      <c r="H551" s="50">
        <v>0</v>
      </c>
      <c r="I551" s="50">
        <v>109218317.97</v>
      </c>
      <c r="J551" s="50">
        <v>357054.25</v>
      </c>
      <c r="K551" s="50">
        <v>1584394231.4100001</v>
      </c>
      <c r="L551" s="50">
        <v>1584221346.4100001</v>
      </c>
      <c r="M551" s="50">
        <v>591528804.37</v>
      </c>
      <c r="N551" s="50">
        <v>508144562.10000002</v>
      </c>
    </row>
    <row r="552" spans="1:14" hidden="1" x14ac:dyDescent="0.25">
      <c r="A552" s="49" t="s">
        <v>714</v>
      </c>
      <c r="B552" s="49" t="s">
        <v>71</v>
      </c>
      <c r="C552" s="49" t="s">
        <v>72</v>
      </c>
      <c r="D552" s="49" t="s">
        <v>69</v>
      </c>
      <c r="E552" s="50">
        <v>1911246104</v>
      </c>
      <c r="F552" s="50">
        <v>1874431575</v>
      </c>
      <c r="G552" s="50">
        <v>1863206575</v>
      </c>
      <c r="H552" s="50">
        <v>0</v>
      </c>
      <c r="I552" s="50">
        <v>71548356</v>
      </c>
      <c r="J552" s="50">
        <v>0</v>
      </c>
      <c r="K552" s="50">
        <v>1376623030.0599999</v>
      </c>
      <c r="L552" s="50">
        <v>1376623030.0599999</v>
      </c>
      <c r="M552" s="50">
        <v>426260188.94</v>
      </c>
      <c r="N552" s="50">
        <v>415035188.94</v>
      </c>
    </row>
    <row r="553" spans="1:14" hidden="1" x14ac:dyDescent="0.25">
      <c r="A553" s="49" t="s">
        <v>714</v>
      </c>
      <c r="B553" s="49" t="s">
        <v>73</v>
      </c>
      <c r="C553" s="49" t="s">
        <v>74</v>
      </c>
      <c r="D553" s="49" t="s">
        <v>69</v>
      </c>
      <c r="E553" s="50">
        <v>693088616</v>
      </c>
      <c r="F553" s="50">
        <v>672914792</v>
      </c>
      <c r="G553" s="50">
        <v>672914792</v>
      </c>
      <c r="H553" s="50">
        <v>0</v>
      </c>
      <c r="I553" s="50">
        <v>0</v>
      </c>
      <c r="J553" s="50">
        <v>0</v>
      </c>
      <c r="K553" s="50">
        <v>540064261.36000001</v>
      </c>
      <c r="L553" s="50">
        <v>540064261.36000001</v>
      </c>
      <c r="M553" s="50">
        <v>132850530.64</v>
      </c>
      <c r="N553" s="50">
        <v>132850530.64</v>
      </c>
    </row>
    <row r="554" spans="1:14" hidden="1" x14ac:dyDescent="0.25">
      <c r="A554" s="49" t="s">
        <v>714</v>
      </c>
      <c r="B554" s="49" t="s">
        <v>75</v>
      </c>
      <c r="C554" s="49" t="s">
        <v>76</v>
      </c>
      <c r="D554" s="49" t="s">
        <v>69</v>
      </c>
      <c r="E554" s="50">
        <v>693088616</v>
      </c>
      <c r="F554" s="50">
        <v>672914792</v>
      </c>
      <c r="G554" s="50">
        <v>672914792</v>
      </c>
      <c r="H554" s="50">
        <v>0</v>
      </c>
      <c r="I554" s="50">
        <v>0</v>
      </c>
      <c r="J554" s="50">
        <v>0</v>
      </c>
      <c r="K554" s="50">
        <v>540064261.36000001</v>
      </c>
      <c r="L554" s="50">
        <v>540064261.36000001</v>
      </c>
      <c r="M554" s="50">
        <v>132850530.64</v>
      </c>
      <c r="N554" s="50">
        <v>132850530.64</v>
      </c>
    </row>
    <row r="555" spans="1:14" hidden="1" x14ac:dyDescent="0.25">
      <c r="A555" s="49" t="s">
        <v>714</v>
      </c>
      <c r="B555" s="49" t="s">
        <v>293</v>
      </c>
      <c r="C555" s="49" t="s">
        <v>294</v>
      </c>
      <c r="D555" s="49" t="s">
        <v>69</v>
      </c>
      <c r="E555" s="50">
        <v>2572600</v>
      </c>
      <c r="F555" s="50">
        <v>2572600</v>
      </c>
      <c r="G555" s="50">
        <v>2572600</v>
      </c>
      <c r="H555" s="50">
        <v>0</v>
      </c>
      <c r="I555" s="50">
        <v>0</v>
      </c>
      <c r="J555" s="50">
        <v>0</v>
      </c>
      <c r="K555" s="50">
        <v>1538912.5</v>
      </c>
      <c r="L555" s="50">
        <v>1538912.5</v>
      </c>
      <c r="M555" s="50">
        <v>1033687.5</v>
      </c>
      <c r="N555" s="50">
        <v>1033687.5</v>
      </c>
    </row>
    <row r="556" spans="1:14" hidden="1" x14ac:dyDescent="0.25">
      <c r="A556" s="49" t="s">
        <v>714</v>
      </c>
      <c r="B556" s="49" t="s">
        <v>339</v>
      </c>
      <c r="C556" s="49" t="s">
        <v>340</v>
      </c>
      <c r="D556" s="49" t="s">
        <v>69</v>
      </c>
      <c r="E556" s="50">
        <v>2572600</v>
      </c>
      <c r="F556" s="50">
        <v>2572600</v>
      </c>
      <c r="G556" s="50">
        <v>2572600</v>
      </c>
      <c r="H556" s="50">
        <v>0</v>
      </c>
      <c r="I556" s="50">
        <v>0</v>
      </c>
      <c r="J556" s="50">
        <v>0</v>
      </c>
      <c r="K556" s="50">
        <v>1538912.5</v>
      </c>
      <c r="L556" s="50">
        <v>1538912.5</v>
      </c>
      <c r="M556" s="50">
        <v>1033687.5</v>
      </c>
      <c r="N556" s="50">
        <v>1033687.5</v>
      </c>
    </row>
    <row r="557" spans="1:14" hidden="1" x14ac:dyDescent="0.25">
      <c r="A557" s="49" t="s">
        <v>714</v>
      </c>
      <c r="B557" s="49" t="s">
        <v>77</v>
      </c>
      <c r="C557" s="49" t="s">
        <v>78</v>
      </c>
      <c r="D557" s="49" t="s">
        <v>69</v>
      </c>
      <c r="E557" s="50">
        <v>924031359</v>
      </c>
      <c r="F557" s="50">
        <v>913006573</v>
      </c>
      <c r="G557" s="50">
        <v>905581573</v>
      </c>
      <c r="H557" s="50">
        <v>0</v>
      </c>
      <c r="I557" s="50">
        <v>0</v>
      </c>
      <c r="J557" s="50">
        <v>0</v>
      </c>
      <c r="K557" s="50">
        <v>626590406.20000005</v>
      </c>
      <c r="L557" s="50">
        <v>626590406.20000005</v>
      </c>
      <c r="M557" s="50">
        <v>286416166.80000001</v>
      </c>
      <c r="N557" s="50">
        <v>278991166.80000001</v>
      </c>
    </row>
    <row r="558" spans="1:14" hidden="1" x14ac:dyDescent="0.25">
      <c r="A558" s="49" t="s">
        <v>714</v>
      </c>
      <c r="B558" s="49" t="s">
        <v>79</v>
      </c>
      <c r="C558" s="49" t="s">
        <v>80</v>
      </c>
      <c r="D558" s="49" t="s">
        <v>69</v>
      </c>
      <c r="E558" s="50">
        <v>322806400</v>
      </c>
      <c r="F558" s="50">
        <v>322806400</v>
      </c>
      <c r="G558" s="50">
        <v>322806400</v>
      </c>
      <c r="H558" s="50">
        <v>0</v>
      </c>
      <c r="I558" s="50">
        <v>0</v>
      </c>
      <c r="J558" s="50">
        <v>0</v>
      </c>
      <c r="K558" s="50">
        <v>230969726.81</v>
      </c>
      <c r="L558" s="50">
        <v>230969726.81</v>
      </c>
      <c r="M558" s="50">
        <v>91836673.189999998</v>
      </c>
      <c r="N558" s="50">
        <v>91836673.189999998</v>
      </c>
    </row>
    <row r="559" spans="1:14" hidden="1" x14ac:dyDescent="0.25">
      <c r="A559" s="49" t="s">
        <v>714</v>
      </c>
      <c r="B559" s="49" t="s">
        <v>81</v>
      </c>
      <c r="C559" s="49" t="s">
        <v>82</v>
      </c>
      <c r="D559" s="49" t="s">
        <v>69</v>
      </c>
      <c r="E559" s="50">
        <v>234712205</v>
      </c>
      <c r="F559" s="50">
        <v>227111190</v>
      </c>
      <c r="G559" s="50">
        <v>227111190</v>
      </c>
      <c r="H559" s="50">
        <v>0</v>
      </c>
      <c r="I559" s="50">
        <v>0</v>
      </c>
      <c r="J559" s="50">
        <v>0</v>
      </c>
      <c r="K559" s="50">
        <v>193268044.55000001</v>
      </c>
      <c r="L559" s="50">
        <v>193268044.55000001</v>
      </c>
      <c r="M559" s="50">
        <v>33843145.450000003</v>
      </c>
      <c r="N559" s="50">
        <v>33843145.450000003</v>
      </c>
    </row>
    <row r="560" spans="1:14" hidden="1" x14ac:dyDescent="0.25">
      <c r="A560" s="49" t="s">
        <v>714</v>
      </c>
      <c r="B560" s="49" t="s">
        <v>86</v>
      </c>
      <c r="C560" s="49" t="s">
        <v>87</v>
      </c>
      <c r="D560" s="49" t="s">
        <v>69</v>
      </c>
      <c r="E560" s="50">
        <v>114340800</v>
      </c>
      <c r="F560" s="50">
        <v>114340800</v>
      </c>
      <c r="G560" s="50">
        <v>106915800</v>
      </c>
      <c r="H560" s="50">
        <v>0</v>
      </c>
      <c r="I560" s="50">
        <v>0</v>
      </c>
      <c r="J560" s="50">
        <v>0</v>
      </c>
      <c r="K560" s="50">
        <v>100891549.97</v>
      </c>
      <c r="L560" s="50">
        <v>100891549.97</v>
      </c>
      <c r="M560" s="50">
        <v>13449250.029999999</v>
      </c>
      <c r="N560" s="50">
        <v>6024250.0300000003</v>
      </c>
    </row>
    <row r="561" spans="1:14" hidden="1" x14ac:dyDescent="0.25">
      <c r="A561" s="49" t="s">
        <v>714</v>
      </c>
      <c r="B561" s="49" t="s">
        <v>88</v>
      </c>
      <c r="C561" s="49" t="s">
        <v>89</v>
      </c>
      <c r="D561" s="49" t="s">
        <v>69</v>
      </c>
      <c r="E561" s="50">
        <v>127626300</v>
      </c>
      <c r="F561" s="50">
        <v>126601536</v>
      </c>
      <c r="G561" s="50">
        <v>126601536</v>
      </c>
      <c r="H561" s="50">
        <v>0</v>
      </c>
      <c r="I561" s="50">
        <v>0</v>
      </c>
      <c r="J561" s="50">
        <v>0</v>
      </c>
      <c r="K561" s="50">
        <v>101461084.87</v>
      </c>
      <c r="L561" s="50">
        <v>101461084.87</v>
      </c>
      <c r="M561" s="50">
        <v>25140451.129999999</v>
      </c>
      <c r="N561" s="50">
        <v>25140451.129999999</v>
      </c>
    </row>
    <row r="562" spans="1:14" hidden="1" x14ac:dyDescent="0.25">
      <c r="A562" s="49" t="s">
        <v>714</v>
      </c>
      <c r="B562" s="49" t="s">
        <v>83</v>
      </c>
      <c r="C562" s="49" t="s">
        <v>84</v>
      </c>
      <c r="D562" s="49" t="s">
        <v>85</v>
      </c>
      <c r="E562" s="50">
        <v>124545654</v>
      </c>
      <c r="F562" s="50">
        <v>122146647</v>
      </c>
      <c r="G562" s="50">
        <v>122146647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50">
        <v>122146647</v>
      </c>
      <c r="N562" s="50">
        <v>122146647</v>
      </c>
    </row>
    <row r="563" spans="1:14" hidden="1" x14ac:dyDescent="0.25">
      <c r="A563" s="49" t="s">
        <v>714</v>
      </c>
      <c r="B563" s="49" t="s">
        <v>90</v>
      </c>
      <c r="C563" s="49" t="s">
        <v>91</v>
      </c>
      <c r="D563" s="49" t="s">
        <v>69</v>
      </c>
      <c r="E563" s="50">
        <v>145776815</v>
      </c>
      <c r="F563" s="50">
        <v>142968855</v>
      </c>
      <c r="G563" s="50">
        <v>142968855</v>
      </c>
      <c r="H563" s="50">
        <v>0</v>
      </c>
      <c r="I563" s="50">
        <v>37580676</v>
      </c>
      <c r="J563" s="50">
        <v>0</v>
      </c>
      <c r="K563" s="50">
        <v>104308277</v>
      </c>
      <c r="L563" s="50">
        <v>104308277</v>
      </c>
      <c r="M563" s="50">
        <v>1079902</v>
      </c>
      <c r="N563" s="50">
        <v>1079902</v>
      </c>
    </row>
    <row r="564" spans="1:14" hidden="1" x14ac:dyDescent="0.25">
      <c r="A564" s="49" t="s">
        <v>714</v>
      </c>
      <c r="B564" s="49" t="s">
        <v>424</v>
      </c>
      <c r="C564" s="49" t="s">
        <v>697</v>
      </c>
      <c r="D564" s="49" t="s">
        <v>69</v>
      </c>
      <c r="E564" s="50">
        <v>138301084</v>
      </c>
      <c r="F564" s="50">
        <v>135637121</v>
      </c>
      <c r="G564" s="50">
        <v>135637121</v>
      </c>
      <c r="H564" s="50">
        <v>0</v>
      </c>
      <c r="I564" s="50">
        <v>35653465</v>
      </c>
      <c r="J564" s="50">
        <v>0</v>
      </c>
      <c r="K564" s="50">
        <v>98959134</v>
      </c>
      <c r="L564" s="50">
        <v>98959134</v>
      </c>
      <c r="M564" s="50">
        <v>1024522</v>
      </c>
      <c r="N564" s="50">
        <v>1024522</v>
      </c>
    </row>
    <row r="565" spans="1:14" hidden="1" x14ac:dyDescent="0.25">
      <c r="A565" s="49" t="s">
        <v>714</v>
      </c>
      <c r="B565" s="49" t="s">
        <v>441</v>
      </c>
      <c r="C565" s="49" t="s">
        <v>95</v>
      </c>
      <c r="D565" s="49" t="s">
        <v>69</v>
      </c>
      <c r="E565" s="50">
        <v>7475731</v>
      </c>
      <c r="F565" s="50">
        <v>7331734</v>
      </c>
      <c r="G565" s="50">
        <v>7331734</v>
      </c>
      <c r="H565" s="50">
        <v>0</v>
      </c>
      <c r="I565" s="50">
        <v>1927211</v>
      </c>
      <c r="J565" s="50">
        <v>0</v>
      </c>
      <c r="K565" s="50">
        <v>5349143</v>
      </c>
      <c r="L565" s="50">
        <v>5349143</v>
      </c>
      <c r="M565" s="50">
        <v>55380</v>
      </c>
      <c r="N565" s="50">
        <v>55380</v>
      </c>
    </row>
    <row r="566" spans="1:14" hidden="1" x14ac:dyDescent="0.25">
      <c r="A566" s="49" t="s">
        <v>714</v>
      </c>
      <c r="B566" s="49" t="s">
        <v>96</v>
      </c>
      <c r="C566" s="49" t="s">
        <v>97</v>
      </c>
      <c r="D566" s="49" t="s">
        <v>69</v>
      </c>
      <c r="E566" s="50">
        <v>145776714</v>
      </c>
      <c r="F566" s="50">
        <v>142968755</v>
      </c>
      <c r="G566" s="50">
        <v>139168755</v>
      </c>
      <c r="H566" s="50">
        <v>0</v>
      </c>
      <c r="I566" s="50">
        <v>33967680</v>
      </c>
      <c r="J566" s="50">
        <v>0</v>
      </c>
      <c r="K566" s="50">
        <v>104121173</v>
      </c>
      <c r="L566" s="50">
        <v>104121173</v>
      </c>
      <c r="M566" s="50">
        <v>4879902</v>
      </c>
      <c r="N566" s="50">
        <v>1079902</v>
      </c>
    </row>
    <row r="567" spans="1:14" hidden="1" x14ac:dyDescent="0.25">
      <c r="A567" s="49" t="s">
        <v>714</v>
      </c>
      <c r="B567" s="49" t="s">
        <v>459</v>
      </c>
      <c r="C567" s="49" t="s">
        <v>698</v>
      </c>
      <c r="D567" s="49" t="s">
        <v>69</v>
      </c>
      <c r="E567" s="50">
        <v>78495131</v>
      </c>
      <c r="F567" s="50">
        <v>76983152</v>
      </c>
      <c r="G567" s="50">
        <v>76983152</v>
      </c>
      <c r="H567" s="50">
        <v>0</v>
      </c>
      <c r="I567" s="50">
        <v>20422775</v>
      </c>
      <c r="J567" s="50">
        <v>0</v>
      </c>
      <c r="K567" s="50">
        <v>55978892</v>
      </c>
      <c r="L567" s="50">
        <v>55978892</v>
      </c>
      <c r="M567" s="50">
        <v>581485</v>
      </c>
      <c r="N567" s="50">
        <v>581485</v>
      </c>
    </row>
    <row r="568" spans="1:14" hidden="1" x14ac:dyDescent="0.25">
      <c r="A568" s="49" t="s">
        <v>714</v>
      </c>
      <c r="B568" s="49" t="s">
        <v>476</v>
      </c>
      <c r="C568" s="49" t="s">
        <v>699</v>
      </c>
      <c r="D568" s="49" t="s">
        <v>69</v>
      </c>
      <c r="E568" s="50">
        <v>22427194</v>
      </c>
      <c r="F568" s="50">
        <v>21995201</v>
      </c>
      <c r="G568" s="50">
        <v>21995201</v>
      </c>
      <c r="H568" s="50">
        <v>0</v>
      </c>
      <c r="I568" s="50">
        <v>5781635</v>
      </c>
      <c r="J568" s="50">
        <v>0</v>
      </c>
      <c r="K568" s="50">
        <v>16047427</v>
      </c>
      <c r="L568" s="50">
        <v>16047427</v>
      </c>
      <c r="M568" s="50">
        <v>166139</v>
      </c>
      <c r="N568" s="50">
        <v>166139</v>
      </c>
    </row>
    <row r="569" spans="1:14" hidden="1" x14ac:dyDescent="0.25">
      <c r="A569" s="49" t="s">
        <v>714</v>
      </c>
      <c r="B569" s="49" t="s">
        <v>493</v>
      </c>
      <c r="C569" s="49" t="s">
        <v>700</v>
      </c>
      <c r="D569" s="49" t="s">
        <v>69</v>
      </c>
      <c r="E569" s="50">
        <v>44854389</v>
      </c>
      <c r="F569" s="50">
        <v>43990402</v>
      </c>
      <c r="G569" s="50">
        <v>40190402</v>
      </c>
      <c r="H569" s="50">
        <v>0</v>
      </c>
      <c r="I569" s="50">
        <v>7763270</v>
      </c>
      <c r="J569" s="50">
        <v>0</v>
      </c>
      <c r="K569" s="50">
        <v>32094854</v>
      </c>
      <c r="L569" s="50">
        <v>32094854</v>
      </c>
      <c r="M569" s="50">
        <v>4132278</v>
      </c>
      <c r="N569" s="50">
        <v>332278</v>
      </c>
    </row>
    <row r="570" spans="1:14" hidden="1" x14ac:dyDescent="0.25">
      <c r="A570" s="49" t="s">
        <v>714</v>
      </c>
      <c r="B570" s="49" t="s">
        <v>104</v>
      </c>
      <c r="C570" s="49" t="s">
        <v>105</v>
      </c>
      <c r="D570" s="49" t="s">
        <v>69</v>
      </c>
      <c r="E570" s="50">
        <v>93714000</v>
      </c>
      <c r="F570" s="50">
        <v>91126500</v>
      </c>
      <c r="G570" s="50">
        <v>89907500</v>
      </c>
      <c r="H570" s="50">
        <v>0</v>
      </c>
      <c r="I570" s="50">
        <v>16643034.869999999</v>
      </c>
      <c r="J570" s="50">
        <v>0</v>
      </c>
      <c r="K570" s="50">
        <v>60900427.07</v>
      </c>
      <c r="L570" s="50">
        <v>60900427.07</v>
      </c>
      <c r="M570" s="50">
        <v>13583038.060000001</v>
      </c>
      <c r="N570" s="50">
        <v>12364038.060000001</v>
      </c>
    </row>
    <row r="571" spans="1:14" hidden="1" x14ac:dyDescent="0.25">
      <c r="A571" s="49" t="s">
        <v>714</v>
      </c>
      <c r="B571" s="49" t="s">
        <v>112</v>
      </c>
      <c r="C571" s="49" t="s">
        <v>113</v>
      </c>
      <c r="D571" s="49" t="s">
        <v>69</v>
      </c>
      <c r="E571" s="50">
        <v>92804000</v>
      </c>
      <c r="F571" s="50">
        <v>90216500</v>
      </c>
      <c r="G571" s="50">
        <v>89816500</v>
      </c>
      <c r="H571" s="50">
        <v>0</v>
      </c>
      <c r="I571" s="50">
        <v>16643034.869999999</v>
      </c>
      <c r="J571" s="50">
        <v>0</v>
      </c>
      <c r="K571" s="50">
        <v>60900427.07</v>
      </c>
      <c r="L571" s="50">
        <v>60900427.07</v>
      </c>
      <c r="M571" s="50">
        <v>12673038.060000001</v>
      </c>
      <c r="N571" s="50">
        <v>12273038.060000001</v>
      </c>
    </row>
    <row r="572" spans="1:14" hidden="1" x14ac:dyDescent="0.25">
      <c r="A572" s="49" t="s">
        <v>714</v>
      </c>
      <c r="B572" s="49" t="s">
        <v>114</v>
      </c>
      <c r="C572" s="49" t="s">
        <v>115</v>
      </c>
      <c r="D572" s="49" t="s">
        <v>69</v>
      </c>
      <c r="E572" s="50">
        <v>36754000</v>
      </c>
      <c r="F572" s="50">
        <v>36754000</v>
      </c>
      <c r="G572" s="50">
        <v>36754000</v>
      </c>
      <c r="H572" s="50">
        <v>0</v>
      </c>
      <c r="I572" s="50">
        <v>1653818.61</v>
      </c>
      <c r="J572" s="50">
        <v>0</v>
      </c>
      <c r="K572" s="50">
        <v>35100181.390000001</v>
      </c>
      <c r="L572" s="50">
        <v>35100181.390000001</v>
      </c>
      <c r="M572" s="50">
        <v>0</v>
      </c>
      <c r="N572" s="50">
        <v>0</v>
      </c>
    </row>
    <row r="573" spans="1:14" hidden="1" x14ac:dyDescent="0.25">
      <c r="A573" s="49" t="s">
        <v>714</v>
      </c>
      <c r="B573" s="49" t="s">
        <v>116</v>
      </c>
      <c r="C573" s="49" t="s">
        <v>117</v>
      </c>
      <c r="D573" s="49" t="s">
        <v>69</v>
      </c>
      <c r="E573" s="50">
        <v>43500000</v>
      </c>
      <c r="F573" s="50">
        <v>40922500</v>
      </c>
      <c r="G573" s="50">
        <v>40922500</v>
      </c>
      <c r="H573" s="50">
        <v>0</v>
      </c>
      <c r="I573" s="50">
        <v>12461369.75</v>
      </c>
      <c r="J573" s="50">
        <v>0</v>
      </c>
      <c r="K573" s="50">
        <v>22067576.02</v>
      </c>
      <c r="L573" s="50">
        <v>22067576.02</v>
      </c>
      <c r="M573" s="50">
        <v>6393554.2300000004</v>
      </c>
      <c r="N573" s="50">
        <v>6393554.2300000004</v>
      </c>
    </row>
    <row r="574" spans="1:14" hidden="1" x14ac:dyDescent="0.25">
      <c r="A574" s="49" t="s">
        <v>714</v>
      </c>
      <c r="B574" s="49" t="s">
        <v>120</v>
      </c>
      <c r="C574" s="49" t="s">
        <v>121</v>
      </c>
      <c r="D574" s="49" t="s">
        <v>69</v>
      </c>
      <c r="E574" s="50">
        <v>11550000</v>
      </c>
      <c r="F574" s="50">
        <v>11550000</v>
      </c>
      <c r="G574" s="50">
        <v>11550000</v>
      </c>
      <c r="H574" s="50">
        <v>0</v>
      </c>
      <c r="I574" s="50">
        <v>2493527.61</v>
      </c>
      <c r="J574" s="50">
        <v>0</v>
      </c>
      <c r="K574" s="50">
        <v>3281472.39</v>
      </c>
      <c r="L574" s="50">
        <v>3281472.39</v>
      </c>
      <c r="M574" s="50">
        <v>5775000</v>
      </c>
      <c r="N574" s="50">
        <v>5775000</v>
      </c>
    </row>
    <row r="575" spans="1:14" hidden="1" x14ac:dyDescent="0.25">
      <c r="A575" s="49" t="s">
        <v>714</v>
      </c>
      <c r="B575" s="49" t="s">
        <v>122</v>
      </c>
      <c r="C575" s="49" t="s">
        <v>123</v>
      </c>
      <c r="D575" s="49" t="s">
        <v>69</v>
      </c>
      <c r="E575" s="50">
        <v>1000000</v>
      </c>
      <c r="F575" s="50">
        <v>990000</v>
      </c>
      <c r="G575" s="50">
        <v>590000</v>
      </c>
      <c r="H575" s="50">
        <v>0</v>
      </c>
      <c r="I575" s="50">
        <v>34318.9</v>
      </c>
      <c r="J575" s="50">
        <v>0</v>
      </c>
      <c r="K575" s="50">
        <v>451197.27</v>
      </c>
      <c r="L575" s="50">
        <v>451197.27</v>
      </c>
      <c r="M575" s="50">
        <v>504483.83</v>
      </c>
      <c r="N575" s="50">
        <v>104483.83</v>
      </c>
    </row>
    <row r="576" spans="1:14" hidden="1" x14ac:dyDescent="0.25">
      <c r="A576" s="49" t="s">
        <v>714</v>
      </c>
      <c r="B576" s="49" t="s">
        <v>116</v>
      </c>
      <c r="C576" s="49" t="s">
        <v>117</v>
      </c>
      <c r="D576" s="49" t="s">
        <v>85</v>
      </c>
      <c r="E576" s="50">
        <v>0</v>
      </c>
      <c r="F576" s="50">
        <v>0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50">
        <v>0</v>
      </c>
      <c r="M576" s="50">
        <v>0</v>
      </c>
      <c r="N576" s="50">
        <v>0</v>
      </c>
    </row>
    <row r="577" spans="1:14" hidden="1" x14ac:dyDescent="0.25">
      <c r="A577" s="49" t="s">
        <v>714</v>
      </c>
      <c r="B577" s="49" t="s">
        <v>134</v>
      </c>
      <c r="C577" s="49" t="s">
        <v>135</v>
      </c>
      <c r="D577" s="49" t="s">
        <v>69</v>
      </c>
      <c r="E577" s="50">
        <v>410000</v>
      </c>
      <c r="F577" s="50">
        <v>410000</v>
      </c>
      <c r="G577" s="50">
        <v>41000</v>
      </c>
      <c r="H577" s="50">
        <v>0</v>
      </c>
      <c r="I577" s="50">
        <v>0</v>
      </c>
      <c r="J577" s="50">
        <v>0</v>
      </c>
      <c r="K577" s="50">
        <v>0</v>
      </c>
      <c r="L577" s="50">
        <v>0</v>
      </c>
      <c r="M577" s="50">
        <v>410000</v>
      </c>
      <c r="N577" s="50">
        <v>41000</v>
      </c>
    </row>
    <row r="578" spans="1:14" hidden="1" x14ac:dyDescent="0.25">
      <c r="A578" s="49" t="s">
        <v>714</v>
      </c>
      <c r="B578" s="49" t="s">
        <v>346</v>
      </c>
      <c r="C578" s="49" t="s">
        <v>347</v>
      </c>
      <c r="D578" s="49" t="s">
        <v>69</v>
      </c>
      <c r="E578" s="50">
        <v>20000</v>
      </c>
      <c r="F578" s="50">
        <v>20000</v>
      </c>
      <c r="G578" s="50">
        <v>2000</v>
      </c>
      <c r="H578" s="50">
        <v>0</v>
      </c>
      <c r="I578" s="50">
        <v>0</v>
      </c>
      <c r="J578" s="50">
        <v>0</v>
      </c>
      <c r="K578" s="50">
        <v>0</v>
      </c>
      <c r="L578" s="50">
        <v>0</v>
      </c>
      <c r="M578" s="50">
        <v>20000</v>
      </c>
      <c r="N578" s="50">
        <v>2000</v>
      </c>
    </row>
    <row r="579" spans="1:14" hidden="1" x14ac:dyDescent="0.25">
      <c r="A579" s="49" t="s">
        <v>714</v>
      </c>
      <c r="B579" s="49" t="s">
        <v>136</v>
      </c>
      <c r="C579" s="49" t="s">
        <v>137</v>
      </c>
      <c r="D579" s="49" t="s">
        <v>69</v>
      </c>
      <c r="E579" s="50">
        <v>350000</v>
      </c>
      <c r="F579" s="50">
        <v>350000</v>
      </c>
      <c r="G579" s="50">
        <v>35000</v>
      </c>
      <c r="H579" s="50">
        <v>0</v>
      </c>
      <c r="I579" s="50">
        <v>0</v>
      </c>
      <c r="J579" s="50">
        <v>0</v>
      </c>
      <c r="K579" s="50">
        <v>0</v>
      </c>
      <c r="L579" s="50">
        <v>0</v>
      </c>
      <c r="M579" s="50">
        <v>350000</v>
      </c>
      <c r="N579" s="50">
        <v>35000</v>
      </c>
    </row>
    <row r="580" spans="1:14" hidden="1" x14ac:dyDescent="0.25">
      <c r="A580" s="49" t="s">
        <v>714</v>
      </c>
      <c r="B580" s="49" t="s">
        <v>138</v>
      </c>
      <c r="C580" s="49" t="s">
        <v>139</v>
      </c>
      <c r="D580" s="49" t="s">
        <v>69</v>
      </c>
      <c r="E580" s="50">
        <v>40000</v>
      </c>
      <c r="F580" s="50">
        <v>40000</v>
      </c>
      <c r="G580" s="50">
        <v>4000</v>
      </c>
      <c r="H580" s="50">
        <v>0</v>
      </c>
      <c r="I580" s="50">
        <v>0</v>
      </c>
      <c r="J580" s="50">
        <v>0</v>
      </c>
      <c r="K580" s="50">
        <v>0</v>
      </c>
      <c r="L580" s="50">
        <v>0</v>
      </c>
      <c r="M580" s="50">
        <v>40000</v>
      </c>
      <c r="N580" s="50">
        <v>4000</v>
      </c>
    </row>
    <row r="581" spans="1:14" hidden="1" x14ac:dyDescent="0.25">
      <c r="A581" s="49" t="s">
        <v>714</v>
      </c>
      <c r="B581" s="49" t="s">
        <v>140</v>
      </c>
      <c r="C581" s="49" t="s">
        <v>141</v>
      </c>
      <c r="D581" s="49" t="s">
        <v>69</v>
      </c>
      <c r="E581" s="50">
        <v>0</v>
      </c>
      <c r="F581" s="50">
        <v>0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50">
        <v>0</v>
      </c>
      <c r="N581" s="50">
        <v>0</v>
      </c>
    </row>
    <row r="582" spans="1:14" hidden="1" x14ac:dyDescent="0.25">
      <c r="A582" s="49" t="s">
        <v>714</v>
      </c>
      <c r="B582" s="49" t="s">
        <v>144</v>
      </c>
      <c r="C582" s="49" t="s">
        <v>145</v>
      </c>
      <c r="D582" s="49" t="s">
        <v>69</v>
      </c>
      <c r="E582" s="50">
        <v>0</v>
      </c>
      <c r="F582" s="50">
        <v>0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50">
        <v>0</v>
      </c>
      <c r="N582" s="50">
        <v>0</v>
      </c>
    </row>
    <row r="583" spans="1:14" hidden="1" x14ac:dyDescent="0.25">
      <c r="A583" s="49" t="s">
        <v>714</v>
      </c>
      <c r="B583" s="49" t="s">
        <v>162</v>
      </c>
      <c r="C583" s="49" t="s">
        <v>163</v>
      </c>
      <c r="D583" s="49" t="s">
        <v>69</v>
      </c>
      <c r="E583" s="50">
        <v>500000</v>
      </c>
      <c r="F583" s="50">
        <v>500000</v>
      </c>
      <c r="G583" s="50">
        <v>50000</v>
      </c>
      <c r="H583" s="50">
        <v>0</v>
      </c>
      <c r="I583" s="50">
        <v>0</v>
      </c>
      <c r="J583" s="50">
        <v>0</v>
      </c>
      <c r="K583" s="50">
        <v>0</v>
      </c>
      <c r="L583" s="50">
        <v>0</v>
      </c>
      <c r="M583" s="50">
        <v>500000</v>
      </c>
      <c r="N583" s="50">
        <v>50000</v>
      </c>
    </row>
    <row r="584" spans="1:14" hidden="1" x14ac:dyDescent="0.25">
      <c r="A584" s="49" t="s">
        <v>714</v>
      </c>
      <c r="B584" s="49" t="s">
        <v>164</v>
      </c>
      <c r="C584" s="49" t="s">
        <v>165</v>
      </c>
      <c r="D584" s="49" t="s">
        <v>69</v>
      </c>
      <c r="E584" s="50">
        <v>100000</v>
      </c>
      <c r="F584" s="50">
        <v>100000</v>
      </c>
      <c r="G584" s="50">
        <v>10000</v>
      </c>
      <c r="H584" s="50">
        <v>0</v>
      </c>
      <c r="I584" s="50">
        <v>0</v>
      </c>
      <c r="J584" s="50">
        <v>0</v>
      </c>
      <c r="K584" s="50">
        <v>0</v>
      </c>
      <c r="L584" s="50">
        <v>0</v>
      </c>
      <c r="M584" s="50">
        <v>100000</v>
      </c>
      <c r="N584" s="50">
        <v>10000</v>
      </c>
    </row>
    <row r="585" spans="1:14" hidden="1" x14ac:dyDescent="0.25">
      <c r="A585" s="49" t="s">
        <v>714</v>
      </c>
      <c r="B585" s="49" t="s">
        <v>172</v>
      </c>
      <c r="C585" s="49" t="s">
        <v>173</v>
      </c>
      <c r="D585" s="49" t="s">
        <v>69</v>
      </c>
      <c r="E585" s="50">
        <v>400000</v>
      </c>
      <c r="F585" s="50">
        <v>400000</v>
      </c>
      <c r="G585" s="50">
        <v>40000</v>
      </c>
      <c r="H585" s="50">
        <v>0</v>
      </c>
      <c r="I585" s="50">
        <v>0</v>
      </c>
      <c r="J585" s="50">
        <v>0</v>
      </c>
      <c r="K585" s="50">
        <v>0</v>
      </c>
      <c r="L585" s="50">
        <v>0</v>
      </c>
      <c r="M585" s="50">
        <v>400000</v>
      </c>
      <c r="N585" s="50">
        <v>40000</v>
      </c>
    </row>
    <row r="586" spans="1:14" hidden="1" x14ac:dyDescent="0.25">
      <c r="A586" s="49" t="s">
        <v>714</v>
      </c>
      <c r="B586" s="49" t="s">
        <v>184</v>
      </c>
      <c r="C586" s="49" t="s">
        <v>185</v>
      </c>
      <c r="D586" s="49" t="s">
        <v>69</v>
      </c>
      <c r="E586" s="50">
        <v>301595100</v>
      </c>
      <c r="F586" s="50">
        <v>287370045</v>
      </c>
      <c r="G586" s="50">
        <v>217267663.72999999</v>
      </c>
      <c r="H586" s="50">
        <v>0</v>
      </c>
      <c r="I586" s="50">
        <v>14441551.1</v>
      </c>
      <c r="J586" s="50">
        <v>357054.25</v>
      </c>
      <c r="K586" s="50">
        <v>124631543.28</v>
      </c>
      <c r="L586" s="50">
        <v>124458658.28</v>
      </c>
      <c r="M586" s="50">
        <v>147939896.37</v>
      </c>
      <c r="N586" s="50">
        <v>77837515.099999994</v>
      </c>
    </row>
    <row r="587" spans="1:14" hidden="1" x14ac:dyDescent="0.25">
      <c r="A587" s="49" t="s">
        <v>714</v>
      </c>
      <c r="B587" s="49" t="s">
        <v>186</v>
      </c>
      <c r="C587" s="49" t="s">
        <v>187</v>
      </c>
      <c r="D587" s="49" t="s">
        <v>69</v>
      </c>
      <c r="E587" s="50">
        <v>6620568</v>
      </c>
      <c r="F587" s="50">
        <v>4620568</v>
      </c>
      <c r="G587" s="50">
        <v>2826639</v>
      </c>
      <c r="H587" s="50">
        <v>0</v>
      </c>
      <c r="I587" s="50">
        <v>1071878.6599999999</v>
      </c>
      <c r="J587" s="50">
        <v>0</v>
      </c>
      <c r="K587" s="50">
        <v>0</v>
      </c>
      <c r="L587" s="50">
        <v>0</v>
      </c>
      <c r="M587" s="50">
        <v>3548689.34</v>
      </c>
      <c r="N587" s="50">
        <v>1754760.34</v>
      </c>
    </row>
    <row r="588" spans="1:14" hidden="1" x14ac:dyDescent="0.25">
      <c r="A588" s="49" t="s">
        <v>714</v>
      </c>
      <c r="B588" s="49" t="s">
        <v>188</v>
      </c>
      <c r="C588" s="49" t="s">
        <v>189</v>
      </c>
      <c r="D588" s="49" t="s">
        <v>69</v>
      </c>
      <c r="E588" s="50">
        <v>2413000</v>
      </c>
      <c r="F588" s="50">
        <v>2413000</v>
      </c>
      <c r="G588" s="50">
        <v>619071</v>
      </c>
      <c r="H588" s="50">
        <v>0</v>
      </c>
      <c r="I588" s="50">
        <v>0</v>
      </c>
      <c r="J588" s="50">
        <v>0</v>
      </c>
      <c r="K588" s="50">
        <v>0</v>
      </c>
      <c r="L588" s="50">
        <v>0</v>
      </c>
      <c r="M588" s="50">
        <v>2413000</v>
      </c>
      <c r="N588" s="50">
        <v>619071</v>
      </c>
    </row>
    <row r="589" spans="1:14" hidden="1" x14ac:dyDescent="0.25">
      <c r="A589" s="49" t="s">
        <v>714</v>
      </c>
      <c r="B589" s="49" t="s">
        <v>350</v>
      </c>
      <c r="C589" s="49" t="s">
        <v>351</v>
      </c>
      <c r="D589" s="49" t="s">
        <v>69</v>
      </c>
      <c r="E589" s="50">
        <v>63287</v>
      </c>
      <c r="F589" s="50">
        <v>63287</v>
      </c>
      <c r="G589" s="50">
        <v>63287</v>
      </c>
      <c r="H589" s="50">
        <v>0</v>
      </c>
      <c r="I589" s="50">
        <v>0</v>
      </c>
      <c r="J589" s="50">
        <v>0</v>
      </c>
      <c r="K589" s="50">
        <v>0</v>
      </c>
      <c r="L589" s="50">
        <v>0</v>
      </c>
      <c r="M589" s="50">
        <v>63287</v>
      </c>
      <c r="N589" s="50">
        <v>63287</v>
      </c>
    </row>
    <row r="590" spans="1:14" hidden="1" x14ac:dyDescent="0.25">
      <c r="A590" s="49" t="s">
        <v>714</v>
      </c>
      <c r="B590" s="49" t="s">
        <v>194</v>
      </c>
      <c r="C590" s="49" t="s">
        <v>195</v>
      </c>
      <c r="D590" s="49" t="s">
        <v>69</v>
      </c>
      <c r="E590" s="50">
        <v>4144281</v>
      </c>
      <c r="F590" s="50">
        <v>2144281</v>
      </c>
      <c r="G590" s="50">
        <v>2144281</v>
      </c>
      <c r="H590" s="50">
        <v>0</v>
      </c>
      <c r="I590" s="50">
        <v>1071878.6599999999</v>
      </c>
      <c r="J590" s="50">
        <v>0</v>
      </c>
      <c r="K590" s="50">
        <v>0</v>
      </c>
      <c r="L590" s="50">
        <v>0</v>
      </c>
      <c r="M590" s="50">
        <v>1072402.3400000001</v>
      </c>
      <c r="N590" s="50">
        <v>1072402.3400000001</v>
      </c>
    </row>
    <row r="591" spans="1:14" hidden="1" x14ac:dyDescent="0.25">
      <c r="A591" s="49" t="s">
        <v>714</v>
      </c>
      <c r="B591" s="49" t="s">
        <v>196</v>
      </c>
      <c r="C591" s="49" t="s">
        <v>197</v>
      </c>
      <c r="D591" s="49" t="s">
        <v>69</v>
      </c>
      <c r="E591" s="50">
        <v>280709986</v>
      </c>
      <c r="F591" s="50">
        <v>280086240</v>
      </c>
      <c r="G591" s="50">
        <v>211969919.72999999</v>
      </c>
      <c r="H591" s="50">
        <v>0</v>
      </c>
      <c r="I591" s="50">
        <v>13109433.43</v>
      </c>
      <c r="J591" s="50">
        <v>357054.25</v>
      </c>
      <c r="K591" s="50">
        <v>122855419.95</v>
      </c>
      <c r="L591" s="50">
        <v>122682534.95</v>
      </c>
      <c r="M591" s="50">
        <v>143764332.37</v>
      </c>
      <c r="N591" s="50">
        <v>75648012.099999994</v>
      </c>
    </row>
    <row r="592" spans="1:14" hidden="1" x14ac:dyDescent="0.25">
      <c r="A592" s="49" t="s">
        <v>714</v>
      </c>
      <c r="B592" s="49" t="s">
        <v>579</v>
      </c>
      <c r="C592" s="49" t="s">
        <v>580</v>
      </c>
      <c r="D592" s="49" t="s">
        <v>69</v>
      </c>
      <c r="E592" s="50">
        <v>1988520</v>
      </c>
      <c r="F592" s="50">
        <v>1444180</v>
      </c>
      <c r="G592" s="50">
        <v>1327860</v>
      </c>
      <c r="H592" s="50">
        <v>0</v>
      </c>
      <c r="I592" s="50">
        <v>0</v>
      </c>
      <c r="J592" s="50">
        <v>0</v>
      </c>
      <c r="K592" s="50">
        <v>899840</v>
      </c>
      <c r="L592" s="50">
        <v>899840</v>
      </c>
      <c r="M592" s="50">
        <v>544340</v>
      </c>
      <c r="N592" s="50">
        <v>428020</v>
      </c>
    </row>
    <row r="593" spans="1:14" hidden="1" x14ac:dyDescent="0.25">
      <c r="A593" s="49" t="s">
        <v>714</v>
      </c>
      <c r="B593" s="49" t="s">
        <v>198</v>
      </c>
      <c r="C593" s="49" t="s">
        <v>199</v>
      </c>
      <c r="D593" s="49" t="s">
        <v>69</v>
      </c>
      <c r="E593" s="50">
        <v>278273098</v>
      </c>
      <c r="F593" s="50">
        <v>278273098</v>
      </c>
      <c r="G593" s="50">
        <v>210273097.72999999</v>
      </c>
      <c r="H593" s="50">
        <v>0</v>
      </c>
      <c r="I593" s="50">
        <v>13109433.42</v>
      </c>
      <c r="J593" s="50">
        <v>357054.25</v>
      </c>
      <c r="K593" s="50">
        <v>121586618.28</v>
      </c>
      <c r="L593" s="50">
        <v>121413733.28</v>
      </c>
      <c r="M593" s="50">
        <v>143219992.05000001</v>
      </c>
      <c r="N593" s="50">
        <v>75219991.780000001</v>
      </c>
    </row>
    <row r="594" spans="1:14" hidden="1" x14ac:dyDescent="0.25">
      <c r="A594" s="49" t="s">
        <v>714</v>
      </c>
      <c r="B594" s="49" t="s">
        <v>352</v>
      </c>
      <c r="C594" s="49" t="s">
        <v>353</v>
      </c>
      <c r="D594" s="49" t="s">
        <v>69</v>
      </c>
      <c r="E594" s="50">
        <v>448368</v>
      </c>
      <c r="F594" s="50">
        <v>368962</v>
      </c>
      <c r="G594" s="50">
        <v>368962</v>
      </c>
      <c r="H594" s="50">
        <v>0</v>
      </c>
      <c r="I594" s="50">
        <v>0.01</v>
      </c>
      <c r="J594" s="50">
        <v>0</v>
      </c>
      <c r="K594" s="50">
        <v>368961.67</v>
      </c>
      <c r="L594" s="50">
        <v>368961.67</v>
      </c>
      <c r="M594" s="50">
        <v>0.32</v>
      </c>
      <c r="N594" s="50">
        <v>0.32</v>
      </c>
    </row>
    <row r="595" spans="1:14" hidden="1" x14ac:dyDescent="0.25">
      <c r="A595" s="49" t="s">
        <v>714</v>
      </c>
      <c r="B595" s="49" t="s">
        <v>200</v>
      </c>
      <c r="C595" s="49" t="s">
        <v>201</v>
      </c>
      <c r="D595" s="49" t="s">
        <v>69</v>
      </c>
      <c r="E595" s="50">
        <v>8117062</v>
      </c>
      <c r="F595" s="50">
        <v>1522387</v>
      </c>
      <c r="G595" s="50">
        <v>1417655</v>
      </c>
      <c r="H595" s="50">
        <v>0</v>
      </c>
      <c r="I595" s="50">
        <v>0</v>
      </c>
      <c r="J595" s="50">
        <v>0</v>
      </c>
      <c r="K595" s="50">
        <v>1110192.48</v>
      </c>
      <c r="L595" s="50">
        <v>1110192.48</v>
      </c>
      <c r="M595" s="50">
        <v>412194.52</v>
      </c>
      <c r="N595" s="50">
        <v>307462.52</v>
      </c>
    </row>
    <row r="596" spans="1:14" hidden="1" x14ac:dyDescent="0.25">
      <c r="A596" s="49" t="s">
        <v>714</v>
      </c>
      <c r="B596" s="49" t="s">
        <v>314</v>
      </c>
      <c r="C596" s="49" t="s">
        <v>315</v>
      </c>
      <c r="D596" s="49" t="s">
        <v>69</v>
      </c>
      <c r="E596" s="50">
        <v>2959825</v>
      </c>
      <c r="F596" s="50">
        <v>0</v>
      </c>
      <c r="G596" s="50">
        <v>0</v>
      </c>
      <c r="H596" s="50">
        <v>0</v>
      </c>
      <c r="I596" s="50">
        <v>0</v>
      </c>
      <c r="J596" s="50">
        <v>0</v>
      </c>
      <c r="K596" s="50">
        <v>0</v>
      </c>
      <c r="L596" s="50">
        <v>0</v>
      </c>
      <c r="M596" s="50">
        <v>0</v>
      </c>
      <c r="N596" s="50">
        <v>0</v>
      </c>
    </row>
    <row r="597" spans="1:14" hidden="1" x14ac:dyDescent="0.25">
      <c r="A597" s="49" t="s">
        <v>714</v>
      </c>
      <c r="B597" s="49" t="s">
        <v>202</v>
      </c>
      <c r="C597" s="49" t="s">
        <v>203</v>
      </c>
      <c r="D597" s="49" t="s">
        <v>69</v>
      </c>
      <c r="E597" s="50">
        <v>1322500</v>
      </c>
      <c r="F597" s="50">
        <v>22500</v>
      </c>
      <c r="G597" s="50">
        <v>0</v>
      </c>
      <c r="H597" s="50">
        <v>0</v>
      </c>
      <c r="I597" s="50">
        <v>0</v>
      </c>
      <c r="J597" s="50">
        <v>0</v>
      </c>
      <c r="K597" s="50">
        <v>0</v>
      </c>
      <c r="L597" s="50">
        <v>0</v>
      </c>
      <c r="M597" s="50">
        <v>22500</v>
      </c>
      <c r="N597" s="50">
        <v>0</v>
      </c>
    </row>
    <row r="598" spans="1:14" hidden="1" x14ac:dyDescent="0.25">
      <c r="A598" s="49" t="s">
        <v>714</v>
      </c>
      <c r="B598" s="49" t="s">
        <v>320</v>
      </c>
      <c r="C598" s="49" t="s">
        <v>321</v>
      </c>
      <c r="D598" s="49" t="s">
        <v>69</v>
      </c>
      <c r="E598" s="50">
        <v>220000</v>
      </c>
      <c r="F598" s="50">
        <v>0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50">
        <v>0</v>
      </c>
      <c r="N598" s="50">
        <v>0</v>
      </c>
    </row>
    <row r="599" spans="1:14" hidden="1" x14ac:dyDescent="0.25">
      <c r="A599" s="49" t="s">
        <v>714</v>
      </c>
      <c r="B599" s="49" t="s">
        <v>204</v>
      </c>
      <c r="C599" s="49" t="s">
        <v>205</v>
      </c>
      <c r="D599" s="49" t="s">
        <v>69</v>
      </c>
      <c r="E599" s="50">
        <v>1532505</v>
      </c>
      <c r="F599" s="50">
        <v>1417655</v>
      </c>
      <c r="G599" s="50">
        <v>1417655</v>
      </c>
      <c r="H599" s="50">
        <v>0</v>
      </c>
      <c r="I599" s="50">
        <v>0</v>
      </c>
      <c r="J599" s="50">
        <v>0</v>
      </c>
      <c r="K599" s="50">
        <v>1110192.48</v>
      </c>
      <c r="L599" s="50">
        <v>1110192.48</v>
      </c>
      <c r="M599" s="50">
        <v>307462.52</v>
      </c>
      <c r="N599" s="50">
        <v>307462.52</v>
      </c>
    </row>
    <row r="600" spans="1:14" hidden="1" x14ac:dyDescent="0.25">
      <c r="A600" s="49" t="s">
        <v>714</v>
      </c>
      <c r="B600" s="49" t="s">
        <v>322</v>
      </c>
      <c r="C600" s="49" t="s">
        <v>323</v>
      </c>
      <c r="D600" s="49" t="s">
        <v>69</v>
      </c>
      <c r="E600" s="50">
        <v>2082232</v>
      </c>
      <c r="F600" s="50">
        <v>82232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50">
        <v>82232</v>
      </c>
      <c r="N600" s="50">
        <v>0</v>
      </c>
    </row>
    <row r="601" spans="1:14" hidden="1" x14ac:dyDescent="0.25">
      <c r="A601" s="49" t="s">
        <v>714</v>
      </c>
      <c r="B601" s="49" t="s">
        <v>206</v>
      </c>
      <c r="C601" s="49" t="s">
        <v>207</v>
      </c>
      <c r="D601" s="49" t="s">
        <v>69</v>
      </c>
      <c r="E601" s="50">
        <v>1362914</v>
      </c>
      <c r="F601" s="50">
        <v>91500</v>
      </c>
      <c r="G601" s="50">
        <v>91500</v>
      </c>
      <c r="H601" s="50">
        <v>0</v>
      </c>
      <c r="I601" s="50">
        <v>0</v>
      </c>
      <c r="J601" s="50">
        <v>0</v>
      </c>
      <c r="K601" s="50">
        <v>0</v>
      </c>
      <c r="L601" s="50">
        <v>0</v>
      </c>
      <c r="M601" s="50">
        <v>91500</v>
      </c>
      <c r="N601" s="50">
        <v>91500</v>
      </c>
    </row>
    <row r="602" spans="1:14" hidden="1" x14ac:dyDescent="0.25">
      <c r="A602" s="49" t="s">
        <v>714</v>
      </c>
      <c r="B602" s="49" t="s">
        <v>208</v>
      </c>
      <c r="C602" s="49" t="s">
        <v>209</v>
      </c>
      <c r="D602" s="49" t="s">
        <v>69</v>
      </c>
      <c r="E602" s="50">
        <v>571414</v>
      </c>
      <c r="F602" s="50">
        <v>0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50">
        <v>0</v>
      </c>
      <c r="M602" s="50">
        <v>0</v>
      </c>
      <c r="N602" s="50">
        <v>0</v>
      </c>
    </row>
    <row r="603" spans="1:14" hidden="1" x14ac:dyDescent="0.25">
      <c r="A603" s="49" t="s">
        <v>714</v>
      </c>
      <c r="B603" s="49" t="s">
        <v>210</v>
      </c>
      <c r="C603" s="49" t="s">
        <v>211</v>
      </c>
      <c r="D603" s="49" t="s">
        <v>69</v>
      </c>
      <c r="E603" s="50">
        <v>791500</v>
      </c>
      <c r="F603" s="50">
        <v>91500</v>
      </c>
      <c r="G603" s="50">
        <v>91500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50">
        <v>91500</v>
      </c>
      <c r="N603" s="50">
        <v>91500</v>
      </c>
    </row>
    <row r="604" spans="1:14" hidden="1" x14ac:dyDescent="0.25">
      <c r="A604" s="49" t="s">
        <v>714</v>
      </c>
      <c r="B604" s="49" t="s">
        <v>354</v>
      </c>
      <c r="C604" s="49" t="s">
        <v>355</v>
      </c>
      <c r="D604" s="49" t="s">
        <v>69</v>
      </c>
      <c r="E604" s="50">
        <v>585840</v>
      </c>
      <c r="F604" s="50">
        <v>0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50">
        <v>0</v>
      </c>
      <c r="N604" s="50">
        <v>0</v>
      </c>
    </row>
    <row r="605" spans="1:14" hidden="1" x14ac:dyDescent="0.25">
      <c r="A605" s="49" t="s">
        <v>714</v>
      </c>
      <c r="B605" s="49" t="s">
        <v>356</v>
      </c>
      <c r="C605" s="49" t="s">
        <v>357</v>
      </c>
      <c r="D605" s="49" t="s">
        <v>69</v>
      </c>
      <c r="E605" s="50">
        <v>585840</v>
      </c>
      <c r="F605" s="50">
        <v>0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50">
        <v>0</v>
      </c>
      <c r="M605" s="50">
        <v>0</v>
      </c>
      <c r="N605" s="50">
        <v>0</v>
      </c>
    </row>
    <row r="606" spans="1:14" hidden="1" x14ac:dyDescent="0.25">
      <c r="A606" s="49" t="s">
        <v>714</v>
      </c>
      <c r="B606" s="49" t="s">
        <v>212</v>
      </c>
      <c r="C606" s="49" t="s">
        <v>213</v>
      </c>
      <c r="D606" s="49" t="s">
        <v>69</v>
      </c>
      <c r="E606" s="50">
        <v>4198730</v>
      </c>
      <c r="F606" s="50">
        <v>1049350</v>
      </c>
      <c r="G606" s="50">
        <v>961950</v>
      </c>
      <c r="H606" s="50">
        <v>0</v>
      </c>
      <c r="I606" s="50">
        <v>260239.01</v>
      </c>
      <c r="J606" s="50">
        <v>0</v>
      </c>
      <c r="K606" s="50">
        <v>665930.85</v>
      </c>
      <c r="L606" s="50">
        <v>665930.85</v>
      </c>
      <c r="M606" s="50">
        <v>123180.14</v>
      </c>
      <c r="N606" s="50">
        <v>35780.14</v>
      </c>
    </row>
    <row r="607" spans="1:14" hidden="1" x14ac:dyDescent="0.25">
      <c r="A607" s="49" t="s">
        <v>714</v>
      </c>
      <c r="B607" s="49" t="s">
        <v>220</v>
      </c>
      <c r="C607" s="49" t="s">
        <v>221</v>
      </c>
      <c r="D607" s="49" t="s">
        <v>69</v>
      </c>
      <c r="E607" s="50">
        <v>1076090</v>
      </c>
      <c r="F607" s="50">
        <v>926190</v>
      </c>
      <c r="G607" s="50">
        <v>926190</v>
      </c>
      <c r="H607" s="50">
        <v>0</v>
      </c>
      <c r="I607" s="50">
        <v>260239.01</v>
      </c>
      <c r="J607" s="50">
        <v>0</v>
      </c>
      <c r="K607" s="50">
        <v>665930.85</v>
      </c>
      <c r="L607" s="50">
        <v>665930.85</v>
      </c>
      <c r="M607" s="50">
        <v>20.14</v>
      </c>
      <c r="N607" s="50">
        <v>20.14</v>
      </c>
    </row>
    <row r="608" spans="1:14" hidden="1" x14ac:dyDescent="0.25">
      <c r="A608" s="49" t="s">
        <v>714</v>
      </c>
      <c r="B608" s="49" t="s">
        <v>222</v>
      </c>
      <c r="C608" s="49" t="s">
        <v>223</v>
      </c>
      <c r="D608" s="49" t="s">
        <v>69</v>
      </c>
      <c r="E608" s="50">
        <v>35760</v>
      </c>
      <c r="F608" s="50">
        <v>35760</v>
      </c>
      <c r="G608" s="50">
        <v>35760</v>
      </c>
      <c r="H608" s="50">
        <v>0</v>
      </c>
      <c r="I608" s="50">
        <v>0</v>
      </c>
      <c r="J608" s="50">
        <v>0</v>
      </c>
      <c r="K608" s="50">
        <v>0</v>
      </c>
      <c r="L608" s="50">
        <v>0</v>
      </c>
      <c r="M608" s="50">
        <v>35760</v>
      </c>
      <c r="N608" s="50">
        <v>35760</v>
      </c>
    </row>
    <row r="609" spans="1:14" hidden="1" x14ac:dyDescent="0.25">
      <c r="A609" s="49" t="s">
        <v>714</v>
      </c>
      <c r="B609" s="49" t="s">
        <v>224</v>
      </c>
      <c r="C609" s="49" t="s">
        <v>225</v>
      </c>
      <c r="D609" s="49" t="s">
        <v>69</v>
      </c>
      <c r="E609" s="50">
        <v>2587400</v>
      </c>
      <c r="F609" s="50">
        <v>87400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50">
        <v>87400</v>
      </c>
      <c r="N609" s="50">
        <v>0</v>
      </c>
    </row>
    <row r="610" spans="1:14" hidden="1" x14ac:dyDescent="0.25">
      <c r="A610" s="49" t="s">
        <v>714</v>
      </c>
      <c r="B610" s="49" t="s">
        <v>228</v>
      </c>
      <c r="C610" s="49" t="s">
        <v>229</v>
      </c>
      <c r="D610" s="49" t="s">
        <v>69</v>
      </c>
      <c r="E610" s="50">
        <v>499480</v>
      </c>
      <c r="F610" s="50">
        <v>0</v>
      </c>
      <c r="G610" s="50">
        <v>0</v>
      </c>
      <c r="H610" s="50">
        <v>0</v>
      </c>
      <c r="I610" s="50">
        <v>0</v>
      </c>
      <c r="J610" s="50">
        <v>0</v>
      </c>
      <c r="K610" s="50">
        <v>0</v>
      </c>
      <c r="L610" s="50">
        <v>0</v>
      </c>
      <c r="M610" s="50">
        <v>0</v>
      </c>
      <c r="N610" s="50">
        <v>0</v>
      </c>
    </row>
    <row r="611" spans="1:14" hidden="1" x14ac:dyDescent="0.25">
      <c r="A611" s="49" t="s">
        <v>714</v>
      </c>
      <c r="B611" s="49" t="s">
        <v>248</v>
      </c>
      <c r="C611" s="49" t="s">
        <v>249</v>
      </c>
      <c r="D611" s="49" t="s">
        <v>69</v>
      </c>
      <c r="E611" s="50">
        <v>32319360</v>
      </c>
      <c r="F611" s="50">
        <v>31841288</v>
      </c>
      <c r="G611" s="50">
        <v>31657427</v>
      </c>
      <c r="H611" s="50">
        <v>0</v>
      </c>
      <c r="I611" s="50">
        <v>6585376</v>
      </c>
      <c r="J611" s="50">
        <v>0</v>
      </c>
      <c r="K611" s="50">
        <v>22164231</v>
      </c>
      <c r="L611" s="50">
        <v>22164231</v>
      </c>
      <c r="M611" s="50">
        <v>3091681</v>
      </c>
      <c r="N611" s="50">
        <v>2907820</v>
      </c>
    </row>
    <row r="612" spans="1:14" hidden="1" x14ac:dyDescent="0.25">
      <c r="A612" s="49" t="s">
        <v>714</v>
      </c>
      <c r="B612" s="49" t="s">
        <v>250</v>
      </c>
      <c r="C612" s="49" t="s">
        <v>251</v>
      </c>
      <c r="D612" s="49" t="s">
        <v>69</v>
      </c>
      <c r="E612" s="50">
        <v>24819360</v>
      </c>
      <c r="F612" s="50">
        <v>24341288</v>
      </c>
      <c r="G612" s="50">
        <v>24157427</v>
      </c>
      <c r="H612" s="50">
        <v>0</v>
      </c>
      <c r="I612" s="50">
        <v>6585376</v>
      </c>
      <c r="J612" s="50">
        <v>0</v>
      </c>
      <c r="K612" s="50">
        <v>17572051</v>
      </c>
      <c r="L612" s="50">
        <v>17572051</v>
      </c>
      <c r="M612" s="50">
        <v>183861</v>
      </c>
      <c r="N612" s="50">
        <v>0</v>
      </c>
    </row>
    <row r="613" spans="1:14" hidden="1" x14ac:dyDescent="0.25">
      <c r="A613" s="49" t="s">
        <v>714</v>
      </c>
      <c r="B613" s="49" t="s">
        <v>633</v>
      </c>
      <c r="C613" s="49" t="s">
        <v>702</v>
      </c>
      <c r="D613" s="49" t="s">
        <v>69</v>
      </c>
      <c r="E613" s="50">
        <v>21081545</v>
      </c>
      <c r="F613" s="50">
        <v>20675471</v>
      </c>
      <c r="G613" s="50">
        <v>20519300</v>
      </c>
      <c r="H613" s="50">
        <v>0</v>
      </c>
      <c r="I613" s="50">
        <v>5621819</v>
      </c>
      <c r="J613" s="50">
        <v>0</v>
      </c>
      <c r="K613" s="50">
        <v>14897481</v>
      </c>
      <c r="L613" s="50">
        <v>14897481</v>
      </c>
      <c r="M613" s="50">
        <v>156171</v>
      </c>
      <c r="N613" s="50">
        <v>0</v>
      </c>
    </row>
    <row r="614" spans="1:14" hidden="1" x14ac:dyDescent="0.25">
      <c r="A614" s="49" t="s">
        <v>714</v>
      </c>
      <c r="B614" s="49" t="s">
        <v>648</v>
      </c>
      <c r="C614" s="49" t="s">
        <v>703</v>
      </c>
      <c r="D614" s="49" t="s">
        <v>69</v>
      </c>
      <c r="E614" s="50">
        <v>3737815</v>
      </c>
      <c r="F614" s="50">
        <v>3665817</v>
      </c>
      <c r="G614" s="50">
        <v>3638127</v>
      </c>
      <c r="H614" s="50">
        <v>0</v>
      </c>
      <c r="I614" s="50">
        <v>963557</v>
      </c>
      <c r="J614" s="50">
        <v>0</v>
      </c>
      <c r="K614" s="50">
        <v>2674570</v>
      </c>
      <c r="L614" s="50">
        <v>2674570</v>
      </c>
      <c r="M614" s="50">
        <v>27690</v>
      </c>
      <c r="N614" s="50">
        <v>0</v>
      </c>
    </row>
    <row r="615" spans="1:14" hidden="1" x14ac:dyDescent="0.25">
      <c r="A615" s="49" t="s">
        <v>714</v>
      </c>
      <c r="B615" s="49" t="s">
        <v>260</v>
      </c>
      <c r="C615" s="49" t="s">
        <v>261</v>
      </c>
      <c r="D615" s="49" t="s">
        <v>69</v>
      </c>
      <c r="E615" s="50">
        <v>7500000</v>
      </c>
      <c r="F615" s="50">
        <v>7500000</v>
      </c>
      <c r="G615" s="50">
        <v>7500000</v>
      </c>
      <c r="H615" s="50">
        <v>0</v>
      </c>
      <c r="I615" s="50">
        <v>0</v>
      </c>
      <c r="J615" s="50">
        <v>0</v>
      </c>
      <c r="K615" s="50">
        <v>4592180</v>
      </c>
      <c r="L615" s="50">
        <v>4592180</v>
      </c>
      <c r="M615" s="50">
        <v>2907820</v>
      </c>
      <c r="N615" s="50">
        <v>2907820</v>
      </c>
    </row>
    <row r="616" spans="1:14" hidden="1" x14ac:dyDescent="0.25">
      <c r="A616" s="49" t="s">
        <v>714</v>
      </c>
      <c r="B616" s="49" t="s">
        <v>264</v>
      </c>
      <c r="C616" s="49" t="s">
        <v>265</v>
      </c>
      <c r="D616" s="49" t="s">
        <v>69</v>
      </c>
      <c r="E616" s="50">
        <v>7500000</v>
      </c>
      <c r="F616" s="50">
        <v>7500000</v>
      </c>
      <c r="G616" s="50">
        <v>7500000</v>
      </c>
      <c r="H616" s="50">
        <v>0</v>
      </c>
      <c r="I616" s="50">
        <v>0</v>
      </c>
      <c r="J616" s="50">
        <v>0</v>
      </c>
      <c r="K616" s="50">
        <v>4592180</v>
      </c>
      <c r="L616" s="50">
        <v>4592180</v>
      </c>
      <c r="M616" s="50">
        <v>2907820</v>
      </c>
      <c r="N616" s="50">
        <v>2907820</v>
      </c>
    </row>
    <row r="617" spans="1:14" hidden="1" x14ac:dyDescent="0.25">
      <c r="A617" s="49" t="s">
        <v>714</v>
      </c>
      <c r="B617" s="49" t="s">
        <v>230</v>
      </c>
      <c r="C617" s="49" t="s">
        <v>231</v>
      </c>
      <c r="D617" s="49" t="s">
        <v>85</v>
      </c>
      <c r="E617" s="50">
        <v>5038000</v>
      </c>
      <c r="F617" s="50">
        <v>729000</v>
      </c>
      <c r="G617" s="50">
        <v>75000</v>
      </c>
      <c r="H617" s="50">
        <v>0</v>
      </c>
      <c r="I617" s="50">
        <v>0</v>
      </c>
      <c r="J617" s="50">
        <v>0</v>
      </c>
      <c r="K617" s="50">
        <v>75000</v>
      </c>
      <c r="L617" s="50">
        <v>75000</v>
      </c>
      <c r="M617" s="50">
        <v>654000</v>
      </c>
      <c r="N617" s="50">
        <v>0</v>
      </c>
    </row>
    <row r="618" spans="1:14" hidden="1" x14ac:dyDescent="0.25">
      <c r="A618" s="49" t="s">
        <v>714</v>
      </c>
      <c r="B618" s="49" t="s">
        <v>232</v>
      </c>
      <c r="C618" s="49" t="s">
        <v>233</v>
      </c>
      <c r="D618" s="49" t="s">
        <v>85</v>
      </c>
      <c r="E618" s="50">
        <v>4954000</v>
      </c>
      <c r="F618" s="50">
        <v>654000</v>
      </c>
      <c r="G618" s="50">
        <v>0</v>
      </c>
      <c r="H618" s="50">
        <v>0</v>
      </c>
      <c r="I618" s="50">
        <v>0</v>
      </c>
      <c r="J618" s="50">
        <v>0</v>
      </c>
      <c r="K618" s="50">
        <v>0</v>
      </c>
      <c r="L618" s="50">
        <v>0</v>
      </c>
      <c r="M618" s="50">
        <v>654000</v>
      </c>
      <c r="N618" s="50">
        <v>0</v>
      </c>
    </row>
    <row r="619" spans="1:14" hidden="1" x14ac:dyDescent="0.25">
      <c r="A619" s="49" t="s">
        <v>714</v>
      </c>
      <c r="B619" s="49" t="s">
        <v>234</v>
      </c>
      <c r="C619" s="49" t="s">
        <v>235</v>
      </c>
      <c r="D619" s="49" t="s">
        <v>85</v>
      </c>
      <c r="E619" s="50">
        <v>3565000</v>
      </c>
      <c r="F619" s="50">
        <v>565000</v>
      </c>
      <c r="G619" s="50">
        <v>0</v>
      </c>
      <c r="H619" s="50">
        <v>0</v>
      </c>
      <c r="I619" s="50">
        <v>0</v>
      </c>
      <c r="J619" s="50">
        <v>0</v>
      </c>
      <c r="K619" s="50">
        <v>0</v>
      </c>
      <c r="L619" s="50">
        <v>0</v>
      </c>
      <c r="M619" s="50">
        <v>565000</v>
      </c>
      <c r="N619" s="50">
        <v>0</v>
      </c>
    </row>
    <row r="620" spans="1:14" hidden="1" x14ac:dyDescent="0.25">
      <c r="A620" s="49" t="s">
        <v>714</v>
      </c>
      <c r="B620" s="49" t="s">
        <v>242</v>
      </c>
      <c r="C620" s="49" t="s">
        <v>243</v>
      </c>
      <c r="D620" s="49" t="s">
        <v>85</v>
      </c>
      <c r="E620" s="50">
        <v>1389000</v>
      </c>
      <c r="F620" s="50">
        <v>89000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50">
        <v>89000</v>
      </c>
      <c r="N620" s="50">
        <v>0</v>
      </c>
    </row>
    <row r="621" spans="1:14" hidden="1" x14ac:dyDescent="0.25">
      <c r="A621" s="49" t="s">
        <v>714</v>
      </c>
      <c r="B621" s="49" t="s">
        <v>244</v>
      </c>
      <c r="C621" s="49" t="s">
        <v>245</v>
      </c>
      <c r="D621" s="49" t="s">
        <v>85</v>
      </c>
      <c r="E621" s="50">
        <v>84000</v>
      </c>
      <c r="F621" s="50">
        <v>75000</v>
      </c>
      <c r="G621" s="50">
        <v>75000</v>
      </c>
      <c r="H621" s="50">
        <v>0</v>
      </c>
      <c r="I621" s="50">
        <v>0</v>
      </c>
      <c r="J621" s="50">
        <v>0</v>
      </c>
      <c r="K621" s="50">
        <v>75000</v>
      </c>
      <c r="L621" s="50">
        <v>75000</v>
      </c>
      <c r="M621" s="50">
        <v>0</v>
      </c>
      <c r="N621" s="50">
        <v>0</v>
      </c>
    </row>
    <row r="622" spans="1:14" hidden="1" x14ac:dyDescent="0.25">
      <c r="A622" s="49" t="s">
        <v>714</v>
      </c>
      <c r="B622" s="49" t="s">
        <v>611</v>
      </c>
      <c r="C622" s="49" t="s">
        <v>612</v>
      </c>
      <c r="D622" s="49" t="s">
        <v>85</v>
      </c>
      <c r="E622" s="50">
        <v>84000</v>
      </c>
      <c r="F622" s="50">
        <v>75000</v>
      </c>
      <c r="G622" s="50">
        <v>75000</v>
      </c>
      <c r="H622" s="50">
        <v>0</v>
      </c>
      <c r="I622" s="50">
        <v>0</v>
      </c>
      <c r="J622" s="50">
        <v>0</v>
      </c>
      <c r="K622" s="50">
        <v>75000</v>
      </c>
      <c r="L622" s="50">
        <v>75000</v>
      </c>
      <c r="M622" s="50">
        <v>0</v>
      </c>
      <c r="N622" s="50">
        <v>0</v>
      </c>
    </row>
    <row r="623" spans="1:14" x14ac:dyDescent="0.25">
      <c r="A623" s="49">
        <v>214789005</v>
      </c>
      <c r="B623" s="49"/>
      <c r="C623" s="49"/>
      <c r="D623" s="49" t="s">
        <v>69</v>
      </c>
      <c r="E623" s="50">
        <v>1188120522</v>
      </c>
      <c r="F623" s="50">
        <v>1159548072</v>
      </c>
      <c r="G623" s="50">
        <v>1150955337.8599999</v>
      </c>
      <c r="H623" s="50">
        <v>0</v>
      </c>
      <c r="I623" s="50">
        <v>57315983.740000002</v>
      </c>
      <c r="J623" s="50">
        <v>0</v>
      </c>
      <c r="K623" s="50">
        <v>811101553.25999999</v>
      </c>
      <c r="L623" s="50">
        <v>811082043.25999999</v>
      </c>
      <c r="M623" s="50">
        <v>291130535</v>
      </c>
      <c r="N623" s="50">
        <v>282537800.86000001</v>
      </c>
    </row>
    <row r="624" spans="1:14" hidden="1" x14ac:dyDescent="0.25">
      <c r="A624" s="49" t="s">
        <v>715</v>
      </c>
      <c r="B624" s="49" t="s">
        <v>71</v>
      </c>
      <c r="C624" s="49" t="s">
        <v>72</v>
      </c>
      <c r="D624" s="49" t="s">
        <v>69</v>
      </c>
      <c r="E624" s="50">
        <v>1139557000</v>
      </c>
      <c r="F624" s="50">
        <v>1115820185</v>
      </c>
      <c r="G624" s="50">
        <v>1110120185</v>
      </c>
      <c r="H624" s="50">
        <v>0</v>
      </c>
      <c r="I624" s="50">
        <v>48402694</v>
      </c>
      <c r="J624" s="50">
        <v>0</v>
      </c>
      <c r="K624" s="50">
        <v>787298385.60000002</v>
      </c>
      <c r="L624" s="50">
        <v>787298385.60000002</v>
      </c>
      <c r="M624" s="50">
        <v>280119105.39999998</v>
      </c>
      <c r="N624" s="50">
        <v>274419105.39999998</v>
      </c>
    </row>
    <row r="625" spans="1:14" hidden="1" x14ac:dyDescent="0.25">
      <c r="A625" s="49" t="s">
        <v>715</v>
      </c>
      <c r="B625" s="49" t="s">
        <v>73</v>
      </c>
      <c r="C625" s="49" t="s">
        <v>74</v>
      </c>
      <c r="D625" s="49" t="s">
        <v>69</v>
      </c>
      <c r="E625" s="50">
        <v>400867000</v>
      </c>
      <c r="F625" s="50">
        <v>388692700</v>
      </c>
      <c r="G625" s="50">
        <v>388692700</v>
      </c>
      <c r="H625" s="50">
        <v>0</v>
      </c>
      <c r="I625" s="50">
        <v>0</v>
      </c>
      <c r="J625" s="50">
        <v>0</v>
      </c>
      <c r="K625" s="50">
        <v>307339008.31</v>
      </c>
      <c r="L625" s="50">
        <v>307339008.31</v>
      </c>
      <c r="M625" s="50">
        <v>81353691.689999998</v>
      </c>
      <c r="N625" s="50">
        <v>81353691.689999998</v>
      </c>
    </row>
    <row r="626" spans="1:14" hidden="1" x14ac:dyDescent="0.25">
      <c r="A626" s="49" t="s">
        <v>715</v>
      </c>
      <c r="B626" s="49" t="s">
        <v>75</v>
      </c>
      <c r="C626" s="49" t="s">
        <v>76</v>
      </c>
      <c r="D626" s="49" t="s">
        <v>69</v>
      </c>
      <c r="E626" s="50">
        <v>400867000</v>
      </c>
      <c r="F626" s="50">
        <v>388692700</v>
      </c>
      <c r="G626" s="50">
        <v>388692700</v>
      </c>
      <c r="H626" s="50">
        <v>0</v>
      </c>
      <c r="I626" s="50">
        <v>0</v>
      </c>
      <c r="J626" s="50">
        <v>0</v>
      </c>
      <c r="K626" s="50">
        <v>307339008.31</v>
      </c>
      <c r="L626" s="50">
        <v>307339008.31</v>
      </c>
      <c r="M626" s="50">
        <v>81353691.689999998</v>
      </c>
      <c r="N626" s="50">
        <v>81353691.689999998</v>
      </c>
    </row>
    <row r="627" spans="1:14" hidden="1" x14ac:dyDescent="0.25">
      <c r="A627" s="49" t="s">
        <v>715</v>
      </c>
      <c r="B627" s="49" t="s">
        <v>77</v>
      </c>
      <c r="C627" s="49" t="s">
        <v>78</v>
      </c>
      <c r="D627" s="49" t="s">
        <v>69</v>
      </c>
      <c r="E627" s="50">
        <v>564855020</v>
      </c>
      <c r="F627" s="50">
        <v>556913468</v>
      </c>
      <c r="G627" s="50">
        <v>553413468</v>
      </c>
      <c r="H627" s="50">
        <v>0</v>
      </c>
      <c r="I627" s="50">
        <v>0</v>
      </c>
      <c r="J627" s="50">
        <v>0</v>
      </c>
      <c r="K627" s="50">
        <v>361561850.29000002</v>
      </c>
      <c r="L627" s="50">
        <v>361561850.29000002</v>
      </c>
      <c r="M627" s="50">
        <v>195351617.71000001</v>
      </c>
      <c r="N627" s="50">
        <v>191851617.71000001</v>
      </c>
    </row>
    <row r="628" spans="1:14" hidden="1" x14ac:dyDescent="0.25">
      <c r="A628" s="49" t="s">
        <v>715</v>
      </c>
      <c r="B628" s="49" t="s">
        <v>79</v>
      </c>
      <c r="C628" s="49" t="s">
        <v>80</v>
      </c>
      <c r="D628" s="49" t="s">
        <v>69</v>
      </c>
      <c r="E628" s="50">
        <v>153608900</v>
      </c>
      <c r="F628" s="50">
        <v>153608900</v>
      </c>
      <c r="G628" s="50">
        <v>153608900</v>
      </c>
      <c r="H628" s="50">
        <v>0</v>
      </c>
      <c r="I628" s="50">
        <v>0</v>
      </c>
      <c r="J628" s="50">
        <v>0</v>
      </c>
      <c r="K628" s="50">
        <v>100372198.23999999</v>
      </c>
      <c r="L628" s="50">
        <v>100372198.23999999</v>
      </c>
      <c r="M628" s="50">
        <v>53236701.759999998</v>
      </c>
      <c r="N628" s="50">
        <v>53236701.759999998</v>
      </c>
    </row>
    <row r="629" spans="1:14" hidden="1" x14ac:dyDescent="0.25">
      <c r="A629" s="49" t="s">
        <v>715</v>
      </c>
      <c r="B629" s="49" t="s">
        <v>81</v>
      </c>
      <c r="C629" s="49" t="s">
        <v>82</v>
      </c>
      <c r="D629" s="49" t="s">
        <v>69</v>
      </c>
      <c r="E629" s="50">
        <v>194052109</v>
      </c>
      <c r="F629" s="50">
        <v>188799681</v>
      </c>
      <c r="G629" s="50">
        <v>188799681</v>
      </c>
      <c r="H629" s="50">
        <v>0</v>
      </c>
      <c r="I629" s="50">
        <v>0</v>
      </c>
      <c r="J629" s="50">
        <v>0</v>
      </c>
      <c r="K629" s="50">
        <v>147198233.88999999</v>
      </c>
      <c r="L629" s="50">
        <v>147198233.88999999</v>
      </c>
      <c r="M629" s="50">
        <v>41601447.109999999</v>
      </c>
      <c r="N629" s="50">
        <v>41601447.109999999</v>
      </c>
    </row>
    <row r="630" spans="1:14" hidden="1" x14ac:dyDescent="0.25">
      <c r="A630" s="49" t="s">
        <v>715</v>
      </c>
      <c r="B630" s="49" t="s">
        <v>86</v>
      </c>
      <c r="C630" s="49" t="s">
        <v>87</v>
      </c>
      <c r="D630" s="49" t="s">
        <v>69</v>
      </c>
      <c r="E630" s="50">
        <v>68267000</v>
      </c>
      <c r="F630" s="50">
        <v>68267000</v>
      </c>
      <c r="G630" s="50">
        <v>64767000</v>
      </c>
      <c r="H630" s="50">
        <v>0</v>
      </c>
      <c r="I630" s="50">
        <v>0</v>
      </c>
      <c r="J630" s="50">
        <v>0</v>
      </c>
      <c r="K630" s="50">
        <v>61310698.509999998</v>
      </c>
      <c r="L630" s="50">
        <v>61310698.509999998</v>
      </c>
      <c r="M630" s="50">
        <v>6956301.4900000002</v>
      </c>
      <c r="N630" s="50">
        <v>3456301.49</v>
      </c>
    </row>
    <row r="631" spans="1:14" hidden="1" x14ac:dyDescent="0.25">
      <c r="A631" s="49" t="s">
        <v>715</v>
      </c>
      <c r="B631" s="49" t="s">
        <v>88</v>
      </c>
      <c r="C631" s="49" t="s">
        <v>89</v>
      </c>
      <c r="D631" s="49" t="s">
        <v>69</v>
      </c>
      <c r="E631" s="50">
        <v>74668200</v>
      </c>
      <c r="F631" s="50">
        <v>73525878</v>
      </c>
      <c r="G631" s="50">
        <v>73525878</v>
      </c>
      <c r="H631" s="50">
        <v>0</v>
      </c>
      <c r="I631" s="50">
        <v>0</v>
      </c>
      <c r="J631" s="50">
        <v>0</v>
      </c>
      <c r="K631" s="50">
        <v>52680719.649999999</v>
      </c>
      <c r="L631" s="50">
        <v>52680719.649999999</v>
      </c>
      <c r="M631" s="50">
        <v>20845158.350000001</v>
      </c>
      <c r="N631" s="50">
        <v>20845158.350000001</v>
      </c>
    </row>
    <row r="632" spans="1:14" hidden="1" x14ac:dyDescent="0.25">
      <c r="A632" s="49" t="s">
        <v>715</v>
      </c>
      <c r="B632" s="49" t="s">
        <v>83</v>
      </c>
      <c r="C632" s="49" t="s">
        <v>84</v>
      </c>
      <c r="D632" s="49" t="s">
        <v>85</v>
      </c>
      <c r="E632" s="50">
        <v>74258811</v>
      </c>
      <c r="F632" s="50">
        <v>72712009</v>
      </c>
      <c r="G632" s="50">
        <v>72712009</v>
      </c>
      <c r="H632" s="50">
        <v>0</v>
      </c>
      <c r="I632" s="50">
        <v>0</v>
      </c>
      <c r="J632" s="50">
        <v>0</v>
      </c>
      <c r="K632" s="50">
        <v>0</v>
      </c>
      <c r="L632" s="50">
        <v>0</v>
      </c>
      <c r="M632" s="50">
        <v>72712009</v>
      </c>
      <c r="N632" s="50">
        <v>72712009</v>
      </c>
    </row>
    <row r="633" spans="1:14" hidden="1" x14ac:dyDescent="0.25">
      <c r="A633" s="49" t="s">
        <v>715</v>
      </c>
      <c r="B633" s="49" t="s">
        <v>90</v>
      </c>
      <c r="C633" s="49" t="s">
        <v>91</v>
      </c>
      <c r="D633" s="49" t="s">
        <v>69</v>
      </c>
      <c r="E633" s="50">
        <v>86917540</v>
      </c>
      <c r="F633" s="50">
        <v>85107058</v>
      </c>
      <c r="G633" s="50">
        <v>85107058</v>
      </c>
      <c r="H633" s="50">
        <v>0</v>
      </c>
      <c r="I633" s="50">
        <v>25246044</v>
      </c>
      <c r="J633" s="50">
        <v>0</v>
      </c>
      <c r="K633" s="50">
        <v>59254116</v>
      </c>
      <c r="L633" s="50">
        <v>59254116</v>
      </c>
      <c r="M633" s="50">
        <v>606898</v>
      </c>
      <c r="N633" s="50">
        <v>606898</v>
      </c>
    </row>
    <row r="634" spans="1:14" hidden="1" x14ac:dyDescent="0.25">
      <c r="A634" s="49" t="s">
        <v>715</v>
      </c>
      <c r="B634" s="49" t="s">
        <v>425</v>
      </c>
      <c r="C634" s="49" t="s">
        <v>697</v>
      </c>
      <c r="D634" s="49" t="s">
        <v>69</v>
      </c>
      <c r="E634" s="50">
        <v>82460320</v>
      </c>
      <c r="F634" s="50">
        <v>80742683</v>
      </c>
      <c r="G634" s="50">
        <v>80742683</v>
      </c>
      <c r="H634" s="50">
        <v>0</v>
      </c>
      <c r="I634" s="50">
        <v>23951466</v>
      </c>
      <c r="J634" s="50">
        <v>0</v>
      </c>
      <c r="K634" s="50">
        <v>56215442</v>
      </c>
      <c r="L634" s="50">
        <v>56215442</v>
      </c>
      <c r="M634" s="50">
        <v>575775</v>
      </c>
      <c r="N634" s="50">
        <v>575775</v>
      </c>
    </row>
    <row r="635" spans="1:14" hidden="1" x14ac:dyDescent="0.25">
      <c r="A635" s="49" t="s">
        <v>715</v>
      </c>
      <c r="B635" s="49" t="s">
        <v>442</v>
      </c>
      <c r="C635" s="49" t="s">
        <v>95</v>
      </c>
      <c r="D635" s="49" t="s">
        <v>69</v>
      </c>
      <c r="E635" s="50">
        <v>4457220</v>
      </c>
      <c r="F635" s="50">
        <v>4364375</v>
      </c>
      <c r="G635" s="50">
        <v>4364375</v>
      </c>
      <c r="H635" s="50">
        <v>0</v>
      </c>
      <c r="I635" s="50">
        <v>1294578</v>
      </c>
      <c r="J635" s="50">
        <v>0</v>
      </c>
      <c r="K635" s="50">
        <v>3038674</v>
      </c>
      <c r="L635" s="50">
        <v>3038674</v>
      </c>
      <c r="M635" s="50">
        <v>31123</v>
      </c>
      <c r="N635" s="50">
        <v>31123</v>
      </c>
    </row>
    <row r="636" spans="1:14" hidden="1" x14ac:dyDescent="0.25">
      <c r="A636" s="49" t="s">
        <v>715</v>
      </c>
      <c r="B636" s="49" t="s">
        <v>96</v>
      </c>
      <c r="C636" s="49" t="s">
        <v>97</v>
      </c>
      <c r="D636" s="49" t="s">
        <v>69</v>
      </c>
      <c r="E636" s="50">
        <v>86917440</v>
      </c>
      <c r="F636" s="50">
        <v>85106959</v>
      </c>
      <c r="G636" s="50">
        <v>82906959</v>
      </c>
      <c r="H636" s="50">
        <v>0</v>
      </c>
      <c r="I636" s="50">
        <v>23156650</v>
      </c>
      <c r="J636" s="50">
        <v>0</v>
      </c>
      <c r="K636" s="50">
        <v>59143411</v>
      </c>
      <c r="L636" s="50">
        <v>59143411</v>
      </c>
      <c r="M636" s="50">
        <v>2806898</v>
      </c>
      <c r="N636" s="50">
        <v>606898</v>
      </c>
    </row>
    <row r="637" spans="1:14" hidden="1" x14ac:dyDescent="0.25">
      <c r="A637" s="49" t="s">
        <v>715</v>
      </c>
      <c r="B637" s="49" t="s">
        <v>460</v>
      </c>
      <c r="C637" s="49" t="s">
        <v>698</v>
      </c>
      <c r="D637" s="49" t="s">
        <v>69</v>
      </c>
      <c r="E637" s="50">
        <v>46801760</v>
      </c>
      <c r="F637" s="50">
        <v>45826885</v>
      </c>
      <c r="G637" s="50">
        <v>45826885</v>
      </c>
      <c r="H637" s="50">
        <v>0</v>
      </c>
      <c r="I637" s="50">
        <v>13704736</v>
      </c>
      <c r="J637" s="50">
        <v>0</v>
      </c>
      <c r="K637" s="50">
        <v>31795358</v>
      </c>
      <c r="L637" s="50">
        <v>31795358</v>
      </c>
      <c r="M637" s="50">
        <v>326791</v>
      </c>
      <c r="N637" s="50">
        <v>326791</v>
      </c>
    </row>
    <row r="638" spans="1:14" hidden="1" x14ac:dyDescent="0.25">
      <c r="A638" s="49" t="s">
        <v>715</v>
      </c>
      <c r="B638" s="49" t="s">
        <v>477</v>
      </c>
      <c r="C638" s="49" t="s">
        <v>699</v>
      </c>
      <c r="D638" s="49" t="s">
        <v>69</v>
      </c>
      <c r="E638" s="50">
        <v>13371860</v>
      </c>
      <c r="F638" s="50">
        <v>13093325</v>
      </c>
      <c r="G638" s="50">
        <v>13093325</v>
      </c>
      <c r="H638" s="50">
        <v>0</v>
      </c>
      <c r="I638" s="50">
        <v>3883937</v>
      </c>
      <c r="J638" s="50">
        <v>0</v>
      </c>
      <c r="K638" s="50">
        <v>9116019</v>
      </c>
      <c r="L638" s="50">
        <v>9116019</v>
      </c>
      <c r="M638" s="50">
        <v>93369</v>
      </c>
      <c r="N638" s="50">
        <v>93369</v>
      </c>
    </row>
    <row r="639" spans="1:14" hidden="1" x14ac:dyDescent="0.25">
      <c r="A639" s="49" t="s">
        <v>715</v>
      </c>
      <c r="B639" s="49" t="s">
        <v>494</v>
      </c>
      <c r="C639" s="49" t="s">
        <v>700</v>
      </c>
      <c r="D639" s="49" t="s">
        <v>69</v>
      </c>
      <c r="E639" s="50">
        <v>26743820</v>
      </c>
      <c r="F639" s="50">
        <v>26186749</v>
      </c>
      <c r="G639" s="50">
        <v>23986749</v>
      </c>
      <c r="H639" s="50">
        <v>0</v>
      </c>
      <c r="I639" s="50">
        <v>5567977</v>
      </c>
      <c r="J639" s="50">
        <v>0</v>
      </c>
      <c r="K639" s="50">
        <v>18232034</v>
      </c>
      <c r="L639" s="50">
        <v>18232034</v>
      </c>
      <c r="M639" s="50">
        <v>2386738</v>
      </c>
      <c r="N639" s="50">
        <v>186738</v>
      </c>
    </row>
    <row r="640" spans="1:14" hidden="1" x14ac:dyDescent="0.25">
      <c r="A640" s="49" t="s">
        <v>715</v>
      </c>
      <c r="B640" s="49" t="s">
        <v>104</v>
      </c>
      <c r="C640" s="49" t="s">
        <v>105</v>
      </c>
      <c r="D640" s="49" t="s">
        <v>69</v>
      </c>
      <c r="E640" s="50">
        <v>30265400</v>
      </c>
      <c r="F640" s="50">
        <v>25738010</v>
      </c>
      <c r="G640" s="50">
        <v>22845275.859999999</v>
      </c>
      <c r="H640" s="50">
        <v>0</v>
      </c>
      <c r="I640" s="50">
        <v>4504431.74</v>
      </c>
      <c r="J640" s="50">
        <v>0</v>
      </c>
      <c r="K640" s="50">
        <v>10378103.66</v>
      </c>
      <c r="L640" s="50">
        <v>10358593.66</v>
      </c>
      <c r="M640" s="50">
        <v>10855474.6</v>
      </c>
      <c r="N640" s="50">
        <v>7962740.46</v>
      </c>
    </row>
    <row r="641" spans="1:14" hidden="1" x14ac:dyDescent="0.25">
      <c r="A641" s="49" t="s">
        <v>715</v>
      </c>
      <c r="B641" s="49" t="s">
        <v>112</v>
      </c>
      <c r="C641" s="49" t="s">
        <v>113</v>
      </c>
      <c r="D641" s="49" t="s">
        <v>69</v>
      </c>
      <c r="E641" s="50">
        <v>30265400</v>
      </c>
      <c r="F641" s="50">
        <v>25738010</v>
      </c>
      <c r="G641" s="50">
        <v>22845275.859999999</v>
      </c>
      <c r="H641" s="50">
        <v>0</v>
      </c>
      <c r="I641" s="50">
        <v>4504431.74</v>
      </c>
      <c r="J641" s="50">
        <v>0</v>
      </c>
      <c r="K641" s="50">
        <v>10378103.66</v>
      </c>
      <c r="L641" s="50">
        <v>10358593.66</v>
      </c>
      <c r="M641" s="50">
        <v>10855474.6</v>
      </c>
      <c r="N641" s="50">
        <v>7962740.46</v>
      </c>
    </row>
    <row r="642" spans="1:14" hidden="1" x14ac:dyDescent="0.25">
      <c r="A642" s="49" t="s">
        <v>715</v>
      </c>
      <c r="B642" s="49" t="s">
        <v>114</v>
      </c>
      <c r="C642" s="49" t="s">
        <v>115</v>
      </c>
      <c r="D642" s="49" t="s">
        <v>69</v>
      </c>
      <c r="E642" s="50">
        <v>3196000</v>
      </c>
      <c r="F642" s="50">
        <v>3196000</v>
      </c>
      <c r="G642" s="50">
        <v>3196000</v>
      </c>
      <c r="H642" s="50">
        <v>0</v>
      </c>
      <c r="I642" s="50">
        <v>729064</v>
      </c>
      <c r="J642" s="50">
        <v>0</v>
      </c>
      <c r="K642" s="50">
        <v>2342936</v>
      </c>
      <c r="L642" s="50">
        <v>2336834</v>
      </c>
      <c r="M642" s="50">
        <v>124000</v>
      </c>
      <c r="N642" s="50">
        <v>124000</v>
      </c>
    </row>
    <row r="643" spans="1:14" hidden="1" x14ac:dyDescent="0.25">
      <c r="A643" s="49" t="s">
        <v>715</v>
      </c>
      <c r="B643" s="49" t="s">
        <v>116</v>
      </c>
      <c r="C643" s="49" t="s">
        <v>117</v>
      </c>
      <c r="D643" s="49" t="s">
        <v>69</v>
      </c>
      <c r="E643" s="50">
        <v>21749400</v>
      </c>
      <c r="F643" s="50">
        <v>17222010</v>
      </c>
      <c r="G643" s="50">
        <v>14529275.859999999</v>
      </c>
      <c r="H643" s="50">
        <v>0</v>
      </c>
      <c r="I643" s="50">
        <v>2378012.38</v>
      </c>
      <c r="J643" s="50">
        <v>0</v>
      </c>
      <c r="K643" s="50">
        <v>6713913.0199999996</v>
      </c>
      <c r="L643" s="50">
        <v>6713913.0199999996</v>
      </c>
      <c r="M643" s="50">
        <v>8130084.5999999996</v>
      </c>
      <c r="N643" s="50">
        <v>5437350.46</v>
      </c>
    </row>
    <row r="644" spans="1:14" hidden="1" x14ac:dyDescent="0.25">
      <c r="A644" s="49" t="s">
        <v>715</v>
      </c>
      <c r="B644" s="49" t="s">
        <v>120</v>
      </c>
      <c r="C644" s="49" t="s">
        <v>121</v>
      </c>
      <c r="D644" s="49" t="s">
        <v>69</v>
      </c>
      <c r="E644" s="50">
        <v>4620000</v>
      </c>
      <c r="F644" s="50">
        <v>4620000</v>
      </c>
      <c r="G644" s="50">
        <v>4620000</v>
      </c>
      <c r="H644" s="50">
        <v>0</v>
      </c>
      <c r="I644" s="50">
        <v>1261553.28</v>
      </c>
      <c r="J644" s="50">
        <v>0</v>
      </c>
      <c r="K644" s="50">
        <v>1048446.72</v>
      </c>
      <c r="L644" s="50">
        <v>1048446.72</v>
      </c>
      <c r="M644" s="50">
        <v>2310000</v>
      </c>
      <c r="N644" s="50">
        <v>2310000</v>
      </c>
    </row>
    <row r="645" spans="1:14" hidden="1" x14ac:dyDescent="0.25">
      <c r="A645" s="49" t="s">
        <v>715</v>
      </c>
      <c r="B645" s="49" t="s">
        <v>122</v>
      </c>
      <c r="C645" s="49" t="s">
        <v>123</v>
      </c>
      <c r="D645" s="49" t="s">
        <v>69</v>
      </c>
      <c r="E645" s="50">
        <v>700000</v>
      </c>
      <c r="F645" s="50">
        <v>700000</v>
      </c>
      <c r="G645" s="50">
        <v>500000</v>
      </c>
      <c r="H645" s="50">
        <v>0</v>
      </c>
      <c r="I645" s="50">
        <v>135802.07999999999</v>
      </c>
      <c r="J645" s="50">
        <v>0</v>
      </c>
      <c r="K645" s="50">
        <v>272807.92</v>
      </c>
      <c r="L645" s="50">
        <v>259399.92</v>
      </c>
      <c r="M645" s="50">
        <v>291390</v>
      </c>
      <c r="N645" s="50">
        <v>91390</v>
      </c>
    </row>
    <row r="646" spans="1:14" hidden="1" x14ac:dyDescent="0.25">
      <c r="A646" s="49" t="s">
        <v>715</v>
      </c>
      <c r="B646" s="49" t="s">
        <v>140</v>
      </c>
      <c r="C646" s="49" t="s">
        <v>141</v>
      </c>
      <c r="D646" s="49" t="s">
        <v>69</v>
      </c>
      <c r="E646" s="50">
        <v>0</v>
      </c>
      <c r="F646" s="50">
        <v>0</v>
      </c>
      <c r="G646" s="50">
        <v>0</v>
      </c>
      <c r="H646" s="50">
        <v>0</v>
      </c>
      <c r="I646" s="50">
        <v>0</v>
      </c>
      <c r="J646" s="50">
        <v>0</v>
      </c>
      <c r="K646" s="50">
        <v>0</v>
      </c>
      <c r="L646" s="50">
        <v>0</v>
      </c>
      <c r="M646" s="50">
        <v>0</v>
      </c>
      <c r="N646" s="50">
        <v>0</v>
      </c>
    </row>
    <row r="647" spans="1:14" hidden="1" x14ac:dyDescent="0.25">
      <c r="A647" s="49" t="s">
        <v>715</v>
      </c>
      <c r="B647" s="49" t="s">
        <v>144</v>
      </c>
      <c r="C647" s="49" t="s">
        <v>145</v>
      </c>
      <c r="D647" s="49" t="s">
        <v>69</v>
      </c>
      <c r="E647" s="50">
        <v>0</v>
      </c>
      <c r="F647" s="50">
        <v>0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50">
        <v>0</v>
      </c>
      <c r="N647" s="50">
        <v>0</v>
      </c>
    </row>
    <row r="648" spans="1:14" hidden="1" x14ac:dyDescent="0.25">
      <c r="A648" s="49" t="s">
        <v>715</v>
      </c>
      <c r="B648" s="49" t="s">
        <v>248</v>
      </c>
      <c r="C648" s="49" t="s">
        <v>249</v>
      </c>
      <c r="D648" s="49" t="s">
        <v>69</v>
      </c>
      <c r="E648" s="50">
        <v>18298122</v>
      </c>
      <c r="F648" s="50">
        <v>17989877</v>
      </c>
      <c r="G648" s="50">
        <v>17989877</v>
      </c>
      <c r="H648" s="50">
        <v>0</v>
      </c>
      <c r="I648" s="50">
        <v>4408858</v>
      </c>
      <c r="J648" s="50">
        <v>0</v>
      </c>
      <c r="K648" s="50">
        <v>13425064</v>
      </c>
      <c r="L648" s="50">
        <v>13425064</v>
      </c>
      <c r="M648" s="50">
        <v>155955</v>
      </c>
      <c r="N648" s="50">
        <v>155955</v>
      </c>
    </row>
    <row r="649" spans="1:14" hidden="1" x14ac:dyDescent="0.25">
      <c r="A649" s="49" t="s">
        <v>715</v>
      </c>
      <c r="B649" s="49" t="s">
        <v>250</v>
      </c>
      <c r="C649" s="49" t="s">
        <v>251</v>
      </c>
      <c r="D649" s="49" t="s">
        <v>69</v>
      </c>
      <c r="E649" s="50">
        <v>14798122</v>
      </c>
      <c r="F649" s="50">
        <v>14489877</v>
      </c>
      <c r="G649" s="50">
        <v>14489877</v>
      </c>
      <c r="H649" s="50">
        <v>0</v>
      </c>
      <c r="I649" s="50">
        <v>4408858</v>
      </c>
      <c r="J649" s="50">
        <v>0</v>
      </c>
      <c r="K649" s="50">
        <v>9977690</v>
      </c>
      <c r="L649" s="50">
        <v>9977690</v>
      </c>
      <c r="M649" s="50">
        <v>103329</v>
      </c>
      <c r="N649" s="50">
        <v>103329</v>
      </c>
    </row>
    <row r="650" spans="1:14" hidden="1" x14ac:dyDescent="0.25">
      <c r="A650" s="49" t="s">
        <v>715</v>
      </c>
      <c r="B650" s="49" t="s">
        <v>634</v>
      </c>
      <c r="C650" s="49" t="s">
        <v>702</v>
      </c>
      <c r="D650" s="49" t="s">
        <v>69</v>
      </c>
      <c r="E650" s="50">
        <v>12569562</v>
      </c>
      <c r="F650" s="50">
        <v>12307739</v>
      </c>
      <c r="G650" s="50">
        <v>12307739</v>
      </c>
      <c r="H650" s="50">
        <v>0</v>
      </c>
      <c r="I650" s="50">
        <v>3761617</v>
      </c>
      <c r="J650" s="50">
        <v>0</v>
      </c>
      <c r="K650" s="50">
        <v>8458355</v>
      </c>
      <c r="L650" s="50">
        <v>8458355</v>
      </c>
      <c r="M650" s="50">
        <v>87767</v>
      </c>
      <c r="N650" s="50">
        <v>87767</v>
      </c>
    </row>
    <row r="651" spans="1:14" hidden="1" x14ac:dyDescent="0.25">
      <c r="A651" s="49" t="s">
        <v>715</v>
      </c>
      <c r="B651" s="49" t="s">
        <v>649</v>
      </c>
      <c r="C651" s="49" t="s">
        <v>703</v>
      </c>
      <c r="D651" s="49" t="s">
        <v>69</v>
      </c>
      <c r="E651" s="50">
        <v>2228560</v>
      </c>
      <c r="F651" s="50">
        <v>2182138</v>
      </c>
      <c r="G651" s="50">
        <v>2182138</v>
      </c>
      <c r="H651" s="50">
        <v>0</v>
      </c>
      <c r="I651" s="50">
        <v>647241</v>
      </c>
      <c r="J651" s="50">
        <v>0</v>
      </c>
      <c r="K651" s="50">
        <v>1519335</v>
      </c>
      <c r="L651" s="50">
        <v>1519335</v>
      </c>
      <c r="M651" s="50">
        <v>15562</v>
      </c>
      <c r="N651" s="50">
        <v>15562</v>
      </c>
    </row>
    <row r="652" spans="1:14" hidden="1" x14ac:dyDescent="0.25">
      <c r="A652" s="49" t="s">
        <v>715</v>
      </c>
      <c r="B652" s="49" t="s">
        <v>260</v>
      </c>
      <c r="C652" s="49" t="s">
        <v>261</v>
      </c>
      <c r="D652" s="49" t="s">
        <v>69</v>
      </c>
      <c r="E652" s="50">
        <v>3500000</v>
      </c>
      <c r="F652" s="50">
        <v>3500000</v>
      </c>
      <c r="G652" s="50">
        <v>3500000</v>
      </c>
      <c r="H652" s="50">
        <v>0</v>
      </c>
      <c r="I652" s="50">
        <v>0</v>
      </c>
      <c r="J652" s="50">
        <v>0</v>
      </c>
      <c r="K652" s="50">
        <v>3447374</v>
      </c>
      <c r="L652" s="50">
        <v>3447374</v>
      </c>
      <c r="M652" s="50">
        <v>52626</v>
      </c>
      <c r="N652" s="50">
        <v>52626</v>
      </c>
    </row>
    <row r="653" spans="1:14" hidden="1" x14ac:dyDescent="0.25">
      <c r="A653" s="49" t="s">
        <v>715</v>
      </c>
      <c r="B653" s="49" t="s">
        <v>264</v>
      </c>
      <c r="C653" s="49" t="s">
        <v>265</v>
      </c>
      <c r="D653" s="49" t="s">
        <v>69</v>
      </c>
      <c r="E653" s="50">
        <v>3500000</v>
      </c>
      <c r="F653" s="50">
        <v>3500000</v>
      </c>
      <c r="G653" s="50">
        <v>3500000</v>
      </c>
      <c r="H653" s="50">
        <v>0</v>
      </c>
      <c r="I653" s="50">
        <v>0</v>
      </c>
      <c r="J653" s="50">
        <v>0</v>
      </c>
      <c r="K653" s="50">
        <v>3447374</v>
      </c>
      <c r="L653" s="50">
        <v>3447374</v>
      </c>
      <c r="M653" s="50">
        <v>52626</v>
      </c>
      <c r="N653" s="50">
        <v>52626</v>
      </c>
    </row>
    <row r="654" spans="1:14" x14ac:dyDescent="0.25">
      <c r="A654" s="49">
        <v>214789006</v>
      </c>
      <c r="B654" s="49"/>
      <c r="C654" s="49"/>
      <c r="D654" s="49" t="s">
        <v>69</v>
      </c>
      <c r="E654" s="50">
        <v>7207746597</v>
      </c>
      <c r="F654" s="50">
        <v>6961566789</v>
      </c>
      <c r="G654" s="50">
        <v>6960966789</v>
      </c>
      <c r="H654" s="50">
        <v>0</v>
      </c>
      <c r="I654" s="50">
        <v>11974639.24</v>
      </c>
      <c r="J654" s="50">
        <v>0</v>
      </c>
      <c r="K654" s="50">
        <v>4327272226.9499998</v>
      </c>
      <c r="L654" s="50">
        <v>4327272226.9499998</v>
      </c>
      <c r="M654" s="50">
        <v>2622319922.8099999</v>
      </c>
      <c r="N654" s="50">
        <v>2621719922.8099999</v>
      </c>
    </row>
    <row r="655" spans="1:14" hidden="1" x14ac:dyDescent="0.25">
      <c r="A655" s="49" t="s">
        <v>716</v>
      </c>
      <c r="B655" s="49" t="s">
        <v>71</v>
      </c>
      <c r="C655" s="49" t="s">
        <v>72</v>
      </c>
      <c r="D655" s="49" t="s">
        <v>69</v>
      </c>
      <c r="E655" s="50">
        <v>273249937</v>
      </c>
      <c r="F655" s="50">
        <v>271537368</v>
      </c>
      <c r="G655" s="50">
        <v>270937368</v>
      </c>
      <c r="H655" s="50">
        <v>0</v>
      </c>
      <c r="I655" s="50">
        <v>10703537</v>
      </c>
      <c r="J655" s="50">
        <v>0</v>
      </c>
      <c r="K655" s="50">
        <v>192268716.83000001</v>
      </c>
      <c r="L655" s="50">
        <v>192268716.83000001</v>
      </c>
      <c r="M655" s="50">
        <v>68565114.170000002</v>
      </c>
      <c r="N655" s="50">
        <v>67965114.170000002</v>
      </c>
    </row>
    <row r="656" spans="1:14" hidden="1" x14ac:dyDescent="0.25">
      <c r="A656" s="49" t="s">
        <v>716</v>
      </c>
      <c r="B656" s="49" t="s">
        <v>73</v>
      </c>
      <c r="C656" s="49" t="s">
        <v>74</v>
      </c>
      <c r="D656" s="49" t="s">
        <v>69</v>
      </c>
      <c r="E656" s="50">
        <v>97637632</v>
      </c>
      <c r="F656" s="50">
        <v>96661384</v>
      </c>
      <c r="G656" s="50">
        <v>96661384</v>
      </c>
      <c r="H656" s="50">
        <v>0</v>
      </c>
      <c r="I656" s="50">
        <v>0</v>
      </c>
      <c r="J656" s="50">
        <v>0</v>
      </c>
      <c r="K656" s="50">
        <v>77238050.890000001</v>
      </c>
      <c r="L656" s="50">
        <v>77238050.890000001</v>
      </c>
      <c r="M656" s="50">
        <v>19423333.109999999</v>
      </c>
      <c r="N656" s="50">
        <v>19423333.109999999</v>
      </c>
    </row>
    <row r="657" spans="1:14" hidden="1" x14ac:dyDescent="0.25">
      <c r="A657" s="49" t="s">
        <v>716</v>
      </c>
      <c r="B657" s="49" t="s">
        <v>75</v>
      </c>
      <c r="C657" s="49" t="s">
        <v>76</v>
      </c>
      <c r="D657" s="49" t="s">
        <v>69</v>
      </c>
      <c r="E657" s="50">
        <v>97637632</v>
      </c>
      <c r="F657" s="50">
        <v>96661384</v>
      </c>
      <c r="G657" s="50">
        <v>96661384</v>
      </c>
      <c r="H657" s="50">
        <v>0</v>
      </c>
      <c r="I657" s="50">
        <v>0</v>
      </c>
      <c r="J657" s="50">
        <v>0</v>
      </c>
      <c r="K657" s="50">
        <v>77238050.890000001</v>
      </c>
      <c r="L657" s="50">
        <v>77238050.890000001</v>
      </c>
      <c r="M657" s="50">
        <v>19423333.109999999</v>
      </c>
      <c r="N657" s="50">
        <v>19423333.109999999</v>
      </c>
    </row>
    <row r="658" spans="1:14" hidden="1" x14ac:dyDescent="0.25">
      <c r="A658" s="49" t="s">
        <v>716</v>
      </c>
      <c r="B658" s="49" t="s">
        <v>77</v>
      </c>
      <c r="C658" s="49" t="s">
        <v>78</v>
      </c>
      <c r="D658" s="49" t="s">
        <v>69</v>
      </c>
      <c r="E658" s="50">
        <v>133929275</v>
      </c>
      <c r="F658" s="50">
        <v>133454197</v>
      </c>
      <c r="G658" s="50">
        <v>133454197</v>
      </c>
      <c r="H658" s="50">
        <v>0</v>
      </c>
      <c r="I658" s="50">
        <v>0</v>
      </c>
      <c r="J658" s="50">
        <v>0</v>
      </c>
      <c r="K658" s="50">
        <v>85173940.939999998</v>
      </c>
      <c r="L658" s="50">
        <v>85173940.939999998</v>
      </c>
      <c r="M658" s="50">
        <v>48280256.060000002</v>
      </c>
      <c r="N658" s="50">
        <v>48280256.060000002</v>
      </c>
    </row>
    <row r="659" spans="1:14" hidden="1" x14ac:dyDescent="0.25">
      <c r="A659" s="49" t="s">
        <v>716</v>
      </c>
      <c r="B659" s="49" t="s">
        <v>79</v>
      </c>
      <c r="C659" s="49" t="s">
        <v>80</v>
      </c>
      <c r="D659" s="49" t="s">
        <v>69</v>
      </c>
      <c r="E659" s="50">
        <v>34862400</v>
      </c>
      <c r="F659" s="50">
        <v>34862400</v>
      </c>
      <c r="G659" s="50">
        <v>34862400</v>
      </c>
      <c r="H659" s="50">
        <v>0</v>
      </c>
      <c r="I659" s="50">
        <v>0</v>
      </c>
      <c r="J659" s="50">
        <v>0</v>
      </c>
      <c r="K659" s="50">
        <v>27133984.949999999</v>
      </c>
      <c r="L659" s="50">
        <v>27133984.949999999</v>
      </c>
      <c r="M659" s="50">
        <v>7728415.0499999998</v>
      </c>
      <c r="N659" s="50">
        <v>7728415.0499999998</v>
      </c>
    </row>
    <row r="660" spans="1:14" hidden="1" x14ac:dyDescent="0.25">
      <c r="A660" s="49" t="s">
        <v>716</v>
      </c>
      <c r="B660" s="49" t="s">
        <v>81</v>
      </c>
      <c r="C660" s="49" t="s">
        <v>82</v>
      </c>
      <c r="D660" s="49" t="s">
        <v>69</v>
      </c>
      <c r="E660" s="50">
        <v>32733979</v>
      </c>
      <c r="F660" s="50">
        <v>32370500</v>
      </c>
      <c r="G660" s="50">
        <v>32370500</v>
      </c>
      <c r="H660" s="50">
        <v>0</v>
      </c>
      <c r="I660" s="50">
        <v>0</v>
      </c>
      <c r="J660" s="50">
        <v>0</v>
      </c>
      <c r="K660" s="50">
        <v>23014384.949999999</v>
      </c>
      <c r="L660" s="50">
        <v>23014384.949999999</v>
      </c>
      <c r="M660" s="50">
        <v>9356115.0500000007</v>
      </c>
      <c r="N660" s="50">
        <v>9356115.0500000007</v>
      </c>
    </row>
    <row r="661" spans="1:14" hidden="1" x14ac:dyDescent="0.25">
      <c r="A661" s="49" t="s">
        <v>716</v>
      </c>
      <c r="B661" s="49" t="s">
        <v>86</v>
      </c>
      <c r="C661" s="49" t="s">
        <v>87</v>
      </c>
      <c r="D661" s="49" t="s">
        <v>69</v>
      </c>
      <c r="E661" s="50">
        <v>16387600</v>
      </c>
      <c r="F661" s="50">
        <v>16387600</v>
      </c>
      <c r="G661" s="50">
        <v>16387600</v>
      </c>
      <c r="H661" s="50">
        <v>0</v>
      </c>
      <c r="I661" s="50">
        <v>0</v>
      </c>
      <c r="J661" s="50">
        <v>0</v>
      </c>
      <c r="K661" s="50">
        <v>9494365.5</v>
      </c>
      <c r="L661" s="50">
        <v>9494365.5</v>
      </c>
      <c r="M661" s="50">
        <v>6893234.5</v>
      </c>
      <c r="N661" s="50">
        <v>6893234.5</v>
      </c>
    </row>
    <row r="662" spans="1:14" hidden="1" x14ac:dyDescent="0.25">
      <c r="A662" s="49" t="s">
        <v>716</v>
      </c>
      <c r="B662" s="49" t="s">
        <v>88</v>
      </c>
      <c r="C662" s="49" t="s">
        <v>89</v>
      </c>
      <c r="D662" s="49" t="s">
        <v>69</v>
      </c>
      <c r="E662" s="50">
        <v>32139100</v>
      </c>
      <c r="F662" s="50">
        <v>32139100</v>
      </c>
      <c r="G662" s="50">
        <v>32139100</v>
      </c>
      <c r="H662" s="50">
        <v>0</v>
      </c>
      <c r="I662" s="50">
        <v>0</v>
      </c>
      <c r="J662" s="50">
        <v>0</v>
      </c>
      <c r="K662" s="50">
        <v>25531205.539999999</v>
      </c>
      <c r="L662" s="50">
        <v>25531205.539999999</v>
      </c>
      <c r="M662" s="50">
        <v>6607894.46</v>
      </c>
      <c r="N662" s="50">
        <v>6607894.46</v>
      </c>
    </row>
    <row r="663" spans="1:14" hidden="1" x14ac:dyDescent="0.25">
      <c r="A663" s="49" t="s">
        <v>716</v>
      </c>
      <c r="B663" s="49" t="s">
        <v>83</v>
      </c>
      <c r="C663" s="49" t="s">
        <v>84</v>
      </c>
      <c r="D663" s="49" t="s">
        <v>85</v>
      </c>
      <c r="E663" s="50">
        <v>17806196</v>
      </c>
      <c r="F663" s="50">
        <v>17694597</v>
      </c>
      <c r="G663" s="50">
        <v>17694597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50">
        <v>17694597</v>
      </c>
      <c r="N663" s="50">
        <v>17694597</v>
      </c>
    </row>
    <row r="664" spans="1:14" hidden="1" x14ac:dyDescent="0.25">
      <c r="A664" s="49" t="s">
        <v>716</v>
      </c>
      <c r="B664" s="49" t="s">
        <v>90</v>
      </c>
      <c r="C664" s="49" t="s">
        <v>91</v>
      </c>
      <c r="D664" s="49" t="s">
        <v>69</v>
      </c>
      <c r="E664" s="50">
        <v>20841515</v>
      </c>
      <c r="F664" s="50">
        <v>20710893</v>
      </c>
      <c r="G664" s="50">
        <v>20710893</v>
      </c>
      <c r="H664" s="50">
        <v>0</v>
      </c>
      <c r="I664" s="50">
        <v>5638356</v>
      </c>
      <c r="J664" s="50">
        <v>0</v>
      </c>
      <c r="K664" s="50">
        <v>14941775</v>
      </c>
      <c r="L664" s="50">
        <v>14941775</v>
      </c>
      <c r="M664" s="50">
        <v>130762</v>
      </c>
      <c r="N664" s="50">
        <v>130762</v>
      </c>
    </row>
    <row r="665" spans="1:14" hidden="1" x14ac:dyDescent="0.25">
      <c r="A665" s="49" t="s">
        <v>716</v>
      </c>
      <c r="B665" s="49" t="s">
        <v>426</v>
      </c>
      <c r="C665" s="49" t="s">
        <v>697</v>
      </c>
      <c r="D665" s="49" t="s">
        <v>69</v>
      </c>
      <c r="E665" s="50">
        <v>19772804</v>
      </c>
      <c r="F665" s="50">
        <v>19648880</v>
      </c>
      <c r="G665" s="50">
        <v>19648880</v>
      </c>
      <c r="H665" s="50">
        <v>0</v>
      </c>
      <c r="I665" s="50">
        <v>5349293</v>
      </c>
      <c r="J665" s="50">
        <v>0</v>
      </c>
      <c r="K665" s="50">
        <v>14175531</v>
      </c>
      <c r="L665" s="50">
        <v>14175531</v>
      </c>
      <c r="M665" s="50">
        <v>124056</v>
      </c>
      <c r="N665" s="50">
        <v>124056</v>
      </c>
    </row>
    <row r="666" spans="1:14" hidden="1" x14ac:dyDescent="0.25">
      <c r="A666" s="49" t="s">
        <v>716</v>
      </c>
      <c r="B666" s="49" t="s">
        <v>443</v>
      </c>
      <c r="C666" s="49" t="s">
        <v>95</v>
      </c>
      <c r="D666" s="49" t="s">
        <v>69</v>
      </c>
      <c r="E666" s="50">
        <v>1068711</v>
      </c>
      <c r="F666" s="50">
        <v>1062013</v>
      </c>
      <c r="G666" s="50">
        <v>1062013</v>
      </c>
      <c r="H666" s="50">
        <v>0</v>
      </c>
      <c r="I666" s="50">
        <v>289063</v>
      </c>
      <c r="J666" s="50">
        <v>0</v>
      </c>
      <c r="K666" s="50">
        <v>766244</v>
      </c>
      <c r="L666" s="50">
        <v>766244</v>
      </c>
      <c r="M666" s="50">
        <v>6706</v>
      </c>
      <c r="N666" s="50">
        <v>6706</v>
      </c>
    </row>
    <row r="667" spans="1:14" hidden="1" x14ac:dyDescent="0.25">
      <c r="A667" s="49" t="s">
        <v>716</v>
      </c>
      <c r="B667" s="49" t="s">
        <v>96</v>
      </c>
      <c r="C667" s="49" t="s">
        <v>97</v>
      </c>
      <c r="D667" s="49" t="s">
        <v>69</v>
      </c>
      <c r="E667" s="50">
        <v>20841515</v>
      </c>
      <c r="F667" s="50">
        <v>20710894</v>
      </c>
      <c r="G667" s="50">
        <v>20110894</v>
      </c>
      <c r="H667" s="50">
        <v>0</v>
      </c>
      <c r="I667" s="50">
        <v>5065181</v>
      </c>
      <c r="J667" s="50">
        <v>0</v>
      </c>
      <c r="K667" s="50">
        <v>14914950</v>
      </c>
      <c r="L667" s="50">
        <v>14914950</v>
      </c>
      <c r="M667" s="50">
        <v>730763</v>
      </c>
      <c r="N667" s="50">
        <v>130763</v>
      </c>
    </row>
    <row r="668" spans="1:14" hidden="1" x14ac:dyDescent="0.25">
      <c r="A668" s="49" t="s">
        <v>716</v>
      </c>
      <c r="B668" s="49" t="s">
        <v>461</v>
      </c>
      <c r="C668" s="49" t="s">
        <v>698</v>
      </c>
      <c r="D668" s="49" t="s">
        <v>69</v>
      </c>
      <c r="E668" s="50">
        <v>11222416</v>
      </c>
      <c r="F668" s="50">
        <v>11152081</v>
      </c>
      <c r="G668" s="50">
        <v>11152081</v>
      </c>
      <c r="H668" s="50">
        <v>0</v>
      </c>
      <c r="I668" s="50">
        <v>3062925</v>
      </c>
      <c r="J668" s="50">
        <v>0</v>
      </c>
      <c r="K668" s="50">
        <v>8018746</v>
      </c>
      <c r="L668" s="50">
        <v>8018746</v>
      </c>
      <c r="M668" s="50">
        <v>70410</v>
      </c>
      <c r="N668" s="50">
        <v>70410</v>
      </c>
    </row>
    <row r="669" spans="1:14" hidden="1" x14ac:dyDescent="0.25">
      <c r="A669" s="49" t="s">
        <v>716</v>
      </c>
      <c r="B669" s="49" t="s">
        <v>478</v>
      </c>
      <c r="C669" s="49" t="s">
        <v>699</v>
      </c>
      <c r="D669" s="49" t="s">
        <v>69</v>
      </c>
      <c r="E669" s="50">
        <v>3206333</v>
      </c>
      <c r="F669" s="50">
        <v>3186238</v>
      </c>
      <c r="G669" s="50">
        <v>3186238</v>
      </c>
      <c r="H669" s="50">
        <v>0</v>
      </c>
      <c r="I669" s="50">
        <v>867386</v>
      </c>
      <c r="J669" s="50">
        <v>0</v>
      </c>
      <c r="K669" s="50">
        <v>2298734</v>
      </c>
      <c r="L669" s="50">
        <v>2298734</v>
      </c>
      <c r="M669" s="50">
        <v>20118</v>
      </c>
      <c r="N669" s="50">
        <v>20118</v>
      </c>
    </row>
    <row r="670" spans="1:14" hidden="1" x14ac:dyDescent="0.25">
      <c r="A670" s="49" t="s">
        <v>716</v>
      </c>
      <c r="B670" s="49" t="s">
        <v>495</v>
      </c>
      <c r="C670" s="49" t="s">
        <v>700</v>
      </c>
      <c r="D670" s="49" t="s">
        <v>69</v>
      </c>
      <c r="E670" s="50">
        <v>6412766</v>
      </c>
      <c r="F670" s="50">
        <v>6372575</v>
      </c>
      <c r="G670" s="50">
        <v>5772575</v>
      </c>
      <c r="H670" s="50">
        <v>0</v>
      </c>
      <c r="I670" s="50">
        <v>1134870</v>
      </c>
      <c r="J670" s="50">
        <v>0</v>
      </c>
      <c r="K670" s="50">
        <v>4597470</v>
      </c>
      <c r="L670" s="50">
        <v>4597470</v>
      </c>
      <c r="M670" s="50">
        <v>640235</v>
      </c>
      <c r="N670" s="50">
        <v>40235</v>
      </c>
    </row>
    <row r="671" spans="1:14" hidden="1" x14ac:dyDescent="0.25">
      <c r="A671" s="49" t="s">
        <v>716</v>
      </c>
      <c r="B671" s="49" t="s">
        <v>104</v>
      </c>
      <c r="C671" s="49" t="s">
        <v>105</v>
      </c>
      <c r="D671" s="49" t="s">
        <v>69</v>
      </c>
      <c r="E671" s="50">
        <v>6929448400</v>
      </c>
      <c r="F671" s="50">
        <v>6685003400</v>
      </c>
      <c r="G671" s="50">
        <v>6685003400</v>
      </c>
      <c r="H671" s="50">
        <v>0</v>
      </c>
      <c r="I671" s="50">
        <v>284451.24</v>
      </c>
      <c r="J671" s="50">
        <v>0</v>
      </c>
      <c r="K671" s="50">
        <v>4132300092.1199999</v>
      </c>
      <c r="L671" s="50">
        <v>4132300092.1199999</v>
      </c>
      <c r="M671" s="50">
        <v>2552418856.6399999</v>
      </c>
      <c r="N671" s="50">
        <v>2552418856.6399999</v>
      </c>
    </row>
    <row r="672" spans="1:14" hidden="1" x14ac:dyDescent="0.25">
      <c r="A672" s="49" t="s">
        <v>716</v>
      </c>
      <c r="B672" s="49" t="s">
        <v>106</v>
      </c>
      <c r="C672" s="49" t="s">
        <v>107</v>
      </c>
      <c r="D672" s="49" t="s">
        <v>69</v>
      </c>
      <c r="E672" s="50">
        <v>6927908871</v>
      </c>
      <c r="F672" s="50">
        <v>6677908871</v>
      </c>
      <c r="G672" s="50">
        <v>6677908871</v>
      </c>
      <c r="H672" s="50">
        <v>0</v>
      </c>
      <c r="I672" s="50">
        <v>0</v>
      </c>
      <c r="J672" s="50">
        <v>0</v>
      </c>
      <c r="K672" s="50">
        <v>4131814779.3600001</v>
      </c>
      <c r="L672" s="50">
        <v>4131814779.3600001</v>
      </c>
      <c r="M672" s="50">
        <v>2546094091.6399999</v>
      </c>
      <c r="N672" s="50">
        <v>2546094091.6399999</v>
      </c>
    </row>
    <row r="673" spans="1:14" hidden="1" x14ac:dyDescent="0.25">
      <c r="A673" s="49" t="s">
        <v>716</v>
      </c>
      <c r="B673" s="49" t="s">
        <v>110</v>
      </c>
      <c r="C673" s="49" t="s">
        <v>111</v>
      </c>
      <c r="D673" s="49" t="s">
        <v>69</v>
      </c>
      <c r="E673" s="50">
        <v>6927908871</v>
      </c>
      <c r="F673" s="50">
        <v>6677908871</v>
      </c>
      <c r="G673" s="50">
        <v>6677908871</v>
      </c>
      <c r="H673" s="50">
        <v>0</v>
      </c>
      <c r="I673" s="50">
        <v>0</v>
      </c>
      <c r="J673" s="50">
        <v>0</v>
      </c>
      <c r="K673" s="50">
        <v>4131814779.3600001</v>
      </c>
      <c r="L673" s="50">
        <v>4131814779.3600001</v>
      </c>
      <c r="M673" s="50">
        <v>2546094091.6399999</v>
      </c>
      <c r="N673" s="50">
        <v>2546094091.6399999</v>
      </c>
    </row>
    <row r="674" spans="1:14" hidden="1" x14ac:dyDescent="0.25">
      <c r="A674" s="49" t="s">
        <v>716</v>
      </c>
      <c r="B674" s="49" t="s">
        <v>112</v>
      </c>
      <c r="C674" s="49" t="s">
        <v>113</v>
      </c>
      <c r="D674" s="49" t="s">
        <v>69</v>
      </c>
      <c r="E674" s="50">
        <v>1539529</v>
      </c>
      <c r="F674" s="50">
        <v>1539529</v>
      </c>
      <c r="G674" s="50">
        <v>1539529</v>
      </c>
      <c r="H674" s="50">
        <v>0</v>
      </c>
      <c r="I674" s="50">
        <v>284451.24</v>
      </c>
      <c r="J674" s="50">
        <v>0</v>
      </c>
      <c r="K674" s="50">
        <v>485312.76</v>
      </c>
      <c r="L674" s="50">
        <v>485312.76</v>
      </c>
      <c r="M674" s="50">
        <v>769765</v>
      </c>
      <c r="N674" s="50">
        <v>769765</v>
      </c>
    </row>
    <row r="675" spans="1:14" hidden="1" x14ac:dyDescent="0.25">
      <c r="A675" s="49" t="s">
        <v>716</v>
      </c>
      <c r="B675" s="49" t="s">
        <v>120</v>
      </c>
      <c r="C675" s="49" t="s">
        <v>121</v>
      </c>
      <c r="D675" s="49" t="s">
        <v>69</v>
      </c>
      <c r="E675" s="50">
        <v>1539529</v>
      </c>
      <c r="F675" s="50">
        <v>1539529</v>
      </c>
      <c r="G675" s="50">
        <v>1539529</v>
      </c>
      <c r="H675" s="50">
        <v>0</v>
      </c>
      <c r="I675" s="50">
        <v>284451.24</v>
      </c>
      <c r="J675" s="50">
        <v>0</v>
      </c>
      <c r="K675" s="50">
        <v>485312.76</v>
      </c>
      <c r="L675" s="50">
        <v>485312.76</v>
      </c>
      <c r="M675" s="50">
        <v>769765</v>
      </c>
      <c r="N675" s="50">
        <v>769765</v>
      </c>
    </row>
    <row r="676" spans="1:14" hidden="1" x14ac:dyDescent="0.25">
      <c r="A676" s="49" t="s">
        <v>716</v>
      </c>
      <c r="B676" s="49" t="s">
        <v>140</v>
      </c>
      <c r="C676" s="49" t="s">
        <v>141</v>
      </c>
      <c r="D676" s="49" t="s">
        <v>69</v>
      </c>
      <c r="E676" s="50">
        <v>0</v>
      </c>
      <c r="F676" s="50">
        <v>0</v>
      </c>
      <c r="G676" s="50">
        <v>0</v>
      </c>
      <c r="H676" s="50">
        <v>0</v>
      </c>
      <c r="I676" s="50">
        <v>0</v>
      </c>
      <c r="J676" s="50">
        <v>0</v>
      </c>
      <c r="K676" s="50">
        <v>0</v>
      </c>
      <c r="L676" s="50">
        <v>0</v>
      </c>
      <c r="M676" s="50">
        <v>0</v>
      </c>
      <c r="N676" s="50">
        <v>0</v>
      </c>
    </row>
    <row r="677" spans="1:14" hidden="1" x14ac:dyDescent="0.25">
      <c r="A677" s="49" t="s">
        <v>716</v>
      </c>
      <c r="B677" s="49" t="s">
        <v>144</v>
      </c>
      <c r="C677" s="49" t="s">
        <v>145</v>
      </c>
      <c r="D677" s="49" t="s">
        <v>69</v>
      </c>
      <c r="E677" s="50">
        <v>0</v>
      </c>
      <c r="F677" s="50">
        <v>0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50">
        <v>0</v>
      </c>
      <c r="N677" s="50">
        <v>0</v>
      </c>
    </row>
    <row r="678" spans="1:14" hidden="1" x14ac:dyDescent="0.25">
      <c r="A678" s="49" t="s">
        <v>716</v>
      </c>
      <c r="B678" s="49" t="s">
        <v>178</v>
      </c>
      <c r="C678" s="49" t="s">
        <v>179</v>
      </c>
      <c r="D678" s="49" t="s">
        <v>69</v>
      </c>
      <c r="E678" s="50">
        <v>0</v>
      </c>
      <c r="F678" s="50">
        <v>5555000</v>
      </c>
      <c r="G678" s="50">
        <v>5555000</v>
      </c>
      <c r="H678" s="50">
        <v>0</v>
      </c>
      <c r="I678" s="50">
        <v>0</v>
      </c>
      <c r="J678" s="50">
        <v>0</v>
      </c>
      <c r="K678" s="50">
        <v>0</v>
      </c>
      <c r="L678" s="50">
        <v>0</v>
      </c>
      <c r="M678" s="50">
        <v>5555000</v>
      </c>
      <c r="N678" s="50">
        <v>5555000</v>
      </c>
    </row>
    <row r="679" spans="1:14" hidden="1" x14ac:dyDescent="0.25">
      <c r="A679" s="49" t="s">
        <v>716</v>
      </c>
      <c r="B679" s="49" t="s">
        <v>180</v>
      </c>
      <c r="C679" s="49" t="s">
        <v>181</v>
      </c>
      <c r="D679" s="49" t="s">
        <v>69</v>
      </c>
      <c r="E679" s="50">
        <v>0</v>
      </c>
      <c r="F679" s="50">
        <v>5555000</v>
      </c>
      <c r="G679" s="50">
        <v>5555000</v>
      </c>
      <c r="H679" s="50">
        <v>0</v>
      </c>
      <c r="I679" s="50">
        <v>0</v>
      </c>
      <c r="J679" s="50">
        <v>0</v>
      </c>
      <c r="K679" s="50">
        <v>0</v>
      </c>
      <c r="L679" s="50">
        <v>0</v>
      </c>
      <c r="M679" s="50">
        <v>5555000</v>
      </c>
      <c r="N679" s="50">
        <v>5555000</v>
      </c>
    </row>
    <row r="680" spans="1:14" hidden="1" x14ac:dyDescent="0.25">
      <c r="A680" s="49" t="s">
        <v>716</v>
      </c>
      <c r="B680" s="49" t="s">
        <v>248</v>
      </c>
      <c r="C680" s="49" t="s">
        <v>249</v>
      </c>
      <c r="D680" s="49" t="s">
        <v>69</v>
      </c>
      <c r="E680" s="50">
        <v>5048260</v>
      </c>
      <c r="F680" s="50">
        <v>5026021</v>
      </c>
      <c r="G680" s="50">
        <v>5026021</v>
      </c>
      <c r="H680" s="50">
        <v>0</v>
      </c>
      <c r="I680" s="50">
        <v>986651</v>
      </c>
      <c r="J680" s="50">
        <v>0</v>
      </c>
      <c r="K680" s="50">
        <v>2703418</v>
      </c>
      <c r="L680" s="50">
        <v>2703418</v>
      </c>
      <c r="M680" s="50">
        <v>1335952</v>
      </c>
      <c r="N680" s="50">
        <v>1335952</v>
      </c>
    </row>
    <row r="681" spans="1:14" hidden="1" x14ac:dyDescent="0.25">
      <c r="A681" s="49" t="s">
        <v>716</v>
      </c>
      <c r="B681" s="49" t="s">
        <v>250</v>
      </c>
      <c r="C681" s="49" t="s">
        <v>251</v>
      </c>
      <c r="D681" s="49" t="s">
        <v>69</v>
      </c>
      <c r="E681" s="50">
        <v>3548260</v>
      </c>
      <c r="F681" s="50">
        <v>3526021</v>
      </c>
      <c r="G681" s="50">
        <v>3526021</v>
      </c>
      <c r="H681" s="50">
        <v>0</v>
      </c>
      <c r="I681" s="50">
        <v>986651</v>
      </c>
      <c r="J681" s="50">
        <v>0</v>
      </c>
      <c r="K681" s="50">
        <v>2517107</v>
      </c>
      <c r="L681" s="50">
        <v>2517107</v>
      </c>
      <c r="M681" s="50">
        <v>22263</v>
      </c>
      <c r="N681" s="50">
        <v>22263</v>
      </c>
    </row>
    <row r="682" spans="1:14" hidden="1" x14ac:dyDescent="0.25">
      <c r="A682" s="49" t="s">
        <v>716</v>
      </c>
      <c r="B682" s="49" t="s">
        <v>635</v>
      </c>
      <c r="C682" s="49" t="s">
        <v>702</v>
      </c>
      <c r="D682" s="49" t="s">
        <v>69</v>
      </c>
      <c r="E682" s="50">
        <v>3013955</v>
      </c>
      <c r="F682" s="50">
        <v>2995065</v>
      </c>
      <c r="G682" s="50">
        <v>2995065</v>
      </c>
      <c r="H682" s="50">
        <v>0</v>
      </c>
      <c r="I682" s="50">
        <v>842170</v>
      </c>
      <c r="J682" s="50">
        <v>0</v>
      </c>
      <c r="K682" s="50">
        <v>2133985</v>
      </c>
      <c r="L682" s="50">
        <v>2133985</v>
      </c>
      <c r="M682" s="50">
        <v>18910</v>
      </c>
      <c r="N682" s="50">
        <v>18910</v>
      </c>
    </row>
    <row r="683" spans="1:14" hidden="1" x14ac:dyDescent="0.25">
      <c r="A683" s="49" t="s">
        <v>716</v>
      </c>
      <c r="B683" s="49" t="s">
        <v>650</v>
      </c>
      <c r="C683" s="49" t="s">
        <v>703</v>
      </c>
      <c r="D683" s="49" t="s">
        <v>69</v>
      </c>
      <c r="E683" s="50">
        <v>534305</v>
      </c>
      <c r="F683" s="50">
        <v>530956</v>
      </c>
      <c r="G683" s="50">
        <v>530956</v>
      </c>
      <c r="H683" s="50">
        <v>0</v>
      </c>
      <c r="I683" s="50">
        <v>144481</v>
      </c>
      <c r="J683" s="50">
        <v>0</v>
      </c>
      <c r="K683" s="50">
        <v>383122</v>
      </c>
      <c r="L683" s="50">
        <v>383122</v>
      </c>
      <c r="M683" s="50">
        <v>3353</v>
      </c>
      <c r="N683" s="50">
        <v>3353</v>
      </c>
    </row>
    <row r="684" spans="1:14" hidden="1" x14ac:dyDescent="0.25">
      <c r="A684" s="49" t="s">
        <v>716</v>
      </c>
      <c r="B684" s="49" t="s">
        <v>260</v>
      </c>
      <c r="C684" s="49" t="s">
        <v>261</v>
      </c>
      <c r="D684" s="49" t="s">
        <v>69</v>
      </c>
      <c r="E684" s="50">
        <v>1500000</v>
      </c>
      <c r="F684" s="50">
        <v>1500000</v>
      </c>
      <c r="G684" s="50">
        <v>1500000</v>
      </c>
      <c r="H684" s="50">
        <v>0</v>
      </c>
      <c r="I684" s="50">
        <v>0</v>
      </c>
      <c r="J684" s="50">
        <v>0</v>
      </c>
      <c r="K684" s="50">
        <v>186311</v>
      </c>
      <c r="L684" s="50">
        <v>186311</v>
      </c>
      <c r="M684" s="50">
        <v>1313689</v>
      </c>
      <c r="N684" s="50">
        <v>1313689</v>
      </c>
    </row>
    <row r="685" spans="1:14" hidden="1" x14ac:dyDescent="0.25">
      <c r="A685" s="49" t="s">
        <v>716</v>
      </c>
      <c r="B685" s="49" t="s">
        <v>264</v>
      </c>
      <c r="C685" s="49" t="s">
        <v>265</v>
      </c>
      <c r="D685" s="49" t="s">
        <v>69</v>
      </c>
      <c r="E685" s="50">
        <v>1500000</v>
      </c>
      <c r="F685" s="50">
        <v>1500000</v>
      </c>
      <c r="G685" s="50">
        <v>1500000</v>
      </c>
      <c r="H685" s="50">
        <v>0</v>
      </c>
      <c r="I685" s="50">
        <v>0</v>
      </c>
      <c r="J685" s="50">
        <v>0</v>
      </c>
      <c r="K685" s="50">
        <v>186311</v>
      </c>
      <c r="L685" s="50">
        <v>186311</v>
      </c>
      <c r="M685" s="50">
        <v>1313689</v>
      </c>
      <c r="N685" s="50">
        <v>1313689</v>
      </c>
    </row>
    <row r="686" spans="1:14" x14ac:dyDescent="0.25">
      <c r="A686" s="49">
        <v>214790</v>
      </c>
      <c r="B686" s="49"/>
      <c r="C686" s="49"/>
      <c r="D686" s="49" t="s">
        <v>69</v>
      </c>
      <c r="E686" s="50">
        <v>1417740073</v>
      </c>
      <c r="F686" s="50">
        <v>1271491809</v>
      </c>
      <c r="G686" s="50">
        <v>1252450256.0799999</v>
      </c>
      <c r="H686" s="50">
        <v>2472306.2599999998</v>
      </c>
      <c r="I686" s="50">
        <v>83185998.980000004</v>
      </c>
      <c r="J686" s="50">
        <v>87710.11</v>
      </c>
      <c r="K686" s="50">
        <v>846428577.73000002</v>
      </c>
      <c r="L686" s="50">
        <v>840741397.77999997</v>
      </c>
      <c r="M686" s="50">
        <v>339317215.92000002</v>
      </c>
      <c r="N686" s="50">
        <v>320275663</v>
      </c>
    </row>
    <row r="687" spans="1:14" hidden="1" x14ac:dyDescent="0.25">
      <c r="A687" s="49" t="s">
        <v>717</v>
      </c>
      <c r="B687" s="49" t="s">
        <v>71</v>
      </c>
      <c r="C687" s="49" t="s">
        <v>72</v>
      </c>
      <c r="D687" s="49" t="s">
        <v>69</v>
      </c>
      <c r="E687" s="50">
        <v>1125132721</v>
      </c>
      <c r="F687" s="50">
        <v>1096513206</v>
      </c>
      <c r="G687" s="50">
        <v>1077550819</v>
      </c>
      <c r="H687" s="50">
        <v>0</v>
      </c>
      <c r="I687" s="50">
        <v>36287488</v>
      </c>
      <c r="J687" s="50">
        <v>0</v>
      </c>
      <c r="K687" s="50">
        <v>779065680.96000004</v>
      </c>
      <c r="L687" s="50">
        <v>779065680.96000004</v>
      </c>
      <c r="M687" s="50">
        <v>281160037.04000002</v>
      </c>
      <c r="N687" s="50">
        <v>262197650.03999999</v>
      </c>
    </row>
    <row r="688" spans="1:14" hidden="1" x14ac:dyDescent="0.25">
      <c r="A688" s="49" t="s">
        <v>717</v>
      </c>
      <c r="B688" s="49" t="s">
        <v>73</v>
      </c>
      <c r="C688" s="49" t="s">
        <v>74</v>
      </c>
      <c r="D688" s="49" t="s">
        <v>69</v>
      </c>
      <c r="E688" s="50">
        <v>456307400</v>
      </c>
      <c r="F688" s="50">
        <v>441766100</v>
      </c>
      <c r="G688" s="50">
        <v>438060200</v>
      </c>
      <c r="H688" s="50">
        <v>0</v>
      </c>
      <c r="I688" s="50">
        <v>0</v>
      </c>
      <c r="J688" s="50">
        <v>0</v>
      </c>
      <c r="K688" s="50">
        <v>341578725.36000001</v>
      </c>
      <c r="L688" s="50">
        <v>341578725.36000001</v>
      </c>
      <c r="M688" s="50">
        <v>100187374.64</v>
      </c>
      <c r="N688" s="50">
        <v>96481474.640000001</v>
      </c>
    </row>
    <row r="689" spans="1:14" hidden="1" x14ac:dyDescent="0.25">
      <c r="A689" s="49" t="s">
        <v>717</v>
      </c>
      <c r="B689" s="49" t="s">
        <v>75</v>
      </c>
      <c r="C689" s="49" t="s">
        <v>76</v>
      </c>
      <c r="D689" s="49" t="s">
        <v>69</v>
      </c>
      <c r="E689" s="50">
        <v>456307400</v>
      </c>
      <c r="F689" s="50">
        <v>441766100</v>
      </c>
      <c r="G689" s="50">
        <v>438060200</v>
      </c>
      <c r="H689" s="50">
        <v>0</v>
      </c>
      <c r="I689" s="50">
        <v>0</v>
      </c>
      <c r="J689" s="50">
        <v>0</v>
      </c>
      <c r="K689" s="50">
        <v>341578725.36000001</v>
      </c>
      <c r="L689" s="50">
        <v>341578725.36000001</v>
      </c>
      <c r="M689" s="50">
        <v>100187374.64</v>
      </c>
      <c r="N689" s="50">
        <v>96481474.640000001</v>
      </c>
    </row>
    <row r="690" spans="1:14" hidden="1" x14ac:dyDescent="0.25">
      <c r="A690" s="49" t="s">
        <v>717</v>
      </c>
      <c r="B690" s="49" t="s">
        <v>77</v>
      </c>
      <c r="C690" s="49" t="s">
        <v>78</v>
      </c>
      <c r="D690" s="49" t="s">
        <v>69</v>
      </c>
      <c r="E690" s="50">
        <v>497190642</v>
      </c>
      <c r="F690" s="50">
        <v>488516531</v>
      </c>
      <c r="G690" s="50">
        <v>476489960</v>
      </c>
      <c r="H690" s="50">
        <v>0</v>
      </c>
      <c r="I690" s="50">
        <v>0</v>
      </c>
      <c r="J690" s="50">
        <v>0</v>
      </c>
      <c r="K690" s="50">
        <v>310773784.60000002</v>
      </c>
      <c r="L690" s="50">
        <v>310773784.60000002</v>
      </c>
      <c r="M690" s="50">
        <v>177742746.40000001</v>
      </c>
      <c r="N690" s="50">
        <v>165716175.40000001</v>
      </c>
    </row>
    <row r="691" spans="1:14" hidden="1" x14ac:dyDescent="0.25">
      <c r="A691" s="49" t="s">
        <v>717</v>
      </c>
      <c r="B691" s="49" t="s">
        <v>79</v>
      </c>
      <c r="C691" s="49" t="s">
        <v>80</v>
      </c>
      <c r="D691" s="49" t="s">
        <v>69</v>
      </c>
      <c r="E691" s="50">
        <v>91313600</v>
      </c>
      <c r="F691" s="50">
        <v>91313600</v>
      </c>
      <c r="G691" s="50">
        <v>84507129</v>
      </c>
      <c r="H691" s="50">
        <v>0</v>
      </c>
      <c r="I691" s="50">
        <v>0</v>
      </c>
      <c r="J691" s="50">
        <v>0</v>
      </c>
      <c r="K691" s="50">
        <v>70917177.519999996</v>
      </c>
      <c r="L691" s="50">
        <v>70917177.519999996</v>
      </c>
      <c r="M691" s="50">
        <v>20396422.48</v>
      </c>
      <c r="N691" s="50">
        <v>13589951.48</v>
      </c>
    </row>
    <row r="692" spans="1:14" hidden="1" x14ac:dyDescent="0.25">
      <c r="A692" s="49" t="s">
        <v>717</v>
      </c>
      <c r="B692" s="49" t="s">
        <v>81</v>
      </c>
      <c r="C692" s="49" t="s">
        <v>82</v>
      </c>
      <c r="D692" s="49" t="s">
        <v>69</v>
      </c>
      <c r="E692" s="50">
        <v>214869984</v>
      </c>
      <c r="F692" s="50">
        <v>209049915</v>
      </c>
      <c r="G692" s="50">
        <v>208123437</v>
      </c>
      <c r="H692" s="50">
        <v>0</v>
      </c>
      <c r="I692" s="50">
        <v>0</v>
      </c>
      <c r="J692" s="50">
        <v>0</v>
      </c>
      <c r="K692" s="50">
        <v>155772389.27000001</v>
      </c>
      <c r="L692" s="50">
        <v>155772389.27000001</v>
      </c>
      <c r="M692" s="50">
        <v>53277525.729999997</v>
      </c>
      <c r="N692" s="50">
        <v>52351047.729999997</v>
      </c>
    </row>
    <row r="693" spans="1:14" hidden="1" x14ac:dyDescent="0.25">
      <c r="A693" s="49" t="s">
        <v>717</v>
      </c>
      <c r="B693" s="49" t="s">
        <v>86</v>
      </c>
      <c r="C693" s="49" t="s">
        <v>87</v>
      </c>
      <c r="D693" s="49" t="s">
        <v>69</v>
      </c>
      <c r="E693" s="50">
        <v>67452900</v>
      </c>
      <c r="F693" s="50">
        <v>67452900</v>
      </c>
      <c r="G693" s="50">
        <v>67452900</v>
      </c>
      <c r="H693" s="50">
        <v>0</v>
      </c>
      <c r="I693" s="50">
        <v>0</v>
      </c>
      <c r="J693" s="50">
        <v>0</v>
      </c>
      <c r="K693" s="50">
        <v>49771766.130000003</v>
      </c>
      <c r="L693" s="50">
        <v>49771766.130000003</v>
      </c>
      <c r="M693" s="50">
        <v>17681133.870000001</v>
      </c>
      <c r="N693" s="50">
        <v>17681133.870000001</v>
      </c>
    </row>
    <row r="694" spans="1:14" hidden="1" x14ac:dyDescent="0.25">
      <c r="A694" s="49" t="s">
        <v>717</v>
      </c>
      <c r="B694" s="49" t="s">
        <v>88</v>
      </c>
      <c r="C694" s="49" t="s">
        <v>89</v>
      </c>
      <c r="D694" s="49" t="s">
        <v>69</v>
      </c>
      <c r="E694" s="50">
        <v>50235300</v>
      </c>
      <c r="F694" s="50">
        <v>49689780</v>
      </c>
      <c r="G694" s="50">
        <v>49553400</v>
      </c>
      <c r="H694" s="50">
        <v>0</v>
      </c>
      <c r="I694" s="50">
        <v>0</v>
      </c>
      <c r="J694" s="50">
        <v>0</v>
      </c>
      <c r="K694" s="50">
        <v>34278004.579999998</v>
      </c>
      <c r="L694" s="50">
        <v>34278004.579999998</v>
      </c>
      <c r="M694" s="50">
        <v>15411775.42</v>
      </c>
      <c r="N694" s="50">
        <v>15275395.42</v>
      </c>
    </row>
    <row r="695" spans="1:14" hidden="1" x14ac:dyDescent="0.25">
      <c r="A695" s="49" t="s">
        <v>717</v>
      </c>
      <c r="B695" s="49" t="s">
        <v>83</v>
      </c>
      <c r="C695" s="49" t="s">
        <v>84</v>
      </c>
      <c r="D695" s="49" t="s">
        <v>85</v>
      </c>
      <c r="E695" s="50">
        <v>73318858</v>
      </c>
      <c r="F695" s="50">
        <v>71010336</v>
      </c>
      <c r="G695" s="50">
        <v>66853094</v>
      </c>
      <c r="H695" s="50">
        <v>0</v>
      </c>
      <c r="I695" s="50">
        <v>0</v>
      </c>
      <c r="J695" s="50">
        <v>0</v>
      </c>
      <c r="K695" s="50">
        <v>34447.1</v>
      </c>
      <c r="L695" s="50">
        <v>34447.1</v>
      </c>
      <c r="M695" s="50">
        <v>70975888.900000006</v>
      </c>
      <c r="N695" s="50">
        <v>66818646.899999999</v>
      </c>
    </row>
    <row r="696" spans="1:14" hidden="1" x14ac:dyDescent="0.25">
      <c r="A696" s="49" t="s">
        <v>717</v>
      </c>
      <c r="B696" s="49" t="s">
        <v>90</v>
      </c>
      <c r="C696" s="49" t="s">
        <v>91</v>
      </c>
      <c r="D696" s="49" t="s">
        <v>69</v>
      </c>
      <c r="E696" s="50">
        <v>85817390</v>
      </c>
      <c r="F696" s="50">
        <v>83115337</v>
      </c>
      <c r="G696" s="50">
        <v>82650379</v>
      </c>
      <c r="H696" s="50">
        <v>0</v>
      </c>
      <c r="I696" s="50">
        <v>19201327</v>
      </c>
      <c r="J696" s="50">
        <v>0</v>
      </c>
      <c r="K696" s="50">
        <v>63449052</v>
      </c>
      <c r="L696" s="50">
        <v>63449052</v>
      </c>
      <c r="M696" s="50">
        <v>464958</v>
      </c>
      <c r="N696" s="50">
        <v>0</v>
      </c>
    </row>
    <row r="697" spans="1:14" hidden="1" x14ac:dyDescent="0.25">
      <c r="A697" s="49" t="s">
        <v>717</v>
      </c>
      <c r="B697" s="49" t="s">
        <v>427</v>
      </c>
      <c r="C697" s="49" t="s">
        <v>697</v>
      </c>
      <c r="D697" s="49" t="s">
        <v>69</v>
      </c>
      <c r="E697" s="50">
        <v>81416555</v>
      </c>
      <c r="F697" s="50">
        <v>78853069</v>
      </c>
      <c r="G697" s="50">
        <v>78411955</v>
      </c>
      <c r="H697" s="50">
        <v>0</v>
      </c>
      <c r="I697" s="50">
        <v>18216731</v>
      </c>
      <c r="J697" s="50">
        <v>0</v>
      </c>
      <c r="K697" s="50">
        <v>60195224</v>
      </c>
      <c r="L697" s="50">
        <v>60195224</v>
      </c>
      <c r="M697" s="50">
        <v>441114</v>
      </c>
      <c r="N697" s="50">
        <v>0</v>
      </c>
    </row>
    <row r="698" spans="1:14" hidden="1" x14ac:dyDescent="0.25">
      <c r="A698" s="49" t="s">
        <v>717</v>
      </c>
      <c r="B698" s="49" t="s">
        <v>444</v>
      </c>
      <c r="C698" s="49" t="s">
        <v>95</v>
      </c>
      <c r="D698" s="49" t="s">
        <v>69</v>
      </c>
      <c r="E698" s="50">
        <v>4400835</v>
      </c>
      <c r="F698" s="50">
        <v>4262268</v>
      </c>
      <c r="G698" s="50">
        <v>4238424</v>
      </c>
      <c r="H698" s="50">
        <v>0</v>
      </c>
      <c r="I698" s="50">
        <v>984596</v>
      </c>
      <c r="J698" s="50">
        <v>0</v>
      </c>
      <c r="K698" s="50">
        <v>3253828</v>
      </c>
      <c r="L698" s="50">
        <v>3253828</v>
      </c>
      <c r="M698" s="50">
        <v>23844</v>
      </c>
      <c r="N698" s="50">
        <v>0</v>
      </c>
    </row>
    <row r="699" spans="1:14" hidden="1" x14ac:dyDescent="0.25">
      <c r="A699" s="49" t="s">
        <v>717</v>
      </c>
      <c r="B699" s="49" t="s">
        <v>96</v>
      </c>
      <c r="C699" s="49" t="s">
        <v>97</v>
      </c>
      <c r="D699" s="49" t="s">
        <v>69</v>
      </c>
      <c r="E699" s="50">
        <v>85817289</v>
      </c>
      <c r="F699" s="50">
        <v>83115238</v>
      </c>
      <c r="G699" s="50">
        <v>80350280</v>
      </c>
      <c r="H699" s="50">
        <v>0</v>
      </c>
      <c r="I699" s="50">
        <v>17086161</v>
      </c>
      <c r="J699" s="50">
        <v>0</v>
      </c>
      <c r="K699" s="50">
        <v>63264119</v>
      </c>
      <c r="L699" s="50">
        <v>63264119</v>
      </c>
      <c r="M699" s="50">
        <v>2764958</v>
      </c>
      <c r="N699" s="50">
        <v>0</v>
      </c>
    </row>
    <row r="700" spans="1:14" hidden="1" x14ac:dyDescent="0.25">
      <c r="A700" s="49" t="s">
        <v>717</v>
      </c>
      <c r="B700" s="49" t="s">
        <v>462</v>
      </c>
      <c r="C700" s="49" t="s">
        <v>698</v>
      </c>
      <c r="D700" s="49" t="s">
        <v>69</v>
      </c>
      <c r="E700" s="50">
        <v>46209371</v>
      </c>
      <c r="F700" s="50">
        <v>44754420</v>
      </c>
      <c r="G700" s="50">
        <v>44504058</v>
      </c>
      <c r="H700" s="50">
        <v>0</v>
      </c>
      <c r="I700" s="50">
        <v>10524077</v>
      </c>
      <c r="J700" s="50">
        <v>0</v>
      </c>
      <c r="K700" s="50">
        <v>33979981</v>
      </c>
      <c r="L700" s="50">
        <v>33979981</v>
      </c>
      <c r="M700" s="50">
        <v>250362</v>
      </c>
      <c r="N700" s="50">
        <v>0</v>
      </c>
    </row>
    <row r="701" spans="1:14" hidden="1" x14ac:dyDescent="0.25">
      <c r="A701" s="49" t="s">
        <v>717</v>
      </c>
      <c r="B701" s="49" t="s">
        <v>479</v>
      </c>
      <c r="C701" s="49" t="s">
        <v>699</v>
      </c>
      <c r="D701" s="49" t="s">
        <v>69</v>
      </c>
      <c r="E701" s="50">
        <v>13202606</v>
      </c>
      <c r="F701" s="50">
        <v>12786906</v>
      </c>
      <c r="G701" s="50">
        <v>12715374</v>
      </c>
      <c r="H701" s="50">
        <v>0</v>
      </c>
      <c r="I701" s="50">
        <v>2954014</v>
      </c>
      <c r="J701" s="50">
        <v>0</v>
      </c>
      <c r="K701" s="50">
        <v>9761360</v>
      </c>
      <c r="L701" s="50">
        <v>9761360</v>
      </c>
      <c r="M701" s="50">
        <v>71532</v>
      </c>
      <c r="N701" s="50">
        <v>0</v>
      </c>
    </row>
    <row r="702" spans="1:14" hidden="1" x14ac:dyDescent="0.25">
      <c r="A702" s="49" t="s">
        <v>717</v>
      </c>
      <c r="B702" s="49" t="s">
        <v>496</v>
      </c>
      <c r="C702" s="49" t="s">
        <v>700</v>
      </c>
      <c r="D702" s="49" t="s">
        <v>69</v>
      </c>
      <c r="E702" s="50">
        <v>26405312</v>
      </c>
      <c r="F702" s="50">
        <v>25573912</v>
      </c>
      <c r="G702" s="50">
        <v>23130848</v>
      </c>
      <c r="H702" s="50">
        <v>0</v>
      </c>
      <c r="I702" s="50">
        <v>3608070</v>
      </c>
      <c r="J702" s="50">
        <v>0</v>
      </c>
      <c r="K702" s="50">
        <v>19522778</v>
      </c>
      <c r="L702" s="50">
        <v>19522778</v>
      </c>
      <c r="M702" s="50">
        <v>2443064</v>
      </c>
      <c r="N702" s="50">
        <v>0</v>
      </c>
    </row>
    <row r="703" spans="1:14" hidden="1" x14ac:dyDescent="0.25">
      <c r="A703" s="49" t="s">
        <v>717</v>
      </c>
      <c r="B703" s="49" t="s">
        <v>104</v>
      </c>
      <c r="C703" s="49" t="s">
        <v>105</v>
      </c>
      <c r="D703" s="49" t="s">
        <v>69</v>
      </c>
      <c r="E703" s="50">
        <v>143937951</v>
      </c>
      <c r="F703" s="50">
        <v>91784695</v>
      </c>
      <c r="G703" s="50">
        <v>91784695</v>
      </c>
      <c r="H703" s="50">
        <v>2342367.2599999998</v>
      </c>
      <c r="I703" s="50">
        <v>26783983.670000002</v>
      </c>
      <c r="J703" s="50">
        <v>43640.11</v>
      </c>
      <c r="K703" s="50">
        <v>37279383.130000003</v>
      </c>
      <c r="L703" s="50">
        <v>32443074.899999999</v>
      </c>
      <c r="M703" s="50">
        <v>25335320.829999998</v>
      </c>
      <c r="N703" s="50">
        <v>25335320.829999998</v>
      </c>
    </row>
    <row r="704" spans="1:14" hidden="1" x14ac:dyDescent="0.25">
      <c r="A704" s="49" t="s">
        <v>717</v>
      </c>
      <c r="B704" s="49" t="s">
        <v>106</v>
      </c>
      <c r="C704" s="49" t="s">
        <v>107</v>
      </c>
      <c r="D704" s="49" t="s">
        <v>69</v>
      </c>
      <c r="E704" s="50">
        <v>60469231</v>
      </c>
      <c r="F704" s="50">
        <v>50315823</v>
      </c>
      <c r="G704" s="50">
        <v>50315823</v>
      </c>
      <c r="H704" s="50">
        <v>2220367.2599999998</v>
      </c>
      <c r="I704" s="50">
        <v>12486617.75</v>
      </c>
      <c r="J704" s="50">
        <v>43640.11</v>
      </c>
      <c r="K704" s="50">
        <v>21879397.489999998</v>
      </c>
      <c r="L704" s="50">
        <v>17701508.620000001</v>
      </c>
      <c r="M704" s="50">
        <v>13685800.390000001</v>
      </c>
      <c r="N704" s="50">
        <v>13685800.390000001</v>
      </c>
    </row>
    <row r="705" spans="1:14" hidden="1" x14ac:dyDescent="0.25">
      <c r="A705" s="49" t="s">
        <v>717</v>
      </c>
      <c r="B705" s="49" t="s">
        <v>108</v>
      </c>
      <c r="C705" s="49" t="s">
        <v>109</v>
      </c>
      <c r="D705" s="49" t="s">
        <v>69</v>
      </c>
      <c r="E705" s="50">
        <v>60469231</v>
      </c>
      <c r="F705" s="50">
        <v>50315823</v>
      </c>
      <c r="G705" s="50">
        <v>50315823</v>
      </c>
      <c r="H705" s="50">
        <v>2220367.2599999998</v>
      </c>
      <c r="I705" s="50">
        <v>12486617.75</v>
      </c>
      <c r="J705" s="50">
        <v>43640.11</v>
      </c>
      <c r="K705" s="50">
        <v>21879397.489999998</v>
      </c>
      <c r="L705" s="50">
        <v>17701508.620000001</v>
      </c>
      <c r="M705" s="50">
        <v>13685800.390000001</v>
      </c>
      <c r="N705" s="50">
        <v>13685800.390000001</v>
      </c>
    </row>
    <row r="706" spans="1:14" hidden="1" x14ac:dyDescent="0.25">
      <c r="A706" s="49" t="s">
        <v>717</v>
      </c>
      <c r="B706" s="49" t="s">
        <v>112</v>
      </c>
      <c r="C706" s="49" t="s">
        <v>113</v>
      </c>
      <c r="D706" s="49" t="s">
        <v>69</v>
      </c>
      <c r="E706" s="50">
        <v>12862800</v>
      </c>
      <c r="F706" s="50">
        <v>13016208</v>
      </c>
      <c r="G706" s="50">
        <v>13016208</v>
      </c>
      <c r="H706" s="50">
        <v>0</v>
      </c>
      <c r="I706" s="50">
        <v>5935092.0300000003</v>
      </c>
      <c r="J706" s="50">
        <v>0</v>
      </c>
      <c r="K706" s="50">
        <v>3255411.38</v>
      </c>
      <c r="L706" s="50">
        <v>3255411.38</v>
      </c>
      <c r="M706" s="50">
        <v>3825704.59</v>
      </c>
      <c r="N706" s="50">
        <v>3825704.59</v>
      </c>
    </row>
    <row r="707" spans="1:14" hidden="1" x14ac:dyDescent="0.25">
      <c r="A707" s="49" t="s">
        <v>717</v>
      </c>
      <c r="B707" s="49" t="s">
        <v>114</v>
      </c>
      <c r="C707" s="49" t="s">
        <v>115</v>
      </c>
      <c r="D707" s="49" t="s">
        <v>69</v>
      </c>
      <c r="E707" s="50">
        <v>0</v>
      </c>
      <c r="F707" s="50">
        <v>153408</v>
      </c>
      <c r="G707" s="50">
        <v>153408</v>
      </c>
      <c r="H707" s="50">
        <v>0</v>
      </c>
      <c r="I707" s="50">
        <v>0</v>
      </c>
      <c r="J707" s="50">
        <v>0</v>
      </c>
      <c r="K707" s="50">
        <v>89146</v>
      </c>
      <c r="L707" s="50">
        <v>89146</v>
      </c>
      <c r="M707" s="50">
        <v>64262</v>
      </c>
      <c r="N707" s="50">
        <v>64262</v>
      </c>
    </row>
    <row r="708" spans="1:14" hidden="1" x14ac:dyDescent="0.25">
      <c r="A708" s="49" t="s">
        <v>717</v>
      </c>
      <c r="B708" s="49" t="s">
        <v>116</v>
      </c>
      <c r="C708" s="49" t="s">
        <v>117</v>
      </c>
      <c r="D708" s="49" t="s">
        <v>69</v>
      </c>
      <c r="E708" s="50">
        <v>500000</v>
      </c>
      <c r="F708" s="50">
        <v>500000</v>
      </c>
      <c r="G708" s="50">
        <v>500000</v>
      </c>
      <c r="H708" s="50">
        <v>0</v>
      </c>
      <c r="I708" s="50">
        <v>56314</v>
      </c>
      <c r="J708" s="50">
        <v>0</v>
      </c>
      <c r="K708" s="50">
        <v>443094.75</v>
      </c>
      <c r="L708" s="50">
        <v>443094.75</v>
      </c>
      <c r="M708" s="50">
        <v>591.25</v>
      </c>
      <c r="N708" s="50">
        <v>591.25</v>
      </c>
    </row>
    <row r="709" spans="1:14" hidden="1" x14ac:dyDescent="0.25">
      <c r="A709" s="49" t="s">
        <v>717</v>
      </c>
      <c r="B709" s="49" t="s">
        <v>120</v>
      </c>
      <c r="C709" s="49" t="s">
        <v>121</v>
      </c>
      <c r="D709" s="49" t="s">
        <v>69</v>
      </c>
      <c r="E709" s="50">
        <v>12362800</v>
      </c>
      <c r="F709" s="50">
        <v>12362800</v>
      </c>
      <c r="G709" s="50">
        <v>12362800</v>
      </c>
      <c r="H709" s="50">
        <v>0</v>
      </c>
      <c r="I709" s="50">
        <v>5878778.0300000003</v>
      </c>
      <c r="J709" s="50">
        <v>0</v>
      </c>
      <c r="K709" s="50">
        <v>2723170.63</v>
      </c>
      <c r="L709" s="50">
        <v>2723170.63</v>
      </c>
      <c r="M709" s="50">
        <v>3760851.34</v>
      </c>
      <c r="N709" s="50">
        <v>3760851.34</v>
      </c>
    </row>
    <row r="710" spans="1:14" hidden="1" x14ac:dyDescent="0.25">
      <c r="A710" s="49" t="s">
        <v>717</v>
      </c>
      <c r="B710" s="49" t="s">
        <v>124</v>
      </c>
      <c r="C710" s="49" t="s">
        <v>125</v>
      </c>
      <c r="D710" s="49" t="s">
        <v>69</v>
      </c>
      <c r="E710" s="50">
        <v>4286000</v>
      </c>
      <c r="F710" s="50">
        <v>1559050</v>
      </c>
      <c r="G710" s="50">
        <v>1559050</v>
      </c>
      <c r="H710" s="50">
        <v>0</v>
      </c>
      <c r="I710" s="50">
        <v>197120</v>
      </c>
      <c r="J710" s="50">
        <v>0</v>
      </c>
      <c r="K710" s="50">
        <v>1188511.8</v>
      </c>
      <c r="L710" s="50">
        <v>1157181.8</v>
      </c>
      <c r="M710" s="50">
        <v>173418.2</v>
      </c>
      <c r="N710" s="50">
        <v>173418.2</v>
      </c>
    </row>
    <row r="711" spans="1:14" hidden="1" x14ac:dyDescent="0.25">
      <c r="A711" s="49" t="s">
        <v>717</v>
      </c>
      <c r="B711" s="49" t="s">
        <v>126</v>
      </c>
      <c r="C711" s="49" t="s">
        <v>127</v>
      </c>
      <c r="D711" s="49" t="s">
        <v>69</v>
      </c>
      <c r="E711" s="50">
        <v>450000</v>
      </c>
      <c r="F711" s="50">
        <v>350000</v>
      </c>
      <c r="G711" s="50">
        <v>350000</v>
      </c>
      <c r="H711" s="50">
        <v>0</v>
      </c>
      <c r="I711" s="50">
        <v>128900</v>
      </c>
      <c r="J711" s="50">
        <v>0</v>
      </c>
      <c r="K711" s="50">
        <v>49630</v>
      </c>
      <c r="L711" s="50">
        <v>25080</v>
      </c>
      <c r="M711" s="50">
        <v>171470</v>
      </c>
      <c r="N711" s="50">
        <v>171470</v>
      </c>
    </row>
    <row r="712" spans="1:14" hidden="1" x14ac:dyDescent="0.25">
      <c r="A712" s="49" t="s">
        <v>717</v>
      </c>
      <c r="B712" s="49" t="s">
        <v>532</v>
      </c>
      <c r="C712" s="49" t="s">
        <v>718</v>
      </c>
      <c r="D712" s="49" t="s">
        <v>69</v>
      </c>
      <c r="E712" s="50">
        <v>1336000</v>
      </c>
      <c r="F712" s="50">
        <v>209050</v>
      </c>
      <c r="G712" s="50">
        <v>209050</v>
      </c>
      <c r="H712" s="50">
        <v>0</v>
      </c>
      <c r="I712" s="50">
        <v>0</v>
      </c>
      <c r="J712" s="50">
        <v>0</v>
      </c>
      <c r="K712" s="50">
        <v>209050</v>
      </c>
      <c r="L712" s="50">
        <v>209050</v>
      </c>
      <c r="M712" s="50">
        <v>0</v>
      </c>
      <c r="N712" s="50">
        <v>0</v>
      </c>
    </row>
    <row r="713" spans="1:14" hidden="1" x14ac:dyDescent="0.25">
      <c r="A713" s="49" t="s">
        <v>717</v>
      </c>
      <c r="B713" s="49" t="s">
        <v>128</v>
      </c>
      <c r="C713" s="49" t="s">
        <v>129</v>
      </c>
      <c r="D713" s="49" t="s">
        <v>69</v>
      </c>
      <c r="E713" s="50">
        <v>2500000</v>
      </c>
      <c r="F713" s="50">
        <v>1000000</v>
      </c>
      <c r="G713" s="50">
        <v>1000000</v>
      </c>
      <c r="H713" s="50">
        <v>0</v>
      </c>
      <c r="I713" s="50">
        <v>68220</v>
      </c>
      <c r="J713" s="50">
        <v>0</v>
      </c>
      <c r="K713" s="50">
        <v>929831.8</v>
      </c>
      <c r="L713" s="50">
        <v>923051.8</v>
      </c>
      <c r="M713" s="50">
        <v>1948.2</v>
      </c>
      <c r="N713" s="50">
        <v>1948.2</v>
      </c>
    </row>
    <row r="714" spans="1:14" hidden="1" x14ac:dyDescent="0.25">
      <c r="A714" s="49" t="s">
        <v>717</v>
      </c>
      <c r="B714" s="49" t="s">
        <v>134</v>
      </c>
      <c r="C714" s="49" t="s">
        <v>135</v>
      </c>
      <c r="D714" s="49" t="s">
        <v>69</v>
      </c>
      <c r="E714" s="50">
        <v>3625200</v>
      </c>
      <c r="F714" s="50">
        <v>75000</v>
      </c>
      <c r="G714" s="50">
        <v>75000</v>
      </c>
      <c r="H714" s="50">
        <v>0</v>
      </c>
      <c r="I714" s="50">
        <v>22653.25</v>
      </c>
      <c r="J714" s="50">
        <v>0</v>
      </c>
      <c r="K714" s="50">
        <v>42346.75</v>
      </c>
      <c r="L714" s="50">
        <v>42346.75</v>
      </c>
      <c r="M714" s="50">
        <v>10000</v>
      </c>
      <c r="N714" s="50">
        <v>10000</v>
      </c>
    </row>
    <row r="715" spans="1:14" hidden="1" x14ac:dyDescent="0.25">
      <c r="A715" s="49" t="s">
        <v>717</v>
      </c>
      <c r="B715" s="49" t="s">
        <v>138</v>
      </c>
      <c r="C715" s="49" t="s">
        <v>139</v>
      </c>
      <c r="D715" s="49" t="s">
        <v>69</v>
      </c>
      <c r="E715" s="50">
        <v>3625200</v>
      </c>
      <c r="F715" s="50">
        <v>75000</v>
      </c>
      <c r="G715" s="50">
        <v>75000</v>
      </c>
      <c r="H715" s="50">
        <v>0</v>
      </c>
      <c r="I715" s="50">
        <v>22653.25</v>
      </c>
      <c r="J715" s="50">
        <v>0</v>
      </c>
      <c r="K715" s="50">
        <v>42346.75</v>
      </c>
      <c r="L715" s="50">
        <v>42346.75</v>
      </c>
      <c r="M715" s="50">
        <v>10000</v>
      </c>
      <c r="N715" s="50">
        <v>10000</v>
      </c>
    </row>
    <row r="716" spans="1:14" hidden="1" x14ac:dyDescent="0.25">
      <c r="A716" s="49" t="s">
        <v>717</v>
      </c>
      <c r="B716" s="49" t="s">
        <v>140</v>
      </c>
      <c r="C716" s="49" t="s">
        <v>141</v>
      </c>
      <c r="D716" s="49" t="s">
        <v>69</v>
      </c>
      <c r="E716" s="50">
        <v>18004720</v>
      </c>
      <c r="F716" s="50">
        <v>9119755</v>
      </c>
      <c r="G716" s="50">
        <v>9119755</v>
      </c>
      <c r="H716" s="50">
        <v>122000</v>
      </c>
      <c r="I716" s="50">
        <v>2729860</v>
      </c>
      <c r="J716" s="50">
        <v>0</v>
      </c>
      <c r="K716" s="50">
        <v>3138960</v>
      </c>
      <c r="L716" s="50">
        <v>3072860</v>
      </c>
      <c r="M716" s="50">
        <v>3128935</v>
      </c>
      <c r="N716" s="50">
        <v>3128935</v>
      </c>
    </row>
    <row r="717" spans="1:14" hidden="1" x14ac:dyDescent="0.25">
      <c r="A717" s="49" t="s">
        <v>717</v>
      </c>
      <c r="B717" s="49" t="s">
        <v>142</v>
      </c>
      <c r="C717" s="49" t="s">
        <v>143</v>
      </c>
      <c r="D717" s="49" t="s">
        <v>69</v>
      </c>
      <c r="E717" s="50">
        <v>1560220</v>
      </c>
      <c r="F717" s="50">
        <v>394680</v>
      </c>
      <c r="G717" s="50">
        <v>394680</v>
      </c>
      <c r="H717" s="50">
        <v>0</v>
      </c>
      <c r="I717" s="50">
        <v>234360</v>
      </c>
      <c r="J717" s="50">
        <v>0</v>
      </c>
      <c r="K717" s="50">
        <v>160160</v>
      </c>
      <c r="L717" s="50">
        <v>160160</v>
      </c>
      <c r="M717" s="50">
        <v>160</v>
      </c>
      <c r="N717" s="50">
        <v>160</v>
      </c>
    </row>
    <row r="718" spans="1:14" hidden="1" x14ac:dyDescent="0.25">
      <c r="A718" s="49" t="s">
        <v>717</v>
      </c>
      <c r="B718" s="49" t="s">
        <v>144</v>
      </c>
      <c r="C718" s="49" t="s">
        <v>145</v>
      </c>
      <c r="D718" s="49" t="s">
        <v>69</v>
      </c>
      <c r="E718" s="50">
        <v>16444500</v>
      </c>
      <c r="F718" s="50">
        <v>8725075</v>
      </c>
      <c r="G718" s="50">
        <v>8725075</v>
      </c>
      <c r="H718" s="50">
        <v>122000</v>
      </c>
      <c r="I718" s="50">
        <v>2495500</v>
      </c>
      <c r="J718" s="50">
        <v>0</v>
      </c>
      <c r="K718" s="50">
        <v>2978800</v>
      </c>
      <c r="L718" s="50">
        <v>2912700</v>
      </c>
      <c r="M718" s="50">
        <v>3128775</v>
      </c>
      <c r="N718" s="50">
        <v>3128775</v>
      </c>
    </row>
    <row r="719" spans="1:14" hidden="1" x14ac:dyDescent="0.25">
      <c r="A719" s="49" t="s">
        <v>717</v>
      </c>
      <c r="B719" s="49" t="s">
        <v>150</v>
      </c>
      <c r="C719" s="49" t="s">
        <v>151</v>
      </c>
      <c r="D719" s="49" t="s">
        <v>69</v>
      </c>
      <c r="E719" s="50">
        <v>6000000</v>
      </c>
      <c r="F719" s="50">
        <v>5900000</v>
      </c>
      <c r="G719" s="50">
        <v>5900000</v>
      </c>
      <c r="H719" s="50">
        <v>0</v>
      </c>
      <c r="I719" s="50">
        <v>692786</v>
      </c>
      <c r="J719" s="50">
        <v>0</v>
      </c>
      <c r="K719" s="50">
        <v>4707214</v>
      </c>
      <c r="L719" s="50">
        <v>4707214</v>
      </c>
      <c r="M719" s="50">
        <v>500000</v>
      </c>
      <c r="N719" s="50">
        <v>500000</v>
      </c>
    </row>
    <row r="720" spans="1:14" hidden="1" x14ac:dyDescent="0.25">
      <c r="A720" s="49" t="s">
        <v>717</v>
      </c>
      <c r="B720" s="49" t="s">
        <v>152</v>
      </c>
      <c r="C720" s="49" t="s">
        <v>153</v>
      </c>
      <c r="D720" s="49" t="s">
        <v>69</v>
      </c>
      <c r="E720" s="50">
        <v>6000000</v>
      </c>
      <c r="F720" s="50">
        <v>5900000</v>
      </c>
      <c r="G720" s="50">
        <v>5900000</v>
      </c>
      <c r="H720" s="50">
        <v>0</v>
      </c>
      <c r="I720" s="50">
        <v>692786</v>
      </c>
      <c r="J720" s="50">
        <v>0</v>
      </c>
      <c r="K720" s="50">
        <v>4707214</v>
      </c>
      <c r="L720" s="50">
        <v>4707214</v>
      </c>
      <c r="M720" s="50">
        <v>500000</v>
      </c>
      <c r="N720" s="50">
        <v>500000</v>
      </c>
    </row>
    <row r="721" spans="1:14" hidden="1" x14ac:dyDescent="0.25">
      <c r="A721" s="49" t="s">
        <v>717</v>
      </c>
      <c r="B721" s="49" t="s">
        <v>154</v>
      </c>
      <c r="C721" s="49" t="s">
        <v>155</v>
      </c>
      <c r="D721" s="49" t="s">
        <v>69</v>
      </c>
      <c r="E721" s="50">
        <v>27190000</v>
      </c>
      <c r="F721" s="50">
        <v>3418859</v>
      </c>
      <c r="G721" s="50">
        <v>3418859</v>
      </c>
      <c r="H721" s="50">
        <v>0</v>
      </c>
      <c r="I721" s="50">
        <v>0</v>
      </c>
      <c r="J721" s="50">
        <v>0</v>
      </c>
      <c r="K721" s="50">
        <v>350300</v>
      </c>
      <c r="L721" s="50">
        <v>350300</v>
      </c>
      <c r="M721" s="50">
        <v>3068559</v>
      </c>
      <c r="N721" s="50">
        <v>3068559</v>
      </c>
    </row>
    <row r="722" spans="1:14" hidden="1" x14ac:dyDescent="0.25">
      <c r="A722" s="49" t="s">
        <v>717</v>
      </c>
      <c r="B722" s="49" t="s">
        <v>156</v>
      </c>
      <c r="C722" s="49" t="s">
        <v>157</v>
      </c>
      <c r="D722" s="49" t="s">
        <v>69</v>
      </c>
      <c r="E722" s="50">
        <v>27190000</v>
      </c>
      <c r="F722" s="50">
        <v>3418859</v>
      </c>
      <c r="G722" s="50">
        <v>3418859</v>
      </c>
      <c r="H722" s="50">
        <v>0</v>
      </c>
      <c r="I722" s="50">
        <v>0</v>
      </c>
      <c r="J722" s="50">
        <v>0</v>
      </c>
      <c r="K722" s="50">
        <v>350300</v>
      </c>
      <c r="L722" s="50">
        <v>350300</v>
      </c>
      <c r="M722" s="50">
        <v>3068559</v>
      </c>
      <c r="N722" s="50">
        <v>3068559</v>
      </c>
    </row>
    <row r="723" spans="1:14" hidden="1" x14ac:dyDescent="0.25">
      <c r="A723" s="49" t="s">
        <v>717</v>
      </c>
      <c r="B723" s="49" t="s">
        <v>162</v>
      </c>
      <c r="C723" s="49" t="s">
        <v>163</v>
      </c>
      <c r="D723" s="49" t="s">
        <v>69</v>
      </c>
      <c r="E723" s="50">
        <v>9500000</v>
      </c>
      <c r="F723" s="50">
        <v>7000000</v>
      </c>
      <c r="G723" s="50">
        <v>7000000</v>
      </c>
      <c r="H723" s="50">
        <v>0</v>
      </c>
      <c r="I723" s="50">
        <v>4135939.64</v>
      </c>
      <c r="J723" s="50">
        <v>0</v>
      </c>
      <c r="K723" s="50">
        <v>2471156.71</v>
      </c>
      <c r="L723" s="50">
        <v>1910167.35</v>
      </c>
      <c r="M723" s="50">
        <v>392903.65</v>
      </c>
      <c r="N723" s="50">
        <v>392903.65</v>
      </c>
    </row>
    <row r="724" spans="1:14" hidden="1" x14ac:dyDescent="0.25">
      <c r="A724" s="49" t="s">
        <v>717</v>
      </c>
      <c r="B724" s="49" t="s">
        <v>166</v>
      </c>
      <c r="C724" s="49" t="s">
        <v>167</v>
      </c>
      <c r="D724" s="49" t="s">
        <v>69</v>
      </c>
      <c r="E724" s="50">
        <v>4500000</v>
      </c>
      <c r="F724" s="50">
        <v>2000000</v>
      </c>
      <c r="G724" s="50">
        <v>2000000</v>
      </c>
      <c r="H724" s="50">
        <v>0</v>
      </c>
      <c r="I724" s="50">
        <v>835565</v>
      </c>
      <c r="J724" s="50">
        <v>0</v>
      </c>
      <c r="K724" s="50">
        <v>1161104.6000000001</v>
      </c>
      <c r="L724" s="50">
        <v>1161104.6000000001</v>
      </c>
      <c r="M724" s="50">
        <v>3330.4</v>
      </c>
      <c r="N724" s="50">
        <v>3330.4</v>
      </c>
    </row>
    <row r="725" spans="1:14" hidden="1" x14ac:dyDescent="0.25">
      <c r="A725" s="49" t="s">
        <v>717</v>
      </c>
      <c r="B725" s="49" t="s">
        <v>170</v>
      </c>
      <c r="C725" s="49" t="s">
        <v>171</v>
      </c>
      <c r="D725" s="49" t="s">
        <v>69</v>
      </c>
      <c r="E725" s="50">
        <v>5000000</v>
      </c>
      <c r="F725" s="50">
        <v>5000000</v>
      </c>
      <c r="G725" s="50">
        <v>5000000</v>
      </c>
      <c r="H725" s="50">
        <v>0</v>
      </c>
      <c r="I725" s="50">
        <v>3300374.64</v>
      </c>
      <c r="J725" s="50">
        <v>0</v>
      </c>
      <c r="K725" s="50">
        <v>1310052.1100000001</v>
      </c>
      <c r="L725" s="50">
        <v>749062.75</v>
      </c>
      <c r="M725" s="50">
        <v>389573.25</v>
      </c>
      <c r="N725" s="50">
        <v>389573.25</v>
      </c>
    </row>
    <row r="726" spans="1:14" hidden="1" x14ac:dyDescent="0.25">
      <c r="A726" s="49" t="s">
        <v>717</v>
      </c>
      <c r="B726" s="49" t="s">
        <v>174</v>
      </c>
      <c r="C726" s="49" t="s">
        <v>175</v>
      </c>
      <c r="D726" s="49" t="s">
        <v>69</v>
      </c>
      <c r="E726" s="50">
        <v>500000</v>
      </c>
      <c r="F726" s="50">
        <v>380000</v>
      </c>
      <c r="G726" s="50">
        <v>380000</v>
      </c>
      <c r="H726" s="50">
        <v>0</v>
      </c>
      <c r="I726" s="50">
        <v>283915</v>
      </c>
      <c r="J726" s="50">
        <v>0</v>
      </c>
      <c r="K726" s="50">
        <v>46085</v>
      </c>
      <c r="L726" s="50">
        <v>46085</v>
      </c>
      <c r="M726" s="50">
        <v>50000</v>
      </c>
      <c r="N726" s="50">
        <v>50000</v>
      </c>
    </row>
    <row r="727" spans="1:14" hidden="1" x14ac:dyDescent="0.25">
      <c r="A727" s="49" t="s">
        <v>717</v>
      </c>
      <c r="B727" s="49" t="s">
        <v>176</v>
      </c>
      <c r="C727" s="49" t="s">
        <v>177</v>
      </c>
      <c r="D727" s="49" t="s">
        <v>69</v>
      </c>
      <c r="E727" s="50">
        <v>500000</v>
      </c>
      <c r="F727" s="50">
        <v>380000</v>
      </c>
      <c r="G727" s="50">
        <v>380000</v>
      </c>
      <c r="H727" s="50">
        <v>0</v>
      </c>
      <c r="I727" s="50">
        <v>283915</v>
      </c>
      <c r="J727" s="50">
        <v>0</v>
      </c>
      <c r="K727" s="50">
        <v>46085</v>
      </c>
      <c r="L727" s="50">
        <v>46085</v>
      </c>
      <c r="M727" s="50">
        <v>50000</v>
      </c>
      <c r="N727" s="50">
        <v>50000</v>
      </c>
    </row>
    <row r="728" spans="1:14" hidden="1" x14ac:dyDescent="0.25">
      <c r="A728" s="49" t="s">
        <v>717</v>
      </c>
      <c r="B728" s="49" t="s">
        <v>178</v>
      </c>
      <c r="C728" s="49" t="s">
        <v>179</v>
      </c>
      <c r="D728" s="49" t="s">
        <v>69</v>
      </c>
      <c r="E728" s="50">
        <v>1500000</v>
      </c>
      <c r="F728" s="50">
        <v>1000000</v>
      </c>
      <c r="G728" s="50">
        <v>1000000</v>
      </c>
      <c r="H728" s="50">
        <v>0</v>
      </c>
      <c r="I728" s="50">
        <v>300000</v>
      </c>
      <c r="J728" s="50">
        <v>0</v>
      </c>
      <c r="K728" s="50">
        <v>200000</v>
      </c>
      <c r="L728" s="50">
        <v>200000</v>
      </c>
      <c r="M728" s="50">
        <v>500000</v>
      </c>
      <c r="N728" s="50">
        <v>500000</v>
      </c>
    </row>
    <row r="729" spans="1:14" hidden="1" x14ac:dyDescent="0.25">
      <c r="A729" s="49" t="s">
        <v>717</v>
      </c>
      <c r="B729" s="49" t="s">
        <v>182</v>
      </c>
      <c r="C729" s="49" t="s">
        <v>183</v>
      </c>
      <c r="D729" s="49" t="s">
        <v>69</v>
      </c>
      <c r="E729" s="50">
        <v>1500000</v>
      </c>
      <c r="F729" s="50">
        <v>1000000</v>
      </c>
      <c r="G729" s="50">
        <v>1000000</v>
      </c>
      <c r="H729" s="50">
        <v>0</v>
      </c>
      <c r="I729" s="50">
        <v>300000</v>
      </c>
      <c r="J729" s="50">
        <v>0</v>
      </c>
      <c r="K729" s="50">
        <v>200000</v>
      </c>
      <c r="L729" s="50">
        <v>200000</v>
      </c>
      <c r="M729" s="50">
        <v>500000</v>
      </c>
      <c r="N729" s="50">
        <v>500000</v>
      </c>
    </row>
    <row r="730" spans="1:14" hidden="1" x14ac:dyDescent="0.25">
      <c r="A730" s="49" t="s">
        <v>717</v>
      </c>
      <c r="B730" s="49" t="s">
        <v>184</v>
      </c>
      <c r="C730" s="49" t="s">
        <v>185</v>
      </c>
      <c r="D730" s="49" t="s">
        <v>69</v>
      </c>
      <c r="E730" s="50">
        <v>52884335</v>
      </c>
      <c r="F730" s="50">
        <v>30715753</v>
      </c>
      <c r="G730" s="50">
        <v>30715751.079999998</v>
      </c>
      <c r="H730" s="50">
        <v>129939</v>
      </c>
      <c r="I730" s="50">
        <v>8821086.9399999995</v>
      </c>
      <c r="J730" s="50">
        <v>44070</v>
      </c>
      <c r="K730" s="50">
        <v>13040337.390000001</v>
      </c>
      <c r="L730" s="50">
        <v>12189465.67</v>
      </c>
      <c r="M730" s="50">
        <v>8680319.6699999999</v>
      </c>
      <c r="N730" s="50">
        <v>8680317.75</v>
      </c>
    </row>
    <row r="731" spans="1:14" hidden="1" x14ac:dyDescent="0.25">
      <c r="A731" s="49" t="s">
        <v>717</v>
      </c>
      <c r="B731" s="49" t="s">
        <v>186</v>
      </c>
      <c r="C731" s="49" t="s">
        <v>187</v>
      </c>
      <c r="D731" s="49" t="s">
        <v>69</v>
      </c>
      <c r="E731" s="50">
        <v>21308004</v>
      </c>
      <c r="F731" s="50">
        <v>10787684</v>
      </c>
      <c r="G731" s="50">
        <v>10787684</v>
      </c>
      <c r="H731" s="50">
        <v>0</v>
      </c>
      <c r="I731" s="50">
        <v>3621600.88</v>
      </c>
      <c r="J731" s="50">
        <v>44070</v>
      </c>
      <c r="K731" s="50">
        <v>3988966.3</v>
      </c>
      <c r="L731" s="50">
        <v>3988966.3</v>
      </c>
      <c r="M731" s="50">
        <v>3133046.82</v>
      </c>
      <c r="N731" s="50">
        <v>3133046.82</v>
      </c>
    </row>
    <row r="732" spans="1:14" hidden="1" x14ac:dyDescent="0.25">
      <c r="A732" s="49" t="s">
        <v>717</v>
      </c>
      <c r="B732" s="49" t="s">
        <v>188</v>
      </c>
      <c r="C732" s="49" t="s">
        <v>189</v>
      </c>
      <c r="D732" s="49" t="s">
        <v>69</v>
      </c>
      <c r="E732" s="50">
        <v>9500000</v>
      </c>
      <c r="F732" s="50">
        <v>5710000</v>
      </c>
      <c r="G732" s="50">
        <v>5710000</v>
      </c>
      <c r="H732" s="50">
        <v>0</v>
      </c>
      <c r="I732" s="50">
        <v>1006757.98</v>
      </c>
      <c r="J732" s="50">
        <v>0</v>
      </c>
      <c r="K732" s="50">
        <v>1694873.02</v>
      </c>
      <c r="L732" s="50">
        <v>1694873.02</v>
      </c>
      <c r="M732" s="50">
        <v>3008369</v>
      </c>
      <c r="N732" s="50">
        <v>3008369</v>
      </c>
    </row>
    <row r="733" spans="1:14" hidden="1" x14ac:dyDescent="0.25">
      <c r="A733" s="49" t="s">
        <v>717</v>
      </c>
      <c r="B733" s="49" t="s">
        <v>192</v>
      </c>
      <c r="C733" s="49" t="s">
        <v>193</v>
      </c>
      <c r="D733" s="49" t="s">
        <v>69</v>
      </c>
      <c r="E733" s="50">
        <v>11808004</v>
      </c>
      <c r="F733" s="50">
        <v>5077684</v>
      </c>
      <c r="G733" s="50">
        <v>5077684</v>
      </c>
      <c r="H733" s="50">
        <v>0</v>
      </c>
      <c r="I733" s="50">
        <v>2614842.9</v>
      </c>
      <c r="J733" s="50">
        <v>44070</v>
      </c>
      <c r="K733" s="50">
        <v>2294093.2799999998</v>
      </c>
      <c r="L733" s="50">
        <v>2294093.2799999998</v>
      </c>
      <c r="M733" s="50">
        <v>124677.82</v>
      </c>
      <c r="N733" s="50">
        <v>124677.82</v>
      </c>
    </row>
    <row r="734" spans="1:14" hidden="1" x14ac:dyDescent="0.25">
      <c r="A734" s="49" t="s">
        <v>717</v>
      </c>
      <c r="B734" s="49" t="s">
        <v>196</v>
      </c>
      <c r="C734" s="49" t="s">
        <v>197</v>
      </c>
      <c r="D734" s="49" t="s">
        <v>69</v>
      </c>
      <c r="E734" s="50">
        <v>7008325</v>
      </c>
      <c r="F734" s="50">
        <v>6008325</v>
      </c>
      <c r="G734" s="50">
        <v>6008325</v>
      </c>
      <c r="H734" s="50">
        <v>0</v>
      </c>
      <c r="I734" s="50">
        <v>713330.7</v>
      </c>
      <c r="J734" s="50">
        <v>0</v>
      </c>
      <c r="K734" s="50">
        <v>2255383</v>
      </c>
      <c r="L734" s="50">
        <v>2255383</v>
      </c>
      <c r="M734" s="50">
        <v>3039611.3</v>
      </c>
      <c r="N734" s="50">
        <v>3039611.3</v>
      </c>
    </row>
    <row r="735" spans="1:14" hidden="1" x14ac:dyDescent="0.25">
      <c r="A735" s="49" t="s">
        <v>717</v>
      </c>
      <c r="B735" s="49" t="s">
        <v>198</v>
      </c>
      <c r="C735" s="49" t="s">
        <v>199</v>
      </c>
      <c r="D735" s="49" t="s">
        <v>69</v>
      </c>
      <c r="E735" s="50">
        <v>7008325</v>
      </c>
      <c r="F735" s="50">
        <v>6008325</v>
      </c>
      <c r="G735" s="50">
        <v>6008325</v>
      </c>
      <c r="H735" s="50">
        <v>0</v>
      </c>
      <c r="I735" s="50">
        <v>713330.7</v>
      </c>
      <c r="J735" s="50">
        <v>0</v>
      </c>
      <c r="K735" s="50">
        <v>2255383</v>
      </c>
      <c r="L735" s="50">
        <v>2255383</v>
      </c>
      <c r="M735" s="50">
        <v>3039611.3</v>
      </c>
      <c r="N735" s="50">
        <v>3039611.3</v>
      </c>
    </row>
    <row r="736" spans="1:14" hidden="1" x14ac:dyDescent="0.25">
      <c r="A736" s="49" t="s">
        <v>717</v>
      </c>
      <c r="B736" s="49" t="s">
        <v>200</v>
      </c>
      <c r="C736" s="49" t="s">
        <v>201</v>
      </c>
      <c r="D736" s="49" t="s">
        <v>69</v>
      </c>
      <c r="E736" s="50">
        <v>900000</v>
      </c>
      <c r="F736" s="50">
        <v>152954</v>
      </c>
      <c r="G736" s="50">
        <v>152953.01</v>
      </c>
      <c r="H736" s="50">
        <v>129939</v>
      </c>
      <c r="I736" s="50">
        <v>0</v>
      </c>
      <c r="J736" s="50">
        <v>0</v>
      </c>
      <c r="K736" s="50">
        <v>0</v>
      </c>
      <c r="L736" s="50">
        <v>0</v>
      </c>
      <c r="M736" s="50">
        <v>23015</v>
      </c>
      <c r="N736" s="50">
        <v>23014.01</v>
      </c>
    </row>
    <row r="737" spans="1:14" hidden="1" x14ac:dyDescent="0.25">
      <c r="A737" s="49" t="s">
        <v>717</v>
      </c>
      <c r="B737" s="49" t="s">
        <v>316</v>
      </c>
      <c r="C737" s="49" t="s">
        <v>317</v>
      </c>
      <c r="D737" s="49" t="s">
        <v>69</v>
      </c>
      <c r="E737" s="50">
        <v>420000</v>
      </c>
      <c r="F737" s="50">
        <v>20000</v>
      </c>
      <c r="G737" s="50">
        <v>19999.009999999998</v>
      </c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50">
        <v>20000</v>
      </c>
      <c r="N737" s="50">
        <v>19999.009999999998</v>
      </c>
    </row>
    <row r="738" spans="1:14" hidden="1" x14ac:dyDescent="0.25">
      <c r="A738" s="49" t="s">
        <v>717</v>
      </c>
      <c r="B738" s="49" t="s">
        <v>202</v>
      </c>
      <c r="C738" s="49" t="s">
        <v>203</v>
      </c>
      <c r="D738" s="49" t="s">
        <v>69</v>
      </c>
      <c r="E738" s="50">
        <v>480000</v>
      </c>
      <c r="F738" s="50">
        <v>132954</v>
      </c>
      <c r="G738" s="50">
        <v>132954</v>
      </c>
      <c r="H738" s="50">
        <v>129939</v>
      </c>
      <c r="I738" s="50">
        <v>0</v>
      </c>
      <c r="J738" s="50">
        <v>0</v>
      </c>
      <c r="K738" s="50">
        <v>0</v>
      </c>
      <c r="L738" s="50">
        <v>0</v>
      </c>
      <c r="M738" s="50">
        <v>3015</v>
      </c>
      <c r="N738" s="50">
        <v>3015</v>
      </c>
    </row>
    <row r="739" spans="1:14" hidden="1" x14ac:dyDescent="0.25">
      <c r="A739" s="49" t="s">
        <v>717</v>
      </c>
      <c r="B739" s="49" t="s">
        <v>206</v>
      </c>
      <c r="C739" s="49" t="s">
        <v>207</v>
      </c>
      <c r="D739" s="49" t="s">
        <v>69</v>
      </c>
      <c r="E739" s="50">
        <v>3052196</v>
      </c>
      <c r="F739" s="50">
        <v>0</v>
      </c>
      <c r="G739" s="50">
        <v>0</v>
      </c>
      <c r="H739" s="50">
        <v>0</v>
      </c>
      <c r="I739" s="50">
        <v>0</v>
      </c>
      <c r="J739" s="50">
        <v>0</v>
      </c>
      <c r="K739" s="50">
        <v>0</v>
      </c>
      <c r="L739" s="50">
        <v>0</v>
      </c>
      <c r="M739" s="50">
        <v>0</v>
      </c>
      <c r="N739" s="50">
        <v>0</v>
      </c>
    </row>
    <row r="740" spans="1:14" hidden="1" x14ac:dyDescent="0.25">
      <c r="A740" s="49" t="s">
        <v>717</v>
      </c>
      <c r="B740" s="49" t="s">
        <v>208</v>
      </c>
      <c r="C740" s="49" t="s">
        <v>209</v>
      </c>
      <c r="D740" s="49" t="s">
        <v>69</v>
      </c>
      <c r="E740" s="50">
        <v>885321</v>
      </c>
      <c r="F740" s="50">
        <v>0</v>
      </c>
      <c r="G740" s="50">
        <v>0</v>
      </c>
      <c r="H740" s="50">
        <v>0</v>
      </c>
      <c r="I740" s="50">
        <v>0</v>
      </c>
      <c r="J740" s="50">
        <v>0</v>
      </c>
      <c r="K740" s="50">
        <v>0</v>
      </c>
      <c r="L740" s="50">
        <v>0</v>
      </c>
      <c r="M740" s="50">
        <v>0</v>
      </c>
      <c r="N740" s="50">
        <v>0</v>
      </c>
    </row>
    <row r="741" spans="1:14" hidden="1" x14ac:dyDescent="0.25">
      <c r="A741" s="49" t="s">
        <v>717</v>
      </c>
      <c r="B741" s="49" t="s">
        <v>210</v>
      </c>
      <c r="C741" s="49" t="s">
        <v>211</v>
      </c>
      <c r="D741" s="49" t="s">
        <v>69</v>
      </c>
      <c r="E741" s="50">
        <v>2166875</v>
      </c>
      <c r="F741" s="50">
        <v>0</v>
      </c>
      <c r="G741" s="50">
        <v>0</v>
      </c>
      <c r="H741" s="50">
        <v>0</v>
      </c>
      <c r="I741" s="50">
        <v>0</v>
      </c>
      <c r="J741" s="50">
        <v>0</v>
      </c>
      <c r="K741" s="50">
        <v>0</v>
      </c>
      <c r="L741" s="50">
        <v>0</v>
      </c>
      <c r="M741" s="50">
        <v>0</v>
      </c>
      <c r="N741" s="50">
        <v>0</v>
      </c>
    </row>
    <row r="742" spans="1:14" hidden="1" x14ac:dyDescent="0.25">
      <c r="A742" s="49" t="s">
        <v>717</v>
      </c>
      <c r="B742" s="49" t="s">
        <v>212</v>
      </c>
      <c r="C742" s="49" t="s">
        <v>213</v>
      </c>
      <c r="D742" s="49" t="s">
        <v>69</v>
      </c>
      <c r="E742" s="50">
        <v>20615810</v>
      </c>
      <c r="F742" s="50">
        <v>13766790</v>
      </c>
      <c r="G742" s="50">
        <v>13766789.07</v>
      </c>
      <c r="H742" s="50">
        <v>0</v>
      </c>
      <c r="I742" s="50">
        <v>4486155.3600000003</v>
      </c>
      <c r="J742" s="50">
        <v>0</v>
      </c>
      <c r="K742" s="50">
        <v>6795988.0899999999</v>
      </c>
      <c r="L742" s="50">
        <v>5945116.3700000001</v>
      </c>
      <c r="M742" s="50">
        <v>2484646.5499999998</v>
      </c>
      <c r="N742" s="50">
        <v>2484645.62</v>
      </c>
    </row>
    <row r="743" spans="1:14" hidden="1" x14ac:dyDescent="0.25">
      <c r="A743" s="49" t="s">
        <v>717</v>
      </c>
      <c r="B743" s="49" t="s">
        <v>214</v>
      </c>
      <c r="C743" s="49" t="s">
        <v>215</v>
      </c>
      <c r="D743" s="49" t="s">
        <v>69</v>
      </c>
      <c r="E743" s="50">
        <v>8014742</v>
      </c>
      <c r="F743" s="50">
        <v>5474742</v>
      </c>
      <c r="G743" s="50">
        <v>5474742</v>
      </c>
      <c r="H743" s="50">
        <v>0</v>
      </c>
      <c r="I743" s="50">
        <v>2567890.17</v>
      </c>
      <c r="J743" s="50">
        <v>0</v>
      </c>
      <c r="K743" s="50">
        <v>2871009.33</v>
      </c>
      <c r="L743" s="50">
        <v>2113927.61</v>
      </c>
      <c r="M743" s="50">
        <v>35842.5</v>
      </c>
      <c r="N743" s="50">
        <v>35842.5</v>
      </c>
    </row>
    <row r="744" spans="1:14" hidden="1" x14ac:dyDescent="0.25">
      <c r="A744" s="49" t="s">
        <v>717</v>
      </c>
      <c r="B744" s="49" t="s">
        <v>218</v>
      </c>
      <c r="C744" s="49" t="s">
        <v>219</v>
      </c>
      <c r="D744" s="49" t="s">
        <v>69</v>
      </c>
      <c r="E744" s="50">
        <v>5268045</v>
      </c>
      <c r="F744" s="50">
        <v>3698045</v>
      </c>
      <c r="G744" s="50">
        <v>3698044.47</v>
      </c>
      <c r="H744" s="50">
        <v>0</v>
      </c>
      <c r="I744" s="50">
        <v>642040.21</v>
      </c>
      <c r="J744" s="50">
        <v>0</v>
      </c>
      <c r="K744" s="50">
        <v>1636547.61</v>
      </c>
      <c r="L744" s="50">
        <v>1542757.61</v>
      </c>
      <c r="M744" s="50">
        <v>1419457.18</v>
      </c>
      <c r="N744" s="50">
        <v>1419456.65</v>
      </c>
    </row>
    <row r="745" spans="1:14" hidden="1" x14ac:dyDescent="0.25">
      <c r="A745" s="49" t="s">
        <v>717</v>
      </c>
      <c r="B745" s="49" t="s">
        <v>220</v>
      </c>
      <c r="C745" s="49" t="s">
        <v>221</v>
      </c>
      <c r="D745" s="49" t="s">
        <v>69</v>
      </c>
      <c r="E745" s="50">
        <v>3038980</v>
      </c>
      <c r="F745" s="50">
        <v>3980</v>
      </c>
      <c r="G745" s="50">
        <v>3979.6</v>
      </c>
      <c r="H745" s="50">
        <v>0</v>
      </c>
      <c r="I745" s="50">
        <v>0</v>
      </c>
      <c r="J745" s="50">
        <v>0</v>
      </c>
      <c r="K745" s="50">
        <v>0</v>
      </c>
      <c r="L745" s="50">
        <v>0</v>
      </c>
      <c r="M745" s="50">
        <v>3980</v>
      </c>
      <c r="N745" s="50">
        <v>3979.6</v>
      </c>
    </row>
    <row r="746" spans="1:14" hidden="1" x14ac:dyDescent="0.25">
      <c r="A746" s="49" t="s">
        <v>717</v>
      </c>
      <c r="B746" s="49" t="s">
        <v>222</v>
      </c>
      <c r="C746" s="49" t="s">
        <v>223</v>
      </c>
      <c r="D746" s="49" t="s">
        <v>69</v>
      </c>
      <c r="E746" s="50">
        <v>2590023</v>
      </c>
      <c r="F746" s="50">
        <v>4590023</v>
      </c>
      <c r="G746" s="50">
        <v>4590023</v>
      </c>
      <c r="H746" s="50">
        <v>0</v>
      </c>
      <c r="I746" s="50">
        <v>1276224.98</v>
      </c>
      <c r="J746" s="50">
        <v>0</v>
      </c>
      <c r="K746" s="50">
        <v>2288431.15</v>
      </c>
      <c r="L746" s="50">
        <v>2288431.15</v>
      </c>
      <c r="M746" s="50">
        <v>1025366.87</v>
      </c>
      <c r="N746" s="50">
        <v>1025366.87</v>
      </c>
    </row>
    <row r="747" spans="1:14" hidden="1" x14ac:dyDescent="0.25">
      <c r="A747" s="49" t="s">
        <v>717</v>
      </c>
      <c r="B747" s="49" t="s">
        <v>226</v>
      </c>
      <c r="C747" s="49" t="s">
        <v>227</v>
      </c>
      <c r="D747" s="49" t="s">
        <v>69</v>
      </c>
      <c r="E747" s="50">
        <v>774300</v>
      </c>
      <c r="F747" s="50">
        <v>0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50">
        <v>0</v>
      </c>
      <c r="N747" s="50">
        <v>0</v>
      </c>
    </row>
    <row r="748" spans="1:14" hidden="1" x14ac:dyDescent="0.25">
      <c r="A748" s="49" t="s">
        <v>717</v>
      </c>
      <c r="B748" s="49" t="s">
        <v>228</v>
      </c>
      <c r="C748" s="49" t="s">
        <v>229</v>
      </c>
      <c r="D748" s="49" t="s">
        <v>69</v>
      </c>
      <c r="E748" s="50">
        <v>929720</v>
      </c>
      <c r="F748" s="50">
        <v>0</v>
      </c>
      <c r="G748" s="50">
        <v>0</v>
      </c>
      <c r="H748" s="50">
        <v>0</v>
      </c>
      <c r="I748" s="50">
        <v>0</v>
      </c>
      <c r="J748" s="50">
        <v>0</v>
      </c>
      <c r="K748" s="50">
        <v>0</v>
      </c>
      <c r="L748" s="50">
        <v>0</v>
      </c>
      <c r="M748" s="50">
        <v>0</v>
      </c>
      <c r="N748" s="50">
        <v>0</v>
      </c>
    </row>
    <row r="749" spans="1:14" hidden="1" x14ac:dyDescent="0.25">
      <c r="A749" s="49" t="s">
        <v>717</v>
      </c>
      <c r="B749" s="49" t="s">
        <v>248</v>
      </c>
      <c r="C749" s="49" t="s">
        <v>249</v>
      </c>
      <c r="D749" s="49" t="s">
        <v>69</v>
      </c>
      <c r="E749" s="50">
        <v>50610852</v>
      </c>
      <c r="F749" s="50">
        <v>43150811</v>
      </c>
      <c r="G749" s="50">
        <v>43071647</v>
      </c>
      <c r="H749" s="50">
        <v>0</v>
      </c>
      <c r="I749" s="50">
        <v>3453997</v>
      </c>
      <c r="J749" s="50">
        <v>0</v>
      </c>
      <c r="K749" s="50">
        <v>15827809.5</v>
      </c>
      <c r="L749" s="50">
        <v>15827809.5</v>
      </c>
      <c r="M749" s="50">
        <v>23869004.5</v>
      </c>
      <c r="N749" s="50">
        <v>23789840.5</v>
      </c>
    </row>
    <row r="750" spans="1:14" hidden="1" x14ac:dyDescent="0.25">
      <c r="A750" s="49" t="s">
        <v>717</v>
      </c>
      <c r="B750" s="49" t="s">
        <v>250</v>
      </c>
      <c r="C750" s="49" t="s">
        <v>251</v>
      </c>
      <c r="D750" s="49" t="s">
        <v>69</v>
      </c>
      <c r="E750" s="50">
        <v>14610852</v>
      </c>
      <c r="F750" s="50">
        <v>14150811</v>
      </c>
      <c r="G750" s="50">
        <v>14071647</v>
      </c>
      <c r="H750" s="50">
        <v>0</v>
      </c>
      <c r="I750" s="50">
        <v>3453997</v>
      </c>
      <c r="J750" s="50">
        <v>0</v>
      </c>
      <c r="K750" s="50">
        <v>10617650</v>
      </c>
      <c r="L750" s="50">
        <v>10617650</v>
      </c>
      <c r="M750" s="50">
        <v>79164</v>
      </c>
      <c r="N750" s="50">
        <v>0</v>
      </c>
    </row>
    <row r="751" spans="1:14" hidden="1" x14ac:dyDescent="0.25">
      <c r="A751" s="49" t="s">
        <v>717</v>
      </c>
      <c r="B751" s="49" t="s">
        <v>636</v>
      </c>
      <c r="C751" s="49" t="s">
        <v>702</v>
      </c>
      <c r="D751" s="49" t="s">
        <v>69</v>
      </c>
      <c r="E751" s="50">
        <v>12410435</v>
      </c>
      <c r="F751" s="50">
        <v>12019677</v>
      </c>
      <c r="G751" s="50">
        <v>11952435</v>
      </c>
      <c r="H751" s="50">
        <v>0</v>
      </c>
      <c r="I751" s="50">
        <v>2961685</v>
      </c>
      <c r="J751" s="50">
        <v>0</v>
      </c>
      <c r="K751" s="50">
        <v>8990750</v>
      </c>
      <c r="L751" s="50">
        <v>8990750</v>
      </c>
      <c r="M751" s="50">
        <v>67242</v>
      </c>
      <c r="N751" s="50">
        <v>0</v>
      </c>
    </row>
    <row r="752" spans="1:14" hidden="1" x14ac:dyDescent="0.25">
      <c r="A752" s="49" t="s">
        <v>717</v>
      </c>
      <c r="B752" s="49" t="s">
        <v>651</v>
      </c>
      <c r="C752" s="49" t="s">
        <v>703</v>
      </c>
      <c r="D752" s="49" t="s">
        <v>69</v>
      </c>
      <c r="E752" s="50">
        <v>2200417</v>
      </c>
      <c r="F752" s="50">
        <v>2131134</v>
      </c>
      <c r="G752" s="50">
        <v>2119212</v>
      </c>
      <c r="H752" s="50">
        <v>0</v>
      </c>
      <c r="I752" s="50">
        <v>492312</v>
      </c>
      <c r="J752" s="50">
        <v>0</v>
      </c>
      <c r="K752" s="50">
        <v>1626900</v>
      </c>
      <c r="L752" s="50">
        <v>1626900</v>
      </c>
      <c r="M752" s="50">
        <v>11922</v>
      </c>
      <c r="N752" s="50">
        <v>0</v>
      </c>
    </row>
    <row r="753" spans="1:14" hidden="1" x14ac:dyDescent="0.25">
      <c r="A753" s="49" t="s">
        <v>717</v>
      </c>
      <c r="B753" s="49" t="s">
        <v>260</v>
      </c>
      <c r="C753" s="49" t="s">
        <v>261</v>
      </c>
      <c r="D753" s="49" t="s">
        <v>69</v>
      </c>
      <c r="E753" s="50">
        <v>26000000</v>
      </c>
      <c r="F753" s="50">
        <v>21500000</v>
      </c>
      <c r="G753" s="50">
        <v>21500000</v>
      </c>
      <c r="H753" s="50">
        <v>0</v>
      </c>
      <c r="I753" s="50">
        <v>0</v>
      </c>
      <c r="J753" s="50">
        <v>0</v>
      </c>
      <c r="K753" s="50">
        <v>5210159.5</v>
      </c>
      <c r="L753" s="50">
        <v>5210159.5</v>
      </c>
      <c r="M753" s="50">
        <v>16289840.5</v>
      </c>
      <c r="N753" s="50">
        <v>16289840.5</v>
      </c>
    </row>
    <row r="754" spans="1:14" hidden="1" x14ac:dyDescent="0.25">
      <c r="A754" s="49" t="s">
        <v>717</v>
      </c>
      <c r="B754" s="49" t="s">
        <v>262</v>
      </c>
      <c r="C754" s="49" t="s">
        <v>263</v>
      </c>
      <c r="D754" s="49" t="s">
        <v>69</v>
      </c>
      <c r="E754" s="50">
        <v>18000000</v>
      </c>
      <c r="F754" s="50">
        <v>13500000</v>
      </c>
      <c r="G754" s="50">
        <v>13500000</v>
      </c>
      <c r="H754" s="50">
        <v>0</v>
      </c>
      <c r="I754" s="50">
        <v>0</v>
      </c>
      <c r="J754" s="50">
        <v>0</v>
      </c>
      <c r="K754" s="50">
        <v>0</v>
      </c>
      <c r="L754" s="50">
        <v>0</v>
      </c>
      <c r="M754" s="50">
        <v>13500000</v>
      </c>
      <c r="N754" s="50">
        <v>13500000</v>
      </c>
    </row>
    <row r="755" spans="1:14" hidden="1" x14ac:dyDescent="0.25">
      <c r="A755" s="49" t="s">
        <v>717</v>
      </c>
      <c r="B755" s="49" t="s">
        <v>264</v>
      </c>
      <c r="C755" s="49" t="s">
        <v>265</v>
      </c>
      <c r="D755" s="49" t="s">
        <v>69</v>
      </c>
      <c r="E755" s="50">
        <v>8000000</v>
      </c>
      <c r="F755" s="50">
        <v>8000000</v>
      </c>
      <c r="G755" s="50">
        <v>8000000</v>
      </c>
      <c r="H755" s="50">
        <v>0</v>
      </c>
      <c r="I755" s="50">
        <v>0</v>
      </c>
      <c r="J755" s="50">
        <v>0</v>
      </c>
      <c r="K755" s="50">
        <v>5210159.5</v>
      </c>
      <c r="L755" s="50">
        <v>5210159.5</v>
      </c>
      <c r="M755" s="50">
        <v>2789840.5</v>
      </c>
      <c r="N755" s="50">
        <v>2789840.5</v>
      </c>
    </row>
    <row r="756" spans="1:14" hidden="1" x14ac:dyDescent="0.25">
      <c r="A756" s="49" t="s">
        <v>717</v>
      </c>
      <c r="B756" s="49" t="s">
        <v>286</v>
      </c>
      <c r="C756" s="49" t="s">
        <v>287</v>
      </c>
      <c r="D756" s="49" t="s">
        <v>69</v>
      </c>
      <c r="E756" s="50">
        <v>10000000</v>
      </c>
      <c r="F756" s="50">
        <v>7500000</v>
      </c>
      <c r="G756" s="50">
        <v>7500000</v>
      </c>
      <c r="H756" s="50">
        <v>0</v>
      </c>
      <c r="I756" s="50">
        <v>0</v>
      </c>
      <c r="J756" s="50">
        <v>0</v>
      </c>
      <c r="K756" s="50">
        <v>0</v>
      </c>
      <c r="L756" s="50">
        <v>0</v>
      </c>
      <c r="M756" s="50">
        <v>7500000</v>
      </c>
      <c r="N756" s="50">
        <v>7500000</v>
      </c>
    </row>
    <row r="757" spans="1:14" hidden="1" x14ac:dyDescent="0.25">
      <c r="A757" s="49" t="s">
        <v>717</v>
      </c>
      <c r="B757" s="49" t="s">
        <v>288</v>
      </c>
      <c r="C757" s="49" t="s">
        <v>289</v>
      </c>
      <c r="D757" s="49" t="s">
        <v>69</v>
      </c>
      <c r="E757" s="50">
        <v>10000000</v>
      </c>
      <c r="F757" s="50">
        <v>7500000</v>
      </c>
      <c r="G757" s="50">
        <v>7500000</v>
      </c>
      <c r="H757" s="50">
        <v>0</v>
      </c>
      <c r="I757" s="50">
        <v>0</v>
      </c>
      <c r="J757" s="50">
        <v>0</v>
      </c>
      <c r="K757" s="50">
        <v>0</v>
      </c>
      <c r="L757" s="50">
        <v>0</v>
      </c>
      <c r="M757" s="50">
        <v>7500000</v>
      </c>
      <c r="N757" s="50">
        <v>7500000</v>
      </c>
    </row>
    <row r="758" spans="1:14" hidden="1" x14ac:dyDescent="0.25">
      <c r="A758" s="49" t="s">
        <v>717</v>
      </c>
      <c r="B758" s="49" t="s">
        <v>230</v>
      </c>
      <c r="C758" s="49" t="s">
        <v>231</v>
      </c>
      <c r="D758" s="49" t="s">
        <v>85</v>
      </c>
      <c r="E758" s="50">
        <v>45174214</v>
      </c>
      <c r="F758" s="50">
        <v>9327344</v>
      </c>
      <c r="G758" s="50">
        <v>9327344</v>
      </c>
      <c r="H758" s="50">
        <v>0</v>
      </c>
      <c r="I758" s="50">
        <v>7839443.3700000001</v>
      </c>
      <c r="J758" s="50">
        <v>0</v>
      </c>
      <c r="K758" s="50">
        <v>1215366.75</v>
      </c>
      <c r="L758" s="50">
        <v>1215366.75</v>
      </c>
      <c r="M758" s="50">
        <v>272533.88</v>
      </c>
      <c r="N758" s="50">
        <v>272533.88</v>
      </c>
    </row>
    <row r="759" spans="1:14" hidden="1" x14ac:dyDescent="0.25">
      <c r="A759" s="49" t="s">
        <v>717</v>
      </c>
      <c r="B759" s="49" t="s">
        <v>232</v>
      </c>
      <c r="C759" s="49" t="s">
        <v>233</v>
      </c>
      <c r="D759" s="49" t="s">
        <v>85</v>
      </c>
      <c r="E759" s="50">
        <v>45174214</v>
      </c>
      <c r="F759" s="50">
        <v>9327344</v>
      </c>
      <c r="G759" s="50">
        <v>9327344</v>
      </c>
      <c r="H759" s="50">
        <v>0</v>
      </c>
      <c r="I759" s="50">
        <v>7839443.3700000001</v>
      </c>
      <c r="J759" s="50">
        <v>0</v>
      </c>
      <c r="K759" s="50">
        <v>1215366.75</v>
      </c>
      <c r="L759" s="50">
        <v>1215366.75</v>
      </c>
      <c r="M759" s="50">
        <v>272533.88</v>
      </c>
      <c r="N759" s="50">
        <v>272533.88</v>
      </c>
    </row>
    <row r="760" spans="1:14" hidden="1" x14ac:dyDescent="0.25">
      <c r="A760" s="49" t="s">
        <v>717</v>
      </c>
      <c r="B760" s="49" t="s">
        <v>324</v>
      </c>
      <c r="C760" s="49" t="s">
        <v>325</v>
      </c>
      <c r="D760" s="49" t="s">
        <v>85</v>
      </c>
      <c r="E760" s="50">
        <v>400000</v>
      </c>
      <c r="F760" s="50">
        <v>0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50">
        <v>0</v>
      </c>
      <c r="N760" s="50">
        <v>0</v>
      </c>
    </row>
    <row r="761" spans="1:14" hidden="1" x14ac:dyDescent="0.25">
      <c r="A761" s="49" t="s">
        <v>717</v>
      </c>
      <c r="B761" s="49" t="s">
        <v>236</v>
      </c>
      <c r="C761" s="49" t="s">
        <v>237</v>
      </c>
      <c r="D761" s="49" t="s">
        <v>85</v>
      </c>
      <c r="E761" s="50">
        <v>10235014</v>
      </c>
      <c r="F761" s="50">
        <v>1010184</v>
      </c>
      <c r="G761" s="50">
        <v>1010184</v>
      </c>
      <c r="H761" s="50">
        <v>0</v>
      </c>
      <c r="I761" s="50">
        <v>0</v>
      </c>
      <c r="J761" s="50">
        <v>0</v>
      </c>
      <c r="K761" s="50">
        <v>1010183.4</v>
      </c>
      <c r="L761" s="50">
        <v>1010183.4</v>
      </c>
      <c r="M761" s="50">
        <v>0.60000000000000009</v>
      </c>
      <c r="N761" s="50">
        <v>0.60000000000000009</v>
      </c>
    </row>
    <row r="762" spans="1:14" hidden="1" x14ac:dyDescent="0.25">
      <c r="A762" s="49" t="s">
        <v>717</v>
      </c>
      <c r="B762" s="49" t="s">
        <v>238</v>
      </c>
      <c r="C762" s="49" t="s">
        <v>239</v>
      </c>
      <c r="D762" s="49" t="s">
        <v>85</v>
      </c>
      <c r="E762" s="50">
        <v>3243620</v>
      </c>
      <c r="F762" s="50">
        <v>243620</v>
      </c>
      <c r="G762" s="50">
        <v>243620</v>
      </c>
      <c r="H762" s="50">
        <v>0</v>
      </c>
      <c r="I762" s="50">
        <v>22870.37</v>
      </c>
      <c r="J762" s="50">
        <v>0</v>
      </c>
      <c r="K762" s="50">
        <v>205183.35</v>
      </c>
      <c r="L762" s="50">
        <v>205183.35</v>
      </c>
      <c r="M762" s="50">
        <v>15566.28</v>
      </c>
      <c r="N762" s="50">
        <v>15566.28</v>
      </c>
    </row>
    <row r="763" spans="1:14" hidden="1" x14ac:dyDescent="0.25">
      <c r="A763" s="49" t="s">
        <v>717</v>
      </c>
      <c r="B763" s="49" t="s">
        <v>282</v>
      </c>
      <c r="C763" s="49" t="s">
        <v>283</v>
      </c>
      <c r="D763" s="49" t="s">
        <v>85</v>
      </c>
      <c r="E763" s="50">
        <v>414480</v>
      </c>
      <c r="F763" s="50">
        <v>480</v>
      </c>
      <c r="G763" s="50">
        <v>480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50">
        <v>480</v>
      </c>
      <c r="N763" s="50">
        <v>480</v>
      </c>
    </row>
    <row r="764" spans="1:14" hidden="1" x14ac:dyDescent="0.25">
      <c r="A764" s="49" t="s">
        <v>717</v>
      </c>
      <c r="B764" s="49" t="s">
        <v>240</v>
      </c>
      <c r="C764" s="49" t="s">
        <v>241</v>
      </c>
      <c r="D764" s="49" t="s">
        <v>85</v>
      </c>
      <c r="E764" s="50">
        <v>27531100</v>
      </c>
      <c r="F764" s="50">
        <v>8010660</v>
      </c>
      <c r="G764" s="50">
        <v>8010660</v>
      </c>
      <c r="H764" s="50">
        <v>0</v>
      </c>
      <c r="I764" s="50">
        <v>7754173</v>
      </c>
      <c r="J764" s="50">
        <v>0</v>
      </c>
      <c r="K764" s="50">
        <v>0</v>
      </c>
      <c r="L764" s="50">
        <v>0</v>
      </c>
      <c r="M764" s="50">
        <v>256487</v>
      </c>
      <c r="N764" s="50">
        <v>256487</v>
      </c>
    </row>
    <row r="765" spans="1:14" hidden="1" x14ac:dyDescent="0.25">
      <c r="A765" s="49" t="s">
        <v>717</v>
      </c>
      <c r="B765" s="49" t="s">
        <v>242</v>
      </c>
      <c r="C765" s="49" t="s">
        <v>243</v>
      </c>
      <c r="D765" s="49" t="s">
        <v>85</v>
      </c>
      <c r="E765" s="50">
        <v>3350000</v>
      </c>
      <c r="F765" s="50">
        <v>62400</v>
      </c>
      <c r="G765" s="50">
        <v>62400</v>
      </c>
      <c r="H765" s="50">
        <v>0</v>
      </c>
      <c r="I765" s="50">
        <v>62400</v>
      </c>
      <c r="J765" s="50">
        <v>0</v>
      </c>
      <c r="K765" s="50">
        <v>0</v>
      </c>
      <c r="L765" s="50">
        <v>0</v>
      </c>
      <c r="M765" s="50">
        <v>0</v>
      </c>
      <c r="N765" s="50">
        <v>0</v>
      </c>
    </row>
    <row r="766" spans="1:14" x14ac:dyDescent="0.25">
      <c r="A766" s="49">
        <v>214791</v>
      </c>
      <c r="B766" s="49"/>
      <c r="C766" s="49"/>
      <c r="D766" s="49" t="s">
        <v>69</v>
      </c>
      <c r="E766" s="50">
        <v>7826709762</v>
      </c>
      <c r="F766" s="50">
        <v>7640097492</v>
      </c>
      <c r="G766" s="50">
        <v>7514632632</v>
      </c>
      <c r="H766" s="50">
        <v>0</v>
      </c>
      <c r="I766" s="50">
        <v>232236333.03</v>
      </c>
      <c r="J766" s="50">
        <v>0</v>
      </c>
      <c r="K766" s="50">
        <v>5693036434.3999996</v>
      </c>
      <c r="L766" s="50">
        <v>5693036434.3999996</v>
      </c>
      <c r="M766" s="50">
        <v>1714824724.5699999</v>
      </c>
      <c r="N766" s="50">
        <v>1589359864.5699999</v>
      </c>
    </row>
    <row r="767" spans="1:14" hidden="1" x14ac:dyDescent="0.25">
      <c r="A767" s="49" t="s">
        <v>719</v>
      </c>
      <c r="B767" s="49" t="s">
        <v>71</v>
      </c>
      <c r="C767" s="49" t="s">
        <v>72</v>
      </c>
      <c r="D767" s="49" t="s">
        <v>69</v>
      </c>
      <c r="E767" s="50">
        <v>7726375169</v>
      </c>
      <c r="F767" s="50">
        <v>7475052781</v>
      </c>
      <c r="G767" s="50">
        <v>7350230001</v>
      </c>
      <c r="H767" s="50">
        <v>0</v>
      </c>
      <c r="I767" s="50">
        <v>211739138.11000001</v>
      </c>
      <c r="J767" s="50">
        <v>0</v>
      </c>
      <c r="K767" s="50">
        <v>5575090809</v>
      </c>
      <c r="L767" s="50">
        <v>5575090809</v>
      </c>
      <c r="M767" s="50">
        <v>1688222833.8900001</v>
      </c>
      <c r="N767" s="50">
        <v>1563400053.8900001</v>
      </c>
    </row>
    <row r="768" spans="1:14" hidden="1" x14ac:dyDescent="0.25">
      <c r="A768" s="49" t="s">
        <v>719</v>
      </c>
      <c r="B768" s="49" t="s">
        <v>73</v>
      </c>
      <c r="C768" s="49" t="s">
        <v>74</v>
      </c>
      <c r="D768" s="49" t="s">
        <v>69</v>
      </c>
      <c r="E768" s="50">
        <v>2598911346</v>
      </c>
      <c r="F768" s="50">
        <v>2502453188</v>
      </c>
      <c r="G768" s="50">
        <v>2482450977</v>
      </c>
      <c r="H768" s="50">
        <v>0</v>
      </c>
      <c r="I768" s="50">
        <v>0</v>
      </c>
      <c r="J768" s="50">
        <v>0</v>
      </c>
      <c r="K768" s="50">
        <v>2015777600.4000001</v>
      </c>
      <c r="L768" s="50">
        <v>2015777600.4000001</v>
      </c>
      <c r="M768" s="50">
        <v>486675587.60000002</v>
      </c>
      <c r="N768" s="50">
        <v>466673376.60000002</v>
      </c>
    </row>
    <row r="769" spans="1:14" hidden="1" x14ac:dyDescent="0.25">
      <c r="A769" s="49" t="s">
        <v>719</v>
      </c>
      <c r="B769" s="49" t="s">
        <v>75</v>
      </c>
      <c r="C769" s="49" t="s">
        <v>76</v>
      </c>
      <c r="D769" s="49" t="s">
        <v>69</v>
      </c>
      <c r="E769" s="50">
        <v>2598911346</v>
      </c>
      <c r="F769" s="50">
        <v>2498453188</v>
      </c>
      <c r="G769" s="50">
        <v>2478450977</v>
      </c>
      <c r="H769" s="50">
        <v>0</v>
      </c>
      <c r="I769" s="50">
        <v>0</v>
      </c>
      <c r="J769" s="50">
        <v>0</v>
      </c>
      <c r="K769" s="50">
        <v>2015777600.4000001</v>
      </c>
      <c r="L769" s="50">
        <v>2015777600.4000001</v>
      </c>
      <c r="M769" s="50">
        <v>482675587.60000002</v>
      </c>
      <c r="N769" s="50">
        <v>462673376.60000002</v>
      </c>
    </row>
    <row r="770" spans="1:14" hidden="1" x14ac:dyDescent="0.25">
      <c r="A770" s="49" t="s">
        <v>719</v>
      </c>
      <c r="B770" s="49" t="s">
        <v>291</v>
      </c>
      <c r="C770" s="49" t="s">
        <v>292</v>
      </c>
      <c r="D770" s="49" t="s">
        <v>69</v>
      </c>
      <c r="E770" s="50">
        <v>0</v>
      </c>
      <c r="F770" s="50">
        <v>4000000</v>
      </c>
      <c r="G770" s="50">
        <v>4000000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50">
        <v>4000000</v>
      </c>
      <c r="N770" s="50">
        <v>4000000</v>
      </c>
    </row>
    <row r="771" spans="1:14" hidden="1" x14ac:dyDescent="0.25">
      <c r="A771" s="49" t="s">
        <v>719</v>
      </c>
      <c r="B771" s="49" t="s">
        <v>77</v>
      </c>
      <c r="C771" s="49" t="s">
        <v>78</v>
      </c>
      <c r="D771" s="49" t="s">
        <v>69</v>
      </c>
      <c r="E771" s="50">
        <v>3948833757</v>
      </c>
      <c r="F771" s="50">
        <v>3832615733</v>
      </c>
      <c r="G771" s="50">
        <v>3752585672</v>
      </c>
      <c r="H771" s="50">
        <v>0</v>
      </c>
      <c r="I771" s="50">
        <v>0</v>
      </c>
      <c r="J771" s="50">
        <v>0</v>
      </c>
      <c r="K771" s="50">
        <v>2655858994.71</v>
      </c>
      <c r="L771" s="50">
        <v>2655858994.71</v>
      </c>
      <c r="M771" s="50">
        <v>1176756738.29</v>
      </c>
      <c r="N771" s="50">
        <v>1096726677.29</v>
      </c>
    </row>
    <row r="772" spans="1:14" hidden="1" x14ac:dyDescent="0.25">
      <c r="A772" s="49" t="s">
        <v>719</v>
      </c>
      <c r="B772" s="49" t="s">
        <v>79</v>
      </c>
      <c r="C772" s="49" t="s">
        <v>80</v>
      </c>
      <c r="D772" s="49" t="s">
        <v>69</v>
      </c>
      <c r="E772" s="50">
        <v>655368000</v>
      </c>
      <c r="F772" s="50">
        <v>650465123</v>
      </c>
      <c r="G772" s="50">
        <v>610346014</v>
      </c>
      <c r="H772" s="50">
        <v>0</v>
      </c>
      <c r="I772" s="50">
        <v>0</v>
      </c>
      <c r="J772" s="50">
        <v>0</v>
      </c>
      <c r="K772" s="50">
        <v>489905511.56999999</v>
      </c>
      <c r="L772" s="50">
        <v>489905511.56999999</v>
      </c>
      <c r="M772" s="50">
        <v>160559611.43000001</v>
      </c>
      <c r="N772" s="50">
        <v>120440502.43000001</v>
      </c>
    </row>
    <row r="773" spans="1:14" hidden="1" x14ac:dyDescent="0.25">
      <c r="A773" s="49" t="s">
        <v>719</v>
      </c>
      <c r="B773" s="49" t="s">
        <v>81</v>
      </c>
      <c r="C773" s="49" t="s">
        <v>82</v>
      </c>
      <c r="D773" s="49" t="s">
        <v>69</v>
      </c>
      <c r="E773" s="50">
        <v>1818533000</v>
      </c>
      <c r="F773" s="50">
        <v>1762721460</v>
      </c>
      <c r="G773" s="50">
        <v>1746049014</v>
      </c>
      <c r="H773" s="50">
        <v>0</v>
      </c>
      <c r="I773" s="50">
        <v>0</v>
      </c>
      <c r="J773" s="50">
        <v>0</v>
      </c>
      <c r="K773" s="50">
        <v>1372189920.53</v>
      </c>
      <c r="L773" s="50">
        <v>1372189920.53</v>
      </c>
      <c r="M773" s="50">
        <v>390531539.47000003</v>
      </c>
      <c r="N773" s="50">
        <v>373859093.47000003</v>
      </c>
    </row>
    <row r="774" spans="1:14" hidden="1" x14ac:dyDescent="0.25">
      <c r="A774" s="49" t="s">
        <v>719</v>
      </c>
      <c r="B774" s="49" t="s">
        <v>86</v>
      </c>
      <c r="C774" s="49" t="s">
        <v>87</v>
      </c>
      <c r="D774" s="49" t="s">
        <v>69</v>
      </c>
      <c r="E774" s="50">
        <v>463338500</v>
      </c>
      <c r="F774" s="50">
        <v>434338500</v>
      </c>
      <c r="G774" s="50">
        <v>434338500</v>
      </c>
      <c r="H774" s="50">
        <v>0</v>
      </c>
      <c r="I774" s="50">
        <v>0</v>
      </c>
      <c r="J774" s="50">
        <v>0</v>
      </c>
      <c r="K774" s="50">
        <v>408928931.39999998</v>
      </c>
      <c r="L774" s="50">
        <v>408928931.39999998</v>
      </c>
      <c r="M774" s="50">
        <v>25409568.600000001</v>
      </c>
      <c r="N774" s="50">
        <v>25409568.600000001</v>
      </c>
    </row>
    <row r="775" spans="1:14" hidden="1" x14ac:dyDescent="0.25">
      <c r="A775" s="49" t="s">
        <v>719</v>
      </c>
      <c r="B775" s="49" t="s">
        <v>88</v>
      </c>
      <c r="C775" s="49" t="s">
        <v>89</v>
      </c>
      <c r="D775" s="49" t="s">
        <v>69</v>
      </c>
      <c r="E775" s="50">
        <v>508107900</v>
      </c>
      <c r="F775" s="50">
        <v>498113161</v>
      </c>
      <c r="G775" s="50">
        <v>495809043</v>
      </c>
      <c r="H775" s="50">
        <v>0</v>
      </c>
      <c r="I775" s="50">
        <v>0</v>
      </c>
      <c r="J775" s="50">
        <v>0</v>
      </c>
      <c r="K775" s="50">
        <v>384742948.73000002</v>
      </c>
      <c r="L775" s="50">
        <v>384742948.73000002</v>
      </c>
      <c r="M775" s="50">
        <v>113370212.27</v>
      </c>
      <c r="N775" s="50">
        <v>111066094.27</v>
      </c>
    </row>
    <row r="776" spans="1:14" hidden="1" x14ac:dyDescent="0.25">
      <c r="A776" s="49" t="s">
        <v>719</v>
      </c>
      <c r="B776" s="49" t="s">
        <v>83</v>
      </c>
      <c r="C776" s="49" t="s">
        <v>84</v>
      </c>
      <c r="D776" s="49" t="s">
        <v>85</v>
      </c>
      <c r="E776" s="50">
        <v>503486357</v>
      </c>
      <c r="F776" s="50">
        <v>486977489</v>
      </c>
      <c r="G776" s="50">
        <v>466043101</v>
      </c>
      <c r="H776" s="50">
        <v>0</v>
      </c>
      <c r="I776" s="50">
        <v>0</v>
      </c>
      <c r="J776" s="50">
        <v>0</v>
      </c>
      <c r="K776" s="50">
        <v>91682.48</v>
      </c>
      <c r="L776" s="50">
        <v>91682.48</v>
      </c>
      <c r="M776" s="50">
        <v>486885806.51999998</v>
      </c>
      <c r="N776" s="50">
        <v>465951418.51999998</v>
      </c>
    </row>
    <row r="777" spans="1:14" hidden="1" x14ac:dyDescent="0.25">
      <c r="A777" s="49" t="s">
        <v>719</v>
      </c>
      <c r="B777" s="49" t="s">
        <v>90</v>
      </c>
      <c r="C777" s="49" t="s">
        <v>91</v>
      </c>
      <c r="D777" s="49" t="s">
        <v>69</v>
      </c>
      <c r="E777" s="50">
        <v>589315133</v>
      </c>
      <c r="F777" s="50">
        <v>569992030</v>
      </c>
      <c r="G777" s="50">
        <v>566220775</v>
      </c>
      <c r="H777" s="50">
        <v>0</v>
      </c>
      <c r="I777" s="50">
        <v>112101209.45999999</v>
      </c>
      <c r="J777" s="50">
        <v>0</v>
      </c>
      <c r="K777" s="50">
        <v>454119565.54000002</v>
      </c>
      <c r="L777" s="50">
        <v>454119565.54000002</v>
      </c>
      <c r="M777" s="50">
        <v>3771255</v>
      </c>
      <c r="N777" s="50">
        <v>0</v>
      </c>
    </row>
    <row r="778" spans="1:14" hidden="1" x14ac:dyDescent="0.25">
      <c r="A778" s="49" t="s">
        <v>719</v>
      </c>
      <c r="B778" s="49" t="s">
        <v>428</v>
      </c>
      <c r="C778" s="49" t="s">
        <v>697</v>
      </c>
      <c r="D778" s="49" t="s">
        <v>69</v>
      </c>
      <c r="E778" s="50">
        <v>559093873</v>
      </c>
      <c r="F778" s="50">
        <v>540761697</v>
      </c>
      <c r="G778" s="50">
        <v>537183840</v>
      </c>
      <c r="H778" s="50">
        <v>0</v>
      </c>
      <c r="I778" s="50">
        <v>106351836.90000001</v>
      </c>
      <c r="J778" s="50">
        <v>0</v>
      </c>
      <c r="K778" s="50">
        <v>430832003.10000002</v>
      </c>
      <c r="L778" s="50">
        <v>430832003.10000002</v>
      </c>
      <c r="M778" s="50">
        <v>3577857</v>
      </c>
      <c r="N778" s="50">
        <v>0</v>
      </c>
    </row>
    <row r="779" spans="1:14" hidden="1" x14ac:dyDescent="0.25">
      <c r="A779" s="49" t="s">
        <v>719</v>
      </c>
      <c r="B779" s="49" t="s">
        <v>445</v>
      </c>
      <c r="C779" s="49" t="s">
        <v>95</v>
      </c>
      <c r="D779" s="49" t="s">
        <v>69</v>
      </c>
      <c r="E779" s="50">
        <v>30221260</v>
      </c>
      <c r="F779" s="50">
        <v>29230333</v>
      </c>
      <c r="G779" s="50">
        <v>29036935</v>
      </c>
      <c r="H779" s="50">
        <v>0</v>
      </c>
      <c r="I779" s="50">
        <v>5749372.5599999996</v>
      </c>
      <c r="J779" s="50">
        <v>0</v>
      </c>
      <c r="K779" s="50">
        <v>23287562.440000001</v>
      </c>
      <c r="L779" s="50">
        <v>23287562.440000001</v>
      </c>
      <c r="M779" s="50">
        <v>193398</v>
      </c>
      <c r="N779" s="50">
        <v>0</v>
      </c>
    </row>
    <row r="780" spans="1:14" hidden="1" x14ac:dyDescent="0.25">
      <c r="A780" s="49" t="s">
        <v>719</v>
      </c>
      <c r="B780" s="49" t="s">
        <v>96</v>
      </c>
      <c r="C780" s="49" t="s">
        <v>97</v>
      </c>
      <c r="D780" s="49" t="s">
        <v>69</v>
      </c>
      <c r="E780" s="50">
        <v>589314933</v>
      </c>
      <c r="F780" s="50">
        <v>569991830</v>
      </c>
      <c r="G780" s="50">
        <v>548972577</v>
      </c>
      <c r="H780" s="50">
        <v>0</v>
      </c>
      <c r="I780" s="50">
        <v>99637928.650000006</v>
      </c>
      <c r="J780" s="50">
        <v>0</v>
      </c>
      <c r="K780" s="50">
        <v>449334648.35000002</v>
      </c>
      <c r="L780" s="50">
        <v>449334648.35000002</v>
      </c>
      <c r="M780" s="50">
        <v>21019253</v>
      </c>
      <c r="N780" s="50">
        <v>0</v>
      </c>
    </row>
    <row r="781" spans="1:14" hidden="1" x14ac:dyDescent="0.25">
      <c r="A781" s="49" t="s">
        <v>719</v>
      </c>
      <c r="B781" s="49" t="s">
        <v>463</v>
      </c>
      <c r="C781" s="49" t="s">
        <v>698</v>
      </c>
      <c r="D781" s="49" t="s">
        <v>69</v>
      </c>
      <c r="E781" s="50">
        <v>317323487</v>
      </c>
      <c r="F781" s="50">
        <v>306918739</v>
      </c>
      <c r="G781" s="50">
        <v>304888065</v>
      </c>
      <c r="H781" s="50">
        <v>0</v>
      </c>
      <c r="I781" s="50">
        <v>65141900.909999996</v>
      </c>
      <c r="J781" s="50">
        <v>0</v>
      </c>
      <c r="K781" s="50">
        <v>239746164.09</v>
      </c>
      <c r="L781" s="50">
        <v>239746164.09</v>
      </c>
      <c r="M781" s="50">
        <v>2030674</v>
      </c>
      <c r="N781" s="50">
        <v>0</v>
      </c>
    </row>
    <row r="782" spans="1:14" hidden="1" x14ac:dyDescent="0.25">
      <c r="A782" s="49" t="s">
        <v>719</v>
      </c>
      <c r="B782" s="49" t="s">
        <v>480</v>
      </c>
      <c r="C782" s="49" t="s">
        <v>699</v>
      </c>
      <c r="D782" s="49" t="s">
        <v>69</v>
      </c>
      <c r="E782" s="50">
        <v>90663782</v>
      </c>
      <c r="F782" s="50">
        <v>87690997</v>
      </c>
      <c r="G782" s="50">
        <v>87110804</v>
      </c>
      <c r="H782" s="50">
        <v>0</v>
      </c>
      <c r="I782" s="50">
        <v>17247926.670000002</v>
      </c>
      <c r="J782" s="50">
        <v>0</v>
      </c>
      <c r="K782" s="50">
        <v>69862877.329999998</v>
      </c>
      <c r="L782" s="50">
        <v>69862877.329999998</v>
      </c>
      <c r="M782" s="50">
        <v>580193</v>
      </c>
      <c r="N782" s="50">
        <v>0</v>
      </c>
    </row>
    <row r="783" spans="1:14" hidden="1" x14ac:dyDescent="0.25">
      <c r="A783" s="49" t="s">
        <v>719</v>
      </c>
      <c r="B783" s="49" t="s">
        <v>497</v>
      </c>
      <c r="C783" s="49" t="s">
        <v>700</v>
      </c>
      <c r="D783" s="49" t="s">
        <v>69</v>
      </c>
      <c r="E783" s="50">
        <v>181327664</v>
      </c>
      <c r="F783" s="50">
        <v>175382094</v>
      </c>
      <c r="G783" s="50">
        <v>156973708</v>
      </c>
      <c r="H783" s="50">
        <v>0</v>
      </c>
      <c r="I783" s="50">
        <v>17248101.07</v>
      </c>
      <c r="J783" s="50">
        <v>0</v>
      </c>
      <c r="K783" s="50">
        <v>139725606.93000001</v>
      </c>
      <c r="L783" s="50">
        <v>139725606.93000001</v>
      </c>
      <c r="M783" s="50">
        <v>18408386</v>
      </c>
      <c r="N783" s="50">
        <v>0</v>
      </c>
    </row>
    <row r="784" spans="1:14" hidden="1" x14ac:dyDescent="0.25">
      <c r="A784" s="49" t="s">
        <v>719</v>
      </c>
      <c r="B784" s="49" t="s">
        <v>248</v>
      </c>
      <c r="C784" s="49" t="s">
        <v>249</v>
      </c>
      <c r="D784" s="49" t="s">
        <v>69</v>
      </c>
      <c r="E784" s="50">
        <v>100334593</v>
      </c>
      <c r="F784" s="50">
        <v>165044711</v>
      </c>
      <c r="G784" s="50">
        <v>164402631</v>
      </c>
      <c r="H784" s="50">
        <v>0</v>
      </c>
      <c r="I784" s="50">
        <v>20497194.920000002</v>
      </c>
      <c r="J784" s="50">
        <v>0</v>
      </c>
      <c r="K784" s="50">
        <v>117945625.40000001</v>
      </c>
      <c r="L784" s="50">
        <v>117945625.40000001</v>
      </c>
      <c r="M784" s="50">
        <v>26601890.68</v>
      </c>
      <c r="N784" s="50">
        <v>25959810.68</v>
      </c>
    </row>
    <row r="785" spans="1:14" hidden="1" x14ac:dyDescent="0.25">
      <c r="A785" s="49" t="s">
        <v>719</v>
      </c>
      <c r="B785" s="49" t="s">
        <v>250</v>
      </c>
      <c r="C785" s="49" t="s">
        <v>251</v>
      </c>
      <c r="D785" s="49" t="s">
        <v>69</v>
      </c>
      <c r="E785" s="50">
        <v>100334593</v>
      </c>
      <c r="F785" s="50">
        <v>97044711</v>
      </c>
      <c r="G785" s="50">
        <v>96402631</v>
      </c>
      <c r="H785" s="50">
        <v>0</v>
      </c>
      <c r="I785" s="50">
        <v>20497194.920000002</v>
      </c>
      <c r="J785" s="50">
        <v>0</v>
      </c>
      <c r="K785" s="50">
        <v>75905436.079999998</v>
      </c>
      <c r="L785" s="50">
        <v>75905436.079999998</v>
      </c>
      <c r="M785" s="50">
        <v>642080</v>
      </c>
      <c r="N785" s="50">
        <v>0</v>
      </c>
    </row>
    <row r="786" spans="1:14" hidden="1" x14ac:dyDescent="0.25">
      <c r="A786" s="49" t="s">
        <v>719</v>
      </c>
      <c r="B786" s="49" t="s">
        <v>637</v>
      </c>
      <c r="C786" s="49" t="s">
        <v>702</v>
      </c>
      <c r="D786" s="49" t="s">
        <v>69</v>
      </c>
      <c r="E786" s="50">
        <v>85224013</v>
      </c>
      <c r="F786" s="50">
        <v>82429595</v>
      </c>
      <c r="G786" s="50">
        <v>81884214</v>
      </c>
      <c r="H786" s="50">
        <v>0</v>
      </c>
      <c r="I786" s="50">
        <v>17622619.280000001</v>
      </c>
      <c r="J786" s="50">
        <v>0</v>
      </c>
      <c r="K786" s="50">
        <v>64261594.719999999</v>
      </c>
      <c r="L786" s="50">
        <v>64261594.719999999</v>
      </c>
      <c r="M786" s="50">
        <v>545381</v>
      </c>
      <c r="N786" s="50">
        <v>0</v>
      </c>
    </row>
    <row r="787" spans="1:14" hidden="1" x14ac:dyDescent="0.25">
      <c r="A787" s="49" t="s">
        <v>719</v>
      </c>
      <c r="B787" s="49" t="s">
        <v>652</v>
      </c>
      <c r="C787" s="49" t="s">
        <v>703</v>
      </c>
      <c r="D787" s="49" t="s">
        <v>69</v>
      </c>
      <c r="E787" s="50">
        <v>15110580</v>
      </c>
      <c r="F787" s="50">
        <v>14615116</v>
      </c>
      <c r="G787" s="50">
        <v>14518417</v>
      </c>
      <c r="H787" s="50">
        <v>0</v>
      </c>
      <c r="I787" s="50">
        <v>2874575.64</v>
      </c>
      <c r="J787" s="50">
        <v>0</v>
      </c>
      <c r="K787" s="50">
        <v>11643841.359999999</v>
      </c>
      <c r="L787" s="50">
        <v>11643841.359999999</v>
      </c>
      <c r="M787" s="50">
        <v>96699</v>
      </c>
      <c r="N787" s="50">
        <v>0</v>
      </c>
    </row>
    <row r="788" spans="1:14" hidden="1" x14ac:dyDescent="0.25">
      <c r="A788" s="49" t="s">
        <v>719</v>
      </c>
      <c r="B788" s="49" t="s">
        <v>260</v>
      </c>
      <c r="C788" s="49" t="s">
        <v>261</v>
      </c>
      <c r="D788" s="49" t="s">
        <v>69</v>
      </c>
      <c r="E788" s="50">
        <v>0</v>
      </c>
      <c r="F788" s="50">
        <v>68000000</v>
      </c>
      <c r="G788" s="50">
        <v>68000000</v>
      </c>
      <c r="H788" s="50">
        <v>0</v>
      </c>
      <c r="I788" s="50">
        <v>0</v>
      </c>
      <c r="J788" s="50">
        <v>0</v>
      </c>
      <c r="K788" s="50">
        <v>42040189.32</v>
      </c>
      <c r="L788" s="50">
        <v>42040189.32</v>
      </c>
      <c r="M788" s="50">
        <v>25959810.68</v>
      </c>
      <c r="N788" s="50">
        <v>25959810.68</v>
      </c>
    </row>
    <row r="789" spans="1:14" hidden="1" x14ac:dyDescent="0.25">
      <c r="A789" s="49" t="s">
        <v>719</v>
      </c>
      <c r="B789" s="49" t="s">
        <v>262</v>
      </c>
      <c r="C789" s="49" t="s">
        <v>263</v>
      </c>
      <c r="D789" s="49" t="s">
        <v>69</v>
      </c>
      <c r="E789" s="50">
        <v>0</v>
      </c>
      <c r="F789" s="50">
        <v>43000000</v>
      </c>
      <c r="G789" s="50">
        <v>43000000</v>
      </c>
      <c r="H789" s="50">
        <v>0</v>
      </c>
      <c r="I789" s="50">
        <v>0</v>
      </c>
      <c r="J789" s="50">
        <v>0</v>
      </c>
      <c r="K789" s="50">
        <v>26489294.82</v>
      </c>
      <c r="L789" s="50">
        <v>26489294.82</v>
      </c>
      <c r="M789" s="50">
        <v>16510705.18</v>
      </c>
      <c r="N789" s="50">
        <v>16510705.18</v>
      </c>
    </row>
    <row r="790" spans="1:14" hidden="1" x14ac:dyDescent="0.25">
      <c r="A790" s="49" t="s">
        <v>719</v>
      </c>
      <c r="B790" s="49" t="s">
        <v>264</v>
      </c>
      <c r="C790" s="49" t="s">
        <v>265</v>
      </c>
      <c r="D790" s="49" t="s">
        <v>69</v>
      </c>
      <c r="E790" s="50">
        <v>0</v>
      </c>
      <c r="F790" s="50">
        <v>25000000</v>
      </c>
      <c r="G790" s="50">
        <v>25000000</v>
      </c>
      <c r="H790" s="50">
        <v>0</v>
      </c>
      <c r="I790" s="50">
        <v>0</v>
      </c>
      <c r="J790" s="50">
        <v>0</v>
      </c>
      <c r="K790" s="50">
        <v>15550894.5</v>
      </c>
      <c r="L790" s="50">
        <v>15550894.5</v>
      </c>
      <c r="M790" s="50">
        <v>9449105.5</v>
      </c>
      <c r="N790" s="50">
        <v>9449105.5</v>
      </c>
    </row>
    <row r="791" spans="1:14" x14ac:dyDescent="0.25">
      <c r="A791" s="49">
        <v>214793</v>
      </c>
      <c r="B791" s="49"/>
      <c r="C791" s="49"/>
      <c r="D791" s="49" t="s">
        <v>69</v>
      </c>
      <c r="E791" s="50">
        <v>918243709</v>
      </c>
      <c r="F791" s="50">
        <v>895550765</v>
      </c>
      <c r="G791" s="50">
        <v>888471208</v>
      </c>
      <c r="H791" s="50">
        <v>0</v>
      </c>
      <c r="I791" s="50">
        <v>21527643.32</v>
      </c>
      <c r="J791" s="50">
        <v>0</v>
      </c>
      <c r="K791" s="50">
        <v>696638758.39999998</v>
      </c>
      <c r="L791" s="50">
        <v>696638758.39999998</v>
      </c>
      <c r="M791" s="50">
        <v>177384363.28</v>
      </c>
      <c r="N791" s="50">
        <v>170304806.28</v>
      </c>
    </row>
    <row r="792" spans="1:14" hidden="1" x14ac:dyDescent="0.25">
      <c r="A792" s="49" t="s">
        <v>720</v>
      </c>
      <c r="B792" s="49" t="s">
        <v>71</v>
      </c>
      <c r="C792" s="49" t="s">
        <v>72</v>
      </c>
      <c r="D792" s="49" t="s">
        <v>69</v>
      </c>
      <c r="E792" s="50">
        <v>899027714</v>
      </c>
      <c r="F792" s="50">
        <v>878789381</v>
      </c>
      <c r="G792" s="50">
        <v>871709824</v>
      </c>
      <c r="H792" s="50">
        <v>0</v>
      </c>
      <c r="I792" s="50">
        <v>19534563.960000001</v>
      </c>
      <c r="J792" s="50">
        <v>0</v>
      </c>
      <c r="K792" s="50">
        <v>685119812.03999996</v>
      </c>
      <c r="L792" s="50">
        <v>685119812.03999996</v>
      </c>
      <c r="M792" s="50">
        <v>174135005</v>
      </c>
      <c r="N792" s="50">
        <v>167055448</v>
      </c>
    </row>
    <row r="793" spans="1:14" hidden="1" x14ac:dyDescent="0.25">
      <c r="A793" s="49" t="s">
        <v>720</v>
      </c>
      <c r="B793" s="49" t="s">
        <v>73</v>
      </c>
      <c r="C793" s="49" t="s">
        <v>74</v>
      </c>
      <c r="D793" s="49" t="s">
        <v>69</v>
      </c>
      <c r="E793" s="50">
        <v>305726500</v>
      </c>
      <c r="F793" s="50">
        <v>299696000</v>
      </c>
      <c r="G793" s="50">
        <v>299696000</v>
      </c>
      <c r="H793" s="50">
        <v>0</v>
      </c>
      <c r="I793" s="50">
        <v>0</v>
      </c>
      <c r="J793" s="50">
        <v>0</v>
      </c>
      <c r="K793" s="50">
        <v>246978845.63</v>
      </c>
      <c r="L793" s="50">
        <v>246978845.63</v>
      </c>
      <c r="M793" s="50">
        <v>52717154.369999997</v>
      </c>
      <c r="N793" s="50">
        <v>52717154.369999997</v>
      </c>
    </row>
    <row r="794" spans="1:14" hidden="1" x14ac:dyDescent="0.25">
      <c r="A794" s="49" t="s">
        <v>720</v>
      </c>
      <c r="B794" s="49" t="s">
        <v>75</v>
      </c>
      <c r="C794" s="49" t="s">
        <v>76</v>
      </c>
      <c r="D794" s="49" t="s">
        <v>69</v>
      </c>
      <c r="E794" s="50">
        <v>305726500</v>
      </c>
      <c r="F794" s="50">
        <v>298196000</v>
      </c>
      <c r="G794" s="50">
        <v>298196000</v>
      </c>
      <c r="H794" s="50">
        <v>0</v>
      </c>
      <c r="I794" s="50">
        <v>0</v>
      </c>
      <c r="J794" s="50">
        <v>0</v>
      </c>
      <c r="K794" s="50">
        <v>246978845.63</v>
      </c>
      <c r="L794" s="50">
        <v>246978845.63</v>
      </c>
      <c r="M794" s="50">
        <v>51217154.369999997</v>
      </c>
      <c r="N794" s="50">
        <v>51217154.369999997</v>
      </c>
    </row>
    <row r="795" spans="1:14" hidden="1" x14ac:dyDescent="0.25">
      <c r="A795" s="49" t="s">
        <v>720</v>
      </c>
      <c r="B795" s="49" t="s">
        <v>291</v>
      </c>
      <c r="C795" s="49" t="s">
        <v>292</v>
      </c>
      <c r="D795" s="49" t="s">
        <v>69</v>
      </c>
      <c r="E795" s="50">
        <v>0</v>
      </c>
      <c r="F795" s="50">
        <v>1500000</v>
      </c>
      <c r="G795" s="50">
        <v>1500000</v>
      </c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50">
        <v>1500000</v>
      </c>
      <c r="N795" s="50">
        <v>1500000</v>
      </c>
    </row>
    <row r="796" spans="1:14" hidden="1" x14ac:dyDescent="0.25">
      <c r="A796" s="49" t="s">
        <v>720</v>
      </c>
      <c r="B796" s="49" t="s">
        <v>77</v>
      </c>
      <c r="C796" s="49" t="s">
        <v>78</v>
      </c>
      <c r="D796" s="49" t="s">
        <v>69</v>
      </c>
      <c r="E796" s="50">
        <v>456157950</v>
      </c>
      <c r="F796" s="50">
        <v>444960170</v>
      </c>
      <c r="G796" s="50">
        <v>439466413</v>
      </c>
      <c r="H796" s="50">
        <v>0</v>
      </c>
      <c r="I796" s="50">
        <v>0</v>
      </c>
      <c r="J796" s="50">
        <v>0</v>
      </c>
      <c r="K796" s="50">
        <v>325128119.37</v>
      </c>
      <c r="L796" s="50">
        <v>325128119.37</v>
      </c>
      <c r="M796" s="50">
        <v>119832050.63</v>
      </c>
      <c r="N796" s="50">
        <v>114338293.63</v>
      </c>
    </row>
    <row r="797" spans="1:14" hidden="1" x14ac:dyDescent="0.25">
      <c r="A797" s="49" t="s">
        <v>720</v>
      </c>
      <c r="B797" s="49" t="s">
        <v>79</v>
      </c>
      <c r="C797" s="49" t="s">
        <v>80</v>
      </c>
      <c r="D797" s="49" t="s">
        <v>69</v>
      </c>
      <c r="E797" s="50">
        <v>79360300</v>
      </c>
      <c r="F797" s="50">
        <v>79213355</v>
      </c>
      <c r="G797" s="50">
        <v>73719598</v>
      </c>
      <c r="H797" s="50">
        <v>0</v>
      </c>
      <c r="I797" s="50">
        <v>0</v>
      </c>
      <c r="J797" s="50">
        <v>0</v>
      </c>
      <c r="K797" s="50">
        <v>62262122.25</v>
      </c>
      <c r="L797" s="50">
        <v>62262122.25</v>
      </c>
      <c r="M797" s="50">
        <v>16951232.75</v>
      </c>
      <c r="N797" s="50">
        <v>11457475.75</v>
      </c>
    </row>
    <row r="798" spans="1:14" hidden="1" x14ac:dyDescent="0.25">
      <c r="A798" s="49" t="s">
        <v>720</v>
      </c>
      <c r="B798" s="49" t="s">
        <v>81</v>
      </c>
      <c r="C798" s="49" t="s">
        <v>82</v>
      </c>
      <c r="D798" s="49" t="s">
        <v>69</v>
      </c>
      <c r="E798" s="50">
        <v>203715000</v>
      </c>
      <c r="F798" s="50">
        <v>199884143</v>
      </c>
      <c r="G798" s="50">
        <v>199884143</v>
      </c>
      <c r="H798" s="50">
        <v>0</v>
      </c>
      <c r="I798" s="50">
        <v>0</v>
      </c>
      <c r="J798" s="50">
        <v>0</v>
      </c>
      <c r="K798" s="50">
        <v>166777408.93000001</v>
      </c>
      <c r="L798" s="50">
        <v>166777408.93000001</v>
      </c>
      <c r="M798" s="50">
        <v>33106734.07</v>
      </c>
      <c r="N798" s="50">
        <v>33106734.07</v>
      </c>
    </row>
    <row r="799" spans="1:14" hidden="1" x14ac:dyDescent="0.25">
      <c r="A799" s="49" t="s">
        <v>720</v>
      </c>
      <c r="B799" s="49" t="s">
        <v>86</v>
      </c>
      <c r="C799" s="49" t="s">
        <v>87</v>
      </c>
      <c r="D799" s="49" t="s">
        <v>69</v>
      </c>
      <c r="E799" s="50">
        <v>53908100</v>
      </c>
      <c r="F799" s="50">
        <v>48408100</v>
      </c>
      <c r="G799" s="50">
        <v>48408100</v>
      </c>
      <c r="H799" s="50">
        <v>0</v>
      </c>
      <c r="I799" s="50">
        <v>0</v>
      </c>
      <c r="J799" s="50">
        <v>0</v>
      </c>
      <c r="K799" s="50">
        <v>47507997.909999996</v>
      </c>
      <c r="L799" s="50">
        <v>47507997.909999996</v>
      </c>
      <c r="M799" s="50">
        <v>900102.09</v>
      </c>
      <c r="N799" s="50">
        <v>900102.09</v>
      </c>
    </row>
    <row r="800" spans="1:14" hidden="1" x14ac:dyDescent="0.25">
      <c r="A800" s="49" t="s">
        <v>720</v>
      </c>
      <c r="B800" s="49" t="s">
        <v>88</v>
      </c>
      <c r="C800" s="49" t="s">
        <v>89</v>
      </c>
      <c r="D800" s="49" t="s">
        <v>69</v>
      </c>
      <c r="E800" s="50">
        <v>60590000</v>
      </c>
      <c r="F800" s="50">
        <v>60155857</v>
      </c>
      <c r="G800" s="50">
        <v>60155857</v>
      </c>
      <c r="H800" s="50">
        <v>0</v>
      </c>
      <c r="I800" s="50">
        <v>0</v>
      </c>
      <c r="J800" s="50">
        <v>0</v>
      </c>
      <c r="K800" s="50">
        <v>48580590.280000001</v>
      </c>
      <c r="L800" s="50">
        <v>48580590.280000001</v>
      </c>
      <c r="M800" s="50">
        <v>11575266.720000001</v>
      </c>
      <c r="N800" s="50">
        <v>11575266.720000001</v>
      </c>
    </row>
    <row r="801" spans="1:14" hidden="1" x14ac:dyDescent="0.25">
      <c r="A801" s="49" t="s">
        <v>720</v>
      </c>
      <c r="B801" s="49" t="s">
        <v>83</v>
      </c>
      <c r="C801" s="49" t="s">
        <v>84</v>
      </c>
      <c r="D801" s="49" t="s">
        <v>85</v>
      </c>
      <c r="E801" s="50">
        <v>58584550</v>
      </c>
      <c r="F801" s="50">
        <v>57298715</v>
      </c>
      <c r="G801" s="50">
        <v>57298715</v>
      </c>
      <c r="H801" s="50">
        <v>0</v>
      </c>
      <c r="I801" s="50">
        <v>0</v>
      </c>
      <c r="J801" s="50">
        <v>0</v>
      </c>
      <c r="K801" s="50">
        <v>0</v>
      </c>
      <c r="L801" s="50">
        <v>0</v>
      </c>
      <c r="M801" s="50">
        <v>57298715</v>
      </c>
      <c r="N801" s="50">
        <v>57298715</v>
      </c>
    </row>
    <row r="802" spans="1:14" hidden="1" x14ac:dyDescent="0.25">
      <c r="A802" s="49" t="s">
        <v>720</v>
      </c>
      <c r="B802" s="49" t="s">
        <v>90</v>
      </c>
      <c r="C802" s="49" t="s">
        <v>91</v>
      </c>
      <c r="D802" s="49" t="s">
        <v>69</v>
      </c>
      <c r="E802" s="50">
        <v>68571682</v>
      </c>
      <c r="F802" s="50">
        <v>67066655</v>
      </c>
      <c r="G802" s="50">
        <v>67066655</v>
      </c>
      <c r="H802" s="50">
        <v>0</v>
      </c>
      <c r="I802" s="50">
        <v>10305630.529999999</v>
      </c>
      <c r="J802" s="50">
        <v>0</v>
      </c>
      <c r="K802" s="50">
        <v>56761024.469999999</v>
      </c>
      <c r="L802" s="50">
        <v>56761024.469999999</v>
      </c>
      <c r="M802" s="50">
        <v>0</v>
      </c>
      <c r="N802" s="50">
        <v>0</v>
      </c>
    </row>
    <row r="803" spans="1:14" hidden="1" x14ac:dyDescent="0.25">
      <c r="A803" s="49" t="s">
        <v>720</v>
      </c>
      <c r="B803" s="49" t="s">
        <v>429</v>
      </c>
      <c r="C803" s="49" t="s">
        <v>697</v>
      </c>
      <c r="D803" s="49" t="s">
        <v>69</v>
      </c>
      <c r="E803" s="50">
        <v>65055209</v>
      </c>
      <c r="F803" s="50">
        <v>63627362</v>
      </c>
      <c r="G803" s="50">
        <v>63627362</v>
      </c>
      <c r="H803" s="50">
        <v>0</v>
      </c>
      <c r="I803" s="50">
        <v>9778030.0600000005</v>
      </c>
      <c r="J803" s="50">
        <v>0</v>
      </c>
      <c r="K803" s="50">
        <v>53849331.939999998</v>
      </c>
      <c r="L803" s="50">
        <v>53849331.939999998</v>
      </c>
      <c r="M803" s="50">
        <v>0</v>
      </c>
      <c r="N803" s="50">
        <v>0</v>
      </c>
    </row>
    <row r="804" spans="1:14" hidden="1" x14ac:dyDescent="0.25">
      <c r="A804" s="49" t="s">
        <v>720</v>
      </c>
      <c r="B804" s="49" t="s">
        <v>446</v>
      </c>
      <c r="C804" s="49" t="s">
        <v>95</v>
      </c>
      <c r="D804" s="49" t="s">
        <v>69</v>
      </c>
      <c r="E804" s="50">
        <v>3516473</v>
      </c>
      <c r="F804" s="50">
        <v>3439293</v>
      </c>
      <c r="G804" s="50">
        <v>3439293</v>
      </c>
      <c r="H804" s="50">
        <v>0</v>
      </c>
      <c r="I804" s="50">
        <v>527600.47</v>
      </c>
      <c r="J804" s="50">
        <v>0</v>
      </c>
      <c r="K804" s="50">
        <v>2911692.53</v>
      </c>
      <c r="L804" s="50">
        <v>2911692.53</v>
      </c>
      <c r="M804" s="50">
        <v>0</v>
      </c>
      <c r="N804" s="50">
        <v>0</v>
      </c>
    </row>
    <row r="805" spans="1:14" hidden="1" x14ac:dyDescent="0.25">
      <c r="A805" s="49" t="s">
        <v>720</v>
      </c>
      <c r="B805" s="49" t="s">
        <v>96</v>
      </c>
      <c r="C805" s="49" t="s">
        <v>97</v>
      </c>
      <c r="D805" s="49" t="s">
        <v>69</v>
      </c>
      <c r="E805" s="50">
        <v>68571582</v>
      </c>
      <c r="F805" s="50">
        <v>67066556</v>
      </c>
      <c r="G805" s="50">
        <v>65480756</v>
      </c>
      <c r="H805" s="50">
        <v>0</v>
      </c>
      <c r="I805" s="50">
        <v>9228933.4299999997</v>
      </c>
      <c r="J805" s="50">
        <v>0</v>
      </c>
      <c r="K805" s="50">
        <v>56251822.57</v>
      </c>
      <c r="L805" s="50">
        <v>56251822.57</v>
      </c>
      <c r="M805" s="50">
        <v>1585800</v>
      </c>
      <c r="N805" s="50">
        <v>0</v>
      </c>
    </row>
    <row r="806" spans="1:14" hidden="1" x14ac:dyDescent="0.25">
      <c r="A806" s="49" t="s">
        <v>720</v>
      </c>
      <c r="B806" s="49" t="s">
        <v>464</v>
      </c>
      <c r="C806" s="49" t="s">
        <v>698</v>
      </c>
      <c r="D806" s="49" t="s">
        <v>69</v>
      </c>
      <c r="E806" s="50">
        <v>36923221</v>
      </c>
      <c r="F806" s="50">
        <v>36112821</v>
      </c>
      <c r="G806" s="50">
        <v>36112821</v>
      </c>
      <c r="H806" s="50">
        <v>0</v>
      </c>
      <c r="I806" s="50">
        <v>6057325.21</v>
      </c>
      <c r="J806" s="50">
        <v>0</v>
      </c>
      <c r="K806" s="50">
        <v>30055495.789999999</v>
      </c>
      <c r="L806" s="50">
        <v>30055495.789999999</v>
      </c>
      <c r="M806" s="50">
        <v>0</v>
      </c>
      <c r="N806" s="50">
        <v>0</v>
      </c>
    </row>
    <row r="807" spans="1:14" hidden="1" x14ac:dyDescent="0.25">
      <c r="A807" s="49" t="s">
        <v>720</v>
      </c>
      <c r="B807" s="49" t="s">
        <v>481</v>
      </c>
      <c r="C807" s="49" t="s">
        <v>699</v>
      </c>
      <c r="D807" s="49" t="s">
        <v>69</v>
      </c>
      <c r="E807" s="50">
        <v>10549420</v>
      </c>
      <c r="F807" s="50">
        <v>10317878</v>
      </c>
      <c r="G807" s="50">
        <v>10317878</v>
      </c>
      <c r="H807" s="50">
        <v>0</v>
      </c>
      <c r="I807" s="50">
        <v>1585764.25</v>
      </c>
      <c r="J807" s="50">
        <v>0</v>
      </c>
      <c r="K807" s="50">
        <v>8732113.75</v>
      </c>
      <c r="L807" s="50">
        <v>8732113.75</v>
      </c>
      <c r="M807" s="50">
        <v>0</v>
      </c>
      <c r="N807" s="50">
        <v>0</v>
      </c>
    </row>
    <row r="808" spans="1:14" hidden="1" x14ac:dyDescent="0.25">
      <c r="A808" s="49" t="s">
        <v>720</v>
      </c>
      <c r="B808" s="49" t="s">
        <v>498</v>
      </c>
      <c r="C808" s="49" t="s">
        <v>700</v>
      </c>
      <c r="D808" s="49" t="s">
        <v>69</v>
      </c>
      <c r="E808" s="50">
        <v>21098941</v>
      </c>
      <c r="F808" s="50">
        <v>20635857</v>
      </c>
      <c r="G808" s="50">
        <v>19050057</v>
      </c>
      <c r="H808" s="50">
        <v>0</v>
      </c>
      <c r="I808" s="50">
        <v>1585843.97</v>
      </c>
      <c r="J808" s="50">
        <v>0</v>
      </c>
      <c r="K808" s="50">
        <v>17464213.030000001</v>
      </c>
      <c r="L808" s="50">
        <v>17464213.030000001</v>
      </c>
      <c r="M808" s="50">
        <v>1585800</v>
      </c>
      <c r="N808" s="50">
        <v>0</v>
      </c>
    </row>
    <row r="809" spans="1:14" hidden="1" x14ac:dyDescent="0.25">
      <c r="A809" s="49" t="s">
        <v>720</v>
      </c>
      <c r="B809" s="49" t="s">
        <v>104</v>
      </c>
      <c r="C809" s="49" t="s">
        <v>105</v>
      </c>
      <c r="D809" s="49" t="s">
        <v>69</v>
      </c>
      <c r="E809" s="50">
        <v>7541300</v>
      </c>
      <c r="F809" s="50">
        <v>1342928</v>
      </c>
      <c r="G809" s="50">
        <v>1342928</v>
      </c>
      <c r="H809" s="50">
        <v>0</v>
      </c>
      <c r="I809" s="50">
        <v>0</v>
      </c>
      <c r="J809" s="50">
        <v>0</v>
      </c>
      <c r="K809" s="50">
        <v>1342926.72</v>
      </c>
      <c r="L809" s="50">
        <v>1342926.72</v>
      </c>
      <c r="M809" s="50">
        <v>1.28</v>
      </c>
      <c r="N809" s="50">
        <v>1.28</v>
      </c>
    </row>
    <row r="810" spans="1:14" hidden="1" x14ac:dyDescent="0.25">
      <c r="A810" s="49" t="s">
        <v>720</v>
      </c>
      <c r="B810" s="49" t="s">
        <v>140</v>
      </c>
      <c r="C810" s="49" t="s">
        <v>141</v>
      </c>
      <c r="D810" s="49" t="s">
        <v>69</v>
      </c>
      <c r="E810" s="50">
        <v>7541300</v>
      </c>
      <c r="F810" s="50">
        <v>1342928</v>
      </c>
      <c r="G810" s="50">
        <v>1342928</v>
      </c>
      <c r="H810" s="50">
        <v>0</v>
      </c>
      <c r="I810" s="50">
        <v>0</v>
      </c>
      <c r="J810" s="50">
        <v>0</v>
      </c>
      <c r="K810" s="50">
        <v>1342926.72</v>
      </c>
      <c r="L810" s="50">
        <v>1342926.72</v>
      </c>
      <c r="M810" s="50">
        <v>1.28</v>
      </c>
      <c r="N810" s="50">
        <v>1.28</v>
      </c>
    </row>
    <row r="811" spans="1:14" hidden="1" x14ac:dyDescent="0.25">
      <c r="A811" s="49" t="s">
        <v>720</v>
      </c>
      <c r="B811" s="49" t="s">
        <v>146</v>
      </c>
      <c r="C811" s="49" t="s">
        <v>147</v>
      </c>
      <c r="D811" s="49" t="s">
        <v>69</v>
      </c>
      <c r="E811" s="50">
        <v>2513800</v>
      </c>
      <c r="F811" s="50">
        <v>434386</v>
      </c>
      <c r="G811" s="50">
        <v>434386</v>
      </c>
      <c r="H811" s="50">
        <v>0</v>
      </c>
      <c r="I811" s="50">
        <v>0</v>
      </c>
      <c r="J811" s="50">
        <v>0</v>
      </c>
      <c r="K811" s="50">
        <v>434385.63</v>
      </c>
      <c r="L811" s="50">
        <v>434385.63</v>
      </c>
      <c r="M811" s="50">
        <v>0.37</v>
      </c>
      <c r="N811" s="50">
        <v>0.37</v>
      </c>
    </row>
    <row r="812" spans="1:14" hidden="1" x14ac:dyDescent="0.25">
      <c r="A812" s="49" t="s">
        <v>720</v>
      </c>
      <c r="B812" s="49" t="s">
        <v>148</v>
      </c>
      <c r="C812" s="49" t="s">
        <v>149</v>
      </c>
      <c r="D812" s="49" t="s">
        <v>69</v>
      </c>
      <c r="E812" s="50">
        <v>5027500</v>
      </c>
      <c r="F812" s="50">
        <v>908542</v>
      </c>
      <c r="G812" s="50">
        <v>908542</v>
      </c>
      <c r="H812" s="50">
        <v>0</v>
      </c>
      <c r="I812" s="50">
        <v>0</v>
      </c>
      <c r="J812" s="50">
        <v>0</v>
      </c>
      <c r="K812" s="50">
        <v>908541.09</v>
      </c>
      <c r="L812" s="50">
        <v>908541.09</v>
      </c>
      <c r="M812" s="50">
        <v>0.91</v>
      </c>
      <c r="N812" s="50">
        <v>0.91</v>
      </c>
    </row>
    <row r="813" spans="1:14" hidden="1" x14ac:dyDescent="0.25">
      <c r="A813" s="49" t="s">
        <v>720</v>
      </c>
      <c r="B813" s="49" t="s">
        <v>248</v>
      </c>
      <c r="C813" s="49" t="s">
        <v>249</v>
      </c>
      <c r="D813" s="49" t="s">
        <v>69</v>
      </c>
      <c r="E813" s="50">
        <v>11674695</v>
      </c>
      <c r="F813" s="50">
        <v>15418456</v>
      </c>
      <c r="G813" s="50">
        <v>15418456</v>
      </c>
      <c r="H813" s="50">
        <v>0</v>
      </c>
      <c r="I813" s="50">
        <v>1993079.36</v>
      </c>
      <c r="J813" s="50">
        <v>0</v>
      </c>
      <c r="K813" s="50">
        <v>10176019.640000001</v>
      </c>
      <c r="L813" s="50">
        <v>10176019.640000001</v>
      </c>
      <c r="M813" s="50">
        <v>3249357</v>
      </c>
      <c r="N813" s="50">
        <v>3249357</v>
      </c>
    </row>
    <row r="814" spans="1:14" hidden="1" x14ac:dyDescent="0.25">
      <c r="A814" s="49" t="s">
        <v>720</v>
      </c>
      <c r="B814" s="49" t="s">
        <v>250</v>
      </c>
      <c r="C814" s="49" t="s">
        <v>251</v>
      </c>
      <c r="D814" s="49" t="s">
        <v>69</v>
      </c>
      <c r="E814" s="50">
        <v>11674695</v>
      </c>
      <c r="F814" s="50">
        <v>11418456</v>
      </c>
      <c r="G814" s="50">
        <v>11418456</v>
      </c>
      <c r="H814" s="50">
        <v>0</v>
      </c>
      <c r="I814" s="50">
        <v>1993079.36</v>
      </c>
      <c r="J814" s="50">
        <v>0</v>
      </c>
      <c r="K814" s="50">
        <v>9425376.6400000006</v>
      </c>
      <c r="L814" s="50">
        <v>9425376.6400000006</v>
      </c>
      <c r="M814" s="50">
        <v>0</v>
      </c>
      <c r="N814" s="50">
        <v>0</v>
      </c>
    </row>
    <row r="815" spans="1:14" hidden="1" x14ac:dyDescent="0.25">
      <c r="A815" s="49" t="s">
        <v>720</v>
      </c>
      <c r="B815" s="49" t="s">
        <v>638</v>
      </c>
      <c r="C815" s="49" t="s">
        <v>702</v>
      </c>
      <c r="D815" s="49" t="s">
        <v>69</v>
      </c>
      <c r="E815" s="50">
        <v>9916509</v>
      </c>
      <c r="F815" s="50">
        <v>9698859</v>
      </c>
      <c r="G815" s="50">
        <v>9698859</v>
      </c>
      <c r="H815" s="50">
        <v>0</v>
      </c>
      <c r="I815" s="50">
        <v>1719887.18</v>
      </c>
      <c r="J815" s="50">
        <v>0</v>
      </c>
      <c r="K815" s="50">
        <v>7978971.8200000003</v>
      </c>
      <c r="L815" s="50">
        <v>7978971.8200000003</v>
      </c>
      <c r="M815" s="50">
        <v>0</v>
      </c>
      <c r="N815" s="50">
        <v>0</v>
      </c>
    </row>
    <row r="816" spans="1:14" hidden="1" x14ac:dyDescent="0.25">
      <c r="A816" s="49" t="s">
        <v>720</v>
      </c>
      <c r="B816" s="49" t="s">
        <v>653</v>
      </c>
      <c r="C816" s="49" t="s">
        <v>703</v>
      </c>
      <c r="D816" s="49" t="s">
        <v>69</v>
      </c>
      <c r="E816" s="50">
        <v>1758186</v>
      </c>
      <c r="F816" s="50">
        <v>1719597</v>
      </c>
      <c r="G816" s="50">
        <v>1719597</v>
      </c>
      <c r="H816" s="50">
        <v>0</v>
      </c>
      <c r="I816" s="50">
        <v>273192.18</v>
      </c>
      <c r="J816" s="50">
        <v>0</v>
      </c>
      <c r="K816" s="50">
        <v>1446404.82</v>
      </c>
      <c r="L816" s="50">
        <v>1446404.82</v>
      </c>
      <c r="M816" s="50">
        <v>0</v>
      </c>
      <c r="N816" s="50">
        <v>0</v>
      </c>
    </row>
    <row r="817" spans="1:14" hidden="1" x14ac:dyDescent="0.25">
      <c r="A817" s="49" t="s">
        <v>720</v>
      </c>
      <c r="B817" s="49" t="s">
        <v>260</v>
      </c>
      <c r="C817" s="49" t="s">
        <v>261</v>
      </c>
      <c r="D817" s="49" t="s">
        <v>69</v>
      </c>
      <c r="E817" s="50">
        <v>0</v>
      </c>
      <c r="F817" s="50">
        <v>4000000</v>
      </c>
      <c r="G817" s="50">
        <v>4000000</v>
      </c>
      <c r="H817" s="50">
        <v>0</v>
      </c>
      <c r="I817" s="50">
        <v>0</v>
      </c>
      <c r="J817" s="50">
        <v>0</v>
      </c>
      <c r="K817" s="50">
        <v>750643</v>
      </c>
      <c r="L817" s="50">
        <v>750643</v>
      </c>
      <c r="M817" s="50">
        <v>3249357</v>
      </c>
      <c r="N817" s="50">
        <v>3249357</v>
      </c>
    </row>
    <row r="818" spans="1:14" hidden="1" x14ac:dyDescent="0.25">
      <c r="A818" s="49" t="s">
        <v>720</v>
      </c>
      <c r="B818" s="49" t="s">
        <v>264</v>
      </c>
      <c r="C818" s="49" t="s">
        <v>265</v>
      </c>
      <c r="D818" s="49" t="s">
        <v>69</v>
      </c>
      <c r="E818" s="50">
        <v>0</v>
      </c>
      <c r="F818" s="50">
        <v>4000000</v>
      </c>
      <c r="G818" s="50">
        <v>4000000</v>
      </c>
      <c r="H818" s="50">
        <v>0</v>
      </c>
      <c r="I818" s="50">
        <v>0</v>
      </c>
      <c r="J818" s="50">
        <v>0</v>
      </c>
      <c r="K818" s="50">
        <v>750643</v>
      </c>
      <c r="L818" s="50">
        <v>750643</v>
      </c>
      <c r="M818" s="50">
        <v>3249357</v>
      </c>
      <c r="N818" s="50">
        <v>3249357</v>
      </c>
    </row>
    <row r="819" spans="1:14" x14ac:dyDescent="0.25">
      <c r="A819" s="49">
        <v>214794</v>
      </c>
      <c r="B819" s="49"/>
      <c r="C819" s="49"/>
      <c r="D819" s="49" t="s">
        <v>69</v>
      </c>
      <c r="E819" s="50">
        <v>13895221022</v>
      </c>
      <c r="F819" s="50">
        <v>12934636749</v>
      </c>
      <c r="G819" s="50">
        <v>12641812223</v>
      </c>
      <c r="H819" s="50">
        <v>0</v>
      </c>
      <c r="I819" s="50">
        <v>406303233.66000003</v>
      </c>
      <c r="J819" s="50">
        <v>0</v>
      </c>
      <c r="K819" s="50">
        <v>9542149050.0400009</v>
      </c>
      <c r="L819" s="50">
        <v>9542149050.0400009</v>
      </c>
      <c r="M819" s="50">
        <v>2986184465.3000002</v>
      </c>
      <c r="N819" s="50">
        <v>2693359939.3000002</v>
      </c>
    </row>
    <row r="820" spans="1:14" hidden="1" x14ac:dyDescent="0.25">
      <c r="A820" s="49" t="s">
        <v>721</v>
      </c>
      <c r="B820" s="49" t="s">
        <v>71</v>
      </c>
      <c r="C820" s="49" t="s">
        <v>72</v>
      </c>
      <c r="D820" s="49" t="s">
        <v>69</v>
      </c>
      <c r="E820" s="50">
        <v>13427888280</v>
      </c>
      <c r="F820" s="50">
        <v>12413006668</v>
      </c>
      <c r="G820" s="50">
        <v>12122112181</v>
      </c>
      <c r="H820" s="50">
        <v>0</v>
      </c>
      <c r="I820" s="50">
        <v>355557005.42000002</v>
      </c>
      <c r="J820" s="50">
        <v>0</v>
      </c>
      <c r="K820" s="50">
        <v>9108621938.7800007</v>
      </c>
      <c r="L820" s="50">
        <v>9108621938.7800007</v>
      </c>
      <c r="M820" s="50">
        <v>2948827723.8000002</v>
      </c>
      <c r="N820" s="50">
        <v>2657933236.8000002</v>
      </c>
    </row>
    <row r="821" spans="1:14" hidden="1" x14ac:dyDescent="0.25">
      <c r="A821" s="49" t="s">
        <v>721</v>
      </c>
      <c r="B821" s="49" t="s">
        <v>73</v>
      </c>
      <c r="C821" s="49" t="s">
        <v>74</v>
      </c>
      <c r="D821" s="49" t="s">
        <v>69</v>
      </c>
      <c r="E821" s="50">
        <v>4501527400</v>
      </c>
      <c r="F821" s="50">
        <v>4029440306</v>
      </c>
      <c r="G821" s="50">
        <v>3967779098</v>
      </c>
      <c r="H821" s="50">
        <v>0</v>
      </c>
      <c r="I821" s="50">
        <v>0</v>
      </c>
      <c r="J821" s="50">
        <v>0</v>
      </c>
      <c r="K821" s="50">
        <v>3146311612.0799999</v>
      </c>
      <c r="L821" s="50">
        <v>3146311612.0799999</v>
      </c>
      <c r="M821" s="50">
        <v>883128693.91999996</v>
      </c>
      <c r="N821" s="50">
        <v>821467485.91999996</v>
      </c>
    </row>
    <row r="822" spans="1:14" hidden="1" x14ac:dyDescent="0.25">
      <c r="A822" s="49" t="s">
        <v>721</v>
      </c>
      <c r="B822" s="49" t="s">
        <v>75</v>
      </c>
      <c r="C822" s="49" t="s">
        <v>76</v>
      </c>
      <c r="D822" s="49" t="s">
        <v>69</v>
      </c>
      <c r="E822" s="50">
        <v>4501527400</v>
      </c>
      <c r="F822" s="50">
        <v>4029440306</v>
      </c>
      <c r="G822" s="50">
        <v>3967779098</v>
      </c>
      <c r="H822" s="50">
        <v>0</v>
      </c>
      <c r="I822" s="50">
        <v>0</v>
      </c>
      <c r="J822" s="50">
        <v>0</v>
      </c>
      <c r="K822" s="50">
        <v>3146311612.0799999</v>
      </c>
      <c r="L822" s="50">
        <v>3146311612.0799999</v>
      </c>
      <c r="M822" s="50">
        <v>883128693.91999996</v>
      </c>
      <c r="N822" s="50">
        <v>821467485.91999996</v>
      </c>
    </row>
    <row r="823" spans="1:14" hidden="1" x14ac:dyDescent="0.25">
      <c r="A823" s="49" t="s">
        <v>721</v>
      </c>
      <c r="B823" s="49" t="s">
        <v>77</v>
      </c>
      <c r="C823" s="49" t="s">
        <v>78</v>
      </c>
      <c r="D823" s="49" t="s">
        <v>69</v>
      </c>
      <c r="E823" s="50">
        <v>6803353044</v>
      </c>
      <c r="F823" s="50">
        <v>6417455879</v>
      </c>
      <c r="G823" s="50">
        <v>6260815407</v>
      </c>
      <c r="H823" s="50">
        <v>0</v>
      </c>
      <c r="I823" s="50">
        <v>1406971.99</v>
      </c>
      <c r="J823" s="50">
        <v>0</v>
      </c>
      <c r="K823" s="50">
        <v>4448745332.1300001</v>
      </c>
      <c r="L823" s="50">
        <v>4448745332.1300001</v>
      </c>
      <c r="M823" s="50">
        <v>1967303574.8800001</v>
      </c>
      <c r="N823" s="50">
        <v>1810663102.8800001</v>
      </c>
    </row>
    <row r="824" spans="1:14" hidden="1" x14ac:dyDescent="0.25">
      <c r="A824" s="49" t="s">
        <v>721</v>
      </c>
      <c r="B824" s="49" t="s">
        <v>79</v>
      </c>
      <c r="C824" s="49" t="s">
        <v>80</v>
      </c>
      <c r="D824" s="49" t="s">
        <v>69</v>
      </c>
      <c r="E824" s="50">
        <v>1381150100</v>
      </c>
      <c r="F824" s="50">
        <v>1294704804</v>
      </c>
      <c r="G824" s="50">
        <v>1277656872</v>
      </c>
      <c r="H824" s="50">
        <v>0</v>
      </c>
      <c r="I824" s="50">
        <v>0</v>
      </c>
      <c r="J824" s="50">
        <v>0</v>
      </c>
      <c r="K824" s="50">
        <v>1023623949.96</v>
      </c>
      <c r="L824" s="50">
        <v>1023623949.96</v>
      </c>
      <c r="M824" s="50">
        <v>271080854.04000002</v>
      </c>
      <c r="N824" s="50">
        <v>254032922.03999999</v>
      </c>
    </row>
    <row r="825" spans="1:14" hidden="1" x14ac:dyDescent="0.25">
      <c r="A825" s="49" t="s">
        <v>721</v>
      </c>
      <c r="B825" s="49" t="s">
        <v>81</v>
      </c>
      <c r="C825" s="49" t="s">
        <v>82</v>
      </c>
      <c r="D825" s="49" t="s">
        <v>69</v>
      </c>
      <c r="E825" s="50">
        <v>2537511300</v>
      </c>
      <c r="F825" s="50">
        <v>2358775473</v>
      </c>
      <c r="G825" s="50">
        <v>2302201510</v>
      </c>
      <c r="H825" s="50">
        <v>0</v>
      </c>
      <c r="I825" s="50">
        <v>0</v>
      </c>
      <c r="J825" s="50">
        <v>0</v>
      </c>
      <c r="K825" s="50">
        <v>1830775812.45</v>
      </c>
      <c r="L825" s="50">
        <v>1830775812.45</v>
      </c>
      <c r="M825" s="50">
        <v>527999660.55000001</v>
      </c>
      <c r="N825" s="50">
        <v>471425697.55000001</v>
      </c>
    </row>
    <row r="826" spans="1:14" hidden="1" x14ac:dyDescent="0.25">
      <c r="A826" s="49" t="s">
        <v>721</v>
      </c>
      <c r="B826" s="49" t="s">
        <v>86</v>
      </c>
      <c r="C826" s="49" t="s">
        <v>87</v>
      </c>
      <c r="D826" s="49" t="s">
        <v>69</v>
      </c>
      <c r="E826" s="50">
        <v>799025700</v>
      </c>
      <c r="F826" s="50">
        <v>799025700</v>
      </c>
      <c r="G826" s="50">
        <v>799025700</v>
      </c>
      <c r="H826" s="50">
        <v>0</v>
      </c>
      <c r="I826" s="50">
        <v>1406971.99</v>
      </c>
      <c r="J826" s="50">
        <v>0</v>
      </c>
      <c r="K826" s="50">
        <v>721184844.02999997</v>
      </c>
      <c r="L826" s="50">
        <v>721184844.02999997</v>
      </c>
      <c r="M826" s="50">
        <v>76433883.980000004</v>
      </c>
      <c r="N826" s="50">
        <v>76433883.980000004</v>
      </c>
    </row>
    <row r="827" spans="1:14" hidden="1" x14ac:dyDescent="0.25">
      <c r="A827" s="49" t="s">
        <v>721</v>
      </c>
      <c r="B827" s="49" t="s">
        <v>88</v>
      </c>
      <c r="C827" s="49" t="s">
        <v>89</v>
      </c>
      <c r="D827" s="49" t="s">
        <v>69</v>
      </c>
      <c r="E827" s="50">
        <v>1216380900</v>
      </c>
      <c r="F827" s="50">
        <v>1138116206</v>
      </c>
      <c r="G827" s="50">
        <v>1063011069</v>
      </c>
      <c r="H827" s="50">
        <v>0</v>
      </c>
      <c r="I827" s="50">
        <v>0</v>
      </c>
      <c r="J827" s="50">
        <v>0</v>
      </c>
      <c r="K827" s="50">
        <v>872818805.09000003</v>
      </c>
      <c r="L827" s="50">
        <v>872818805.09000003</v>
      </c>
      <c r="M827" s="50">
        <v>265297400.91</v>
      </c>
      <c r="N827" s="50">
        <v>190192263.91</v>
      </c>
    </row>
    <row r="828" spans="1:14" hidden="1" x14ac:dyDescent="0.25">
      <c r="A828" s="49" t="s">
        <v>721</v>
      </c>
      <c r="B828" s="49" t="s">
        <v>83</v>
      </c>
      <c r="C828" s="49" t="s">
        <v>84</v>
      </c>
      <c r="D828" s="49" t="s">
        <v>85</v>
      </c>
      <c r="E828" s="50">
        <v>869285044</v>
      </c>
      <c r="F828" s="50">
        <v>826833696</v>
      </c>
      <c r="G828" s="50">
        <v>818920256</v>
      </c>
      <c r="H828" s="50">
        <v>0</v>
      </c>
      <c r="I828" s="50">
        <v>0</v>
      </c>
      <c r="J828" s="50">
        <v>0</v>
      </c>
      <c r="K828" s="50">
        <v>341920.6</v>
      </c>
      <c r="L828" s="50">
        <v>341920.6</v>
      </c>
      <c r="M828" s="50">
        <v>826491775.39999998</v>
      </c>
      <c r="N828" s="50">
        <v>818578335.39999998</v>
      </c>
    </row>
    <row r="829" spans="1:14" hidden="1" x14ac:dyDescent="0.25">
      <c r="A829" s="49" t="s">
        <v>721</v>
      </c>
      <c r="B829" s="49" t="s">
        <v>90</v>
      </c>
      <c r="C829" s="49" t="s">
        <v>91</v>
      </c>
      <c r="D829" s="49" t="s">
        <v>69</v>
      </c>
      <c r="E829" s="50">
        <v>1017470468</v>
      </c>
      <c r="F829" s="50">
        <v>939021791</v>
      </c>
      <c r="G829" s="50">
        <v>929763051</v>
      </c>
      <c r="H829" s="50">
        <v>0</v>
      </c>
      <c r="I829" s="50">
        <v>188418078</v>
      </c>
      <c r="J829" s="50">
        <v>0</v>
      </c>
      <c r="K829" s="50">
        <v>741344973</v>
      </c>
      <c r="L829" s="50">
        <v>741344973</v>
      </c>
      <c r="M829" s="50">
        <v>9258740</v>
      </c>
      <c r="N829" s="50">
        <v>0</v>
      </c>
    </row>
    <row r="830" spans="1:14" hidden="1" x14ac:dyDescent="0.25">
      <c r="A830" s="49" t="s">
        <v>721</v>
      </c>
      <c r="B830" s="49" t="s">
        <v>430</v>
      </c>
      <c r="C830" s="49" t="s">
        <v>697</v>
      </c>
      <c r="D830" s="49" t="s">
        <v>69</v>
      </c>
      <c r="E830" s="50">
        <v>965292547</v>
      </c>
      <c r="F830" s="50">
        <v>890867212</v>
      </c>
      <c r="G830" s="50">
        <v>882083282</v>
      </c>
      <c r="H830" s="50">
        <v>0</v>
      </c>
      <c r="I830" s="50">
        <v>178754826</v>
      </c>
      <c r="J830" s="50">
        <v>0</v>
      </c>
      <c r="K830" s="50">
        <v>703328456</v>
      </c>
      <c r="L830" s="50">
        <v>703328456</v>
      </c>
      <c r="M830" s="50">
        <v>8783930</v>
      </c>
      <c r="N830" s="50">
        <v>0</v>
      </c>
    </row>
    <row r="831" spans="1:14" hidden="1" x14ac:dyDescent="0.25">
      <c r="A831" s="49" t="s">
        <v>721</v>
      </c>
      <c r="B831" s="49" t="s">
        <v>447</v>
      </c>
      <c r="C831" s="49" t="s">
        <v>95</v>
      </c>
      <c r="D831" s="49" t="s">
        <v>69</v>
      </c>
      <c r="E831" s="50">
        <v>52177921</v>
      </c>
      <c r="F831" s="50">
        <v>48154579</v>
      </c>
      <c r="G831" s="50">
        <v>47679769</v>
      </c>
      <c r="H831" s="50">
        <v>0</v>
      </c>
      <c r="I831" s="50">
        <v>9663252</v>
      </c>
      <c r="J831" s="50">
        <v>0</v>
      </c>
      <c r="K831" s="50">
        <v>38016517</v>
      </c>
      <c r="L831" s="50">
        <v>38016517</v>
      </c>
      <c r="M831" s="50">
        <v>474810</v>
      </c>
      <c r="N831" s="50">
        <v>0</v>
      </c>
    </row>
    <row r="832" spans="1:14" hidden="1" x14ac:dyDescent="0.25">
      <c r="A832" s="49" t="s">
        <v>721</v>
      </c>
      <c r="B832" s="49" t="s">
        <v>96</v>
      </c>
      <c r="C832" s="49" t="s">
        <v>97</v>
      </c>
      <c r="D832" s="49" t="s">
        <v>69</v>
      </c>
      <c r="E832" s="50">
        <v>1105537368</v>
      </c>
      <c r="F832" s="50">
        <v>1027088692</v>
      </c>
      <c r="G832" s="50">
        <v>963754625</v>
      </c>
      <c r="H832" s="50">
        <v>0</v>
      </c>
      <c r="I832" s="50">
        <v>165731955.43000001</v>
      </c>
      <c r="J832" s="50">
        <v>0</v>
      </c>
      <c r="K832" s="50">
        <v>772220021.57000005</v>
      </c>
      <c r="L832" s="50">
        <v>772220021.57000005</v>
      </c>
      <c r="M832" s="50">
        <v>89136715</v>
      </c>
      <c r="N832" s="50">
        <v>25802648</v>
      </c>
    </row>
    <row r="833" spans="1:14" hidden="1" x14ac:dyDescent="0.25">
      <c r="A833" s="49" t="s">
        <v>721</v>
      </c>
      <c r="B833" s="49" t="s">
        <v>465</v>
      </c>
      <c r="C833" s="49" t="s">
        <v>698</v>
      </c>
      <c r="D833" s="49" t="s">
        <v>69</v>
      </c>
      <c r="E833" s="50">
        <v>547868675</v>
      </c>
      <c r="F833" s="50">
        <v>505627080</v>
      </c>
      <c r="G833" s="50">
        <v>475557312</v>
      </c>
      <c r="H833" s="50">
        <v>0</v>
      </c>
      <c r="I833" s="50">
        <v>87751283</v>
      </c>
      <c r="J833" s="50">
        <v>0</v>
      </c>
      <c r="K833" s="50">
        <v>362721731</v>
      </c>
      <c r="L833" s="50">
        <v>362721731</v>
      </c>
      <c r="M833" s="50">
        <v>55154066</v>
      </c>
      <c r="N833" s="50">
        <v>25084298</v>
      </c>
    </row>
    <row r="834" spans="1:14" hidden="1" x14ac:dyDescent="0.25">
      <c r="A834" s="49" t="s">
        <v>721</v>
      </c>
      <c r="B834" s="49" t="s">
        <v>482</v>
      </c>
      <c r="C834" s="49" t="s">
        <v>699</v>
      </c>
      <c r="D834" s="49" t="s">
        <v>69</v>
      </c>
      <c r="E834" s="50">
        <v>156533864</v>
      </c>
      <c r="F834" s="50">
        <v>144464837</v>
      </c>
      <c r="G834" s="50">
        <v>143040417</v>
      </c>
      <c r="H834" s="50">
        <v>0</v>
      </c>
      <c r="I834" s="50">
        <v>28991039</v>
      </c>
      <c r="J834" s="50">
        <v>0</v>
      </c>
      <c r="K834" s="50">
        <v>114049378</v>
      </c>
      <c r="L834" s="50">
        <v>114049378</v>
      </c>
      <c r="M834" s="50">
        <v>1424420</v>
      </c>
      <c r="N834" s="50">
        <v>0</v>
      </c>
    </row>
    <row r="835" spans="1:14" hidden="1" x14ac:dyDescent="0.25">
      <c r="A835" s="49" t="s">
        <v>721</v>
      </c>
      <c r="B835" s="49" t="s">
        <v>499</v>
      </c>
      <c r="C835" s="49" t="s">
        <v>700</v>
      </c>
      <c r="D835" s="49" t="s">
        <v>69</v>
      </c>
      <c r="E835" s="50">
        <v>313067829</v>
      </c>
      <c r="F835" s="50">
        <v>288929775</v>
      </c>
      <c r="G835" s="50">
        <v>257089896</v>
      </c>
      <c r="H835" s="50">
        <v>0</v>
      </c>
      <c r="I835" s="50">
        <v>28990973</v>
      </c>
      <c r="J835" s="50">
        <v>0</v>
      </c>
      <c r="K835" s="50">
        <v>228098923</v>
      </c>
      <c r="L835" s="50">
        <v>228098923</v>
      </c>
      <c r="M835" s="50">
        <v>31839879</v>
      </c>
      <c r="N835" s="50">
        <v>0</v>
      </c>
    </row>
    <row r="836" spans="1:14" hidden="1" x14ac:dyDescent="0.25">
      <c r="A836" s="49" t="s">
        <v>721</v>
      </c>
      <c r="B836" s="49" t="s">
        <v>516</v>
      </c>
      <c r="C836" s="49" t="s">
        <v>722</v>
      </c>
      <c r="D836" s="49" t="s">
        <v>69</v>
      </c>
      <c r="E836" s="50">
        <v>88067000</v>
      </c>
      <c r="F836" s="50">
        <v>88067000</v>
      </c>
      <c r="G836" s="50">
        <v>88067000</v>
      </c>
      <c r="H836" s="50">
        <v>0</v>
      </c>
      <c r="I836" s="50">
        <v>19998660.43</v>
      </c>
      <c r="J836" s="50">
        <v>0</v>
      </c>
      <c r="K836" s="50">
        <v>67349989.569999993</v>
      </c>
      <c r="L836" s="50">
        <v>67349989.569999993</v>
      </c>
      <c r="M836" s="50">
        <v>718350</v>
      </c>
      <c r="N836" s="50">
        <v>718350</v>
      </c>
    </row>
    <row r="837" spans="1:14" hidden="1" x14ac:dyDescent="0.25">
      <c r="A837" s="49" t="s">
        <v>721</v>
      </c>
      <c r="B837" s="49" t="s">
        <v>104</v>
      </c>
      <c r="C837" s="49" t="s">
        <v>105</v>
      </c>
      <c r="D837" s="49" t="s">
        <v>69</v>
      </c>
      <c r="E837" s="50">
        <v>45500000</v>
      </c>
      <c r="F837" s="50">
        <v>44866179</v>
      </c>
      <c r="G837" s="50">
        <v>44866179</v>
      </c>
      <c r="H837" s="50">
        <v>0</v>
      </c>
      <c r="I837" s="50">
        <v>886800</v>
      </c>
      <c r="J837" s="50">
        <v>0</v>
      </c>
      <c r="K837" s="50">
        <v>43979379</v>
      </c>
      <c r="L837" s="50">
        <v>43979379</v>
      </c>
      <c r="M837" s="50">
        <v>0</v>
      </c>
      <c r="N837" s="50">
        <v>0</v>
      </c>
    </row>
    <row r="838" spans="1:14" hidden="1" x14ac:dyDescent="0.25">
      <c r="A838" s="49" t="s">
        <v>721</v>
      </c>
      <c r="B838" s="49" t="s">
        <v>150</v>
      </c>
      <c r="C838" s="49" t="s">
        <v>151</v>
      </c>
      <c r="D838" s="49" t="s">
        <v>69</v>
      </c>
      <c r="E838" s="50">
        <v>45500000</v>
      </c>
      <c r="F838" s="50">
        <v>44866179</v>
      </c>
      <c r="G838" s="50">
        <v>44866179</v>
      </c>
      <c r="H838" s="50">
        <v>0</v>
      </c>
      <c r="I838" s="50">
        <v>886800</v>
      </c>
      <c r="J838" s="50">
        <v>0</v>
      </c>
      <c r="K838" s="50">
        <v>43979379</v>
      </c>
      <c r="L838" s="50">
        <v>43979379</v>
      </c>
      <c r="M838" s="50">
        <v>0</v>
      </c>
      <c r="N838" s="50">
        <v>0</v>
      </c>
    </row>
    <row r="839" spans="1:14" hidden="1" x14ac:dyDescent="0.25">
      <c r="A839" s="49" t="s">
        <v>721</v>
      </c>
      <c r="B839" s="49" t="s">
        <v>152</v>
      </c>
      <c r="C839" s="49" t="s">
        <v>153</v>
      </c>
      <c r="D839" s="49" t="s">
        <v>69</v>
      </c>
      <c r="E839" s="50">
        <v>45500000</v>
      </c>
      <c r="F839" s="50">
        <v>44866179</v>
      </c>
      <c r="G839" s="50">
        <v>44866179</v>
      </c>
      <c r="H839" s="50">
        <v>0</v>
      </c>
      <c r="I839" s="50">
        <v>886800</v>
      </c>
      <c r="J839" s="50">
        <v>0</v>
      </c>
      <c r="K839" s="50">
        <v>43979379</v>
      </c>
      <c r="L839" s="50">
        <v>43979379</v>
      </c>
      <c r="M839" s="50">
        <v>0</v>
      </c>
      <c r="N839" s="50">
        <v>0</v>
      </c>
    </row>
    <row r="840" spans="1:14" hidden="1" x14ac:dyDescent="0.25">
      <c r="A840" s="49" t="s">
        <v>721</v>
      </c>
      <c r="B840" s="49" t="s">
        <v>248</v>
      </c>
      <c r="C840" s="49" t="s">
        <v>249</v>
      </c>
      <c r="D840" s="49" t="s">
        <v>69</v>
      </c>
      <c r="E840" s="50">
        <v>421832742</v>
      </c>
      <c r="F840" s="50">
        <v>476763902</v>
      </c>
      <c r="G840" s="50">
        <v>474833863</v>
      </c>
      <c r="H840" s="50">
        <v>0</v>
      </c>
      <c r="I840" s="50">
        <v>49859428.240000002</v>
      </c>
      <c r="J840" s="50">
        <v>0</v>
      </c>
      <c r="K840" s="50">
        <v>389547732.25999999</v>
      </c>
      <c r="L840" s="50">
        <v>389547732.25999999</v>
      </c>
      <c r="M840" s="50">
        <v>37356741.5</v>
      </c>
      <c r="N840" s="50">
        <v>35426702.5</v>
      </c>
    </row>
    <row r="841" spans="1:14" hidden="1" x14ac:dyDescent="0.25">
      <c r="A841" s="49" t="s">
        <v>721</v>
      </c>
      <c r="B841" s="49" t="s">
        <v>250</v>
      </c>
      <c r="C841" s="49" t="s">
        <v>251</v>
      </c>
      <c r="D841" s="49" t="s">
        <v>69</v>
      </c>
      <c r="E841" s="50">
        <v>173230842</v>
      </c>
      <c r="F841" s="50">
        <v>159875033</v>
      </c>
      <c r="G841" s="50">
        <v>157944994</v>
      </c>
      <c r="H841" s="50">
        <v>0</v>
      </c>
      <c r="I841" s="50">
        <v>33799021.890000001</v>
      </c>
      <c r="J841" s="50">
        <v>0</v>
      </c>
      <c r="K841" s="50">
        <v>123792283.11</v>
      </c>
      <c r="L841" s="50">
        <v>123792283.11</v>
      </c>
      <c r="M841" s="50">
        <v>2283728</v>
      </c>
      <c r="N841" s="50">
        <v>353689</v>
      </c>
    </row>
    <row r="842" spans="1:14" hidden="1" x14ac:dyDescent="0.25">
      <c r="A842" s="49" t="s">
        <v>721</v>
      </c>
      <c r="B842" s="49" t="s">
        <v>639</v>
      </c>
      <c r="C842" s="49" t="s">
        <v>702</v>
      </c>
      <c r="D842" s="49" t="s">
        <v>69</v>
      </c>
      <c r="E842" s="50">
        <v>147141882</v>
      </c>
      <c r="F842" s="50">
        <v>135797244</v>
      </c>
      <c r="G842" s="50">
        <v>134104605</v>
      </c>
      <c r="H842" s="50">
        <v>0</v>
      </c>
      <c r="I842" s="50">
        <v>28966871.289999999</v>
      </c>
      <c r="J842" s="50">
        <v>0</v>
      </c>
      <c r="K842" s="50">
        <v>104784044.70999999</v>
      </c>
      <c r="L842" s="50">
        <v>104784044.70999999</v>
      </c>
      <c r="M842" s="50">
        <v>2046328</v>
      </c>
      <c r="N842" s="50">
        <v>353689</v>
      </c>
    </row>
    <row r="843" spans="1:14" hidden="1" x14ac:dyDescent="0.25">
      <c r="A843" s="49" t="s">
        <v>721</v>
      </c>
      <c r="B843" s="49" t="s">
        <v>654</v>
      </c>
      <c r="C843" s="49" t="s">
        <v>703</v>
      </c>
      <c r="D843" s="49" t="s">
        <v>69</v>
      </c>
      <c r="E843" s="50">
        <v>26088960</v>
      </c>
      <c r="F843" s="50">
        <v>24077789</v>
      </c>
      <c r="G843" s="50">
        <v>23840389</v>
      </c>
      <c r="H843" s="50">
        <v>0</v>
      </c>
      <c r="I843" s="50">
        <v>4832150.5999999996</v>
      </c>
      <c r="J843" s="50">
        <v>0</v>
      </c>
      <c r="K843" s="50">
        <v>19008238.399999999</v>
      </c>
      <c r="L843" s="50">
        <v>19008238.399999999</v>
      </c>
      <c r="M843" s="50">
        <v>237400</v>
      </c>
      <c r="N843" s="50">
        <v>0</v>
      </c>
    </row>
    <row r="844" spans="1:14" hidden="1" x14ac:dyDescent="0.25">
      <c r="A844" s="49" t="s">
        <v>721</v>
      </c>
      <c r="B844" s="49" t="s">
        <v>260</v>
      </c>
      <c r="C844" s="49" t="s">
        <v>261</v>
      </c>
      <c r="D844" s="49" t="s">
        <v>69</v>
      </c>
      <c r="E844" s="50">
        <v>223601900</v>
      </c>
      <c r="F844" s="50">
        <v>291888869</v>
      </c>
      <c r="G844" s="50">
        <v>291888869</v>
      </c>
      <c r="H844" s="50">
        <v>0</v>
      </c>
      <c r="I844" s="50">
        <v>6821478.3200000003</v>
      </c>
      <c r="J844" s="50">
        <v>0</v>
      </c>
      <c r="K844" s="50">
        <v>251044377.18000001</v>
      </c>
      <c r="L844" s="50">
        <v>251044377.18000001</v>
      </c>
      <c r="M844" s="50">
        <v>34023013.5</v>
      </c>
      <c r="N844" s="50">
        <v>34023013.5</v>
      </c>
    </row>
    <row r="845" spans="1:14" hidden="1" x14ac:dyDescent="0.25">
      <c r="A845" s="49" t="s">
        <v>721</v>
      </c>
      <c r="B845" s="49" t="s">
        <v>262</v>
      </c>
      <c r="C845" s="49" t="s">
        <v>263</v>
      </c>
      <c r="D845" s="49" t="s">
        <v>69</v>
      </c>
      <c r="E845" s="50">
        <v>150213900</v>
      </c>
      <c r="F845" s="50">
        <v>218500869</v>
      </c>
      <c r="G845" s="50">
        <v>218500869</v>
      </c>
      <c r="H845" s="50">
        <v>0</v>
      </c>
      <c r="I845" s="50">
        <v>6821478.3200000003</v>
      </c>
      <c r="J845" s="50">
        <v>0</v>
      </c>
      <c r="K845" s="50">
        <v>200382850.68000001</v>
      </c>
      <c r="L845" s="50">
        <v>200382850.68000001</v>
      </c>
      <c r="M845" s="50">
        <v>11296540</v>
      </c>
      <c r="N845" s="50">
        <v>11296540</v>
      </c>
    </row>
    <row r="846" spans="1:14" hidden="1" x14ac:dyDescent="0.25">
      <c r="A846" s="49" t="s">
        <v>721</v>
      </c>
      <c r="B846" s="49" t="s">
        <v>264</v>
      </c>
      <c r="C846" s="49" t="s">
        <v>265</v>
      </c>
      <c r="D846" s="49" t="s">
        <v>69</v>
      </c>
      <c r="E846" s="50">
        <v>73388000</v>
      </c>
      <c r="F846" s="50">
        <v>73388000</v>
      </c>
      <c r="G846" s="50">
        <v>73388000</v>
      </c>
      <c r="H846" s="50">
        <v>0</v>
      </c>
      <c r="I846" s="50">
        <v>0</v>
      </c>
      <c r="J846" s="50">
        <v>0</v>
      </c>
      <c r="K846" s="50">
        <v>50661526.5</v>
      </c>
      <c r="L846" s="50">
        <v>50661526.5</v>
      </c>
      <c r="M846" s="50">
        <v>22726473.5</v>
      </c>
      <c r="N846" s="50">
        <v>22726473.5</v>
      </c>
    </row>
    <row r="847" spans="1:14" hidden="1" x14ac:dyDescent="0.25">
      <c r="A847" s="49" t="s">
        <v>721</v>
      </c>
      <c r="B847" s="49" t="s">
        <v>286</v>
      </c>
      <c r="C847" s="49" t="s">
        <v>287</v>
      </c>
      <c r="D847" s="49" t="s">
        <v>69</v>
      </c>
      <c r="E847" s="50">
        <v>25000000</v>
      </c>
      <c r="F847" s="50">
        <v>25000000</v>
      </c>
      <c r="G847" s="50">
        <v>25000000</v>
      </c>
      <c r="H847" s="50">
        <v>0</v>
      </c>
      <c r="I847" s="50">
        <v>9238928.0299999993</v>
      </c>
      <c r="J847" s="50">
        <v>0</v>
      </c>
      <c r="K847" s="50">
        <v>14711071.970000001</v>
      </c>
      <c r="L847" s="50">
        <v>14711071.970000001</v>
      </c>
      <c r="M847" s="50">
        <v>1050000</v>
      </c>
      <c r="N847" s="50">
        <v>1050000</v>
      </c>
    </row>
    <row r="848" spans="1:14" hidden="1" x14ac:dyDescent="0.25">
      <c r="A848" s="49" t="s">
        <v>721</v>
      </c>
      <c r="B848" s="49" t="s">
        <v>288</v>
      </c>
      <c r="C848" s="49" t="s">
        <v>289</v>
      </c>
      <c r="D848" s="49" t="s">
        <v>69</v>
      </c>
      <c r="E848" s="50">
        <v>10000000</v>
      </c>
      <c r="F848" s="50">
        <v>10000000</v>
      </c>
      <c r="G848" s="50">
        <v>10000000</v>
      </c>
      <c r="H848" s="50">
        <v>0</v>
      </c>
      <c r="I848" s="50">
        <v>5343181.66</v>
      </c>
      <c r="J848" s="50">
        <v>0</v>
      </c>
      <c r="K848" s="50">
        <v>4356818.34</v>
      </c>
      <c r="L848" s="50">
        <v>4356818.34</v>
      </c>
      <c r="M848" s="50">
        <v>300000</v>
      </c>
      <c r="N848" s="50">
        <v>300000</v>
      </c>
    </row>
    <row r="849" spans="1:14" hidden="1" x14ac:dyDescent="0.25">
      <c r="A849" s="49" t="s">
        <v>721</v>
      </c>
      <c r="B849" s="49" t="s">
        <v>370</v>
      </c>
      <c r="C849" s="49" t="s">
        <v>371</v>
      </c>
      <c r="D849" s="49" t="s">
        <v>69</v>
      </c>
      <c r="E849" s="50">
        <v>15000000</v>
      </c>
      <c r="F849" s="50">
        <v>15000000</v>
      </c>
      <c r="G849" s="50">
        <v>15000000</v>
      </c>
      <c r="H849" s="50">
        <v>0</v>
      </c>
      <c r="I849" s="50">
        <v>3895746.37</v>
      </c>
      <c r="J849" s="50">
        <v>0</v>
      </c>
      <c r="K849" s="50">
        <v>10354253.630000001</v>
      </c>
      <c r="L849" s="50">
        <v>10354253.630000001</v>
      </c>
      <c r="M849" s="50">
        <v>750000</v>
      </c>
      <c r="N849" s="50">
        <v>750000</v>
      </c>
    </row>
    <row r="850" spans="1:14" hidden="1" x14ac:dyDescent="0.25">
      <c r="A850" s="53"/>
      <c r="B850" s="53"/>
      <c r="C850" s="53"/>
      <c r="D850" s="53"/>
      <c r="E850" s="54">
        <v>765104920000</v>
      </c>
      <c r="F850" s="54">
        <v>743069209900</v>
      </c>
      <c r="G850" s="54">
        <v>734888007587.59998</v>
      </c>
      <c r="H850" s="54">
        <v>5866196448.6499996</v>
      </c>
      <c r="I850" s="54">
        <v>44782011665.449997</v>
      </c>
      <c r="J850" s="54">
        <v>1683552955</v>
      </c>
      <c r="K850" s="54">
        <v>527107952791.40002</v>
      </c>
      <c r="L850" s="54">
        <v>520173297521.65002</v>
      </c>
      <c r="M850" s="54">
        <v>163629496039.5</v>
      </c>
      <c r="N850" s="54">
        <v>155448293727.10001</v>
      </c>
    </row>
  </sheetData>
  <sheetProtection selectLockedCells="1" selectUnlockedCells="1"/>
  <autoFilter ref="A1:M850"/>
  <conditionalFormatting sqref="K2:K451">
    <cfRule type="cellIs" dxfId="1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"/>
  <sheetViews>
    <sheetView topLeftCell="B1" zoomScaleNormal="100" workbookViewId="0"/>
  </sheetViews>
  <sheetFormatPr baseColWidth="10" defaultColWidth="17.5703125" defaultRowHeight="15" x14ac:dyDescent="0.25"/>
  <cols>
    <col min="1" max="1" width="25.140625" style="23" hidden="1" customWidth="1"/>
    <col min="2" max="2" width="14.5703125" style="23" customWidth="1"/>
    <col min="3" max="3" width="20.140625" style="23" customWidth="1"/>
    <col min="4" max="4" width="5" style="23" customWidth="1"/>
    <col min="5" max="5" width="17.42578125" style="23" customWidth="1"/>
    <col min="6" max="6" width="12" style="23" customWidth="1"/>
    <col min="7" max="7" width="19.140625" style="23" customWidth="1"/>
    <col min="8" max="8" width="12" style="23" customWidth="1"/>
    <col min="9" max="9" width="17.5703125" style="23"/>
    <col min="10" max="10" width="8.5703125" style="23" customWidth="1"/>
    <col min="11" max="11" width="20.140625" style="23" customWidth="1"/>
    <col min="12" max="12" width="10.140625" style="23" customWidth="1"/>
    <col min="13" max="13" width="18.42578125" style="23" customWidth="1"/>
    <col min="14" max="14" width="11.28515625" style="23" customWidth="1"/>
    <col min="15" max="15" width="7.85546875" style="23" customWidth="1"/>
    <col min="16" max="17" width="17.5703125" style="23"/>
    <col min="18" max="18" width="27" style="23" customWidth="1"/>
    <col min="19" max="16384" width="17.5703125" style="23"/>
  </cols>
  <sheetData>
    <row r="1" spans="1:18" ht="15.75" x14ac:dyDescent="0.25">
      <c r="B1" s="600" t="s">
        <v>32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</row>
    <row r="2" spans="1:18" ht="15.75" x14ac:dyDescent="0.25">
      <c r="B2" s="600" t="str">
        <f>+Estado!A4</f>
        <v xml:space="preserve">AL 31 DE DICIEMBRE 2020        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</row>
    <row r="3" spans="1:18" ht="15.75" x14ac:dyDescent="0.25">
      <c r="B3" s="600" t="s">
        <v>33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</row>
    <row r="4" spans="1:18" x14ac:dyDescent="0.25">
      <c r="K4" s="24"/>
    </row>
    <row r="5" spans="1:18" ht="25.5" x14ac:dyDescent="0.25">
      <c r="A5" s="25"/>
      <c r="B5" s="26" t="s">
        <v>34</v>
      </c>
      <c r="C5" s="27" t="s">
        <v>3</v>
      </c>
      <c r="D5" s="27" t="s">
        <v>35</v>
      </c>
      <c r="E5" s="27" t="s">
        <v>5</v>
      </c>
      <c r="F5" s="27"/>
      <c r="G5" s="27" t="s">
        <v>10</v>
      </c>
      <c r="H5" s="27" t="s">
        <v>36</v>
      </c>
      <c r="I5" s="27" t="s">
        <v>11</v>
      </c>
      <c r="J5" s="27" t="s">
        <v>35</v>
      </c>
      <c r="K5" s="27" t="s">
        <v>12</v>
      </c>
      <c r="L5" s="27" t="s">
        <v>37</v>
      </c>
      <c r="M5" s="27" t="s">
        <v>7</v>
      </c>
      <c r="N5" s="27" t="s">
        <v>9</v>
      </c>
    </row>
    <row r="6" spans="1:18" x14ac:dyDescent="0.25">
      <c r="B6" s="28" t="s">
        <v>41</v>
      </c>
      <c r="C6" s="29">
        <f>+'SIGAF DIC 20'!F246</f>
        <v>75755327546</v>
      </c>
      <c r="D6" s="30">
        <f t="shared" ref="D6:D12" si="0">IFERROR(C6/$C$13,0)</f>
        <v>0.64506774638631237</v>
      </c>
      <c r="E6" s="29">
        <f>+'SIGAF DIC 20'!H246</f>
        <v>0</v>
      </c>
      <c r="F6" s="31">
        <f t="shared" ref="F6:F13" si="1">+E6/C6</f>
        <v>0</v>
      </c>
      <c r="G6" s="29">
        <f>+'SIGAF DIC 20'!I246</f>
        <v>1104426827.1500001</v>
      </c>
      <c r="H6" s="32">
        <f t="shared" ref="H6:H12" si="2">IFERROR(G6/C6,0)</f>
        <v>1.4578866766556745E-2</v>
      </c>
      <c r="I6" s="29">
        <f>+'SIGAF DIC 20'!J246</f>
        <v>0</v>
      </c>
      <c r="J6" s="32">
        <f t="shared" ref="J6:J12" si="3">IFERROR(I6/C6,0)</f>
        <v>0</v>
      </c>
      <c r="K6" s="29">
        <f>+'SIGAF DIC 20'!K246</f>
        <v>70227882288.429993</v>
      </c>
      <c r="L6" s="30">
        <f t="shared" ref="L6:L12" si="4">IFERROR(K6/C6,0)</f>
        <v>0.92703555727861331</v>
      </c>
      <c r="M6" s="29">
        <f>+'SIGAF DIC 20'!O246</f>
        <v>4423018430.4200001</v>
      </c>
      <c r="N6" s="30">
        <f t="shared" ref="N6:N12" si="5">IFERROR(M6/C6,0)</f>
        <v>5.8385575954829891E-2</v>
      </c>
      <c r="O6" s="33">
        <f t="shared" ref="O6:O12" si="6">+K6/$K$13</f>
        <v>0.65037133568266203</v>
      </c>
    </row>
    <row r="7" spans="1:18" x14ac:dyDescent="0.25">
      <c r="B7" s="28" t="s">
        <v>42</v>
      </c>
      <c r="C7" s="29">
        <f>+'SIGAF DIC 20'!F373</f>
        <v>27746347895</v>
      </c>
      <c r="D7" s="30">
        <f t="shared" si="0"/>
        <v>0.2362642296835176</v>
      </c>
      <c r="E7" s="29">
        <f>+'SIGAF DIC 20'!H373</f>
        <v>0</v>
      </c>
      <c r="F7" s="31">
        <f t="shared" si="1"/>
        <v>0</v>
      </c>
      <c r="G7" s="29">
        <f>+'SIGAF DIC 20'!I373</f>
        <v>764570619.33000004</v>
      </c>
      <c r="H7" s="32">
        <f t="shared" si="2"/>
        <v>2.755572092670901E-2</v>
      </c>
      <c r="I7" s="29">
        <f>+'SIGAF DIC 20'!J373</f>
        <v>0</v>
      </c>
      <c r="J7" s="32">
        <f t="shared" si="3"/>
        <v>0</v>
      </c>
      <c r="K7" s="29">
        <f>+'SIGAF DIC 20'!K373</f>
        <v>25489145514.16</v>
      </c>
      <c r="L7" s="30">
        <f t="shared" si="4"/>
        <v>0.91864866722705674</v>
      </c>
      <c r="M7" s="29">
        <f>+'SIGAF DIC 20'!O373</f>
        <v>1492631761.51</v>
      </c>
      <c r="N7" s="30">
        <f t="shared" si="5"/>
        <v>5.3795611846234298E-2</v>
      </c>
      <c r="O7" s="33">
        <f t="shared" si="6"/>
        <v>0.23605168023392176</v>
      </c>
    </row>
    <row r="8" spans="1:18" x14ac:dyDescent="0.25">
      <c r="B8" s="28" t="s">
        <v>43</v>
      </c>
      <c r="C8" s="29">
        <f>+'SIGAF DIC 20'!F450</f>
        <v>2105742147</v>
      </c>
      <c r="D8" s="30">
        <f t="shared" si="0"/>
        <v>1.7930703822924565E-2</v>
      </c>
      <c r="E8" s="29">
        <f>+'SIGAF DIC 20'!H450</f>
        <v>0</v>
      </c>
      <c r="F8" s="31">
        <f t="shared" si="1"/>
        <v>0</v>
      </c>
      <c r="G8" s="29">
        <f>+'SIGAF DIC 20'!I450</f>
        <v>61768346.659999996</v>
      </c>
      <c r="H8" s="32">
        <f t="shared" si="2"/>
        <v>2.9333290758319992E-2</v>
      </c>
      <c r="I8" s="29">
        <f>+'SIGAF DIC 20'!J450</f>
        <v>0</v>
      </c>
      <c r="J8" s="32">
        <f t="shared" si="3"/>
        <v>0</v>
      </c>
      <c r="K8" s="29">
        <f>+'SIGAF DIC 20'!K450</f>
        <v>1894956303.8299999</v>
      </c>
      <c r="L8" s="30">
        <f t="shared" si="4"/>
        <v>0.89989949934264191</v>
      </c>
      <c r="M8" s="29">
        <f>+'SIGAF DIC 20'!O450</f>
        <v>149017496.50999999</v>
      </c>
      <c r="N8" s="30">
        <f t="shared" si="5"/>
        <v>7.0767209899038022E-2</v>
      </c>
      <c r="O8" s="33">
        <f t="shared" si="6"/>
        <v>1.7548945265365618E-2</v>
      </c>
    </row>
    <row r="9" spans="1:18" x14ac:dyDescent="0.25">
      <c r="B9" s="28" t="s">
        <v>44</v>
      </c>
      <c r="C9" s="29">
        <f>+'SIGAF DIC 20'!F504</f>
        <v>1449674150</v>
      </c>
      <c r="D9" s="30">
        <f t="shared" si="0"/>
        <v>1.2344188418526211E-2</v>
      </c>
      <c r="E9" s="29">
        <f>+'SIGAF DIC 20'!H504</f>
        <v>0</v>
      </c>
      <c r="F9" s="31">
        <f t="shared" si="1"/>
        <v>0</v>
      </c>
      <c r="G9" s="29">
        <f>+'SIGAF DIC 20'!I504</f>
        <v>19036695</v>
      </c>
      <c r="H9" s="32">
        <f t="shared" si="2"/>
        <v>1.3131706183765503E-2</v>
      </c>
      <c r="I9" s="29">
        <f>+'SIGAF DIC 20'!J504</f>
        <v>0</v>
      </c>
      <c r="J9" s="32">
        <f t="shared" si="3"/>
        <v>0</v>
      </c>
      <c r="K9" s="29">
        <f>+'SIGAF DIC 20'!K504</f>
        <v>1313606623.73</v>
      </c>
      <c r="L9" s="30">
        <f t="shared" si="4"/>
        <v>0.90613923393060436</v>
      </c>
      <c r="M9" s="29">
        <f>+'SIGAF DIC 20'!O504</f>
        <v>117030831.27</v>
      </c>
      <c r="N9" s="30">
        <f t="shared" si="5"/>
        <v>8.0729059885630158E-2</v>
      </c>
      <c r="O9" s="33">
        <f t="shared" si="6"/>
        <v>1.2165141060755337E-2</v>
      </c>
      <c r="R9" s="34">
        <f>11000000000+115812311113.04+10500000000</f>
        <v>137312311113.03999</v>
      </c>
    </row>
    <row r="10" spans="1:18" x14ac:dyDescent="0.25">
      <c r="B10" s="28" t="s">
        <v>45</v>
      </c>
      <c r="C10" s="29">
        <f>+'SIGAF DIC 20'!F551</f>
        <v>2262440561</v>
      </c>
      <c r="D10" s="30">
        <f t="shared" si="0"/>
        <v>1.9265013845145919E-2</v>
      </c>
      <c r="E10" s="29">
        <f>+'SIGAF DIC 20'!H551</f>
        <v>0</v>
      </c>
      <c r="F10" s="31">
        <f t="shared" si="1"/>
        <v>0</v>
      </c>
      <c r="G10" s="29">
        <f>+'SIGAF DIC 20'!I551</f>
        <v>77931178.549999997</v>
      </c>
      <c r="H10" s="32">
        <f t="shared" si="2"/>
        <v>3.4445624735243596E-2</v>
      </c>
      <c r="I10" s="29">
        <f>+'SIGAF DIC 20'!J551</f>
        <v>0</v>
      </c>
      <c r="J10" s="32">
        <f t="shared" si="3"/>
        <v>0</v>
      </c>
      <c r="K10" s="29">
        <f>+'SIGAF DIC 20'!K551</f>
        <v>2027258265.1600001</v>
      </c>
      <c r="L10" s="30">
        <f t="shared" si="4"/>
        <v>0.89604929300947067</v>
      </c>
      <c r="M10" s="29">
        <f>+'SIGAF DIC 20'!O551</f>
        <v>157251117.28999999</v>
      </c>
      <c r="N10" s="30">
        <f t="shared" si="5"/>
        <v>6.9505082255285816E-2</v>
      </c>
      <c r="O10" s="33">
        <f t="shared" si="6"/>
        <v>1.877417661934885E-2</v>
      </c>
      <c r="R10" s="33">
        <f>137312311113.04/148398411720</f>
        <v>0.92529501846773532</v>
      </c>
    </row>
    <row r="11" spans="1:18" x14ac:dyDescent="0.25">
      <c r="B11" s="28" t="s">
        <v>46</v>
      </c>
      <c r="C11" s="29">
        <f>+'SIGAF DIC 20'!F623</f>
        <v>1156686277</v>
      </c>
      <c r="D11" s="30">
        <f t="shared" si="0"/>
        <v>9.8493536250278037E-3</v>
      </c>
      <c r="E11" s="29">
        <f>+'SIGAF DIC 20'!H623</f>
        <v>0</v>
      </c>
      <c r="F11" s="31">
        <f t="shared" si="1"/>
        <v>0</v>
      </c>
      <c r="G11" s="29">
        <f>+'SIGAF DIC 20'!I623</f>
        <v>11556519.27</v>
      </c>
      <c r="H11" s="32">
        <f t="shared" si="2"/>
        <v>9.9910576444056827E-3</v>
      </c>
      <c r="I11" s="29">
        <f>+'SIGAF DIC 20'!J623</f>
        <v>0</v>
      </c>
      <c r="J11" s="32">
        <f t="shared" si="3"/>
        <v>0</v>
      </c>
      <c r="K11" s="29">
        <f>+'SIGAF DIC 20'!K623</f>
        <v>1032253158.23</v>
      </c>
      <c r="L11" s="30">
        <f t="shared" si="4"/>
        <v>0.89242275866475074</v>
      </c>
      <c r="M11" s="29">
        <f>+'SIGAF DIC 20'!O623</f>
        <v>112876599.5</v>
      </c>
      <c r="N11" s="30">
        <f t="shared" si="5"/>
        <v>9.7586183690843598E-2</v>
      </c>
      <c r="O11" s="33">
        <f t="shared" si="6"/>
        <v>9.5595630026750165E-3</v>
      </c>
    </row>
    <row r="12" spans="1:18" x14ac:dyDescent="0.25">
      <c r="B12" s="28" t="s">
        <v>47</v>
      </c>
      <c r="C12" s="29">
        <f>+'SIGAF DIC 20'!F654</f>
        <v>6961566789</v>
      </c>
      <c r="D12" s="30">
        <f t="shared" si="0"/>
        <v>5.9278764218545596E-2</v>
      </c>
      <c r="E12" s="29">
        <f>+'SIGAF DIC 20'!H654</f>
        <v>0</v>
      </c>
      <c r="F12" s="31">
        <f t="shared" si="1"/>
        <v>0</v>
      </c>
      <c r="G12" s="29">
        <f>+'SIGAF DIC 20'!I654</f>
        <v>120450727.34999999</v>
      </c>
      <c r="H12" s="32">
        <f t="shared" si="2"/>
        <v>1.7302244020746118E-2</v>
      </c>
      <c r="I12" s="29">
        <f>+'SIGAF DIC 20'!J654</f>
        <v>0</v>
      </c>
      <c r="J12" s="32">
        <f t="shared" si="3"/>
        <v>0</v>
      </c>
      <c r="K12" s="29">
        <f>+'SIGAF DIC 20'!K654</f>
        <v>5996105558.6899996</v>
      </c>
      <c r="L12" s="30">
        <f t="shared" si="4"/>
        <v>0.86131552571821479</v>
      </c>
      <c r="M12" s="29">
        <f>+'SIGAF DIC 20'!O654</f>
        <v>845010502.96000004</v>
      </c>
      <c r="N12" s="30">
        <f t="shared" si="5"/>
        <v>0.12138223026103902</v>
      </c>
      <c r="O12" s="33">
        <f t="shared" si="6"/>
        <v>5.5529158135271331E-2</v>
      </c>
    </row>
    <row r="13" spans="1:18" x14ac:dyDescent="0.25">
      <c r="A13" s="25"/>
      <c r="B13" s="35" t="s">
        <v>23</v>
      </c>
      <c r="C13" s="36">
        <f>SUM(C6:C12)</f>
        <v>117437785365</v>
      </c>
      <c r="D13" s="37"/>
      <c r="E13" s="36">
        <f>SUM(E6:E12)</f>
        <v>0</v>
      </c>
      <c r="F13" s="37">
        <f t="shared" si="1"/>
        <v>0</v>
      </c>
      <c r="G13" s="36">
        <f>SUM(G6:G12)</f>
        <v>2159740913.3099999</v>
      </c>
      <c r="H13" s="37">
        <f>+G13/C13</f>
        <v>1.8390511253234751E-2</v>
      </c>
      <c r="I13" s="36">
        <f>SUM(I6:I12)</f>
        <v>0</v>
      </c>
      <c r="J13" s="37">
        <f>+I13/C13</f>
        <v>0</v>
      </c>
      <c r="K13" s="36">
        <f>SUM(K6:K12)</f>
        <v>107981207712.23</v>
      </c>
      <c r="L13" s="38">
        <f>+K13/C13</f>
        <v>0.91947585163174961</v>
      </c>
      <c r="M13" s="36">
        <f>SUM(M6:M12)</f>
        <v>7296836739.460001</v>
      </c>
      <c r="N13" s="38">
        <f>+M13/C13</f>
        <v>6.2133637115015607E-2</v>
      </c>
    </row>
    <row r="14" spans="1:18" hidden="1" x14ac:dyDescent="0.25">
      <c r="B14" s="39"/>
      <c r="C14" s="40">
        <f>+C13-Estado!C10</f>
        <v>-30960626355</v>
      </c>
      <c r="D14" s="40"/>
      <c r="E14" s="40">
        <f>+E13-Estado!E10</f>
        <v>0</v>
      </c>
      <c r="F14" s="40"/>
      <c r="G14" s="40">
        <f>+G13-Estado!G10</f>
        <v>-71430720.539999962</v>
      </c>
      <c r="H14" s="40"/>
      <c r="I14" s="40"/>
      <c r="J14" s="40"/>
      <c r="K14" s="40">
        <f>+K13-Estado!K10</f>
        <v>-28648878440.300003</v>
      </c>
      <c r="L14" s="40"/>
      <c r="M14" s="40">
        <f>+M13-Estado!O10</f>
        <v>-2240317194.1599998</v>
      </c>
      <c r="N14" s="41"/>
    </row>
    <row r="15" spans="1:18" x14ac:dyDescent="0.25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42"/>
      <c r="N15" s="39"/>
    </row>
    <row r="19" spans="2:4" x14ac:dyDescent="0.25">
      <c r="B19" s="43"/>
      <c r="C19" s="43"/>
      <c r="D19" s="43"/>
    </row>
    <row r="20" spans="2:4" x14ac:dyDescent="0.25">
      <c r="B20" s="43"/>
      <c r="C20" s="43"/>
      <c r="D20" s="43"/>
    </row>
    <row r="21" spans="2:4" x14ac:dyDescent="0.25">
      <c r="B21" s="43"/>
      <c r="C21" s="43"/>
      <c r="D21" s="43"/>
    </row>
    <row r="22" spans="2:4" x14ac:dyDescent="0.25">
      <c r="B22" s="43"/>
      <c r="C22" s="43"/>
      <c r="D22" s="43"/>
    </row>
  </sheetData>
  <sheetProtection selectLockedCells="1" selectUnlockedCells="1"/>
  <mergeCells count="3">
    <mergeCell ref="B1:N1"/>
    <mergeCell ref="B2:N2"/>
    <mergeCell ref="B3:N3"/>
  </mergeCells>
  <pageMargins left="0.7" right="0.7" top="0.75" bottom="0.75" header="0.51180555555555551" footer="0.51180555555555551"/>
  <pageSetup firstPageNumber="0" orientation="portrait" horizontalDpi="300" verticalDpi="300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36"/>
  <sheetViews>
    <sheetView zoomScaleNormal="100" workbookViewId="0"/>
  </sheetViews>
  <sheetFormatPr baseColWidth="10" defaultColWidth="36.28515625" defaultRowHeight="15" x14ac:dyDescent="0.25"/>
  <cols>
    <col min="1" max="1" width="17.5703125" customWidth="1"/>
    <col min="2" max="2" width="20.28515625" hidden="1" customWidth="1"/>
    <col min="3" max="3" width="11.28515625" hidden="1" customWidth="1"/>
    <col min="4" max="4" width="6.5703125" customWidth="1"/>
    <col min="5" max="5" width="19.28515625" hidden="1" customWidth="1"/>
    <col min="6" max="6" width="24.28515625" customWidth="1"/>
    <col min="7" max="7" width="18.42578125" hidden="1" customWidth="1"/>
    <col min="8" max="8" width="19.42578125" customWidth="1"/>
    <col min="9" max="9" width="18.5703125" customWidth="1"/>
    <col min="10" max="10" width="21.42578125" customWidth="1"/>
    <col min="11" max="11" width="20.28515625" customWidth="1"/>
    <col min="12" max="12" width="21.42578125" customWidth="1"/>
    <col min="13" max="13" width="22.7109375" customWidth="1"/>
    <col min="14" max="14" width="29" hidden="1" customWidth="1"/>
  </cols>
  <sheetData>
    <row r="1" spans="1:15" s="143" customFormat="1" x14ac:dyDescent="0.25">
      <c r="A1" s="144" t="s">
        <v>52</v>
      </c>
      <c r="B1" s="447" t="s">
        <v>691</v>
      </c>
      <c r="C1" s="144" t="s">
        <v>54</v>
      </c>
      <c r="D1" s="144" t="s">
        <v>55</v>
      </c>
      <c r="E1" s="447" t="s">
        <v>56</v>
      </c>
      <c r="F1" s="144" t="s">
        <v>57</v>
      </c>
      <c r="G1" s="447" t="s">
        <v>58</v>
      </c>
      <c r="H1" s="144" t="s">
        <v>59</v>
      </c>
      <c r="I1" s="144" t="s">
        <v>60</v>
      </c>
      <c r="J1" s="144" t="s">
        <v>61</v>
      </c>
      <c r="K1" s="144" t="s">
        <v>12</v>
      </c>
      <c r="L1" s="144" t="s">
        <v>63</v>
      </c>
      <c r="M1" s="144" t="s">
        <v>65</v>
      </c>
      <c r="N1" s="447" t="s">
        <v>67</v>
      </c>
    </row>
    <row r="2" spans="1:15" s="143" customFormat="1" x14ac:dyDescent="0.25">
      <c r="A2" s="485" t="s">
        <v>68</v>
      </c>
      <c r="D2" s="44" t="s">
        <v>69</v>
      </c>
      <c r="E2" s="257">
        <v>153020984000</v>
      </c>
      <c r="F2" s="50">
        <v>150508609966</v>
      </c>
      <c r="G2" s="257">
        <v>127970670751.67999</v>
      </c>
      <c r="H2" s="50">
        <v>1474635102.23</v>
      </c>
      <c r="I2" s="50">
        <v>21870643950.470001</v>
      </c>
      <c r="J2" s="50">
        <v>466882711.19</v>
      </c>
      <c r="K2" s="50">
        <v>52332117437.110001</v>
      </c>
      <c r="L2" s="50">
        <v>51486611971.139999</v>
      </c>
      <c r="M2" s="50">
        <v>74364330765</v>
      </c>
      <c r="N2" s="257">
        <v>51826391550.68</v>
      </c>
    </row>
    <row r="3" spans="1:15" s="143" customFormat="1" x14ac:dyDescent="0.25">
      <c r="A3" s="44">
        <v>214786</v>
      </c>
      <c r="D3" s="44" t="s">
        <v>69</v>
      </c>
      <c r="E3" s="257">
        <v>2252563898</v>
      </c>
      <c r="F3" s="50">
        <v>2116485751</v>
      </c>
      <c r="G3" s="257">
        <v>1971473458.5999999</v>
      </c>
      <c r="H3" s="50">
        <v>9711889.4299999997</v>
      </c>
      <c r="I3" s="50">
        <v>263458683.66999999</v>
      </c>
      <c r="J3" s="50">
        <v>4710243.76</v>
      </c>
      <c r="K3" s="50">
        <v>713166491.25999999</v>
      </c>
      <c r="L3" s="50">
        <v>713166491.25999999</v>
      </c>
      <c r="M3" s="50">
        <v>1125438442.8800001</v>
      </c>
      <c r="N3" s="257">
        <v>980426150.48000002</v>
      </c>
    </row>
    <row r="4" spans="1:15" s="143" customFormat="1" hidden="1" x14ac:dyDescent="0.25">
      <c r="A4" s="143" t="s">
        <v>696</v>
      </c>
      <c r="B4" s="143" t="s">
        <v>71</v>
      </c>
      <c r="C4" s="143" t="s">
        <v>72</v>
      </c>
      <c r="D4" s="143" t="s">
        <v>69</v>
      </c>
      <c r="E4" s="257">
        <v>1845529688</v>
      </c>
      <c r="F4" s="257">
        <v>1721066664</v>
      </c>
      <c r="G4" s="257">
        <v>1714066664</v>
      </c>
      <c r="H4" s="257">
        <v>0</v>
      </c>
      <c r="I4" s="257">
        <v>181379787</v>
      </c>
      <c r="J4" s="257">
        <v>0</v>
      </c>
      <c r="K4" s="257">
        <v>579091003.47000003</v>
      </c>
      <c r="L4" s="257">
        <v>579091003.47000003</v>
      </c>
      <c r="M4" s="257">
        <v>960595873.52999997</v>
      </c>
      <c r="N4" s="257">
        <v>953595873.52999997</v>
      </c>
    </row>
    <row r="5" spans="1:15" s="143" customFormat="1" hidden="1" x14ac:dyDescent="0.25">
      <c r="A5" s="143" t="s">
        <v>696</v>
      </c>
      <c r="B5" s="143" t="s">
        <v>73</v>
      </c>
      <c r="C5" s="143" t="s">
        <v>74</v>
      </c>
      <c r="D5" s="143" t="s">
        <v>69</v>
      </c>
      <c r="E5" s="257">
        <v>712211400</v>
      </c>
      <c r="F5" s="257">
        <v>686759100</v>
      </c>
      <c r="G5" s="257">
        <v>686759100</v>
      </c>
      <c r="H5" s="257">
        <v>0</v>
      </c>
      <c r="I5" s="257">
        <v>0</v>
      </c>
      <c r="J5" s="257">
        <v>0</v>
      </c>
      <c r="K5" s="257">
        <v>253571217.06999999</v>
      </c>
      <c r="L5" s="257">
        <v>253571217.06999999</v>
      </c>
      <c r="M5" s="257">
        <v>433187882.93000001</v>
      </c>
      <c r="N5" s="257">
        <v>433187882.93000001</v>
      </c>
    </row>
    <row r="6" spans="1:15" s="143" customFormat="1" hidden="1" x14ac:dyDescent="0.25">
      <c r="A6" s="143" t="s">
        <v>696</v>
      </c>
      <c r="B6" s="143" t="s">
        <v>75</v>
      </c>
      <c r="C6" s="143" t="s">
        <v>76</v>
      </c>
      <c r="D6" s="143" t="s">
        <v>69</v>
      </c>
      <c r="E6" s="257">
        <v>712211400</v>
      </c>
      <c r="F6" s="257">
        <v>686759100</v>
      </c>
      <c r="G6" s="257">
        <v>686759100</v>
      </c>
      <c r="H6" s="257">
        <v>0</v>
      </c>
      <c r="I6" s="257">
        <v>0</v>
      </c>
      <c r="J6" s="257">
        <v>0</v>
      </c>
      <c r="K6" s="257">
        <v>253571217.06999999</v>
      </c>
      <c r="L6" s="257">
        <v>253571217.06999999</v>
      </c>
      <c r="M6" s="257">
        <v>433187882.93000001</v>
      </c>
      <c r="N6" s="257">
        <v>433187882.93000001</v>
      </c>
      <c r="O6" s="486"/>
    </row>
    <row r="7" spans="1:15" s="143" customFormat="1" hidden="1" x14ac:dyDescent="0.25">
      <c r="A7" s="143" t="s">
        <v>696</v>
      </c>
      <c r="B7" s="143" t="s">
        <v>77</v>
      </c>
      <c r="C7" s="143" t="s">
        <v>78</v>
      </c>
      <c r="D7" s="143" t="s">
        <v>69</v>
      </c>
      <c r="E7" s="257">
        <v>851789535</v>
      </c>
      <c r="F7" s="257">
        <v>762470364</v>
      </c>
      <c r="G7" s="257">
        <v>755470364</v>
      </c>
      <c r="H7" s="257">
        <v>0</v>
      </c>
      <c r="I7" s="257">
        <v>0</v>
      </c>
      <c r="J7" s="257">
        <v>0</v>
      </c>
      <c r="K7" s="257">
        <v>235062373.40000001</v>
      </c>
      <c r="L7" s="257">
        <v>235062373.40000001</v>
      </c>
      <c r="M7" s="257">
        <v>527407990.60000002</v>
      </c>
      <c r="N7" s="257">
        <v>520407990.60000002</v>
      </c>
    </row>
    <row r="8" spans="1:15" s="143" customFormat="1" hidden="1" x14ac:dyDescent="0.25">
      <c r="A8" s="143" t="s">
        <v>696</v>
      </c>
      <c r="B8" s="143" t="s">
        <v>79</v>
      </c>
      <c r="C8" s="143" t="s">
        <v>80</v>
      </c>
      <c r="D8" s="143" t="s">
        <v>69</v>
      </c>
      <c r="E8" s="257">
        <v>171630900</v>
      </c>
      <c r="F8" s="257">
        <v>171630900</v>
      </c>
      <c r="G8" s="257">
        <v>171630900</v>
      </c>
      <c r="H8" s="257">
        <v>0</v>
      </c>
      <c r="I8" s="257">
        <v>0</v>
      </c>
      <c r="J8" s="257">
        <v>0</v>
      </c>
      <c r="K8" s="257">
        <v>59187522.170000002</v>
      </c>
      <c r="L8" s="257">
        <v>59187522.170000002</v>
      </c>
      <c r="M8" s="257">
        <v>112443377.83</v>
      </c>
      <c r="N8" s="257">
        <v>112443377.83</v>
      </c>
    </row>
    <row r="9" spans="1:15" s="143" customFormat="1" hidden="1" x14ac:dyDescent="0.25">
      <c r="A9" s="143" t="s">
        <v>696</v>
      </c>
      <c r="B9" s="143" t="s">
        <v>81</v>
      </c>
      <c r="C9" s="143" t="s">
        <v>82</v>
      </c>
      <c r="D9" s="143" t="s">
        <v>69</v>
      </c>
      <c r="E9" s="257">
        <v>362005040</v>
      </c>
      <c r="F9" s="257">
        <v>349729445</v>
      </c>
      <c r="G9" s="257">
        <v>342729445</v>
      </c>
      <c r="H9" s="257">
        <v>0</v>
      </c>
      <c r="I9" s="257">
        <v>0</v>
      </c>
      <c r="J9" s="257">
        <v>0</v>
      </c>
      <c r="K9" s="257">
        <v>119659125.11</v>
      </c>
      <c r="L9" s="257">
        <v>119659125.11</v>
      </c>
      <c r="M9" s="257">
        <v>230070319.88999999</v>
      </c>
      <c r="N9" s="257">
        <v>223070319.88999999</v>
      </c>
    </row>
    <row r="10" spans="1:15" s="143" customFormat="1" hidden="1" x14ac:dyDescent="0.25">
      <c r="A10" s="143" t="s">
        <v>696</v>
      </c>
      <c r="B10" s="143" t="s">
        <v>86</v>
      </c>
      <c r="C10" s="143" t="s">
        <v>87</v>
      </c>
      <c r="D10" s="143" t="s">
        <v>69</v>
      </c>
      <c r="E10" s="257">
        <v>110671900</v>
      </c>
      <c r="F10" s="257">
        <v>38177498</v>
      </c>
      <c r="G10" s="257">
        <v>38177498</v>
      </c>
      <c r="H10" s="257">
        <v>0</v>
      </c>
      <c r="I10" s="257">
        <v>0</v>
      </c>
      <c r="J10" s="257">
        <v>0</v>
      </c>
      <c r="K10" s="257">
        <v>26177497.469999999</v>
      </c>
      <c r="L10" s="257">
        <v>26177497.469999999</v>
      </c>
      <c r="M10" s="257">
        <v>12000000.529999999</v>
      </c>
      <c r="N10" s="257">
        <v>12000000.529999999</v>
      </c>
    </row>
    <row r="11" spans="1:15" s="143" customFormat="1" hidden="1" x14ac:dyDescent="0.25">
      <c r="A11" s="143" t="s">
        <v>696</v>
      </c>
      <c r="B11" s="143" t="s">
        <v>88</v>
      </c>
      <c r="C11" s="143" t="s">
        <v>89</v>
      </c>
      <c r="D11" s="143" t="s">
        <v>69</v>
      </c>
      <c r="E11" s="257">
        <v>87218400</v>
      </c>
      <c r="F11" s="257">
        <v>86809260</v>
      </c>
      <c r="G11" s="257">
        <v>86809260</v>
      </c>
      <c r="H11" s="257">
        <v>0</v>
      </c>
      <c r="I11" s="257">
        <v>0</v>
      </c>
      <c r="J11" s="257">
        <v>0</v>
      </c>
      <c r="K11" s="257">
        <v>30038228.649999999</v>
      </c>
      <c r="L11" s="257">
        <v>30038228.649999999</v>
      </c>
      <c r="M11" s="257">
        <v>56771031.350000001</v>
      </c>
      <c r="N11" s="257">
        <v>56771031.350000001</v>
      </c>
    </row>
    <row r="12" spans="1:15" s="143" customFormat="1" hidden="1" x14ac:dyDescent="0.25">
      <c r="A12" s="143" t="s">
        <v>696</v>
      </c>
      <c r="B12" s="143" t="s">
        <v>83</v>
      </c>
      <c r="C12" s="143" t="s">
        <v>84</v>
      </c>
      <c r="D12" s="143" t="s">
        <v>85</v>
      </c>
      <c r="E12" s="257">
        <v>120263295</v>
      </c>
      <c r="F12" s="257">
        <v>116123261</v>
      </c>
      <c r="G12" s="257">
        <v>116123261</v>
      </c>
      <c r="H12" s="257">
        <v>0</v>
      </c>
      <c r="I12" s="257">
        <v>0</v>
      </c>
      <c r="J12" s="257">
        <v>0</v>
      </c>
      <c r="K12" s="257">
        <v>0</v>
      </c>
      <c r="L12" s="257">
        <v>0</v>
      </c>
      <c r="M12" s="257">
        <v>116123261</v>
      </c>
      <c r="N12" s="257">
        <v>116123261</v>
      </c>
    </row>
    <row r="13" spans="1:15" s="143" customFormat="1" hidden="1" x14ac:dyDescent="0.25">
      <c r="A13" s="143" t="s">
        <v>696</v>
      </c>
      <c r="B13" s="143" t="s">
        <v>90</v>
      </c>
      <c r="C13" s="143" t="s">
        <v>91</v>
      </c>
      <c r="D13" s="143" t="s">
        <v>69</v>
      </c>
      <c r="E13" s="257">
        <v>140764376</v>
      </c>
      <c r="F13" s="257">
        <v>135918599</v>
      </c>
      <c r="G13" s="257">
        <v>135918599</v>
      </c>
      <c r="H13" s="257">
        <v>0</v>
      </c>
      <c r="I13" s="257">
        <v>90609231</v>
      </c>
      <c r="J13" s="257">
        <v>0</v>
      </c>
      <c r="K13" s="257">
        <v>45309368</v>
      </c>
      <c r="L13" s="257">
        <v>45309368</v>
      </c>
      <c r="M13" s="257">
        <v>0</v>
      </c>
      <c r="N13" s="257">
        <v>0</v>
      </c>
    </row>
    <row r="14" spans="1:15" s="143" customFormat="1" hidden="1" x14ac:dyDescent="0.25">
      <c r="A14" s="143" t="s">
        <v>696</v>
      </c>
      <c r="B14" s="143" t="s">
        <v>416</v>
      </c>
      <c r="C14" s="143" t="s">
        <v>697</v>
      </c>
      <c r="D14" s="143" t="s">
        <v>69</v>
      </c>
      <c r="E14" s="257">
        <v>133545724</v>
      </c>
      <c r="F14" s="257">
        <v>128948448</v>
      </c>
      <c r="G14" s="257">
        <v>128948448</v>
      </c>
      <c r="H14" s="257">
        <v>0</v>
      </c>
      <c r="I14" s="257">
        <v>85962607</v>
      </c>
      <c r="J14" s="257">
        <v>0</v>
      </c>
      <c r="K14" s="257">
        <v>42985841</v>
      </c>
      <c r="L14" s="257">
        <v>42985841</v>
      </c>
      <c r="M14" s="257">
        <v>0</v>
      </c>
      <c r="N14" s="257">
        <v>0</v>
      </c>
    </row>
    <row r="15" spans="1:15" s="143" customFormat="1" hidden="1" x14ac:dyDescent="0.25">
      <c r="A15" s="143" t="s">
        <v>696</v>
      </c>
      <c r="B15" s="143" t="s">
        <v>433</v>
      </c>
      <c r="C15" s="143" t="s">
        <v>95</v>
      </c>
      <c r="D15" s="143" t="s">
        <v>69</v>
      </c>
      <c r="E15" s="257">
        <v>7218652</v>
      </c>
      <c r="F15" s="257">
        <v>6970151</v>
      </c>
      <c r="G15" s="257">
        <v>6970151</v>
      </c>
      <c r="H15" s="257">
        <v>0</v>
      </c>
      <c r="I15" s="257">
        <v>4646624</v>
      </c>
      <c r="J15" s="257">
        <v>0</v>
      </c>
      <c r="K15" s="257">
        <v>2323527</v>
      </c>
      <c r="L15" s="257">
        <v>2323527</v>
      </c>
      <c r="M15" s="257">
        <v>0</v>
      </c>
      <c r="N15" s="257">
        <v>0</v>
      </c>
    </row>
    <row r="16" spans="1:15" s="143" customFormat="1" hidden="1" x14ac:dyDescent="0.25">
      <c r="A16" s="143" t="s">
        <v>696</v>
      </c>
      <c r="B16" s="143" t="s">
        <v>96</v>
      </c>
      <c r="C16" s="143" t="s">
        <v>97</v>
      </c>
      <c r="D16" s="143" t="s">
        <v>69</v>
      </c>
      <c r="E16" s="257">
        <v>140764377</v>
      </c>
      <c r="F16" s="257">
        <v>135918601</v>
      </c>
      <c r="G16" s="257">
        <v>135918601</v>
      </c>
      <c r="H16" s="257">
        <v>0</v>
      </c>
      <c r="I16" s="257">
        <v>90770556</v>
      </c>
      <c r="J16" s="257">
        <v>0</v>
      </c>
      <c r="K16" s="257">
        <v>45148045</v>
      </c>
      <c r="L16" s="257">
        <v>45148045</v>
      </c>
      <c r="M16" s="257">
        <v>0</v>
      </c>
      <c r="N16" s="257">
        <v>0</v>
      </c>
    </row>
    <row r="17" spans="1:14" s="143" customFormat="1" hidden="1" x14ac:dyDescent="0.25">
      <c r="A17" s="143" t="s">
        <v>696</v>
      </c>
      <c r="B17" s="143" t="s">
        <v>451</v>
      </c>
      <c r="C17" s="143" t="s">
        <v>698</v>
      </c>
      <c r="D17" s="143" t="s">
        <v>69</v>
      </c>
      <c r="E17" s="257">
        <v>75796203</v>
      </c>
      <c r="F17" s="257">
        <v>73186939</v>
      </c>
      <c r="G17" s="257">
        <v>73186939</v>
      </c>
      <c r="H17" s="257">
        <v>0</v>
      </c>
      <c r="I17" s="257">
        <v>48950930</v>
      </c>
      <c r="J17" s="257">
        <v>0</v>
      </c>
      <c r="K17" s="257">
        <v>24236009</v>
      </c>
      <c r="L17" s="257">
        <v>24236009</v>
      </c>
      <c r="M17" s="257">
        <v>0</v>
      </c>
      <c r="N17" s="257">
        <v>0</v>
      </c>
    </row>
    <row r="18" spans="1:14" s="143" customFormat="1" hidden="1" x14ac:dyDescent="0.25">
      <c r="A18" s="143" t="s">
        <v>696</v>
      </c>
      <c r="B18" s="143" t="s">
        <v>468</v>
      </c>
      <c r="C18" s="143" t="s">
        <v>699</v>
      </c>
      <c r="D18" s="143" t="s">
        <v>69</v>
      </c>
      <c r="E18" s="257">
        <v>21656058</v>
      </c>
      <c r="F18" s="257">
        <v>20910554</v>
      </c>
      <c r="G18" s="257">
        <v>20910554</v>
      </c>
      <c r="H18" s="257">
        <v>0</v>
      </c>
      <c r="I18" s="257">
        <v>13939869</v>
      </c>
      <c r="J18" s="257">
        <v>0</v>
      </c>
      <c r="K18" s="257">
        <v>6970685</v>
      </c>
      <c r="L18" s="257">
        <v>6970685</v>
      </c>
      <c r="M18" s="257">
        <v>0</v>
      </c>
      <c r="N18" s="257">
        <v>0</v>
      </c>
    </row>
    <row r="19" spans="1:14" s="143" customFormat="1" hidden="1" x14ac:dyDescent="0.25">
      <c r="A19" s="143" t="s">
        <v>696</v>
      </c>
      <c r="B19" s="143" t="s">
        <v>485</v>
      </c>
      <c r="C19" s="143" t="s">
        <v>700</v>
      </c>
      <c r="D19" s="143" t="s">
        <v>69</v>
      </c>
      <c r="E19" s="257">
        <v>43312116</v>
      </c>
      <c r="F19" s="257">
        <v>41821108</v>
      </c>
      <c r="G19" s="257">
        <v>41821108</v>
      </c>
      <c r="H19" s="257">
        <v>0</v>
      </c>
      <c r="I19" s="257">
        <v>27879757</v>
      </c>
      <c r="J19" s="257">
        <v>0</v>
      </c>
      <c r="K19" s="257">
        <v>13941351</v>
      </c>
      <c r="L19" s="257">
        <v>13941351</v>
      </c>
      <c r="M19" s="257">
        <v>0</v>
      </c>
      <c r="N19" s="257">
        <v>0</v>
      </c>
    </row>
    <row r="20" spans="1:14" s="143" customFormat="1" hidden="1" x14ac:dyDescent="0.25">
      <c r="A20" s="143" t="s">
        <v>696</v>
      </c>
      <c r="B20" s="143" t="s">
        <v>104</v>
      </c>
      <c r="C20" s="143" t="s">
        <v>105</v>
      </c>
      <c r="D20" s="143" t="s">
        <v>69</v>
      </c>
      <c r="E20" s="257">
        <v>83371900</v>
      </c>
      <c r="F20" s="257">
        <v>73451900</v>
      </c>
      <c r="G20" s="257">
        <v>69289607.599999994</v>
      </c>
      <c r="H20" s="257">
        <v>9161033.9000000004</v>
      </c>
      <c r="I20" s="257">
        <v>46048988.979999997</v>
      </c>
      <c r="J20" s="257">
        <v>4710243.76</v>
      </c>
      <c r="K20" s="257">
        <v>6297060.9199999999</v>
      </c>
      <c r="L20" s="257">
        <v>6297060.9199999999</v>
      </c>
      <c r="M20" s="257">
        <v>7234572.4400000004</v>
      </c>
      <c r="N20" s="257">
        <v>3072280.04</v>
      </c>
    </row>
    <row r="21" spans="1:14" s="143" customFormat="1" hidden="1" x14ac:dyDescent="0.25">
      <c r="A21" s="143" t="s">
        <v>696</v>
      </c>
      <c r="B21" s="143" t="s">
        <v>106</v>
      </c>
      <c r="C21" s="143" t="s">
        <v>107</v>
      </c>
      <c r="D21" s="143" t="s">
        <v>69</v>
      </c>
      <c r="E21" s="257">
        <v>55749325</v>
      </c>
      <c r="F21" s="257">
        <v>54664325</v>
      </c>
      <c r="G21" s="257">
        <v>54664324.600000001</v>
      </c>
      <c r="H21" s="257">
        <v>9161033.9000000004</v>
      </c>
      <c r="I21" s="257">
        <v>38856172.18</v>
      </c>
      <c r="J21" s="257">
        <v>4710243.76</v>
      </c>
      <c r="K21" s="257">
        <v>0</v>
      </c>
      <c r="L21" s="257">
        <v>0</v>
      </c>
      <c r="M21" s="257">
        <v>1936875.16</v>
      </c>
      <c r="N21" s="257">
        <v>1936874.76</v>
      </c>
    </row>
    <row r="22" spans="1:14" s="143" customFormat="1" hidden="1" x14ac:dyDescent="0.25">
      <c r="A22" s="143" t="s">
        <v>696</v>
      </c>
      <c r="B22" s="143" t="s">
        <v>108</v>
      </c>
      <c r="C22" s="143" t="s">
        <v>109</v>
      </c>
      <c r="D22" s="143" t="s">
        <v>69</v>
      </c>
      <c r="E22" s="257">
        <v>55664325</v>
      </c>
      <c r="F22" s="257">
        <v>54664325</v>
      </c>
      <c r="G22" s="257">
        <v>54664324.600000001</v>
      </c>
      <c r="H22" s="257">
        <v>9161033.9000000004</v>
      </c>
      <c r="I22" s="257">
        <v>38856172.18</v>
      </c>
      <c r="J22" s="257">
        <v>4710243.76</v>
      </c>
      <c r="K22" s="257">
        <v>0</v>
      </c>
      <c r="L22" s="257">
        <v>0</v>
      </c>
      <c r="M22" s="257">
        <v>1936875.16</v>
      </c>
      <c r="N22" s="257">
        <v>1936874.76</v>
      </c>
    </row>
    <row r="23" spans="1:14" s="143" customFormat="1" hidden="1" x14ac:dyDescent="0.25">
      <c r="A23" s="143" t="s">
        <v>696</v>
      </c>
      <c r="B23" s="143" t="s">
        <v>110</v>
      </c>
      <c r="C23" s="143" t="s">
        <v>111</v>
      </c>
      <c r="D23" s="143" t="s">
        <v>69</v>
      </c>
      <c r="E23" s="257">
        <v>85000</v>
      </c>
      <c r="F23" s="257">
        <v>0</v>
      </c>
      <c r="G23" s="257">
        <v>0</v>
      </c>
      <c r="H23" s="257">
        <v>0</v>
      </c>
      <c r="I23" s="257">
        <v>0</v>
      </c>
      <c r="J23" s="257">
        <v>0</v>
      </c>
      <c r="K23" s="257">
        <v>0</v>
      </c>
      <c r="L23" s="257">
        <v>0</v>
      </c>
      <c r="M23" s="257">
        <v>0</v>
      </c>
      <c r="N23" s="257">
        <v>0</v>
      </c>
    </row>
    <row r="24" spans="1:14" s="143" customFormat="1" hidden="1" x14ac:dyDescent="0.25">
      <c r="A24" s="143" t="s">
        <v>696</v>
      </c>
      <c r="B24" s="143" t="s">
        <v>124</v>
      </c>
      <c r="C24" s="143" t="s">
        <v>125</v>
      </c>
      <c r="D24" s="143" t="s">
        <v>69</v>
      </c>
      <c r="E24" s="257">
        <v>1900000</v>
      </c>
      <c r="F24" s="257">
        <v>925000</v>
      </c>
      <c r="G24" s="257">
        <v>880000</v>
      </c>
      <c r="H24" s="257">
        <v>0</v>
      </c>
      <c r="I24" s="257">
        <v>298320</v>
      </c>
      <c r="J24" s="257">
        <v>0</v>
      </c>
      <c r="K24" s="257">
        <v>0</v>
      </c>
      <c r="L24" s="257">
        <v>0</v>
      </c>
      <c r="M24" s="257">
        <v>626680</v>
      </c>
      <c r="N24" s="257">
        <v>581680</v>
      </c>
    </row>
    <row r="25" spans="1:14" s="143" customFormat="1" hidden="1" x14ac:dyDescent="0.25">
      <c r="A25" s="143" t="s">
        <v>696</v>
      </c>
      <c r="B25" s="143" t="s">
        <v>128</v>
      </c>
      <c r="C25" s="143" t="s">
        <v>129</v>
      </c>
      <c r="D25" s="143" t="s">
        <v>69</v>
      </c>
      <c r="E25" s="257">
        <v>1250000</v>
      </c>
      <c r="F25" s="257">
        <v>625000</v>
      </c>
      <c r="G25" s="257">
        <v>580000</v>
      </c>
      <c r="H25" s="257">
        <v>0</v>
      </c>
      <c r="I25" s="257">
        <v>0</v>
      </c>
      <c r="J25" s="257">
        <v>0</v>
      </c>
      <c r="K25" s="257">
        <v>0</v>
      </c>
      <c r="L25" s="257">
        <v>0</v>
      </c>
      <c r="M25" s="257">
        <v>625000</v>
      </c>
      <c r="N25" s="257">
        <v>580000</v>
      </c>
    </row>
    <row r="26" spans="1:14" s="143" customFormat="1" hidden="1" x14ac:dyDescent="0.25">
      <c r="A26" s="143" t="s">
        <v>696</v>
      </c>
      <c r="B26" s="143" t="s">
        <v>130</v>
      </c>
      <c r="C26" s="143" t="s">
        <v>131</v>
      </c>
      <c r="D26" s="143" t="s">
        <v>69</v>
      </c>
      <c r="E26" s="257">
        <v>50000</v>
      </c>
      <c r="F26" s="257">
        <v>0</v>
      </c>
      <c r="G26" s="257">
        <v>0</v>
      </c>
      <c r="H26" s="257">
        <v>0</v>
      </c>
      <c r="I26" s="257">
        <v>0</v>
      </c>
      <c r="J26" s="257">
        <v>0</v>
      </c>
      <c r="K26" s="257">
        <v>0</v>
      </c>
      <c r="L26" s="257">
        <v>0</v>
      </c>
      <c r="M26" s="257">
        <v>0</v>
      </c>
      <c r="N26" s="257">
        <v>0</v>
      </c>
    </row>
    <row r="27" spans="1:14" s="143" customFormat="1" hidden="1" x14ac:dyDescent="0.25">
      <c r="A27" s="143" t="s">
        <v>696</v>
      </c>
      <c r="B27" s="143" t="s">
        <v>132</v>
      </c>
      <c r="C27" s="143" t="s">
        <v>133</v>
      </c>
      <c r="D27" s="143" t="s">
        <v>69</v>
      </c>
      <c r="E27" s="257">
        <v>600000</v>
      </c>
      <c r="F27" s="257">
        <v>300000</v>
      </c>
      <c r="G27" s="257">
        <v>300000</v>
      </c>
      <c r="H27" s="257">
        <v>0</v>
      </c>
      <c r="I27" s="257">
        <v>298320</v>
      </c>
      <c r="J27" s="257">
        <v>0</v>
      </c>
      <c r="K27" s="257">
        <v>0</v>
      </c>
      <c r="L27" s="257">
        <v>0</v>
      </c>
      <c r="M27" s="257">
        <v>1680</v>
      </c>
      <c r="N27" s="257">
        <v>1680</v>
      </c>
    </row>
    <row r="28" spans="1:14" s="143" customFormat="1" hidden="1" x14ac:dyDescent="0.25">
      <c r="A28" s="143" t="s">
        <v>696</v>
      </c>
      <c r="B28" s="143" t="s">
        <v>140</v>
      </c>
      <c r="C28" s="143" t="s">
        <v>141</v>
      </c>
      <c r="D28" s="143" t="s">
        <v>69</v>
      </c>
      <c r="E28" s="257">
        <v>25000000</v>
      </c>
      <c r="F28" s="257">
        <v>17540000</v>
      </c>
      <c r="G28" s="257">
        <v>13422708</v>
      </c>
      <c r="H28" s="257">
        <v>0</v>
      </c>
      <c r="I28" s="257">
        <v>6894496.7999999998</v>
      </c>
      <c r="J28" s="257">
        <v>0</v>
      </c>
      <c r="K28" s="257">
        <v>6297060.9199999999</v>
      </c>
      <c r="L28" s="257">
        <v>6297060.9199999999</v>
      </c>
      <c r="M28" s="257">
        <v>4348442.28</v>
      </c>
      <c r="N28" s="257">
        <v>231150.28</v>
      </c>
    </row>
    <row r="29" spans="1:14" s="143" customFormat="1" hidden="1" x14ac:dyDescent="0.25">
      <c r="A29" s="143" t="s">
        <v>696</v>
      </c>
      <c r="B29" s="143" t="s">
        <v>142</v>
      </c>
      <c r="C29" s="143" t="s">
        <v>143</v>
      </c>
      <c r="D29" s="143" t="s">
        <v>69</v>
      </c>
      <c r="E29" s="257">
        <v>100000</v>
      </c>
      <c r="F29" s="257">
        <v>100000</v>
      </c>
      <c r="G29" s="257">
        <v>100000</v>
      </c>
      <c r="H29" s="257">
        <v>0</v>
      </c>
      <c r="I29" s="257">
        <v>64340</v>
      </c>
      <c r="J29" s="257">
        <v>0</v>
      </c>
      <c r="K29" s="257">
        <v>35660</v>
      </c>
      <c r="L29" s="257">
        <v>35660</v>
      </c>
      <c r="M29" s="257">
        <v>0</v>
      </c>
      <c r="N29" s="257">
        <v>0</v>
      </c>
    </row>
    <row r="30" spans="1:14" s="143" customFormat="1" hidden="1" x14ac:dyDescent="0.25">
      <c r="A30" s="143" t="s">
        <v>696</v>
      </c>
      <c r="B30" s="143" t="s">
        <v>144</v>
      </c>
      <c r="C30" s="143" t="s">
        <v>145</v>
      </c>
      <c r="D30" s="143" t="s">
        <v>69</v>
      </c>
      <c r="E30" s="257">
        <v>8085000</v>
      </c>
      <c r="F30" s="257">
        <v>8085000</v>
      </c>
      <c r="G30" s="257">
        <v>7853850</v>
      </c>
      <c r="H30" s="257">
        <v>0</v>
      </c>
      <c r="I30" s="257">
        <v>6823500</v>
      </c>
      <c r="J30" s="257">
        <v>0</v>
      </c>
      <c r="K30" s="257">
        <v>799200</v>
      </c>
      <c r="L30" s="257">
        <v>799200</v>
      </c>
      <c r="M30" s="257">
        <v>462300</v>
      </c>
      <c r="N30" s="257">
        <v>231150</v>
      </c>
    </row>
    <row r="31" spans="1:14" s="143" customFormat="1" hidden="1" x14ac:dyDescent="0.25">
      <c r="A31" s="143" t="s">
        <v>696</v>
      </c>
      <c r="B31" s="143" t="s">
        <v>146</v>
      </c>
      <c r="C31" s="143" t="s">
        <v>147</v>
      </c>
      <c r="D31" s="143" t="s">
        <v>69</v>
      </c>
      <c r="E31" s="257">
        <v>8295000</v>
      </c>
      <c r="F31" s="257">
        <v>1585000</v>
      </c>
      <c r="G31" s="257">
        <v>1585000</v>
      </c>
      <c r="H31" s="257">
        <v>0</v>
      </c>
      <c r="I31" s="257">
        <v>6656.8</v>
      </c>
      <c r="J31" s="257">
        <v>0</v>
      </c>
      <c r="K31" s="257">
        <v>1578343.2</v>
      </c>
      <c r="L31" s="257">
        <v>1578343.2</v>
      </c>
      <c r="M31" s="257">
        <v>0</v>
      </c>
      <c r="N31" s="257">
        <v>0</v>
      </c>
    </row>
    <row r="32" spans="1:14" s="143" customFormat="1" hidden="1" x14ac:dyDescent="0.25">
      <c r="A32" s="143" t="s">
        <v>696</v>
      </c>
      <c r="B32" s="143" t="s">
        <v>148</v>
      </c>
      <c r="C32" s="143" t="s">
        <v>149</v>
      </c>
      <c r="D32" s="143" t="s">
        <v>69</v>
      </c>
      <c r="E32" s="257">
        <v>8520000</v>
      </c>
      <c r="F32" s="257">
        <v>7770000</v>
      </c>
      <c r="G32" s="257">
        <v>3883858</v>
      </c>
      <c r="H32" s="257">
        <v>0</v>
      </c>
      <c r="I32" s="257">
        <v>0</v>
      </c>
      <c r="J32" s="257">
        <v>0</v>
      </c>
      <c r="K32" s="257">
        <v>3883857.72</v>
      </c>
      <c r="L32" s="257">
        <v>3883857.72</v>
      </c>
      <c r="M32" s="257">
        <v>3886142.28</v>
      </c>
      <c r="N32" s="257">
        <v>0.28000000000000003</v>
      </c>
    </row>
    <row r="33" spans="1:14" s="143" customFormat="1" hidden="1" x14ac:dyDescent="0.25">
      <c r="A33" s="143" t="s">
        <v>696</v>
      </c>
      <c r="B33" s="143" t="s">
        <v>154</v>
      </c>
      <c r="C33" s="143" t="s">
        <v>155</v>
      </c>
      <c r="D33" s="143" t="s">
        <v>69</v>
      </c>
      <c r="E33" s="257">
        <v>400000</v>
      </c>
      <c r="F33" s="257">
        <v>0</v>
      </c>
      <c r="G33" s="257">
        <v>0</v>
      </c>
      <c r="H33" s="257">
        <v>0</v>
      </c>
      <c r="I33" s="257">
        <v>0</v>
      </c>
      <c r="J33" s="257">
        <v>0</v>
      </c>
      <c r="K33" s="257">
        <v>0</v>
      </c>
      <c r="L33" s="257">
        <v>0</v>
      </c>
      <c r="M33" s="257">
        <v>0</v>
      </c>
      <c r="N33" s="257">
        <v>0</v>
      </c>
    </row>
    <row r="34" spans="1:14" s="143" customFormat="1" hidden="1" x14ac:dyDescent="0.25">
      <c r="A34" s="143" t="s">
        <v>696</v>
      </c>
      <c r="B34" s="143" t="s">
        <v>160</v>
      </c>
      <c r="C34" s="143" t="s">
        <v>161</v>
      </c>
      <c r="D34" s="143" t="s">
        <v>69</v>
      </c>
      <c r="E34" s="257">
        <v>400000</v>
      </c>
      <c r="F34" s="257">
        <v>0</v>
      </c>
      <c r="G34" s="257">
        <v>0</v>
      </c>
      <c r="H34" s="257">
        <v>0</v>
      </c>
      <c r="I34" s="257">
        <v>0</v>
      </c>
      <c r="J34" s="257">
        <v>0</v>
      </c>
      <c r="K34" s="257">
        <v>0</v>
      </c>
      <c r="L34" s="257">
        <v>0</v>
      </c>
      <c r="M34" s="257">
        <v>0</v>
      </c>
      <c r="N34" s="257">
        <v>0</v>
      </c>
    </row>
    <row r="35" spans="1:14" s="143" customFormat="1" hidden="1" x14ac:dyDescent="0.25">
      <c r="A35" s="143" t="s">
        <v>696</v>
      </c>
      <c r="B35" s="143" t="s">
        <v>162</v>
      </c>
      <c r="C35" s="143" t="s">
        <v>163</v>
      </c>
      <c r="D35" s="143" t="s">
        <v>69</v>
      </c>
      <c r="E35" s="257">
        <v>322575</v>
      </c>
      <c r="F35" s="257">
        <v>322575</v>
      </c>
      <c r="G35" s="257">
        <v>322575</v>
      </c>
      <c r="H35" s="257">
        <v>0</v>
      </c>
      <c r="I35" s="257">
        <v>0</v>
      </c>
      <c r="J35" s="257">
        <v>0</v>
      </c>
      <c r="K35" s="257">
        <v>0</v>
      </c>
      <c r="L35" s="257">
        <v>0</v>
      </c>
      <c r="M35" s="257">
        <v>322575</v>
      </c>
      <c r="N35" s="257">
        <v>322575</v>
      </c>
    </row>
    <row r="36" spans="1:14" s="143" customFormat="1" hidden="1" x14ac:dyDescent="0.25">
      <c r="A36" s="143" t="s">
        <v>696</v>
      </c>
      <c r="B36" s="143" t="s">
        <v>170</v>
      </c>
      <c r="C36" s="143" t="s">
        <v>171</v>
      </c>
      <c r="D36" s="143" t="s">
        <v>69</v>
      </c>
      <c r="E36" s="257">
        <v>322575</v>
      </c>
      <c r="F36" s="257">
        <v>322575</v>
      </c>
      <c r="G36" s="257">
        <v>322575</v>
      </c>
      <c r="H36" s="257">
        <v>0</v>
      </c>
      <c r="I36" s="257">
        <v>0</v>
      </c>
      <c r="J36" s="257">
        <v>0</v>
      </c>
      <c r="K36" s="257">
        <v>0</v>
      </c>
      <c r="L36" s="257">
        <v>0</v>
      </c>
      <c r="M36" s="257">
        <v>322575</v>
      </c>
      <c r="N36" s="257">
        <v>322575</v>
      </c>
    </row>
    <row r="37" spans="1:14" s="143" customFormat="1" hidden="1" x14ac:dyDescent="0.25">
      <c r="A37" s="143" t="s">
        <v>696</v>
      </c>
      <c r="B37" s="143" t="s">
        <v>184</v>
      </c>
      <c r="C37" s="143" t="s">
        <v>185</v>
      </c>
      <c r="D37" s="143" t="s">
        <v>69</v>
      </c>
      <c r="E37" s="257">
        <v>4976400</v>
      </c>
      <c r="F37" s="257">
        <v>4376300</v>
      </c>
      <c r="G37" s="257">
        <v>3876300</v>
      </c>
      <c r="H37" s="257">
        <v>0</v>
      </c>
      <c r="I37" s="257">
        <v>0</v>
      </c>
      <c r="J37" s="257">
        <v>0</v>
      </c>
      <c r="K37" s="257">
        <v>562346.76</v>
      </c>
      <c r="L37" s="257">
        <v>562346.76</v>
      </c>
      <c r="M37" s="257">
        <v>3813953.24</v>
      </c>
      <c r="N37" s="257">
        <v>3313953.24</v>
      </c>
    </row>
    <row r="38" spans="1:14" s="143" customFormat="1" hidden="1" x14ac:dyDescent="0.25">
      <c r="A38" s="143" t="s">
        <v>696</v>
      </c>
      <c r="B38" s="143" t="s">
        <v>186</v>
      </c>
      <c r="C38" s="143" t="s">
        <v>187</v>
      </c>
      <c r="D38" s="143" t="s">
        <v>69</v>
      </c>
      <c r="E38" s="257">
        <v>43000</v>
      </c>
      <c r="F38" s="257">
        <v>0</v>
      </c>
      <c r="G38" s="257">
        <v>0</v>
      </c>
      <c r="H38" s="257">
        <v>0</v>
      </c>
      <c r="I38" s="257">
        <v>0</v>
      </c>
      <c r="J38" s="257">
        <v>0</v>
      </c>
      <c r="K38" s="257">
        <v>0</v>
      </c>
      <c r="L38" s="257">
        <v>0</v>
      </c>
      <c r="M38" s="257">
        <v>0</v>
      </c>
      <c r="N38" s="257">
        <v>0</v>
      </c>
    </row>
    <row r="39" spans="1:14" s="143" customFormat="1" hidden="1" x14ac:dyDescent="0.25">
      <c r="A39" s="143" t="s">
        <v>696</v>
      </c>
      <c r="B39" s="143" t="s">
        <v>192</v>
      </c>
      <c r="C39" s="143" t="s">
        <v>193</v>
      </c>
      <c r="D39" s="143" t="s">
        <v>69</v>
      </c>
      <c r="E39" s="257">
        <v>43000</v>
      </c>
      <c r="F39" s="257">
        <v>0</v>
      </c>
      <c r="G39" s="257">
        <v>0</v>
      </c>
      <c r="H39" s="257">
        <v>0</v>
      </c>
      <c r="I39" s="257">
        <v>0</v>
      </c>
      <c r="J39" s="257">
        <v>0</v>
      </c>
      <c r="K39" s="257">
        <v>0</v>
      </c>
      <c r="L39" s="257">
        <v>0</v>
      </c>
      <c r="M39" s="257">
        <v>0</v>
      </c>
      <c r="N39" s="257">
        <v>0</v>
      </c>
    </row>
    <row r="40" spans="1:14" s="143" customFormat="1" hidden="1" x14ac:dyDescent="0.25">
      <c r="A40" s="143" t="s">
        <v>696</v>
      </c>
      <c r="B40" s="143" t="s">
        <v>206</v>
      </c>
      <c r="C40" s="143" t="s">
        <v>207</v>
      </c>
      <c r="D40" s="143" t="s">
        <v>69</v>
      </c>
      <c r="E40" s="257">
        <v>49000</v>
      </c>
      <c r="F40" s="257">
        <v>0</v>
      </c>
      <c r="G40" s="257">
        <v>0</v>
      </c>
      <c r="H40" s="257">
        <v>0</v>
      </c>
      <c r="I40" s="257">
        <v>0</v>
      </c>
      <c r="J40" s="257">
        <v>0</v>
      </c>
      <c r="K40" s="257">
        <v>0</v>
      </c>
      <c r="L40" s="257">
        <v>0</v>
      </c>
      <c r="M40" s="257">
        <v>0</v>
      </c>
      <c r="N40" s="257">
        <v>0</v>
      </c>
    </row>
    <row r="41" spans="1:14" s="143" customFormat="1" hidden="1" x14ac:dyDescent="0.25">
      <c r="A41" s="143" t="s">
        <v>696</v>
      </c>
      <c r="B41" s="143" t="s">
        <v>208</v>
      </c>
      <c r="C41" s="143" t="s">
        <v>209</v>
      </c>
      <c r="D41" s="143" t="s">
        <v>69</v>
      </c>
      <c r="E41" s="257">
        <v>49000</v>
      </c>
      <c r="F41" s="257">
        <v>0</v>
      </c>
      <c r="G41" s="257">
        <v>0</v>
      </c>
      <c r="H41" s="257">
        <v>0</v>
      </c>
      <c r="I41" s="257">
        <v>0</v>
      </c>
      <c r="J41" s="257">
        <v>0</v>
      </c>
      <c r="K41" s="257">
        <v>0</v>
      </c>
      <c r="L41" s="257">
        <v>0</v>
      </c>
      <c r="M41" s="257">
        <v>0</v>
      </c>
      <c r="N41" s="257">
        <v>0</v>
      </c>
    </row>
    <row r="42" spans="1:14" s="143" customFormat="1" hidden="1" x14ac:dyDescent="0.25">
      <c r="A42" s="143" t="s">
        <v>696</v>
      </c>
      <c r="B42" s="143" t="s">
        <v>212</v>
      </c>
      <c r="C42" s="143" t="s">
        <v>213</v>
      </c>
      <c r="D42" s="143" t="s">
        <v>69</v>
      </c>
      <c r="E42" s="257">
        <v>4884400</v>
      </c>
      <c r="F42" s="257">
        <v>4376300</v>
      </c>
      <c r="G42" s="257">
        <v>3876300</v>
      </c>
      <c r="H42" s="257">
        <v>0</v>
      </c>
      <c r="I42" s="257">
        <v>0</v>
      </c>
      <c r="J42" s="257">
        <v>0</v>
      </c>
      <c r="K42" s="257">
        <v>562346.76</v>
      </c>
      <c r="L42" s="257">
        <v>562346.76</v>
      </c>
      <c r="M42" s="257">
        <v>3813953.24</v>
      </c>
      <c r="N42" s="257">
        <v>3313953.24</v>
      </c>
    </row>
    <row r="43" spans="1:14" s="143" customFormat="1" hidden="1" x14ac:dyDescent="0.25">
      <c r="A43" s="143" t="s">
        <v>696</v>
      </c>
      <c r="B43" s="143" t="s">
        <v>214</v>
      </c>
      <c r="C43" s="143" t="s">
        <v>215</v>
      </c>
      <c r="D43" s="143" t="s">
        <v>69</v>
      </c>
      <c r="E43" s="257">
        <v>2500000</v>
      </c>
      <c r="F43" s="257">
        <v>2250000</v>
      </c>
      <c r="G43" s="257">
        <v>1950000</v>
      </c>
      <c r="H43" s="257">
        <v>0</v>
      </c>
      <c r="I43" s="257">
        <v>0</v>
      </c>
      <c r="J43" s="257">
        <v>0</v>
      </c>
      <c r="K43" s="257">
        <v>0</v>
      </c>
      <c r="L43" s="257">
        <v>0</v>
      </c>
      <c r="M43" s="257">
        <v>2250000</v>
      </c>
      <c r="N43" s="257">
        <v>1950000</v>
      </c>
    </row>
    <row r="44" spans="1:14" s="143" customFormat="1" hidden="1" x14ac:dyDescent="0.25">
      <c r="A44" s="143" t="s">
        <v>696</v>
      </c>
      <c r="B44" s="143" t="s">
        <v>218</v>
      </c>
      <c r="C44" s="143" t="s">
        <v>219</v>
      </c>
      <c r="D44" s="143" t="s">
        <v>69</v>
      </c>
      <c r="E44" s="257">
        <v>1800000</v>
      </c>
      <c r="F44" s="257">
        <v>1676300</v>
      </c>
      <c r="G44" s="257">
        <v>1476300</v>
      </c>
      <c r="H44" s="257">
        <v>0</v>
      </c>
      <c r="I44" s="257">
        <v>0</v>
      </c>
      <c r="J44" s="257">
        <v>0</v>
      </c>
      <c r="K44" s="257">
        <v>562346.76</v>
      </c>
      <c r="L44" s="257">
        <v>562346.76</v>
      </c>
      <c r="M44" s="257">
        <v>1113953.24</v>
      </c>
      <c r="N44" s="257">
        <v>913953.24</v>
      </c>
    </row>
    <row r="45" spans="1:14" s="143" customFormat="1" hidden="1" x14ac:dyDescent="0.25">
      <c r="A45" s="143" t="s">
        <v>696</v>
      </c>
      <c r="B45" s="143" t="s">
        <v>222</v>
      </c>
      <c r="C45" s="143" t="s">
        <v>223</v>
      </c>
      <c r="D45" s="143" t="s">
        <v>69</v>
      </c>
      <c r="E45" s="257">
        <v>500000</v>
      </c>
      <c r="F45" s="257">
        <v>450000</v>
      </c>
      <c r="G45" s="257">
        <v>450000</v>
      </c>
      <c r="H45" s="257">
        <v>0</v>
      </c>
      <c r="I45" s="257">
        <v>0</v>
      </c>
      <c r="J45" s="257">
        <v>0</v>
      </c>
      <c r="K45" s="257">
        <v>0</v>
      </c>
      <c r="L45" s="257">
        <v>0</v>
      </c>
      <c r="M45" s="257">
        <v>450000</v>
      </c>
      <c r="N45" s="257">
        <v>450000</v>
      </c>
    </row>
    <row r="46" spans="1:14" s="143" customFormat="1" hidden="1" x14ac:dyDescent="0.25">
      <c r="A46" s="143" t="s">
        <v>696</v>
      </c>
      <c r="B46" s="143" t="s">
        <v>226</v>
      </c>
      <c r="C46" s="143" t="s">
        <v>227</v>
      </c>
      <c r="D46" s="143" t="s">
        <v>69</v>
      </c>
      <c r="E46" s="257">
        <v>37400</v>
      </c>
      <c r="F46" s="257">
        <v>0</v>
      </c>
      <c r="G46" s="257">
        <v>0</v>
      </c>
      <c r="H46" s="257">
        <v>0</v>
      </c>
      <c r="I46" s="257">
        <v>0</v>
      </c>
      <c r="J46" s="257">
        <v>0</v>
      </c>
      <c r="K46" s="257">
        <v>0</v>
      </c>
      <c r="L46" s="257">
        <v>0</v>
      </c>
      <c r="M46" s="257">
        <v>0</v>
      </c>
      <c r="N46" s="257">
        <v>0</v>
      </c>
    </row>
    <row r="47" spans="1:14" s="143" customFormat="1" hidden="1" x14ac:dyDescent="0.25">
      <c r="A47" s="143" t="s">
        <v>696</v>
      </c>
      <c r="B47" s="143" t="s">
        <v>228</v>
      </c>
      <c r="C47" s="143" t="s">
        <v>229</v>
      </c>
      <c r="D47" s="143" t="s">
        <v>69</v>
      </c>
      <c r="E47" s="257">
        <v>47000</v>
      </c>
      <c r="F47" s="257">
        <v>0</v>
      </c>
      <c r="G47" s="257">
        <v>0</v>
      </c>
      <c r="H47" s="257">
        <v>0</v>
      </c>
      <c r="I47" s="257">
        <v>0</v>
      </c>
      <c r="J47" s="257">
        <v>0</v>
      </c>
      <c r="K47" s="257">
        <v>0</v>
      </c>
      <c r="L47" s="257">
        <v>0</v>
      </c>
      <c r="M47" s="257">
        <v>0</v>
      </c>
      <c r="N47" s="257">
        <v>0</v>
      </c>
    </row>
    <row r="48" spans="1:14" s="143" customFormat="1" hidden="1" x14ac:dyDescent="0.25">
      <c r="A48" s="143" t="s">
        <v>696</v>
      </c>
      <c r="B48" s="143" t="s">
        <v>248</v>
      </c>
      <c r="C48" s="143" t="s">
        <v>249</v>
      </c>
      <c r="D48" s="143" t="s">
        <v>69</v>
      </c>
      <c r="E48" s="257">
        <v>314465910</v>
      </c>
      <c r="F48" s="257">
        <v>313640887</v>
      </c>
      <c r="G48" s="257">
        <v>180290887</v>
      </c>
      <c r="H48" s="257">
        <v>0</v>
      </c>
      <c r="I48" s="257">
        <v>33955578.390000001</v>
      </c>
      <c r="J48" s="257">
        <v>0</v>
      </c>
      <c r="K48" s="257">
        <v>127216080.11</v>
      </c>
      <c r="L48" s="257">
        <v>127216080.11</v>
      </c>
      <c r="M48" s="257">
        <v>152469228.5</v>
      </c>
      <c r="N48" s="257">
        <v>19119228.5</v>
      </c>
    </row>
    <row r="49" spans="1:14" s="143" customFormat="1" hidden="1" x14ac:dyDescent="0.25">
      <c r="A49" s="143" t="s">
        <v>696</v>
      </c>
      <c r="B49" s="143" t="s">
        <v>250</v>
      </c>
      <c r="C49" s="143" t="s">
        <v>251</v>
      </c>
      <c r="D49" s="143" t="s">
        <v>69</v>
      </c>
      <c r="E49" s="257">
        <v>281465910</v>
      </c>
      <c r="F49" s="257">
        <v>280640887</v>
      </c>
      <c r="G49" s="257">
        <v>166834507</v>
      </c>
      <c r="H49" s="257">
        <v>0</v>
      </c>
      <c r="I49" s="257">
        <v>33955578</v>
      </c>
      <c r="J49" s="257">
        <v>0</v>
      </c>
      <c r="K49" s="257">
        <v>117909998</v>
      </c>
      <c r="L49" s="257">
        <v>117909998</v>
      </c>
      <c r="M49" s="257">
        <v>128775311</v>
      </c>
      <c r="N49" s="257">
        <v>14968931</v>
      </c>
    </row>
    <row r="50" spans="1:14" s="143" customFormat="1" hidden="1" x14ac:dyDescent="0.25">
      <c r="A50" s="143" t="s">
        <v>696</v>
      </c>
      <c r="B50" s="143" t="s">
        <v>619</v>
      </c>
      <c r="C50" s="143" t="s">
        <v>701</v>
      </c>
      <c r="D50" s="143" t="s">
        <v>69</v>
      </c>
      <c r="E50" s="257">
        <v>257500000</v>
      </c>
      <c r="F50" s="257">
        <v>257500000</v>
      </c>
      <c r="G50" s="257">
        <v>143693620</v>
      </c>
      <c r="H50" s="257">
        <v>0</v>
      </c>
      <c r="I50" s="257">
        <v>18392857</v>
      </c>
      <c r="J50" s="257">
        <v>0</v>
      </c>
      <c r="K50" s="257">
        <v>110357142</v>
      </c>
      <c r="L50" s="257">
        <v>110357142</v>
      </c>
      <c r="M50" s="257">
        <v>128750001</v>
      </c>
      <c r="N50" s="257">
        <v>14943621</v>
      </c>
    </row>
    <row r="51" spans="1:14" s="143" customFormat="1" hidden="1" x14ac:dyDescent="0.25">
      <c r="A51" s="143" t="s">
        <v>696</v>
      </c>
      <c r="B51" s="143" t="s">
        <v>625</v>
      </c>
      <c r="C51" s="143" t="s">
        <v>702</v>
      </c>
      <c r="D51" s="143" t="s">
        <v>69</v>
      </c>
      <c r="E51" s="257">
        <v>20356634</v>
      </c>
      <c r="F51" s="257">
        <v>19655861</v>
      </c>
      <c r="G51" s="257">
        <v>19655861</v>
      </c>
      <c r="H51" s="257">
        <v>0</v>
      </c>
      <c r="I51" s="257">
        <v>13264783</v>
      </c>
      <c r="J51" s="257">
        <v>0</v>
      </c>
      <c r="K51" s="257">
        <v>6391076</v>
      </c>
      <c r="L51" s="257">
        <v>6391076</v>
      </c>
      <c r="M51" s="257">
        <v>2</v>
      </c>
      <c r="N51" s="257">
        <v>2</v>
      </c>
    </row>
    <row r="52" spans="1:14" s="143" customFormat="1" hidden="1" x14ac:dyDescent="0.25">
      <c r="A52" s="143" t="s">
        <v>696</v>
      </c>
      <c r="B52" s="143" t="s">
        <v>640</v>
      </c>
      <c r="C52" s="143" t="s">
        <v>703</v>
      </c>
      <c r="D52" s="143" t="s">
        <v>69</v>
      </c>
      <c r="E52" s="257">
        <v>3609276</v>
      </c>
      <c r="F52" s="257">
        <v>3485026</v>
      </c>
      <c r="G52" s="257">
        <v>3485026</v>
      </c>
      <c r="H52" s="257">
        <v>0</v>
      </c>
      <c r="I52" s="257">
        <v>2297938</v>
      </c>
      <c r="J52" s="257">
        <v>0</v>
      </c>
      <c r="K52" s="257">
        <v>1161780</v>
      </c>
      <c r="L52" s="257">
        <v>1161780</v>
      </c>
      <c r="M52" s="257">
        <v>25308</v>
      </c>
      <c r="N52" s="257">
        <v>25308</v>
      </c>
    </row>
    <row r="53" spans="1:14" s="143" customFormat="1" hidden="1" x14ac:dyDescent="0.25">
      <c r="A53" s="143" t="s">
        <v>696</v>
      </c>
      <c r="B53" s="143" t="s">
        <v>260</v>
      </c>
      <c r="C53" s="143" t="s">
        <v>261</v>
      </c>
      <c r="D53" s="143" t="s">
        <v>69</v>
      </c>
      <c r="E53" s="257">
        <v>33000000</v>
      </c>
      <c r="F53" s="257">
        <v>33000000</v>
      </c>
      <c r="G53" s="257">
        <v>13456380</v>
      </c>
      <c r="H53" s="257">
        <v>0</v>
      </c>
      <c r="I53" s="257">
        <v>0.39</v>
      </c>
      <c r="J53" s="257">
        <v>0</v>
      </c>
      <c r="K53" s="257">
        <v>9306082.1099999994</v>
      </c>
      <c r="L53" s="257">
        <v>9306082.1099999994</v>
      </c>
      <c r="M53" s="257">
        <v>23693917.5</v>
      </c>
      <c r="N53" s="257">
        <v>4150297.5</v>
      </c>
    </row>
    <row r="54" spans="1:14" s="143" customFormat="1" hidden="1" x14ac:dyDescent="0.25">
      <c r="A54" s="143" t="s">
        <v>696</v>
      </c>
      <c r="B54" s="143" t="s">
        <v>262</v>
      </c>
      <c r="C54" s="143" t="s">
        <v>263</v>
      </c>
      <c r="D54" s="143" t="s">
        <v>69</v>
      </c>
      <c r="E54" s="257">
        <v>23000000</v>
      </c>
      <c r="F54" s="257">
        <v>23000000</v>
      </c>
      <c r="G54" s="257">
        <v>3456380</v>
      </c>
      <c r="H54" s="257">
        <v>0</v>
      </c>
      <c r="I54" s="257">
        <v>0.39</v>
      </c>
      <c r="J54" s="257">
        <v>0</v>
      </c>
      <c r="K54" s="257">
        <v>3456379.61</v>
      </c>
      <c r="L54" s="257">
        <v>3456379.61</v>
      </c>
      <c r="M54" s="257">
        <v>19543620</v>
      </c>
      <c r="N54" s="257">
        <v>0</v>
      </c>
    </row>
    <row r="55" spans="1:14" s="143" customFormat="1" hidden="1" x14ac:dyDescent="0.25">
      <c r="A55" s="143" t="s">
        <v>696</v>
      </c>
      <c r="B55" s="143" t="s">
        <v>264</v>
      </c>
      <c r="C55" s="143" t="s">
        <v>265</v>
      </c>
      <c r="D55" s="143" t="s">
        <v>69</v>
      </c>
      <c r="E55" s="257">
        <v>10000000</v>
      </c>
      <c r="F55" s="257">
        <v>10000000</v>
      </c>
      <c r="G55" s="257">
        <v>10000000</v>
      </c>
      <c r="H55" s="257">
        <v>0</v>
      </c>
      <c r="I55" s="257">
        <v>0</v>
      </c>
      <c r="J55" s="257">
        <v>0</v>
      </c>
      <c r="K55" s="257">
        <v>5849702.5</v>
      </c>
      <c r="L55" s="257">
        <v>5849702.5</v>
      </c>
      <c r="M55" s="257">
        <v>4150297.5</v>
      </c>
      <c r="N55" s="257">
        <v>4150297.5</v>
      </c>
    </row>
    <row r="56" spans="1:14" s="143" customFormat="1" hidden="1" x14ac:dyDescent="0.25">
      <c r="A56" s="143" t="s">
        <v>696</v>
      </c>
      <c r="B56" s="143" t="s">
        <v>230</v>
      </c>
      <c r="C56" s="143" t="s">
        <v>231</v>
      </c>
      <c r="D56" s="143" t="s">
        <v>85</v>
      </c>
      <c r="E56" s="257">
        <v>4220000</v>
      </c>
      <c r="F56" s="257">
        <v>3950000</v>
      </c>
      <c r="G56" s="257">
        <v>3950000</v>
      </c>
      <c r="H56" s="257">
        <v>550855.53</v>
      </c>
      <c r="I56" s="257">
        <v>2074329.3</v>
      </c>
      <c r="J56" s="257">
        <v>0</v>
      </c>
      <c r="K56" s="257">
        <v>0</v>
      </c>
      <c r="L56" s="257">
        <v>0</v>
      </c>
      <c r="M56" s="257">
        <v>1324815.17</v>
      </c>
      <c r="N56" s="257">
        <v>1324815.17</v>
      </c>
    </row>
    <row r="57" spans="1:14" s="143" customFormat="1" hidden="1" x14ac:dyDescent="0.25">
      <c r="A57" s="143" t="s">
        <v>696</v>
      </c>
      <c r="B57" s="143" t="s">
        <v>232</v>
      </c>
      <c r="C57" s="143" t="s">
        <v>233</v>
      </c>
      <c r="D57" s="143" t="s">
        <v>85</v>
      </c>
      <c r="E57" s="257">
        <v>3320000</v>
      </c>
      <c r="F57" s="257">
        <v>3050000</v>
      </c>
      <c r="G57" s="257">
        <v>3050000</v>
      </c>
      <c r="H57" s="257">
        <v>550855.53</v>
      </c>
      <c r="I57" s="257">
        <v>2074329.3</v>
      </c>
      <c r="J57" s="257">
        <v>0</v>
      </c>
      <c r="K57" s="257">
        <v>0</v>
      </c>
      <c r="L57" s="257">
        <v>0</v>
      </c>
      <c r="M57" s="257">
        <v>424815.17</v>
      </c>
      <c r="N57" s="257">
        <v>424815.17</v>
      </c>
    </row>
    <row r="58" spans="1:14" s="143" customFormat="1" hidden="1" x14ac:dyDescent="0.25">
      <c r="A58" s="143" t="s">
        <v>696</v>
      </c>
      <c r="B58" s="143" t="s">
        <v>236</v>
      </c>
      <c r="C58" s="143" t="s">
        <v>237</v>
      </c>
      <c r="D58" s="143" t="s">
        <v>85</v>
      </c>
      <c r="E58" s="257">
        <v>120000</v>
      </c>
      <c r="F58" s="257">
        <v>0</v>
      </c>
      <c r="G58" s="257">
        <v>0</v>
      </c>
      <c r="H58" s="257">
        <v>0</v>
      </c>
      <c r="I58" s="257">
        <v>0</v>
      </c>
      <c r="J58" s="257">
        <v>0</v>
      </c>
      <c r="K58" s="257">
        <v>0</v>
      </c>
      <c r="L58" s="257">
        <v>0</v>
      </c>
      <c r="M58" s="257">
        <v>0</v>
      </c>
      <c r="N58" s="257">
        <v>0</v>
      </c>
    </row>
    <row r="59" spans="1:14" s="143" customFormat="1" hidden="1" x14ac:dyDescent="0.25">
      <c r="A59" s="143" t="s">
        <v>696</v>
      </c>
      <c r="B59" s="143" t="s">
        <v>238</v>
      </c>
      <c r="C59" s="143" t="s">
        <v>239</v>
      </c>
      <c r="D59" s="143" t="s">
        <v>85</v>
      </c>
      <c r="E59" s="257">
        <v>3200000</v>
      </c>
      <c r="F59" s="257">
        <v>3050000</v>
      </c>
      <c r="G59" s="257">
        <v>3050000</v>
      </c>
      <c r="H59" s="257">
        <v>550855.53</v>
      </c>
      <c r="I59" s="257">
        <v>2074329.3</v>
      </c>
      <c r="J59" s="257">
        <v>0</v>
      </c>
      <c r="K59" s="257">
        <v>0</v>
      </c>
      <c r="L59" s="257">
        <v>0</v>
      </c>
      <c r="M59" s="257">
        <v>424815.17</v>
      </c>
      <c r="N59" s="257">
        <v>424815.17</v>
      </c>
    </row>
    <row r="60" spans="1:14" s="143" customFormat="1" hidden="1" x14ac:dyDescent="0.25">
      <c r="A60" s="143" t="s">
        <v>696</v>
      </c>
      <c r="B60" s="143" t="s">
        <v>244</v>
      </c>
      <c r="C60" s="143" t="s">
        <v>245</v>
      </c>
      <c r="D60" s="143" t="s">
        <v>85</v>
      </c>
      <c r="E60" s="257">
        <v>900000</v>
      </c>
      <c r="F60" s="257">
        <v>900000</v>
      </c>
      <c r="G60" s="257">
        <v>900000</v>
      </c>
      <c r="H60" s="257">
        <v>0</v>
      </c>
      <c r="I60" s="257">
        <v>0</v>
      </c>
      <c r="J60" s="257">
        <v>0</v>
      </c>
      <c r="K60" s="257">
        <v>0</v>
      </c>
      <c r="L60" s="257">
        <v>0</v>
      </c>
      <c r="M60" s="257">
        <v>900000</v>
      </c>
      <c r="N60" s="257">
        <v>900000</v>
      </c>
    </row>
    <row r="61" spans="1:14" s="143" customFormat="1" hidden="1" x14ac:dyDescent="0.25">
      <c r="A61" s="143" t="s">
        <v>696</v>
      </c>
      <c r="B61" s="143" t="s">
        <v>246</v>
      </c>
      <c r="C61" s="143" t="s">
        <v>247</v>
      </c>
      <c r="D61" s="143" t="s">
        <v>85</v>
      </c>
      <c r="E61" s="257">
        <v>900000</v>
      </c>
      <c r="F61" s="257">
        <v>900000</v>
      </c>
      <c r="G61" s="257">
        <v>900000</v>
      </c>
      <c r="H61" s="257">
        <v>0</v>
      </c>
      <c r="I61" s="257">
        <v>0</v>
      </c>
      <c r="J61" s="257">
        <v>0</v>
      </c>
      <c r="K61" s="257">
        <v>0</v>
      </c>
      <c r="L61" s="257">
        <v>0</v>
      </c>
      <c r="M61" s="257">
        <v>900000</v>
      </c>
      <c r="N61" s="257">
        <v>900000</v>
      </c>
    </row>
    <row r="62" spans="1:14" s="143" customFormat="1" x14ac:dyDescent="0.25">
      <c r="A62" s="49">
        <v>214787</v>
      </c>
      <c r="D62" s="49" t="s">
        <v>69</v>
      </c>
      <c r="E62" s="257">
        <v>3672713874</v>
      </c>
      <c r="F62" s="50">
        <v>3488019672</v>
      </c>
      <c r="G62" s="257">
        <v>3185859070</v>
      </c>
      <c r="H62" s="50">
        <v>66290808.689999998</v>
      </c>
      <c r="I62" s="50">
        <v>404898648.42000002</v>
      </c>
      <c r="J62" s="50">
        <v>61172</v>
      </c>
      <c r="K62" s="50">
        <v>1249939808.9000001</v>
      </c>
      <c r="L62" s="50">
        <v>1245831758.9000001</v>
      </c>
      <c r="M62" s="50">
        <v>1766829233.99</v>
      </c>
      <c r="N62" s="257">
        <v>1464668631.99</v>
      </c>
    </row>
    <row r="63" spans="1:14" s="143" customFormat="1" hidden="1" x14ac:dyDescent="0.25">
      <c r="A63" s="143" t="s">
        <v>704</v>
      </c>
      <c r="B63" s="143" t="s">
        <v>71</v>
      </c>
      <c r="C63" s="143" t="s">
        <v>72</v>
      </c>
      <c r="D63" s="143" t="s">
        <v>69</v>
      </c>
      <c r="E63" s="257">
        <v>2848782596</v>
      </c>
      <c r="F63" s="257">
        <v>2677848536</v>
      </c>
      <c r="G63" s="257">
        <v>2654313383</v>
      </c>
      <c r="H63" s="257">
        <v>0</v>
      </c>
      <c r="I63" s="257">
        <v>257209361</v>
      </c>
      <c r="J63" s="257">
        <v>0</v>
      </c>
      <c r="K63" s="257">
        <v>997439982.36000001</v>
      </c>
      <c r="L63" s="257">
        <v>997439982.36000001</v>
      </c>
      <c r="M63" s="257">
        <v>1423199192.6400001</v>
      </c>
      <c r="N63" s="257">
        <v>1399664039.6400001</v>
      </c>
    </row>
    <row r="64" spans="1:14" s="143" customFormat="1" hidden="1" x14ac:dyDescent="0.25">
      <c r="A64" s="143" t="s">
        <v>704</v>
      </c>
      <c r="B64" s="143" t="s">
        <v>73</v>
      </c>
      <c r="C64" s="143" t="s">
        <v>74</v>
      </c>
      <c r="D64" s="143" t="s">
        <v>69</v>
      </c>
      <c r="E64" s="257">
        <v>1118901696</v>
      </c>
      <c r="F64" s="257">
        <v>1090175970</v>
      </c>
      <c r="G64" s="257">
        <v>1090175970</v>
      </c>
      <c r="H64" s="257">
        <v>0</v>
      </c>
      <c r="I64" s="257">
        <v>0</v>
      </c>
      <c r="J64" s="257">
        <v>0</v>
      </c>
      <c r="K64" s="257">
        <v>430311369.75</v>
      </c>
      <c r="L64" s="257">
        <v>430311369.75</v>
      </c>
      <c r="M64" s="257">
        <v>659864600.25</v>
      </c>
      <c r="N64" s="257">
        <v>659864600.25</v>
      </c>
    </row>
    <row r="65" spans="1:14" s="143" customFormat="1" hidden="1" x14ac:dyDescent="0.25">
      <c r="A65" s="143" t="s">
        <v>704</v>
      </c>
      <c r="B65" s="143" t="s">
        <v>75</v>
      </c>
      <c r="C65" s="143" t="s">
        <v>76</v>
      </c>
      <c r="D65" s="143" t="s">
        <v>69</v>
      </c>
      <c r="E65" s="257">
        <v>1118901696</v>
      </c>
      <c r="F65" s="257">
        <v>1090175970</v>
      </c>
      <c r="G65" s="257">
        <v>1090175970</v>
      </c>
      <c r="H65" s="257">
        <v>0</v>
      </c>
      <c r="I65" s="257">
        <v>0</v>
      </c>
      <c r="J65" s="257">
        <v>0</v>
      </c>
      <c r="K65" s="257">
        <v>430311369.75</v>
      </c>
      <c r="L65" s="257">
        <v>430311369.75</v>
      </c>
      <c r="M65" s="257">
        <v>659864600.25</v>
      </c>
      <c r="N65" s="257">
        <v>659864600.25</v>
      </c>
    </row>
    <row r="66" spans="1:14" s="143" customFormat="1" hidden="1" x14ac:dyDescent="0.25">
      <c r="A66" s="143" t="s">
        <v>704</v>
      </c>
      <c r="B66" s="143" t="s">
        <v>77</v>
      </c>
      <c r="C66" s="143" t="s">
        <v>78</v>
      </c>
      <c r="D66" s="143" t="s">
        <v>69</v>
      </c>
      <c r="E66" s="257">
        <v>1295309720</v>
      </c>
      <c r="F66" s="257">
        <v>1164246440</v>
      </c>
      <c r="G66" s="257">
        <v>1140711287</v>
      </c>
      <c r="H66" s="257">
        <v>0</v>
      </c>
      <c r="I66" s="257">
        <v>0</v>
      </c>
      <c r="J66" s="257">
        <v>0</v>
      </c>
      <c r="K66" s="257">
        <v>400911847.61000001</v>
      </c>
      <c r="L66" s="257">
        <v>400911847.61000001</v>
      </c>
      <c r="M66" s="257">
        <v>763334592.38999999</v>
      </c>
      <c r="N66" s="257">
        <v>739799439.38999999</v>
      </c>
    </row>
    <row r="67" spans="1:14" s="143" customFormat="1" hidden="1" x14ac:dyDescent="0.25">
      <c r="A67" s="143" t="s">
        <v>704</v>
      </c>
      <c r="B67" s="143" t="s">
        <v>79</v>
      </c>
      <c r="C67" s="143" t="s">
        <v>80</v>
      </c>
      <c r="D67" s="143" t="s">
        <v>69</v>
      </c>
      <c r="E67" s="257">
        <v>329734600</v>
      </c>
      <c r="F67" s="257">
        <v>329734600</v>
      </c>
      <c r="G67" s="257">
        <v>311807542</v>
      </c>
      <c r="H67" s="257">
        <v>0</v>
      </c>
      <c r="I67" s="257">
        <v>0</v>
      </c>
      <c r="J67" s="257">
        <v>0</v>
      </c>
      <c r="K67" s="257">
        <v>128277312.51000001</v>
      </c>
      <c r="L67" s="257">
        <v>128277312.51000001</v>
      </c>
      <c r="M67" s="257">
        <v>201457287.49000001</v>
      </c>
      <c r="N67" s="257">
        <v>183530229.49000001</v>
      </c>
    </row>
    <row r="68" spans="1:14" s="143" customFormat="1" hidden="1" x14ac:dyDescent="0.25">
      <c r="A68" s="143" t="s">
        <v>704</v>
      </c>
      <c r="B68" s="143" t="s">
        <v>81</v>
      </c>
      <c r="C68" s="143" t="s">
        <v>82</v>
      </c>
      <c r="D68" s="143" t="s">
        <v>69</v>
      </c>
      <c r="E68" s="257">
        <v>442514922</v>
      </c>
      <c r="F68" s="257">
        <v>432303620</v>
      </c>
      <c r="G68" s="257">
        <v>431161620</v>
      </c>
      <c r="H68" s="257">
        <v>0</v>
      </c>
      <c r="I68" s="257">
        <v>0</v>
      </c>
      <c r="J68" s="257">
        <v>0</v>
      </c>
      <c r="K68" s="257">
        <v>166944783.02000001</v>
      </c>
      <c r="L68" s="257">
        <v>166944783.02000001</v>
      </c>
      <c r="M68" s="257">
        <v>265358836.97999999</v>
      </c>
      <c r="N68" s="257">
        <v>264216836.97999999</v>
      </c>
    </row>
    <row r="69" spans="1:14" s="143" customFormat="1" hidden="1" x14ac:dyDescent="0.25">
      <c r="A69" s="143" t="s">
        <v>704</v>
      </c>
      <c r="B69" s="143" t="s">
        <v>86</v>
      </c>
      <c r="C69" s="143" t="s">
        <v>87</v>
      </c>
      <c r="D69" s="143" t="s">
        <v>69</v>
      </c>
      <c r="E69" s="257">
        <v>170646400</v>
      </c>
      <c r="F69" s="257">
        <v>55646400</v>
      </c>
      <c r="G69" s="257">
        <v>55646400</v>
      </c>
      <c r="H69" s="257">
        <v>0</v>
      </c>
      <c r="I69" s="257">
        <v>0</v>
      </c>
      <c r="J69" s="257">
        <v>0</v>
      </c>
      <c r="K69" s="257">
        <v>40448779.990000002</v>
      </c>
      <c r="L69" s="257">
        <v>40448779.990000002</v>
      </c>
      <c r="M69" s="257">
        <v>15197620.01</v>
      </c>
      <c r="N69" s="257">
        <v>15197620.01</v>
      </c>
    </row>
    <row r="70" spans="1:14" s="143" customFormat="1" hidden="1" x14ac:dyDescent="0.25">
      <c r="A70" s="143" t="s">
        <v>704</v>
      </c>
      <c r="B70" s="143" t="s">
        <v>88</v>
      </c>
      <c r="C70" s="143" t="s">
        <v>89</v>
      </c>
      <c r="D70" s="143" t="s">
        <v>69</v>
      </c>
      <c r="E70" s="257">
        <v>166773800</v>
      </c>
      <c r="F70" s="257">
        <v>165682760</v>
      </c>
      <c r="G70" s="257">
        <v>164127760</v>
      </c>
      <c r="H70" s="257">
        <v>0</v>
      </c>
      <c r="I70" s="257">
        <v>0</v>
      </c>
      <c r="J70" s="257">
        <v>0</v>
      </c>
      <c r="K70" s="257">
        <v>65240972.090000004</v>
      </c>
      <c r="L70" s="257">
        <v>65240972.090000004</v>
      </c>
      <c r="M70" s="257">
        <v>100441787.91</v>
      </c>
      <c r="N70" s="257">
        <v>98886787.909999996</v>
      </c>
    </row>
    <row r="71" spans="1:14" s="143" customFormat="1" hidden="1" x14ac:dyDescent="0.25">
      <c r="A71" s="143" t="s">
        <v>704</v>
      </c>
      <c r="B71" s="143" t="s">
        <v>83</v>
      </c>
      <c r="C71" s="143" t="s">
        <v>84</v>
      </c>
      <c r="D71" s="143" t="s">
        <v>85</v>
      </c>
      <c r="E71" s="257">
        <v>185639998</v>
      </c>
      <c r="F71" s="257">
        <v>180879060</v>
      </c>
      <c r="G71" s="257">
        <v>177967965</v>
      </c>
      <c r="H71" s="257">
        <v>0</v>
      </c>
      <c r="I71" s="257">
        <v>0</v>
      </c>
      <c r="J71" s="257">
        <v>0</v>
      </c>
      <c r="K71" s="257">
        <v>0</v>
      </c>
      <c r="L71" s="257">
        <v>0</v>
      </c>
      <c r="M71" s="257">
        <v>180879060</v>
      </c>
      <c r="N71" s="257">
        <v>177967965</v>
      </c>
    </row>
    <row r="72" spans="1:14" s="143" customFormat="1" hidden="1" x14ac:dyDescent="0.25">
      <c r="A72" s="143" t="s">
        <v>704</v>
      </c>
      <c r="B72" s="143" t="s">
        <v>90</v>
      </c>
      <c r="C72" s="143" t="s">
        <v>91</v>
      </c>
      <c r="D72" s="143" t="s">
        <v>69</v>
      </c>
      <c r="E72" s="257">
        <v>217285640</v>
      </c>
      <c r="F72" s="257">
        <v>211713113</v>
      </c>
      <c r="G72" s="257">
        <v>211713113</v>
      </c>
      <c r="H72" s="257">
        <v>0</v>
      </c>
      <c r="I72" s="257">
        <v>128416947</v>
      </c>
      <c r="J72" s="257">
        <v>0</v>
      </c>
      <c r="K72" s="257">
        <v>83296166</v>
      </c>
      <c r="L72" s="257">
        <v>83296166</v>
      </c>
      <c r="M72" s="257">
        <v>0</v>
      </c>
      <c r="N72" s="257">
        <v>0</v>
      </c>
    </row>
    <row r="73" spans="1:14" s="143" customFormat="1" hidden="1" x14ac:dyDescent="0.25">
      <c r="A73" s="143" t="s">
        <v>704</v>
      </c>
      <c r="B73" s="143" t="s">
        <v>418</v>
      </c>
      <c r="C73" s="143" t="s">
        <v>697</v>
      </c>
      <c r="D73" s="143" t="s">
        <v>69</v>
      </c>
      <c r="E73" s="257">
        <v>206142800</v>
      </c>
      <c r="F73" s="257">
        <v>200856044</v>
      </c>
      <c r="G73" s="257">
        <v>200856044</v>
      </c>
      <c r="H73" s="257">
        <v>0</v>
      </c>
      <c r="I73" s="257">
        <v>121831471</v>
      </c>
      <c r="J73" s="257">
        <v>0</v>
      </c>
      <c r="K73" s="257">
        <v>79024573</v>
      </c>
      <c r="L73" s="257">
        <v>79024573</v>
      </c>
      <c r="M73" s="257">
        <v>0</v>
      </c>
      <c r="N73" s="257">
        <v>0</v>
      </c>
    </row>
    <row r="74" spans="1:14" s="143" customFormat="1" hidden="1" x14ac:dyDescent="0.25">
      <c r="A74" s="143" t="s">
        <v>704</v>
      </c>
      <c r="B74" s="143" t="s">
        <v>435</v>
      </c>
      <c r="C74" s="143" t="s">
        <v>95</v>
      </c>
      <c r="D74" s="143" t="s">
        <v>69</v>
      </c>
      <c r="E74" s="257">
        <v>11142840</v>
      </c>
      <c r="F74" s="257">
        <v>10857069</v>
      </c>
      <c r="G74" s="257">
        <v>10857069</v>
      </c>
      <c r="H74" s="257">
        <v>0</v>
      </c>
      <c r="I74" s="257">
        <v>6585476</v>
      </c>
      <c r="J74" s="257">
        <v>0</v>
      </c>
      <c r="K74" s="257">
        <v>4271593</v>
      </c>
      <c r="L74" s="257">
        <v>4271593</v>
      </c>
      <c r="M74" s="257">
        <v>0</v>
      </c>
      <c r="N74" s="257">
        <v>0</v>
      </c>
    </row>
    <row r="75" spans="1:14" s="143" customFormat="1" hidden="1" x14ac:dyDescent="0.25">
      <c r="A75" s="143" t="s">
        <v>704</v>
      </c>
      <c r="B75" s="143" t="s">
        <v>96</v>
      </c>
      <c r="C75" s="143" t="s">
        <v>97</v>
      </c>
      <c r="D75" s="143" t="s">
        <v>69</v>
      </c>
      <c r="E75" s="257">
        <v>217285540</v>
      </c>
      <c r="F75" s="257">
        <v>211713013</v>
      </c>
      <c r="G75" s="257">
        <v>211713013</v>
      </c>
      <c r="H75" s="257">
        <v>0</v>
      </c>
      <c r="I75" s="257">
        <v>128792414</v>
      </c>
      <c r="J75" s="257">
        <v>0</v>
      </c>
      <c r="K75" s="257">
        <v>82920599</v>
      </c>
      <c r="L75" s="257">
        <v>82920599</v>
      </c>
      <c r="M75" s="257">
        <v>0</v>
      </c>
      <c r="N75" s="257">
        <v>0</v>
      </c>
    </row>
    <row r="76" spans="1:14" s="143" customFormat="1" hidden="1" x14ac:dyDescent="0.25">
      <c r="A76" s="143" t="s">
        <v>704</v>
      </c>
      <c r="B76" s="143" t="s">
        <v>453</v>
      </c>
      <c r="C76" s="143" t="s">
        <v>698</v>
      </c>
      <c r="D76" s="143" t="s">
        <v>69</v>
      </c>
      <c r="E76" s="257">
        <v>116999976</v>
      </c>
      <c r="F76" s="257">
        <v>113999385</v>
      </c>
      <c r="G76" s="257">
        <v>113999385</v>
      </c>
      <c r="H76" s="257">
        <v>0</v>
      </c>
      <c r="I76" s="257">
        <v>69523177</v>
      </c>
      <c r="J76" s="257">
        <v>0</v>
      </c>
      <c r="K76" s="257">
        <v>44476208</v>
      </c>
      <c r="L76" s="257">
        <v>44476208</v>
      </c>
      <c r="M76" s="257">
        <v>0</v>
      </c>
      <c r="N76" s="257">
        <v>0</v>
      </c>
    </row>
    <row r="77" spans="1:14" s="143" customFormat="1" hidden="1" x14ac:dyDescent="0.25">
      <c r="A77" s="143" t="s">
        <v>704</v>
      </c>
      <c r="B77" s="143" t="s">
        <v>470</v>
      </c>
      <c r="C77" s="143" t="s">
        <v>699</v>
      </c>
      <c r="D77" s="143" t="s">
        <v>69</v>
      </c>
      <c r="E77" s="257">
        <v>33428521</v>
      </c>
      <c r="F77" s="257">
        <v>32571209</v>
      </c>
      <c r="G77" s="257">
        <v>32571209</v>
      </c>
      <c r="H77" s="257">
        <v>0</v>
      </c>
      <c r="I77" s="257">
        <v>19756409</v>
      </c>
      <c r="J77" s="257">
        <v>0</v>
      </c>
      <c r="K77" s="257">
        <v>12814800</v>
      </c>
      <c r="L77" s="257">
        <v>12814800</v>
      </c>
      <c r="M77" s="257">
        <v>0</v>
      </c>
      <c r="N77" s="257">
        <v>0</v>
      </c>
    </row>
    <row r="78" spans="1:14" s="143" customFormat="1" hidden="1" x14ac:dyDescent="0.25">
      <c r="A78" s="143" t="s">
        <v>704</v>
      </c>
      <c r="B78" s="143" t="s">
        <v>487</v>
      </c>
      <c r="C78" s="143" t="s">
        <v>700</v>
      </c>
      <c r="D78" s="143" t="s">
        <v>69</v>
      </c>
      <c r="E78" s="257">
        <v>66857043</v>
      </c>
      <c r="F78" s="257">
        <v>65142419</v>
      </c>
      <c r="G78" s="257">
        <v>65142419</v>
      </c>
      <c r="H78" s="257">
        <v>0</v>
      </c>
      <c r="I78" s="257">
        <v>39512828</v>
      </c>
      <c r="J78" s="257">
        <v>0</v>
      </c>
      <c r="K78" s="257">
        <v>25629591</v>
      </c>
      <c r="L78" s="257">
        <v>25629591</v>
      </c>
      <c r="M78" s="257">
        <v>0</v>
      </c>
      <c r="N78" s="257">
        <v>0</v>
      </c>
    </row>
    <row r="79" spans="1:14" s="143" customFormat="1" hidden="1" x14ac:dyDescent="0.25">
      <c r="A79" s="143" t="s">
        <v>704</v>
      </c>
      <c r="B79" s="143" t="s">
        <v>104</v>
      </c>
      <c r="C79" s="143" t="s">
        <v>105</v>
      </c>
      <c r="D79" s="143" t="s">
        <v>69</v>
      </c>
      <c r="E79" s="257">
        <v>261541565</v>
      </c>
      <c r="F79" s="257">
        <v>252541565</v>
      </c>
      <c r="G79" s="257">
        <v>247518565</v>
      </c>
      <c r="H79" s="257">
        <v>66290808.689999998</v>
      </c>
      <c r="I79" s="257">
        <v>117986517.92</v>
      </c>
      <c r="J79" s="257">
        <v>61172</v>
      </c>
      <c r="K79" s="257">
        <v>57231819.920000002</v>
      </c>
      <c r="L79" s="257">
        <v>53815688.920000002</v>
      </c>
      <c r="M79" s="257">
        <v>10971246.470000001</v>
      </c>
      <c r="N79" s="257">
        <v>5948246.4699999997</v>
      </c>
    </row>
    <row r="80" spans="1:14" s="143" customFormat="1" hidden="1" x14ac:dyDescent="0.25">
      <c r="A80" s="143" t="s">
        <v>704</v>
      </c>
      <c r="B80" s="143" t="s">
        <v>106</v>
      </c>
      <c r="C80" s="143" t="s">
        <v>107</v>
      </c>
      <c r="D80" s="143" t="s">
        <v>69</v>
      </c>
      <c r="E80" s="257">
        <v>90013380</v>
      </c>
      <c r="F80" s="257">
        <v>90013380</v>
      </c>
      <c r="G80" s="257">
        <v>90013380</v>
      </c>
      <c r="H80" s="257">
        <v>66290808.689999998</v>
      </c>
      <c r="I80" s="257">
        <v>21922624.359999999</v>
      </c>
      <c r="J80" s="257">
        <v>0</v>
      </c>
      <c r="K80" s="257">
        <v>90000</v>
      </c>
      <c r="L80" s="257">
        <v>0</v>
      </c>
      <c r="M80" s="257">
        <v>1709946.95</v>
      </c>
      <c r="N80" s="257">
        <v>1709946.95</v>
      </c>
    </row>
    <row r="81" spans="1:14" s="143" customFormat="1" hidden="1" x14ac:dyDescent="0.25">
      <c r="A81" s="143" t="s">
        <v>704</v>
      </c>
      <c r="B81" s="143" t="s">
        <v>108</v>
      </c>
      <c r="C81" s="143" t="s">
        <v>109</v>
      </c>
      <c r="D81" s="143" t="s">
        <v>69</v>
      </c>
      <c r="E81" s="257">
        <v>0</v>
      </c>
      <c r="F81" s="257">
        <v>90013379.840000004</v>
      </c>
      <c r="G81" s="257">
        <v>90013379.840000004</v>
      </c>
      <c r="H81" s="257">
        <v>66290808.689999998</v>
      </c>
      <c r="I81" s="257">
        <v>21922624.359999999</v>
      </c>
      <c r="J81" s="257">
        <v>0</v>
      </c>
      <c r="K81" s="257">
        <v>90000</v>
      </c>
      <c r="L81" s="257">
        <v>0</v>
      </c>
      <c r="M81" s="257">
        <v>1709946.79</v>
      </c>
      <c r="N81" s="257">
        <v>1709946.79</v>
      </c>
    </row>
    <row r="82" spans="1:14" s="143" customFormat="1" hidden="1" x14ac:dyDescent="0.25">
      <c r="A82" s="143" t="s">
        <v>704</v>
      </c>
      <c r="B82" s="143" t="s">
        <v>304</v>
      </c>
      <c r="C82" s="143" t="s">
        <v>305</v>
      </c>
      <c r="D82" s="143" t="s">
        <v>69</v>
      </c>
      <c r="E82" s="257">
        <v>90013380</v>
      </c>
      <c r="F82" s="257">
        <v>0.16</v>
      </c>
      <c r="G82" s="257">
        <v>0.16</v>
      </c>
      <c r="H82" s="257">
        <v>0</v>
      </c>
      <c r="I82" s="257">
        <v>0</v>
      </c>
      <c r="J82" s="257">
        <v>0</v>
      </c>
      <c r="K82" s="257">
        <v>0</v>
      </c>
      <c r="L82" s="257">
        <v>0</v>
      </c>
      <c r="M82" s="257">
        <v>0.16</v>
      </c>
      <c r="N82" s="257">
        <v>0.16</v>
      </c>
    </row>
    <row r="83" spans="1:14" s="143" customFormat="1" hidden="1" x14ac:dyDescent="0.25">
      <c r="A83" s="143" t="s">
        <v>704</v>
      </c>
      <c r="B83" s="143" t="s">
        <v>112</v>
      </c>
      <c r="C83" s="143" t="s">
        <v>113</v>
      </c>
      <c r="D83" s="143" t="s">
        <v>69</v>
      </c>
      <c r="E83" s="257">
        <v>105953785</v>
      </c>
      <c r="F83" s="257">
        <v>102953785</v>
      </c>
      <c r="G83" s="257">
        <v>102953785</v>
      </c>
      <c r="H83" s="257">
        <v>0</v>
      </c>
      <c r="I83" s="257">
        <v>74716976.920000002</v>
      </c>
      <c r="J83" s="257">
        <v>0</v>
      </c>
      <c r="K83" s="257">
        <v>26782401.640000001</v>
      </c>
      <c r="L83" s="257">
        <v>26312199.640000001</v>
      </c>
      <c r="M83" s="257">
        <v>1454406.44</v>
      </c>
      <c r="N83" s="257">
        <v>1454406.44</v>
      </c>
    </row>
    <row r="84" spans="1:14" s="143" customFormat="1" hidden="1" x14ac:dyDescent="0.25">
      <c r="A84" s="143" t="s">
        <v>704</v>
      </c>
      <c r="B84" s="143" t="s">
        <v>114</v>
      </c>
      <c r="C84" s="143" t="s">
        <v>115</v>
      </c>
      <c r="D84" s="143" t="s">
        <v>69</v>
      </c>
      <c r="E84" s="257">
        <v>8169861</v>
      </c>
      <c r="F84" s="257">
        <v>6169861</v>
      </c>
      <c r="G84" s="257">
        <v>6169861</v>
      </c>
      <c r="H84" s="257">
        <v>0</v>
      </c>
      <c r="I84" s="257">
        <v>3163813</v>
      </c>
      <c r="J84" s="257">
        <v>0</v>
      </c>
      <c r="K84" s="257">
        <v>1851642</v>
      </c>
      <c r="L84" s="257">
        <v>1381440</v>
      </c>
      <c r="M84" s="257">
        <v>1154406</v>
      </c>
      <c r="N84" s="257">
        <v>1154406</v>
      </c>
    </row>
    <row r="85" spans="1:14" s="143" customFormat="1" hidden="1" x14ac:dyDescent="0.25">
      <c r="A85" s="143" t="s">
        <v>704</v>
      </c>
      <c r="B85" s="143" t="s">
        <v>116</v>
      </c>
      <c r="C85" s="143" t="s">
        <v>117</v>
      </c>
      <c r="D85" s="143" t="s">
        <v>69</v>
      </c>
      <c r="E85" s="257">
        <v>49884000</v>
      </c>
      <c r="F85" s="257">
        <v>49884000</v>
      </c>
      <c r="G85" s="257">
        <v>49884000</v>
      </c>
      <c r="H85" s="257">
        <v>0</v>
      </c>
      <c r="I85" s="257">
        <v>30393395.600000001</v>
      </c>
      <c r="J85" s="257">
        <v>0</v>
      </c>
      <c r="K85" s="257">
        <v>19490604.399999999</v>
      </c>
      <c r="L85" s="257">
        <v>19490604.399999999</v>
      </c>
      <c r="M85" s="257">
        <v>0</v>
      </c>
      <c r="N85" s="257">
        <v>0</v>
      </c>
    </row>
    <row r="86" spans="1:14" s="143" customFormat="1" hidden="1" x14ac:dyDescent="0.25">
      <c r="A86" s="143" t="s">
        <v>704</v>
      </c>
      <c r="B86" s="143" t="s">
        <v>118</v>
      </c>
      <c r="C86" s="143" t="s">
        <v>119</v>
      </c>
      <c r="D86" s="143" t="s">
        <v>69</v>
      </c>
      <c r="E86" s="257">
        <v>19924</v>
      </c>
      <c r="F86" s="257">
        <v>19924</v>
      </c>
      <c r="G86" s="257">
        <v>19924</v>
      </c>
      <c r="H86" s="257">
        <v>0</v>
      </c>
      <c r="I86" s="257">
        <v>999</v>
      </c>
      <c r="J86" s="257">
        <v>0</v>
      </c>
      <c r="K86" s="257">
        <v>18925</v>
      </c>
      <c r="L86" s="257">
        <v>18925</v>
      </c>
      <c r="M86" s="257">
        <v>0</v>
      </c>
      <c r="N86" s="257">
        <v>0</v>
      </c>
    </row>
    <row r="87" spans="1:14" s="143" customFormat="1" hidden="1" x14ac:dyDescent="0.25">
      <c r="A87" s="143" t="s">
        <v>704</v>
      </c>
      <c r="B87" s="143" t="s">
        <v>120</v>
      </c>
      <c r="C87" s="143" t="s">
        <v>121</v>
      </c>
      <c r="D87" s="143" t="s">
        <v>69</v>
      </c>
      <c r="E87" s="257">
        <v>47460000</v>
      </c>
      <c r="F87" s="257">
        <v>46460000</v>
      </c>
      <c r="G87" s="257">
        <v>46460000</v>
      </c>
      <c r="H87" s="257">
        <v>0</v>
      </c>
      <c r="I87" s="257">
        <v>41038769.32</v>
      </c>
      <c r="J87" s="257">
        <v>0</v>
      </c>
      <c r="K87" s="257">
        <v>5421230.2400000002</v>
      </c>
      <c r="L87" s="257">
        <v>5421230.2400000002</v>
      </c>
      <c r="M87" s="257">
        <v>0.44</v>
      </c>
      <c r="N87" s="257">
        <v>0.44</v>
      </c>
    </row>
    <row r="88" spans="1:14" s="143" customFormat="1" hidden="1" x14ac:dyDescent="0.25">
      <c r="A88" s="143" t="s">
        <v>704</v>
      </c>
      <c r="B88" s="143" t="s">
        <v>122</v>
      </c>
      <c r="C88" s="143" t="s">
        <v>123</v>
      </c>
      <c r="D88" s="143" t="s">
        <v>69</v>
      </c>
      <c r="E88" s="257">
        <v>420000</v>
      </c>
      <c r="F88" s="257">
        <v>420000</v>
      </c>
      <c r="G88" s="257">
        <v>420000</v>
      </c>
      <c r="H88" s="257">
        <v>0</v>
      </c>
      <c r="I88" s="257">
        <v>120000</v>
      </c>
      <c r="J88" s="257">
        <v>0</v>
      </c>
      <c r="K88" s="257">
        <v>0</v>
      </c>
      <c r="L88" s="257">
        <v>0</v>
      </c>
      <c r="M88" s="257">
        <v>300000</v>
      </c>
      <c r="N88" s="257">
        <v>300000</v>
      </c>
    </row>
    <row r="89" spans="1:14" s="143" customFormat="1" hidden="1" x14ac:dyDescent="0.25">
      <c r="A89" s="143" t="s">
        <v>704</v>
      </c>
      <c r="B89" s="143" t="s">
        <v>124</v>
      </c>
      <c r="C89" s="143" t="s">
        <v>125</v>
      </c>
      <c r="D89" s="143" t="s">
        <v>69</v>
      </c>
      <c r="E89" s="257">
        <v>8000000</v>
      </c>
      <c r="F89" s="257">
        <v>8000000</v>
      </c>
      <c r="G89" s="257">
        <v>7500000</v>
      </c>
      <c r="H89" s="257">
        <v>0</v>
      </c>
      <c r="I89" s="257">
        <v>1537634.7</v>
      </c>
      <c r="J89" s="257">
        <v>0</v>
      </c>
      <c r="K89" s="257">
        <v>5402790</v>
      </c>
      <c r="L89" s="257">
        <v>4638490</v>
      </c>
      <c r="M89" s="257">
        <v>1059575.3</v>
      </c>
      <c r="N89" s="257">
        <v>559575.30000000005</v>
      </c>
    </row>
    <row r="90" spans="1:14" s="143" customFormat="1" hidden="1" x14ac:dyDescent="0.25">
      <c r="A90" s="143" t="s">
        <v>704</v>
      </c>
      <c r="B90" s="143" t="s">
        <v>126</v>
      </c>
      <c r="C90" s="143" t="s">
        <v>127</v>
      </c>
      <c r="D90" s="143" t="s">
        <v>69</v>
      </c>
      <c r="E90" s="257">
        <v>7000000</v>
      </c>
      <c r="F90" s="257">
        <v>7000000</v>
      </c>
      <c r="G90" s="257">
        <v>7000000</v>
      </c>
      <c r="H90" s="257">
        <v>0</v>
      </c>
      <c r="I90" s="257">
        <v>1537634.7</v>
      </c>
      <c r="J90" s="257">
        <v>0</v>
      </c>
      <c r="K90" s="257">
        <v>5402790</v>
      </c>
      <c r="L90" s="257">
        <v>4638490</v>
      </c>
      <c r="M90" s="257">
        <v>59575.3</v>
      </c>
      <c r="N90" s="257">
        <v>59575.3</v>
      </c>
    </row>
    <row r="91" spans="1:14" s="143" customFormat="1" hidden="1" x14ac:dyDescent="0.25">
      <c r="A91" s="143" t="s">
        <v>704</v>
      </c>
      <c r="B91" s="143" t="s">
        <v>132</v>
      </c>
      <c r="C91" s="143" t="s">
        <v>133</v>
      </c>
      <c r="D91" s="143" t="s">
        <v>69</v>
      </c>
      <c r="E91" s="257">
        <v>1000000</v>
      </c>
      <c r="F91" s="257">
        <v>1000000</v>
      </c>
      <c r="G91" s="257">
        <v>500000</v>
      </c>
      <c r="H91" s="257">
        <v>0</v>
      </c>
      <c r="I91" s="257">
        <v>0</v>
      </c>
      <c r="J91" s="257">
        <v>0</v>
      </c>
      <c r="K91" s="257">
        <v>0</v>
      </c>
      <c r="L91" s="257">
        <v>0</v>
      </c>
      <c r="M91" s="257">
        <v>1000000</v>
      </c>
      <c r="N91" s="257">
        <v>500000</v>
      </c>
    </row>
    <row r="92" spans="1:14" s="143" customFormat="1" hidden="1" x14ac:dyDescent="0.25">
      <c r="A92" s="143" t="s">
        <v>704</v>
      </c>
      <c r="B92" s="143" t="s">
        <v>134</v>
      </c>
      <c r="C92" s="143" t="s">
        <v>135</v>
      </c>
      <c r="D92" s="143" t="s">
        <v>69</v>
      </c>
      <c r="E92" s="257">
        <v>3480000</v>
      </c>
      <c r="F92" s="257">
        <v>1480000</v>
      </c>
      <c r="G92" s="257">
        <v>1480000</v>
      </c>
      <c r="H92" s="257">
        <v>0</v>
      </c>
      <c r="I92" s="257">
        <v>1113228.46</v>
      </c>
      <c r="J92" s="257">
        <v>0</v>
      </c>
      <c r="K92" s="257">
        <v>366452.22</v>
      </c>
      <c r="L92" s="257">
        <v>366452.22</v>
      </c>
      <c r="M92" s="257">
        <v>319.32</v>
      </c>
      <c r="N92" s="257">
        <v>319.32</v>
      </c>
    </row>
    <row r="93" spans="1:14" s="143" customFormat="1" hidden="1" x14ac:dyDescent="0.25">
      <c r="A93" s="143" t="s">
        <v>704</v>
      </c>
      <c r="B93" s="143" t="s">
        <v>136</v>
      </c>
      <c r="C93" s="143" t="s">
        <v>137</v>
      </c>
      <c r="D93" s="143" t="s">
        <v>69</v>
      </c>
      <c r="E93" s="257">
        <v>2000000</v>
      </c>
      <c r="F93" s="257">
        <v>0</v>
      </c>
      <c r="G93" s="257">
        <v>0</v>
      </c>
      <c r="H93" s="257">
        <v>0</v>
      </c>
      <c r="I93" s="257">
        <v>0</v>
      </c>
      <c r="J93" s="257">
        <v>0</v>
      </c>
      <c r="K93" s="257">
        <v>0</v>
      </c>
      <c r="L93" s="257">
        <v>0</v>
      </c>
      <c r="M93" s="257">
        <v>0</v>
      </c>
      <c r="N93" s="257">
        <v>0</v>
      </c>
    </row>
    <row r="94" spans="1:14" s="143" customFormat="1" hidden="1" x14ac:dyDescent="0.25">
      <c r="A94" s="143" t="s">
        <v>704</v>
      </c>
      <c r="B94" s="143" t="s">
        <v>138</v>
      </c>
      <c r="C94" s="143" t="s">
        <v>139</v>
      </c>
      <c r="D94" s="143" t="s">
        <v>69</v>
      </c>
      <c r="E94" s="257">
        <v>1480000</v>
      </c>
      <c r="F94" s="257">
        <v>1480000</v>
      </c>
      <c r="G94" s="257">
        <v>1480000</v>
      </c>
      <c r="H94" s="257">
        <v>0</v>
      </c>
      <c r="I94" s="257">
        <v>1113228.46</v>
      </c>
      <c r="J94" s="257">
        <v>0</v>
      </c>
      <c r="K94" s="257">
        <v>366452.22</v>
      </c>
      <c r="L94" s="257">
        <v>366452.22</v>
      </c>
      <c r="M94" s="257">
        <v>319.32</v>
      </c>
      <c r="N94" s="257">
        <v>319.32</v>
      </c>
    </row>
    <row r="95" spans="1:14" s="143" customFormat="1" hidden="1" x14ac:dyDescent="0.25">
      <c r="A95" s="143" t="s">
        <v>704</v>
      </c>
      <c r="B95" s="143" t="s">
        <v>140</v>
      </c>
      <c r="C95" s="143" t="s">
        <v>141</v>
      </c>
      <c r="D95" s="143" t="s">
        <v>69</v>
      </c>
      <c r="E95" s="257">
        <v>1500000</v>
      </c>
      <c r="F95" s="257">
        <v>1500000</v>
      </c>
      <c r="G95" s="257">
        <v>1173900</v>
      </c>
      <c r="H95" s="257">
        <v>0</v>
      </c>
      <c r="I95" s="257">
        <v>932000</v>
      </c>
      <c r="J95" s="257">
        <v>0</v>
      </c>
      <c r="K95" s="257">
        <v>151300</v>
      </c>
      <c r="L95" s="257">
        <v>151300</v>
      </c>
      <c r="M95" s="257">
        <v>416700</v>
      </c>
      <c r="N95" s="257">
        <v>90600</v>
      </c>
    </row>
    <row r="96" spans="1:14" s="143" customFormat="1" hidden="1" x14ac:dyDescent="0.25">
      <c r="A96" s="143" t="s">
        <v>704</v>
      </c>
      <c r="B96" s="143" t="s">
        <v>144</v>
      </c>
      <c r="C96" s="143" t="s">
        <v>145</v>
      </c>
      <c r="D96" s="143" t="s">
        <v>69</v>
      </c>
      <c r="E96" s="257">
        <v>1500000</v>
      </c>
      <c r="F96" s="257">
        <v>1500000</v>
      </c>
      <c r="G96" s="257">
        <v>1173900</v>
      </c>
      <c r="H96" s="257">
        <v>0</v>
      </c>
      <c r="I96" s="257">
        <v>932000</v>
      </c>
      <c r="J96" s="257">
        <v>0</v>
      </c>
      <c r="K96" s="257">
        <v>151300</v>
      </c>
      <c r="L96" s="257">
        <v>151300</v>
      </c>
      <c r="M96" s="257">
        <v>416700</v>
      </c>
      <c r="N96" s="257">
        <v>90600</v>
      </c>
    </row>
    <row r="97" spans="1:14" s="143" customFormat="1" hidden="1" x14ac:dyDescent="0.25">
      <c r="A97" s="143" t="s">
        <v>704</v>
      </c>
      <c r="B97" s="143" t="s">
        <v>150</v>
      </c>
      <c r="C97" s="143" t="s">
        <v>151</v>
      </c>
      <c r="D97" s="143" t="s">
        <v>69</v>
      </c>
      <c r="E97" s="257">
        <v>29000000</v>
      </c>
      <c r="F97" s="257">
        <v>25500000</v>
      </c>
      <c r="G97" s="257">
        <v>24000000</v>
      </c>
      <c r="H97" s="257">
        <v>0</v>
      </c>
      <c r="I97" s="257">
        <v>3959601</v>
      </c>
      <c r="J97" s="257">
        <v>0</v>
      </c>
      <c r="K97" s="257">
        <v>19652571</v>
      </c>
      <c r="L97" s="257">
        <v>17560942</v>
      </c>
      <c r="M97" s="257">
        <v>1887828</v>
      </c>
      <c r="N97" s="257">
        <v>387828</v>
      </c>
    </row>
    <row r="98" spans="1:14" s="143" customFormat="1" hidden="1" x14ac:dyDescent="0.25">
      <c r="A98" s="143" t="s">
        <v>704</v>
      </c>
      <c r="B98" s="143" t="s">
        <v>152</v>
      </c>
      <c r="C98" s="143" t="s">
        <v>153</v>
      </c>
      <c r="D98" s="143" t="s">
        <v>69</v>
      </c>
      <c r="E98" s="257">
        <v>29000000</v>
      </c>
      <c r="F98" s="257">
        <v>25500000</v>
      </c>
      <c r="G98" s="257">
        <v>24000000</v>
      </c>
      <c r="H98" s="257">
        <v>0</v>
      </c>
      <c r="I98" s="257">
        <v>3959601</v>
      </c>
      <c r="J98" s="257">
        <v>0</v>
      </c>
      <c r="K98" s="257">
        <v>19652571</v>
      </c>
      <c r="L98" s="257">
        <v>17560942</v>
      </c>
      <c r="M98" s="257">
        <v>1887828</v>
      </c>
      <c r="N98" s="257">
        <v>387828</v>
      </c>
    </row>
    <row r="99" spans="1:14" s="143" customFormat="1" hidden="1" x14ac:dyDescent="0.25">
      <c r="A99" s="143" t="s">
        <v>704</v>
      </c>
      <c r="B99" s="143" t="s">
        <v>154</v>
      </c>
      <c r="C99" s="143" t="s">
        <v>155</v>
      </c>
      <c r="D99" s="143" t="s">
        <v>69</v>
      </c>
      <c r="E99" s="257">
        <v>200000</v>
      </c>
      <c r="F99" s="257">
        <v>200000</v>
      </c>
      <c r="G99" s="257">
        <v>0</v>
      </c>
      <c r="H99" s="257">
        <v>0</v>
      </c>
      <c r="I99" s="257">
        <v>0</v>
      </c>
      <c r="J99" s="257">
        <v>0</v>
      </c>
      <c r="K99" s="257">
        <v>0</v>
      </c>
      <c r="L99" s="257">
        <v>0</v>
      </c>
      <c r="M99" s="257">
        <v>200000</v>
      </c>
      <c r="N99" s="257">
        <v>0</v>
      </c>
    </row>
    <row r="100" spans="1:14" s="143" customFormat="1" hidden="1" x14ac:dyDescent="0.25">
      <c r="A100" s="143" t="s">
        <v>704</v>
      </c>
      <c r="B100" s="143" t="s">
        <v>160</v>
      </c>
      <c r="C100" s="143" t="s">
        <v>161</v>
      </c>
      <c r="D100" s="143" t="s">
        <v>69</v>
      </c>
      <c r="E100" s="257">
        <v>200000</v>
      </c>
      <c r="F100" s="257">
        <v>200000</v>
      </c>
      <c r="G100" s="257">
        <v>0</v>
      </c>
      <c r="H100" s="257">
        <v>0</v>
      </c>
      <c r="I100" s="257">
        <v>0</v>
      </c>
      <c r="J100" s="257">
        <v>0</v>
      </c>
      <c r="K100" s="257">
        <v>0</v>
      </c>
      <c r="L100" s="257">
        <v>0</v>
      </c>
      <c r="M100" s="257">
        <v>200000</v>
      </c>
      <c r="N100" s="257">
        <v>0</v>
      </c>
    </row>
    <row r="101" spans="1:14" s="143" customFormat="1" hidden="1" x14ac:dyDescent="0.25">
      <c r="A101" s="143" t="s">
        <v>704</v>
      </c>
      <c r="B101" s="143" t="s">
        <v>162</v>
      </c>
      <c r="C101" s="143" t="s">
        <v>163</v>
      </c>
      <c r="D101" s="143" t="s">
        <v>69</v>
      </c>
      <c r="E101" s="257">
        <v>21394400</v>
      </c>
      <c r="F101" s="257">
        <v>20894400</v>
      </c>
      <c r="G101" s="257">
        <v>18397500</v>
      </c>
      <c r="H101" s="257">
        <v>0</v>
      </c>
      <c r="I101" s="257">
        <v>11804452.48</v>
      </c>
      <c r="J101" s="257">
        <v>61172</v>
      </c>
      <c r="K101" s="257">
        <v>4786305.0599999996</v>
      </c>
      <c r="L101" s="257">
        <v>4786305.0599999996</v>
      </c>
      <c r="M101" s="257">
        <v>4242470.46</v>
      </c>
      <c r="N101" s="257">
        <v>1745570.46</v>
      </c>
    </row>
    <row r="102" spans="1:14" s="143" customFormat="1" hidden="1" x14ac:dyDescent="0.25">
      <c r="A102" s="143" t="s">
        <v>704</v>
      </c>
      <c r="B102" s="143" t="s">
        <v>166</v>
      </c>
      <c r="C102" s="143" t="s">
        <v>167</v>
      </c>
      <c r="D102" s="143" t="s">
        <v>69</v>
      </c>
      <c r="E102" s="257">
        <v>13000000</v>
      </c>
      <c r="F102" s="257">
        <v>13000000</v>
      </c>
      <c r="G102" s="257">
        <v>12988100</v>
      </c>
      <c r="H102" s="257">
        <v>0</v>
      </c>
      <c r="I102" s="257">
        <v>9254410.8200000003</v>
      </c>
      <c r="J102" s="257">
        <v>61172</v>
      </c>
      <c r="K102" s="257">
        <v>3672467.23</v>
      </c>
      <c r="L102" s="257">
        <v>3672467.23</v>
      </c>
      <c r="M102" s="257">
        <v>11949.95</v>
      </c>
      <c r="N102" s="257">
        <v>49.95</v>
      </c>
    </row>
    <row r="103" spans="1:14" s="143" customFormat="1" hidden="1" x14ac:dyDescent="0.25">
      <c r="A103" s="143" t="s">
        <v>704</v>
      </c>
      <c r="B103" s="143" t="s">
        <v>168</v>
      </c>
      <c r="C103" s="143" t="s">
        <v>169</v>
      </c>
      <c r="D103" s="143" t="s">
        <v>69</v>
      </c>
      <c r="E103" s="257">
        <v>6194400</v>
      </c>
      <c r="F103" s="257">
        <v>5694400</v>
      </c>
      <c r="G103" s="257">
        <v>3694400</v>
      </c>
      <c r="H103" s="257">
        <v>0</v>
      </c>
      <c r="I103" s="257">
        <v>1440519</v>
      </c>
      <c r="J103" s="257">
        <v>0</v>
      </c>
      <c r="K103" s="257">
        <v>521721</v>
      </c>
      <c r="L103" s="257">
        <v>521721</v>
      </c>
      <c r="M103" s="257">
        <v>3732160</v>
      </c>
      <c r="N103" s="257">
        <v>1732160</v>
      </c>
    </row>
    <row r="104" spans="1:14" s="143" customFormat="1" hidden="1" x14ac:dyDescent="0.25">
      <c r="A104" s="143" t="s">
        <v>704</v>
      </c>
      <c r="B104" s="143" t="s">
        <v>172</v>
      </c>
      <c r="C104" s="143" t="s">
        <v>173</v>
      </c>
      <c r="D104" s="143" t="s">
        <v>69</v>
      </c>
      <c r="E104" s="257">
        <v>2200000</v>
      </c>
      <c r="F104" s="257">
        <v>2200000</v>
      </c>
      <c r="G104" s="257">
        <v>1715000</v>
      </c>
      <c r="H104" s="257">
        <v>0</v>
      </c>
      <c r="I104" s="257">
        <v>1109522.6599999999</v>
      </c>
      <c r="J104" s="257">
        <v>0</v>
      </c>
      <c r="K104" s="257">
        <v>592116.82999999996</v>
      </c>
      <c r="L104" s="257">
        <v>592116.82999999996</v>
      </c>
      <c r="M104" s="257">
        <v>498360.51</v>
      </c>
      <c r="N104" s="257">
        <v>13360.51</v>
      </c>
    </row>
    <row r="105" spans="1:14" s="143" customFormat="1" hidden="1" x14ac:dyDescent="0.25">
      <c r="A105" s="143" t="s">
        <v>704</v>
      </c>
      <c r="B105" s="143" t="s">
        <v>174</v>
      </c>
      <c r="C105" s="143" t="s">
        <v>175</v>
      </c>
      <c r="D105" s="143" t="s">
        <v>69</v>
      </c>
      <c r="E105" s="257">
        <v>1000000</v>
      </c>
      <c r="F105" s="257">
        <v>1000000</v>
      </c>
      <c r="G105" s="257">
        <v>1000000</v>
      </c>
      <c r="H105" s="257">
        <v>0</v>
      </c>
      <c r="I105" s="257">
        <v>1000000</v>
      </c>
      <c r="J105" s="257">
        <v>0</v>
      </c>
      <c r="K105" s="257">
        <v>0</v>
      </c>
      <c r="L105" s="257">
        <v>0</v>
      </c>
      <c r="M105" s="257">
        <v>0</v>
      </c>
      <c r="N105" s="257">
        <v>0</v>
      </c>
    </row>
    <row r="106" spans="1:14" s="143" customFormat="1" hidden="1" x14ac:dyDescent="0.25">
      <c r="A106" s="143" t="s">
        <v>704</v>
      </c>
      <c r="B106" s="143" t="s">
        <v>176</v>
      </c>
      <c r="C106" s="143" t="s">
        <v>177</v>
      </c>
      <c r="D106" s="143" t="s">
        <v>69</v>
      </c>
      <c r="E106" s="257">
        <v>1000000</v>
      </c>
      <c r="F106" s="257">
        <v>1000000</v>
      </c>
      <c r="G106" s="257">
        <v>1000000</v>
      </c>
      <c r="H106" s="257">
        <v>0</v>
      </c>
      <c r="I106" s="257">
        <v>1000000</v>
      </c>
      <c r="J106" s="257">
        <v>0</v>
      </c>
      <c r="K106" s="257">
        <v>0</v>
      </c>
      <c r="L106" s="257">
        <v>0</v>
      </c>
      <c r="M106" s="257">
        <v>0</v>
      </c>
      <c r="N106" s="257">
        <v>0</v>
      </c>
    </row>
    <row r="107" spans="1:14" s="143" customFormat="1" hidden="1" x14ac:dyDescent="0.25">
      <c r="A107" s="143" t="s">
        <v>704</v>
      </c>
      <c r="B107" s="143" t="s">
        <v>178</v>
      </c>
      <c r="C107" s="143" t="s">
        <v>179</v>
      </c>
      <c r="D107" s="143" t="s">
        <v>69</v>
      </c>
      <c r="E107" s="257">
        <v>1000000</v>
      </c>
      <c r="F107" s="257">
        <v>1000000</v>
      </c>
      <c r="G107" s="257">
        <v>1000000</v>
      </c>
      <c r="H107" s="257">
        <v>0</v>
      </c>
      <c r="I107" s="257">
        <v>1000000</v>
      </c>
      <c r="J107" s="257">
        <v>0</v>
      </c>
      <c r="K107" s="257">
        <v>0</v>
      </c>
      <c r="L107" s="257">
        <v>0</v>
      </c>
      <c r="M107" s="257">
        <v>0</v>
      </c>
      <c r="N107" s="257">
        <v>0</v>
      </c>
    </row>
    <row r="108" spans="1:14" s="143" customFormat="1" hidden="1" x14ac:dyDescent="0.25">
      <c r="A108" s="143" t="s">
        <v>704</v>
      </c>
      <c r="B108" s="143" t="s">
        <v>182</v>
      </c>
      <c r="C108" s="143" t="s">
        <v>183</v>
      </c>
      <c r="D108" s="143" t="s">
        <v>69</v>
      </c>
      <c r="E108" s="257">
        <v>1000000</v>
      </c>
      <c r="F108" s="257">
        <v>1000000</v>
      </c>
      <c r="G108" s="257">
        <v>1000000</v>
      </c>
      <c r="H108" s="257">
        <v>0</v>
      </c>
      <c r="I108" s="257">
        <v>1000000</v>
      </c>
      <c r="J108" s="257">
        <v>0</v>
      </c>
      <c r="K108" s="257">
        <v>0</v>
      </c>
      <c r="L108" s="257">
        <v>0</v>
      </c>
      <c r="M108" s="257">
        <v>0</v>
      </c>
      <c r="N108" s="257">
        <v>0</v>
      </c>
    </row>
    <row r="109" spans="1:14" s="143" customFormat="1" hidden="1" x14ac:dyDescent="0.25">
      <c r="A109" s="143" t="s">
        <v>704</v>
      </c>
      <c r="B109" s="143" t="s">
        <v>184</v>
      </c>
      <c r="C109" s="143" t="s">
        <v>185</v>
      </c>
      <c r="D109" s="143" t="s">
        <v>69</v>
      </c>
      <c r="E109" s="257">
        <v>40981500</v>
      </c>
      <c r="F109" s="257">
        <v>38920115</v>
      </c>
      <c r="G109" s="257">
        <v>37870115</v>
      </c>
      <c r="H109" s="257">
        <v>0</v>
      </c>
      <c r="I109" s="257">
        <v>7888760.5999999996</v>
      </c>
      <c r="J109" s="257">
        <v>0</v>
      </c>
      <c r="K109" s="257">
        <v>6019742.5199999996</v>
      </c>
      <c r="L109" s="257">
        <v>5327823.5199999996</v>
      </c>
      <c r="M109" s="257">
        <v>25011611.879999999</v>
      </c>
      <c r="N109" s="257">
        <v>23961611.879999999</v>
      </c>
    </row>
    <row r="110" spans="1:14" s="143" customFormat="1" hidden="1" x14ac:dyDescent="0.25">
      <c r="A110" s="143" t="s">
        <v>704</v>
      </c>
      <c r="B110" s="143" t="s">
        <v>186</v>
      </c>
      <c r="C110" s="143" t="s">
        <v>187</v>
      </c>
      <c r="D110" s="143" t="s">
        <v>69</v>
      </c>
      <c r="E110" s="257">
        <v>14621000</v>
      </c>
      <c r="F110" s="257">
        <v>14100000</v>
      </c>
      <c r="G110" s="257">
        <v>14100000</v>
      </c>
      <c r="H110" s="257">
        <v>0</v>
      </c>
      <c r="I110" s="257">
        <v>6357179.5999999996</v>
      </c>
      <c r="J110" s="257">
        <v>0</v>
      </c>
      <c r="K110" s="257">
        <v>3242820.4</v>
      </c>
      <c r="L110" s="257">
        <v>3242820.4</v>
      </c>
      <c r="M110" s="257">
        <v>4500000</v>
      </c>
      <c r="N110" s="257">
        <v>4500000</v>
      </c>
    </row>
    <row r="111" spans="1:14" s="143" customFormat="1" hidden="1" x14ac:dyDescent="0.25">
      <c r="A111" s="143" t="s">
        <v>704</v>
      </c>
      <c r="B111" s="143" t="s">
        <v>188</v>
      </c>
      <c r="C111" s="143" t="s">
        <v>189</v>
      </c>
      <c r="D111" s="143" t="s">
        <v>69</v>
      </c>
      <c r="E111" s="257">
        <v>9600000</v>
      </c>
      <c r="F111" s="257">
        <v>9600000</v>
      </c>
      <c r="G111" s="257">
        <v>9600000</v>
      </c>
      <c r="H111" s="257">
        <v>0</v>
      </c>
      <c r="I111" s="257">
        <v>6357179.5999999996</v>
      </c>
      <c r="J111" s="257">
        <v>0</v>
      </c>
      <c r="K111" s="257">
        <v>3242820.4</v>
      </c>
      <c r="L111" s="257">
        <v>3242820.4</v>
      </c>
      <c r="M111" s="257">
        <v>0</v>
      </c>
      <c r="N111" s="257">
        <v>0</v>
      </c>
    </row>
    <row r="112" spans="1:14" s="143" customFormat="1" hidden="1" x14ac:dyDescent="0.25">
      <c r="A112" s="143" t="s">
        <v>704</v>
      </c>
      <c r="B112" s="143" t="s">
        <v>190</v>
      </c>
      <c r="C112" s="143" t="s">
        <v>191</v>
      </c>
      <c r="D112" s="143" t="s">
        <v>69</v>
      </c>
      <c r="E112" s="257">
        <v>5000000</v>
      </c>
      <c r="F112" s="257">
        <v>4500000</v>
      </c>
      <c r="G112" s="257">
        <v>4500000</v>
      </c>
      <c r="H112" s="257">
        <v>0</v>
      </c>
      <c r="I112" s="257">
        <v>0</v>
      </c>
      <c r="J112" s="257">
        <v>0</v>
      </c>
      <c r="K112" s="257">
        <v>0</v>
      </c>
      <c r="L112" s="257">
        <v>0</v>
      </c>
      <c r="M112" s="257">
        <v>4500000</v>
      </c>
      <c r="N112" s="257">
        <v>4500000</v>
      </c>
    </row>
    <row r="113" spans="1:14" s="143" customFormat="1" hidden="1" x14ac:dyDescent="0.25">
      <c r="A113" s="143" t="s">
        <v>704</v>
      </c>
      <c r="B113" s="143" t="s">
        <v>192</v>
      </c>
      <c r="C113" s="143" t="s">
        <v>193</v>
      </c>
      <c r="D113" s="143" t="s">
        <v>69</v>
      </c>
      <c r="E113" s="257">
        <v>21000</v>
      </c>
      <c r="F113" s="257">
        <v>0</v>
      </c>
      <c r="G113" s="257">
        <v>0</v>
      </c>
      <c r="H113" s="257">
        <v>0</v>
      </c>
      <c r="I113" s="257">
        <v>0</v>
      </c>
      <c r="J113" s="257">
        <v>0</v>
      </c>
      <c r="K113" s="257">
        <v>0</v>
      </c>
      <c r="L113" s="257">
        <v>0</v>
      </c>
      <c r="M113" s="257">
        <v>0</v>
      </c>
      <c r="N113" s="257">
        <v>0</v>
      </c>
    </row>
    <row r="114" spans="1:14" s="143" customFormat="1" hidden="1" x14ac:dyDescent="0.25">
      <c r="A114" s="143" t="s">
        <v>704</v>
      </c>
      <c r="B114" s="143" t="s">
        <v>196</v>
      </c>
      <c r="C114" s="143" t="s">
        <v>197</v>
      </c>
      <c r="D114" s="143" t="s">
        <v>69</v>
      </c>
      <c r="E114" s="257">
        <v>3000000</v>
      </c>
      <c r="F114" s="257">
        <v>2755000</v>
      </c>
      <c r="G114" s="257">
        <v>2755000</v>
      </c>
      <c r="H114" s="257">
        <v>0</v>
      </c>
      <c r="I114" s="257">
        <v>754479</v>
      </c>
      <c r="J114" s="257">
        <v>0</v>
      </c>
      <c r="K114" s="257">
        <v>691919</v>
      </c>
      <c r="L114" s="257">
        <v>0</v>
      </c>
      <c r="M114" s="257">
        <v>1308602</v>
      </c>
      <c r="N114" s="257">
        <v>1308602</v>
      </c>
    </row>
    <row r="115" spans="1:14" s="143" customFormat="1" hidden="1" x14ac:dyDescent="0.25">
      <c r="A115" s="143" t="s">
        <v>704</v>
      </c>
      <c r="B115" s="143" t="s">
        <v>198</v>
      </c>
      <c r="C115" s="143" t="s">
        <v>199</v>
      </c>
      <c r="D115" s="143" t="s">
        <v>69</v>
      </c>
      <c r="E115" s="257">
        <v>3000000</v>
      </c>
      <c r="F115" s="257">
        <v>2755000</v>
      </c>
      <c r="G115" s="257">
        <v>2755000</v>
      </c>
      <c r="H115" s="257">
        <v>0</v>
      </c>
      <c r="I115" s="257">
        <v>754479</v>
      </c>
      <c r="J115" s="257">
        <v>0</v>
      </c>
      <c r="K115" s="257">
        <v>691919</v>
      </c>
      <c r="L115" s="257">
        <v>0</v>
      </c>
      <c r="M115" s="257">
        <v>1308602</v>
      </c>
      <c r="N115" s="257">
        <v>1308602</v>
      </c>
    </row>
    <row r="116" spans="1:14" s="143" customFormat="1" hidden="1" x14ac:dyDescent="0.25">
      <c r="A116" s="143" t="s">
        <v>704</v>
      </c>
      <c r="B116" s="143" t="s">
        <v>206</v>
      </c>
      <c r="C116" s="143" t="s">
        <v>207</v>
      </c>
      <c r="D116" s="143" t="s">
        <v>69</v>
      </c>
      <c r="E116" s="257">
        <v>355000</v>
      </c>
      <c r="F116" s="257">
        <v>12615</v>
      </c>
      <c r="G116" s="257">
        <v>12615</v>
      </c>
      <c r="H116" s="257">
        <v>0</v>
      </c>
      <c r="I116" s="257">
        <v>0</v>
      </c>
      <c r="J116" s="257">
        <v>0</v>
      </c>
      <c r="K116" s="257">
        <v>12615</v>
      </c>
      <c r="L116" s="257">
        <v>12615</v>
      </c>
      <c r="M116" s="257">
        <v>0</v>
      </c>
      <c r="N116" s="257">
        <v>0</v>
      </c>
    </row>
    <row r="117" spans="1:14" s="143" customFormat="1" hidden="1" x14ac:dyDescent="0.25">
      <c r="A117" s="143" t="s">
        <v>704</v>
      </c>
      <c r="B117" s="143" t="s">
        <v>208</v>
      </c>
      <c r="C117" s="143" t="s">
        <v>209</v>
      </c>
      <c r="D117" s="143" t="s">
        <v>69</v>
      </c>
      <c r="E117" s="257">
        <v>130000</v>
      </c>
      <c r="F117" s="257">
        <v>12615</v>
      </c>
      <c r="G117" s="257">
        <v>12615</v>
      </c>
      <c r="H117" s="257">
        <v>0</v>
      </c>
      <c r="I117" s="257">
        <v>0</v>
      </c>
      <c r="J117" s="257">
        <v>0</v>
      </c>
      <c r="K117" s="257">
        <v>12615</v>
      </c>
      <c r="L117" s="257">
        <v>12615</v>
      </c>
      <c r="M117" s="257">
        <v>0</v>
      </c>
      <c r="N117" s="257">
        <v>0</v>
      </c>
    </row>
    <row r="118" spans="1:14" s="143" customFormat="1" hidden="1" x14ac:dyDescent="0.25">
      <c r="A118" s="143" t="s">
        <v>704</v>
      </c>
      <c r="B118" s="143" t="s">
        <v>210</v>
      </c>
      <c r="C118" s="143" t="s">
        <v>211</v>
      </c>
      <c r="D118" s="143" t="s">
        <v>69</v>
      </c>
      <c r="E118" s="257">
        <v>225000</v>
      </c>
      <c r="F118" s="257">
        <v>0</v>
      </c>
      <c r="G118" s="257">
        <v>0</v>
      </c>
      <c r="H118" s="257">
        <v>0</v>
      </c>
      <c r="I118" s="257">
        <v>0</v>
      </c>
      <c r="J118" s="257">
        <v>0</v>
      </c>
      <c r="K118" s="257">
        <v>0</v>
      </c>
      <c r="L118" s="257">
        <v>0</v>
      </c>
      <c r="M118" s="257">
        <v>0</v>
      </c>
      <c r="N118" s="257">
        <v>0</v>
      </c>
    </row>
    <row r="119" spans="1:14" s="143" customFormat="1" hidden="1" x14ac:dyDescent="0.25">
      <c r="A119" s="143" t="s">
        <v>704</v>
      </c>
      <c r="B119" s="143" t="s">
        <v>212</v>
      </c>
      <c r="C119" s="143" t="s">
        <v>213</v>
      </c>
      <c r="D119" s="143" t="s">
        <v>69</v>
      </c>
      <c r="E119" s="257">
        <v>23005500</v>
      </c>
      <c r="F119" s="257">
        <v>22052500</v>
      </c>
      <c r="G119" s="257">
        <v>21002500</v>
      </c>
      <c r="H119" s="257">
        <v>0</v>
      </c>
      <c r="I119" s="257">
        <v>777102</v>
      </c>
      <c r="J119" s="257">
        <v>0</v>
      </c>
      <c r="K119" s="257">
        <v>2072388.12</v>
      </c>
      <c r="L119" s="257">
        <v>2072388.12</v>
      </c>
      <c r="M119" s="257">
        <v>19203009.879999999</v>
      </c>
      <c r="N119" s="257">
        <v>18153009.879999999</v>
      </c>
    </row>
    <row r="120" spans="1:14" s="143" customFormat="1" hidden="1" x14ac:dyDescent="0.25">
      <c r="A120" s="143" t="s">
        <v>704</v>
      </c>
      <c r="B120" s="143" t="s">
        <v>214</v>
      </c>
      <c r="C120" s="143" t="s">
        <v>215</v>
      </c>
      <c r="D120" s="143" t="s">
        <v>69</v>
      </c>
      <c r="E120" s="257">
        <v>2600000</v>
      </c>
      <c r="F120" s="257">
        <v>2350000</v>
      </c>
      <c r="G120" s="257">
        <v>2050000</v>
      </c>
      <c r="H120" s="257">
        <v>0</v>
      </c>
      <c r="I120" s="257">
        <v>14916</v>
      </c>
      <c r="J120" s="257">
        <v>0</v>
      </c>
      <c r="K120" s="257">
        <v>0</v>
      </c>
      <c r="L120" s="257">
        <v>0</v>
      </c>
      <c r="M120" s="257">
        <v>2335084</v>
      </c>
      <c r="N120" s="257">
        <v>2035084</v>
      </c>
    </row>
    <row r="121" spans="1:14" s="143" customFormat="1" hidden="1" x14ac:dyDescent="0.25">
      <c r="A121" s="143" t="s">
        <v>704</v>
      </c>
      <c r="B121" s="143" t="s">
        <v>216</v>
      </c>
      <c r="C121" s="143" t="s">
        <v>217</v>
      </c>
      <c r="D121" s="143" t="s">
        <v>69</v>
      </c>
      <c r="E121" s="257">
        <v>562500</v>
      </c>
      <c r="F121" s="257">
        <v>502500</v>
      </c>
      <c r="G121" s="257">
        <v>502500</v>
      </c>
      <c r="H121" s="257">
        <v>0</v>
      </c>
      <c r="I121" s="257">
        <v>495000</v>
      </c>
      <c r="J121" s="257">
        <v>0</v>
      </c>
      <c r="K121" s="257">
        <v>0</v>
      </c>
      <c r="L121" s="257">
        <v>0</v>
      </c>
      <c r="M121" s="257">
        <v>7500</v>
      </c>
      <c r="N121" s="257">
        <v>7500</v>
      </c>
    </row>
    <row r="122" spans="1:14" s="143" customFormat="1" hidden="1" x14ac:dyDescent="0.25">
      <c r="A122" s="143" t="s">
        <v>704</v>
      </c>
      <c r="B122" s="143" t="s">
        <v>218</v>
      </c>
      <c r="C122" s="143" t="s">
        <v>219</v>
      </c>
      <c r="D122" s="143" t="s">
        <v>69</v>
      </c>
      <c r="E122" s="257">
        <v>8000000</v>
      </c>
      <c r="F122" s="257">
        <v>7500000</v>
      </c>
      <c r="G122" s="257">
        <v>6750000</v>
      </c>
      <c r="H122" s="257">
        <v>0</v>
      </c>
      <c r="I122" s="257">
        <v>89550</v>
      </c>
      <c r="J122" s="257">
        <v>0</v>
      </c>
      <c r="K122" s="257">
        <v>2072388.12</v>
      </c>
      <c r="L122" s="257">
        <v>2072388.12</v>
      </c>
      <c r="M122" s="257">
        <v>5338061.88</v>
      </c>
      <c r="N122" s="257">
        <v>4588061.88</v>
      </c>
    </row>
    <row r="123" spans="1:14" s="143" customFormat="1" hidden="1" x14ac:dyDescent="0.25">
      <c r="A123" s="143" t="s">
        <v>704</v>
      </c>
      <c r="B123" s="143" t="s">
        <v>222</v>
      </c>
      <c r="C123" s="143" t="s">
        <v>223</v>
      </c>
      <c r="D123" s="143" t="s">
        <v>69</v>
      </c>
      <c r="E123" s="257">
        <v>11000000</v>
      </c>
      <c r="F123" s="257">
        <v>11000000</v>
      </c>
      <c r="G123" s="257">
        <v>11000000</v>
      </c>
      <c r="H123" s="257">
        <v>0</v>
      </c>
      <c r="I123" s="257">
        <v>177636</v>
      </c>
      <c r="J123" s="257">
        <v>0</v>
      </c>
      <c r="K123" s="257">
        <v>0</v>
      </c>
      <c r="L123" s="257">
        <v>0</v>
      </c>
      <c r="M123" s="257">
        <v>10822364</v>
      </c>
      <c r="N123" s="257">
        <v>10822364</v>
      </c>
    </row>
    <row r="124" spans="1:14" s="143" customFormat="1" hidden="1" x14ac:dyDescent="0.25">
      <c r="A124" s="143" t="s">
        <v>704</v>
      </c>
      <c r="B124" s="143" t="s">
        <v>224</v>
      </c>
      <c r="C124" s="143" t="s">
        <v>225</v>
      </c>
      <c r="D124" s="143" t="s">
        <v>69</v>
      </c>
      <c r="E124" s="257">
        <v>800000</v>
      </c>
      <c r="F124" s="257">
        <v>700000</v>
      </c>
      <c r="G124" s="257">
        <v>700000</v>
      </c>
      <c r="H124" s="257">
        <v>0</v>
      </c>
      <c r="I124" s="257">
        <v>0</v>
      </c>
      <c r="J124" s="257">
        <v>0</v>
      </c>
      <c r="K124" s="257">
        <v>0</v>
      </c>
      <c r="L124" s="257">
        <v>0</v>
      </c>
      <c r="M124" s="257">
        <v>700000</v>
      </c>
      <c r="N124" s="257">
        <v>700000</v>
      </c>
    </row>
    <row r="125" spans="1:14" s="143" customFormat="1" hidden="1" x14ac:dyDescent="0.25">
      <c r="A125" s="143" t="s">
        <v>704</v>
      </c>
      <c r="B125" s="143" t="s">
        <v>226</v>
      </c>
      <c r="C125" s="143" t="s">
        <v>227</v>
      </c>
      <c r="D125" s="143" t="s">
        <v>69</v>
      </c>
      <c r="E125" s="257">
        <v>10000</v>
      </c>
      <c r="F125" s="257">
        <v>0</v>
      </c>
      <c r="G125" s="257">
        <v>0</v>
      </c>
      <c r="H125" s="257">
        <v>0</v>
      </c>
      <c r="I125" s="257">
        <v>0</v>
      </c>
      <c r="J125" s="257">
        <v>0</v>
      </c>
      <c r="K125" s="257">
        <v>0</v>
      </c>
      <c r="L125" s="257">
        <v>0</v>
      </c>
      <c r="M125" s="257">
        <v>0</v>
      </c>
      <c r="N125" s="257">
        <v>0</v>
      </c>
    </row>
    <row r="126" spans="1:14" s="143" customFormat="1" hidden="1" x14ac:dyDescent="0.25">
      <c r="A126" s="143" t="s">
        <v>704</v>
      </c>
      <c r="B126" s="143" t="s">
        <v>228</v>
      </c>
      <c r="C126" s="143" t="s">
        <v>229</v>
      </c>
      <c r="D126" s="143" t="s">
        <v>69</v>
      </c>
      <c r="E126" s="257">
        <v>33000</v>
      </c>
      <c r="F126" s="257">
        <v>0</v>
      </c>
      <c r="G126" s="257">
        <v>0</v>
      </c>
      <c r="H126" s="257">
        <v>0</v>
      </c>
      <c r="I126" s="257">
        <v>0</v>
      </c>
      <c r="J126" s="257">
        <v>0</v>
      </c>
      <c r="K126" s="257">
        <v>0</v>
      </c>
      <c r="L126" s="257">
        <v>0</v>
      </c>
      <c r="M126" s="257">
        <v>0</v>
      </c>
      <c r="N126" s="257">
        <v>0</v>
      </c>
    </row>
    <row r="127" spans="1:14" s="143" customFormat="1" hidden="1" x14ac:dyDescent="0.25">
      <c r="A127" s="143" t="s">
        <v>704</v>
      </c>
      <c r="B127" s="143" t="s">
        <v>248</v>
      </c>
      <c r="C127" s="143" t="s">
        <v>249</v>
      </c>
      <c r="D127" s="143" t="s">
        <v>69</v>
      </c>
      <c r="E127" s="257">
        <v>509299073</v>
      </c>
      <c r="F127" s="257">
        <v>507740316</v>
      </c>
      <c r="G127" s="257">
        <v>237687867</v>
      </c>
      <c r="H127" s="257">
        <v>0</v>
      </c>
      <c r="I127" s="257">
        <v>21814008.899999999</v>
      </c>
      <c r="J127" s="257">
        <v>0</v>
      </c>
      <c r="K127" s="257">
        <v>189248264.09999999</v>
      </c>
      <c r="L127" s="257">
        <v>189248264.09999999</v>
      </c>
      <c r="M127" s="257">
        <v>296678043</v>
      </c>
      <c r="N127" s="257">
        <v>26625594</v>
      </c>
    </row>
    <row r="128" spans="1:14" s="143" customFormat="1" hidden="1" x14ac:dyDescent="0.25">
      <c r="A128" s="143" t="s">
        <v>704</v>
      </c>
      <c r="B128" s="143" t="s">
        <v>250</v>
      </c>
      <c r="C128" s="143" t="s">
        <v>251</v>
      </c>
      <c r="D128" s="143" t="s">
        <v>69</v>
      </c>
      <c r="E128" s="257">
        <v>38994178</v>
      </c>
      <c r="F128" s="257">
        <v>38045421</v>
      </c>
      <c r="G128" s="257">
        <v>38045421</v>
      </c>
      <c r="H128" s="257">
        <v>0</v>
      </c>
      <c r="I128" s="257">
        <v>21806589</v>
      </c>
      <c r="J128" s="257">
        <v>0</v>
      </c>
      <c r="K128" s="257">
        <v>15806131</v>
      </c>
      <c r="L128" s="257">
        <v>15806131</v>
      </c>
      <c r="M128" s="257">
        <v>432701</v>
      </c>
      <c r="N128" s="257">
        <v>432701</v>
      </c>
    </row>
    <row r="129" spans="1:14" s="143" customFormat="1" hidden="1" x14ac:dyDescent="0.25">
      <c r="A129" s="143" t="s">
        <v>704</v>
      </c>
      <c r="B129" s="143" t="s">
        <v>617</v>
      </c>
      <c r="C129" s="143" t="s">
        <v>253</v>
      </c>
      <c r="D129" s="143" t="s">
        <v>69</v>
      </c>
      <c r="E129" s="257">
        <v>2000000</v>
      </c>
      <c r="F129" s="257">
        <v>2000000</v>
      </c>
      <c r="G129" s="257">
        <v>2000000</v>
      </c>
      <c r="H129" s="257">
        <v>0</v>
      </c>
      <c r="I129" s="257">
        <v>0</v>
      </c>
      <c r="J129" s="257">
        <v>0</v>
      </c>
      <c r="K129" s="257">
        <v>2000000</v>
      </c>
      <c r="L129" s="257">
        <v>2000000</v>
      </c>
      <c r="M129" s="257">
        <v>0</v>
      </c>
      <c r="N129" s="257">
        <v>0</v>
      </c>
    </row>
    <row r="130" spans="1:14" s="143" customFormat="1" hidden="1" x14ac:dyDescent="0.25">
      <c r="A130" s="143" t="s">
        <v>704</v>
      </c>
      <c r="B130" s="143" t="s">
        <v>627</v>
      </c>
      <c r="C130" s="143" t="s">
        <v>702</v>
      </c>
      <c r="D130" s="143" t="s">
        <v>69</v>
      </c>
      <c r="E130" s="257">
        <v>31422808</v>
      </c>
      <c r="F130" s="257">
        <v>30616936</v>
      </c>
      <c r="G130" s="257">
        <v>30616936</v>
      </c>
      <c r="H130" s="257">
        <v>0</v>
      </c>
      <c r="I130" s="257">
        <v>18946605</v>
      </c>
      <c r="J130" s="257">
        <v>0</v>
      </c>
      <c r="K130" s="257">
        <v>11670331</v>
      </c>
      <c r="L130" s="257">
        <v>11670331</v>
      </c>
      <c r="M130" s="257">
        <v>0</v>
      </c>
      <c r="N130" s="257">
        <v>0</v>
      </c>
    </row>
    <row r="131" spans="1:14" s="143" customFormat="1" hidden="1" x14ac:dyDescent="0.25">
      <c r="A131" s="143" t="s">
        <v>704</v>
      </c>
      <c r="B131" s="143" t="s">
        <v>642</v>
      </c>
      <c r="C131" s="143" t="s">
        <v>703</v>
      </c>
      <c r="D131" s="143" t="s">
        <v>69</v>
      </c>
      <c r="E131" s="257">
        <v>5571370</v>
      </c>
      <c r="F131" s="257">
        <v>5428485</v>
      </c>
      <c r="G131" s="257">
        <v>5428485</v>
      </c>
      <c r="H131" s="257">
        <v>0</v>
      </c>
      <c r="I131" s="257">
        <v>2859984</v>
      </c>
      <c r="J131" s="257">
        <v>0</v>
      </c>
      <c r="K131" s="257">
        <v>2135800</v>
      </c>
      <c r="L131" s="257">
        <v>2135800</v>
      </c>
      <c r="M131" s="257">
        <v>432701</v>
      </c>
      <c r="N131" s="257">
        <v>432701</v>
      </c>
    </row>
    <row r="132" spans="1:14" s="143" customFormat="1" hidden="1" x14ac:dyDescent="0.25">
      <c r="A132" s="143" t="s">
        <v>704</v>
      </c>
      <c r="B132" s="143" t="s">
        <v>260</v>
      </c>
      <c r="C132" s="143" t="s">
        <v>261</v>
      </c>
      <c r="D132" s="143" t="s">
        <v>69</v>
      </c>
      <c r="E132" s="257">
        <v>47000000</v>
      </c>
      <c r="F132" s="257">
        <v>47000000</v>
      </c>
      <c r="G132" s="257">
        <v>7000000</v>
      </c>
      <c r="H132" s="257">
        <v>0</v>
      </c>
      <c r="I132" s="257">
        <v>0</v>
      </c>
      <c r="J132" s="257">
        <v>0</v>
      </c>
      <c r="K132" s="257">
        <v>770190</v>
      </c>
      <c r="L132" s="257">
        <v>770190</v>
      </c>
      <c r="M132" s="257">
        <v>46229810</v>
      </c>
      <c r="N132" s="257">
        <v>6229810</v>
      </c>
    </row>
    <row r="133" spans="1:14" s="143" customFormat="1" hidden="1" x14ac:dyDescent="0.25">
      <c r="A133" s="143" t="s">
        <v>704</v>
      </c>
      <c r="B133" s="143" t="s">
        <v>262</v>
      </c>
      <c r="C133" s="143" t="s">
        <v>263</v>
      </c>
      <c r="D133" s="143" t="s">
        <v>69</v>
      </c>
      <c r="E133" s="257">
        <v>22000000</v>
      </c>
      <c r="F133" s="257">
        <v>22000000</v>
      </c>
      <c r="G133" s="257">
        <v>0</v>
      </c>
      <c r="H133" s="257">
        <v>0</v>
      </c>
      <c r="I133" s="257">
        <v>0</v>
      </c>
      <c r="J133" s="257">
        <v>0</v>
      </c>
      <c r="K133" s="257">
        <v>0</v>
      </c>
      <c r="L133" s="257">
        <v>0</v>
      </c>
      <c r="M133" s="257">
        <v>22000000</v>
      </c>
      <c r="N133" s="257">
        <v>0</v>
      </c>
    </row>
    <row r="134" spans="1:14" s="143" customFormat="1" hidden="1" x14ac:dyDescent="0.25">
      <c r="A134" s="143" t="s">
        <v>704</v>
      </c>
      <c r="B134" s="143" t="s">
        <v>264</v>
      </c>
      <c r="C134" s="143" t="s">
        <v>265</v>
      </c>
      <c r="D134" s="143" t="s">
        <v>69</v>
      </c>
      <c r="E134" s="257">
        <v>25000000</v>
      </c>
      <c r="F134" s="257">
        <v>25000000</v>
      </c>
      <c r="G134" s="257">
        <v>7000000</v>
      </c>
      <c r="H134" s="257">
        <v>0</v>
      </c>
      <c r="I134" s="257">
        <v>0</v>
      </c>
      <c r="J134" s="257">
        <v>0</v>
      </c>
      <c r="K134" s="257">
        <v>770190</v>
      </c>
      <c r="L134" s="257">
        <v>770190</v>
      </c>
      <c r="M134" s="257">
        <v>24229810</v>
      </c>
      <c r="N134" s="257">
        <v>6229810</v>
      </c>
    </row>
    <row r="135" spans="1:14" s="143" customFormat="1" hidden="1" x14ac:dyDescent="0.25">
      <c r="A135" s="143" t="s">
        <v>704</v>
      </c>
      <c r="B135" s="143" t="s">
        <v>266</v>
      </c>
      <c r="C135" s="143" t="s">
        <v>267</v>
      </c>
      <c r="D135" s="143" t="s">
        <v>69</v>
      </c>
      <c r="E135" s="257">
        <v>423304895</v>
      </c>
      <c r="F135" s="257">
        <v>422694895</v>
      </c>
      <c r="G135" s="257">
        <v>192642446</v>
      </c>
      <c r="H135" s="257">
        <v>0</v>
      </c>
      <c r="I135" s="257">
        <v>7419.9</v>
      </c>
      <c r="J135" s="257">
        <v>0</v>
      </c>
      <c r="K135" s="257">
        <v>172671943.09999999</v>
      </c>
      <c r="L135" s="257">
        <v>172671943.09999999</v>
      </c>
      <c r="M135" s="257">
        <v>250015532</v>
      </c>
      <c r="N135" s="257">
        <v>19963083</v>
      </c>
    </row>
    <row r="136" spans="1:14" s="143" customFormat="1" hidden="1" x14ac:dyDescent="0.25">
      <c r="A136" s="143" t="s">
        <v>704</v>
      </c>
      <c r="B136" s="143" t="s">
        <v>664</v>
      </c>
      <c r="C136" s="143" t="s">
        <v>269</v>
      </c>
      <c r="D136" s="143" t="s">
        <v>69</v>
      </c>
      <c r="E136" s="257">
        <v>406300000</v>
      </c>
      <c r="F136" s="257">
        <v>406300000</v>
      </c>
      <c r="G136" s="257">
        <v>189254751</v>
      </c>
      <c r="H136" s="257">
        <v>0</v>
      </c>
      <c r="I136" s="257">
        <v>0</v>
      </c>
      <c r="J136" s="257">
        <v>0</v>
      </c>
      <c r="K136" s="257">
        <v>169291668</v>
      </c>
      <c r="L136" s="257">
        <v>169291668</v>
      </c>
      <c r="M136" s="257">
        <v>237008332</v>
      </c>
      <c r="N136" s="257">
        <v>19963083</v>
      </c>
    </row>
    <row r="137" spans="1:14" s="143" customFormat="1" hidden="1" x14ac:dyDescent="0.25">
      <c r="A137" s="143" t="s">
        <v>704</v>
      </c>
      <c r="B137" s="143" t="s">
        <v>666</v>
      </c>
      <c r="C137" s="143" t="s">
        <v>705</v>
      </c>
      <c r="D137" s="143" t="s">
        <v>69</v>
      </c>
      <c r="E137" s="257">
        <v>13007200</v>
      </c>
      <c r="F137" s="257">
        <v>13007200</v>
      </c>
      <c r="G137" s="257">
        <v>0</v>
      </c>
      <c r="H137" s="257">
        <v>0</v>
      </c>
      <c r="I137" s="257">
        <v>0</v>
      </c>
      <c r="J137" s="257">
        <v>0</v>
      </c>
      <c r="K137" s="257">
        <v>0</v>
      </c>
      <c r="L137" s="257">
        <v>0</v>
      </c>
      <c r="M137" s="257">
        <v>13007200</v>
      </c>
      <c r="N137" s="257">
        <v>0</v>
      </c>
    </row>
    <row r="138" spans="1:14" s="143" customFormat="1" hidden="1" x14ac:dyDescent="0.25">
      <c r="A138" s="143" t="s">
        <v>704</v>
      </c>
      <c r="B138" s="143" t="s">
        <v>668</v>
      </c>
      <c r="C138" s="143" t="s">
        <v>273</v>
      </c>
      <c r="D138" s="143" t="s">
        <v>69</v>
      </c>
      <c r="E138" s="257">
        <v>3997695</v>
      </c>
      <c r="F138" s="257">
        <v>3387695</v>
      </c>
      <c r="G138" s="257">
        <v>3387695</v>
      </c>
      <c r="H138" s="257">
        <v>0</v>
      </c>
      <c r="I138" s="257">
        <v>7419.9</v>
      </c>
      <c r="J138" s="257">
        <v>0</v>
      </c>
      <c r="K138" s="257">
        <v>3380275.1</v>
      </c>
      <c r="L138" s="257">
        <v>3380275.1</v>
      </c>
      <c r="M138" s="257">
        <v>0</v>
      </c>
      <c r="N138" s="257">
        <v>0</v>
      </c>
    </row>
    <row r="139" spans="1:14" s="143" customFormat="1" hidden="1" x14ac:dyDescent="0.25">
      <c r="A139" s="143" t="s">
        <v>704</v>
      </c>
      <c r="B139" s="143" t="s">
        <v>230</v>
      </c>
      <c r="C139" s="143" t="s">
        <v>231</v>
      </c>
      <c r="D139" s="143" t="s">
        <v>85</v>
      </c>
      <c r="E139" s="257">
        <v>12109140</v>
      </c>
      <c r="F139" s="257">
        <v>10969140</v>
      </c>
      <c r="G139" s="257">
        <v>8469140</v>
      </c>
      <c r="H139" s="257">
        <v>0</v>
      </c>
      <c r="I139" s="257">
        <v>0</v>
      </c>
      <c r="J139" s="257">
        <v>0</v>
      </c>
      <c r="K139" s="257">
        <v>0</v>
      </c>
      <c r="L139" s="257">
        <v>0</v>
      </c>
      <c r="M139" s="257">
        <v>10969140</v>
      </c>
      <c r="N139" s="257">
        <v>8469140</v>
      </c>
    </row>
    <row r="140" spans="1:14" s="143" customFormat="1" hidden="1" x14ac:dyDescent="0.25">
      <c r="A140" s="143" t="s">
        <v>704</v>
      </c>
      <c r="B140" s="143" t="s">
        <v>232</v>
      </c>
      <c r="C140" s="143" t="s">
        <v>233</v>
      </c>
      <c r="D140" s="143" t="s">
        <v>85</v>
      </c>
      <c r="E140" s="257">
        <v>12109140</v>
      </c>
      <c r="F140" s="257">
        <v>10969140</v>
      </c>
      <c r="G140" s="257">
        <v>8469140</v>
      </c>
      <c r="H140" s="257">
        <v>0</v>
      </c>
      <c r="I140" s="257">
        <v>0</v>
      </c>
      <c r="J140" s="257">
        <v>0</v>
      </c>
      <c r="K140" s="257">
        <v>0</v>
      </c>
      <c r="L140" s="257">
        <v>0</v>
      </c>
      <c r="M140" s="257">
        <v>10969140</v>
      </c>
      <c r="N140" s="257">
        <v>8469140</v>
      </c>
    </row>
    <row r="141" spans="1:14" s="143" customFormat="1" hidden="1" x14ac:dyDescent="0.25">
      <c r="A141" s="143" t="s">
        <v>704</v>
      </c>
      <c r="B141" s="143" t="s">
        <v>234</v>
      </c>
      <c r="C141" s="143" t="s">
        <v>235</v>
      </c>
      <c r="D141" s="143" t="s">
        <v>85</v>
      </c>
      <c r="E141" s="257">
        <v>120000</v>
      </c>
      <c r="F141" s="257">
        <v>0</v>
      </c>
      <c r="G141" s="257">
        <v>0</v>
      </c>
      <c r="H141" s="257">
        <v>0</v>
      </c>
      <c r="I141" s="257">
        <v>0</v>
      </c>
      <c r="J141" s="257">
        <v>0</v>
      </c>
      <c r="K141" s="257">
        <v>0</v>
      </c>
      <c r="L141" s="257">
        <v>0</v>
      </c>
      <c r="M141" s="257">
        <v>0</v>
      </c>
      <c r="N141" s="257">
        <v>0</v>
      </c>
    </row>
    <row r="142" spans="1:14" s="143" customFormat="1" hidden="1" x14ac:dyDescent="0.25">
      <c r="A142" s="143" t="s">
        <v>704</v>
      </c>
      <c r="B142" s="143" t="s">
        <v>236</v>
      </c>
      <c r="C142" s="143" t="s">
        <v>237</v>
      </c>
      <c r="D142" s="143" t="s">
        <v>85</v>
      </c>
      <c r="E142" s="257">
        <v>620000</v>
      </c>
      <c r="F142" s="257">
        <v>0</v>
      </c>
      <c r="G142" s="257">
        <v>0</v>
      </c>
      <c r="H142" s="257">
        <v>0</v>
      </c>
      <c r="I142" s="257">
        <v>0</v>
      </c>
      <c r="J142" s="257">
        <v>0</v>
      </c>
      <c r="K142" s="257">
        <v>0</v>
      </c>
      <c r="L142" s="257">
        <v>0</v>
      </c>
      <c r="M142" s="257">
        <v>0</v>
      </c>
      <c r="N142" s="257">
        <v>0</v>
      </c>
    </row>
    <row r="143" spans="1:14" s="143" customFormat="1" hidden="1" x14ac:dyDescent="0.25">
      <c r="A143" s="143" t="s">
        <v>704</v>
      </c>
      <c r="B143" s="143" t="s">
        <v>238</v>
      </c>
      <c r="C143" s="143" t="s">
        <v>239</v>
      </c>
      <c r="D143" s="143" t="s">
        <v>85</v>
      </c>
      <c r="E143" s="257">
        <v>11369140</v>
      </c>
      <c r="F143" s="257">
        <v>10969140</v>
      </c>
      <c r="G143" s="257">
        <v>8469140</v>
      </c>
      <c r="H143" s="257">
        <v>0</v>
      </c>
      <c r="I143" s="257">
        <v>0</v>
      </c>
      <c r="J143" s="257">
        <v>0</v>
      </c>
      <c r="K143" s="257">
        <v>0</v>
      </c>
      <c r="L143" s="257">
        <v>0</v>
      </c>
      <c r="M143" s="257">
        <v>10969140</v>
      </c>
      <c r="N143" s="257">
        <v>8469140</v>
      </c>
    </row>
    <row r="144" spans="1:14" s="143" customFormat="1" x14ac:dyDescent="0.25">
      <c r="A144" s="49">
        <v>214788</v>
      </c>
      <c r="D144" s="49" t="s">
        <v>69</v>
      </c>
      <c r="E144" s="257">
        <v>3537393833</v>
      </c>
      <c r="F144" s="50">
        <v>3395278076</v>
      </c>
      <c r="G144" s="257">
        <v>2118625741</v>
      </c>
      <c r="H144" s="50">
        <v>50746662.280000001</v>
      </c>
      <c r="I144" s="50">
        <v>290796875.31</v>
      </c>
      <c r="J144" s="50">
        <v>8584089.3200000003</v>
      </c>
      <c r="K144" s="50">
        <v>831919906.51999998</v>
      </c>
      <c r="L144" s="50">
        <v>769777898.29999995</v>
      </c>
      <c r="M144" s="50">
        <v>2213230542.5700002</v>
      </c>
      <c r="N144" s="257">
        <v>936578207.57000005</v>
      </c>
    </row>
    <row r="145" spans="1:14" s="143" customFormat="1" hidden="1" x14ac:dyDescent="0.25">
      <c r="A145" s="143" t="s">
        <v>706</v>
      </c>
      <c r="B145" s="143" t="s">
        <v>71</v>
      </c>
      <c r="C145" s="143" t="s">
        <v>72</v>
      </c>
      <c r="D145" s="143" t="s">
        <v>69</v>
      </c>
      <c r="E145" s="257">
        <v>1329087181</v>
      </c>
      <c r="F145" s="257">
        <v>1297911768</v>
      </c>
      <c r="G145" s="257">
        <v>1202043753</v>
      </c>
      <c r="H145" s="257">
        <v>0</v>
      </c>
      <c r="I145" s="257">
        <v>121376579.95</v>
      </c>
      <c r="J145" s="257">
        <v>0</v>
      </c>
      <c r="K145" s="257">
        <v>484308384.48000002</v>
      </c>
      <c r="L145" s="257">
        <v>484308384.48000002</v>
      </c>
      <c r="M145" s="257">
        <v>692226803.57000005</v>
      </c>
      <c r="N145" s="257">
        <v>596358788.57000005</v>
      </c>
    </row>
    <row r="146" spans="1:14" s="143" customFormat="1" hidden="1" x14ac:dyDescent="0.25">
      <c r="A146" s="143" t="s">
        <v>706</v>
      </c>
      <c r="B146" s="143" t="s">
        <v>73</v>
      </c>
      <c r="C146" s="143" t="s">
        <v>74</v>
      </c>
      <c r="D146" s="143" t="s">
        <v>69</v>
      </c>
      <c r="E146" s="257">
        <v>512821400</v>
      </c>
      <c r="F146" s="257">
        <v>495348575</v>
      </c>
      <c r="G146" s="257">
        <v>406078937</v>
      </c>
      <c r="H146" s="257">
        <v>0</v>
      </c>
      <c r="I146" s="257">
        <v>0</v>
      </c>
      <c r="J146" s="257">
        <v>0</v>
      </c>
      <c r="K146" s="257">
        <v>186497220.41999999</v>
      </c>
      <c r="L146" s="257">
        <v>186497220.41999999</v>
      </c>
      <c r="M146" s="257">
        <v>308851354.57999998</v>
      </c>
      <c r="N146" s="257">
        <v>219581716.58000001</v>
      </c>
    </row>
    <row r="147" spans="1:14" s="143" customFormat="1" hidden="1" x14ac:dyDescent="0.25">
      <c r="A147" s="143" t="s">
        <v>706</v>
      </c>
      <c r="B147" s="143" t="s">
        <v>75</v>
      </c>
      <c r="C147" s="143" t="s">
        <v>76</v>
      </c>
      <c r="D147" s="143" t="s">
        <v>69</v>
      </c>
      <c r="E147" s="257">
        <v>507821400</v>
      </c>
      <c r="F147" s="257">
        <v>494148575</v>
      </c>
      <c r="G147" s="257">
        <v>404878937</v>
      </c>
      <c r="H147" s="257">
        <v>0</v>
      </c>
      <c r="I147" s="257">
        <v>0</v>
      </c>
      <c r="J147" s="257">
        <v>0</v>
      </c>
      <c r="K147" s="257">
        <v>186497220.41999999</v>
      </c>
      <c r="L147" s="257">
        <v>186497220.41999999</v>
      </c>
      <c r="M147" s="257">
        <v>307651354.57999998</v>
      </c>
      <c r="N147" s="257">
        <v>218381716.58000001</v>
      </c>
    </row>
    <row r="148" spans="1:14" s="143" customFormat="1" hidden="1" x14ac:dyDescent="0.25">
      <c r="A148" s="143" t="s">
        <v>706</v>
      </c>
      <c r="B148" s="143" t="s">
        <v>291</v>
      </c>
      <c r="C148" s="143" t="s">
        <v>292</v>
      </c>
      <c r="D148" s="143" t="s">
        <v>69</v>
      </c>
      <c r="E148" s="257">
        <v>5000000</v>
      </c>
      <c r="F148" s="257">
        <v>1200000</v>
      </c>
      <c r="G148" s="257">
        <v>1200000</v>
      </c>
      <c r="H148" s="257">
        <v>0</v>
      </c>
      <c r="I148" s="257">
        <v>0</v>
      </c>
      <c r="J148" s="257">
        <v>0</v>
      </c>
      <c r="K148" s="257">
        <v>0</v>
      </c>
      <c r="L148" s="257">
        <v>0</v>
      </c>
      <c r="M148" s="257">
        <v>1200000</v>
      </c>
      <c r="N148" s="257">
        <v>1200000</v>
      </c>
    </row>
    <row r="149" spans="1:14" s="143" customFormat="1" hidden="1" x14ac:dyDescent="0.25">
      <c r="A149" s="143" t="s">
        <v>706</v>
      </c>
      <c r="B149" s="143" t="s">
        <v>293</v>
      </c>
      <c r="C149" s="143" t="s">
        <v>294</v>
      </c>
      <c r="D149" s="143" t="s">
        <v>69</v>
      </c>
      <c r="E149" s="257">
        <v>11000000</v>
      </c>
      <c r="F149" s="257">
        <v>11000000</v>
      </c>
      <c r="G149" s="257">
        <v>11000000</v>
      </c>
      <c r="H149" s="257">
        <v>0</v>
      </c>
      <c r="I149" s="257">
        <v>0</v>
      </c>
      <c r="J149" s="257">
        <v>0</v>
      </c>
      <c r="K149" s="257">
        <v>1702299.73</v>
      </c>
      <c r="L149" s="257">
        <v>1702299.73</v>
      </c>
      <c r="M149" s="257">
        <v>9297700.2699999996</v>
      </c>
      <c r="N149" s="257">
        <v>9297700.2699999996</v>
      </c>
    </row>
    <row r="150" spans="1:14" s="143" customFormat="1" hidden="1" x14ac:dyDescent="0.25">
      <c r="A150" s="143" t="s">
        <v>706</v>
      </c>
      <c r="B150" s="143" t="s">
        <v>295</v>
      </c>
      <c r="C150" s="143" t="s">
        <v>296</v>
      </c>
      <c r="D150" s="143" t="s">
        <v>69</v>
      </c>
      <c r="E150" s="257">
        <v>11000000</v>
      </c>
      <c r="F150" s="257">
        <v>11000000</v>
      </c>
      <c r="G150" s="257">
        <v>11000000</v>
      </c>
      <c r="H150" s="257">
        <v>0</v>
      </c>
      <c r="I150" s="257">
        <v>0</v>
      </c>
      <c r="J150" s="257">
        <v>0</v>
      </c>
      <c r="K150" s="257">
        <v>1702299.73</v>
      </c>
      <c r="L150" s="257">
        <v>1702299.73</v>
      </c>
      <c r="M150" s="257">
        <v>9297700.2699999996</v>
      </c>
      <c r="N150" s="257">
        <v>9297700.2699999996</v>
      </c>
    </row>
    <row r="151" spans="1:14" s="143" customFormat="1" hidden="1" x14ac:dyDescent="0.25">
      <c r="A151" s="143" t="s">
        <v>706</v>
      </c>
      <c r="B151" s="143" t="s">
        <v>77</v>
      </c>
      <c r="C151" s="143" t="s">
        <v>78</v>
      </c>
      <c r="D151" s="143" t="s">
        <v>69</v>
      </c>
      <c r="E151" s="257">
        <v>602518513</v>
      </c>
      <c r="F151" s="257">
        <v>593988660</v>
      </c>
      <c r="G151" s="257">
        <v>587390283</v>
      </c>
      <c r="H151" s="257">
        <v>0</v>
      </c>
      <c r="I151" s="257">
        <v>0</v>
      </c>
      <c r="J151" s="257">
        <v>0</v>
      </c>
      <c r="K151" s="257">
        <v>219910911.28</v>
      </c>
      <c r="L151" s="257">
        <v>219910911.28</v>
      </c>
      <c r="M151" s="257">
        <v>374077748.72000003</v>
      </c>
      <c r="N151" s="257">
        <v>367479371.72000003</v>
      </c>
    </row>
    <row r="152" spans="1:14" s="143" customFormat="1" hidden="1" x14ac:dyDescent="0.25">
      <c r="A152" s="143" t="s">
        <v>706</v>
      </c>
      <c r="B152" s="143" t="s">
        <v>79</v>
      </c>
      <c r="C152" s="143" t="s">
        <v>80</v>
      </c>
      <c r="D152" s="143" t="s">
        <v>69</v>
      </c>
      <c r="E152" s="257">
        <v>160994500</v>
      </c>
      <c r="F152" s="257">
        <v>160994500</v>
      </c>
      <c r="G152" s="257">
        <v>154396123</v>
      </c>
      <c r="H152" s="257">
        <v>0</v>
      </c>
      <c r="I152" s="257">
        <v>0</v>
      </c>
      <c r="J152" s="257">
        <v>0</v>
      </c>
      <c r="K152" s="257">
        <v>55944378.359999999</v>
      </c>
      <c r="L152" s="257">
        <v>55944378.359999999</v>
      </c>
      <c r="M152" s="257">
        <v>105050121.64</v>
      </c>
      <c r="N152" s="257">
        <v>98451744.640000001</v>
      </c>
    </row>
    <row r="153" spans="1:14" s="143" customFormat="1" hidden="1" x14ac:dyDescent="0.25">
      <c r="A153" s="143" t="s">
        <v>706</v>
      </c>
      <c r="B153" s="143" t="s">
        <v>81</v>
      </c>
      <c r="C153" s="143" t="s">
        <v>82</v>
      </c>
      <c r="D153" s="143" t="s">
        <v>69</v>
      </c>
      <c r="E153" s="257">
        <v>218799248</v>
      </c>
      <c r="F153" s="257">
        <v>212878407</v>
      </c>
      <c r="G153" s="257">
        <v>212878407</v>
      </c>
      <c r="H153" s="257">
        <v>0</v>
      </c>
      <c r="I153" s="257">
        <v>0</v>
      </c>
      <c r="J153" s="257">
        <v>0</v>
      </c>
      <c r="K153" s="257">
        <v>73295830.739999995</v>
      </c>
      <c r="L153" s="257">
        <v>73295830.739999995</v>
      </c>
      <c r="M153" s="257">
        <v>139582576.25999999</v>
      </c>
      <c r="N153" s="257">
        <v>139582576.25999999</v>
      </c>
    </row>
    <row r="154" spans="1:14" s="143" customFormat="1" hidden="1" x14ac:dyDescent="0.25">
      <c r="A154" s="143" t="s">
        <v>706</v>
      </c>
      <c r="B154" s="143" t="s">
        <v>86</v>
      </c>
      <c r="C154" s="143" t="s">
        <v>87</v>
      </c>
      <c r="D154" s="143" t="s">
        <v>69</v>
      </c>
      <c r="E154" s="257">
        <v>79437600</v>
      </c>
      <c r="F154" s="257">
        <v>79437600</v>
      </c>
      <c r="G154" s="257">
        <v>79437600</v>
      </c>
      <c r="H154" s="257">
        <v>0</v>
      </c>
      <c r="I154" s="257">
        <v>0</v>
      </c>
      <c r="J154" s="257">
        <v>0</v>
      </c>
      <c r="K154" s="257">
        <v>70505091.120000005</v>
      </c>
      <c r="L154" s="257">
        <v>70505091.120000005</v>
      </c>
      <c r="M154" s="257">
        <v>8932508.8800000008</v>
      </c>
      <c r="N154" s="257">
        <v>8932508.8800000008</v>
      </c>
    </row>
    <row r="155" spans="1:14" s="143" customFormat="1" hidden="1" x14ac:dyDescent="0.25">
      <c r="A155" s="143" t="s">
        <v>706</v>
      </c>
      <c r="B155" s="143" t="s">
        <v>88</v>
      </c>
      <c r="C155" s="143" t="s">
        <v>89</v>
      </c>
      <c r="D155" s="143" t="s">
        <v>69</v>
      </c>
      <c r="E155" s="257">
        <v>56677700</v>
      </c>
      <c r="F155" s="257">
        <v>56283335</v>
      </c>
      <c r="G155" s="257">
        <v>56283335</v>
      </c>
      <c r="H155" s="257">
        <v>0</v>
      </c>
      <c r="I155" s="257">
        <v>0</v>
      </c>
      <c r="J155" s="257">
        <v>0</v>
      </c>
      <c r="K155" s="257">
        <v>20165611.059999999</v>
      </c>
      <c r="L155" s="257">
        <v>20165611.059999999</v>
      </c>
      <c r="M155" s="257">
        <v>36117723.939999998</v>
      </c>
      <c r="N155" s="257">
        <v>36117723.939999998</v>
      </c>
    </row>
    <row r="156" spans="1:14" s="143" customFormat="1" hidden="1" x14ac:dyDescent="0.25">
      <c r="A156" s="143" t="s">
        <v>706</v>
      </c>
      <c r="B156" s="143" t="s">
        <v>83</v>
      </c>
      <c r="C156" s="143" t="s">
        <v>84</v>
      </c>
      <c r="D156" s="143" t="s">
        <v>85</v>
      </c>
      <c r="E156" s="257">
        <v>86609465</v>
      </c>
      <c r="F156" s="257">
        <v>84394818</v>
      </c>
      <c r="G156" s="257">
        <v>84394818</v>
      </c>
      <c r="H156" s="257">
        <v>0</v>
      </c>
      <c r="I156" s="257">
        <v>0</v>
      </c>
      <c r="J156" s="257">
        <v>0</v>
      </c>
      <c r="K156" s="257">
        <v>0</v>
      </c>
      <c r="L156" s="257">
        <v>0</v>
      </c>
      <c r="M156" s="257">
        <v>84394818</v>
      </c>
      <c r="N156" s="257">
        <v>84394818</v>
      </c>
    </row>
    <row r="157" spans="1:14" s="143" customFormat="1" hidden="1" x14ac:dyDescent="0.25">
      <c r="A157" s="143" t="s">
        <v>706</v>
      </c>
      <c r="B157" s="143" t="s">
        <v>90</v>
      </c>
      <c r="C157" s="143" t="s">
        <v>91</v>
      </c>
      <c r="D157" s="143" t="s">
        <v>69</v>
      </c>
      <c r="E157" s="257">
        <v>101373634</v>
      </c>
      <c r="F157" s="257">
        <v>98787266</v>
      </c>
      <c r="G157" s="257">
        <v>98787266</v>
      </c>
      <c r="H157" s="257">
        <v>0</v>
      </c>
      <c r="I157" s="257">
        <v>60378420.020000003</v>
      </c>
      <c r="J157" s="257">
        <v>0</v>
      </c>
      <c r="K157" s="257">
        <v>38408845.979999997</v>
      </c>
      <c r="L157" s="257">
        <v>38408845.979999997</v>
      </c>
      <c r="M157" s="257">
        <v>0</v>
      </c>
      <c r="N157" s="257">
        <v>0</v>
      </c>
    </row>
    <row r="158" spans="1:14" s="143" customFormat="1" hidden="1" x14ac:dyDescent="0.25">
      <c r="A158" s="143" t="s">
        <v>706</v>
      </c>
      <c r="B158" s="143" t="s">
        <v>419</v>
      </c>
      <c r="C158" s="143" t="s">
        <v>697</v>
      </c>
      <c r="D158" s="143" t="s">
        <v>69</v>
      </c>
      <c r="E158" s="257">
        <v>96175035</v>
      </c>
      <c r="F158" s="257">
        <v>93721300</v>
      </c>
      <c r="G158" s="257">
        <v>93721300</v>
      </c>
      <c r="H158" s="257">
        <v>0</v>
      </c>
      <c r="I158" s="257">
        <v>57282052.049999997</v>
      </c>
      <c r="J158" s="257">
        <v>0</v>
      </c>
      <c r="K158" s="257">
        <v>36439247.950000003</v>
      </c>
      <c r="L158" s="257">
        <v>36439247.950000003</v>
      </c>
      <c r="M158" s="257">
        <v>0</v>
      </c>
      <c r="N158" s="257">
        <v>0</v>
      </c>
    </row>
    <row r="159" spans="1:14" s="143" customFormat="1" hidden="1" x14ac:dyDescent="0.25">
      <c r="A159" s="143" t="s">
        <v>706</v>
      </c>
      <c r="B159" s="143" t="s">
        <v>436</v>
      </c>
      <c r="C159" s="143" t="s">
        <v>95</v>
      </c>
      <c r="D159" s="143" t="s">
        <v>69</v>
      </c>
      <c r="E159" s="257">
        <v>5198599</v>
      </c>
      <c r="F159" s="257">
        <v>5065966</v>
      </c>
      <c r="G159" s="257">
        <v>5065966</v>
      </c>
      <c r="H159" s="257">
        <v>0</v>
      </c>
      <c r="I159" s="257">
        <v>3096367.97</v>
      </c>
      <c r="J159" s="257">
        <v>0</v>
      </c>
      <c r="K159" s="257">
        <v>1969598.03</v>
      </c>
      <c r="L159" s="257">
        <v>1969598.03</v>
      </c>
      <c r="M159" s="257">
        <v>0</v>
      </c>
      <c r="N159" s="257">
        <v>0</v>
      </c>
    </row>
    <row r="160" spans="1:14" s="143" customFormat="1" hidden="1" x14ac:dyDescent="0.25">
      <c r="A160" s="143" t="s">
        <v>706</v>
      </c>
      <c r="B160" s="143" t="s">
        <v>96</v>
      </c>
      <c r="C160" s="143" t="s">
        <v>97</v>
      </c>
      <c r="D160" s="143" t="s">
        <v>69</v>
      </c>
      <c r="E160" s="257">
        <v>101373634</v>
      </c>
      <c r="F160" s="257">
        <v>98787267</v>
      </c>
      <c r="G160" s="257">
        <v>98787267</v>
      </c>
      <c r="H160" s="257">
        <v>0</v>
      </c>
      <c r="I160" s="257">
        <v>60998159.93</v>
      </c>
      <c r="J160" s="257">
        <v>0</v>
      </c>
      <c r="K160" s="257">
        <v>37789107.07</v>
      </c>
      <c r="L160" s="257">
        <v>37789107.07</v>
      </c>
      <c r="M160" s="257">
        <v>0</v>
      </c>
      <c r="N160" s="257">
        <v>0</v>
      </c>
    </row>
    <row r="161" spans="1:14" s="143" customFormat="1" hidden="1" x14ac:dyDescent="0.25">
      <c r="A161" s="143" t="s">
        <v>706</v>
      </c>
      <c r="B161" s="143" t="s">
        <v>454</v>
      </c>
      <c r="C161" s="143" t="s">
        <v>698</v>
      </c>
      <c r="D161" s="143" t="s">
        <v>69</v>
      </c>
      <c r="E161" s="257">
        <v>54585842</v>
      </c>
      <c r="F161" s="257">
        <v>53193182</v>
      </c>
      <c r="G161" s="257">
        <v>53193182</v>
      </c>
      <c r="H161" s="257">
        <v>0</v>
      </c>
      <c r="I161" s="257">
        <v>33130499.890000001</v>
      </c>
      <c r="J161" s="257">
        <v>0</v>
      </c>
      <c r="K161" s="257">
        <v>20062682.109999999</v>
      </c>
      <c r="L161" s="257">
        <v>20062682.109999999</v>
      </c>
      <c r="M161" s="257">
        <v>0</v>
      </c>
      <c r="N161" s="257">
        <v>0</v>
      </c>
    </row>
    <row r="162" spans="1:14" s="143" customFormat="1" hidden="1" x14ac:dyDescent="0.25">
      <c r="A162" s="143" t="s">
        <v>706</v>
      </c>
      <c r="B162" s="143" t="s">
        <v>471</v>
      </c>
      <c r="C162" s="143" t="s">
        <v>699</v>
      </c>
      <c r="D162" s="143" t="s">
        <v>69</v>
      </c>
      <c r="E162" s="257">
        <v>15595897</v>
      </c>
      <c r="F162" s="257">
        <v>15197995</v>
      </c>
      <c r="G162" s="257">
        <v>15197995</v>
      </c>
      <c r="H162" s="257">
        <v>0</v>
      </c>
      <c r="I162" s="257">
        <v>9289182.0800000001</v>
      </c>
      <c r="J162" s="257">
        <v>0</v>
      </c>
      <c r="K162" s="257">
        <v>5908812.9199999999</v>
      </c>
      <c r="L162" s="257">
        <v>5908812.9199999999</v>
      </c>
      <c r="M162" s="257">
        <v>0</v>
      </c>
      <c r="N162" s="257">
        <v>0</v>
      </c>
    </row>
    <row r="163" spans="1:14" s="143" customFormat="1" hidden="1" x14ac:dyDescent="0.25">
      <c r="A163" s="143" t="s">
        <v>706</v>
      </c>
      <c r="B163" s="143" t="s">
        <v>488</v>
      </c>
      <c r="C163" s="143" t="s">
        <v>700</v>
      </c>
      <c r="D163" s="143" t="s">
        <v>69</v>
      </c>
      <c r="E163" s="257">
        <v>31191895</v>
      </c>
      <c r="F163" s="257">
        <v>30396090</v>
      </c>
      <c r="G163" s="257">
        <v>30396090</v>
      </c>
      <c r="H163" s="257">
        <v>0</v>
      </c>
      <c r="I163" s="257">
        <v>18578477.960000001</v>
      </c>
      <c r="J163" s="257">
        <v>0</v>
      </c>
      <c r="K163" s="257">
        <v>11817612.039999999</v>
      </c>
      <c r="L163" s="257">
        <v>11817612.039999999</v>
      </c>
      <c r="M163" s="257">
        <v>0</v>
      </c>
      <c r="N163" s="257">
        <v>0</v>
      </c>
    </row>
    <row r="164" spans="1:14" s="143" customFormat="1" hidden="1" x14ac:dyDescent="0.25">
      <c r="A164" s="143" t="s">
        <v>706</v>
      </c>
      <c r="B164" s="143" t="s">
        <v>104</v>
      </c>
      <c r="C164" s="143" t="s">
        <v>105</v>
      </c>
      <c r="D164" s="143" t="s">
        <v>69</v>
      </c>
      <c r="E164" s="257">
        <v>1188545520</v>
      </c>
      <c r="F164" s="257">
        <v>1188545520</v>
      </c>
      <c r="G164" s="257">
        <v>599716178</v>
      </c>
      <c r="H164" s="257">
        <v>0</v>
      </c>
      <c r="I164" s="257">
        <v>154328709.25</v>
      </c>
      <c r="J164" s="257">
        <v>7281780.8899999997</v>
      </c>
      <c r="K164" s="257">
        <v>327674685.95999998</v>
      </c>
      <c r="L164" s="257">
        <v>271108731.86000001</v>
      </c>
      <c r="M164" s="257">
        <v>699260343.89999998</v>
      </c>
      <c r="N164" s="257">
        <v>110431001.90000001</v>
      </c>
    </row>
    <row r="165" spans="1:14" s="143" customFormat="1" hidden="1" x14ac:dyDescent="0.25">
      <c r="A165" s="143" t="s">
        <v>706</v>
      </c>
      <c r="B165" s="143" t="s">
        <v>106</v>
      </c>
      <c r="C165" s="143" t="s">
        <v>107</v>
      </c>
      <c r="D165" s="143" t="s">
        <v>69</v>
      </c>
      <c r="E165" s="257">
        <v>411755980</v>
      </c>
      <c r="F165" s="257">
        <v>409405497.89999998</v>
      </c>
      <c r="G165" s="257">
        <v>195566307.90000001</v>
      </c>
      <c r="H165" s="257">
        <v>0</v>
      </c>
      <c r="I165" s="257">
        <v>46858703.359999999</v>
      </c>
      <c r="J165" s="257">
        <v>3890319.78</v>
      </c>
      <c r="K165" s="257">
        <v>120901204.45999999</v>
      </c>
      <c r="L165" s="257">
        <v>103770763.89</v>
      </c>
      <c r="M165" s="257">
        <v>237755270.30000001</v>
      </c>
      <c r="N165" s="257">
        <v>23916080.300000001</v>
      </c>
    </row>
    <row r="166" spans="1:14" s="143" customFormat="1" hidden="1" x14ac:dyDescent="0.25">
      <c r="A166" s="143" t="s">
        <v>706</v>
      </c>
      <c r="B166" s="143" t="s">
        <v>280</v>
      </c>
      <c r="C166" s="143" t="s">
        <v>281</v>
      </c>
      <c r="D166" s="143" t="s">
        <v>69</v>
      </c>
      <c r="E166" s="257">
        <v>168555500</v>
      </c>
      <c r="F166" s="257">
        <v>168555500</v>
      </c>
      <c r="G166" s="257">
        <v>101077750</v>
      </c>
      <c r="H166" s="257">
        <v>0</v>
      </c>
      <c r="I166" s="257">
        <v>14912729.199999999</v>
      </c>
      <c r="J166" s="257">
        <v>0</v>
      </c>
      <c r="K166" s="257">
        <v>77669960.140000001</v>
      </c>
      <c r="L166" s="257">
        <v>77669960.140000001</v>
      </c>
      <c r="M166" s="257">
        <v>75972810.659999996</v>
      </c>
      <c r="N166" s="257">
        <v>8495060.6600000001</v>
      </c>
    </row>
    <row r="167" spans="1:14" s="143" customFormat="1" hidden="1" x14ac:dyDescent="0.25">
      <c r="A167" s="143" t="s">
        <v>706</v>
      </c>
      <c r="B167" s="143" t="s">
        <v>302</v>
      </c>
      <c r="C167" s="143" t="s">
        <v>303</v>
      </c>
      <c r="D167" s="143" t="s">
        <v>69</v>
      </c>
      <c r="E167" s="257">
        <v>3869560</v>
      </c>
      <c r="F167" s="257">
        <v>3869560</v>
      </c>
      <c r="G167" s="257">
        <v>1934780</v>
      </c>
      <c r="H167" s="257">
        <v>0</v>
      </c>
      <c r="I167" s="257">
        <v>209965.46</v>
      </c>
      <c r="J167" s="257">
        <v>0</v>
      </c>
      <c r="K167" s="257">
        <v>775868.45</v>
      </c>
      <c r="L167" s="257">
        <v>514675.49</v>
      </c>
      <c r="M167" s="257">
        <v>2883726.09</v>
      </c>
      <c r="N167" s="257">
        <v>948946.09</v>
      </c>
    </row>
    <row r="168" spans="1:14" s="143" customFormat="1" hidden="1" x14ac:dyDescent="0.25">
      <c r="A168" s="143" t="s">
        <v>706</v>
      </c>
      <c r="B168" s="143" t="s">
        <v>108</v>
      </c>
      <c r="C168" s="143" t="s">
        <v>109</v>
      </c>
      <c r="D168" s="143" t="s">
        <v>69</v>
      </c>
      <c r="E168" s="257">
        <v>194561670</v>
      </c>
      <c r="F168" s="257">
        <v>189561670</v>
      </c>
      <c r="G168" s="257">
        <v>67308635</v>
      </c>
      <c r="H168" s="257">
        <v>0</v>
      </c>
      <c r="I168" s="257">
        <v>25589048.210000001</v>
      </c>
      <c r="J168" s="257">
        <v>1342929.33</v>
      </c>
      <c r="K168" s="257">
        <v>34493691.939999998</v>
      </c>
      <c r="L168" s="257">
        <v>20083458.300000001</v>
      </c>
      <c r="M168" s="257">
        <v>128136000.52</v>
      </c>
      <c r="N168" s="257">
        <v>5882965.5199999996</v>
      </c>
    </row>
    <row r="169" spans="1:14" s="143" customFormat="1" hidden="1" x14ac:dyDescent="0.25">
      <c r="A169" s="143" t="s">
        <v>706</v>
      </c>
      <c r="B169" s="143" t="s">
        <v>304</v>
      </c>
      <c r="C169" s="143" t="s">
        <v>305</v>
      </c>
      <c r="D169" s="143" t="s">
        <v>69</v>
      </c>
      <c r="E169" s="257">
        <v>1649720</v>
      </c>
      <c r="F169" s="257">
        <v>1799237.9</v>
      </c>
      <c r="G169" s="257">
        <v>1185377.8999999999</v>
      </c>
      <c r="H169" s="257">
        <v>0</v>
      </c>
      <c r="I169" s="257">
        <v>340845.98</v>
      </c>
      <c r="J169" s="257">
        <v>142188.75</v>
      </c>
      <c r="K169" s="257">
        <v>561503.81999999995</v>
      </c>
      <c r="L169" s="257">
        <v>561503.81999999995</v>
      </c>
      <c r="M169" s="257">
        <v>754699.35</v>
      </c>
      <c r="N169" s="257">
        <v>140839.35</v>
      </c>
    </row>
    <row r="170" spans="1:14" s="143" customFormat="1" hidden="1" x14ac:dyDescent="0.25">
      <c r="A170" s="143" t="s">
        <v>706</v>
      </c>
      <c r="B170" s="143" t="s">
        <v>110</v>
      </c>
      <c r="C170" s="143" t="s">
        <v>111</v>
      </c>
      <c r="D170" s="143" t="s">
        <v>69</v>
      </c>
      <c r="E170" s="257">
        <v>43119530</v>
      </c>
      <c r="F170" s="257">
        <v>45619530</v>
      </c>
      <c r="G170" s="257">
        <v>24059765</v>
      </c>
      <c r="H170" s="257">
        <v>0</v>
      </c>
      <c r="I170" s="257">
        <v>5806114.5099999998</v>
      </c>
      <c r="J170" s="257">
        <v>2405201.7000000002</v>
      </c>
      <c r="K170" s="257">
        <v>7400180.1100000003</v>
      </c>
      <c r="L170" s="257">
        <v>4941166.1399999997</v>
      </c>
      <c r="M170" s="257">
        <v>30008033.68</v>
      </c>
      <c r="N170" s="257">
        <v>8448268.6799999997</v>
      </c>
    </row>
    <row r="171" spans="1:14" s="143" customFormat="1" hidden="1" x14ac:dyDescent="0.25">
      <c r="A171" s="143" t="s">
        <v>706</v>
      </c>
      <c r="B171" s="143" t="s">
        <v>112</v>
      </c>
      <c r="C171" s="143" t="s">
        <v>113</v>
      </c>
      <c r="D171" s="143" t="s">
        <v>69</v>
      </c>
      <c r="E171" s="257">
        <v>114662680</v>
      </c>
      <c r="F171" s="257">
        <v>114662680</v>
      </c>
      <c r="G171" s="257">
        <v>62198340</v>
      </c>
      <c r="H171" s="257">
        <v>0</v>
      </c>
      <c r="I171" s="257">
        <v>17334625.52</v>
      </c>
      <c r="J171" s="257">
        <v>0</v>
      </c>
      <c r="K171" s="257">
        <v>33354511.579999998</v>
      </c>
      <c r="L171" s="257">
        <v>29585874.670000002</v>
      </c>
      <c r="M171" s="257">
        <v>63973542.899999999</v>
      </c>
      <c r="N171" s="257">
        <v>11509202.9</v>
      </c>
    </row>
    <row r="172" spans="1:14" s="143" customFormat="1" hidden="1" x14ac:dyDescent="0.25">
      <c r="A172" s="143" t="s">
        <v>706</v>
      </c>
      <c r="B172" s="143" t="s">
        <v>114</v>
      </c>
      <c r="C172" s="143" t="s">
        <v>115</v>
      </c>
      <c r="D172" s="143" t="s">
        <v>69</v>
      </c>
      <c r="E172" s="257">
        <v>19200000</v>
      </c>
      <c r="F172" s="257">
        <v>19200000</v>
      </c>
      <c r="G172" s="257">
        <v>11582000</v>
      </c>
      <c r="H172" s="257">
        <v>0</v>
      </c>
      <c r="I172" s="257">
        <v>6139256.0099999998</v>
      </c>
      <c r="J172" s="257">
        <v>0</v>
      </c>
      <c r="K172" s="257">
        <v>3425665</v>
      </c>
      <c r="L172" s="257">
        <v>3425665</v>
      </c>
      <c r="M172" s="257">
        <v>9635078.9900000002</v>
      </c>
      <c r="N172" s="257">
        <v>2017078.99</v>
      </c>
    </row>
    <row r="173" spans="1:14" s="143" customFormat="1" hidden="1" x14ac:dyDescent="0.25">
      <c r="A173" s="143" t="s">
        <v>706</v>
      </c>
      <c r="B173" s="143" t="s">
        <v>116</v>
      </c>
      <c r="C173" s="143" t="s">
        <v>117</v>
      </c>
      <c r="D173" s="143" t="s">
        <v>69</v>
      </c>
      <c r="E173" s="257">
        <v>37800000</v>
      </c>
      <c r="F173" s="257">
        <v>37800000</v>
      </c>
      <c r="G173" s="257">
        <v>21785000</v>
      </c>
      <c r="H173" s="257">
        <v>0</v>
      </c>
      <c r="I173" s="257">
        <v>1600696.3</v>
      </c>
      <c r="J173" s="257">
        <v>0</v>
      </c>
      <c r="K173" s="257">
        <v>17282608.699999999</v>
      </c>
      <c r="L173" s="257">
        <v>17282608.699999999</v>
      </c>
      <c r="M173" s="257">
        <v>18916695</v>
      </c>
      <c r="N173" s="257">
        <v>2901695</v>
      </c>
    </row>
    <row r="174" spans="1:14" s="143" customFormat="1" hidden="1" x14ac:dyDescent="0.25">
      <c r="A174" s="143" t="s">
        <v>706</v>
      </c>
      <c r="B174" s="143" t="s">
        <v>118</v>
      </c>
      <c r="C174" s="143" t="s">
        <v>119</v>
      </c>
      <c r="D174" s="143" t="s">
        <v>69</v>
      </c>
      <c r="E174" s="257">
        <v>7200000</v>
      </c>
      <c r="F174" s="257">
        <v>7200000</v>
      </c>
      <c r="G174" s="257">
        <v>3600000</v>
      </c>
      <c r="H174" s="257">
        <v>0</v>
      </c>
      <c r="I174" s="257">
        <v>524133.6</v>
      </c>
      <c r="J174" s="257">
        <v>0</v>
      </c>
      <c r="K174" s="257">
        <v>668456.4</v>
      </c>
      <c r="L174" s="257">
        <v>668456.4</v>
      </c>
      <c r="M174" s="257">
        <v>6007410</v>
      </c>
      <c r="N174" s="257">
        <v>2407410</v>
      </c>
    </row>
    <row r="175" spans="1:14" s="143" customFormat="1" hidden="1" x14ac:dyDescent="0.25">
      <c r="A175" s="143" t="s">
        <v>706</v>
      </c>
      <c r="B175" s="143" t="s">
        <v>120</v>
      </c>
      <c r="C175" s="143" t="s">
        <v>121</v>
      </c>
      <c r="D175" s="143" t="s">
        <v>69</v>
      </c>
      <c r="E175" s="257">
        <v>45662680</v>
      </c>
      <c r="F175" s="257">
        <v>45662680</v>
      </c>
      <c r="G175" s="257">
        <v>22831340</v>
      </c>
      <c r="H175" s="257">
        <v>0</v>
      </c>
      <c r="I175" s="257">
        <v>9070539.6099999994</v>
      </c>
      <c r="J175" s="257">
        <v>0</v>
      </c>
      <c r="K175" s="257">
        <v>11532680.630000001</v>
      </c>
      <c r="L175" s="257">
        <v>7764043.7199999997</v>
      </c>
      <c r="M175" s="257">
        <v>25059459.760000002</v>
      </c>
      <c r="N175" s="257">
        <v>2228119.7599999998</v>
      </c>
    </row>
    <row r="176" spans="1:14" s="143" customFormat="1" hidden="1" x14ac:dyDescent="0.25">
      <c r="A176" s="143" t="s">
        <v>706</v>
      </c>
      <c r="B176" s="143" t="s">
        <v>122</v>
      </c>
      <c r="C176" s="143" t="s">
        <v>123</v>
      </c>
      <c r="D176" s="143" t="s">
        <v>69</v>
      </c>
      <c r="E176" s="257">
        <v>4800000</v>
      </c>
      <c r="F176" s="257">
        <v>4800000</v>
      </c>
      <c r="G176" s="257">
        <v>2400000</v>
      </c>
      <c r="H176" s="257">
        <v>0</v>
      </c>
      <c r="I176" s="257">
        <v>0</v>
      </c>
      <c r="J176" s="257">
        <v>0</v>
      </c>
      <c r="K176" s="257">
        <v>445100.85</v>
      </c>
      <c r="L176" s="257">
        <v>445100.85</v>
      </c>
      <c r="M176" s="257">
        <v>4354899.1500000004</v>
      </c>
      <c r="N176" s="257">
        <v>1954899.15</v>
      </c>
    </row>
    <row r="177" spans="1:14" s="143" customFormat="1" hidden="1" x14ac:dyDescent="0.25">
      <c r="A177" s="143" t="s">
        <v>706</v>
      </c>
      <c r="B177" s="143" t="s">
        <v>124</v>
      </c>
      <c r="C177" s="143" t="s">
        <v>125</v>
      </c>
      <c r="D177" s="143" t="s">
        <v>69</v>
      </c>
      <c r="E177" s="257">
        <v>5424230</v>
      </c>
      <c r="F177" s="257">
        <v>6924230</v>
      </c>
      <c r="G177" s="257">
        <v>4524666</v>
      </c>
      <c r="H177" s="257">
        <v>0</v>
      </c>
      <c r="I177" s="257">
        <v>482769.21</v>
      </c>
      <c r="J177" s="257">
        <v>0</v>
      </c>
      <c r="K177" s="257">
        <v>412896.87</v>
      </c>
      <c r="L177" s="257">
        <v>396744.65</v>
      </c>
      <c r="M177" s="257">
        <v>6028563.9199999999</v>
      </c>
      <c r="N177" s="257">
        <v>3628999.92</v>
      </c>
    </row>
    <row r="178" spans="1:14" s="143" customFormat="1" hidden="1" x14ac:dyDescent="0.25">
      <c r="A178" s="143" t="s">
        <v>706</v>
      </c>
      <c r="B178" s="143" t="s">
        <v>126</v>
      </c>
      <c r="C178" s="143" t="s">
        <v>127</v>
      </c>
      <c r="D178" s="143" t="s">
        <v>69</v>
      </c>
      <c r="E178" s="257">
        <v>500000</v>
      </c>
      <c r="F178" s="257">
        <v>2000000</v>
      </c>
      <c r="G178" s="257">
        <v>1993500</v>
      </c>
      <c r="H178" s="257">
        <v>0</v>
      </c>
      <c r="I178" s="257">
        <v>140842.92000000001</v>
      </c>
      <c r="J178" s="257">
        <v>0</v>
      </c>
      <c r="K178" s="257">
        <v>218535.4</v>
      </c>
      <c r="L178" s="257">
        <v>218535.4</v>
      </c>
      <c r="M178" s="257">
        <v>1640621.68</v>
      </c>
      <c r="N178" s="257">
        <v>1634121.68</v>
      </c>
    </row>
    <row r="179" spans="1:14" s="143" customFormat="1" hidden="1" x14ac:dyDescent="0.25">
      <c r="A179" s="143" t="s">
        <v>706</v>
      </c>
      <c r="B179" s="143" t="s">
        <v>128</v>
      </c>
      <c r="C179" s="143" t="s">
        <v>129</v>
      </c>
      <c r="D179" s="143" t="s">
        <v>69</v>
      </c>
      <c r="E179" s="257">
        <v>1000000</v>
      </c>
      <c r="F179" s="257">
        <v>1000000</v>
      </c>
      <c r="G179" s="257">
        <v>500000</v>
      </c>
      <c r="H179" s="257">
        <v>0</v>
      </c>
      <c r="I179" s="257">
        <v>73038.87</v>
      </c>
      <c r="J179" s="257">
        <v>0</v>
      </c>
      <c r="K179" s="257">
        <v>34576.129999999997</v>
      </c>
      <c r="L179" s="257">
        <v>34576.129999999997</v>
      </c>
      <c r="M179" s="257">
        <v>892385</v>
      </c>
      <c r="N179" s="257">
        <v>392385</v>
      </c>
    </row>
    <row r="180" spans="1:14" s="143" customFormat="1" hidden="1" x14ac:dyDescent="0.25">
      <c r="A180" s="143" t="s">
        <v>706</v>
      </c>
      <c r="B180" s="143" t="s">
        <v>130</v>
      </c>
      <c r="C180" s="143" t="s">
        <v>131</v>
      </c>
      <c r="D180" s="143" t="s">
        <v>69</v>
      </c>
      <c r="E180" s="257">
        <v>138100</v>
      </c>
      <c r="F180" s="257">
        <v>138100</v>
      </c>
      <c r="G180" s="257">
        <v>138100</v>
      </c>
      <c r="H180" s="257">
        <v>0</v>
      </c>
      <c r="I180" s="257">
        <v>91217.63</v>
      </c>
      <c r="J180" s="257">
        <v>0</v>
      </c>
      <c r="K180" s="257">
        <v>23297.21</v>
      </c>
      <c r="L180" s="257">
        <v>23297.21</v>
      </c>
      <c r="M180" s="257">
        <v>23585.16</v>
      </c>
      <c r="N180" s="257">
        <v>23585.16</v>
      </c>
    </row>
    <row r="181" spans="1:14" s="143" customFormat="1" hidden="1" x14ac:dyDescent="0.25">
      <c r="A181" s="143" t="s">
        <v>706</v>
      </c>
      <c r="B181" s="143" t="s">
        <v>132</v>
      </c>
      <c r="C181" s="143" t="s">
        <v>133</v>
      </c>
      <c r="D181" s="143" t="s">
        <v>69</v>
      </c>
      <c r="E181" s="257">
        <v>3786130</v>
      </c>
      <c r="F181" s="257">
        <v>3786130</v>
      </c>
      <c r="G181" s="257">
        <v>1893066</v>
      </c>
      <c r="H181" s="257">
        <v>0</v>
      </c>
      <c r="I181" s="257">
        <v>177669.79</v>
      </c>
      <c r="J181" s="257">
        <v>0</v>
      </c>
      <c r="K181" s="257">
        <v>136488.13</v>
      </c>
      <c r="L181" s="257">
        <v>120335.91</v>
      </c>
      <c r="M181" s="257">
        <v>3471972.08</v>
      </c>
      <c r="N181" s="257">
        <v>1578908.08</v>
      </c>
    </row>
    <row r="182" spans="1:14" s="143" customFormat="1" hidden="1" x14ac:dyDescent="0.25">
      <c r="A182" s="143" t="s">
        <v>706</v>
      </c>
      <c r="B182" s="143" t="s">
        <v>134</v>
      </c>
      <c r="C182" s="143" t="s">
        <v>135</v>
      </c>
      <c r="D182" s="143" t="s">
        <v>69</v>
      </c>
      <c r="E182" s="257">
        <v>385113260</v>
      </c>
      <c r="F182" s="257">
        <v>386113260</v>
      </c>
      <c r="G182" s="257">
        <v>214256630</v>
      </c>
      <c r="H182" s="257">
        <v>0</v>
      </c>
      <c r="I182" s="257">
        <v>71714712.540000007</v>
      </c>
      <c r="J182" s="257">
        <v>572468.82999999996</v>
      </c>
      <c r="K182" s="257">
        <v>139706813.53999999</v>
      </c>
      <c r="L182" s="257">
        <v>106326070.8</v>
      </c>
      <c r="M182" s="257">
        <v>174119265.09</v>
      </c>
      <c r="N182" s="257">
        <v>2262635.09</v>
      </c>
    </row>
    <row r="183" spans="1:14" s="143" customFormat="1" hidden="1" x14ac:dyDescent="0.25">
      <c r="A183" s="143" t="s">
        <v>706</v>
      </c>
      <c r="B183" s="143" t="s">
        <v>306</v>
      </c>
      <c r="C183" s="143" t="s">
        <v>307</v>
      </c>
      <c r="D183" s="143" t="s">
        <v>69</v>
      </c>
      <c r="E183" s="257">
        <v>2000000</v>
      </c>
      <c r="F183" s="257">
        <v>2000000</v>
      </c>
      <c r="G183" s="257">
        <v>1000000</v>
      </c>
      <c r="H183" s="257">
        <v>0</v>
      </c>
      <c r="I183" s="257">
        <v>0</v>
      </c>
      <c r="J183" s="257">
        <v>0</v>
      </c>
      <c r="K183" s="257">
        <v>0</v>
      </c>
      <c r="L183" s="257">
        <v>0</v>
      </c>
      <c r="M183" s="257">
        <v>2000000</v>
      </c>
      <c r="N183" s="257">
        <v>1000000</v>
      </c>
    </row>
    <row r="184" spans="1:14" s="143" customFormat="1" hidden="1" x14ac:dyDescent="0.25">
      <c r="A184" s="143" t="s">
        <v>706</v>
      </c>
      <c r="B184" s="143" t="s">
        <v>136</v>
      </c>
      <c r="C184" s="143" t="s">
        <v>137</v>
      </c>
      <c r="D184" s="143" t="s">
        <v>69</v>
      </c>
      <c r="E184" s="257">
        <v>373281100</v>
      </c>
      <c r="F184" s="257">
        <v>373281100</v>
      </c>
      <c r="G184" s="257">
        <v>203240550</v>
      </c>
      <c r="H184" s="257">
        <v>0</v>
      </c>
      <c r="I184" s="257">
        <v>69069485.469999999</v>
      </c>
      <c r="J184" s="257">
        <v>0</v>
      </c>
      <c r="K184" s="257">
        <v>133522970.95</v>
      </c>
      <c r="L184" s="257">
        <v>100142228.20999999</v>
      </c>
      <c r="M184" s="257">
        <v>170688643.58000001</v>
      </c>
      <c r="N184" s="257">
        <v>648093.57999999996</v>
      </c>
    </row>
    <row r="185" spans="1:14" s="143" customFormat="1" hidden="1" x14ac:dyDescent="0.25">
      <c r="A185" s="143" t="s">
        <v>706</v>
      </c>
      <c r="B185" s="143" t="s">
        <v>138</v>
      </c>
      <c r="C185" s="143" t="s">
        <v>139</v>
      </c>
      <c r="D185" s="143" t="s">
        <v>69</v>
      </c>
      <c r="E185" s="257">
        <v>9832160</v>
      </c>
      <c r="F185" s="257">
        <v>10832160</v>
      </c>
      <c r="G185" s="257">
        <v>10016080</v>
      </c>
      <c r="H185" s="257">
        <v>0</v>
      </c>
      <c r="I185" s="257">
        <v>2645227.0699999998</v>
      </c>
      <c r="J185" s="257">
        <v>572468.82999999996</v>
      </c>
      <c r="K185" s="257">
        <v>6183842.5899999999</v>
      </c>
      <c r="L185" s="257">
        <v>6183842.5899999999</v>
      </c>
      <c r="M185" s="257">
        <v>1430621.51</v>
      </c>
      <c r="N185" s="257">
        <v>614541.51</v>
      </c>
    </row>
    <row r="186" spans="1:14" s="143" customFormat="1" hidden="1" x14ac:dyDescent="0.25">
      <c r="A186" s="143" t="s">
        <v>706</v>
      </c>
      <c r="B186" s="143" t="s">
        <v>140</v>
      </c>
      <c r="C186" s="143" t="s">
        <v>141</v>
      </c>
      <c r="D186" s="143" t="s">
        <v>69</v>
      </c>
      <c r="E186" s="257">
        <v>35800000</v>
      </c>
      <c r="F186" s="257">
        <v>35800000</v>
      </c>
      <c r="G186" s="257">
        <v>20921616</v>
      </c>
      <c r="H186" s="257">
        <v>0</v>
      </c>
      <c r="I186" s="257">
        <v>4375188.2699999996</v>
      </c>
      <c r="J186" s="257">
        <v>0</v>
      </c>
      <c r="K186" s="257">
        <v>4539911.7300000004</v>
      </c>
      <c r="L186" s="257">
        <v>4539911.7300000004</v>
      </c>
      <c r="M186" s="257">
        <v>26884900</v>
      </c>
      <c r="N186" s="257">
        <v>12006516</v>
      </c>
    </row>
    <row r="187" spans="1:14" s="143" customFormat="1" hidden="1" x14ac:dyDescent="0.25">
      <c r="A187" s="143" t="s">
        <v>706</v>
      </c>
      <c r="B187" s="143" t="s">
        <v>142</v>
      </c>
      <c r="C187" s="143" t="s">
        <v>143</v>
      </c>
      <c r="D187" s="143" t="s">
        <v>69</v>
      </c>
      <c r="E187" s="257">
        <v>1800000</v>
      </c>
      <c r="F187" s="257">
        <v>1800000</v>
      </c>
      <c r="G187" s="257">
        <v>1262575</v>
      </c>
      <c r="H187" s="257">
        <v>0</v>
      </c>
      <c r="I187" s="257">
        <v>428488.27</v>
      </c>
      <c r="J187" s="257">
        <v>0</v>
      </c>
      <c r="K187" s="257">
        <v>271511.73</v>
      </c>
      <c r="L187" s="257">
        <v>271511.73</v>
      </c>
      <c r="M187" s="257">
        <v>1100000</v>
      </c>
      <c r="N187" s="257">
        <v>562575</v>
      </c>
    </row>
    <row r="188" spans="1:14" s="143" customFormat="1" hidden="1" x14ac:dyDescent="0.25">
      <c r="A188" s="143" t="s">
        <v>706</v>
      </c>
      <c r="B188" s="143" t="s">
        <v>144</v>
      </c>
      <c r="C188" s="143" t="s">
        <v>145</v>
      </c>
      <c r="D188" s="143" t="s">
        <v>69</v>
      </c>
      <c r="E188" s="257">
        <v>34000000</v>
      </c>
      <c r="F188" s="257">
        <v>34000000</v>
      </c>
      <c r="G188" s="257">
        <v>19659041</v>
      </c>
      <c r="H188" s="257">
        <v>0</v>
      </c>
      <c r="I188" s="257">
        <v>3946700</v>
      </c>
      <c r="J188" s="257">
        <v>0</v>
      </c>
      <c r="K188" s="257">
        <v>4268400</v>
      </c>
      <c r="L188" s="257">
        <v>4268400</v>
      </c>
      <c r="M188" s="257">
        <v>25784900</v>
      </c>
      <c r="N188" s="257">
        <v>11443941</v>
      </c>
    </row>
    <row r="189" spans="1:14" s="143" customFormat="1" hidden="1" x14ac:dyDescent="0.25">
      <c r="A189" s="143" t="s">
        <v>706</v>
      </c>
      <c r="B189" s="143" t="s">
        <v>150</v>
      </c>
      <c r="C189" s="143" t="s">
        <v>151</v>
      </c>
      <c r="D189" s="143" t="s">
        <v>69</v>
      </c>
      <c r="E189" s="257">
        <v>113000000</v>
      </c>
      <c r="F189" s="257">
        <v>113000000</v>
      </c>
      <c r="G189" s="257">
        <v>48692450</v>
      </c>
      <c r="H189" s="257">
        <v>0</v>
      </c>
      <c r="I189" s="257">
        <v>403.72</v>
      </c>
      <c r="J189" s="257">
        <v>0</v>
      </c>
      <c r="K189" s="257">
        <v>19900839.82</v>
      </c>
      <c r="L189" s="257">
        <v>19900839.82</v>
      </c>
      <c r="M189" s="257">
        <v>93098756.459999993</v>
      </c>
      <c r="N189" s="257">
        <v>28791206.460000001</v>
      </c>
    </row>
    <row r="190" spans="1:14" s="143" customFormat="1" hidden="1" x14ac:dyDescent="0.25">
      <c r="A190" s="143" t="s">
        <v>706</v>
      </c>
      <c r="B190" s="143" t="s">
        <v>152</v>
      </c>
      <c r="C190" s="143" t="s">
        <v>153</v>
      </c>
      <c r="D190" s="143" t="s">
        <v>69</v>
      </c>
      <c r="E190" s="257">
        <v>113000000</v>
      </c>
      <c r="F190" s="257">
        <v>113000000</v>
      </c>
      <c r="G190" s="257">
        <v>48692450</v>
      </c>
      <c r="H190" s="257">
        <v>0</v>
      </c>
      <c r="I190" s="257">
        <v>403.72</v>
      </c>
      <c r="J190" s="257">
        <v>0</v>
      </c>
      <c r="K190" s="257">
        <v>19900839.82</v>
      </c>
      <c r="L190" s="257">
        <v>19900839.82</v>
      </c>
      <c r="M190" s="257">
        <v>93098756.459999993</v>
      </c>
      <c r="N190" s="257">
        <v>28791206.460000001</v>
      </c>
    </row>
    <row r="191" spans="1:14" s="143" customFormat="1" hidden="1" x14ac:dyDescent="0.25">
      <c r="A191" s="143" t="s">
        <v>706</v>
      </c>
      <c r="B191" s="143" t="s">
        <v>162</v>
      </c>
      <c r="C191" s="143" t="s">
        <v>163</v>
      </c>
      <c r="D191" s="143" t="s">
        <v>69</v>
      </c>
      <c r="E191" s="257">
        <v>119064370</v>
      </c>
      <c r="F191" s="257">
        <v>118914852.09999999</v>
      </c>
      <c r="G191" s="257">
        <v>51382668.100000001</v>
      </c>
      <c r="H191" s="257">
        <v>0</v>
      </c>
      <c r="I191" s="257">
        <v>12626139.630000001</v>
      </c>
      <c r="J191" s="257">
        <v>2818992.28</v>
      </c>
      <c r="K191" s="257">
        <v>8857132.9600000009</v>
      </c>
      <c r="L191" s="257">
        <v>6587151.2999999998</v>
      </c>
      <c r="M191" s="257">
        <v>94612587.230000004</v>
      </c>
      <c r="N191" s="257">
        <v>27080403.23</v>
      </c>
    </row>
    <row r="192" spans="1:14" s="143" customFormat="1" hidden="1" x14ac:dyDescent="0.25">
      <c r="A192" s="143" t="s">
        <v>706</v>
      </c>
      <c r="B192" s="143" t="s">
        <v>310</v>
      </c>
      <c r="C192" s="143" t="s">
        <v>311</v>
      </c>
      <c r="D192" s="143" t="s">
        <v>69</v>
      </c>
      <c r="E192" s="257">
        <v>25816590</v>
      </c>
      <c r="F192" s="257">
        <v>25816590</v>
      </c>
      <c r="G192" s="257">
        <v>9908296</v>
      </c>
      <c r="H192" s="257">
        <v>0</v>
      </c>
      <c r="I192" s="257">
        <v>1637912.08</v>
      </c>
      <c r="J192" s="257">
        <v>0</v>
      </c>
      <c r="K192" s="257">
        <v>527145</v>
      </c>
      <c r="L192" s="257">
        <v>351430</v>
      </c>
      <c r="M192" s="257">
        <v>23651532.920000002</v>
      </c>
      <c r="N192" s="257">
        <v>7743238.9199999999</v>
      </c>
    </row>
    <row r="193" spans="1:14" s="143" customFormat="1" hidden="1" x14ac:dyDescent="0.25">
      <c r="A193" s="143" t="s">
        <v>706</v>
      </c>
      <c r="B193" s="143" t="s">
        <v>164</v>
      </c>
      <c r="C193" s="143" t="s">
        <v>165</v>
      </c>
      <c r="D193" s="143" t="s">
        <v>69</v>
      </c>
      <c r="E193" s="257">
        <v>4358000</v>
      </c>
      <c r="F193" s="257">
        <v>4358000</v>
      </c>
      <c r="G193" s="257">
        <v>2179000</v>
      </c>
      <c r="H193" s="257">
        <v>0</v>
      </c>
      <c r="I193" s="257">
        <v>914779.08</v>
      </c>
      <c r="J193" s="257">
        <v>0</v>
      </c>
      <c r="K193" s="257">
        <v>404222.19</v>
      </c>
      <c r="L193" s="257">
        <v>404222.19</v>
      </c>
      <c r="M193" s="257">
        <v>3038998.73</v>
      </c>
      <c r="N193" s="257">
        <v>859998.73</v>
      </c>
    </row>
    <row r="194" spans="1:14" s="143" customFormat="1" hidden="1" x14ac:dyDescent="0.25">
      <c r="A194" s="143" t="s">
        <v>706</v>
      </c>
      <c r="B194" s="143" t="s">
        <v>166</v>
      </c>
      <c r="C194" s="143" t="s">
        <v>167</v>
      </c>
      <c r="D194" s="143" t="s">
        <v>69</v>
      </c>
      <c r="E194" s="257">
        <v>28300000</v>
      </c>
      <c r="F194" s="257">
        <v>28150482.100000001</v>
      </c>
      <c r="G194" s="257">
        <v>9000482.0999999996</v>
      </c>
      <c r="H194" s="257">
        <v>0</v>
      </c>
      <c r="I194" s="257">
        <v>5037331.3099999996</v>
      </c>
      <c r="J194" s="257">
        <v>0</v>
      </c>
      <c r="K194" s="257">
        <v>1488193.14</v>
      </c>
      <c r="L194" s="257">
        <v>1488193.14</v>
      </c>
      <c r="M194" s="257">
        <v>21624957.649999999</v>
      </c>
      <c r="N194" s="257">
        <v>2474957.65</v>
      </c>
    </row>
    <row r="195" spans="1:14" s="143" customFormat="1" hidden="1" x14ac:dyDescent="0.25">
      <c r="A195" s="143" t="s">
        <v>706</v>
      </c>
      <c r="B195" s="143" t="s">
        <v>312</v>
      </c>
      <c r="C195" s="143" t="s">
        <v>313</v>
      </c>
      <c r="D195" s="143" t="s">
        <v>69</v>
      </c>
      <c r="E195" s="257">
        <v>8695420</v>
      </c>
      <c r="F195" s="257">
        <v>8695420</v>
      </c>
      <c r="G195" s="257">
        <v>4347710</v>
      </c>
      <c r="H195" s="257">
        <v>0</v>
      </c>
      <c r="I195" s="257">
        <v>344250.91</v>
      </c>
      <c r="J195" s="257">
        <v>0</v>
      </c>
      <c r="K195" s="257">
        <v>1250872.6299999999</v>
      </c>
      <c r="L195" s="257">
        <v>309205.96999999997</v>
      </c>
      <c r="M195" s="257">
        <v>7100296.46</v>
      </c>
      <c r="N195" s="257">
        <v>2752586.46</v>
      </c>
    </row>
    <row r="196" spans="1:14" s="143" customFormat="1" hidden="1" x14ac:dyDescent="0.25">
      <c r="A196" s="143" t="s">
        <v>706</v>
      </c>
      <c r="B196" s="143" t="s">
        <v>168</v>
      </c>
      <c r="C196" s="143" t="s">
        <v>169</v>
      </c>
      <c r="D196" s="143" t="s">
        <v>69</v>
      </c>
      <c r="E196" s="257">
        <v>19689160</v>
      </c>
      <c r="F196" s="257">
        <v>19689160</v>
      </c>
      <c r="G196" s="257">
        <v>9844580</v>
      </c>
      <c r="H196" s="257">
        <v>0</v>
      </c>
      <c r="I196" s="257">
        <v>1311409.29</v>
      </c>
      <c r="J196" s="257">
        <v>1649437.08</v>
      </c>
      <c r="K196" s="257">
        <v>135600</v>
      </c>
      <c r="L196" s="257">
        <v>135600</v>
      </c>
      <c r="M196" s="257">
        <v>16592713.630000001</v>
      </c>
      <c r="N196" s="257">
        <v>6748133.6299999999</v>
      </c>
    </row>
    <row r="197" spans="1:14" s="143" customFormat="1" hidden="1" x14ac:dyDescent="0.25">
      <c r="A197" s="143" t="s">
        <v>706</v>
      </c>
      <c r="B197" s="143" t="s">
        <v>170</v>
      </c>
      <c r="C197" s="143" t="s">
        <v>171</v>
      </c>
      <c r="D197" s="143" t="s">
        <v>69</v>
      </c>
      <c r="E197" s="257">
        <v>26663380</v>
      </c>
      <c r="F197" s="257">
        <v>26663380</v>
      </c>
      <c r="G197" s="257">
        <v>13331690</v>
      </c>
      <c r="H197" s="257">
        <v>0</v>
      </c>
      <c r="I197" s="257">
        <v>3227721.67</v>
      </c>
      <c r="J197" s="257">
        <v>0</v>
      </c>
      <c r="K197" s="257">
        <v>5051100</v>
      </c>
      <c r="L197" s="257">
        <v>3898500</v>
      </c>
      <c r="M197" s="257">
        <v>18384558.329999998</v>
      </c>
      <c r="N197" s="257">
        <v>5052868.33</v>
      </c>
    </row>
    <row r="198" spans="1:14" s="143" customFormat="1" hidden="1" x14ac:dyDescent="0.25">
      <c r="A198" s="143" t="s">
        <v>706</v>
      </c>
      <c r="B198" s="143" t="s">
        <v>172</v>
      </c>
      <c r="C198" s="143" t="s">
        <v>173</v>
      </c>
      <c r="D198" s="143" t="s">
        <v>69</v>
      </c>
      <c r="E198" s="257">
        <v>5541820</v>
      </c>
      <c r="F198" s="257">
        <v>5541820</v>
      </c>
      <c r="G198" s="257">
        <v>2770910</v>
      </c>
      <c r="H198" s="257">
        <v>0</v>
      </c>
      <c r="I198" s="257">
        <v>152735.29</v>
      </c>
      <c r="J198" s="257">
        <v>1169555.2</v>
      </c>
      <c r="K198" s="257">
        <v>0</v>
      </c>
      <c r="L198" s="257">
        <v>0</v>
      </c>
      <c r="M198" s="257">
        <v>4219529.51</v>
      </c>
      <c r="N198" s="257">
        <v>1448619.51</v>
      </c>
    </row>
    <row r="199" spans="1:14" s="143" customFormat="1" hidden="1" x14ac:dyDescent="0.25">
      <c r="A199" s="143" t="s">
        <v>706</v>
      </c>
      <c r="B199" s="143" t="s">
        <v>174</v>
      </c>
      <c r="C199" s="143" t="s">
        <v>175</v>
      </c>
      <c r="D199" s="143" t="s">
        <v>69</v>
      </c>
      <c r="E199" s="257">
        <v>1525000</v>
      </c>
      <c r="F199" s="257">
        <v>1525000</v>
      </c>
      <c r="G199" s="257">
        <v>973500</v>
      </c>
      <c r="H199" s="257">
        <v>0</v>
      </c>
      <c r="I199" s="257">
        <v>586167</v>
      </c>
      <c r="J199" s="257">
        <v>0</v>
      </c>
      <c r="K199" s="257">
        <v>1375</v>
      </c>
      <c r="L199" s="257">
        <v>1375</v>
      </c>
      <c r="M199" s="257">
        <v>937458</v>
      </c>
      <c r="N199" s="257">
        <v>385958</v>
      </c>
    </row>
    <row r="200" spans="1:14" s="143" customFormat="1" hidden="1" x14ac:dyDescent="0.25">
      <c r="A200" s="143" t="s">
        <v>706</v>
      </c>
      <c r="B200" s="143" t="s">
        <v>176</v>
      </c>
      <c r="C200" s="143" t="s">
        <v>177</v>
      </c>
      <c r="D200" s="143" t="s">
        <v>69</v>
      </c>
      <c r="E200" s="257">
        <v>1525000</v>
      </c>
      <c r="F200" s="257">
        <v>1525000</v>
      </c>
      <c r="G200" s="257">
        <v>973500</v>
      </c>
      <c r="H200" s="257">
        <v>0</v>
      </c>
      <c r="I200" s="257">
        <v>586167</v>
      </c>
      <c r="J200" s="257">
        <v>0</v>
      </c>
      <c r="K200" s="257">
        <v>1375</v>
      </c>
      <c r="L200" s="257">
        <v>1375</v>
      </c>
      <c r="M200" s="257">
        <v>937458</v>
      </c>
      <c r="N200" s="257">
        <v>385958</v>
      </c>
    </row>
    <row r="201" spans="1:14" s="143" customFormat="1" hidden="1" x14ac:dyDescent="0.25">
      <c r="A201" s="143" t="s">
        <v>706</v>
      </c>
      <c r="B201" s="143" t="s">
        <v>178</v>
      </c>
      <c r="C201" s="143" t="s">
        <v>179</v>
      </c>
      <c r="D201" s="143" t="s">
        <v>69</v>
      </c>
      <c r="E201" s="257">
        <v>2200000</v>
      </c>
      <c r="F201" s="257">
        <v>2200000</v>
      </c>
      <c r="G201" s="257">
        <v>1200000</v>
      </c>
      <c r="H201" s="257">
        <v>0</v>
      </c>
      <c r="I201" s="257">
        <v>350000</v>
      </c>
      <c r="J201" s="257">
        <v>0</v>
      </c>
      <c r="K201" s="257">
        <v>0</v>
      </c>
      <c r="L201" s="257">
        <v>0</v>
      </c>
      <c r="M201" s="257">
        <v>1850000</v>
      </c>
      <c r="N201" s="257">
        <v>850000</v>
      </c>
    </row>
    <row r="202" spans="1:14" s="143" customFormat="1" hidden="1" x14ac:dyDescent="0.25">
      <c r="A202" s="143" t="s">
        <v>706</v>
      </c>
      <c r="B202" s="143" t="s">
        <v>180</v>
      </c>
      <c r="C202" s="143" t="s">
        <v>181</v>
      </c>
      <c r="D202" s="143" t="s">
        <v>69</v>
      </c>
      <c r="E202" s="257">
        <v>200000</v>
      </c>
      <c r="F202" s="257">
        <v>200000</v>
      </c>
      <c r="G202" s="257">
        <v>200000</v>
      </c>
      <c r="H202" s="257">
        <v>0</v>
      </c>
      <c r="I202" s="257">
        <v>150000</v>
      </c>
      <c r="J202" s="257">
        <v>0</v>
      </c>
      <c r="K202" s="257">
        <v>0</v>
      </c>
      <c r="L202" s="257">
        <v>0</v>
      </c>
      <c r="M202" s="257">
        <v>50000</v>
      </c>
      <c r="N202" s="257">
        <v>50000</v>
      </c>
    </row>
    <row r="203" spans="1:14" s="143" customFormat="1" hidden="1" x14ac:dyDescent="0.25">
      <c r="A203" s="143" t="s">
        <v>706</v>
      </c>
      <c r="B203" s="143" t="s">
        <v>182</v>
      </c>
      <c r="C203" s="143" t="s">
        <v>183</v>
      </c>
      <c r="D203" s="143" t="s">
        <v>69</v>
      </c>
      <c r="E203" s="257">
        <v>2000000</v>
      </c>
      <c r="F203" s="257">
        <v>2000000</v>
      </c>
      <c r="G203" s="257">
        <v>1000000</v>
      </c>
      <c r="H203" s="257">
        <v>0</v>
      </c>
      <c r="I203" s="257">
        <v>200000</v>
      </c>
      <c r="J203" s="257">
        <v>0</v>
      </c>
      <c r="K203" s="257">
        <v>0</v>
      </c>
      <c r="L203" s="257">
        <v>0</v>
      </c>
      <c r="M203" s="257">
        <v>1800000</v>
      </c>
      <c r="N203" s="257">
        <v>800000</v>
      </c>
    </row>
    <row r="204" spans="1:14" s="143" customFormat="1" hidden="1" x14ac:dyDescent="0.25">
      <c r="A204" s="143" t="s">
        <v>706</v>
      </c>
      <c r="B204" s="143" t="s">
        <v>184</v>
      </c>
      <c r="C204" s="143" t="s">
        <v>185</v>
      </c>
      <c r="D204" s="143" t="s">
        <v>69</v>
      </c>
      <c r="E204" s="257">
        <v>56348380</v>
      </c>
      <c r="F204" s="257">
        <v>50848380</v>
      </c>
      <c r="G204" s="257">
        <v>33376190</v>
      </c>
      <c r="H204" s="257">
        <v>3459023.75</v>
      </c>
      <c r="I204" s="257">
        <v>4030232.86</v>
      </c>
      <c r="J204" s="257">
        <v>1302308.43</v>
      </c>
      <c r="K204" s="257">
        <v>6451283.4699999997</v>
      </c>
      <c r="L204" s="257">
        <v>6451283.4699999997</v>
      </c>
      <c r="M204" s="257">
        <v>35605531.490000002</v>
      </c>
      <c r="N204" s="257">
        <v>18133341.489999998</v>
      </c>
    </row>
    <row r="205" spans="1:14" s="143" customFormat="1" hidden="1" x14ac:dyDescent="0.25">
      <c r="A205" s="143" t="s">
        <v>706</v>
      </c>
      <c r="B205" s="143" t="s">
        <v>186</v>
      </c>
      <c r="C205" s="143" t="s">
        <v>187</v>
      </c>
      <c r="D205" s="143" t="s">
        <v>69</v>
      </c>
      <c r="E205" s="257">
        <v>30858480</v>
      </c>
      <c r="F205" s="257">
        <v>29358480</v>
      </c>
      <c r="G205" s="257">
        <v>16261440</v>
      </c>
      <c r="H205" s="257">
        <v>2994310</v>
      </c>
      <c r="I205" s="257">
        <v>2473972.98</v>
      </c>
      <c r="J205" s="257">
        <v>0</v>
      </c>
      <c r="K205" s="257">
        <v>3994896.14</v>
      </c>
      <c r="L205" s="257">
        <v>3994896.14</v>
      </c>
      <c r="M205" s="257">
        <v>19895300.879999999</v>
      </c>
      <c r="N205" s="257">
        <v>6798260.8799999999</v>
      </c>
    </row>
    <row r="206" spans="1:14" s="143" customFormat="1" hidden="1" x14ac:dyDescent="0.25">
      <c r="A206" s="143" t="s">
        <v>706</v>
      </c>
      <c r="B206" s="143" t="s">
        <v>188</v>
      </c>
      <c r="C206" s="143" t="s">
        <v>189</v>
      </c>
      <c r="D206" s="143" t="s">
        <v>69</v>
      </c>
      <c r="E206" s="257">
        <v>25379000</v>
      </c>
      <c r="F206" s="257">
        <v>25379000</v>
      </c>
      <c r="G206" s="257">
        <v>12769500</v>
      </c>
      <c r="H206" s="257">
        <v>0</v>
      </c>
      <c r="I206" s="257">
        <v>2416168.86</v>
      </c>
      <c r="J206" s="257">
        <v>0</v>
      </c>
      <c r="K206" s="257">
        <v>3983831.14</v>
      </c>
      <c r="L206" s="257">
        <v>3983831.14</v>
      </c>
      <c r="M206" s="257">
        <v>18979000</v>
      </c>
      <c r="N206" s="257">
        <v>6369500</v>
      </c>
    </row>
    <row r="207" spans="1:14" s="143" customFormat="1" hidden="1" x14ac:dyDescent="0.25">
      <c r="A207" s="143" t="s">
        <v>706</v>
      </c>
      <c r="B207" s="143" t="s">
        <v>190</v>
      </c>
      <c r="C207" s="143" t="s">
        <v>191</v>
      </c>
      <c r="D207" s="143" t="s">
        <v>69</v>
      </c>
      <c r="E207" s="257">
        <v>231600</v>
      </c>
      <c r="F207" s="257">
        <v>231600</v>
      </c>
      <c r="G207" s="257">
        <v>168000</v>
      </c>
      <c r="H207" s="257">
        <v>0</v>
      </c>
      <c r="I207" s="257">
        <v>0</v>
      </c>
      <c r="J207" s="257">
        <v>0</v>
      </c>
      <c r="K207" s="257">
        <v>0</v>
      </c>
      <c r="L207" s="257">
        <v>0</v>
      </c>
      <c r="M207" s="257">
        <v>231600</v>
      </c>
      <c r="N207" s="257">
        <v>168000</v>
      </c>
    </row>
    <row r="208" spans="1:14" s="143" customFormat="1" hidden="1" x14ac:dyDescent="0.25">
      <c r="A208" s="143" t="s">
        <v>706</v>
      </c>
      <c r="B208" s="143" t="s">
        <v>192</v>
      </c>
      <c r="C208" s="143" t="s">
        <v>193</v>
      </c>
      <c r="D208" s="143" t="s">
        <v>69</v>
      </c>
      <c r="E208" s="257">
        <v>4850880</v>
      </c>
      <c r="F208" s="257">
        <v>3350880</v>
      </c>
      <c r="G208" s="257">
        <v>3125440</v>
      </c>
      <c r="H208" s="257">
        <v>2994310</v>
      </c>
      <c r="I208" s="257">
        <v>57804.12</v>
      </c>
      <c r="J208" s="257">
        <v>0</v>
      </c>
      <c r="K208" s="257">
        <v>11065</v>
      </c>
      <c r="L208" s="257">
        <v>11065</v>
      </c>
      <c r="M208" s="257">
        <v>287700.88</v>
      </c>
      <c r="N208" s="257">
        <v>62260.88</v>
      </c>
    </row>
    <row r="209" spans="1:14" s="143" customFormat="1" hidden="1" x14ac:dyDescent="0.25">
      <c r="A209" s="143" t="s">
        <v>706</v>
      </c>
      <c r="B209" s="143" t="s">
        <v>194</v>
      </c>
      <c r="C209" s="143" t="s">
        <v>195</v>
      </c>
      <c r="D209" s="143" t="s">
        <v>69</v>
      </c>
      <c r="E209" s="257">
        <v>397000</v>
      </c>
      <c r="F209" s="257">
        <v>397000</v>
      </c>
      <c r="G209" s="257">
        <v>198500</v>
      </c>
      <c r="H209" s="257">
        <v>0</v>
      </c>
      <c r="I209" s="257">
        <v>0</v>
      </c>
      <c r="J209" s="257">
        <v>0</v>
      </c>
      <c r="K209" s="257">
        <v>0</v>
      </c>
      <c r="L209" s="257">
        <v>0</v>
      </c>
      <c r="M209" s="257">
        <v>397000</v>
      </c>
      <c r="N209" s="257">
        <v>198500</v>
      </c>
    </row>
    <row r="210" spans="1:14" s="143" customFormat="1" hidden="1" x14ac:dyDescent="0.25">
      <c r="A210" s="143" t="s">
        <v>706</v>
      </c>
      <c r="B210" s="143" t="s">
        <v>200</v>
      </c>
      <c r="C210" s="143" t="s">
        <v>201</v>
      </c>
      <c r="D210" s="143" t="s">
        <v>69</v>
      </c>
      <c r="E210" s="257">
        <v>5536500</v>
      </c>
      <c r="F210" s="257">
        <v>5536500</v>
      </c>
      <c r="G210" s="257">
        <v>5436500</v>
      </c>
      <c r="H210" s="257">
        <v>328581.40000000002</v>
      </c>
      <c r="I210" s="257">
        <v>3160</v>
      </c>
      <c r="J210" s="257">
        <v>0</v>
      </c>
      <c r="K210" s="257">
        <v>483923</v>
      </c>
      <c r="L210" s="257">
        <v>483923</v>
      </c>
      <c r="M210" s="257">
        <v>4720835.5999999996</v>
      </c>
      <c r="N210" s="257">
        <v>4620835.5999999996</v>
      </c>
    </row>
    <row r="211" spans="1:14" s="143" customFormat="1" hidden="1" x14ac:dyDescent="0.25">
      <c r="A211" s="143" t="s">
        <v>706</v>
      </c>
      <c r="B211" s="143" t="s">
        <v>314</v>
      </c>
      <c r="C211" s="143" t="s">
        <v>315</v>
      </c>
      <c r="D211" s="143" t="s">
        <v>69</v>
      </c>
      <c r="E211" s="257">
        <v>1274000</v>
      </c>
      <c r="F211" s="257">
        <v>1274000</v>
      </c>
      <c r="G211" s="257">
        <v>1274000</v>
      </c>
      <c r="H211" s="257">
        <v>0</v>
      </c>
      <c r="I211" s="257">
        <v>0</v>
      </c>
      <c r="J211" s="257">
        <v>0</v>
      </c>
      <c r="K211" s="257">
        <v>338498</v>
      </c>
      <c r="L211" s="257">
        <v>338498</v>
      </c>
      <c r="M211" s="257">
        <v>935502</v>
      </c>
      <c r="N211" s="257">
        <v>935502</v>
      </c>
    </row>
    <row r="212" spans="1:14" s="143" customFormat="1" hidden="1" x14ac:dyDescent="0.25">
      <c r="A212" s="143" t="s">
        <v>706</v>
      </c>
      <c r="B212" s="143" t="s">
        <v>316</v>
      </c>
      <c r="C212" s="143" t="s">
        <v>317</v>
      </c>
      <c r="D212" s="143" t="s">
        <v>69</v>
      </c>
      <c r="E212" s="257">
        <v>290000</v>
      </c>
      <c r="F212" s="257">
        <v>290000</v>
      </c>
      <c r="G212" s="257">
        <v>190000</v>
      </c>
      <c r="H212" s="257">
        <v>0</v>
      </c>
      <c r="I212" s="257">
        <v>0</v>
      </c>
      <c r="J212" s="257">
        <v>0</v>
      </c>
      <c r="K212" s="257">
        <v>0</v>
      </c>
      <c r="L212" s="257">
        <v>0</v>
      </c>
      <c r="M212" s="257">
        <v>290000</v>
      </c>
      <c r="N212" s="257">
        <v>190000</v>
      </c>
    </row>
    <row r="213" spans="1:14" s="143" customFormat="1" hidden="1" x14ac:dyDescent="0.25">
      <c r="A213" s="143" t="s">
        <v>706</v>
      </c>
      <c r="B213" s="143" t="s">
        <v>318</v>
      </c>
      <c r="C213" s="143" t="s">
        <v>319</v>
      </c>
      <c r="D213" s="143" t="s">
        <v>69</v>
      </c>
      <c r="E213" s="257">
        <v>100000</v>
      </c>
      <c r="F213" s="257">
        <v>100000</v>
      </c>
      <c r="G213" s="257">
        <v>100000</v>
      </c>
      <c r="H213" s="257">
        <v>0</v>
      </c>
      <c r="I213" s="257">
        <v>0</v>
      </c>
      <c r="J213" s="257">
        <v>0</v>
      </c>
      <c r="K213" s="257">
        <v>0</v>
      </c>
      <c r="L213" s="257">
        <v>0</v>
      </c>
      <c r="M213" s="257">
        <v>100000</v>
      </c>
      <c r="N213" s="257">
        <v>100000</v>
      </c>
    </row>
    <row r="214" spans="1:14" s="143" customFormat="1" hidden="1" x14ac:dyDescent="0.25">
      <c r="A214" s="143" t="s">
        <v>706</v>
      </c>
      <c r="B214" s="143" t="s">
        <v>202</v>
      </c>
      <c r="C214" s="143" t="s">
        <v>203</v>
      </c>
      <c r="D214" s="143" t="s">
        <v>69</v>
      </c>
      <c r="E214" s="257">
        <v>2782500</v>
      </c>
      <c r="F214" s="257">
        <v>2782500</v>
      </c>
      <c r="G214" s="257">
        <v>2782500</v>
      </c>
      <c r="H214" s="257">
        <v>328581.40000000002</v>
      </c>
      <c r="I214" s="257">
        <v>0</v>
      </c>
      <c r="J214" s="257">
        <v>0</v>
      </c>
      <c r="K214" s="257">
        <v>0</v>
      </c>
      <c r="L214" s="257">
        <v>0</v>
      </c>
      <c r="M214" s="257">
        <v>2453918.6</v>
      </c>
      <c r="N214" s="257">
        <v>2453918.6</v>
      </c>
    </row>
    <row r="215" spans="1:14" s="143" customFormat="1" hidden="1" x14ac:dyDescent="0.25">
      <c r="A215" s="143" t="s">
        <v>706</v>
      </c>
      <c r="B215" s="143" t="s">
        <v>204</v>
      </c>
      <c r="C215" s="143" t="s">
        <v>205</v>
      </c>
      <c r="D215" s="143" t="s">
        <v>69</v>
      </c>
      <c r="E215" s="257">
        <v>200000</v>
      </c>
      <c r="F215" s="257">
        <v>200000</v>
      </c>
      <c r="G215" s="257">
        <v>200000</v>
      </c>
      <c r="H215" s="257">
        <v>0</v>
      </c>
      <c r="I215" s="257">
        <v>0</v>
      </c>
      <c r="J215" s="257">
        <v>0</v>
      </c>
      <c r="K215" s="257">
        <v>0</v>
      </c>
      <c r="L215" s="257">
        <v>0</v>
      </c>
      <c r="M215" s="257">
        <v>200000</v>
      </c>
      <c r="N215" s="257">
        <v>200000</v>
      </c>
    </row>
    <row r="216" spans="1:14" s="143" customFormat="1" hidden="1" x14ac:dyDescent="0.25">
      <c r="A216" s="143" t="s">
        <v>706</v>
      </c>
      <c r="B216" s="143" t="s">
        <v>322</v>
      </c>
      <c r="C216" s="143" t="s">
        <v>323</v>
      </c>
      <c r="D216" s="143" t="s">
        <v>69</v>
      </c>
      <c r="E216" s="257">
        <v>890000</v>
      </c>
      <c r="F216" s="257">
        <v>890000</v>
      </c>
      <c r="G216" s="257">
        <v>890000</v>
      </c>
      <c r="H216" s="257">
        <v>0</v>
      </c>
      <c r="I216" s="257">
        <v>3160</v>
      </c>
      <c r="J216" s="257">
        <v>0</v>
      </c>
      <c r="K216" s="257">
        <v>145425</v>
      </c>
      <c r="L216" s="257">
        <v>145425</v>
      </c>
      <c r="M216" s="257">
        <v>741415</v>
      </c>
      <c r="N216" s="257">
        <v>741415</v>
      </c>
    </row>
    <row r="217" spans="1:14" s="143" customFormat="1" hidden="1" x14ac:dyDescent="0.25">
      <c r="A217" s="143" t="s">
        <v>706</v>
      </c>
      <c r="B217" s="143" t="s">
        <v>206</v>
      </c>
      <c r="C217" s="143" t="s">
        <v>207</v>
      </c>
      <c r="D217" s="143" t="s">
        <v>69</v>
      </c>
      <c r="E217" s="257">
        <v>3341900</v>
      </c>
      <c r="F217" s="257">
        <v>2341900</v>
      </c>
      <c r="G217" s="257">
        <v>670950</v>
      </c>
      <c r="H217" s="257">
        <v>0</v>
      </c>
      <c r="I217" s="257">
        <v>6280.17</v>
      </c>
      <c r="J217" s="257">
        <v>0</v>
      </c>
      <c r="K217" s="257">
        <v>111538.33</v>
      </c>
      <c r="L217" s="257">
        <v>111538.33</v>
      </c>
      <c r="M217" s="257">
        <v>2224081.5</v>
      </c>
      <c r="N217" s="257">
        <v>553131.5</v>
      </c>
    </row>
    <row r="218" spans="1:14" s="143" customFormat="1" hidden="1" x14ac:dyDescent="0.25">
      <c r="A218" s="143" t="s">
        <v>706</v>
      </c>
      <c r="B218" s="143" t="s">
        <v>208</v>
      </c>
      <c r="C218" s="143" t="s">
        <v>209</v>
      </c>
      <c r="D218" s="143" t="s">
        <v>69</v>
      </c>
      <c r="E218" s="257">
        <v>671900</v>
      </c>
      <c r="F218" s="257">
        <v>671900</v>
      </c>
      <c r="G218" s="257">
        <v>335950</v>
      </c>
      <c r="H218" s="257">
        <v>0</v>
      </c>
      <c r="I218" s="257">
        <v>0</v>
      </c>
      <c r="J218" s="257">
        <v>0</v>
      </c>
      <c r="K218" s="257">
        <v>45250</v>
      </c>
      <c r="L218" s="257">
        <v>45250</v>
      </c>
      <c r="M218" s="257">
        <v>626650</v>
      </c>
      <c r="N218" s="257">
        <v>290700</v>
      </c>
    </row>
    <row r="219" spans="1:14" s="143" customFormat="1" hidden="1" x14ac:dyDescent="0.25">
      <c r="A219" s="143" t="s">
        <v>706</v>
      </c>
      <c r="B219" s="143" t="s">
        <v>210</v>
      </c>
      <c r="C219" s="143" t="s">
        <v>211</v>
      </c>
      <c r="D219" s="143" t="s">
        <v>69</v>
      </c>
      <c r="E219" s="257">
        <v>2670000</v>
      </c>
      <c r="F219" s="257">
        <v>1670000</v>
      </c>
      <c r="G219" s="257">
        <v>335000</v>
      </c>
      <c r="H219" s="257">
        <v>0</v>
      </c>
      <c r="I219" s="257">
        <v>6280.17</v>
      </c>
      <c r="J219" s="257">
        <v>0</v>
      </c>
      <c r="K219" s="257">
        <v>66288.33</v>
      </c>
      <c r="L219" s="257">
        <v>66288.33</v>
      </c>
      <c r="M219" s="257">
        <v>1597431.5</v>
      </c>
      <c r="N219" s="257">
        <v>262431.5</v>
      </c>
    </row>
    <row r="220" spans="1:14" s="143" customFormat="1" hidden="1" x14ac:dyDescent="0.25">
      <c r="A220" s="143" t="s">
        <v>706</v>
      </c>
      <c r="B220" s="143" t="s">
        <v>212</v>
      </c>
      <c r="C220" s="143" t="s">
        <v>213</v>
      </c>
      <c r="D220" s="143" t="s">
        <v>69</v>
      </c>
      <c r="E220" s="257">
        <v>16611500</v>
      </c>
      <c r="F220" s="257">
        <v>13611500</v>
      </c>
      <c r="G220" s="257">
        <v>11007300</v>
      </c>
      <c r="H220" s="257">
        <v>136132.35</v>
      </c>
      <c r="I220" s="257">
        <v>1546819.71</v>
      </c>
      <c r="J220" s="257">
        <v>1302308.43</v>
      </c>
      <c r="K220" s="257">
        <v>1860926</v>
      </c>
      <c r="L220" s="257">
        <v>1860926</v>
      </c>
      <c r="M220" s="257">
        <v>8765313.5099999998</v>
      </c>
      <c r="N220" s="257">
        <v>6161113.5099999998</v>
      </c>
    </row>
    <row r="221" spans="1:14" s="143" customFormat="1" hidden="1" x14ac:dyDescent="0.25">
      <c r="A221" s="143" t="s">
        <v>706</v>
      </c>
      <c r="B221" s="143" t="s">
        <v>214</v>
      </c>
      <c r="C221" s="143" t="s">
        <v>215</v>
      </c>
      <c r="D221" s="143" t="s">
        <v>69</v>
      </c>
      <c r="E221" s="257">
        <v>5232000</v>
      </c>
      <c r="F221" s="257">
        <v>2232000</v>
      </c>
      <c r="G221" s="257">
        <v>2216000</v>
      </c>
      <c r="H221" s="257">
        <v>136132.35</v>
      </c>
      <c r="I221" s="257">
        <v>817749.69</v>
      </c>
      <c r="J221" s="257">
        <v>245789.23</v>
      </c>
      <c r="K221" s="257">
        <v>30288</v>
      </c>
      <c r="L221" s="257">
        <v>30288</v>
      </c>
      <c r="M221" s="257">
        <v>1002040.73</v>
      </c>
      <c r="N221" s="257">
        <v>986040.73</v>
      </c>
    </row>
    <row r="222" spans="1:14" s="143" customFormat="1" hidden="1" x14ac:dyDescent="0.25">
      <c r="A222" s="143" t="s">
        <v>706</v>
      </c>
      <c r="B222" s="143" t="s">
        <v>218</v>
      </c>
      <c r="C222" s="143" t="s">
        <v>219</v>
      </c>
      <c r="D222" s="143" t="s">
        <v>69</v>
      </c>
      <c r="E222" s="257">
        <v>6600000</v>
      </c>
      <c r="F222" s="257">
        <v>2600000</v>
      </c>
      <c r="G222" s="257">
        <v>2053000</v>
      </c>
      <c r="H222" s="257">
        <v>0</v>
      </c>
      <c r="I222" s="257">
        <v>726470.02</v>
      </c>
      <c r="J222" s="257">
        <v>1056519.2</v>
      </c>
      <c r="K222" s="257">
        <v>159078</v>
      </c>
      <c r="L222" s="257">
        <v>159078</v>
      </c>
      <c r="M222" s="257">
        <v>657932.78</v>
      </c>
      <c r="N222" s="257">
        <v>110932.78</v>
      </c>
    </row>
    <row r="223" spans="1:14" s="143" customFormat="1" hidden="1" x14ac:dyDescent="0.25">
      <c r="A223" s="143" t="s">
        <v>706</v>
      </c>
      <c r="B223" s="143" t="s">
        <v>220</v>
      </c>
      <c r="C223" s="143" t="s">
        <v>221</v>
      </c>
      <c r="D223" s="143" t="s">
        <v>69</v>
      </c>
      <c r="E223" s="257">
        <v>340000</v>
      </c>
      <c r="F223" s="257">
        <v>340000</v>
      </c>
      <c r="G223" s="257">
        <v>170000</v>
      </c>
      <c r="H223" s="257">
        <v>0</v>
      </c>
      <c r="I223" s="257">
        <v>0</v>
      </c>
      <c r="J223" s="257">
        <v>0</v>
      </c>
      <c r="K223" s="257">
        <v>0</v>
      </c>
      <c r="L223" s="257">
        <v>0</v>
      </c>
      <c r="M223" s="257">
        <v>340000</v>
      </c>
      <c r="N223" s="257">
        <v>170000</v>
      </c>
    </row>
    <row r="224" spans="1:14" s="143" customFormat="1" hidden="1" x14ac:dyDescent="0.25">
      <c r="A224" s="143" t="s">
        <v>706</v>
      </c>
      <c r="B224" s="143" t="s">
        <v>222</v>
      </c>
      <c r="C224" s="143" t="s">
        <v>223</v>
      </c>
      <c r="D224" s="143" t="s">
        <v>69</v>
      </c>
      <c r="E224" s="257">
        <v>1393100</v>
      </c>
      <c r="F224" s="257">
        <v>5393100</v>
      </c>
      <c r="G224" s="257">
        <v>5393100</v>
      </c>
      <c r="H224" s="257">
        <v>0</v>
      </c>
      <c r="I224" s="257">
        <v>0</v>
      </c>
      <c r="J224" s="257">
        <v>0</v>
      </c>
      <c r="K224" s="257">
        <v>1319720</v>
      </c>
      <c r="L224" s="257">
        <v>1319720</v>
      </c>
      <c r="M224" s="257">
        <v>4073380</v>
      </c>
      <c r="N224" s="257">
        <v>4073380</v>
      </c>
    </row>
    <row r="225" spans="1:14" s="143" customFormat="1" hidden="1" x14ac:dyDescent="0.25">
      <c r="A225" s="143" t="s">
        <v>706</v>
      </c>
      <c r="B225" s="143" t="s">
        <v>224</v>
      </c>
      <c r="C225" s="143" t="s">
        <v>225</v>
      </c>
      <c r="D225" s="143" t="s">
        <v>69</v>
      </c>
      <c r="E225" s="257">
        <v>2296200</v>
      </c>
      <c r="F225" s="257">
        <v>2296200</v>
      </c>
      <c r="G225" s="257">
        <v>648100</v>
      </c>
      <c r="H225" s="257">
        <v>0</v>
      </c>
      <c r="I225" s="257">
        <v>0</v>
      </c>
      <c r="J225" s="257">
        <v>0</v>
      </c>
      <c r="K225" s="257">
        <v>15000</v>
      </c>
      <c r="L225" s="257">
        <v>15000</v>
      </c>
      <c r="M225" s="257">
        <v>2281200</v>
      </c>
      <c r="N225" s="257">
        <v>633100</v>
      </c>
    </row>
    <row r="226" spans="1:14" s="143" customFormat="1" hidden="1" x14ac:dyDescent="0.25">
      <c r="A226" s="143" t="s">
        <v>706</v>
      </c>
      <c r="B226" s="143" t="s">
        <v>228</v>
      </c>
      <c r="C226" s="143" t="s">
        <v>229</v>
      </c>
      <c r="D226" s="143" t="s">
        <v>69</v>
      </c>
      <c r="E226" s="257">
        <v>750200</v>
      </c>
      <c r="F226" s="257">
        <v>750200</v>
      </c>
      <c r="G226" s="257">
        <v>527100</v>
      </c>
      <c r="H226" s="257">
        <v>0</v>
      </c>
      <c r="I226" s="257">
        <v>2600</v>
      </c>
      <c r="J226" s="257">
        <v>0</v>
      </c>
      <c r="K226" s="257">
        <v>336840</v>
      </c>
      <c r="L226" s="257">
        <v>336840</v>
      </c>
      <c r="M226" s="257">
        <v>410760</v>
      </c>
      <c r="N226" s="257">
        <v>187660</v>
      </c>
    </row>
    <row r="227" spans="1:14" s="143" customFormat="1" hidden="1" x14ac:dyDescent="0.25">
      <c r="A227" s="143" t="s">
        <v>706</v>
      </c>
      <c r="B227" s="143" t="s">
        <v>248</v>
      </c>
      <c r="C227" s="143" t="s">
        <v>249</v>
      </c>
      <c r="D227" s="143" t="s">
        <v>69</v>
      </c>
      <c r="E227" s="257">
        <v>218960452</v>
      </c>
      <c r="F227" s="257">
        <v>218520108</v>
      </c>
      <c r="G227" s="257">
        <v>47163470</v>
      </c>
      <c r="H227" s="257">
        <v>0</v>
      </c>
      <c r="I227" s="257">
        <v>10438775.51</v>
      </c>
      <c r="J227" s="257">
        <v>0</v>
      </c>
      <c r="K227" s="257">
        <v>7909498.4900000002</v>
      </c>
      <c r="L227" s="257">
        <v>7909498.4900000002</v>
      </c>
      <c r="M227" s="257">
        <v>200171834</v>
      </c>
      <c r="N227" s="257">
        <v>28815196</v>
      </c>
    </row>
    <row r="228" spans="1:14" s="143" customFormat="1" hidden="1" x14ac:dyDescent="0.25">
      <c r="A228" s="143" t="s">
        <v>706</v>
      </c>
      <c r="B228" s="143" t="s">
        <v>250</v>
      </c>
      <c r="C228" s="143" t="s">
        <v>251</v>
      </c>
      <c r="D228" s="143" t="s">
        <v>69</v>
      </c>
      <c r="E228" s="257">
        <v>17259352</v>
      </c>
      <c r="F228" s="257">
        <v>16819008</v>
      </c>
      <c r="G228" s="257">
        <v>16819008</v>
      </c>
      <c r="H228" s="257">
        <v>0</v>
      </c>
      <c r="I228" s="257">
        <v>10438775.51</v>
      </c>
      <c r="J228" s="257">
        <v>0</v>
      </c>
      <c r="K228" s="257">
        <v>6380232.4900000002</v>
      </c>
      <c r="L228" s="257">
        <v>6380232.4900000002</v>
      </c>
      <c r="M228" s="257">
        <v>0</v>
      </c>
      <c r="N228" s="257">
        <v>0</v>
      </c>
    </row>
    <row r="229" spans="1:14" s="143" customFormat="1" hidden="1" x14ac:dyDescent="0.25">
      <c r="A229" s="143" t="s">
        <v>706</v>
      </c>
      <c r="B229" s="143" t="s">
        <v>628</v>
      </c>
      <c r="C229" s="143" t="s">
        <v>702</v>
      </c>
      <c r="D229" s="143" t="s">
        <v>69</v>
      </c>
      <c r="E229" s="257">
        <v>14660103</v>
      </c>
      <c r="F229" s="257">
        <v>14286075</v>
      </c>
      <c r="G229" s="257">
        <v>14286075</v>
      </c>
      <c r="H229" s="257">
        <v>0</v>
      </c>
      <c r="I229" s="257">
        <v>8899549.4600000009</v>
      </c>
      <c r="J229" s="257">
        <v>0</v>
      </c>
      <c r="K229" s="257">
        <v>5386525.54</v>
      </c>
      <c r="L229" s="257">
        <v>5386525.54</v>
      </c>
      <c r="M229" s="257">
        <v>0</v>
      </c>
      <c r="N229" s="257">
        <v>0</v>
      </c>
    </row>
    <row r="230" spans="1:14" s="143" customFormat="1" hidden="1" x14ac:dyDescent="0.25">
      <c r="A230" s="143" t="s">
        <v>706</v>
      </c>
      <c r="B230" s="143" t="s">
        <v>643</v>
      </c>
      <c r="C230" s="143" t="s">
        <v>703</v>
      </c>
      <c r="D230" s="143" t="s">
        <v>69</v>
      </c>
      <c r="E230" s="257">
        <v>2599249</v>
      </c>
      <c r="F230" s="257">
        <v>2532933</v>
      </c>
      <c r="G230" s="257">
        <v>2532933</v>
      </c>
      <c r="H230" s="257">
        <v>0</v>
      </c>
      <c r="I230" s="257">
        <v>1539226.05</v>
      </c>
      <c r="J230" s="257">
        <v>0</v>
      </c>
      <c r="K230" s="257">
        <v>993706.95</v>
      </c>
      <c r="L230" s="257">
        <v>993706.95</v>
      </c>
      <c r="M230" s="257">
        <v>0</v>
      </c>
      <c r="N230" s="257">
        <v>0</v>
      </c>
    </row>
    <row r="231" spans="1:14" s="143" customFormat="1" hidden="1" x14ac:dyDescent="0.25">
      <c r="A231" s="143" t="s">
        <v>706</v>
      </c>
      <c r="B231" s="143" t="s">
        <v>260</v>
      </c>
      <c r="C231" s="143" t="s">
        <v>261</v>
      </c>
      <c r="D231" s="143" t="s">
        <v>69</v>
      </c>
      <c r="E231" s="257">
        <v>195701100</v>
      </c>
      <c r="F231" s="257">
        <v>195701100</v>
      </c>
      <c r="G231" s="257">
        <v>30344462</v>
      </c>
      <c r="H231" s="257">
        <v>0</v>
      </c>
      <c r="I231" s="257">
        <v>0</v>
      </c>
      <c r="J231" s="257">
        <v>0</v>
      </c>
      <c r="K231" s="257">
        <v>1529266</v>
      </c>
      <c r="L231" s="257">
        <v>1529266</v>
      </c>
      <c r="M231" s="257">
        <v>194171834</v>
      </c>
      <c r="N231" s="257">
        <v>28815196</v>
      </c>
    </row>
    <row r="232" spans="1:14" s="143" customFormat="1" hidden="1" x14ac:dyDescent="0.25">
      <c r="A232" s="143" t="s">
        <v>706</v>
      </c>
      <c r="B232" s="143" t="s">
        <v>262</v>
      </c>
      <c r="C232" s="143" t="s">
        <v>263</v>
      </c>
      <c r="D232" s="143" t="s">
        <v>69</v>
      </c>
      <c r="E232" s="257">
        <v>165701100</v>
      </c>
      <c r="F232" s="257">
        <v>165701100</v>
      </c>
      <c r="G232" s="257">
        <v>344462</v>
      </c>
      <c r="H232" s="257">
        <v>0</v>
      </c>
      <c r="I232" s="257">
        <v>0</v>
      </c>
      <c r="J232" s="257">
        <v>0</v>
      </c>
      <c r="K232" s="257">
        <v>0</v>
      </c>
      <c r="L232" s="257">
        <v>0</v>
      </c>
      <c r="M232" s="257">
        <v>165701100</v>
      </c>
      <c r="N232" s="257">
        <v>344462</v>
      </c>
    </row>
    <row r="233" spans="1:14" s="143" customFormat="1" hidden="1" x14ac:dyDescent="0.25">
      <c r="A233" s="143" t="s">
        <v>706</v>
      </c>
      <c r="B233" s="143" t="s">
        <v>264</v>
      </c>
      <c r="C233" s="143" t="s">
        <v>265</v>
      </c>
      <c r="D233" s="143" t="s">
        <v>69</v>
      </c>
      <c r="E233" s="257">
        <v>30000000</v>
      </c>
      <c r="F233" s="257">
        <v>30000000</v>
      </c>
      <c r="G233" s="257">
        <v>30000000</v>
      </c>
      <c r="H233" s="257">
        <v>0</v>
      </c>
      <c r="I233" s="257">
        <v>0</v>
      </c>
      <c r="J233" s="257">
        <v>0</v>
      </c>
      <c r="K233" s="257">
        <v>1529266</v>
      </c>
      <c r="L233" s="257">
        <v>1529266</v>
      </c>
      <c r="M233" s="257">
        <v>28470734</v>
      </c>
      <c r="N233" s="257">
        <v>28470734</v>
      </c>
    </row>
    <row r="234" spans="1:14" s="143" customFormat="1" hidden="1" x14ac:dyDescent="0.25">
      <c r="A234" s="143" t="s">
        <v>706</v>
      </c>
      <c r="B234" s="143" t="s">
        <v>286</v>
      </c>
      <c r="C234" s="143" t="s">
        <v>287</v>
      </c>
      <c r="D234" s="143" t="s">
        <v>69</v>
      </c>
      <c r="E234" s="257">
        <v>6000000</v>
      </c>
      <c r="F234" s="257">
        <v>6000000</v>
      </c>
      <c r="G234" s="257">
        <v>0</v>
      </c>
      <c r="H234" s="257">
        <v>0</v>
      </c>
      <c r="I234" s="257">
        <v>0</v>
      </c>
      <c r="J234" s="257">
        <v>0</v>
      </c>
      <c r="K234" s="257">
        <v>0</v>
      </c>
      <c r="L234" s="257">
        <v>0</v>
      </c>
      <c r="M234" s="257">
        <v>6000000</v>
      </c>
      <c r="N234" s="257">
        <v>0</v>
      </c>
    </row>
    <row r="235" spans="1:14" s="143" customFormat="1" hidden="1" x14ac:dyDescent="0.25">
      <c r="A235" s="143" t="s">
        <v>706</v>
      </c>
      <c r="B235" s="143" t="s">
        <v>288</v>
      </c>
      <c r="C235" s="143" t="s">
        <v>289</v>
      </c>
      <c r="D235" s="143" t="s">
        <v>69</v>
      </c>
      <c r="E235" s="257">
        <v>6000000</v>
      </c>
      <c r="F235" s="257">
        <v>6000000</v>
      </c>
      <c r="G235" s="257">
        <v>0</v>
      </c>
      <c r="H235" s="257">
        <v>0</v>
      </c>
      <c r="I235" s="257">
        <v>0</v>
      </c>
      <c r="J235" s="257">
        <v>0</v>
      </c>
      <c r="K235" s="257">
        <v>0</v>
      </c>
      <c r="L235" s="257">
        <v>0</v>
      </c>
      <c r="M235" s="257">
        <v>6000000</v>
      </c>
      <c r="N235" s="257">
        <v>0</v>
      </c>
    </row>
    <row r="236" spans="1:14" s="143" customFormat="1" hidden="1" x14ac:dyDescent="0.25">
      <c r="A236" s="143" t="s">
        <v>706</v>
      </c>
      <c r="B236" s="143" t="s">
        <v>230</v>
      </c>
      <c r="C236" s="143" t="s">
        <v>231</v>
      </c>
      <c r="D236" s="143" t="s">
        <v>85</v>
      </c>
      <c r="E236" s="257">
        <v>744452300</v>
      </c>
      <c r="F236" s="257">
        <v>639452300</v>
      </c>
      <c r="G236" s="257">
        <v>236326150</v>
      </c>
      <c r="H236" s="257">
        <v>47287638.530000001</v>
      </c>
      <c r="I236" s="257">
        <v>622577.74</v>
      </c>
      <c r="J236" s="257">
        <v>0</v>
      </c>
      <c r="K236" s="257">
        <v>5576054.1200000001</v>
      </c>
      <c r="L236" s="257">
        <v>0</v>
      </c>
      <c r="M236" s="257">
        <v>585966029.61000001</v>
      </c>
      <c r="N236" s="257">
        <v>182839879.61000001</v>
      </c>
    </row>
    <row r="237" spans="1:14" s="143" customFormat="1" hidden="1" x14ac:dyDescent="0.25">
      <c r="A237" s="143" t="s">
        <v>706</v>
      </c>
      <c r="B237" s="143" t="s">
        <v>232</v>
      </c>
      <c r="C237" s="143" t="s">
        <v>233</v>
      </c>
      <c r="D237" s="143" t="s">
        <v>85</v>
      </c>
      <c r="E237" s="257">
        <v>67752300</v>
      </c>
      <c r="F237" s="257">
        <v>62752300</v>
      </c>
      <c r="G237" s="257">
        <v>22626150</v>
      </c>
      <c r="H237" s="257">
        <v>21930181.199999999</v>
      </c>
      <c r="I237" s="257">
        <v>0</v>
      </c>
      <c r="J237" s="257">
        <v>0</v>
      </c>
      <c r="K237" s="257">
        <v>0</v>
      </c>
      <c r="L237" s="257">
        <v>0</v>
      </c>
      <c r="M237" s="257">
        <v>40822118.799999997</v>
      </c>
      <c r="N237" s="257">
        <v>695968.8</v>
      </c>
    </row>
    <row r="238" spans="1:14" s="143" customFormat="1" hidden="1" x14ac:dyDescent="0.25">
      <c r="A238" s="143" t="s">
        <v>706</v>
      </c>
      <c r="B238" s="143" t="s">
        <v>238</v>
      </c>
      <c r="C238" s="143" t="s">
        <v>239</v>
      </c>
      <c r="D238" s="143" t="s">
        <v>85</v>
      </c>
      <c r="E238" s="257">
        <v>45252300</v>
      </c>
      <c r="F238" s="257">
        <v>40252300</v>
      </c>
      <c r="G238" s="257">
        <v>126150</v>
      </c>
      <c r="H238" s="257">
        <v>0</v>
      </c>
      <c r="I238" s="257">
        <v>0</v>
      </c>
      <c r="J238" s="257">
        <v>0</v>
      </c>
      <c r="K238" s="257">
        <v>0</v>
      </c>
      <c r="L238" s="257">
        <v>0</v>
      </c>
      <c r="M238" s="257">
        <v>40252300</v>
      </c>
      <c r="N238" s="257">
        <v>126150</v>
      </c>
    </row>
    <row r="239" spans="1:14" s="143" customFormat="1" hidden="1" x14ac:dyDescent="0.25">
      <c r="A239" s="143" t="s">
        <v>706</v>
      </c>
      <c r="B239" s="143" t="s">
        <v>282</v>
      </c>
      <c r="C239" s="143" t="s">
        <v>283</v>
      </c>
      <c r="D239" s="143" t="s">
        <v>85</v>
      </c>
      <c r="E239" s="257">
        <v>22500000</v>
      </c>
      <c r="F239" s="257">
        <v>22500000</v>
      </c>
      <c r="G239" s="257">
        <v>22500000</v>
      </c>
      <c r="H239" s="257">
        <v>21930181.199999999</v>
      </c>
      <c r="I239" s="257">
        <v>0</v>
      </c>
      <c r="J239" s="257">
        <v>0</v>
      </c>
      <c r="K239" s="257">
        <v>0</v>
      </c>
      <c r="L239" s="257">
        <v>0</v>
      </c>
      <c r="M239" s="257">
        <v>569818.80000000005</v>
      </c>
      <c r="N239" s="257">
        <v>569818.80000000005</v>
      </c>
    </row>
    <row r="240" spans="1:14" s="143" customFormat="1" hidden="1" x14ac:dyDescent="0.25">
      <c r="A240" s="143" t="s">
        <v>706</v>
      </c>
      <c r="B240" s="143" t="s">
        <v>328</v>
      </c>
      <c r="C240" s="143" t="s">
        <v>329</v>
      </c>
      <c r="D240" s="143" t="s">
        <v>85</v>
      </c>
      <c r="E240" s="257">
        <v>630000000</v>
      </c>
      <c r="F240" s="257">
        <v>530000000</v>
      </c>
      <c r="G240" s="257">
        <v>167000000</v>
      </c>
      <c r="H240" s="257">
        <v>0</v>
      </c>
      <c r="I240" s="257">
        <v>0</v>
      </c>
      <c r="J240" s="257">
        <v>0</v>
      </c>
      <c r="K240" s="257">
        <v>0</v>
      </c>
      <c r="L240" s="257">
        <v>0</v>
      </c>
      <c r="M240" s="257">
        <v>530000000</v>
      </c>
      <c r="N240" s="257">
        <v>167000000</v>
      </c>
    </row>
    <row r="241" spans="1:14" s="143" customFormat="1" hidden="1" x14ac:dyDescent="0.25">
      <c r="A241" s="143" t="s">
        <v>706</v>
      </c>
      <c r="B241" s="143" t="s">
        <v>330</v>
      </c>
      <c r="C241" s="143" t="s">
        <v>331</v>
      </c>
      <c r="D241" s="143" t="s">
        <v>85</v>
      </c>
      <c r="E241" s="257">
        <v>630000000</v>
      </c>
      <c r="F241" s="257">
        <v>530000000</v>
      </c>
      <c r="G241" s="257">
        <v>167000000</v>
      </c>
      <c r="H241" s="257">
        <v>0</v>
      </c>
      <c r="I241" s="257">
        <v>0</v>
      </c>
      <c r="J241" s="257">
        <v>0</v>
      </c>
      <c r="K241" s="257">
        <v>0</v>
      </c>
      <c r="L241" s="257">
        <v>0</v>
      </c>
      <c r="M241" s="257">
        <v>530000000</v>
      </c>
      <c r="N241" s="257">
        <v>167000000</v>
      </c>
    </row>
    <row r="242" spans="1:14" s="143" customFormat="1" hidden="1" x14ac:dyDescent="0.25">
      <c r="A242" s="143" t="s">
        <v>706</v>
      </c>
      <c r="B242" s="143" t="s">
        <v>244</v>
      </c>
      <c r="C242" s="143" t="s">
        <v>245</v>
      </c>
      <c r="D242" s="143" t="s">
        <v>85</v>
      </c>
      <c r="E242" s="257">
        <v>46700000</v>
      </c>
      <c r="F242" s="257">
        <v>46700000</v>
      </c>
      <c r="G242" s="257">
        <v>46700000</v>
      </c>
      <c r="H242" s="257">
        <v>25357457.329999998</v>
      </c>
      <c r="I242" s="257">
        <v>622577.74</v>
      </c>
      <c r="J242" s="257">
        <v>0</v>
      </c>
      <c r="K242" s="257">
        <v>5576054.1200000001</v>
      </c>
      <c r="L242" s="257">
        <v>0</v>
      </c>
      <c r="M242" s="257">
        <v>15143910.810000001</v>
      </c>
      <c r="N242" s="257">
        <v>15143910.810000001</v>
      </c>
    </row>
    <row r="243" spans="1:14" s="143" customFormat="1" hidden="1" x14ac:dyDescent="0.25">
      <c r="A243" s="143" t="s">
        <v>706</v>
      </c>
      <c r="B243" s="143" t="s">
        <v>246</v>
      </c>
      <c r="C243" s="143" t="s">
        <v>247</v>
      </c>
      <c r="D243" s="143" t="s">
        <v>85</v>
      </c>
      <c r="E243" s="257">
        <v>46700000</v>
      </c>
      <c r="F243" s="257">
        <v>46700000</v>
      </c>
      <c r="G243" s="257">
        <v>46700000</v>
      </c>
      <c r="H243" s="257">
        <v>25357457.329999998</v>
      </c>
      <c r="I243" s="257">
        <v>622577.74</v>
      </c>
      <c r="J243" s="257">
        <v>0</v>
      </c>
      <c r="K243" s="257">
        <v>5576054.1200000001</v>
      </c>
      <c r="L243" s="257">
        <v>0</v>
      </c>
      <c r="M243" s="257">
        <v>15143910.810000001</v>
      </c>
      <c r="N243" s="257">
        <v>15143910.810000001</v>
      </c>
    </row>
    <row r="244" spans="1:14" s="143" customFormat="1" x14ac:dyDescent="0.25">
      <c r="A244" s="49">
        <v>214789</v>
      </c>
      <c r="D244" s="49" t="s">
        <v>69</v>
      </c>
      <c r="E244" s="257">
        <v>77210852108</v>
      </c>
      <c r="F244" s="50">
        <v>76398488566</v>
      </c>
      <c r="G244" s="257">
        <v>67390803897</v>
      </c>
      <c r="H244" s="50">
        <v>643734576.42999995</v>
      </c>
      <c r="I244" s="50">
        <v>14772356693.66</v>
      </c>
      <c r="J244" s="50">
        <v>84497340.670000002</v>
      </c>
      <c r="K244" s="50">
        <v>26856212142.900002</v>
      </c>
      <c r="L244" s="50">
        <v>26401278725.540001</v>
      </c>
      <c r="M244" s="50">
        <v>34041687812.34</v>
      </c>
      <c r="N244" s="257">
        <v>25034003143.34</v>
      </c>
    </row>
    <row r="245" spans="1:14" s="143" customFormat="1" hidden="1" x14ac:dyDescent="0.25">
      <c r="A245" s="143" t="s">
        <v>707</v>
      </c>
      <c r="B245" s="143" t="s">
        <v>71</v>
      </c>
      <c r="C245" s="143" t="s">
        <v>72</v>
      </c>
      <c r="D245" s="143" t="s">
        <v>69</v>
      </c>
      <c r="E245" s="257">
        <v>48966684366</v>
      </c>
      <c r="F245" s="257">
        <v>48172940441</v>
      </c>
      <c r="G245" s="257">
        <v>44715038449</v>
      </c>
      <c r="H245" s="257">
        <v>0</v>
      </c>
      <c r="I245" s="257">
        <v>3869180101</v>
      </c>
      <c r="J245" s="257">
        <v>0</v>
      </c>
      <c r="K245" s="257">
        <v>19990695717.419998</v>
      </c>
      <c r="L245" s="257">
        <v>19990695717.419998</v>
      </c>
      <c r="M245" s="257">
        <v>24313064622.580002</v>
      </c>
      <c r="N245" s="257">
        <v>20855162630.580002</v>
      </c>
    </row>
    <row r="246" spans="1:14" s="143" customFormat="1" hidden="1" x14ac:dyDescent="0.25">
      <c r="A246" s="143" t="s">
        <v>707</v>
      </c>
      <c r="B246" s="143" t="s">
        <v>73</v>
      </c>
      <c r="C246" s="143" t="s">
        <v>74</v>
      </c>
      <c r="D246" s="143" t="s">
        <v>69</v>
      </c>
      <c r="E246" s="257">
        <v>17541843984</v>
      </c>
      <c r="F246" s="257">
        <v>17057005800</v>
      </c>
      <c r="G246" s="257">
        <v>14895960310</v>
      </c>
      <c r="H246" s="257">
        <v>0</v>
      </c>
      <c r="I246" s="257">
        <v>0</v>
      </c>
      <c r="J246" s="257">
        <v>0</v>
      </c>
      <c r="K246" s="257">
        <v>6755878193.3599997</v>
      </c>
      <c r="L246" s="257">
        <v>6755878193.3599997</v>
      </c>
      <c r="M246" s="257">
        <v>10301127606.639999</v>
      </c>
      <c r="N246" s="257">
        <v>8140082116.6400003</v>
      </c>
    </row>
    <row r="247" spans="1:14" s="143" customFormat="1" hidden="1" x14ac:dyDescent="0.25">
      <c r="A247" s="143" t="s">
        <v>707</v>
      </c>
      <c r="B247" s="143" t="s">
        <v>75</v>
      </c>
      <c r="C247" s="143" t="s">
        <v>76</v>
      </c>
      <c r="D247" s="143" t="s">
        <v>69</v>
      </c>
      <c r="E247" s="257">
        <v>17541843984</v>
      </c>
      <c r="F247" s="257">
        <v>17057005800</v>
      </c>
      <c r="G247" s="257">
        <v>14895960310</v>
      </c>
      <c r="H247" s="257">
        <v>0</v>
      </c>
      <c r="I247" s="257">
        <v>0</v>
      </c>
      <c r="J247" s="257">
        <v>0</v>
      </c>
      <c r="K247" s="257">
        <v>6755878193.3599997</v>
      </c>
      <c r="L247" s="257">
        <v>6755878193.3599997</v>
      </c>
      <c r="M247" s="257">
        <v>10301127606.639999</v>
      </c>
      <c r="N247" s="257">
        <v>8140082116.6400003</v>
      </c>
    </row>
    <row r="248" spans="1:14" s="143" customFormat="1" hidden="1" x14ac:dyDescent="0.25">
      <c r="A248" s="143" t="s">
        <v>707</v>
      </c>
      <c r="B248" s="143" t="s">
        <v>293</v>
      </c>
      <c r="C248" s="143" t="s">
        <v>294</v>
      </c>
      <c r="D248" s="143" t="s">
        <v>69</v>
      </c>
      <c r="E248" s="257">
        <v>3681614000</v>
      </c>
      <c r="F248" s="257">
        <v>3681614000</v>
      </c>
      <c r="G248" s="257">
        <v>3681614000</v>
      </c>
      <c r="H248" s="257">
        <v>0</v>
      </c>
      <c r="I248" s="257">
        <v>0</v>
      </c>
      <c r="J248" s="257">
        <v>0</v>
      </c>
      <c r="K248" s="257">
        <v>1518378782.02</v>
      </c>
      <c r="L248" s="257">
        <v>1518378782.02</v>
      </c>
      <c r="M248" s="257">
        <v>2163235217.98</v>
      </c>
      <c r="N248" s="257">
        <v>2163235217.98</v>
      </c>
    </row>
    <row r="249" spans="1:14" s="143" customFormat="1" hidden="1" x14ac:dyDescent="0.25">
      <c r="A249" s="143" t="s">
        <v>707</v>
      </c>
      <c r="B249" s="143" t="s">
        <v>295</v>
      </c>
      <c r="C249" s="143" t="s">
        <v>296</v>
      </c>
      <c r="D249" s="143" t="s">
        <v>69</v>
      </c>
      <c r="E249" s="257">
        <v>8000000</v>
      </c>
      <c r="F249" s="257">
        <v>8000000</v>
      </c>
      <c r="G249" s="257">
        <v>8000000</v>
      </c>
      <c r="H249" s="257">
        <v>0</v>
      </c>
      <c r="I249" s="257">
        <v>0</v>
      </c>
      <c r="J249" s="257">
        <v>0</v>
      </c>
      <c r="K249" s="257">
        <v>3763693.48</v>
      </c>
      <c r="L249" s="257">
        <v>3763693.48</v>
      </c>
      <c r="M249" s="257">
        <v>4236306.5199999996</v>
      </c>
      <c r="N249" s="257">
        <v>4236306.5199999996</v>
      </c>
    </row>
    <row r="250" spans="1:14" s="143" customFormat="1" hidden="1" x14ac:dyDescent="0.25">
      <c r="A250" s="143" t="s">
        <v>707</v>
      </c>
      <c r="B250" s="143" t="s">
        <v>337</v>
      </c>
      <c r="C250" s="143" t="s">
        <v>338</v>
      </c>
      <c r="D250" s="143" t="s">
        <v>69</v>
      </c>
      <c r="E250" s="257">
        <v>25000000</v>
      </c>
      <c r="F250" s="257">
        <v>25000000</v>
      </c>
      <c r="G250" s="257">
        <v>25000000</v>
      </c>
      <c r="H250" s="257">
        <v>0</v>
      </c>
      <c r="I250" s="257">
        <v>0</v>
      </c>
      <c r="J250" s="257">
        <v>0</v>
      </c>
      <c r="K250" s="257">
        <v>1063470</v>
      </c>
      <c r="L250" s="257">
        <v>1063470</v>
      </c>
      <c r="M250" s="257">
        <v>23936530</v>
      </c>
      <c r="N250" s="257">
        <v>23936530</v>
      </c>
    </row>
    <row r="251" spans="1:14" s="143" customFormat="1" hidden="1" x14ac:dyDescent="0.25">
      <c r="A251" s="143" t="s">
        <v>707</v>
      </c>
      <c r="B251" s="143" t="s">
        <v>339</v>
      </c>
      <c r="C251" s="143" t="s">
        <v>340</v>
      </c>
      <c r="D251" s="143" t="s">
        <v>69</v>
      </c>
      <c r="E251" s="257">
        <v>3648614000</v>
      </c>
      <c r="F251" s="257">
        <v>3648614000</v>
      </c>
      <c r="G251" s="257">
        <v>3648614000</v>
      </c>
      <c r="H251" s="257">
        <v>0</v>
      </c>
      <c r="I251" s="257">
        <v>0</v>
      </c>
      <c r="J251" s="257">
        <v>0</v>
      </c>
      <c r="K251" s="257">
        <v>1513551618.54</v>
      </c>
      <c r="L251" s="257">
        <v>1513551618.54</v>
      </c>
      <c r="M251" s="257">
        <v>2135062381.46</v>
      </c>
      <c r="N251" s="257">
        <v>2135062381.46</v>
      </c>
    </row>
    <row r="252" spans="1:14" s="143" customFormat="1" hidden="1" x14ac:dyDescent="0.25">
      <c r="A252" s="143" t="s">
        <v>707</v>
      </c>
      <c r="B252" s="143" t="s">
        <v>77</v>
      </c>
      <c r="C252" s="143" t="s">
        <v>78</v>
      </c>
      <c r="D252" s="143" t="s">
        <v>69</v>
      </c>
      <c r="E252" s="257">
        <v>20273537632</v>
      </c>
      <c r="F252" s="257">
        <v>20075354521</v>
      </c>
      <c r="G252" s="257">
        <v>18844168170</v>
      </c>
      <c r="H252" s="257">
        <v>0</v>
      </c>
      <c r="I252" s="257">
        <v>0</v>
      </c>
      <c r="J252" s="257">
        <v>0</v>
      </c>
      <c r="K252" s="257">
        <v>8292322874.04</v>
      </c>
      <c r="L252" s="257">
        <v>8292322874.04</v>
      </c>
      <c r="M252" s="257">
        <v>11783031646.959999</v>
      </c>
      <c r="N252" s="257">
        <v>10551845295.959999</v>
      </c>
    </row>
    <row r="253" spans="1:14" s="143" customFormat="1" hidden="1" x14ac:dyDescent="0.25">
      <c r="A253" s="143" t="s">
        <v>707</v>
      </c>
      <c r="B253" s="143" t="s">
        <v>79</v>
      </c>
      <c r="C253" s="143" t="s">
        <v>80</v>
      </c>
      <c r="D253" s="143" t="s">
        <v>69</v>
      </c>
      <c r="E253" s="257">
        <v>7240363600</v>
      </c>
      <c r="F253" s="257">
        <v>7240363600</v>
      </c>
      <c r="G253" s="257">
        <v>6903593599</v>
      </c>
      <c r="H253" s="257">
        <v>0</v>
      </c>
      <c r="I253" s="257">
        <v>0</v>
      </c>
      <c r="J253" s="257">
        <v>0</v>
      </c>
      <c r="K253" s="257">
        <v>2791768043.48</v>
      </c>
      <c r="L253" s="257">
        <v>2791768043.48</v>
      </c>
      <c r="M253" s="257">
        <v>4448595556.5200005</v>
      </c>
      <c r="N253" s="257">
        <v>4111825555.52</v>
      </c>
    </row>
    <row r="254" spans="1:14" s="143" customFormat="1" hidden="1" x14ac:dyDescent="0.25">
      <c r="A254" s="143" t="s">
        <v>707</v>
      </c>
      <c r="B254" s="143" t="s">
        <v>81</v>
      </c>
      <c r="C254" s="143" t="s">
        <v>82</v>
      </c>
      <c r="D254" s="143" t="s">
        <v>69</v>
      </c>
      <c r="E254" s="257">
        <v>646663149</v>
      </c>
      <c r="F254" s="257">
        <v>507159410</v>
      </c>
      <c r="G254" s="257">
        <v>507159410</v>
      </c>
      <c r="H254" s="257">
        <v>0</v>
      </c>
      <c r="I254" s="257">
        <v>0</v>
      </c>
      <c r="J254" s="257">
        <v>0</v>
      </c>
      <c r="K254" s="257">
        <v>191591830.16999999</v>
      </c>
      <c r="L254" s="257">
        <v>191591830.16999999</v>
      </c>
      <c r="M254" s="257">
        <v>315567579.82999998</v>
      </c>
      <c r="N254" s="257">
        <v>315567579.82999998</v>
      </c>
    </row>
    <row r="255" spans="1:14" s="143" customFormat="1" hidden="1" x14ac:dyDescent="0.25">
      <c r="A255" s="143" t="s">
        <v>707</v>
      </c>
      <c r="B255" s="143" t="s">
        <v>86</v>
      </c>
      <c r="C255" s="143" t="s">
        <v>87</v>
      </c>
      <c r="D255" s="143" t="s">
        <v>69</v>
      </c>
      <c r="E255" s="257">
        <v>2924191700</v>
      </c>
      <c r="F255" s="257">
        <v>2924191700</v>
      </c>
      <c r="G255" s="257">
        <v>2924191700</v>
      </c>
      <c r="H255" s="257">
        <v>0</v>
      </c>
      <c r="I255" s="257">
        <v>0</v>
      </c>
      <c r="J255" s="257">
        <v>0</v>
      </c>
      <c r="K255" s="257">
        <v>2864073397.3400002</v>
      </c>
      <c r="L255" s="257">
        <v>2864073397.3400002</v>
      </c>
      <c r="M255" s="257">
        <v>60118302.659999996</v>
      </c>
      <c r="N255" s="257">
        <v>60118302.659999996</v>
      </c>
    </row>
    <row r="256" spans="1:14" s="143" customFormat="1" hidden="1" x14ac:dyDescent="0.25">
      <c r="A256" s="143" t="s">
        <v>707</v>
      </c>
      <c r="B256" s="143" t="s">
        <v>88</v>
      </c>
      <c r="C256" s="143" t="s">
        <v>89</v>
      </c>
      <c r="D256" s="143" t="s">
        <v>69</v>
      </c>
      <c r="E256" s="257">
        <v>6271421300</v>
      </c>
      <c r="F256" s="257">
        <v>6265262627</v>
      </c>
      <c r="G256" s="257">
        <v>6265262627</v>
      </c>
      <c r="H256" s="257">
        <v>0</v>
      </c>
      <c r="I256" s="257">
        <v>0</v>
      </c>
      <c r="J256" s="257">
        <v>0</v>
      </c>
      <c r="K256" s="257">
        <v>2444678820.9400001</v>
      </c>
      <c r="L256" s="257">
        <v>2444678820.9400001</v>
      </c>
      <c r="M256" s="257">
        <v>3820583806.0599999</v>
      </c>
      <c r="N256" s="257">
        <v>3820583806.0599999</v>
      </c>
    </row>
    <row r="257" spans="1:14" s="143" customFormat="1" hidden="1" x14ac:dyDescent="0.25">
      <c r="A257" s="143" t="s">
        <v>707</v>
      </c>
      <c r="B257" s="143" t="s">
        <v>83</v>
      </c>
      <c r="C257" s="143" t="s">
        <v>84</v>
      </c>
      <c r="D257" s="143" t="s">
        <v>85</v>
      </c>
      <c r="E257" s="257">
        <v>3190897883</v>
      </c>
      <c r="F257" s="257">
        <v>3138377184</v>
      </c>
      <c r="G257" s="257">
        <v>2243960834</v>
      </c>
      <c r="H257" s="257">
        <v>0</v>
      </c>
      <c r="I257" s="257">
        <v>0</v>
      </c>
      <c r="J257" s="257">
        <v>0</v>
      </c>
      <c r="K257" s="257">
        <v>210782.11</v>
      </c>
      <c r="L257" s="257">
        <v>210782.11</v>
      </c>
      <c r="M257" s="257">
        <v>3138166401.8899999</v>
      </c>
      <c r="N257" s="257">
        <v>2243750051.8899999</v>
      </c>
    </row>
    <row r="258" spans="1:14" s="143" customFormat="1" hidden="1" x14ac:dyDescent="0.25">
      <c r="A258" s="143" t="s">
        <v>707</v>
      </c>
      <c r="B258" s="143" t="s">
        <v>90</v>
      </c>
      <c r="C258" s="143" t="s">
        <v>91</v>
      </c>
      <c r="D258" s="143" t="s">
        <v>69</v>
      </c>
      <c r="E258" s="257">
        <v>3734844376</v>
      </c>
      <c r="F258" s="257">
        <v>3679483060</v>
      </c>
      <c r="G258" s="257">
        <v>3646647985</v>
      </c>
      <c r="H258" s="257">
        <v>0</v>
      </c>
      <c r="I258" s="257">
        <v>1928473792</v>
      </c>
      <c r="J258" s="257">
        <v>0</v>
      </c>
      <c r="K258" s="257">
        <v>1718174193</v>
      </c>
      <c r="L258" s="257">
        <v>1718174193</v>
      </c>
      <c r="M258" s="257">
        <v>32835075</v>
      </c>
      <c r="N258" s="257">
        <v>0</v>
      </c>
    </row>
    <row r="259" spans="1:14" s="143" customFormat="1" hidden="1" x14ac:dyDescent="0.25">
      <c r="A259" s="143" t="s">
        <v>707</v>
      </c>
      <c r="B259" s="143" t="s">
        <v>420</v>
      </c>
      <c r="C259" s="143" t="s">
        <v>697</v>
      </c>
      <c r="D259" s="143" t="s">
        <v>69</v>
      </c>
      <c r="E259" s="257">
        <v>3543313962</v>
      </c>
      <c r="F259" s="257">
        <v>3490791688</v>
      </c>
      <c r="G259" s="257">
        <v>3459640463</v>
      </c>
      <c r="H259" s="257">
        <v>0</v>
      </c>
      <c r="I259" s="257">
        <v>1829511185</v>
      </c>
      <c r="J259" s="257">
        <v>0</v>
      </c>
      <c r="K259" s="257">
        <v>1630129278</v>
      </c>
      <c r="L259" s="257">
        <v>1630129278</v>
      </c>
      <c r="M259" s="257">
        <v>31151225</v>
      </c>
      <c r="N259" s="257">
        <v>0</v>
      </c>
    </row>
    <row r="260" spans="1:14" s="143" customFormat="1" hidden="1" x14ac:dyDescent="0.25">
      <c r="A260" s="143" t="s">
        <v>707</v>
      </c>
      <c r="B260" s="143" t="s">
        <v>437</v>
      </c>
      <c r="C260" s="143" t="s">
        <v>95</v>
      </c>
      <c r="D260" s="143" t="s">
        <v>69</v>
      </c>
      <c r="E260" s="257">
        <v>191530414</v>
      </c>
      <c r="F260" s="257">
        <v>188691372</v>
      </c>
      <c r="G260" s="257">
        <v>187007522</v>
      </c>
      <c r="H260" s="257">
        <v>0</v>
      </c>
      <c r="I260" s="257">
        <v>98962607</v>
      </c>
      <c r="J260" s="257">
        <v>0</v>
      </c>
      <c r="K260" s="257">
        <v>88044915</v>
      </c>
      <c r="L260" s="257">
        <v>88044915</v>
      </c>
      <c r="M260" s="257">
        <v>1683850</v>
      </c>
      <c r="N260" s="257">
        <v>0</v>
      </c>
    </row>
    <row r="261" spans="1:14" s="143" customFormat="1" hidden="1" x14ac:dyDescent="0.25">
      <c r="A261" s="143" t="s">
        <v>707</v>
      </c>
      <c r="B261" s="143" t="s">
        <v>96</v>
      </c>
      <c r="C261" s="143" t="s">
        <v>97</v>
      </c>
      <c r="D261" s="143" t="s">
        <v>69</v>
      </c>
      <c r="E261" s="257">
        <v>3734844374</v>
      </c>
      <c r="F261" s="257">
        <v>3679483060</v>
      </c>
      <c r="G261" s="257">
        <v>3646647984</v>
      </c>
      <c r="H261" s="257">
        <v>0</v>
      </c>
      <c r="I261" s="257">
        <v>1940706309</v>
      </c>
      <c r="J261" s="257">
        <v>0</v>
      </c>
      <c r="K261" s="257">
        <v>1705941675</v>
      </c>
      <c r="L261" s="257">
        <v>1705941675</v>
      </c>
      <c r="M261" s="257">
        <v>32835076</v>
      </c>
      <c r="N261" s="257">
        <v>0</v>
      </c>
    </row>
    <row r="262" spans="1:14" s="143" customFormat="1" hidden="1" x14ac:dyDescent="0.25">
      <c r="A262" s="143" t="s">
        <v>707</v>
      </c>
      <c r="B262" s="143" t="s">
        <v>455</v>
      </c>
      <c r="C262" s="143" t="s">
        <v>698</v>
      </c>
      <c r="D262" s="143" t="s">
        <v>69</v>
      </c>
      <c r="E262" s="257">
        <v>2011070048</v>
      </c>
      <c r="F262" s="257">
        <v>1981260109</v>
      </c>
      <c r="G262" s="257">
        <v>1963579684</v>
      </c>
      <c r="H262" s="257">
        <v>0</v>
      </c>
      <c r="I262" s="257">
        <v>1050042167</v>
      </c>
      <c r="J262" s="257">
        <v>0</v>
      </c>
      <c r="K262" s="257">
        <v>913537517</v>
      </c>
      <c r="L262" s="257">
        <v>913537517</v>
      </c>
      <c r="M262" s="257">
        <v>17680425</v>
      </c>
      <c r="N262" s="257">
        <v>0</v>
      </c>
    </row>
    <row r="263" spans="1:14" s="143" customFormat="1" hidden="1" x14ac:dyDescent="0.25">
      <c r="A263" s="143" t="s">
        <v>707</v>
      </c>
      <c r="B263" s="143" t="s">
        <v>472</v>
      </c>
      <c r="C263" s="143" t="s">
        <v>699</v>
      </c>
      <c r="D263" s="143" t="s">
        <v>69</v>
      </c>
      <c r="E263" s="257">
        <v>574591442</v>
      </c>
      <c r="F263" s="257">
        <v>566074317</v>
      </c>
      <c r="G263" s="257">
        <v>561022767</v>
      </c>
      <c r="H263" s="257">
        <v>0</v>
      </c>
      <c r="I263" s="257">
        <v>296888505</v>
      </c>
      <c r="J263" s="257">
        <v>0</v>
      </c>
      <c r="K263" s="257">
        <v>264134262</v>
      </c>
      <c r="L263" s="257">
        <v>264134262</v>
      </c>
      <c r="M263" s="257">
        <v>5051550</v>
      </c>
      <c r="N263" s="257">
        <v>0</v>
      </c>
    </row>
    <row r="264" spans="1:14" s="143" customFormat="1" hidden="1" x14ac:dyDescent="0.25">
      <c r="A264" s="143" t="s">
        <v>707</v>
      </c>
      <c r="B264" s="143" t="s">
        <v>489</v>
      </c>
      <c r="C264" s="143" t="s">
        <v>700</v>
      </c>
      <c r="D264" s="143" t="s">
        <v>69</v>
      </c>
      <c r="E264" s="257">
        <v>1149182884</v>
      </c>
      <c r="F264" s="257">
        <v>1132148634</v>
      </c>
      <c r="G264" s="257">
        <v>1122045533</v>
      </c>
      <c r="H264" s="257">
        <v>0</v>
      </c>
      <c r="I264" s="257">
        <v>593775637</v>
      </c>
      <c r="J264" s="257">
        <v>0</v>
      </c>
      <c r="K264" s="257">
        <v>528269896</v>
      </c>
      <c r="L264" s="257">
        <v>528269896</v>
      </c>
      <c r="M264" s="257">
        <v>10103101</v>
      </c>
      <c r="N264" s="257">
        <v>0</v>
      </c>
    </row>
    <row r="265" spans="1:14" s="143" customFormat="1" hidden="1" x14ac:dyDescent="0.25">
      <c r="A265" s="143" t="s">
        <v>707</v>
      </c>
      <c r="B265" s="143" t="s">
        <v>104</v>
      </c>
      <c r="C265" s="143" t="s">
        <v>105</v>
      </c>
      <c r="D265" s="143" t="s">
        <v>69</v>
      </c>
      <c r="E265" s="257">
        <v>6509291577</v>
      </c>
      <c r="F265" s="257">
        <v>6506291577</v>
      </c>
      <c r="G265" s="257">
        <v>3824804867</v>
      </c>
      <c r="H265" s="257">
        <v>48368202.240000002</v>
      </c>
      <c r="I265" s="257">
        <v>1546689389.1099999</v>
      </c>
      <c r="J265" s="257">
        <v>18255596.52</v>
      </c>
      <c r="K265" s="257">
        <v>899757381.19000006</v>
      </c>
      <c r="L265" s="257">
        <v>723169647.77999997</v>
      </c>
      <c r="M265" s="257">
        <v>3993221007.9400001</v>
      </c>
      <c r="N265" s="257">
        <v>1311734297.9400001</v>
      </c>
    </row>
    <row r="266" spans="1:14" s="143" customFormat="1" hidden="1" x14ac:dyDescent="0.25">
      <c r="A266" s="143" t="s">
        <v>707</v>
      </c>
      <c r="B266" s="143" t="s">
        <v>106</v>
      </c>
      <c r="C266" s="143" t="s">
        <v>107</v>
      </c>
      <c r="D266" s="143" t="s">
        <v>69</v>
      </c>
      <c r="E266" s="257">
        <v>3002893777</v>
      </c>
      <c r="F266" s="257">
        <v>3002893777</v>
      </c>
      <c r="G266" s="257">
        <v>1608193888</v>
      </c>
      <c r="H266" s="257">
        <v>32062428.84</v>
      </c>
      <c r="I266" s="257">
        <v>825521695.15999997</v>
      </c>
      <c r="J266" s="257">
        <v>972048</v>
      </c>
      <c r="K266" s="257">
        <v>349534639.70999998</v>
      </c>
      <c r="L266" s="257">
        <v>228601566.50999999</v>
      </c>
      <c r="M266" s="257">
        <v>1794802965.29</v>
      </c>
      <c r="N266" s="257">
        <v>400103076.29000002</v>
      </c>
    </row>
    <row r="267" spans="1:14" s="143" customFormat="1" hidden="1" x14ac:dyDescent="0.25">
      <c r="A267" s="143" t="s">
        <v>707</v>
      </c>
      <c r="B267" s="143" t="s">
        <v>280</v>
      </c>
      <c r="C267" s="143" t="s">
        <v>281</v>
      </c>
      <c r="D267" s="143" t="s">
        <v>69</v>
      </c>
      <c r="E267" s="257">
        <v>540000000</v>
      </c>
      <c r="F267" s="257">
        <v>540000000</v>
      </c>
      <c r="G267" s="257">
        <v>381550875</v>
      </c>
      <c r="H267" s="257">
        <v>32062428.84</v>
      </c>
      <c r="I267" s="257">
        <v>85479267.299999997</v>
      </c>
      <c r="J267" s="257">
        <v>972048</v>
      </c>
      <c r="K267" s="257">
        <v>146293373.38</v>
      </c>
      <c r="L267" s="257">
        <v>139168188.78</v>
      </c>
      <c r="M267" s="257">
        <v>275192882.48000002</v>
      </c>
      <c r="N267" s="257">
        <v>116743757.48</v>
      </c>
    </row>
    <row r="268" spans="1:14" s="143" customFormat="1" hidden="1" x14ac:dyDescent="0.25">
      <c r="A268" s="143" t="s">
        <v>707</v>
      </c>
      <c r="B268" s="143" t="s">
        <v>108</v>
      </c>
      <c r="C268" s="143" t="s">
        <v>109</v>
      </c>
      <c r="D268" s="143" t="s">
        <v>69</v>
      </c>
      <c r="E268" s="257">
        <v>974595134</v>
      </c>
      <c r="F268" s="257">
        <v>974595134</v>
      </c>
      <c r="G268" s="257">
        <v>487297566</v>
      </c>
      <c r="H268" s="257">
        <v>0</v>
      </c>
      <c r="I268" s="257">
        <v>338505841.63999999</v>
      </c>
      <c r="J268" s="257">
        <v>0</v>
      </c>
      <c r="K268" s="257">
        <v>44698245.189999998</v>
      </c>
      <c r="L268" s="257">
        <v>44698245.189999998</v>
      </c>
      <c r="M268" s="257">
        <v>591391047.16999996</v>
      </c>
      <c r="N268" s="257">
        <v>104093479.17</v>
      </c>
    </row>
    <row r="269" spans="1:14" s="143" customFormat="1" hidden="1" x14ac:dyDescent="0.25">
      <c r="A269" s="143" t="s">
        <v>707</v>
      </c>
      <c r="B269" s="143" t="s">
        <v>304</v>
      </c>
      <c r="C269" s="143" t="s">
        <v>305</v>
      </c>
      <c r="D269" s="143" t="s">
        <v>69</v>
      </c>
      <c r="E269" s="257">
        <v>114061860</v>
      </c>
      <c r="F269" s="257">
        <v>114061860</v>
      </c>
      <c r="G269" s="257">
        <v>52227055</v>
      </c>
      <c r="H269" s="257">
        <v>0</v>
      </c>
      <c r="I269" s="257">
        <v>45406333.399999999</v>
      </c>
      <c r="J269" s="257">
        <v>0</v>
      </c>
      <c r="K269" s="257">
        <v>6820721.5999999996</v>
      </c>
      <c r="L269" s="257">
        <v>0</v>
      </c>
      <c r="M269" s="257">
        <v>61834805</v>
      </c>
      <c r="N269" s="257">
        <v>0</v>
      </c>
    </row>
    <row r="270" spans="1:14" s="143" customFormat="1" hidden="1" x14ac:dyDescent="0.25">
      <c r="A270" s="143" t="s">
        <v>707</v>
      </c>
      <c r="B270" s="143" t="s">
        <v>110</v>
      </c>
      <c r="C270" s="143" t="s">
        <v>111</v>
      </c>
      <c r="D270" s="143" t="s">
        <v>69</v>
      </c>
      <c r="E270" s="257">
        <v>1374236783</v>
      </c>
      <c r="F270" s="257">
        <v>1374236783</v>
      </c>
      <c r="G270" s="257">
        <v>687118392</v>
      </c>
      <c r="H270" s="257">
        <v>0</v>
      </c>
      <c r="I270" s="257">
        <v>356130252.81999999</v>
      </c>
      <c r="J270" s="257">
        <v>0</v>
      </c>
      <c r="K270" s="257">
        <v>151722299.53999999</v>
      </c>
      <c r="L270" s="257">
        <v>44735132.539999999</v>
      </c>
      <c r="M270" s="257">
        <v>866384230.63999999</v>
      </c>
      <c r="N270" s="257">
        <v>179265839.63999999</v>
      </c>
    </row>
    <row r="271" spans="1:14" s="143" customFormat="1" hidden="1" x14ac:dyDescent="0.25">
      <c r="A271" s="143" t="s">
        <v>707</v>
      </c>
      <c r="B271" s="143" t="s">
        <v>112</v>
      </c>
      <c r="C271" s="143" t="s">
        <v>113</v>
      </c>
      <c r="D271" s="143" t="s">
        <v>69</v>
      </c>
      <c r="E271" s="257">
        <v>758051064</v>
      </c>
      <c r="F271" s="257">
        <v>758051064</v>
      </c>
      <c r="G271" s="257">
        <v>489893540</v>
      </c>
      <c r="H271" s="257">
        <v>0</v>
      </c>
      <c r="I271" s="257">
        <v>173507610.34999999</v>
      </c>
      <c r="J271" s="257">
        <v>3477514.4</v>
      </c>
      <c r="K271" s="257">
        <v>227064346.31999999</v>
      </c>
      <c r="L271" s="257">
        <v>226554070.25999999</v>
      </c>
      <c r="M271" s="257">
        <v>354001592.93000001</v>
      </c>
      <c r="N271" s="257">
        <v>85844068.930000007</v>
      </c>
    </row>
    <row r="272" spans="1:14" s="143" customFormat="1" hidden="1" x14ac:dyDescent="0.25">
      <c r="A272" s="143" t="s">
        <v>707</v>
      </c>
      <c r="B272" s="143" t="s">
        <v>114</v>
      </c>
      <c r="C272" s="143" t="s">
        <v>115</v>
      </c>
      <c r="D272" s="143" t="s">
        <v>69</v>
      </c>
      <c r="E272" s="257">
        <v>18001000</v>
      </c>
      <c r="F272" s="257">
        <v>18001000</v>
      </c>
      <c r="G272" s="257">
        <v>9000500</v>
      </c>
      <c r="H272" s="257">
        <v>0</v>
      </c>
      <c r="I272" s="257">
        <v>4134982</v>
      </c>
      <c r="J272" s="257">
        <v>0</v>
      </c>
      <c r="K272" s="257">
        <v>4865518</v>
      </c>
      <c r="L272" s="257">
        <v>4865518</v>
      </c>
      <c r="M272" s="257">
        <v>9000500</v>
      </c>
      <c r="N272" s="257">
        <v>0</v>
      </c>
    </row>
    <row r="273" spans="1:14" s="143" customFormat="1" hidden="1" x14ac:dyDescent="0.25">
      <c r="A273" s="143" t="s">
        <v>707</v>
      </c>
      <c r="B273" s="143" t="s">
        <v>116</v>
      </c>
      <c r="C273" s="143" t="s">
        <v>117</v>
      </c>
      <c r="D273" s="143" t="s">
        <v>69</v>
      </c>
      <c r="E273" s="257">
        <v>244470000</v>
      </c>
      <c r="F273" s="257">
        <v>244470000</v>
      </c>
      <c r="G273" s="257">
        <v>176096573</v>
      </c>
      <c r="H273" s="257">
        <v>0</v>
      </c>
      <c r="I273" s="257">
        <v>22735914.129999999</v>
      </c>
      <c r="J273" s="257">
        <v>0</v>
      </c>
      <c r="K273" s="257">
        <v>153360658.87</v>
      </c>
      <c r="L273" s="257">
        <v>153360658.87</v>
      </c>
      <c r="M273" s="257">
        <v>68373427</v>
      </c>
      <c r="N273" s="257">
        <v>0</v>
      </c>
    </row>
    <row r="274" spans="1:14" s="143" customFormat="1" hidden="1" x14ac:dyDescent="0.25">
      <c r="A274" s="143" t="s">
        <v>707</v>
      </c>
      <c r="B274" s="143" t="s">
        <v>118</v>
      </c>
      <c r="C274" s="143" t="s">
        <v>119</v>
      </c>
      <c r="D274" s="143" t="s">
        <v>69</v>
      </c>
      <c r="E274" s="257">
        <v>6000000</v>
      </c>
      <c r="F274" s="257">
        <v>6000000</v>
      </c>
      <c r="G274" s="257">
        <v>1500000</v>
      </c>
      <c r="H274" s="257">
        <v>0</v>
      </c>
      <c r="I274" s="257">
        <v>924876.5</v>
      </c>
      <c r="J274" s="257">
        <v>0</v>
      </c>
      <c r="K274" s="257">
        <v>575123.5</v>
      </c>
      <c r="L274" s="257">
        <v>575123.5</v>
      </c>
      <c r="M274" s="257">
        <v>4500000</v>
      </c>
      <c r="N274" s="257">
        <v>0</v>
      </c>
    </row>
    <row r="275" spans="1:14" s="143" customFormat="1" hidden="1" x14ac:dyDescent="0.25">
      <c r="A275" s="143" t="s">
        <v>707</v>
      </c>
      <c r="B275" s="143" t="s">
        <v>120</v>
      </c>
      <c r="C275" s="143" t="s">
        <v>121</v>
      </c>
      <c r="D275" s="143" t="s">
        <v>69</v>
      </c>
      <c r="E275" s="257">
        <v>411938379</v>
      </c>
      <c r="F275" s="257">
        <v>411938379</v>
      </c>
      <c r="G275" s="257">
        <v>235969190</v>
      </c>
      <c r="H275" s="257">
        <v>0</v>
      </c>
      <c r="I275" s="257">
        <v>119740130.72</v>
      </c>
      <c r="J275" s="257">
        <v>0</v>
      </c>
      <c r="K275" s="257">
        <v>57841673.670000002</v>
      </c>
      <c r="L275" s="257">
        <v>57331397.609999999</v>
      </c>
      <c r="M275" s="257">
        <v>234356574.61000001</v>
      </c>
      <c r="N275" s="257">
        <v>58387385.609999999</v>
      </c>
    </row>
    <row r="276" spans="1:14" s="143" customFormat="1" hidden="1" x14ac:dyDescent="0.25">
      <c r="A276" s="143" t="s">
        <v>707</v>
      </c>
      <c r="B276" s="143" t="s">
        <v>122</v>
      </c>
      <c r="C276" s="143" t="s">
        <v>123</v>
      </c>
      <c r="D276" s="143" t="s">
        <v>69</v>
      </c>
      <c r="E276" s="257">
        <v>77641685</v>
      </c>
      <c r="F276" s="257">
        <v>77641685</v>
      </c>
      <c r="G276" s="257">
        <v>67327277</v>
      </c>
      <c r="H276" s="257">
        <v>0</v>
      </c>
      <c r="I276" s="257">
        <v>25971707</v>
      </c>
      <c r="J276" s="257">
        <v>3477514.4</v>
      </c>
      <c r="K276" s="257">
        <v>10421372.279999999</v>
      </c>
      <c r="L276" s="257">
        <v>10421372.279999999</v>
      </c>
      <c r="M276" s="257">
        <v>37771091.32</v>
      </c>
      <c r="N276" s="257">
        <v>27456683.32</v>
      </c>
    </row>
    <row r="277" spans="1:14" s="143" customFormat="1" hidden="1" x14ac:dyDescent="0.25">
      <c r="A277" s="143" t="s">
        <v>707</v>
      </c>
      <c r="B277" s="143" t="s">
        <v>124</v>
      </c>
      <c r="C277" s="143" t="s">
        <v>125</v>
      </c>
      <c r="D277" s="143" t="s">
        <v>69</v>
      </c>
      <c r="E277" s="257">
        <v>9633760</v>
      </c>
      <c r="F277" s="257">
        <v>9633760</v>
      </c>
      <c r="G277" s="257">
        <v>9633760</v>
      </c>
      <c r="H277" s="257">
        <v>1717600</v>
      </c>
      <c r="I277" s="257">
        <v>3473000</v>
      </c>
      <c r="J277" s="257">
        <v>27000</v>
      </c>
      <c r="K277" s="257">
        <v>0</v>
      </c>
      <c r="L277" s="257">
        <v>0</v>
      </c>
      <c r="M277" s="257">
        <v>4416160</v>
      </c>
      <c r="N277" s="257">
        <v>4416160</v>
      </c>
    </row>
    <row r="278" spans="1:14" s="143" customFormat="1" hidden="1" x14ac:dyDescent="0.25">
      <c r="A278" s="143" t="s">
        <v>707</v>
      </c>
      <c r="B278" s="143" t="s">
        <v>126</v>
      </c>
      <c r="C278" s="143" t="s">
        <v>127</v>
      </c>
      <c r="D278" s="143" t="s">
        <v>69</v>
      </c>
      <c r="E278" s="257">
        <v>5513760</v>
      </c>
      <c r="F278" s="257">
        <v>5513760</v>
      </c>
      <c r="G278" s="257">
        <v>5513760</v>
      </c>
      <c r="H278" s="257">
        <v>0</v>
      </c>
      <c r="I278" s="257">
        <v>2973000</v>
      </c>
      <c r="J278" s="257">
        <v>27000</v>
      </c>
      <c r="K278" s="257">
        <v>0</v>
      </c>
      <c r="L278" s="257">
        <v>0</v>
      </c>
      <c r="M278" s="257">
        <v>2513760</v>
      </c>
      <c r="N278" s="257">
        <v>2513760</v>
      </c>
    </row>
    <row r="279" spans="1:14" s="143" customFormat="1" hidden="1" x14ac:dyDescent="0.25">
      <c r="A279" s="143" t="s">
        <v>707</v>
      </c>
      <c r="B279" s="143" t="s">
        <v>128</v>
      </c>
      <c r="C279" s="143" t="s">
        <v>129</v>
      </c>
      <c r="D279" s="143" t="s">
        <v>69</v>
      </c>
      <c r="E279" s="257">
        <v>2620000</v>
      </c>
      <c r="F279" s="257">
        <v>2620000</v>
      </c>
      <c r="G279" s="257">
        <v>2620000</v>
      </c>
      <c r="H279" s="257">
        <v>1717600</v>
      </c>
      <c r="I279" s="257">
        <v>0</v>
      </c>
      <c r="J279" s="257">
        <v>0</v>
      </c>
      <c r="K279" s="257">
        <v>0</v>
      </c>
      <c r="L279" s="257">
        <v>0</v>
      </c>
      <c r="M279" s="257">
        <v>902400</v>
      </c>
      <c r="N279" s="257">
        <v>902400</v>
      </c>
    </row>
    <row r="280" spans="1:14" s="143" customFormat="1" hidden="1" x14ac:dyDescent="0.25">
      <c r="A280" s="143" t="s">
        <v>707</v>
      </c>
      <c r="B280" s="143" t="s">
        <v>132</v>
      </c>
      <c r="C280" s="143" t="s">
        <v>133</v>
      </c>
      <c r="D280" s="143" t="s">
        <v>69</v>
      </c>
      <c r="E280" s="257">
        <v>1500000</v>
      </c>
      <c r="F280" s="257">
        <v>1500000</v>
      </c>
      <c r="G280" s="257">
        <v>1500000</v>
      </c>
      <c r="H280" s="257">
        <v>0</v>
      </c>
      <c r="I280" s="257">
        <v>500000</v>
      </c>
      <c r="J280" s="257">
        <v>0</v>
      </c>
      <c r="K280" s="257">
        <v>0</v>
      </c>
      <c r="L280" s="257">
        <v>0</v>
      </c>
      <c r="M280" s="257">
        <v>1000000</v>
      </c>
      <c r="N280" s="257">
        <v>1000000</v>
      </c>
    </row>
    <row r="281" spans="1:14" s="143" customFormat="1" hidden="1" x14ac:dyDescent="0.25">
      <c r="A281" s="143" t="s">
        <v>707</v>
      </c>
      <c r="B281" s="143" t="s">
        <v>134</v>
      </c>
      <c r="C281" s="143" t="s">
        <v>135</v>
      </c>
      <c r="D281" s="143" t="s">
        <v>69</v>
      </c>
      <c r="E281" s="257">
        <v>312558343</v>
      </c>
      <c r="F281" s="257">
        <v>309558343</v>
      </c>
      <c r="G281" s="257">
        <v>309558343</v>
      </c>
      <c r="H281" s="257">
        <v>8343113.7000000002</v>
      </c>
      <c r="I281" s="257">
        <v>144133480</v>
      </c>
      <c r="J281" s="257">
        <v>11692081.140000001</v>
      </c>
      <c r="K281" s="257">
        <v>64590083.32</v>
      </c>
      <c r="L281" s="257">
        <v>55154393.270000003</v>
      </c>
      <c r="M281" s="257">
        <v>80799584.840000004</v>
      </c>
      <c r="N281" s="257">
        <v>80799584.840000004</v>
      </c>
    </row>
    <row r="282" spans="1:14" s="143" customFormat="1" hidden="1" x14ac:dyDescent="0.25">
      <c r="A282" s="143" t="s">
        <v>707</v>
      </c>
      <c r="B282" s="143" t="s">
        <v>346</v>
      </c>
      <c r="C282" s="143" t="s">
        <v>347</v>
      </c>
      <c r="D282" s="143" t="s">
        <v>69</v>
      </c>
      <c r="E282" s="257">
        <v>34001608</v>
      </c>
      <c r="F282" s="257">
        <v>31001608</v>
      </c>
      <c r="G282" s="257">
        <v>31001608</v>
      </c>
      <c r="H282" s="257">
        <v>0</v>
      </c>
      <c r="I282" s="257">
        <v>1614927.85</v>
      </c>
      <c r="J282" s="257">
        <v>0</v>
      </c>
      <c r="K282" s="257">
        <v>5765395.9900000002</v>
      </c>
      <c r="L282" s="257">
        <v>5765395.9900000002</v>
      </c>
      <c r="M282" s="257">
        <v>23621284.16</v>
      </c>
      <c r="N282" s="257">
        <v>23621284.16</v>
      </c>
    </row>
    <row r="283" spans="1:14" s="143" customFormat="1" hidden="1" x14ac:dyDescent="0.25">
      <c r="A283" s="143" t="s">
        <v>707</v>
      </c>
      <c r="B283" s="143" t="s">
        <v>308</v>
      </c>
      <c r="C283" s="143" t="s">
        <v>309</v>
      </c>
      <c r="D283" s="143" t="s">
        <v>69</v>
      </c>
      <c r="E283" s="257">
        <v>95000000</v>
      </c>
      <c r="F283" s="257">
        <v>95000000</v>
      </c>
      <c r="G283" s="257">
        <v>95000000</v>
      </c>
      <c r="H283" s="257">
        <v>8343113.7000000002</v>
      </c>
      <c r="I283" s="257">
        <v>51641926.490000002</v>
      </c>
      <c r="J283" s="257">
        <v>617468.89</v>
      </c>
      <c r="K283" s="257">
        <v>14261560.460000001</v>
      </c>
      <c r="L283" s="257">
        <v>9415333.3300000001</v>
      </c>
      <c r="M283" s="257">
        <v>20135930.460000001</v>
      </c>
      <c r="N283" s="257">
        <v>20135930.460000001</v>
      </c>
    </row>
    <row r="284" spans="1:14" s="143" customFormat="1" hidden="1" x14ac:dyDescent="0.25">
      <c r="A284" s="143" t="s">
        <v>707</v>
      </c>
      <c r="B284" s="143" t="s">
        <v>136</v>
      </c>
      <c r="C284" s="143" t="s">
        <v>137</v>
      </c>
      <c r="D284" s="143" t="s">
        <v>69</v>
      </c>
      <c r="E284" s="257">
        <v>131200000</v>
      </c>
      <c r="F284" s="257">
        <v>131200000</v>
      </c>
      <c r="G284" s="257">
        <v>131200000</v>
      </c>
      <c r="H284" s="257">
        <v>0</v>
      </c>
      <c r="I284" s="257">
        <v>70828347.959999993</v>
      </c>
      <c r="J284" s="257">
        <v>5262460.68</v>
      </c>
      <c r="K284" s="257">
        <v>32845840.690000001</v>
      </c>
      <c r="L284" s="257">
        <v>29450077.690000001</v>
      </c>
      <c r="M284" s="257">
        <v>22263350.670000002</v>
      </c>
      <c r="N284" s="257">
        <v>22263350.670000002</v>
      </c>
    </row>
    <row r="285" spans="1:14" s="143" customFormat="1" hidden="1" x14ac:dyDescent="0.25">
      <c r="A285" s="143" t="s">
        <v>707</v>
      </c>
      <c r="B285" s="143" t="s">
        <v>138</v>
      </c>
      <c r="C285" s="143" t="s">
        <v>139</v>
      </c>
      <c r="D285" s="143" t="s">
        <v>69</v>
      </c>
      <c r="E285" s="257">
        <v>52356735</v>
      </c>
      <c r="F285" s="257">
        <v>52356735</v>
      </c>
      <c r="G285" s="257">
        <v>52356735</v>
      </c>
      <c r="H285" s="257">
        <v>0</v>
      </c>
      <c r="I285" s="257">
        <v>20048277.699999999</v>
      </c>
      <c r="J285" s="257">
        <v>5812151.5700000003</v>
      </c>
      <c r="K285" s="257">
        <v>11717286.18</v>
      </c>
      <c r="L285" s="257">
        <v>10523586.26</v>
      </c>
      <c r="M285" s="257">
        <v>14779019.550000001</v>
      </c>
      <c r="N285" s="257">
        <v>14779019.550000001</v>
      </c>
    </row>
    <row r="286" spans="1:14" s="143" customFormat="1" hidden="1" x14ac:dyDescent="0.25">
      <c r="A286" s="143" t="s">
        <v>707</v>
      </c>
      <c r="B286" s="143" t="s">
        <v>140</v>
      </c>
      <c r="C286" s="143" t="s">
        <v>141</v>
      </c>
      <c r="D286" s="143" t="s">
        <v>69</v>
      </c>
      <c r="E286" s="257">
        <v>134000000</v>
      </c>
      <c r="F286" s="257">
        <v>134000000</v>
      </c>
      <c r="G286" s="257">
        <v>67000000</v>
      </c>
      <c r="H286" s="257">
        <v>0</v>
      </c>
      <c r="I286" s="257">
        <v>20104798</v>
      </c>
      <c r="J286" s="257">
        <v>0</v>
      </c>
      <c r="K286" s="257">
        <v>24919599</v>
      </c>
      <c r="L286" s="257">
        <v>24727599</v>
      </c>
      <c r="M286" s="257">
        <v>88975603</v>
      </c>
      <c r="N286" s="257">
        <v>21975603</v>
      </c>
    </row>
    <row r="287" spans="1:14" s="143" customFormat="1" hidden="1" x14ac:dyDescent="0.25">
      <c r="A287" s="143" t="s">
        <v>707</v>
      </c>
      <c r="B287" s="143" t="s">
        <v>142</v>
      </c>
      <c r="C287" s="143" t="s">
        <v>143</v>
      </c>
      <c r="D287" s="143" t="s">
        <v>69</v>
      </c>
      <c r="E287" s="257">
        <v>4000000</v>
      </c>
      <c r="F287" s="257">
        <v>4000000</v>
      </c>
      <c r="G287" s="257">
        <v>2000000</v>
      </c>
      <c r="H287" s="257">
        <v>0</v>
      </c>
      <c r="I287" s="257">
        <v>605780</v>
      </c>
      <c r="J287" s="257">
        <v>0</v>
      </c>
      <c r="K287" s="257">
        <v>763535</v>
      </c>
      <c r="L287" s="257">
        <v>763535</v>
      </c>
      <c r="M287" s="257">
        <v>2630685</v>
      </c>
      <c r="N287" s="257">
        <v>630685</v>
      </c>
    </row>
    <row r="288" spans="1:14" s="143" customFormat="1" hidden="1" x14ac:dyDescent="0.25">
      <c r="A288" s="143" t="s">
        <v>707</v>
      </c>
      <c r="B288" s="143" t="s">
        <v>144</v>
      </c>
      <c r="C288" s="143" t="s">
        <v>145</v>
      </c>
      <c r="D288" s="143" t="s">
        <v>69</v>
      </c>
      <c r="E288" s="257">
        <v>130000000</v>
      </c>
      <c r="F288" s="257">
        <v>130000000</v>
      </c>
      <c r="G288" s="257">
        <v>65000000</v>
      </c>
      <c r="H288" s="257">
        <v>0</v>
      </c>
      <c r="I288" s="257">
        <v>19499018</v>
      </c>
      <c r="J288" s="257">
        <v>0</v>
      </c>
      <c r="K288" s="257">
        <v>24156064</v>
      </c>
      <c r="L288" s="257">
        <v>23964064</v>
      </c>
      <c r="M288" s="257">
        <v>86344918</v>
      </c>
      <c r="N288" s="257">
        <v>21344918</v>
      </c>
    </row>
    <row r="289" spans="1:14" s="143" customFormat="1" hidden="1" x14ac:dyDescent="0.25">
      <c r="A289" s="143" t="s">
        <v>707</v>
      </c>
      <c r="B289" s="143" t="s">
        <v>150</v>
      </c>
      <c r="C289" s="143" t="s">
        <v>151</v>
      </c>
      <c r="D289" s="143" t="s">
        <v>69</v>
      </c>
      <c r="E289" s="257">
        <v>1300000000</v>
      </c>
      <c r="F289" s="257">
        <v>1300000000</v>
      </c>
      <c r="G289" s="257">
        <v>465850924</v>
      </c>
      <c r="H289" s="257">
        <v>0</v>
      </c>
      <c r="I289" s="257">
        <v>13006801.699999999</v>
      </c>
      <c r="J289" s="257">
        <v>0</v>
      </c>
      <c r="K289" s="257">
        <v>0</v>
      </c>
      <c r="L289" s="257">
        <v>0</v>
      </c>
      <c r="M289" s="257">
        <v>1286993198.3</v>
      </c>
      <c r="N289" s="257">
        <v>452844122.30000001</v>
      </c>
    </row>
    <row r="290" spans="1:14" s="143" customFormat="1" hidden="1" x14ac:dyDescent="0.25">
      <c r="A290" s="143" t="s">
        <v>707</v>
      </c>
      <c r="B290" s="143" t="s">
        <v>152</v>
      </c>
      <c r="C290" s="143" t="s">
        <v>153</v>
      </c>
      <c r="D290" s="143" t="s">
        <v>69</v>
      </c>
      <c r="E290" s="257">
        <v>1300000000</v>
      </c>
      <c r="F290" s="257">
        <v>1300000000</v>
      </c>
      <c r="G290" s="257">
        <v>465850924</v>
      </c>
      <c r="H290" s="257">
        <v>0</v>
      </c>
      <c r="I290" s="257">
        <v>13006801.699999999</v>
      </c>
      <c r="J290" s="257">
        <v>0</v>
      </c>
      <c r="K290" s="257">
        <v>0</v>
      </c>
      <c r="L290" s="257">
        <v>0</v>
      </c>
      <c r="M290" s="257">
        <v>1286993198.3</v>
      </c>
      <c r="N290" s="257">
        <v>452844122.30000001</v>
      </c>
    </row>
    <row r="291" spans="1:14" s="143" customFormat="1" hidden="1" x14ac:dyDescent="0.25">
      <c r="A291" s="143" t="s">
        <v>707</v>
      </c>
      <c r="B291" s="143" t="s">
        <v>154</v>
      </c>
      <c r="C291" s="143" t="s">
        <v>155</v>
      </c>
      <c r="D291" s="143" t="s">
        <v>69</v>
      </c>
      <c r="E291" s="257">
        <v>5000000</v>
      </c>
      <c r="F291" s="257">
        <v>5000000</v>
      </c>
      <c r="G291" s="257">
        <v>1303100</v>
      </c>
      <c r="H291" s="257">
        <v>158100</v>
      </c>
      <c r="I291" s="257">
        <v>1145000</v>
      </c>
      <c r="J291" s="257">
        <v>0</v>
      </c>
      <c r="K291" s="257">
        <v>0</v>
      </c>
      <c r="L291" s="257">
        <v>0</v>
      </c>
      <c r="M291" s="257">
        <v>3696900</v>
      </c>
      <c r="N291" s="257">
        <v>0</v>
      </c>
    </row>
    <row r="292" spans="1:14" s="143" customFormat="1" hidden="1" x14ac:dyDescent="0.25">
      <c r="A292" s="143" t="s">
        <v>707</v>
      </c>
      <c r="B292" s="143" t="s">
        <v>156</v>
      </c>
      <c r="C292" s="143" t="s">
        <v>157</v>
      </c>
      <c r="D292" s="143" t="s">
        <v>69</v>
      </c>
      <c r="E292" s="257">
        <v>5000000</v>
      </c>
      <c r="F292" s="257">
        <v>5000000</v>
      </c>
      <c r="G292" s="257">
        <v>1303100</v>
      </c>
      <c r="H292" s="257">
        <v>158100</v>
      </c>
      <c r="I292" s="257">
        <v>1145000</v>
      </c>
      <c r="J292" s="257">
        <v>0</v>
      </c>
      <c r="K292" s="257">
        <v>0</v>
      </c>
      <c r="L292" s="257">
        <v>0</v>
      </c>
      <c r="M292" s="257">
        <v>3696900</v>
      </c>
      <c r="N292" s="257">
        <v>0</v>
      </c>
    </row>
    <row r="293" spans="1:14" s="143" customFormat="1" hidden="1" x14ac:dyDescent="0.25">
      <c r="A293" s="143" t="s">
        <v>707</v>
      </c>
      <c r="B293" s="143" t="s">
        <v>162</v>
      </c>
      <c r="C293" s="143" t="s">
        <v>163</v>
      </c>
      <c r="D293" s="143" t="s">
        <v>69</v>
      </c>
      <c r="E293" s="257">
        <v>932264008</v>
      </c>
      <c r="F293" s="257">
        <v>930264008</v>
      </c>
      <c r="G293" s="257">
        <v>849277843</v>
      </c>
      <c r="H293" s="257">
        <v>6086959.7000000002</v>
      </c>
      <c r="I293" s="257">
        <v>358661154</v>
      </c>
      <c r="J293" s="257">
        <v>2086952.98</v>
      </c>
      <c r="K293" s="257">
        <v>231702465.94999999</v>
      </c>
      <c r="L293" s="257">
        <v>186185771.84999999</v>
      </c>
      <c r="M293" s="257">
        <v>331726475.37</v>
      </c>
      <c r="N293" s="257">
        <v>250740310.37</v>
      </c>
    </row>
    <row r="294" spans="1:14" s="143" customFormat="1" hidden="1" x14ac:dyDescent="0.25">
      <c r="A294" s="143" t="s">
        <v>707</v>
      </c>
      <c r="B294" s="143" t="s">
        <v>310</v>
      </c>
      <c r="C294" s="143" t="s">
        <v>311</v>
      </c>
      <c r="D294" s="143" t="s">
        <v>69</v>
      </c>
      <c r="E294" s="257">
        <v>120656000</v>
      </c>
      <c r="F294" s="257">
        <v>118656000</v>
      </c>
      <c r="G294" s="257">
        <v>58994667</v>
      </c>
      <c r="H294" s="257">
        <v>0</v>
      </c>
      <c r="I294" s="257">
        <v>25569875.879999999</v>
      </c>
      <c r="J294" s="257">
        <v>0</v>
      </c>
      <c r="K294" s="257">
        <v>563945.71</v>
      </c>
      <c r="L294" s="257">
        <v>473545.71</v>
      </c>
      <c r="M294" s="257">
        <v>92522178.409999996</v>
      </c>
      <c r="N294" s="257">
        <v>32860845.41</v>
      </c>
    </row>
    <row r="295" spans="1:14" s="143" customFormat="1" hidden="1" x14ac:dyDescent="0.25">
      <c r="A295" s="143" t="s">
        <v>707</v>
      </c>
      <c r="B295" s="143" t="s">
        <v>164</v>
      </c>
      <c r="C295" s="143" t="s">
        <v>165</v>
      </c>
      <c r="D295" s="143" t="s">
        <v>69</v>
      </c>
      <c r="E295" s="257">
        <v>504520000</v>
      </c>
      <c r="F295" s="257">
        <v>504520000</v>
      </c>
      <c r="G295" s="257">
        <v>504520000</v>
      </c>
      <c r="H295" s="257">
        <v>0</v>
      </c>
      <c r="I295" s="257">
        <v>244419320.25</v>
      </c>
      <c r="J295" s="257">
        <v>2086952.98</v>
      </c>
      <c r="K295" s="257">
        <v>149114214.34999999</v>
      </c>
      <c r="L295" s="257">
        <v>121830207.95999999</v>
      </c>
      <c r="M295" s="257">
        <v>108899512.42</v>
      </c>
      <c r="N295" s="257">
        <v>108899512.42</v>
      </c>
    </row>
    <row r="296" spans="1:14" s="143" customFormat="1" hidden="1" x14ac:dyDescent="0.25">
      <c r="A296" s="143" t="s">
        <v>707</v>
      </c>
      <c r="B296" s="143" t="s">
        <v>166</v>
      </c>
      <c r="C296" s="143" t="s">
        <v>167</v>
      </c>
      <c r="D296" s="143" t="s">
        <v>69</v>
      </c>
      <c r="E296" s="257">
        <v>95028648</v>
      </c>
      <c r="F296" s="257">
        <v>95028648</v>
      </c>
      <c r="G296" s="257">
        <v>95028648</v>
      </c>
      <c r="H296" s="257">
        <v>0</v>
      </c>
      <c r="I296" s="257">
        <v>47687122.890000001</v>
      </c>
      <c r="J296" s="257">
        <v>0</v>
      </c>
      <c r="K296" s="257">
        <v>44434521.539999999</v>
      </c>
      <c r="L296" s="257">
        <v>44280057.32</v>
      </c>
      <c r="M296" s="257">
        <v>2907003.57</v>
      </c>
      <c r="N296" s="257">
        <v>2907003.57</v>
      </c>
    </row>
    <row r="297" spans="1:14" s="143" customFormat="1" hidden="1" x14ac:dyDescent="0.25">
      <c r="A297" s="143" t="s">
        <v>707</v>
      </c>
      <c r="B297" s="143" t="s">
        <v>312</v>
      </c>
      <c r="C297" s="143" t="s">
        <v>313</v>
      </c>
      <c r="D297" s="143" t="s">
        <v>69</v>
      </c>
      <c r="E297" s="257">
        <v>3000000</v>
      </c>
      <c r="F297" s="257">
        <v>3000000</v>
      </c>
      <c r="G297" s="257">
        <v>3000000</v>
      </c>
      <c r="H297" s="257">
        <v>0</v>
      </c>
      <c r="I297" s="257">
        <v>0</v>
      </c>
      <c r="J297" s="257">
        <v>0</v>
      </c>
      <c r="K297" s="257">
        <v>0</v>
      </c>
      <c r="L297" s="257">
        <v>0</v>
      </c>
      <c r="M297" s="257">
        <v>3000000</v>
      </c>
      <c r="N297" s="257">
        <v>3000000</v>
      </c>
    </row>
    <row r="298" spans="1:14" s="143" customFormat="1" hidden="1" x14ac:dyDescent="0.25">
      <c r="A298" s="143" t="s">
        <v>707</v>
      </c>
      <c r="B298" s="143" t="s">
        <v>168</v>
      </c>
      <c r="C298" s="143" t="s">
        <v>169</v>
      </c>
      <c r="D298" s="143" t="s">
        <v>69</v>
      </c>
      <c r="E298" s="257">
        <v>16864852</v>
      </c>
      <c r="F298" s="257">
        <v>16864852</v>
      </c>
      <c r="G298" s="257">
        <v>11257762</v>
      </c>
      <c r="H298" s="257">
        <v>0</v>
      </c>
      <c r="I298" s="257">
        <v>6055932.75</v>
      </c>
      <c r="J298" s="257">
        <v>0</v>
      </c>
      <c r="K298" s="257">
        <v>1947922.25</v>
      </c>
      <c r="L298" s="257">
        <v>866710</v>
      </c>
      <c r="M298" s="257">
        <v>8860997</v>
      </c>
      <c r="N298" s="257">
        <v>3253907</v>
      </c>
    </row>
    <row r="299" spans="1:14" s="143" customFormat="1" hidden="1" x14ac:dyDescent="0.25">
      <c r="A299" s="143" t="s">
        <v>707</v>
      </c>
      <c r="B299" s="143" t="s">
        <v>170</v>
      </c>
      <c r="C299" s="143" t="s">
        <v>171</v>
      </c>
      <c r="D299" s="143" t="s">
        <v>69</v>
      </c>
      <c r="E299" s="257">
        <v>40562000</v>
      </c>
      <c r="F299" s="257">
        <v>40562000</v>
      </c>
      <c r="G299" s="257">
        <v>24844258</v>
      </c>
      <c r="H299" s="257">
        <v>0</v>
      </c>
      <c r="I299" s="257">
        <v>13122638.189999999</v>
      </c>
      <c r="J299" s="257">
        <v>0</v>
      </c>
      <c r="K299" s="257">
        <v>0</v>
      </c>
      <c r="L299" s="257">
        <v>0</v>
      </c>
      <c r="M299" s="257">
        <v>27439361.809999999</v>
      </c>
      <c r="N299" s="257">
        <v>11721619.810000001</v>
      </c>
    </row>
    <row r="300" spans="1:14" s="143" customFormat="1" hidden="1" x14ac:dyDescent="0.25">
      <c r="A300" s="143" t="s">
        <v>707</v>
      </c>
      <c r="B300" s="143" t="s">
        <v>172</v>
      </c>
      <c r="C300" s="143" t="s">
        <v>173</v>
      </c>
      <c r="D300" s="143" t="s">
        <v>69</v>
      </c>
      <c r="E300" s="257">
        <v>151632508</v>
      </c>
      <c r="F300" s="257">
        <v>151632508</v>
      </c>
      <c r="G300" s="257">
        <v>151632508</v>
      </c>
      <c r="H300" s="257">
        <v>6086959.7000000002</v>
      </c>
      <c r="I300" s="257">
        <v>21806264.039999999</v>
      </c>
      <c r="J300" s="257">
        <v>0</v>
      </c>
      <c r="K300" s="257">
        <v>35641862.100000001</v>
      </c>
      <c r="L300" s="257">
        <v>18735250.859999999</v>
      </c>
      <c r="M300" s="257">
        <v>88097422.159999996</v>
      </c>
      <c r="N300" s="257">
        <v>88097422.159999996</v>
      </c>
    </row>
    <row r="301" spans="1:14" s="143" customFormat="1" hidden="1" x14ac:dyDescent="0.25">
      <c r="A301" s="143" t="s">
        <v>707</v>
      </c>
      <c r="B301" s="143" t="s">
        <v>164</v>
      </c>
      <c r="C301" s="143" t="s">
        <v>165</v>
      </c>
      <c r="D301" s="143" t="s">
        <v>85</v>
      </c>
      <c r="E301" s="257">
        <v>0</v>
      </c>
      <c r="F301" s="257">
        <v>0</v>
      </c>
      <c r="G301" s="257">
        <v>0</v>
      </c>
      <c r="H301" s="257">
        <v>0</v>
      </c>
      <c r="I301" s="257">
        <v>0</v>
      </c>
      <c r="J301" s="257">
        <v>0</v>
      </c>
      <c r="K301" s="257">
        <v>0</v>
      </c>
      <c r="L301" s="257">
        <v>0</v>
      </c>
      <c r="M301" s="257">
        <v>0</v>
      </c>
      <c r="N301" s="257">
        <v>0</v>
      </c>
    </row>
    <row r="302" spans="1:14" s="143" customFormat="1" hidden="1" x14ac:dyDescent="0.25">
      <c r="A302" s="143" t="s">
        <v>707</v>
      </c>
      <c r="B302" s="143" t="s">
        <v>174</v>
      </c>
      <c r="C302" s="143" t="s">
        <v>175</v>
      </c>
      <c r="D302" s="143" t="s">
        <v>69</v>
      </c>
      <c r="E302" s="257">
        <v>18000000</v>
      </c>
      <c r="F302" s="257">
        <v>18000000</v>
      </c>
      <c r="G302" s="257">
        <v>9000000</v>
      </c>
      <c r="H302" s="257">
        <v>0</v>
      </c>
      <c r="I302" s="257">
        <v>1413520</v>
      </c>
      <c r="J302" s="257">
        <v>0</v>
      </c>
      <c r="K302" s="257">
        <v>136480</v>
      </c>
      <c r="L302" s="257">
        <v>136480</v>
      </c>
      <c r="M302" s="257">
        <v>16450000</v>
      </c>
      <c r="N302" s="257">
        <v>7450000</v>
      </c>
    </row>
    <row r="303" spans="1:14" s="143" customFormat="1" hidden="1" x14ac:dyDescent="0.25">
      <c r="A303" s="143" t="s">
        <v>707</v>
      </c>
      <c r="B303" s="143" t="s">
        <v>176</v>
      </c>
      <c r="C303" s="143" t="s">
        <v>177</v>
      </c>
      <c r="D303" s="143" t="s">
        <v>69</v>
      </c>
      <c r="E303" s="257">
        <v>18000000</v>
      </c>
      <c r="F303" s="257">
        <v>18000000</v>
      </c>
      <c r="G303" s="257">
        <v>9000000</v>
      </c>
      <c r="H303" s="257">
        <v>0</v>
      </c>
      <c r="I303" s="257">
        <v>1413520</v>
      </c>
      <c r="J303" s="257">
        <v>0</v>
      </c>
      <c r="K303" s="257">
        <v>136480</v>
      </c>
      <c r="L303" s="257">
        <v>136480</v>
      </c>
      <c r="M303" s="257">
        <v>16450000</v>
      </c>
      <c r="N303" s="257">
        <v>7450000</v>
      </c>
    </row>
    <row r="304" spans="1:14" s="143" customFormat="1" hidden="1" x14ac:dyDescent="0.25">
      <c r="A304" s="143" t="s">
        <v>707</v>
      </c>
      <c r="B304" s="143" t="s">
        <v>178</v>
      </c>
      <c r="C304" s="143" t="s">
        <v>179</v>
      </c>
      <c r="D304" s="143" t="s">
        <v>69</v>
      </c>
      <c r="E304" s="257">
        <v>36890625</v>
      </c>
      <c r="F304" s="257">
        <v>38890625</v>
      </c>
      <c r="G304" s="257">
        <v>15093469</v>
      </c>
      <c r="H304" s="257">
        <v>0</v>
      </c>
      <c r="I304" s="257">
        <v>5722329.9000000004</v>
      </c>
      <c r="J304" s="257">
        <v>0</v>
      </c>
      <c r="K304" s="257">
        <v>1809766.89</v>
      </c>
      <c r="L304" s="257">
        <v>1809766.89</v>
      </c>
      <c r="M304" s="257">
        <v>31358528.210000001</v>
      </c>
      <c r="N304" s="257">
        <v>7561372.21</v>
      </c>
    </row>
    <row r="305" spans="1:14" s="143" customFormat="1" hidden="1" x14ac:dyDescent="0.25">
      <c r="A305" s="143" t="s">
        <v>707</v>
      </c>
      <c r="B305" s="143" t="s">
        <v>348</v>
      </c>
      <c r="C305" s="143" t="s">
        <v>349</v>
      </c>
      <c r="D305" s="143" t="s">
        <v>69</v>
      </c>
      <c r="E305" s="257">
        <v>3000000</v>
      </c>
      <c r="F305" s="257">
        <v>5000000</v>
      </c>
      <c r="G305" s="257">
        <v>3703157</v>
      </c>
      <c r="H305" s="257">
        <v>0</v>
      </c>
      <c r="I305" s="257">
        <v>1110223.8</v>
      </c>
      <c r="J305" s="257">
        <v>0</v>
      </c>
      <c r="K305" s="257">
        <v>1809766.89</v>
      </c>
      <c r="L305" s="257">
        <v>1809766.89</v>
      </c>
      <c r="M305" s="257">
        <v>2080009.31</v>
      </c>
      <c r="N305" s="257">
        <v>783166.31</v>
      </c>
    </row>
    <row r="306" spans="1:14" s="143" customFormat="1" hidden="1" x14ac:dyDescent="0.25">
      <c r="A306" s="143" t="s">
        <v>707</v>
      </c>
      <c r="B306" s="143" t="s">
        <v>180</v>
      </c>
      <c r="C306" s="143" t="s">
        <v>181</v>
      </c>
      <c r="D306" s="143" t="s">
        <v>69</v>
      </c>
      <c r="E306" s="257">
        <v>19500000</v>
      </c>
      <c r="F306" s="257">
        <v>19500000</v>
      </c>
      <c r="G306" s="257">
        <v>4195000</v>
      </c>
      <c r="H306" s="257">
        <v>0</v>
      </c>
      <c r="I306" s="257">
        <v>1426615.85</v>
      </c>
      <c r="J306" s="257">
        <v>0</v>
      </c>
      <c r="K306" s="257">
        <v>0</v>
      </c>
      <c r="L306" s="257">
        <v>0</v>
      </c>
      <c r="M306" s="257">
        <v>18073384.149999999</v>
      </c>
      <c r="N306" s="257">
        <v>2768384.15</v>
      </c>
    </row>
    <row r="307" spans="1:14" s="143" customFormat="1" hidden="1" x14ac:dyDescent="0.25">
      <c r="A307" s="143" t="s">
        <v>707</v>
      </c>
      <c r="B307" s="143" t="s">
        <v>182</v>
      </c>
      <c r="C307" s="143" t="s">
        <v>183</v>
      </c>
      <c r="D307" s="143" t="s">
        <v>69</v>
      </c>
      <c r="E307" s="257">
        <v>14390625</v>
      </c>
      <c r="F307" s="257">
        <v>14390625</v>
      </c>
      <c r="G307" s="257">
        <v>7195312</v>
      </c>
      <c r="H307" s="257">
        <v>0</v>
      </c>
      <c r="I307" s="257">
        <v>3185490.25</v>
      </c>
      <c r="J307" s="257">
        <v>0</v>
      </c>
      <c r="K307" s="257">
        <v>0</v>
      </c>
      <c r="L307" s="257">
        <v>0</v>
      </c>
      <c r="M307" s="257">
        <v>11205134.75</v>
      </c>
      <c r="N307" s="257">
        <v>4009821.75</v>
      </c>
    </row>
    <row r="308" spans="1:14" s="143" customFormat="1" hidden="1" x14ac:dyDescent="0.25">
      <c r="A308" s="143" t="s">
        <v>707</v>
      </c>
      <c r="B308" s="143" t="s">
        <v>184</v>
      </c>
      <c r="C308" s="143" t="s">
        <v>185</v>
      </c>
      <c r="D308" s="143" t="s">
        <v>69</v>
      </c>
      <c r="E308" s="257">
        <v>5938711949</v>
      </c>
      <c r="F308" s="257">
        <v>5933217949</v>
      </c>
      <c r="G308" s="257">
        <v>5452620897</v>
      </c>
      <c r="H308" s="257">
        <v>158936059.06</v>
      </c>
      <c r="I308" s="257">
        <v>1704252089.77</v>
      </c>
      <c r="J308" s="257">
        <v>56641744.149999999</v>
      </c>
      <c r="K308" s="257">
        <v>1622277850.6900001</v>
      </c>
      <c r="L308" s="257">
        <v>1385228286.74</v>
      </c>
      <c r="M308" s="257">
        <v>2391110205.3299999</v>
      </c>
      <c r="N308" s="257">
        <v>1910513153.3299999</v>
      </c>
    </row>
    <row r="309" spans="1:14" s="143" customFormat="1" hidden="1" x14ac:dyDescent="0.25">
      <c r="A309" s="143" t="s">
        <v>707</v>
      </c>
      <c r="B309" s="143" t="s">
        <v>186</v>
      </c>
      <c r="C309" s="143" t="s">
        <v>187</v>
      </c>
      <c r="D309" s="143" t="s">
        <v>69</v>
      </c>
      <c r="E309" s="257">
        <v>1018969461</v>
      </c>
      <c r="F309" s="257">
        <v>1016469461</v>
      </c>
      <c r="G309" s="257">
        <v>644996951</v>
      </c>
      <c r="H309" s="257">
        <v>3221790.94</v>
      </c>
      <c r="I309" s="257">
        <v>248961612.44</v>
      </c>
      <c r="J309" s="257">
        <v>0</v>
      </c>
      <c r="K309" s="257">
        <v>288595672.91000003</v>
      </c>
      <c r="L309" s="257">
        <v>241890601.96000001</v>
      </c>
      <c r="M309" s="257">
        <v>475690384.70999998</v>
      </c>
      <c r="N309" s="257">
        <v>104217874.70999999</v>
      </c>
    </row>
    <row r="310" spans="1:14" s="143" customFormat="1" hidden="1" x14ac:dyDescent="0.25">
      <c r="A310" s="143" t="s">
        <v>707</v>
      </c>
      <c r="B310" s="143" t="s">
        <v>188</v>
      </c>
      <c r="C310" s="143" t="s">
        <v>189</v>
      </c>
      <c r="D310" s="143" t="s">
        <v>69</v>
      </c>
      <c r="E310" s="257">
        <v>735778133</v>
      </c>
      <c r="F310" s="257">
        <v>735778133</v>
      </c>
      <c r="G310" s="257">
        <v>367889066</v>
      </c>
      <c r="H310" s="257">
        <v>326250</v>
      </c>
      <c r="I310" s="257">
        <v>81656189.409999996</v>
      </c>
      <c r="J310" s="257">
        <v>0</v>
      </c>
      <c r="K310" s="257">
        <v>209143541.22999999</v>
      </c>
      <c r="L310" s="257">
        <v>205806441.96000001</v>
      </c>
      <c r="M310" s="257">
        <v>444652152.36000001</v>
      </c>
      <c r="N310" s="257">
        <v>76763085.359999999</v>
      </c>
    </row>
    <row r="311" spans="1:14" s="143" customFormat="1" hidden="1" x14ac:dyDescent="0.25">
      <c r="A311" s="143" t="s">
        <v>707</v>
      </c>
      <c r="B311" s="143" t="s">
        <v>190</v>
      </c>
      <c r="C311" s="143" t="s">
        <v>191</v>
      </c>
      <c r="D311" s="143" t="s">
        <v>69</v>
      </c>
      <c r="E311" s="257">
        <v>224830540</v>
      </c>
      <c r="F311" s="257">
        <v>222330540</v>
      </c>
      <c r="G311" s="257">
        <v>222330540</v>
      </c>
      <c r="H311" s="257">
        <v>0</v>
      </c>
      <c r="I311" s="257">
        <v>139553096</v>
      </c>
      <c r="J311" s="257">
        <v>0</v>
      </c>
      <c r="K311" s="257">
        <v>71499000</v>
      </c>
      <c r="L311" s="257">
        <v>34858000</v>
      </c>
      <c r="M311" s="257">
        <v>11278444</v>
      </c>
      <c r="N311" s="257">
        <v>11278444</v>
      </c>
    </row>
    <row r="312" spans="1:14" s="143" customFormat="1" hidden="1" x14ac:dyDescent="0.25">
      <c r="A312" s="143" t="s">
        <v>707</v>
      </c>
      <c r="B312" s="143" t="s">
        <v>350</v>
      </c>
      <c r="C312" s="143" t="s">
        <v>351</v>
      </c>
      <c r="D312" s="143" t="s">
        <v>69</v>
      </c>
      <c r="E312" s="257">
        <v>12909188</v>
      </c>
      <c r="F312" s="257">
        <v>12909188</v>
      </c>
      <c r="G312" s="257">
        <v>12909188</v>
      </c>
      <c r="H312" s="257">
        <v>0</v>
      </c>
      <c r="I312" s="257">
        <v>2137089.92</v>
      </c>
      <c r="J312" s="257">
        <v>0</v>
      </c>
      <c r="K312" s="257">
        <v>0</v>
      </c>
      <c r="L312" s="257">
        <v>0</v>
      </c>
      <c r="M312" s="257">
        <v>10772098.08</v>
      </c>
      <c r="N312" s="257">
        <v>10772098.08</v>
      </c>
    </row>
    <row r="313" spans="1:14" s="143" customFormat="1" hidden="1" x14ac:dyDescent="0.25">
      <c r="A313" s="143" t="s">
        <v>707</v>
      </c>
      <c r="B313" s="143" t="s">
        <v>192</v>
      </c>
      <c r="C313" s="143" t="s">
        <v>193</v>
      </c>
      <c r="D313" s="143" t="s">
        <v>69</v>
      </c>
      <c r="E313" s="257">
        <v>40465200</v>
      </c>
      <c r="F313" s="257">
        <v>40465200</v>
      </c>
      <c r="G313" s="257">
        <v>36881757</v>
      </c>
      <c r="H313" s="257">
        <v>2895540.94</v>
      </c>
      <c r="I313" s="257">
        <v>25615237.109999999</v>
      </c>
      <c r="J313" s="257">
        <v>0</v>
      </c>
      <c r="K313" s="257">
        <v>6726971.6799999997</v>
      </c>
      <c r="L313" s="257">
        <v>0</v>
      </c>
      <c r="M313" s="257">
        <v>5227450.2699999996</v>
      </c>
      <c r="N313" s="257">
        <v>1644007.27</v>
      </c>
    </row>
    <row r="314" spans="1:14" s="143" customFormat="1" hidden="1" x14ac:dyDescent="0.25">
      <c r="A314" s="143" t="s">
        <v>707</v>
      </c>
      <c r="B314" s="143" t="s">
        <v>194</v>
      </c>
      <c r="C314" s="143" t="s">
        <v>195</v>
      </c>
      <c r="D314" s="143" t="s">
        <v>69</v>
      </c>
      <c r="E314" s="257">
        <v>4986400</v>
      </c>
      <c r="F314" s="257">
        <v>4986400</v>
      </c>
      <c r="G314" s="257">
        <v>4986400</v>
      </c>
      <c r="H314" s="257">
        <v>0</v>
      </c>
      <c r="I314" s="257">
        <v>0</v>
      </c>
      <c r="J314" s="257">
        <v>0</v>
      </c>
      <c r="K314" s="257">
        <v>1226160</v>
      </c>
      <c r="L314" s="257">
        <v>1226160</v>
      </c>
      <c r="M314" s="257">
        <v>3760240</v>
      </c>
      <c r="N314" s="257">
        <v>3760240</v>
      </c>
    </row>
    <row r="315" spans="1:14" s="143" customFormat="1" hidden="1" x14ac:dyDescent="0.25">
      <c r="A315" s="143" t="s">
        <v>707</v>
      </c>
      <c r="B315" s="143" t="s">
        <v>196</v>
      </c>
      <c r="C315" s="143" t="s">
        <v>197</v>
      </c>
      <c r="D315" s="143" t="s">
        <v>69</v>
      </c>
      <c r="E315" s="257">
        <v>1012911000</v>
      </c>
      <c r="F315" s="257">
        <v>1012911000</v>
      </c>
      <c r="G315" s="257">
        <v>1012185900</v>
      </c>
      <c r="H315" s="257">
        <v>12219170.25</v>
      </c>
      <c r="I315" s="257">
        <v>62975773.840000004</v>
      </c>
      <c r="J315" s="257">
        <v>41383366.950000003</v>
      </c>
      <c r="K315" s="257">
        <v>676966838.24000001</v>
      </c>
      <c r="L315" s="257">
        <v>658701561.32000005</v>
      </c>
      <c r="M315" s="257">
        <v>219365850.72</v>
      </c>
      <c r="N315" s="257">
        <v>218640750.72</v>
      </c>
    </row>
    <row r="316" spans="1:14" s="143" customFormat="1" hidden="1" x14ac:dyDescent="0.25">
      <c r="A316" s="143" t="s">
        <v>707</v>
      </c>
      <c r="B316" s="143" t="s">
        <v>198</v>
      </c>
      <c r="C316" s="143" t="s">
        <v>199</v>
      </c>
      <c r="D316" s="143" t="s">
        <v>69</v>
      </c>
      <c r="E316" s="257">
        <v>987000000</v>
      </c>
      <c r="F316" s="257">
        <v>987000000</v>
      </c>
      <c r="G316" s="257">
        <v>987000000</v>
      </c>
      <c r="H316" s="257">
        <v>0</v>
      </c>
      <c r="I316" s="257">
        <v>56321026.840000004</v>
      </c>
      <c r="J316" s="257">
        <v>39658966.950000003</v>
      </c>
      <c r="K316" s="257">
        <v>672501360.74000001</v>
      </c>
      <c r="L316" s="257">
        <v>654236083.82000005</v>
      </c>
      <c r="M316" s="257">
        <v>218518645.47</v>
      </c>
      <c r="N316" s="257">
        <v>218518645.47</v>
      </c>
    </row>
    <row r="317" spans="1:14" s="143" customFormat="1" hidden="1" x14ac:dyDescent="0.25">
      <c r="A317" s="143" t="s">
        <v>707</v>
      </c>
      <c r="B317" s="143" t="s">
        <v>352</v>
      </c>
      <c r="C317" s="143" t="s">
        <v>353</v>
      </c>
      <c r="D317" s="143" t="s">
        <v>69</v>
      </c>
      <c r="E317" s="257">
        <v>25911000</v>
      </c>
      <c r="F317" s="257">
        <v>25911000</v>
      </c>
      <c r="G317" s="257">
        <v>25185900</v>
      </c>
      <c r="H317" s="257">
        <v>12219170.25</v>
      </c>
      <c r="I317" s="257">
        <v>6654747</v>
      </c>
      <c r="J317" s="257">
        <v>1724400</v>
      </c>
      <c r="K317" s="257">
        <v>4465477.5</v>
      </c>
      <c r="L317" s="257">
        <v>4465477.5</v>
      </c>
      <c r="M317" s="257">
        <v>847205.25</v>
      </c>
      <c r="N317" s="257">
        <v>122105.25</v>
      </c>
    </row>
    <row r="318" spans="1:14" s="143" customFormat="1" hidden="1" x14ac:dyDescent="0.25">
      <c r="A318" s="143" t="s">
        <v>707</v>
      </c>
      <c r="B318" s="143" t="s">
        <v>200</v>
      </c>
      <c r="C318" s="143" t="s">
        <v>201</v>
      </c>
      <c r="D318" s="143" t="s">
        <v>69</v>
      </c>
      <c r="E318" s="257">
        <v>492133633</v>
      </c>
      <c r="F318" s="257">
        <v>521010644</v>
      </c>
      <c r="G318" s="257">
        <v>514767202</v>
      </c>
      <c r="H318" s="257">
        <v>18641245</v>
      </c>
      <c r="I318" s="257">
        <v>156994774.59999999</v>
      </c>
      <c r="J318" s="257">
        <v>14936800</v>
      </c>
      <c r="K318" s="257">
        <v>130462064.39</v>
      </c>
      <c r="L318" s="257">
        <v>117973574.39</v>
      </c>
      <c r="M318" s="257">
        <v>199975760.00999999</v>
      </c>
      <c r="N318" s="257">
        <v>193732318.00999999</v>
      </c>
    </row>
    <row r="319" spans="1:14" s="143" customFormat="1" hidden="1" x14ac:dyDescent="0.25">
      <c r="A319" s="143" t="s">
        <v>707</v>
      </c>
      <c r="B319" s="143" t="s">
        <v>314</v>
      </c>
      <c r="C319" s="143" t="s">
        <v>315</v>
      </c>
      <c r="D319" s="143" t="s">
        <v>69</v>
      </c>
      <c r="E319" s="257">
        <v>116502163</v>
      </c>
      <c r="F319" s="257">
        <v>138638873</v>
      </c>
      <c r="G319" s="257">
        <v>138638873</v>
      </c>
      <c r="H319" s="257">
        <v>11686445</v>
      </c>
      <c r="I319" s="257">
        <v>11369924.619999999</v>
      </c>
      <c r="J319" s="257">
        <v>0</v>
      </c>
      <c r="K319" s="257">
        <v>3175235.03</v>
      </c>
      <c r="L319" s="257">
        <v>3175235.03</v>
      </c>
      <c r="M319" s="257">
        <v>112407268.34999999</v>
      </c>
      <c r="N319" s="257">
        <v>112407268.34999999</v>
      </c>
    </row>
    <row r="320" spans="1:14" s="143" customFormat="1" hidden="1" x14ac:dyDescent="0.25">
      <c r="A320" s="143" t="s">
        <v>707</v>
      </c>
      <c r="B320" s="143" t="s">
        <v>316</v>
      </c>
      <c r="C320" s="143" t="s">
        <v>317</v>
      </c>
      <c r="D320" s="143" t="s">
        <v>69</v>
      </c>
      <c r="E320" s="257">
        <v>100168000</v>
      </c>
      <c r="F320" s="257">
        <v>100168000</v>
      </c>
      <c r="G320" s="257">
        <v>100168000</v>
      </c>
      <c r="H320" s="257">
        <v>0</v>
      </c>
      <c r="I320" s="257">
        <v>31544019</v>
      </c>
      <c r="J320" s="257">
        <v>0</v>
      </c>
      <c r="K320" s="257">
        <v>46442088.719999999</v>
      </c>
      <c r="L320" s="257">
        <v>44235198.719999999</v>
      </c>
      <c r="M320" s="257">
        <v>22181892.280000001</v>
      </c>
      <c r="N320" s="257">
        <v>22181892.280000001</v>
      </c>
    </row>
    <row r="321" spans="1:14" s="143" customFormat="1" hidden="1" x14ac:dyDescent="0.25">
      <c r="A321" s="143" t="s">
        <v>707</v>
      </c>
      <c r="B321" s="143" t="s">
        <v>318</v>
      </c>
      <c r="C321" s="143" t="s">
        <v>319</v>
      </c>
      <c r="D321" s="143" t="s">
        <v>69</v>
      </c>
      <c r="E321" s="257">
        <v>88546837</v>
      </c>
      <c r="F321" s="257">
        <v>106752598</v>
      </c>
      <c r="G321" s="257">
        <v>106752598</v>
      </c>
      <c r="H321" s="257">
        <v>0</v>
      </c>
      <c r="I321" s="257">
        <v>19980076</v>
      </c>
      <c r="J321" s="257">
        <v>14936800</v>
      </c>
      <c r="K321" s="257">
        <v>67727454</v>
      </c>
      <c r="L321" s="257">
        <v>57445854</v>
      </c>
      <c r="M321" s="257">
        <v>4108268</v>
      </c>
      <c r="N321" s="257">
        <v>4108268</v>
      </c>
    </row>
    <row r="322" spans="1:14" s="143" customFormat="1" hidden="1" x14ac:dyDescent="0.25">
      <c r="A322" s="143" t="s">
        <v>707</v>
      </c>
      <c r="B322" s="143" t="s">
        <v>202</v>
      </c>
      <c r="C322" s="143" t="s">
        <v>203</v>
      </c>
      <c r="D322" s="143" t="s">
        <v>69</v>
      </c>
      <c r="E322" s="257">
        <v>110456300</v>
      </c>
      <c r="F322" s="257">
        <v>110456300</v>
      </c>
      <c r="G322" s="257">
        <v>105456299</v>
      </c>
      <c r="H322" s="257">
        <v>596300</v>
      </c>
      <c r="I322" s="257">
        <v>68018815.590000004</v>
      </c>
      <c r="J322" s="257">
        <v>0</v>
      </c>
      <c r="K322" s="257">
        <v>1196024.3</v>
      </c>
      <c r="L322" s="257">
        <v>1196024.3</v>
      </c>
      <c r="M322" s="257">
        <v>40645160.109999999</v>
      </c>
      <c r="N322" s="257">
        <v>35645159.109999999</v>
      </c>
    </row>
    <row r="323" spans="1:14" s="143" customFormat="1" hidden="1" x14ac:dyDescent="0.25">
      <c r="A323" s="143" t="s">
        <v>707</v>
      </c>
      <c r="B323" s="143" t="s">
        <v>320</v>
      </c>
      <c r="C323" s="143" t="s">
        <v>321</v>
      </c>
      <c r="D323" s="143" t="s">
        <v>69</v>
      </c>
      <c r="E323" s="257">
        <v>2261183</v>
      </c>
      <c r="F323" s="257">
        <v>2261183</v>
      </c>
      <c r="G323" s="257">
        <v>1140592</v>
      </c>
      <c r="H323" s="257">
        <v>0</v>
      </c>
      <c r="I323" s="257">
        <v>0</v>
      </c>
      <c r="J323" s="257">
        <v>0</v>
      </c>
      <c r="K323" s="257">
        <v>0</v>
      </c>
      <c r="L323" s="257">
        <v>0</v>
      </c>
      <c r="M323" s="257">
        <v>2261183</v>
      </c>
      <c r="N323" s="257">
        <v>1140592</v>
      </c>
    </row>
    <row r="324" spans="1:14" s="143" customFormat="1" hidden="1" x14ac:dyDescent="0.25">
      <c r="A324" s="143" t="s">
        <v>707</v>
      </c>
      <c r="B324" s="143" t="s">
        <v>204</v>
      </c>
      <c r="C324" s="143" t="s">
        <v>205</v>
      </c>
      <c r="D324" s="143" t="s">
        <v>69</v>
      </c>
      <c r="E324" s="257">
        <v>51120350</v>
      </c>
      <c r="F324" s="257">
        <v>39654890</v>
      </c>
      <c r="G324" s="257">
        <v>39532040</v>
      </c>
      <c r="H324" s="257">
        <v>754000</v>
      </c>
      <c r="I324" s="257">
        <v>21647274.59</v>
      </c>
      <c r="J324" s="257">
        <v>0</v>
      </c>
      <c r="K324" s="257">
        <v>2311164.38</v>
      </c>
      <c r="L324" s="257">
        <v>2311164.38</v>
      </c>
      <c r="M324" s="257">
        <v>14942451.029999999</v>
      </c>
      <c r="N324" s="257">
        <v>14819601.029999999</v>
      </c>
    </row>
    <row r="325" spans="1:14" s="143" customFormat="1" hidden="1" x14ac:dyDescent="0.25">
      <c r="A325" s="143" t="s">
        <v>707</v>
      </c>
      <c r="B325" s="143" t="s">
        <v>322</v>
      </c>
      <c r="C325" s="143" t="s">
        <v>323</v>
      </c>
      <c r="D325" s="143" t="s">
        <v>69</v>
      </c>
      <c r="E325" s="257">
        <v>23078800</v>
      </c>
      <c r="F325" s="257">
        <v>23078800</v>
      </c>
      <c r="G325" s="257">
        <v>23078800</v>
      </c>
      <c r="H325" s="257">
        <v>5604500</v>
      </c>
      <c r="I325" s="257">
        <v>4434664.8</v>
      </c>
      <c r="J325" s="257">
        <v>0</v>
      </c>
      <c r="K325" s="257">
        <v>9610097.9600000009</v>
      </c>
      <c r="L325" s="257">
        <v>9610097.9600000009</v>
      </c>
      <c r="M325" s="257">
        <v>3429537.24</v>
      </c>
      <c r="N325" s="257">
        <v>3429537.24</v>
      </c>
    </row>
    <row r="326" spans="1:14" s="143" customFormat="1" hidden="1" x14ac:dyDescent="0.25">
      <c r="A326" s="143" t="s">
        <v>707</v>
      </c>
      <c r="B326" s="143" t="s">
        <v>206</v>
      </c>
      <c r="C326" s="143" t="s">
        <v>207</v>
      </c>
      <c r="D326" s="143" t="s">
        <v>69</v>
      </c>
      <c r="E326" s="257">
        <v>144803139</v>
      </c>
      <c r="F326" s="257">
        <v>156268599</v>
      </c>
      <c r="G326" s="257">
        <v>148458599</v>
      </c>
      <c r="H326" s="257">
        <v>0</v>
      </c>
      <c r="I326" s="257">
        <v>66691155.060000002</v>
      </c>
      <c r="J326" s="257">
        <v>0</v>
      </c>
      <c r="K326" s="257">
        <v>18228560.59</v>
      </c>
      <c r="L326" s="257">
        <v>13337107.890000001</v>
      </c>
      <c r="M326" s="257">
        <v>71348883.349999994</v>
      </c>
      <c r="N326" s="257">
        <v>63538883.350000001</v>
      </c>
    </row>
    <row r="327" spans="1:14" s="143" customFormat="1" hidden="1" x14ac:dyDescent="0.25">
      <c r="A327" s="143" t="s">
        <v>707</v>
      </c>
      <c r="B327" s="143" t="s">
        <v>208</v>
      </c>
      <c r="C327" s="143" t="s">
        <v>209</v>
      </c>
      <c r="D327" s="143" t="s">
        <v>69</v>
      </c>
      <c r="E327" s="257">
        <v>17162500</v>
      </c>
      <c r="F327" s="257">
        <v>28627960</v>
      </c>
      <c r="G327" s="257">
        <v>22627960</v>
      </c>
      <c r="H327" s="257">
        <v>0</v>
      </c>
      <c r="I327" s="257">
        <v>10744779.689999999</v>
      </c>
      <c r="J327" s="257">
        <v>0</v>
      </c>
      <c r="K327" s="257">
        <v>5114932.7</v>
      </c>
      <c r="L327" s="257">
        <v>223480</v>
      </c>
      <c r="M327" s="257">
        <v>12768247.609999999</v>
      </c>
      <c r="N327" s="257">
        <v>6768247.6100000003</v>
      </c>
    </row>
    <row r="328" spans="1:14" s="143" customFormat="1" hidden="1" x14ac:dyDescent="0.25">
      <c r="A328" s="143" t="s">
        <v>707</v>
      </c>
      <c r="B328" s="143" t="s">
        <v>210</v>
      </c>
      <c r="C328" s="143" t="s">
        <v>211</v>
      </c>
      <c r="D328" s="143" t="s">
        <v>69</v>
      </c>
      <c r="E328" s="257">
        <v>127640639</v>
      </c>
      <c r="F328" s="257">
        <v>127640639</v>
      </c>
      <c r="G328" s="257">
        <v>125830639</v>
      </c>
      <c r="H328" s="257">
        <v>0</v>
      </c>
      <c r="I328" s="257">
        <v>55946375.369999997</v>
      </c>
      <c r="J328" s="257">
        <v>0</v>
      </c>
      <c r="K328" s="257">
        <v>13113627.890000001</v>
      </c>
      <c r="L328" s="257">
        <v>13113627.890000001</v>
      </c>
      <c r="M328" s="257">
        <v>58580635.740000002</v>
      </c>
      <c r="N328" s="257">
        <v>56770635.740000002</v>
      </c>
    </row>
    <row r="329" spans="1:14" s="143" customFormat="1" hidden="1" x14ac:dyDescent="0.25">
      <c r="A329" s="143" t="s">
        <v>707</v>
      </c>
      <c r="B329" s="143" t="s">
        <v>212</v>
      </c>
      <c r="C329" s="143" t="s">
        <v>213</v>
      </c>
      <c r="D329" s="143" t="s">
        <v>69</v>
      </c>
      <c r="E329" s="257">
        <v>3269894716</v>
      </c>
      <c r="F329" s="257">
        <v>3226558245</v>
      </c>
      <c r="G329" s="257">
        <v>3132212245</v>
      </c>
      <c r="H329" s="257">
        <v>124853852.87</v>
      </c>
      <c r="I329" s="257">
        <v>1168628773.8299999</v>
      </c>
      <c r="J329" s="257">
        <v>321577.2</v>
      </c>
      <c r="K329" s="257">
        <v>508024714.56</v>
      </c>
      <c r="L329" s="257">
        <v>353325441.18000001</v>
      </c>
      <c r="M329" s="257">
        <v>1424729326.54</v>
      </c>
      <c r="N329" s="257">
        <v>1330383326.54</v>
      </c>
    </row>
    <row r="330" spans="1:14" s="143" customFormat="1" hidden="1" x14ac:dyDescent="0.25">
      <c r="A330" s="143" t="s">
        <v>707</v>
      </c>
      <c r="B330" s="143" t="s">
        <v>214</v>
      </c>
      <c r="C330" s="143" t="s">
        <v>215</v>
      </c>
      <c r="D330" s="143" t="s">
        <v>69</v>
      </c>
      <c r="E330" s="257">
        <v>34070136</v>
      </c>
      <c r="F330" s="257">
        <v>34070136</v>
      </c>
      <c r="G330" s="257">
        <v>18352136</v>
      </c>
      <c r="H330" s="257">
        <v>2006919.3</v>
      </c>
      <c r="I330" s="257">
        <v>9645758.25</v>
      </c>
      <c r="J330" s="257">
        <v>321577.2</v>
      </c>
      <c r="K330" s="257">
        <v>592475.1</v>
      </c>
      <c r="L330" s="257">
        <v>592475.1</v>
      </c>
      <c r="M330" s="257">
        <v>21503406.149999999</v>
      </c>
      <c r="N330" s="257">
        <v>5785406.1500000004</v>
      </c>
    </row>
    <row r="331" spans="1:14" s="143" customFormat="1" hidden="1" x14ac:dyDescent="0.25">
      <c r="A331" s="143" t="s">
        <v>707</v>
      </c>
      <c r="B331" s="143" t="s">
        <v>216</v>
      </c>
      <c r="C331" s="143" t="s">
        <v>217</v>
      </c>
      <c r="D331" s="143" t="s">
        <v>69</v>
      </c>
      <c r="E331" s="257">
        <v>26479307</v>
      </c>
      <c r="F331" s="257">
        <v>26479307</v>
      </c>
      <c r="G331" s="257">
        <v>26479307</v>
      </c>
      <c r="H331" s="257">
        <v>1319840</v>
      </c>
      <c r="I331" s="257">
        <v>8956443.7200000007</v>
      </c>
      <c r="J331" s="257">
        <v>0</v>
      </c>
      <c r="K331" s="257">
        <v>3158012.06</v>
      </c>
      <c r="L331" s="257">
        <v>3158012.06</v>
      </c>
      <c r="M331" s="257">
        <v>13045011.220000001</v>
      </c>
      <c r="N331" s="257">
        <v>13045011.220000001</v>
      </c>
    </row>
    <row r="332" spans="1:14" s="143" customFormat="1" hidden="1" x14ac:dyDescent="0.25">
      <c r="A332" s="143" t="s">
        <v>707</v>
      </c>
      <c r="B332" s="143" t="s">
        <v>218</v>
      </c>
      <c r="C332" s="143" t="s">
        <v>219</v>
      </c>
      <c r="D332" s="143" t="s">
        <v>69</v>
      </c>
      <c r="E332" s="257">
        <v>140601000</v>
      </c>
      <c r="F332" s="257">
        <v>137607000</v>
      </c>
      <c r="G332" s="257">
        <v>120979000</v>
      </c>
      <c r="H332" s="257">
        <v>1951346.15</v>
      </c>
      <c r="I332" s="257">
        <v>55971922.329999998</v>
      </c>
      <c r="J332" s="257">
        <v>0</v>
      </c>
      <c r="K332" s="257">
        <v>35833884</v>
      </c>
      <c r="L332" s="257">
        <v>35833884</v>
      </c>
      <c r="M332" s="257">
        <v>43849847.520000003</v>
      </c>
      <c r="N332" s="257">
        <v>27221847.52</v>
      </c>
    </row>
    <row r="333" spans="1:14" s="143" customFormat="1" hidden="1" x14ac:dyDescent="0.25">
      <c r="A333" s="143" t="s">
        <v>707</v>
      </c>
      <c r="B333" s="143" t="s">
        <v>220</v>
      </c>
      <c r="C333" s="143" t="s">
        <v>221</v>
      </c>
      <c r="D333" s="143" t="s">
        <v>69</v>
      </c>
      <c r="E333" s="257">
        <v>1260371675</v>
      </c>
      <c r="F333" s="257">
        <v>1249371675</v>
      </c>
      <c r="G333" s="257">
        <v>1239371675</v>
      </c>
      <c r="H333" s="257">
        <v>110897732.02</v>
      </c>
      <c r="I333" s="257">
        <v>894844205.66999996</v>
      </c>
      <c r="J333" s="257">
        <v>0</v>
      </c>
      <c r="K333" s="257">
        <v>32410901.82</v>
      </c>
      <c r="L333" s="257">
        <v>17487443.82</v>
      </c>
      <c r="M333" s="257">
        <v>211218835.49000001</v>
      </c>
      <c r="N333" s="257">
        <v>201218835.49000001</v>
      </c>
    </row>
    <row r="334" spans="1:14" s="143" customFormat="1" hidden="1" x14ac:dyDescent="0.25">
      <c r="A334" s="143" t="s">
        <v>707</v>
      </c>
      <c r="B334" s="143" t="s">
        <v>222</v>
      </c>
      <c r="C334" s="143" t="s">
        <v>223</v>
      </c>
      <c r="D334" s="143" t="s">
        <v>69</v>
      </c>
      <c r="E334" s="257">
        <v>291010979</v>
      </c>
      <c r="F334" s="257">
        <v>261668508</v>
      </c>
      <c r="G334" s="257">
        <v>261668508</v>
      </c>
      <c r="H334" s="257">
        <v>0</v>
      </c>
      <c r="I334" s="257">
        <v>68701359.390000001</v>
      </c>
      <c r="J334" s="257">
        <v>0</v>
      </c>
      <c r="K334" s="257">
        <v>118982046.70999999</v>
      </c>
      <c r="L334" s="257">
        <v>85517976.819999993</v>
      </c>
      <c r="M334" s="257">
        <v>73985101.900000006</v>
      </c>
      <c r="N334" s="257">
        <v>73985101.900000006</v>
      </c>
    </row>
    <row r="335" spans="1:14" s="143" customFormat="1" hidden="1" x14ac:dyDescent="0.25">
      <c r="A335" s="143" t="s">
        <v>707</v>
      </c>
      <c r="B335" s="143" t="s">
        <v>224</v>
      </c>
      <c r="C335" s="143" t="s">
        <v>225</v>
      </c>
      <c r="D335" s="143" t="s">
        <v>69</v>
      </c>
      <c r="E335" s="257">
        <v>1243089320</v>
      </c>
      <c r="F335" s="257">
        <v>1243089320</v>
      </c>
      <c r="G335" s="257">
        <v>1191089320</v>
      </c>
      <c r="H335" s="257">
        <v>8678015.4000000004</v>
      </c>
      <c r="I335" s="257">
        <v>92305034.120000005</v>
      </c>
      <c r="J335" s="257">
        <v>0</v>
      </c>
      <c r="K335" s="257">
        <v>145470214.91999999</v>
      </c>
      <c r="L335" s="257">
        <v>122297640</v>
      </c>
      <c r="M335" s="257">
        <v>996636055.55999994</v>
      </c>
      <c r="N335" s="257">
        <v>944636055.55999994</v>
      </c>
    </row>
    <row r="336" spans="1:14" s="143" customFormat="1" hidden="1" x14ac:dyDescent="0.25">
      <c r="A336" s="143" t="s">
        <v>707</v>
      </c>
      <c r="B336" s="143" t="s">
        <v>226</v>
      </c>
      <c r="C336" s="143" t="s">
        <v>227</v>
      </c>
      <c r="D336" s="143" t="s">
        <v>69</v>
      </c>
      <c r="E336" s="257">
        <v>90632447</v>
      </c>
      <c r="F336" s="257">
        <v>90632447</v>
      </c>
      <c r="G336" s="257">
        <v>90632447</v>
      </c>
      <c r="H336" s="257">
        <v>0</v>
      </c>
      <c r="I336" s="257">
        <v>2985081.66</v>
      </c>
      <c r="J336" s="257">
        <v>0</v>
      </c>
      <c r="K336" s="257">
        <v>79330054.569999993</v>
      </c>
      <c r="L336" s="257">
        <v>2072760</v>
      </c>
      <c r="M336" s="257">
        <v>8317310.7699999996</v>
      </c>
      <c r="N336" s="257">
        <v>8317310.7699999996</v>
      </c>
    </row>
    <row r="337" spans="1:14" s="143" customFormat="1" hidden="1" x14ac:dyDescent="0.25">
      <c r="A337" s="143" t="s">
        <v>707</v>
      </c>
      <c r="B337" s="143" t="s">
        <v>228</v>
      </c>
      <c r="C337" s="143" t="s">
        <v>229</v>
      </c>
      <c r="D337" s="143" t="s">
        <v>69</v>
      </c>
      <c r="E337" s="257">
        <v>183639852</v>
      </c>
      <c r="F337" s="257">
        <v>183639852</v>
      </c>
      <c r="G337" s="257">
        <v>183639852</v>
      </c>
      <c r="H337" s="257">
        <v>0</v>
      </c>
      <c r="I337" s="257">
        <v>35218968.689999998</v>
      </c>
      <c r="J337" s="257">
        <v>0</v>
      </c>
      <c r="K337" s="257">
        <v>92247125.379999995</v>
      </c>
      <c r="L337" s="257">
        <v>86365249.379999995</v>
      </c>
      <c r="M337" s="257">
        <v>56173757.93</v>
      </c>
      <c r="N337" s="257">
        <v>56173757.93</v>
      </c>
    </row>
    <row r="338" spans="1:14" s="143" customFormat="1" hidden="1" x14ac:dyDescent="0.25">
      <c r="A338" s="143" t="s">
        <v>707</v>
      </c>
      <c r="B338" s="143" t="s">
        <v>248</v>
      </c>
      <c r="C338" s="143" t="s">
        <v>249</v>
      </c>
      <c r="D338" s="143" t="s">
        <v>69</v>
      </c>
      <c r="E338" s="257">
        <v>13160774264</v>
      </c>
      <c r="F338" s="257">
        <v>13151348647</v>
      </c>
      <c r="G338" s="257">
        <v>11176621010</v>
      </c>
      <c r="H338" s="257">
        <v>0</v>
      </c>
      <c r="I338" s="257">
        <v>6437453058.0500002</v>
      </c>
      <c r="J338" s="257">
        <v>0</v>
      </c>
      <c r="K338" s="257">
        <v>4242529672.27</v>
      </c>
      <c r="L338" s="257">
        <v>4242279672.27</v>
      </c>
      <c r="M338" s="257">
        <v>2471365916.6799998</v>
      </c>
      <c r="N338" s="257">
        <v>496638279.68000001</v>
      </c>
    </row>
    <row r="339" spans="1:14" s="143" customFormat="1" hidden="1" x14ac:dyDescent="0.25">
      <c r="A339" s="143" t="s">
        <v>707</v>
      </c>
      <c r="B339" s="143" t="s">
        <v>250</v>
      </c>
      <c r="C339" s="143" t="s">
        <v>251</v>
      </c>
      <c r="D339" s="143" t="s">
        <v>69</v>
      </c>
      <c r="E339" s="257">
        <v>11073271142</v>
      </c>
      <c r="F339" s="257">
        <v>11063845525</v>
      </c>
      <c r="G339" s="257">
        <v>10036863047</v>
      </c>
      <c r="H339" s="257">
        <v>0</v>
      </c>
      <c r="I339" s="257">
        <v>6089483434.8100004</v>
      </c>
      <c r="J339" s="257">
        <v>0</v>
      </c>
      <c r="K339" s="257">
        <v>3672861606.1900001</v>
      </c>
      <c r="L339" s="257">
        <v>3672861606.1900001</v>
      </c>
      <c r="M339" s="257">
        <v>1301500484</v>
      </c>
      <c r="N339" s="257">
        <v>274518006</v>
      </c>
    </row>
    <row r="340" spans="1:14" s="143" customFormat="1" hidden="1" x14ac:dyDescent="0.25">
      <c r="A340" s="143" t="s">
        <v>707</v>
      </c>
      <c r="B340" s="143" t="s">
        <v>621</v>
      </c>
      <c r="C340" s="143" t="s">
        <v>708</v>
      </c>
      <c r="D340" s="143" t="s">
        <v>69</v>
      </c>
      <c r="E340" s="257">
        <v>44000000</v>
      </c>
      <c r="F340" s="257">
        <v>44000000</v>
      </c>
      <c r="G340" s="257">
        <v>22000000</v>
      </c>
      <c r="H340" s="257">
        <v>0</v>
      </c>
      <c r="I340" s="257">
        <v>22000000</v>
      </c>
      <c r="J340" s="257">
        <v>0</v>
      </c>
      <c r="K340" s="257">
        <v>0</v>
      </c>
      <c r="L340" s="257">
        <v>0</v>
      </c>
      <c r="M340" s="257">
        <v>22000000</v>
      </c>
      <c r="N340" s="257">
        <v>0</v>
      </c>
    </row>
    <row r="341" spans="1:14" s="143" customFormat="1" hidden="1" x14ac:dyDescent="0.25">
      <c r="A341" s="143" t="s">
        <v>707</v>
      </c>
      <c r="B341" s="143" t="s">
        <v>629</v>
      </c>
      <c r="C341" s="143" t="s">
        <v>702</v>
      </c>
      <c r="D341" s="143" t="s">
        <v>69</v>
      </c>
      <c r="E341" s="257">
        <v>540115935</v>
      </c>
      <c r="F341" s="257">
        <v>532109838</v>
      </c>
      <c r="G341" s="257">
        <v>527361381</v>
      </c>
      <c r="H341" s="257">
        <v>0</v>
      </c>
      <c r="I341" s="257">
        <v>290457128</v>
      </c>
      <c r="J341" s="257">
        <v>0</v>
      </c>
      <c r="K341" s="257">
        <v>236904253</v>
      </c>
      <c r="L341" s="257">
        <v>236904253</v>
      </c>
      <c r="M341" s="257">
        <v>4748457</v>
      </c>
      <c r="N341" s="257">
        <v>0</v>
      </c>
    </row>
    <row r="342" spans="1:14" s="143" customFormat="1" hidden="1" x14ac:dyDescent="0.25">
      <c r="A342" s="143" t="s">
        <v>707</v>
      </c>
      <c r="B342" s="143" t="s">
        <v>644</v>
      </c>
      <c r="C342" s="143" t="s">
        <v>703</v>
      </c>
      <c r="D342" s="143" t="s">
        <v>69</v>
      </c>
      <c r="E342" s="257">
        <v>95765207</v>
      </c>
      <c r="F342" s="257">
        <v>94345687</v>
      </c>
      <c r="G342" s="257">
        <v>93503762</v>
      </c>
      <c r="H342" s="257">
        <v>0</v>
      </c>
      <c r="I342" s="257">
        <v>49490157</v>
      </c>
      <c r="J342" s="257">
        <v>0</v>
      </c>
      <c r="K342" s="257">
        <v>44013605</v>
      </c>
      <c r="L342" s="257">
        <v>44013605</v>
      </c>
      <c r="M342" s="257">
        <v>841925</v>
      </c>
      <c r="N342" s="257">
        <v>0</v>
      </c>
    </row>
    <row r="343" spans="1:14" s="143" customFormat="1" hidden="1" x14ac:dyDescent="0.25">
      <c r="A343" s="143" t="s">
        <v>707</v>
      </c>
      <c r="B343" s="143" t="s">
        <v>655</v>
      </c>
      <c r="C343" s="143" t="s">
        <v>709</v>
      </c>
      <c r="D343" s="143" t="s">
        <v>69</v>
      </c>
      <c r="E343" s="257">
        <v>10393390000</v>
      </c>
      <c r="F343" s="257">
        <v>10393390000</v>
      </c>
      <c r="G343" s="257">
        <v>9393997904</v>
      </c>
      <c r="H343" s="257">
        <v>0</v>
      </c>
      <c r="I343" s="257">
        <v>5727536149.8100004</v>
      </c>
      <c r="J343" s="257">
        <v>0</v>
      </c>
      <c r="K343" s="257">
        <v>3391943748.1900001</v>
      </c>
      <c r="L343" s="257">
        <v>3391943748.1900001</v>
      </c>
      <c r="M343" s="257">
        <v>1273910102</v>
      </c>
      <c r="N343" s="257">
        <v>274518006</v>
      </c>
    </row>
    <row r="344" spans="1:14" s="143" customFormat="1" hidden="1" x14ac:dyDescent="0.25">
      <c r="A344" s="143" t="s">
        <v>707</v>
      </c>
      <c r="B344" s="143" t="s">
        <v>366</v>
      </c>
      <c r="C344" s="143" t="s">
        <v>367</v>
      </c>
      <c r="D344" s="143" t="s">
        <v>69</v>
      </c>
      <c r="E344" s="257">
        <v>666000000</v>
      </c>
      <c r="F344" s="257">
        <v>666000000</v>
      </c>
      <c r="G344" s="257">
        <v>333000000</v>
      </c>
      <c r="H344" s="257">
        <v>0</v>
      </c>
      <c r="I344" s="257">
        <v>111000000</v>
      </c>
      <c r="J344" s="257">
        <v>0</v>
      </c>
      <c r="K344" s="257">
        <v>222000000</v>
      </c>
      <c r="L344" s="257">
        <v>222000000</v>
      </c>
      <c r="M344" s="257">
        <v>333000000</v>
      </c>
      <c r="N344" s="257">
        <v>0</v>
      </c>
    </row>
    <row r="345" spans="1:14" s="143" customFormat="1" hidden="1" x14ac:dyDescent="0.25">
      <c r="A345" s="143" t="s">
        <v>707</v>
      </c>
      <c r="B345" s="143" t="s">
        <v>368</v>
      </c>
      <c r="C345" s="143" t="s">
        <v>369</v>
      </c>
      <c r="D345" s="143" t="s">
        <v>69</v>
      </c>
      <c r="E345" s="257">
        <v>666000000</v>
      </c>
      <c r="F345" s="257">
        <v>666000000</v>
      </c>
      <c r="G345" s="257">
        <v>333000000</v>
      </c>
      <c r="H345" s="257">
        <v>0</v>
      </c>
      <c r="I345" s="257">
        <v>111000000</v>
      </c>
      <c r="J345" s="257">
        <v>0</v>
      </c>
      <c r="K345" s="257">
        <v>222000000</v>
      </c>
      <c r="L345" s="257">
        <v>222000000</v>
      </c>
      <c r="M345" s="257">
        <v>333000000</v>
      </c>
      <c r="N345" s="257">
        <v>0</v>
      </c>
    </row>
    <row r="346" spans="1:14" s="143" customFormat="1" hidden="1" x14ac:dyDescent="0.25">
      <c r="A346" s="143" t="s">
        <v>707</v>
      </c>
      <c r="B346" s="143" t="s">
        <v>260</v>
      </c>
      <c r="C346" s="143" t="s">
        <v>261</v>
      </c>
      <c r="D346" s="143" t="s">
        <v>69</v>
      </c>
      <c r="E346" s="257">
        <v>1271503122</v>
      </c>
      <c r="F346" s="257">
        <v>1271503122</v>
      </c>
      <c r="G346" s="257">
        <v>721500780</v>
      </c>
      <c r="H346" s="257">
        <v>0</v>
      </c>
      <c r="I346" s="257">
        <v>181411421.13999999</v>
      </c>
      <c r="J346" s="257">
        <v>0</v>
      </c>
      <c r="K346" s="257">
        <v>325469085.86000001</v>
      </c>
      <c r="L346" s="257">
        <v>325469085.86000001</v>
      </c>
      <c r="M346" s="257">
        <v>764622615</v>
      </c>
      <c r="N346" s="257">
        <v>214620273</v>
      </c>
    </row>
    <row r="347" spans="1:14" s="143" customFormat="1" hidden="1" x14ac:dyDescent="0.25">
      <c r="A347" s="143" t="s">
        <v>707</v>
      </c>
      <c r="B347" s="143" t="s">
        <v>262</v>
      </c>
      <c r="C347" s="143" t="s">
        <v>263</v>
      </c>
      <c r="D347" s="143" t="s">
        <v>69</v>
      </c>
      <c r="E347" s="257">
        <v>1000003122</v>
      </c>
      <c r="F347" s="257">
        <v>1000003122</v>
      </c>
      <c r="G347" s="257">
        <v>450000780</v>
      </c>
      <c r="H347" s="257">
        <v>0</v>
      </c>
      <c r="I347" s="257">
        <v>181411421.13999999</v>
      </c>
      <c r="J347" s="257">
        <v>0</v>
      </c>
      <c r="K347" s="257">
        <v>268589358.86000001</v>
      </c>
      <c r="L347" s="257">
        <v>268589358.86000001</v>
      </c>
      <c r="M347" s="257">
        <v>550002342</v>
      </c>
      <c r="N347" s="257">
        <v>0</v>
      </c>
    </row>
    <row r="348" spans="1:14" s="143" customFormat="1" hidden="1" x14ac:dyDescent="0.25">
      <c r="A348" s="143" t="s">
        <v>707</v>
      </c>
      <c r="B348" s="143" t="s">
        <v>264</v>
      </c>
      <c r="C348" s="143" t="s">
        <v>265</v>
      </c>
      <c r="D348" s="143" t="s">
        <v>69</v>
      </c>
      <c r="E348" s="257">
        <v>271500000</v>
      </c>
      <c r="F348" s="257">
        <v>271500000</v>
      </c>
      <c r="G348" s="257">
        <v>271500000</v>
      </c>
      <c r="H348" s="257">
        <v>0</v>
      </c>
      <c r="I348" s="257">
        <v>0</v>
      </c>
      <c r="J348" s="257">
        <v>0</v>
      </c>
      <c r="K348" s="257">
        <v>56879727</v>
      </c>
      <c r="L348" s="257">
        <v>56879727</v>
      </c>
      <c r="M348" s="257">
        <v>214620273</v>
      </c>
      <c r="N348" s="257">
        <v>214620273</v>
      </c>
    </row>
    <row r="349" spans="1:14" s="143" customFormat="1" hidden="1" x14ac:dyDescent="0.25">
      <c r="A349" s="143" t="s">
        <v>707</v>
      </c>
      <c r="B349" s="143" t="s">
        <v>286</v>
      </c>
      <c r="C349" s="143" t="s">
        <v>287</v>
      </c>
      <c r="D349" s="143" t="s">
        <v>69</v>
      </c>
      <c r="E349" s="257">
        <v>150000000</v>
      </c>
      <c r="F349" s="257">
        <v>150000000</v>
      </c>
      <c r="G349" s="257">
        <v>85257183</v>
      </c>
      <c r="H349" s="257">
        <v>0</v>
      </c>
      <c r="I349" s="257">
        <v>55558202.100000001</v>
      </c>
      <c r="J349" s="257">
        <v>0</v>
      </c>
      <c r="K349" s="257">
        <v>22198980.219999999</v>
      </c>
      <c r="L349" s="257">
        <v>21948980.219999999</v>
      </c>
      <c r="M349" s="257">
        <v>72242817.680000007</v>
      </c>
      <c r="N349" s="257">
        <v>7500000.6799999997</v>
      </c>
    </row>
    <row r="350" spans="1:14" s="143" customFormat="1" hidden="1" x14ac:dyDescent="0.25">
      <c r="A350" s="143" t="s">
        <v>707</v>
      </c>
      <c r="B350" s="143" t="s">
        <v>288</v>
      </c>
      <c r="C350" s="143" t="s">
        <v>289</v>
      </c>
      <c r="D350" s="143" t="s">
        <v>69</v>
      </c>
      <c r="E350" s="257">
        <v>100000000</v>
      </c>
      <c r="F350" s="257">
        <v>100000000</v>
      </c>
      <c r="G350" s="257">
        <v>50257183</v>
      </c>
      <c r="H350" s="257">
        <v>0</v>
      </c>
      <c r="I350" s="257">
        <v>48724836.640000001</v>
      </c>
      <c r="J350" s="257">
        <v>0</v>
      </c>
      <c r="K350" s="257">
        <v>1532345.68</v>
      </c>
      <c r="L350" s="257">
        <v>1282345.68</v>
      </c>
      <c r="M350" s="257">
        <v>49742817.68</v>
      </c>
      <c r="N350" s="257">
        <v>0.68</v>
      </c>
    </row>
    <row r="351" spans="1:14" s="143" customFormat="1" hidden="1" x14ac:dyDescent="0.25">
      <c r="A351" s="143" t="s">
        <v>707</v>
      </c>
      <c r="B351" s="143" t="s">
        <v>370</v>
      </c>
      <c r="C351" s="143" t="s">
        <v>371</v>
      </c>
      <c r="D351" s="143" t="s">
        <v>69</v>
      </c>
      <c r="E351" s="257">
        <v>50000000</v>
      </c>
      <c r="F351" s="257">
        <v>50000000</v>
      </c>
      <c r="G351" s="257">
        <v>35000000</v>
      </c>
      <c r="H351" s="257">
        <v>0</v>
      </c>
      <c r="I351" s="257">
        <v>6833365.46</v>
      </c>
      <c r="J351" s="257">
        <v>0</v>
      </c>
      <c r="K351" s="257">
        <v>20666634.539999999</v>
      </c>
      <c r="L351" s="257">
        <v>20666634.539999999</v>
      </c>
      <c r="M351" s="257">
        <v>22500000</v>
      </c>
      <c r="N351" s="257">
        <v>7500000</v>
      </c>
    </row>
    <row r="352" spans="1:14" s="143" customFormat="1" hidden="1" x14ac:dyDescent="0.25">
      <c r="A352" s="143" t="s">
        <v>707</v>
      </c>
      <c r="B352" s="143" t="s">
        <v>230</v>
      </c>
      <c r="C352" s="143" t="s">
        <v>231</v>
      </c>
      <c r="D352" s="143" t="s">
        <v>85</v>
      </c>
      <c r="E352" s="257">
        <v>2053989952</v>
      </c>
      <c r="F352" s="257">
        <v>2053289952</v>
      </c>
      <c r="G352" s="257">
        <v>1778697483</v>
      </c>
      <c r="H352" s="257">
        <v>436430315.13</v>
      </c>
      <c r="I352" s="257">
        <v>771760864.73000002</v>
      </c>
      <c r="J352" s="257">
        <v>9600000</v>
      </c>
      <c r="K352" s="257">
        <v>100951521.33</v>
      </c>
      <c r="L352" s="257">
        <v>59905401.329999998</v>
      </c>
      <c r="M352" s="257">
        <v>734547250.80999994</v>
      </c>
      <c r="N352" s="257">
        <v>459954781.81</v>
      </c>
    </row>
    <row r="353" spans="1:14" s="143" customFormat="1" hidden="1" x14ac:dyDescent="0.25">
      <c r="A353" s="143" t="s">
        <v>707</v>
      </c>
      <c r="B353" s="143" t="s">
        <v>232</v>
      </c>
      <c r="C353" s="143" t="s">
        <v>233</v>
      </c>
      <c r="D353" s="143" t="s">
        <v>85</v>
      </c>
      <c r="E353" s="257">
        <v>1511257014</v>
      </c>
      <c r="F353" s="257">
        <v>1464052552</v>
      </c>
      <c r="G353" s="257">
        <v>1464052552</v>
      </c>
      <c r="H353" s="257">
        <v>436430315.13</v>
      </c>
      <c r="I353" s="257">
        <v>768779603.42999995</v>
      </c>
      <c r="J353" s="257">
        <v>9600000</v>
      </c>
      <c r="K353" s="257">
        <v>100353649.73</v>
      </c>
      <c r="L353" s="257">
        <v>59307529.729999997</v>
      </c>
      <c r="M353" s="257">
        <v>148888983.71000001</v>
      </c>
      <c r="N353" s="257">
        <v>148888983.71000001</v>
      </c>
    </row>
    <row r="354" spans="1:14" s="143" customFormat="1" hidden="1" x14ac:dyDescent="0.25">
      <c r="A354" s="143" t="s">
        <v>707</v>
      </c>
      <c r="B354" s="143" t="s">
        <v>234</v>
      </c>
      <c r="C354" s="143" t="s">
        <v>235</v>
      </c>
      <c r="D354" s="143" t="s">
        <v>85</v>
      </c>
      <c r="E354" s="257">
        <v>46000000</v>
      </c>
      <c r="F354" s="257">
        <v>46000000</v>
      </c>
      <c r="G354" s="257">
        <v>46000000</v>
      </c>
      <c r="H354" s="257">
        <v>39199098.840000004</v>
      </c>
      <c r="I354" s="257">
        <v>3318705</v>
      </c>
      <c r="J354" s="257">
        <v>0</v>
      </c>
      <c r="K354" s="257">
        <v>0</v>
      </c>
      <c r="L354" s="257">
        <v>0</v>
      </c>
      <c r="M354" s="257">
        <v>3482196.16</v>
      </c>
      <c r="N354" s="257">
        <v>3482196.16</v>
      </c>
    </row>
    <row r="355" spans="1:14" s="143" customFormat="1" hidden="1" x14ac:dyDescent="0.25">
      <c r="A355" s="143" t="s">
        <v>707</v>
      </c>
      <c r="B355" s="143" t="s">
        <v>324</v>
      </c>
      <c r="C355" s="143" t="s">
        <v>325</v>
      </c>
      <c r="D355" s="143" t="s">
        <v>85</v>
      </c>
      <c r="E355" s="257">
        <v>0</v>
      </c>
      <c r="F355" s="257">
        <v>815400</v>
      </c>
      <c r="G355" s="257">
        <v>815400</v>
      </c>
      <c r="H355" s="257">
        <v>0</v>
      </c>
      <c r="I355" s="257">
        <v>815400</v>
      </c>
      <c r="J355" s="257">
        <v>0</v>
      </c>
      <c r="K355" s="257">
        <v>0</v>
      </c>
      <c r="L355" s="257">
        <v>0</v>
      </c>
      <c r="M355" s="257">
        <v>0</v>
      </c>
      <c r="N355" s="257">
        <v>0</v>
      </c>
    </row>
    <row r="356" spans="1:14" s="143" customFormat="1" hidden="1" x14ac:dyDescent="0.25">
      <c r="A356" s="143" t="s">
        <v>707</v>
      </c>
      <c r="B356" s="143" t="s">
        <v>236</v>
      </c>
      <c r="C356" s="143" t="s">
        <v>237</v>
      </c>
      <c r="D356" s="143" t="s">
        <v>85</v>
      </c>
      <c r="E356" s="257">
        <v>302703422</v>
      </c>
      <c r="F356" s="257">
        <v>287003422</v>
      </c>
      <c r="G356" s="257">
        <v>287003422</v>
      </c>
      <c r="H356" s="257">
        <v>0</v>
      </c>
      <c r="I356" s="257">
        <v>243930899.97999999</v>
      </c>
      <c r="J356" s="257">
        <v>0</v>
      </c>
      <c r="K356" s="257">
        <v>0</v>
      </c>
      <c r="L356" s="257">
        <v>0</v>
      </c>
      <c r="M356" s="257">
        <v>43072522.020000003</v>
      </c>
      <c r="N356" s="257">
        <v>43072522.020000003</v>
      </c>
    </row>
    <row r="357" spans="1:14" s="143" customFormat="1" hidden="1" x14ac:dyDescent="0.25">
      <c r="A357" s="143" t="s">
        <v>707</v>
      </c>
      <c r="B357" s="143" t="s">
        <v>238</v>
      </c>
      <c r="C357" s="143" t="s">
        <v>239</v>
      </c>
      <c r="D357" s="143" t="s">
        <v>85</v>
      </c>
      <c r="E357" s="257">
        <v>68995579</v>
      </c>
      <c r="F357" s="257">
        <v>122306079</v>
      </c>
      <c r="G357" s="257">
        <v>122306079</v>
      </c>
      <c r="H357" s="257">
        <v>0</v>
      </c>
      <c r="I357" s="257">
        <v>42364813.869999997</v>
      </c>
      <c r="J357" s="257">
        <v>0</v>
      </c>
      <c r="K357" s="257">
        <v>43357170</v>
      </c>
      <c r="L357" s="257">
        <v>43357170</v>
      </c>
      <c r="M357" s="257">
        <v>36584095.130000003</v>
      </c>
      <c r="N357" s="257">
        <v>36584095.130000003</v>
      </c>
    </row>
    <row r="358" spans="1:14" s="143" customFormat="1" hidden="1" x14ac:dyDescent="0.25">
      <c r="A358" s="143" t="s">
        <v>707</v>
      </c>
      <c r="B358" s="143" t="s">
        <v>282</v>
      </c>
      <c r="C358" s="143" t="s">
        <v>283</v>
      </c>
      <c r="D358" s="143" t="s">
        <v>85</v>
      </c>
      <c r="E358" s="257">
        <v>100000000</v>
      </c>
      <c r="F358" s="257">
        <v>100000000</v>
      </c>
      <c r="G358" s="257">
        <v>100000000</v>
      </c>
      <c r="H358" s="257">
        <v>0</v>
      </c>
      <c r="I358" s="257">
        <v>45081504.579999998</v>
      </c>
      <c r="J358" s="257">
        <v>0</v>
      </c>
      <c r="K358" s="257">
        <v>0</v>
      </c>
      <c r="L358" s="257">
        <v>0</v>
      </c>
      <c r="M358" s="257">
        <v>54918495.420000002</v>
      </c>
      <c r="N358" s="257">
        <v>54918495.420000002</v>
      </c>
    </row>
    <row r="359" spans="1:14" s="143" customFormat="1" hidden="1" x14ac:dyDescent="0.25">
      <c r="A359" s="143" t="s">
        <v>707</v>
      </c>
      <c r="B359" s="143" t="s">
        <v>326</v>
      </c>
      <c r="C359" s="143" t="s">
        <v>327</v>
      </c>
      <c r="D359" s="143" t="s">
        <v>85</v>
      </c>
      <c r="E359" s="257">
        <v>1200000</v>
      </c>
      <c r="F359" s="257">
        <v>1200000</v>
      </c>
      <c r="G359" s="257">
        <v>1200000</v>
      </c>
      <c r="H359" s="257">
        <v>0</v>
      </c>
      <c r="I359" s="257">
        <v>0</v>
      </c>
      <c r="J359" s="257">
        <v>0</v>
      </c>
      <c r="K359" s="257">
        <v>0</v>
      </c>
      <c r="L359" s="257">
        <v>0</v>
      </c>
      <c r="M359" s="257">
        <v>1200000</v>
      </c>
      <c r="N359" s="257">
        <v>1200000</v>
      </c>
    </row>
    <row r="360" spans="1:14" s="143" customFormat="1" hidden="1" x14ac:dyDescent="0.25">
      <c r="A360" s="143" t="s">
        <v>707</v>
      </c>
      <c r="B360" s="143" t="s">
        <v>240</v>
      </c>
      <c r="C360" s="143" t="s">
        <v>241</v>
      </c>
      <c r="D360" s="143" t="s">
        <v>85</v>
      </c>
      <c r="E360" s="257">
        <v>2700000</v>
      </c>
      <c r="F360" s="257">
        <v>2700000</v>
      </c>
      <c r="G360" s="257">
        <v>2700000</v>
      </c>
      <c r="H360" s="257">
        <v>0</v>
      </c>
      <c r="I360" s="257">
        <v>0</v>
      </c>
      <c r="J360" s="257">
        <v>0</v>
      </c>
      <c r="K360" s="257">
        <v>0</v>
      </c>
      <c r="L360" s="257">
        <v>0</v>
      </c>
      <c r="M360" s="257">
        <v>2700000</v>
      </c>
      <c r="N360" s="257">
        <v>2700000</v>
      </c>
    </row>
    <row r="361" spans="1:14" s="143" customFormat="1" hidden="1" x14ac:dyDescent="0.25">
      <c r="A361" s="143" t="s">
        <v>707</v>
      </c>
      <c r="B361" s="143" t="s">
        <v>242</v>
      </c>
      <c r="C361" s="143" t="s">
        <v>243</v>
      </c>
      <c r="D361" s="143" t="s">
        <v>85</v>
      </c>
      <c r="E361" s="257">
        <v>989658013</v>
      </c>
      <c r="F361" s="257">
        <v>904027651</v>
      </c>
      <c r="G361" s="257">
        <v>904027651</v>
      </c>
      <c r="H361" s="257">
        <v>397231216.29000002</v>
      </c>
      <c r="I361" s="257">
        <v>433268280</v>
      </c>
      <c r="J361" s="257">
        <v>9600000</v>
      </c>
      <c r="K361" s="257">
        <v>56996479.729999997</v>
      </c>
      <c r="L361" s="257">
        <v>15950359.73</v>
      </c>
      <c r="M361" s="257">
        <v>6931674.9800000004</v>
      </c>
      <c r="N361" s="257">
        <v>6931674.9800000004</v>
      </c>
    </row>
    <row r="362" spans="1:14" s="143" customFormat="1" hidden="1" x14ac:dyDescent="0.25">
      <c r="A362" s="143" t="s">
        <v>707</v>
      </c>
      <c r="B362" s="143" t="s">
        <v>328</v>
      </c>
      <c r="C362" s="143" t="s">
        <v>329</v>
      </c>
      <c r="D362" s="143" t="s">
        <v>85</v>
      </c>
      <c r="E362" s="257">
        <v>94148000</v>
      </c>
      <c r="F362" s="257">
        <v>94148000</v>
      </c>
      <c r="G362" s="257">
        <v>44148000</v>
      </c>
      <c r="H362" s="257">
        <v>0</v>
      </c>
      <c r="I362" s="257">
        <v>430068.18</v>
      </c>
      <c r="J362" s="257">
        <v>0</v>
      </c>
      <c r="K362" s="257">
        <v>597871.6</v>
      </c>
      <c r="L362" s="257">
        <v>597871.6</v>
      </c>
      <c r="M362" s="257">
        <v>93120060.219999999</v>
      </c>
      <c r="N362" s="257">
        <v>43120060.219999999</v>
      </c>
    </row>
    <row r="363" spans="1:14" s="143" customFormat="1" hidden="1" x14ac:dyDescent="0.25">
      <c r="A363" s="143" t="s">
        <v>707</v>
      </c>
      <c r="B363" s="143" t="s">
        <v>330</v>
      </c>
      <c r="C363" s="143" t="s">
        <v>331</v>
      </c>
      <c r="D363" s="143" t="s">
        <v>85</v>
      </c>
      <c r="E363" s="257">
        <v>92800000</v>
      </c>
      <c r="F363" s="257">
        <v>92800000</v>
      </c>
      <c r="G363" s="257">
        <v>42800000</v>
      </c>
      <c r="H363" s="257">
        <v>0</v>
      </c>
      <c r="I363" s="257">
        <v>0</v>
      </c>
      <c r="J363" s="257">
        <v>0</v>
      </c>
      <c r="K363" s="257">
        <v>597871.6</v>
      </c>
      <c r="L363" s="257">
        <v>597871.6</v>
      </c>
      <c r="M363" s="257">
        <v>92202128.400000006</v>
      </c>
      <c r="N363" s="257">
        <v>42202128.399999999</v>
      </c>
    </row>
    <row r="364" spans="1:14" s="143" customFormat="1" hidden="1" x14ac:dyDescent="0.25">
      <c r="A364" s="143" t="s">
        <v>707</v>
      </c>
      <c r="B364" s="143" t="s">
        <v>358</v>
      </c>
      <c r="C364" s="143" t="s">
        <v>359</v>
      </c>
      <c r="D364" s="143" t="s">
        <v>85</v>
      </c>
      <c r="E364" s="257">
        <v>1348000</v>
      </c>
      <c r="F364" s="257">
        <v>1348000</v>
      </c>
      <c r="G364" s="257">
        <v>1348000</v>
      </c>
      <c r="H364" s="257">
        <v>0</v>
      </c>
      <c r="I364" s="257">
        <v>430068.18</v>
      </c>
      <c r="J364" s="257">
        <v>0</v>
      </c>
      <c r="K364" s="257">
        <v>0</v>
      </c>
      <c r="L364" s="257">
        <v>0</v>
      </c>
      <c r="M364" s="257">
        <v>917931.82</v>
      </c>
      <c r="N364" s="257">
        <v>917931.82</v>
      </c>
    </row>
    <row r="365" spans="1:14" s="143" customFormat="1" hidden="1" x14ac:dyDescent="0.25">
      <c r="A365" s="143" t="s">
        <v>707</v>
      </c>
      <c r="B365" s="143" t="s">
        <v>244</v>
      </c>
      <c r="C365" s="143" t="s">
        <v>245</v>
      </c>
      <c r="D365" s="143" t="s">
        <v>85</v>
      </c>
      <c r="E365" s="257">
        <v>448584938</v>
      </c>
      <c r="F365" s="257">
        <v>495089400</v>
      </c>
      <c r="G365" s="257">
        <v>270496931</v>
      </c>
      <c r="H365" s="257">
        <v>0</v>
      </c>
      <c r="I365" s="257">
        <v>2551193.12</v>
      </c>
      <c r="J365" s="257">
        <v>0</v>
      </c>
      <c r="K365" s="257">
        <v>0</v>
      </c>
      <c r="L365" s="257">
        <v>0</v>
      </c>
      <c r="M365" s="257">
        <v>492538206.88</v>
      </c>
      <c r="N365" s="257">
        <v>267945737.88</v>
      </c>
    </row>
    <row r="366" spans="1:14" s="143" customFormat="1" hidden="1" x14ac:dyDescent="0.25">
      <c r="A366" s="143" t="s">
        <v>707</v>
      </c>
      <c r="B366" s="143" t="s">
        <v>246</v>
      </c>
      <c r="C366" s="143" t="s">
        <v>247</v>
      </c>
      <c r="D366" s="143" t="s">
        <v>85</v>
      </c>
      <c r="E366" s="257">
        <v>448584938</v>
      </c>
      <c r="F366" s="257">
        <v>495089400</v>
      </c>
      <c r="G366" s="257">
        <v>270496931</v>
      </c>
      <c r="H366" s="257">
        <v>0</v>
      </c>
      <c r="I366" s="257">
        <v>2551193.12</v>
      </c>
      <c r="J366" s="257">
        <v>0</v>
      </c>
      <c r="K366" s="257">
        <v>0</v>
      </c>
      <c r="L366" s="257">
        <v>0</v>
      </c>
      <c r="M366" s="257">
        <v>492538206.88</v>
      </c>
      <c r="N366" s="257">
        <v>267945737.88</v>
      </c>
    </row>
    <row r="367" spans="1:14" s="143" customFormat="1" hidden="1" x14ac:dyDescent="0.25">
      <c r="A367" s="143" t="s">
        <v>707</v>
      </c>
      <c r="B367" s="143" t="s">
        <v>372</v>
      </c>
      <c r="C367" s="143" t="s">
        <v>373</v>
      </c>
      <c r="D367" s="143" t="s">
        <v>85</v>
      </c>
      <c r="E367" s="257">
        <v>581400000</v>
      </c>
      <c r="F367" s="257">
        <v>581400000</v>
      </c>
      <c r="G367" s="257">
        <v>443021191</v>
      </c>
      <c r="H367" s="257">
        <v>0</v>
      </c>
      <c r="I367" s="257">
        <v>443021191</v>
      </c>
      <c r="J367" s="257">
        <v>0</v>
      </c>
      <c r="K367" s="257">
        <v>0</v>
      </c>
      <c r="L367" s="257">
        <v>0</v>
      </c>
      <c r="M367" s="257">
        <v>138378809</v>
      </c>
      <c r="N367" s="257">
        <v>0</v>
      </c>
    </row>
    <row r="368" spans="1:14" s="143" customFormat="1" hidden="1" x14ac:dyDescent="0.25">
      <c r="A368" s="143" t="s">
        <v>707</v>
      </c>
      <c r="B368" s="143" t="s">
        <v>374</v>
      </c>
      <c r="C368" s="143" t="s">
        <v>375</v>
      </c>
      <c r="D368" s="143" t="s">
        <v>85</v>
      </c>
      <c r="E368" s="257">
        <v>581400000</v>
      </c>
      <c r="F368" s="257">
        <v>581400000</v>
      </c>
      <c r="G368" s="257">
        <v>443021191</v>
      </c>
      <c r="H368" s="257">
        <v>0</v>
      </c>
      <c r="I368" s="257">
        <v>443021191</v>
      </c>
      <c r="J368" s="257">
        <v>0</v>
      </c>
      <c r="K368" s="257">
        <v>0</v>
      </c>
      <c r="L368" s="257">
        <v>0</v>
      </c>
      <c r="M368" s="257">
        <v>138378809</v>
      </c>
      <c r="N368" s="257">
        <v>0</v>
      </c>
    </row>
    <row r="369" spans="1:14" s="143" customFormat="1" hidden="1" x14ac:dyDescent="0.25">
      <c r="A369" s="143" t="s">
        <v>707</v>
      </c>
      <c r="B369" s="143" t="s">
        <v>674</v>
      </c>
      <c r="C369" s="143" t="s">
        <v>710</v>
      </c>
      <c r="D369" s="143" t="s">
        <v>85</v>
      </c>
      <c r="E369" s="257">
        <v>581400000</v>
      </c>
      <c r="F369" s="257">
        <v>581400000</v>
      </c>
      <c r="G369" s="257">
        <v>443021191</v>
      </c>
      <c r="H369" s="257">
        <v>0</v>
      </c>
      <c r="I369" s="257">
        <v>443021191</v>
      </c>
      <c r="J369" s="257">
        <v>0</v>
      </c>
      <c r="K369" s="257">
        <v>0</v>
      </c>
      <c r="L369" s="257">
        <v>0</v>
      </c>
      <c r="M369" s="257">
        <v>138378809</v>
      </c>
      <c r="N369" s="257">
        <v>0</v>
      </c>
    </row>
    <row r="370" spans="1:14" s="143" customFormat="1" x14ac:dyDescent="0.25">
      <c r="A370" s="487">
        <v>214789001</v>
      </c>
      <c r="D370" s="49" t="s">
        <v>69</v>
      </c>
      <c r="E370" s="257">
        <v>27896892306</v>
      </c>
      <c r="F370" s="50">
        <v>27526891796</v>
      </c>
      <c r="G370" s="257">
        <v>20583200965</v>
      </c>
      <c r="H370" s="50">
        <v>12253542.74</v>
      </c>
      <c r="I370" s="50">
        <v>3152606028.3899999</v>
      </c>
      <c r="J370" s="50">
        <v>366355599.81</v>
      </c>
      <c r="K370" s="50">
        <v>9106742284.1499996</v>
      </c>
      <c r="L370" s="50">
        <v>8834012176.7999992</v>
      </c>
      <c r="M370" s="50">
        <v>14888934340.91</v>
      </c>
      <c r="N370" s="257">
        <v>7945243509.9099998</v>
      </c>
    </row>
    <row r="371" spans="1:14" s="143" customFormat="1" hidden="1" x14ac:dyDescent="0.25">
      <c r="A371" s="143" t="s">
        <v>711</v>
      </c>
      <c r="B371" s="143" t="s">
        <v>71</v>
      </c>
      <c r="C371" s="143" t="s">
        <v>72</v>
      </c>
      <c r="D371" s="143" t="s">
        <v>69</v>
      </c>
      <c r="E371" s="257">
        <v>13888392480</v>
      </c>
      <c r="F371" s="257">
        <v>13554210603</v>
      </c>
      <c r="G371" s="257">
        <v>13450241509</v>
      </c>
      <c r="H371" s="257">
        <v>0</v>
      </c>
      <c r="I371" s="257">
        <v>1330273931</v>
      </c>
      <c r="J371" s="257">
        <v>0</v>
      </c>
      <c r="K371" s="257">
        <v>5235955269.7600002</v>
      </c>
      <c r="L371" s="257">
        <v>5235955269.7600002</v>
      </c>
      <c r="M371" s="257">
        <v>6987981402.2399998</v>
      </c>
      <c r="N371" s="257">
        <v>6884012308.2399998</v>
      </c>
    </row>
    <row r="372" spans="1:14" s="143" customFormat="1" hidden="1" x14ac:dyDescent="0.25">
      <c r="A372" s="143" t="s">
        <v>711</v>
      </c>
      <c r="B372" s="143" t="s">
        <v>73</v>
      </c>
      <c r="C372" s="143" t="s">
        <v>74</v>
      </c>
      <c r="D372" s="143" t="s">
        <v>69</v>
      </c>
      <c r="E372" s="257">
        <v>5229936552</v>
      </c>
      <c r="F372" s="257">
        <v>5032025148</v>
      </c>
      <c r="G372" s="257">
        <v>5032025148</v>
      </c>
      <c r="H372" s="257">
        <v>0</v>
      </c>
      <c r="I372" s="257">
        <v>0</v>
      </c>
      <c r="J372" s="257">
        <v>0</v>
      </c>
      <c r="K372" s="257">
        <v>1960665797.6400001</v>
      </c>
      <c r="L372" s="257">
        <v>1960665797.6400001</v>
      </c>
      <c r="M372" s="257">
        <v>3071359350.3600001</v>
      </c>
      <c r="N372" s="257">
        <v>3071359350.3600001</v>
      </c>
    </row>
    <row r="373" spans="1:14" s="143" customFormat="1" hidden="1" x14ac:dyDescent="0.25">
      <c r="A373" s="143" t="s">
        <v>711</v>
      </c>
      <c r="B373" s="143" t="s">
        <v>75</v>
      </c>
      <c r="C373" s="143" t="s">
        <v>76</v>
      </c>
      <c r="D373" s="143" t="s">
        <v>69</v>
      </c>
      <c r="E373" s="257">
        <v>5229936552</v>
      </c>
      <c r="F373" s="257">
        <v>5032025148</v>
      </c>
      <c r="G373" s="257">
        <v>5032025148</v>
      </c>
      <c r="H373" s="257">
        <v>0</v>
      </c>
      <c r="I373" s="257">
        <v>0</v>
      </c>
      <c r="J373" s="257">
        <v>0</v>
      </c>
      <c r="K373" s="257">
        <v>1960665797.6400001</v>
      </c>
      <c r="L373" s="257">
        <v>1960665797.6400001</v>
      </c>
      <c r="M373" s="257">
        <v>3071359350.3600001</v>
      </c>
      <c r="N373" s="257">
        <v>3071359350.3600001</v>
      </c>
    </row>
    <row r="374" spans="1:14" s="143" customFormat="1" hidden="1" x14ac:dyDescent="0.25">
      <c r="A374" s="143" t="s">
        <v>711</v>
      </c>
      <c r="B374" s="143" t="s">
        <v>293</v>
      </c>
      <c r="C374" s="143" t="s">
        <v>294</v>
      </c>
      <c r="D374" s="143" t="s">
        <v>69</v>
      </c>
      <c r="E374" s="257">
        <v>26335200</v>
      </c>
      <c r="F374" s="257">
        <v>26335200</v>
      </c>
      <c r="G374" s="257">
        <v>26335200</v>
      </c>
      <c r="H374" s="257">
        <v>0</v>
      </c>
      <c r="I374" s="257">
        <v>0</v>
      </c>
      <c r="J374" s="257">
        <v>0</v>
      </c>
      <c r="K374" s="257">
        <v>1957492.67</v>
      </c>
      <c r="L374" s="257">
        <v>1957492.67</v>
      </c>
      <c r="M374" s="257">
        <v>24377707.329999998</v>
      </c>
      <c r="N374" s="257">
        <v>24377707.329999998</v>
      </c>
    </row>
    <row r="375" spans="1:14" s="143" customFormat="1" hidden="1" x14ac:dyDescent="0.25">
      <c r="A375" s="143" t="s">
        <v>711</v>
      </c>
      <c r="B375" s="143" t="s">
        <v>339</v>
      </c>
      <c r="C375" s="143" t="s">
        <v>340</v>
      </c>
      <c r="D375" s="143" t="s">
        <v>69</v>
      </c>
      <c r="E375" s="257">
        <v>26335200</v>
      </c>
      <c r="F375" s="257">
        <v>26335200</v>
      </c>
      <c r="G375" s="257">
        <v>26335200</v>
      </c>
      <c r="H375" s="257">
        <v>0</v>
      </c>
      <c r="I375" s="257">
        <v>0</v>
      </c>
      <c r="J375" s="257">
        <v>0</v>
      </c>
      <c r="K375" s="257">
        <v>1957492.67</v>
      </c>
      <c r="L375" s="257">
        <v>1957492.67</v>
      </c>
      <c r="M375" s="257">
        <v>24377707.329999998</v>
      </c>
      <c r="N375" s="257">
        <v>24377707.329999998</v>
      </c>
    </row>
    <row r="376" spans="1:14" s="143" customFormat="1" hidden="1" x14ac:dyDescent="0.25">
      <c r="A376" s="143" t="s">
        <v>711</v>
      </c>
      <c r="B376" s="143" t="s">
        <v>77</v>
      </c>
      <c r="C376" s="143" t="s">
        <v>78</v>
      </c>
      <c r="D376" s="143" t="s">
        <v>69</v>
      </c>
      <c r="E376" s="257">
        <v>6513497315</v>
      </c>
      <c r="F376" s="257">
        <v>6428205068</v>
      </c>
      <c r="G376" s="257">
        <v>6340096078</v>
      </c>
      <c r="H376" s="257">
        <v>0</v>
      </c>
      <c r="I376" s="257">
        <v>0</v>
      </c>
      <c r="J376" s="257">
        <v>0</v>
      </c>
      <c r="K376" s="257">
        <v>2551820827.4499998</v>
      </c>
      <c r="L376" s="257">
        <v>2551820827.4499998</v>
      </c>
      <c r="M376" s="257">
        <v>3876384240.5500002</v>
      </c>
      <c r="N376" s="257">
        <v>3788275250.5500002</v>
      </c>
    </row>
    <row r="377" spans="1:14" s="143" customFormat="1" hidden="1" x14ac:dyDescent="0.25">
      <c r="A377" s="143" t="s">
        <v>711</v>
      </c>
      <c r="B377" s="143" t="s">
        <v>79</v>
      </c>
      <c r="C377" s="143" t="s">
        <v>80</v>
      </c>
      <c r="D377" s="143" t="s">
        <v>69</v>
      </c>
      <c r="E377" s="257">
        <v>1819317700</v>
      </c>
      <c r="F377" s="257">
        <v>1819317700</v>
      </c>
      <c r="G377" s="257">
        <v>1737983822</v>
      </c>
      <c r="H377" s="257">
        <v>0</v>
      </c>
      <c r="I377" s="257">
        <v>0</v>
      </c>
      <c r="J377" s="257">
        <v>0</v>
      </c>
      <c r="K377" s="257">
        <v>629160120.33000004</v>
      </c>
      <c r="L377" s="257">
        <v>629160120.33000004</v>
      </c>
      <c r="M377" s="257">
        <v>1190157579.6700001</v>
      </c>
      <c r="N377" s="257">
        <v>1108823701.6700001</v>
      </c>
    </row>
    <row r="378" spans="1:14" s="143" customFormat="1" hidden="1" x14ac:dyDescent="0.25">
      <c r="A378" s="143" t="s">
        <v>711</v>
      </c>
      <c r="B378" s="143" t="s">
        <v>81</v>
      </c>
      <c r="C378" s="143" t="s">
        <v>82</v>
      </c>
      <c r="D378" s="143" t="s">
        <v>69</v>
      </c>
      <c r="E378" s="257">
        <v>1750176673</v>
      </c>
      <c r="F378" s="257">
        <v>1705397775</v>
      </c>
      <c r="G378" s="257">
        <v>1705397775</v>
      </c>
      <c r="H378" s="257">
        <v>0</v>
      </c>
      <c r="I378" s="257">
        <v>0</v>
      </c>
      <c r="J378" s="257">
        <v>0</v>
      </c>
      <c r="K378" s="257">
        <v>651008059.96000004</v>
      </c>
      <c r="L378" s="257">
        <v>651008059.96000004</v>
      </c>
      <c r="M378" s="257">
        <v>1054389715.04</v>
      </c>
      <c r="N378" s="257">
        <v>1054389715.04</v>
      </c>
    </row>
    <row r="379" spans="1:14" s="143" customFormat="1" hidden="1" x14ac:dyDescent="0.25">
      <c r="A379" s="143" t="s">
        <v>711</v>
      </c>
      <c r="B379" s="143" t="s">
        <v>86</v>
      </c>
      <c r="C379" s="143" t="s">
        <v>87</v>
      </c>
      <c r="D379" s="143" t="s">
        <v>69</v>
      </c>
      <c r="E379" s="257">
        <v>831593600</v>
      </c>
      <c r="F379" s="257">
        <v>831593600</v>
      </c>
      <c r="G379" s="257">
        <v>831593600</v>
      </c>
      <c r="H379" s="257">
        <v>0</v>
      </c>
      <c r="I379" s="257">
        <v>0</v>
      </c>
      <c r="J379" s="257">
        <v>0</v>
      </c>
      <c r="K379" s="257">
        <v>804788268.25</v>
      </c>
      <c r="L379" s="257">
        <v>804788268.25</v>
      </c>
      <c r="M379" s="257">
        <v>26805331.75</v>
      </c>
      <c r="N379" s="257">
        <v>26805331.75</v>
      </c>
    </row>
    <row r="380" spans="1:14" s="143" customFormat="1" hidden="1" x14ac:dyDescent="0.25">
      <c r="A380" s="143" t="s">
        <v>711</v>
      </c>
      <c r="B380" s="143" t="s">
        <v>88</v>
      </c>
      <c r="C380" s="143" t="s">
        <v>89</v>
      </c>
      <c r="D380" s="143" t="s">
        <v>69</v>
      </c>
      <c r="E380" s="257">
        <v>1207376800</v>
      </c>
      <c r="F380" s="257">
        <v>1188640303</v>
      </c>
      <c r="G380" s="257">
        <v>1188640303</v>
      </c>
      <c r="H380" s="257">
        <v>0</v>
      </c>
      <c r="I380" s="257">
        <v>0</v>
      </c>
      <c r="J380" s="257">
        <v>0</v>
      </c>
      <c r="K380" s="257">
        <v>466641154.99000001</v>
      </c>
      <c r="L380" s="257">
        <v>466641154.99000001</v>
      </c>
      <c r="M380" s="257">
        <v>721999148.00999999</v>
      </c>
      <c r="N380" s="257">
        <v>721999148.00999999</v>
      </c>
    </row>
    <row r="381" spans="1:14" s="143" customFormat="1" hidden="1" x14ac:dyDescent="0.25">
      <c r="A381" s="143" t="s">
        <v>711</v>
      </c>
      <c r="B381" s="143" t="s">
        <v>83</v>
      </c>
      <c r="C381" s="143" t="s">
        <v>84</v>
      </c>
      <c r="D381" s="143" t="s">
        <v>85</v>
      </c>
      <c r="E381" s="257">
        <v>905032542</v>
      </c>
      <c r="F381" s="257">
        <v>883255690</v>
      </c>
      <c r="G381" s="257">
        <v>876480578</v>
      </c>
      <c r="H381" s="257">
        <v>0</v>
      </c>
      <c r="I381" s="257">
        <v>0</v>
      </c>
      <c r="J381" s="257">
        <v>0</v>
      </c>
      <c r="K381" s="257">
        <v>223223.92</v>
      </c>
      <c r="L381" s="257">
        <v>223223.92</v>
      </c>
      <c r="M381" s="257">
        <v>883032466.08000004</v>
      </c>
      <c r="N381" s="257">
        <v>876257354.08000004</v>
      </c>
    </row>
    <row r="382" spans="1:14" s="143" customFormat="1" hidden="1" x14ac:dyDescent="0.25">
      <c r="A382" s="143" t="s">
        <v>711</v>
      </c>
      <c r="B382" s="143" t="s">
        <v>90</v>
      </c>
      <c r="C382" s="143" t="s">
        <v>91</v>
      </c>
      <c r="D382" s="143" t="s">
        <v>69</v>
      </c>
      <c r="E382" s="257">
        <v>1059311707</v>
      </c>
      <c r="F382" s="257">
        <v>1033822594</v>
      </c>
      <c r="G382" s="257">
        <v>1025892542</v>
      </c>
      <c r="H382" s="257">
        <v>0</v>
      </c>
      <c r="I382" s="257">
        <v>664511961</v>
      </c>
      <c r="J382" s="257">
        <v>0</v>
      </c>
      <c r="K382" s="257">
        <v>361380581</v>
      </c>
      <c r="L382" s="257">
        <v>361380581</v>
      </c>
      <c r="M382" s="257">
        <v>7930052</v>
      </c>
      <c r="N382" s="257">
        <v>0</v>
      </c>
    </row>
    <row r="383" spans="1:14" s="143" customFormat="1" hidden="1" x14ac:dyDescent="0.25">
      <c r="A383" s="143" t="s">
        <v>711</v>
      </c>
      <c r="B383" s="143" t="s">
        <v>421</v>
      </c>
      <c r="C383" s="143" t="s">
        <v>697</v>
      </c>
      <c r="D383" s="143" t="s">
        <v>69</v>
      </c>
      <c r="E383" s="257">
        <v>1004988079</v>
      </c>
      <c r="F383" s="257">
        <v>980806100</v>
      </c>
      <c r="G383" s="257">
        <v>973282717</v>
      </c>
      <c r="H383" s="257">
        <v>0</v>
      </c>
      <c r="I383" s="257">
        <v>630434473</v>
      </c>
      <c r="J383" s="257">
        <v>0</v>
      </c>
      <c r="K383" s="257">
        <v>342848244</v>
      </c>
      <c r="L383" s="257">
        <v>342848244</v>
      </c>
      <c r="M383" s="257">
        <v>7523383</v>
      </c>
      <c r="N383" s="257">
        <v>0</v>
      </c>
    </row>
    <row r="384" spans="1:14" s="143" customFormat="1" hidden="1" x14ac:dyDescent="0.25">
      <c r="A384" s="143" t="s">
        <v>711</v>
      </c>
      <c r="B384" s="143" t="s">
        <v>438</v>
      </c>
      <c r="C384" s="143" t="s">
        <v>95</v>
      </c>
      <c r="D384" s="143" t="s">
        <v>69</v>
      </c>
      <c r="E384" s="257">
        <v>54323628</v>
      </c>
      <c r="F384" s="257">
        <v>53016494</v>
      </c>
      <c r="G384" s="257">
        <v>52609825</v>
      </c>
      <c r="H384" s="257">
        <v>0</v>
      </c>
      <c r="I384" s="257">
        <v>34077488</v>
      </c>
      <c r="J384" s="257">
        <v>0</v>
      </c>
      <c r="K384" s="257">
        <v>18532337</v>
      </c>
      <c r="L384" s="257">
        <v>18532337</v>
      </c>
      <c r="M384" s="257">
        <v>406669</v>
      </c>
      <c r="N384" s="257">
        <v>0</v>
      </c>
    </row>
    <row r="385" spans="1:14" s="143" customFormat="1" hidden="1" x14ac:dyDescent="0.25">
      <c r="A385" s="143" t="s">
        <v>711</v>
      </c>
      <c r="B385" s="143" t="s">
        <v>96</v>
      </c>
      <c r="C385" s="143" t="s">
        <v>97</v>
      </c>
      <c r="D385" s="143" t="s">
        <v>69</v>
      </c>
      <c r="E385" s="257">
        <v>1059311706</v>
      </c>
      <c r="F385" s="257">
        <v>1033822593</v>
      </c>
      <c r="G385" s="257">
        <v>1025892541</v>
      </c>
      <c r="H385" s="257">
        <v>0</v>
      </c>
      <c r="I385" s="257">
        <v>665761970</v>
      </c>
      <c r="J385" s="257">
        <v>0</v>
      </c>
      <c r="K385" s="257">
        <v>360130571</v>
      </c>
      <c r="L385" s="257">
        <v>360130571</v>
      </c>
      <c r="M385" s="257">
        <v>7930052</v>
      </c>
      <c r="N385" s="257">
        <v>0</v>
      </c>
    </row>
    <row r="386" spans="1:14" s="143" customFormat="1" hidden="1" x14ac:dyDescent="0.25">
      <c r="A386" s="143" t="s">
        <v>711</v>
      </c>
      <c r="B386" s="143" t="s">
        <v>456</v>
      </c>
      <c r="C386" s="143" t="s">
        <v>698</v>
      </c>
      <c r="D386" s="143" t="s">
        <v>69</v>
      </c>
      <c r="E386" s="257">
        <v>570398650</v>
      </c>
      <c r="F386" s="257">
        <v>556673743</v>
      </c>
      <c r="G386" s="257">
        <v>552403715</v>
      </c>
      <c r="H386" s="257">
        <v>0</v>
      </c>
      <c r="I386" s="257">
        <v>359064182</v>
      </c>
      <c r="J386" s="257">
        <v>0</v>
      </c>
      <c r="K386" s="257">
        <v>193339533</v>
      </c>
      <c r="L386" s="257">
        <v>193339533</v>
      </c>
      <c r="M386" s="257">
        <v>4270028</v>
      </c>
      <c r="N386" s="257">
        <v>0</v>
      </c>
    </row>
    <row r="387" spans="1:14" s="143" customFormat="1" hidden="1" x14ac:dyDescent="0.25">
      <c r="A387" s="143" t="s">
        <v>711</v>
      </c>
      <c r="B387" s="143" t="s">
        <v>473</v>
      </c>
      <c r="C387" s="143" t="s">
        <v>699</v>
      </c>
      <c r="D387" s="143" t="s">
        <v>69</v>
      </c>
      <c r="E387" s="257">
        <v>162970985</v>
      </c>
      <c r="F387" s="257">
        <v>159049583</v>
      </c>
      <c r="G387" s="257">
        <v>157829575</v>
      </c>
      <c r="H387" s="257">
        <v>0</v>
      </c>
      <c r="I387" s="257">
        <v>102232562</v>
      </c>
      <c r="J387" s="257">
        <v>0</v>
      </c>
      <c r="K387" s="257">
        <v>55597013</v>
      </c>
      <c r="L387" s="257">
        <v>55597013</v>
      </c>
      <c r="M387" s="257">
        <v>1220008</v>
      </c>
      <c r="N387" s="257">
        <v>0</v>
      </c>
    </row>
    <row r="388" spans="1:14" s="143" customFormat="1" hidden="1" x14ac:dyDescent="0.25">
      <c r="A388" s="143" t="s">
        <v>711</v>
      </c>
      <c r="B388" s="143" t="s">
        <v>490</v>
      </c>
      <c r="C388" s="143" t="s">
        <v>700</v>
      </c>
      <c r="D388" s="143" t="s">
        <v>69</v>
      </c>
      <c r="E388" s="257">
        <v>325942071</v>
      </c>
      <c r="F388" s="257">
        <v>318099267</v>
      </c>
      <c r="G388" s="257">
        <v>315659251</v>
      </c>
      <c r="H388" s="257">
        <v>0</v>
      </c>
      <c r="I388" s="257">
        <v>204465226</v>
      </c>
      <c r="J388" s="257">
        <v>0</v>
      </c>
      <c r="K388" s="257">
        <v>111194025</v>
      </c>
      <c r="L388" s="257">
        <v>111194025</v>
      </c>
      <c r="M388" s="257">
        <v>2440016</v>
      </c>
      <c r="N388" s="257">
        <v>0</v>
      </c>
    </row>
    <row r="389" spans="1:14" s="143" customFormat="1" hidden="1" x14ac:dyDescent="0.25">
      <c r="A389" s="143" t="s">
        <v>711</v>
      </c>
      <c r="B389" s="143" t="s">
        <v>104</v>
      </c>
      <c r="C389" s="143" t="s">
        <v>105</v>
      </c>
      <c r="D389" s="143" t="s">
        <v>69</v>
      </c>
      <c r="E389" s="257">
        <v>3955829992</v>
      </c>
      <c r="F389" s="257">
        <v>3955029992</v>
      </c>
      <c r="G389" s="257">
        <v>2033514996</v>
      </c>
      <c r="H389" s="257">
        <v>0</v>
      </c>
      <c r="I389" s="257">
        <v>653273101.80999994</v>
      </c>
      <c r="J389" s="257">
        <v>0</v>
      </c>
      <c r="K389" s="257">
        <v>1312723699.78</v>
      </c>
      <c r="L389" s="257">
        <v>1312353168.4300001</v>
      </c>
      <c r="M389" s="257">
        <v>1989033190.4100001</v>
      </c>
      <c r="N389" s="257">
        <v>67518194.409999996</v>
      </c>
    </row>
    <row r="390" spans="1:14" s="143" customFormat="1" hidden="1" x14ac:dyDescent="0.25">
      <c r="A390" s="143" t="s">
        <v>711</v>
      </c>
      <c r="B390" s="143" t="s">
        <v>112</v>
      </c>
      <c r="C390" s="143" t="s">
        <v>113</v>
      </c>
      <c r="D390" s="143" t="s">
        <v>69</v>
      </c>
      <c r="E390" s="257">
        <v>3954369992</v>
      </c>
      <c r="F390" s="257">
        <v>3954369992</v>
      </c>
      <c r="G390" s="257">
        <v>2032854996</v>
      </c>
      <c r="H390" s="257">
        <v>0</v>
      </c>
      <c r="I390" s="257">
        <v>653273101.80999994</v>
      </c>
      <c r="J390" s="257">
        <v>0</v>
      </c>
      <c r="K390" s="257">
        <v>1312723699.78</v>
      </c>
      <c r="L390" s="257">
        <v>1312353168.4300001</v>
      </c>
      <c r="M390" s="257">
        <v>1988373190.4100001</v>
      </c>
      <c r="N390" s="257">
        <v>66858194.409999996</v>
      </c>
    </row>
    <row r="391" spans="1:14" s="143" customFormat="1" hidden="1" x14ac:dyDescent="0.25">
      <c r="A391" s="143" t="s">
        <v>711</v>
      </c>
      <c r="B391" s="143" t="s">
        <v>114</v>
      </c>
      <c r="C391" s="143" t="s">
        <v>115</v>
      </c>
      <c r="D391" s="143" t="s">
        <v>69</v>
      </c>
      <c r="E391" s="257">
        <v>2664489000</v>
      </c>
      <c r="F391" s="257">
        <v>2664489000</v>
      </c>
      <c r="G391" s="257">
        <v>1331514500</v>
      </c>
      <c r="H391" s="257">
        <v>0</v>
      </c>
      <c r="I391" s="257">
        <v>299661435.94999999</v>
      </c>
      <c r="J391" s="257">
        <v>0</v>
      </c>
      <c r="K391" s="257">
        <v>1031853064.05</v>
      </c>
      <c r="L391" s="257">
        <v>1031853064.05</v>
      </c>
      <c r="M391" s="257">
        <v>1332974500</v>
      </c>
      <c r="N391" s="257">
        <v>0</v>
      </c>
    </row>
    <row r="392" spans="1:14" s="143" customFormat="1" hidden="1" x14ac:dyDescent="0.25">
      <c r="A392" s="143" t="s">
        <v>711</v>
      </c>
      <c r="B392" s="143" t="s">
        <v>116</v>
      </c>
      <c r="C392" s="143" t="s">
        <v>117</v>
      </c>
      <c r="D392" s="143" t="s">
        <v>69</v>
      </c>
      <c r="E392" s="257">
        <v>1052390992</v>
      </c>
      <c r="F392" s="257">
        <v>1052390992</v>
      </c>
      <c r="G392" s="257">
        <v>526195496</v>
      </c>
      <c r="H392" s="257">
        <v>0</v>
      </c>
      <c r="I392" s="257">
        <v>284332289.37</v>
      </c>
      <c r="J392" s="257">
        <v>0</v>
      </c>
      <c r="K392" s="257">
        <v>241863206.63</v>
      </c>
      <c r="L392" s="257">
        <v>241863206.63</v>
      </c>
      <c r="M392" s="257">
        <v>526195496</v>
      </c>
      <c r="N392" s="257">
        <v>0</v>
      </c>
    </row>
    <row r="393" spans="1:14" s="143" customFormat="1" hidden="1" x14ac:dyDescent="0.25">
      <c r="A393" s="143" t="s">
        <v>711</v>
      </c>
      <c r="B393" s="143" t="s">
        <v>120</v>
      </c>
      <c r="C393" s="143" t="s">
        <v>121</v>
      </c>
      <c r="D393" s="143" t="s">
        <v>69</v>
      </c>
      <c r="E393" s="257">
        <v>124690000</v>
      </c>
      <c r="F393" s="257">
        <v>124690000</v>
      </c>
      <c r="G393" s="257">
        <v>62345000</v>
      </c>
      <c r="H393" s="257">
        <v>0</v>
      </c>
      <c r="I393" s="257">
        <v>62345000</v>
      </c>
      <c r="J393" s="257">
        <v>0</v>
      </c>
      <c r="K393" s="257">
        <v>0</v>
      </c>
      <c r="L393" s="257">
        <v>0</v>
      </c>
      <c r="M393" s="257">
        <v>62345000</v>
      </c>
      <c r="N393" s="257">
        <v>0</v>
      </c>
    </row>
    <row r="394" spans="1:14" s="143" customFormat="1" hidden="1" x14ac:dyDescent="0.25">
      <c r="A394" s="143" t="s">
        <v>711</v>
      </c>
      <c r="B394" s="143" t="s">
        <v>122</v>
      </c>
      <c r="C394" s="143" t="s">
        <v>123</v>
      </c>
      <c r="D394" s="143" t="s">
        <v>69</v>
      </c>
      <c r="E394" s="257">
        <v>112800000</v>
      </c>
      <c r="F394" s="257">
        <v>112800000</v>
      </c>
      <c r="G394" s="257">
        <v>112800000</v>
      </c>
      <c r="H394" s="257">
        <v>0</v>
      </c>
      <c r="I394" s="257">
        <v>6934376.4900000002</v>
      </c>
      <c r="J394" s="257">
        <v>0</v>
      </c>
      <c r="K394" s="257">
        <v>39007429.100000001</v>
      </c>
      <c r="L394" s="257">
        <v>38636897.75</v>
      </c>
      <c r="M394" s="257">
        <v>66858194.409999996</v>
      </c>
      <c r="N394" s="257">
        <v>66858194.409999996</v>
      </c>
    </row>
    <row r="395" spans="1:14" s="143" customFormat="1" hidden="1" x14ac:dyDescent="0.25">
      <c r="A395" s="143" t="s">
        <v>711</v>
      </c>
      <c r="B395" s="143" t="s">
        <v>134</v>
      </c>
      <c r="C395" s="143" t="s">
        <v>135</v>
      </c>
      <c r="D395" s="143" t="s">
        <v>69</v>
      </c>
      <c r="E395" s="257">
        <v>340000</v>
      </c>
      <c r="F395" s="257">
        <v>340000</v>
      </c>
      <c r="G395" s="257">
        <v>340000</v>
      </c>
      <c r="H395" s="257">
        <v>0</v>
      </c>
      <c r="I395" s="257">
        <v>0</v>
      </c>
      <c r="J395" s="257">
        <v>0</v>
      </c>
      <c r="K395" s="257">
        <v>0</v>
      </c>
      <c r="L395" s="257">
        <v>0</v>
      </c>
      <c r="M395" s="257">
        <v>340000</v>
      </c>
      <c r="N395" s="257">
        <v>340000</v>
      </c>
    </row>
    <row r="396" spans="1:14" s="143" customFormat="1" hidden="1" x14ac:dyDescent="0.25">
      <c r="A396" s="143" t="s">
        <v>711</v>
      </c>
      <c r="B396" s="143" t="s">
        <v>346</v>
      </c>
      <c r="C396" s="143" t="s">
        <v>347</v>
      </c>
      <c r="D396" s="143" t="s">
        <v>69</v>
      </c>
      <c r="E396" s="257">
        <v>180000</v>
      </c>
      <c r="F396" s="257">
        <v>180000</v>
      </c>
      <c r="G396" s="257">
        <v>180000</v>
      </c>
      <c r="H396" s="257">
        <v>0</v>
      </c>
      <c r="I396" s="257">
        <v>0</v>
      </c>
      <c r="J396" s="257">
        <v>0</v>
      </c>
      <c r="K396" s="257">
        <v>0</v>
      </c>
      <c r="L396" s="257">
        <v>0</v>
      </c>
      <c r="M396" s="257">
        <v>180000</v>
      </c>
      <c r="N396" s="257">
        <v>180000</v>
      </c>
    </row>
    <row r="397" spans="1:14" s="143" customFormat="1" hidden="1" x14ac:dyDescent="0.25">
      <c r="A397" s="143" t="s">
        <v>711</v>
      </c>
      <c r="B397" s="143" t="s">
        <v>138</v>
      </c>
      <c r="C397" s="143" t="s">
        <v>139</v>
      </c>
      <c r="D397" s="143" t="s">
        <v>69</v>
      </c>
      <c r="E397" s="257">
        <v>160000</v>
      </c>
      <c r="F397" s="257">
        <v>160000</v>
      </c>
      <c r="G397" s="257">
        <v>160000</v>
      </c>
      <c r="H397" s="257">
        <v>0</v>
      </c>
      <c r="I397" s="257">
        <v>0</v>
      </c>
      <c r="J397" s="257">
        <v>0</v>
      </c>
      <c r="K397" s="257">
        <v>0</v>
      </c>
      <c r="L397" s="257">
        <v>0</v>
      </c>
      <c r="M397" s="257">
        <v>160000</v>
      </c>
      <c r="N397" s="257">
        <v>160000</v>
      </c>
    </row>
    <row r="398" spans="1:14" s="143" customFormat="1" hidden="1" x14ac:dyDescent="0.25">
      <c r="A398" s="143" t="s">
        <v>711</v>
      </c>
      <c r="B398" s="143" t="s">
        <v>162</v>
      </c>
      <c r="C398" s="143" t="s">
        <v>163</v>
      </c>
      <c r="D398" s="143" t="s">
        <v>69</v>
      </c>
      <c r="E398" s="257">
        <v>1120000</v>
      </c>
      <c r="F398" s="257">
        <v>320000</v>
      </c>
      <c r="G398" s="257">
        <v>320000</v>
      </c>
      <c r="H398" s="257">
        <v>0</v>
      </c>
      <c r="I398" s="257">
        <v>0</v>
      </c>
      <c r="J398" s="257">
        <v>0</v>
      </c>
      <c r="K398" s="257">
        <v>0</v>
      </c>
      <c r="L398" s="257">
        <v>0</v>
      </c>
      <c r="M398" s="257">
        <v>320000</v>
      </c>
      <c r="N398" s="257">
        <v>320000</v>
      </c>
    </row>
    <row r="399" spans="1:14" s="143" customFormat="1" hidden="1" x14ac:dyDescent="0.25">
      <c r="A399" s="143" t="s">
        <v>711</v>
      </c>
      <c r="B399" s="143" t="s">
        <v>164</v>
      </c>
      <c r="C399" s="143" t="s">
        <v>165</v>
      </c>
      <c r="D399" s="143" t="s">
        <v>69</v>
      </c>
      <c r="E399" s="257">
        <v>800000</v>
      </c>
      <c r="F399" s="257">
        <v>0</v>
      </c>
      <c r="G399" s="257">
        <v>0</v>
      </c>
      <c r="H399" s="257">
        <v>0</v>
      </c>
      <c r="I399" s="257">
        <v>0</v>
      </c>
      <c r="J399" s="257">
        <v>0</v>
      </c>
      <c r="K399" s="257">
        <v>0</v>
      </c>
      <c r="L399" s="257">
        <v>0</v>
      </c>
      <c r="M399" s="257">
        <v>0</v>
      </c>
      <c r="N399" s="257">
        <v>0</v>
      </c>
    </row>
    <row r="400" spans="1:14" s="143" customFormat="1" hidden="1" x14ac:dyDescent="0.25">
      <c r="A400" s="143" t="s">
        <v>711</v>
      </c>
      <c r="B400" s="143" t="s">
        <v>172</v>
      </c>
      <c r="C400" s="143" t="s">
        <v>173</v>
      </c>
      <c r="D400" s="143" t="s">
        <v>69</v>
      </c>
      <c r="E400" s="257">
        <v>320000</v>
      </c>
      <c r="F400" s="257">
        <v>320000</v>
      </c>
      <c r="G400" s="257">
        <v>320000</v>
      </c>
      <c r="H400" s="257">
        <v>0</v>
      </c>
      <c r="I400" s="257">
        <v>0</v>
      </c>
      <c r="J400" s="257">
        <v>0</v>
      </c>
      <c r="K400" s="257">
        <v>0</v>
      </c>
      <c r="L400" s="257">
        <v>0</v>
      </c>
      <c r="M400" s="257">
        <v>320000</v>
      </c>
      <c r="N400" s="257">
        <v>320000</v>
      </c>
    </row>
    <row r="401" spans="1:14" s="143" customFormat="1" hidden="1" x14ac:dyDescent="0.25">
      <c r="A401" s="143" t="s">
        <v>711</v>
      </c>
      <c r="B401" s="143" t="s">
        <v>184</v>
      </c>
      <c r="C401" s="143" t="s">
        <v>185</v>
      </c>
      <c r="D401" s="143" t="s">
        <v>69</v>
      </c>
      <c r="E401" s="257">
        <v>9762991308</v>
      </c>
      <c r="F401" s="257">
        <v>9732312358</v>
      </c>
      <c r="G401" s="257">
        <v>4816838759</v>
      </c>
      <c r="H401" s="257">
        <v>12253542.74</v>
      </c>
      <c r="I401" s="257">
        <v>1047246642.58</v>
      </c>
      <c r="J401" s="257">
        <v>366355599.81</v>
      </c>
      <c r="K401" s="257">
        <v>2469120860.6100001</v>
      </c>
      <c r="L401" s="257">
        <v>2196761284.6100001</v>
      </c>
      <c r="M401" s="257">
        <v>5837335712.2600002</v>
      </c>
      <c r="N401" s="257">
        <v>921862113.25999999</v>
      </c>
    </row>
    <row r="402" spans="1:14" s="143" customFormat="1" hidden="1" x14ac:dyDescent="0.25">
      <c r="A402" s="143" t="s">
        <v>711</v>
      </c>
      <c r="B402" s="143" t="s">
        <v>186</v>
      </c>
      <c r="C402" s="143" t="s">
        <v>187</v>
      </c>
      <c r="D402" s="143" t="s">
        <v>69</v>
      </c>
      <c r="E402" s="257">
        <v>20114885</v>
      </c>
      <c r="F402" s="257">
        <v>15114885</v>
      </c>
      <c r="G402" s="257">
        <v>12835685</v>
      </c>
      <c r="H402" s="257">
        <v>0</v>
      </c>
      <c r="I402" s="257">
        <v>1170358.99</v>
      </c>
      <c r="J402" s="257">
        <v>0</v>
      </c>
      <c r="K402" s="257">
        <v>0</v>
      </c>
      <c r="L402" s="257">
        <v>0</v>
      </c>
      <c r="M402" s="257">
        <v>13944526.01</v>
      </c>
      <c r="N402" s="257">
        <v>11665326.01</v>
      </c>
    </row>
    <row r="403" spans="1:14" s="143" customFormat="1" hidden="1" x14ac:dyDescent="0.25">
      <c r="A403" s="143" t="s">
        <v>711</v>
      </c>
      <c r="B403" s="143" t="s">
        <v>188</v>
      </c>
      <c r="C403" s="143" t="s">
        <v>189</v>
      </c>
      <c r="D403" s="143" t="s">
        <v>69</v>
      </c>
      <c r="E403" s="257">
        <v>4558400</v>
      </c>
      <c r="F403" s="257">
        <v>4558400</v>
      </c>
      <c r="G403" s="257">
        <v>2279200</v>
      </c>
      <c r="H403" s="257">
        <v>0</v>
      </c>
      <c r="I403" s="257">
        <v>0</v>
      </c>
      <c r="J403" s="257">
        <v>0</v>
      </c>
      <c r="K403" s="257">
        <v>0</v>
      </c>
      <c r="L403" s="257">
        <v>0</v>
      </c>
      <c r="M403" s="257">
        <v>4558400</v>
      </c>
      <c r="N403" s="257">
        <v>2279200</v>
      </c>
    </row>
    <row r="404" spans="1:14" s="143" customFormat="1" hidden="1" x14ac:dyDescent="0.25">
      <c r="A404" s="143" t="s">
        <v>711</v>
      </c>
      <c r="B404" s="143" t="s">
        <v>190</v>
      </c>
      <c r="C404" s="143" t="s">
        <v>191</v>
      </c>
      <c r="D404" s="143" t="s">
        <v>69</v>
      </c>
      <c r="E404" s="257">
        <v>1998283</v>
      </c>
      <c r="F404" s="257">
        <v>3620553</v>
      </c>
      <c r="G404" s="257">
        <v>3620553</v>
      </c>
      <c r="H404" s="257">
        <v>0</v>
      </c>
      <c r="I404" s="257">
        <v>0</v>
      </c>
      <c r="J404" s="257">
        <v>0</v>
      </c>
      <c r="K404" s="257">
        <v>0</v>
      </c>
      <c r="L404" s="257">
        <v>0</v>
      </c>
      <c r="M404" s="257">
        <v>3620553</v>
      </c>
      <c r="N404" s="257">
        <v>3620553</v>
      </c>
    </row>
    <row r="405" spans="1:14" s="143" customFormat="1" hidden="1" x14ac:dyDescent="0.25">
      <c r="A405" s="143" t="s">
        <v>711</v>
      </c>
      <c r="B405" s="143" t="s">
        <v>350</v>
      </c>
      <c r="C405" s="143" t="s">
        <v>351</v>
      </c>
      <c r="D405" s="143" t="s">
        <v>69</v>
      </c>
      <c r="E405" s="257">
        <v>1432676</v>
      </c>
      <c r="F405" s="257">
        <v>1432676</v>
      </c>
      <c r="G405" s="257">
        <v>1432676</v>
      </c>
      <c r="H405" s="257">
        <v>0</v>
      </c>
      <c r="I405" s="257">
        <v>1170358.99</v>
      </c>
      <c r="J405" s="257">
        <v>0</v>
      </c>
      <c r="K405" s="257">
        <v>0</v>
      </c>
      <c r="L405" s="257">
        <v>0</v>
      </c>
      <c r="M405" s="257">
        <v>262317.01</v>
      </c>
      <c r="N405" s="257">
        <v>262317.01</v>
      </c>
    </row>
    <row r="406" spans="1:14" s="143" customFormat="1" hidden="1" x14ac:dyDescent="0.25">
      <c r="A406" s="143" t="s">
        <v>711</v>
      </c>
      <c r="B406" s="143" t="s">
        <v>194</v>
      </c>
      <c r="C406" s="143" t="s">
        <v>195</v>
      </c>
      <c r="D406" s="143" t="s">
        <v>69</v>
      </c>
      <c r="E406" s="257">
        <v>12125526</v>
      </c>
      <c r="F406" s="257">
        <v>5503256</v>
      </c>
      <c r="G406" s="257">
        <v>5503256</v>
      </c>
      <c r="H406" s="257">
        <v>0</v>
      </c>
      <c r="I406" s="257">
        <v>0</v>
      </c>
      <c r="J406" s="257">
        <v>0</v>
      </c>
      <c r="K406" s="257">
        <v>0</v>
      </c>
      <c r="L406" s="257">
        <v>0</v>
      </c>
      <c r="M406" s="257">
        <v>5503256</v>
      </c>
      <c r="N406" s="257">
        <v>5503256</v>
      </c>
    </row>
    <row r="407" spans="1:14" s="143" customFormat="1" hidden="1" x14ac:dyDescent="0.25">
      <c r="A407" s="143" t="s">
        <v>711</v>
      </c>
      <c r="B407" s="143" t="s">
        <v>196</v>
      </c>
      <c r="C407" s="143" t="s">
        <v>197</v>
      </c>
      <c r="D407" s="143" t="s">
        <v>69</v>
      </c>
      <c r="E407" s="257">
        <v>9704809902</v>
      </c>
      <c r="F407" s="257">
        <v>9684809902</v>
      </c>
      <c r="G407" s="257">
        <v>4771615503</v>
      </c>
      <c r="H407" s="257">
        <v>0</v>
      </c>
      <c r="I407" s="257">
        <v>1045869139.3</v>
      </c>
      <c r="J407" s="257">
        <v>366355599.81</v>
      </c>
      <c r="K407" s="257">
        <v>2469120860.6100001</v>
      </c>
      <c r="L407" s="257">
        <v>2196761284.6100001</v>
      </c>
      <c r="M407" s="257">
        <v>5803464302.2799997</v>
      </c>
      <c r="N407" s="257">
        <v>890269903.27999997</v>
      </c>
    </row>
    <row r="408" spans="1:14" s="143" customFormat="1" hidden="1" x14ac:dyDescent="0.25">
      <c r="A408" s="143" t="s">
        <v>711</v>
      </c>
      <c r="B408" s="143" t="s">
        <v>579</v>
      </c>
      <c r="C408" s="143" t="s">
        <v>580</v>
      </c>
      <c r="D408" s="143" t="s">
        <v>69</v>
      </c>
      <c r="E408" s="257">
        <v>3494885</v>
      </c>
      <c r="F408" s="257">
        <v>3494885</v>
      </c>
      <c r="G408" s="257">
        <v>2843230</v>
      </c>
      <c r="H408" s="257">
        <v>0</v>
      </c>
      <c r="I408" s="257">
        <v>2191575</v>
      </c>
      <c r="J408" s="257">
        <v>0</v>
      </c>
      <c r="K408" s="257">
        <v>0</v>
      </c>
      <c r="L408" s="257">
        <v>0</v>
      </c>
      <c r="M408" s="257">
        <v>1303310</v>
      </c>
      <c r="N408" s="257">
        <v>651655</v>
      </c>
    </row>
    <row r="409" spans="1:14" s="143" customFormat="1" hidden="1" x14ac:dyDescent="0.25">
      <c r="A409" s="143" t="s">
        <v>711</v>
      </c>
      <c r="B409" s="143" t="s">
        <v>198</v>
      </c>
      <c r="C409" s="143" t="s">
        <v>199</v>
      </c>
      <c r="D409" s="143" t="s">
        <v>69</v>
      </c>
      <c r="E409" s="257">
        <v>9654391017</v>
      </c>
      <c r="F409" s="257">
        <v>9654391017</v>
      </c>
      <c r="G409" s="257">
        <v>4742191842</v>
      </c>
      <c r="H409" s="257">
        <v>0</v>
      </c>
      <c r="I409" s="257">
        <v>1025257999</v>
      </c>
      <c r="J409" s="257">
        <v>366355599.81</v>
      </c>
      <c r="K409" s="257">
        <v>2469120860.6100001</v>
      </c>
      <c r="L409" s="257">
        <v>2196761284.6100001</v>
      </c>
      <c r="M409" s="257">
        <v>5793656557.5799999</v>
      </c>
      <c r="N409" s="257">
        <v>881457382.58000004</v>
      </c>
    </row>
    <row r="410" spans="1:14" s="143" customFormat="1" hidden="1" x14ac:dyDescent="0.25">
      <c r="A410" s="143" t="s">
        <v>711</v>
      </c>
      <c r="B410" s="143" t="s">
        <v>352</v>
      </c>
      <c r="C410" s="143" t="s">
        <v>353</v>
      </c>
      <c r="D410" s="143" t="s">
        <v>69</v>
      </c>
      <c r="E410" s="257">
        <v>46924000</v>
      </c>
      <c r="F410" s="257">
        <v>26924000</v>
      </c>
      <c r="G410" s="257">
        <v>26580431</v>
      </c>
      <c r="H410" s="257">
        <v>0</v>
      </c>
      <c r="I410" s="257">
        <v>18419565.300000001</v>
      </c>
      <c r="J410" s="257">
        <v>0</v>
      </c>
      <c r="K410" s="257">
        <v>0</v>
      </c>
      <c r="L410" s="257">
        <v>0</v>
      </c>
      <c r="M410" s="257">
        <v>8504434.6999999993</v>
      </c>
      <c r="N410" s="257">
        <v>8160865.7000000002</v>
      </c>
    </row>
    <row r="411" spans="1:14" s="143" customFormat="1" hidden="1" x14ac:dyDescent="0.25">
      <c r="A411" s="143" t="s">
        <v>711</v>
      </c>
      <c r="B411" s="143" t="s">
        <v>200</v>
      </c>
      <c r="C411" s="143" t="s">
        <v>201</v>
      </c>
      <c r="D411" s="143" t="s">
        <v>69</v>
      </c>
      <c r="E411" s="257">
        <v>9701312</v>
      </c>
      <c r="F411" s="257">
        <v>9022362</v>
      </c>
      <c r="G411" s="257">
        <v>9022362</v>
      </c>
      <c r="H411" s="257">
        <v>7581698</v>
      </c>
      <c r="I411" s="257">
        <v>109544.29</v>
      </c>
      <c r="J411" s="257">
        <v>0</v>
      </c>
      <c r="K411" s="257">
        <v>0</v>
      </c>
      <c r="L411" s="257">
        <v>0</v>
      </c>
      <c r="M411" s="257">
        <v>1331119.71</v>
      </c>
      <c r="N411" s="257">
        <v>1331119.71</v>
      </c>
    </row>
    <row r="412" spans="1:14" s="143" customFormat="1" hidden="1" x14ac:dyDescent="0.25">
      <c r="A412" s="143" t="s">
        <v>711</v>
      </c>
      <c r="B412" s="143" t="s">
        <v>314</v>
      </c>
      <c r="C412" s="143" t="s">
        <v>315</v>
      </c>
      <c r="D412" s="143" t="s">
        <v>69</v>
      </c>
      <c r="E412" s="257">
        <v>3440012</v>
      </c>
      <c r="F412" s="257">
        <v>3440012</v>
      </c>
      <c r="G412" s="257">
        <v>3440012</v>
      </c>
      <c r="H412" s="257">
        <v>3309013</v>
      </c>
      <c r="I412" s="257">
        <v>0</v>
      </c>
      <c r="J412" s="257">
        <v>0</v>
      </c>
      <c r="K412" s="257">
        <v>0</v>
      </c>
      <c r="L412" s="257">
        <v>0</v>
      </c>
      <c r="M412" s="257">
        <v>130999</v>
      </c>
      <c r="N412" s="257">
        <v>130999</v>
      </c>
    </row>
    <row r="413" spans="1:14" s="143" customFormat="1" hidden="1" x14ac:dyDescent="0.25">
      <c r="A413" s="143" t="s">
        <v>711</v>
      </c>
      <c r="B413" s="143" t="s">
        <v>316</v>
      </c>
      <c r="C413" s="143" t="s">
        <v>317</v>
      </c>
      <c r="D413" s="143" t="s">
        <v>69</v>
      </c>
      <c r="E413" s="257">
        <v>678950</v>
      </c>
      <c r="F413" s="257">
        <v>0</v>
      </c>
      <c r="G413" s="257">
        <v>0</v>
      </c>
      <c r="H413" s="257">
        <v>0</v>
      </c>
      <c r="I413" s="257">
        <v>0</v>
      </c>
      <c r="J413" s="257">
        <v>0</v>
      </c>
      <c r="K413" s="257">
        <v>0</v>
      </c>
      <c r="L413" s="257">
        <v>0</v>
      </c>
      <c r="M413" s="257">
        <v>0</v>
      </c>
      <c r="N413" s="257">
        <v>0</v>
      </c>
    </row>
    <row r="414" spans="1:14" s="143" customFormat="1" hidden="1" x14ac:dyDescent="0.25">
      <c r="A414" s="143" t="s">
        <v>711</v>
      </c>
      <c r="B414" s="143" t="s">
        <v>318</v>
      </c>
      <c r="C414" s="143" t="s">
        <v>319</v>
      </c>
      <c r="D414" s="143" t="s">
        <v>69</v>
      </c>
      <c r="E414" s="257">
        <v>648835</v>
      </c>
      <c r="F414" s="257">
        <v>648835</v>
      </c>
      <c r="G414" s="257">
        <v>648835</v>
      </c>
      <c r="H414" s="257">
        <v>0</v>
      </c>
      <c r="I414" s="257">
        <v>0</v>
      </c>
      <c r="J414" s="257">
        <v>0</v>
      </c>
      <c r="K414" s="257">
        <v>0</v>
      </c>
      <c r="L414" s="257">
        <v>0</v>
      </c>
      <c r="M414" s="257">
        <v>648835</v>
      </c>
      <c r="N414" s="257">
        <v>648835</v>
      </c>
    </row>
    <row r="415" spans="1:14" s="143" customFormat="1" hidden="1" x14ac:dyDescent="0.25">
      <c r="A415" s="143" t="s">
        <v>711</v>
      </c>
      <c r="B415" s="143" t="s">
        <v>202</v>
      </c>
      <c r="C415" s="143" t="s">
        <v>203</v>
      </c>
      <c r="D415" s="143" t="s">
        <v>69</v>
      </c>
      <c r="E415" s="257">
        <v>274510</v>
      </c>
      <c r="F415" s="257">
        <v>274510</v>
      </c>
      <c r="G415" s="257">
        <v>274510</v>
      </c>
      <c r="H415" s="257">
        <v>0</v>
      </c>
      <c r="I415" s="257">
        <v>109544.29</v>
      </c>
      <c r="J415" s="257">
        <v>0</v>
      </c>
      <c r="K415" s="257">
        <v>0</v>
      </c>
      <c r="L415" s="257">
        <v>0</v>
      </c>
      <c r="M415" s="257">
        <v>164965.71</v>
      </c>
      <c r="N415" s="257">
        <v>164965.71</v>
      </c>
    </row>
    <row r="416" spans="1:14" s="143" customFormat="1" hidden="1" x14ac:dyDescent="0.25">
      <c r="A416" s="143" t="s">
        <v>711</v>
      </c>
      <c r="B416" s="143" t="s">
        <v>204</v>
      </c>
      <c r="C416" s="143" t="s">
        <v>205</v>
      </c>
      <c r="D416" s="143" t="s">
        <v>69</v>
      </c>
      <c r="E416" s="257">
        <v>4524220</v>
      </c>
      <c r="F416" s="257">
        <v>4524220</v>
      </c>
      <c r="G416" s="257">
        <v>4524220</v>
      </c>
      <c r="H416" s="257">
        <v>4272685</v>
      </c>
      <c r="I416" s="257">
        <v>0</v>
      </c>
      <c r="J416" s="257">
        <v>0</v>
      </c>
      <c r="K416" s="257">
        <v>0</v>
      </c>
      <c r="L416" s="257">
        <v>0</v>
      </c>
      <c r="M416" s="257">
        <v>251535</v>
      </c>
      <c r="N416" s="257">
        <v>251535</v>
      </c>
    </row>
    <row r="417" spans="1:14" s="143" customFormat="1" hidden="1" x14ac:dyDescent="0.25">
      <c r="A417" s="143" t="s">
        <v>711</v>
      </c>
      <c r="B417" s="143" t="s">
        <v>322</v>
      </c>
      <c r="C417" s="143" t="s">
        <v>323</v>
      </c>
      <c r="D417" s="143" t="s">
        <v>69</v>
      </c>
      <c r="E417" s="257">
        <v>134785</v>
      </c>
      <c r="F417" s="257">
        <v>134785</v>
      </c>
      <c r="G417" s="257">
        <v>134785</v>
      </c>
      <c r="H417" s="257">
        <v>0</v>
      </c>
      <c r="I417" s="257">
        <v>0</v>
      </c>
      <c r="J417" s="257">
        <v>0</v>
      </c>
      <c r="K417" s="257">
        <v>0</v>
      </c>
      <c r="L417" s="257">
        <v>0</v>
      </c>
      <c r="M417" s="257">
        <v>134785</v>
      </c>
      <c r="N417" s="257">
        <v>134785</v>
      </c>
    </row>
    <row r="418" spans="1:14" s="143" customFormat="1" hidden="1" x14ac:dyDescent="0.25">
      <c r="A418" s="143" t="s">
        <v>711</v>
      </c>
      <c r="B418" s="143" t="s">
        <v>206</v>
      </c>
      <c r="C418" s="143" t="s">
        <v>207</v>
      </c>
      <c r="D418" s="143" t="s">
        <v>69</v>
      </c>
      <c r="E418" s="257">
        <v>4818247</v>
      </c>
      <c r="F418" s="257">
        <v>1818247</v>
      </c>
      <c r="G418" s="257">
        <v>1818247</v>
      </c>
      <c r="H418" s="257">
        <v>0</v>
      </c>
      <c r="I418" s="257">
        <v>0</v>
      </c>
      <c r="J418" s="257">
        <v>0</v>
      </c>
      <c r="K418" s="257">
        <v>0</v>
      </c>
      <c r="L418" s="257">
        <v>0</v>
      </c>
      <c r="M418" s="257">
        <v>1818247</v>
      </c>
      <c r="N418" s="257">
        <v>1818247</v>
      </c>
    </row>
    <row r="419" spans="1:14" s="143" customFormat="1" hidden="1" x14ac:dyDescent="0.25">
      <c r="A419" s="143" t="s">
        <v>711</v>
      </c>
      <c r="B419" s="143" t="s">
        <v>208</v>
      </c>
      <c r="C419" s="143" t="s">
        <v>209</v>
      </c>
      <c r="D419" s="143" t="s">
        <v>69</v>
      </c>
      <c r="E419" s="257">
        <v>4818247</v>
      </c>
      <c r="F419" s="257">
        <v>1818247</v>
      </c>
      <c r="G419" s="257">
        <v>1818247</v>
      </c>
      <c r="H419" s="257">
        <v>0</v>
      </c>
      <c r="I419" s="257">
        <v>0</v>
      </c>
      <c r="J419" s="257">
        <v>0</v>
      </c>
      <c r="K419" s="257">
        <v>0</v>
      </c>
      <c r="L419" s="257">
        <v>0</v>
      </c>
      <c r="M419" s="257">
        <v>1818247</v>
      </c>
      <c r="N419" s="257">
        <v>1818247</v>
      </c>
    </row>
    <row r="420" spans="1:14" s="143" customFormat="1" hidden="1" x14ac:dyDescent="0.25">
      <c r="A420" s="143" t="s">
        <v>711</v>
      </c>
      <c r="B420" s="143" t="s">
        <v>354</v>
      </c>
      <c r="C420" s="143" t="s">
        <v>355</v>
      </c>
      <c r="D420" s="143" t="s">
        <v>69</v>
      </c>
      <c r="E420" s="257">
        <v>2859160</v>
      </c>
      <c r="F420" s="257">
        <v>859160</v>
      </c>
      <c r="G420" s="257">
        <v>859160</v>
      </c>
      <c r="H420" s="257">
        <v>0</v>
      </c>
      <c r="I420" s="257">
        <v>0</v>
      </c>
      <c r="J420" s="257">
        <v>0</v>
      </c>
      <c r="K420" s="257">
        <v>0</v>
      </c>
      <c r="L420" s="257">
        <v>0</v>
      </c>
      <c r="M420" s="257">
        <v>859160</v>
      </c>
      <c r="N420" s="257">
        <v>859160</v>
      </c>
    </row>
    <row r="421" spans="1:14" s="143" customFormat="1" hidden="1" x14ac:dyDescent="0.25">
      <c r="A421" s="143" t="s">
        <v>711</v>
      </c>
      <c r="B421" s="143" t="s">
        <v>356</v>
      </c>
      <c r="C421" s="143" t="s">
        <v>357</v>
      </c>
      <c r="D421" s="143" t="s">
        <v>69</v>
      </c>
      <c r="E421" s="257">
        <v>2859160</v>
      </c>
      <c r="F421" s="257">
        <v>859160</v>
      </c>
      <c r="G421" s="257">
        <v>859160</v>
      </c>
      <c r="H421" s="257">
        <v>0</v>
      </c>
      <c r="I421" s="257">
        <v>0</v>
      </c>
      <c r="J421" s="257">
        <v>0</v>
      </c>
      <c r="K421" s="257">
        <v>0</v>
      </c>
      <c r="L421" s="257">
        <v>0</v>
      </c>
      <c r="M421" s="257">
        <v>859160</v>
      </c>
      <c r="N421" s="257">
        <v>859160</v>
      </c>
    </row>
    <row r="422" spans="1:14" s="143" customFormat="1" hidden="1" x14ac:dyDescent="0.25">
      <c r="A422" s="143" t="s">
        <v>711</v>
      </c>
      <c r="B422" s="143" t="s">
        <v>212</v>
      </c>
      <c r="C422" s="143" t="s">
        <v>213</v>
      </c>
      <c r="D422" s="143" t="s">
        <v>69</v>
      </c>
      <c r="E422" s="257">
        <v>20687802</v>
      </c>
      <c r="F422" s="257">
        <v>20687802</v>
      </c>
      <c r="G422" s="257">
        <v>20687802</v>
      </c>
      <c r="H422" s="257">
        <v>4671844.74</v>
      </c>
      <c r="I422" s="257">
        <v>97600</v>
      </c>
      <c r="J422" s="257">
        <v>0</v>
      </c>
      <c r="K422" s="257">
        <v>0</v>
      </c>
      <c r="L422" s="257">
        <v>0</v>
      </c>
      <c r="M422" s="257">
        <v>15918357.26</v>
      </c>
      <c r="N422" s="257">
        <v>15918357.26</v>
      </c>
    </row>
    <row r="423" spans="1:14" s="143" customFormat="1" hidden="1" x14ac:dyDescent="0.25">
      <c r="A423" s="143" t="s">
        <v>711</v>
      </c>
      <c r="B423" s="143" t="s">
        <v>216</v>
      </c>
      <c r="C423" s="143" t="s">
        <v>217</v>
      </c>
      <c r="D423" s="143" t="s">
        <v>69</v>
      </c>
      <c r="E423" s="257">
        <v>9443712</v>
      </c>
      <c r="F423" s="257">
        <v>9443712</v>
      </c>
      <c r="G423" s="257">
        <v>9443712</v>
      </c>
      <c r="H423" s="257">
        <v>0</v>
      </c>
      <c r="I423" s="257">
        <v>0</v>
      </c>
      <c r="J423" s="257">
        <v>0</v>
      </c>
      <c r="K423" s="257">
        <v>0</v>
      </c>
      <c r="L423" s="257">
        <v>0</v>
      </c>
      <c r="M423" s="257">
        <v>9443712</v>
      </c>
      <c r="N423" s="257">
        <v>9443712</v>
      </c>
    </row>
    <row r="424" spans="1:14" s="143" customFormat="1" hidden="1" x14ac:dyDescent="0.25">
      <c r="A424" s="143" t="s">
        <v>711</v>
      </c>
      <c r="B424" s="143" t="s">
        <v>218</v>
      </c>
      <c r="C424" s="143" t="s">
        <v>219</v>
      </c>
      <c r="D424" s="143" t="s">
        <v>69</v>
      </c>
      <c r="E424" s="257">
        <v>4708500</v>
      </c>
      <c r="F424" s="257">
        <v>4708500</v>
      </c>
      <c r="G424" s="257">
        <v>4708500</v>
      </c>
      <c r="H424" s="257">
        <v>0</v>
      </c>
      <c r="I424" s="257">
        <v>0</v>
      </c>
      <c r="J424" s="257">
        <v>0</v>
      </c>
      <c r="K424" s="257">
        <v>0</v>
      </c>
      <c r="L424" s="257">
        <v>0</v>
      </c>
      <c r="M424" s="257">
        <v>4708500</v>
      </c>
      <c r="N424" s="257">
        <v>4708500</v>
      </c>
    </row>
    <row r="425" spans="1:14" s="143" customFormat="1" hidden="1" x14ac:dyDescent="0.25">
      <c r="A425" s="143" t="s">
        <v>711</v>
      </c>
      <c r="B425" s="143" t="s">
        <v>220</v>
      </c>
      <c r="C425" s="143" t="s">
        <v>221</v>
      </c>
      <c r="D425" s="143" t="s">
        <v>69</v>
      </c>
      <c r="E425" s="257">
        <v>4306450</v>
      </c>
      <c r="F425" s="257">
        <v>4306450</v>
      </c>
      <c r="G425" s="257">
        <v>4306450</v>
      </c>
      <c r="H425" s="257">
        <v>3919124.74</v>
      </c>
      <c r="I425" s="257">
        <v>97600</v>
      </c>
      <c r="J425" s="257">
        <v>0</v>
      </c>
      <c r="K425" s="257">
        <v>0</v>
      </c>
      <c r="L425" s="257">
        <v>0</v>
      </c>
      <c r="M425" s="257">
        <v>289725.26</v>
      </c>
      <c r="N425" s="257">
        <v>289725.26</v>
      </c>
    </row>
    <row r="426" spans="1:14" s="143" customFormat="1" hidden="1" x14ac:dyDescent="0.25">
      <c r="A426" s="143" t="s">
        <v>711</v>
      </c>
      <c r="B426" s="143" t="s">
        <v>222</v>
      </c>
      <c r="C426" s="143" t="s">
        <v>223</v>
      </c>
      <c r="D426" s="143" t="s">
        <v>69</v>
      </c>
      <c r="E426" s="257">
        <v>842640</v>
      </c>
      <c r="F426" s="257">
        <v>842640</v>
      </c>
      <c r="G426" s="257">
        <v>842640</v>
      </c>
      <c r="H426" s="257">
        <v>752720</v>
      </c>
      <c r="I426" s="257">
        <v>0</v>
      </c>
      <c r="J426" s="257">
        <v>0</v>
      </c>
      <c r="K426" s="257">
        <v>0</v>
      </c>
      <c r="L426" s="257">
        <v>0</v>
      </c>
      <c r="M426" s="257">
        <v>89920</v>
      </c>
      <c r="N426" s="257">
        <v>89920</v>
      </c>
    </row>
    <row r="427" spans="1:14" s="143" customFormat="1" hidden="1" x14ac:dyDescent="0.25">
      <c r="A427" s="143" t="s">
        <v>711</v>
      </c>
      <c r="B427" s="143" t="s">
        <v>224</v>
      </c>
      <c r="C427" s="143" t="s">
        <v>225</v>
      </c>
      <c r="D427" s="143" t="s">
        <v>69</v>
      </c>
      <c r="E427" s="257">
        <v>887300</v>
      </c>
      <c r="F427" s="257">
        <v>887300</v>
      </c>
      <c r="G427" s="257">
        <v>887300</v>
      </c>
      <c r="H427" s="257">
        <v>0</v>
      </c>
      <c r="I427" s="257">
        <v>0</v>
      </c>
      <c r="J427" s="257">
        <v>0</v>
      </c>
      <c r="K427" s="257">
        <v>0</v>
      </c>
      <c r="L427" s="257">
        <v>0</v>
      </c>
      <c r="M427" s="257">
        <v>887300</v>
      </c>
      <c r="N427" s="257">
        <v>887300</v>
      </c>
    </row>
    <row r="428" spans="1:14" s="143" customFormat="1" hidden="1" x14ac:dyDescent="0.25">
      <c r="A428" s="143" t="s">
        <v>711</v>
      </c>
      <c r="B428" s="143" t="s">
        <v>228</v>
      </c>
      <c r="C428" s="143" t="s">
        <v>229</v>
      </c>
      <c r="D428" s="143" t="s">
        <v>69</v>
      </c>
      <c r="E428" s="257">
        <v>499200</v>
      </c>
      <c r="F428" s="257">
        <v>499200</v>
      </c>
      <c r="G428" s="257">
        <v>499200</v>
      </c>
      <c r="H428" s="257">
        <v>0</v>
      </c>
      <c r="I428" s="257">
        <v>0</v>
      </c>
      <c r="J428" s="257">
        <v>0</v>
      </c>
      <c r="K428" s="257">
        <v>0</v>
      </c>
      <c r="L428" s="257">
        <v>0</v>
      </c>
      <c r="M428" s="257">
        <v>499200</v>
      </c>
      <c r="N428" s="257">
        <v>499200</v>
      </c>
    </row>
    <row r="429" spans="1:14" s="143" customFormat="1" hidden="1" x14ac:dyDescent="0.25">
      <c r="A429" s="143" t="s">
        <v>711</v>
      </c>
      <c r="B429" s="143" t="s">
        <v>248</v>
      </c>
      <c r="C429" s="143" t="s">
        <v>249</v>
      </c>
      <c r="D429" s="143" t="s">
        <v>69</v>
      </c>
      <c r="E429" s="257">
        <v>236354526</v>
      </c>
      <c r="F429" s="257">
        <v>232014843</v>
      </c>
      <c r="G429" s="257">
        <v>230664701</v>
      </c>
      <c r="H429" s="257">
        <v>0</v>
      </c>
      <c r="I429" s="257">
        <v>114387353</v>
      </c>
      <c r="J429" s="257">
        <v>0</v>
      </c>
      <c r="K429" s="257">
        <v>88942454</v>
      </c>
      <c r="L429" s="257">
        <v>88942454</v>
      </c>
      <c r="M429" s="257">
        <v>28685036</v>
      </c>
      <c r="N429" s="257">
        <v>27334894</v>
      </c>
    </row>
    <row r="430" spans="1:14" s="143" customFormat="1" hidden="1" x14ac:dyDescent="0.25">
      <c r="A430" s="143" t="s">
        <v>711</v>
      </c>
      <c r="B430" s="143" t="s">
        <v>250</v>
      </c>
      <c r="C430" s="143" t="s">
        <v>251</v>
      </c>
      <c r="D430" s="143" t="s">
        <v>69</v>
      </c>
      <c r="E430" s="257">
        <v>180354526</v>
      </c>
      <c r="F430" s="257">
        <v>176014843</v>
      </c>
      <c r="G430" s="257">
        <v>174664701</v>
      </c>
      <c r="H430" s="257">
        <v>0</v>
      </c>
      <c r="I430" s="257">
        <v>114387353</v>
      </c>
      <c r="J430" s="257">
        <v>0</v>
      </c>
      <c r="K430" s="257">
        <v>60277348</v>
      </c>
      <c r="L430" s="257">
        <v>60277348</v>
      </c>
      <c r="M430" s="257">
        <v>1350142</v>
      </c>
      <c r="N430" s="257">
        <v>0</v>
      </c>
    </row>
    <row r="431" spans="1:14" s="143" customFormat="1" hidden="1" x14ac:dyDescent="0.25">
      <c r="A431" s="143" t="s">
        <v>711</v>
      </c>
      <c r="B431" s="143" t="s">
        <v>630</v>
      </c>
      <c r="C431" s="143" t="s">
        <v>702</v>
      </c>
      <c r="D431" s="143" t="s">
        <v>69</v>
      </c>
      <c r="E431" s="257">
        <v>153192762</v>
      </c>
      <c r="F431" s="257">
        <v>149506644</v>
      </c>
      <c r="G431" s="257">
        <v>148359836</v>
      </c>
      <c r="H431" s="257">
        <v>0</v>
      </c>
      <c r="I431" s="257">
        <v>97348656</v>
      </c>
      <c r="J431" s="257">
        <v>0</v>
      </c>
      <c r="K431" s="257">
        <v>51011180</v>
      </c>
      <c r="L431" s="257">
        <v>51011180</v>
      </c>
      <c r="M431" s="257">
        <v>1146808</v>
      </c>
      <c r="N431" s="257">
        <v>0</v>
      </c>
    </row>
    <row r="432" spans="1:14" s="143" customFormat="1" hidden="1" x14ac:dyDescent="0.25">
      <c r="A432" s="143" t="s">
        <v>711</v>
      </c>
      <c r="B432" s="143" t="s">
        <v>645</v>
      </c>
      <c r="C432" s="143" t="s">
        <v>703</v>
      </c>
      <c r="D432" s="143" t="s">
        <v>69</v>
      </c>
      <c r="E432" s="257">
        <v>27161764</v>
      </c>
      <c r="F432" s="257">
        <v>26508199</v>
      </c>
      <c r="G432" s="257">
        <v>26304865</v>
      </c>
      <c r="H432" s="257">
        <v>0</v>
      </c>
      <c r="I432" s="257">
        <v>17038697</v>
      </c>
      <c r="J432" s="257">
        <v>0</v>
      </c>
      <c r="K432" s="257">
        <v>9266168</v>
      </c>
      <c r="L432" s="257">
        <v>9266168</v>
      </c>
      <c r="M432" s="257">
        <v>203334</v>
      </c>
      <c r="N432" s="257">
        <v>0</v>
      </c>
    </row>
    <row r="433" spans="1:14" s="143" customFormat="1" hidden="1" x14ac:dyDescent="0.25">
      <c r="A433" s="143" t="s">
        <v>711</v>
      </c>
      <c r="B433" s="143" t="s">
        <v>260</v>
      </c>
      <c r="C433" s="143" t="s">
        <v>261</v>
      </c>
      <c r="D433" s="143" t="s">
        <v>69</v>
      </c>
      <c r="E433" s="257">
        <v>56000000</v>
      </c>
      <c r="F433" s="257">
        <v>56000000</v>
      </c>
      <c r="G433" s="257">
        <v>56000000</v>
      </c>
      <c r="H433" s="257">
        <v>0</v>
      </c>
      <c r="I433" s="257">
        <v>0</v>
      </c>
      <c r="J433" s="257">
        <v>0</v>
      </c>
      <c r="K433" s="257">
        <v>28665106</v>
      </c>
      <c r="L433" s="257">
        <v>28665106</v>
      </c>
      <c r="M433" s="257">
        <v>27334894</v>
      </c>
      <c r="N433" s="257">
        <v>27334894</v>
      </c>
    </row>
    <row r="434" spans="1:14" s="143" customFormat="1" hidden="1" x14ac:dyDescent="0.25">
      <c r="A434" s="143" t="s">
        <v>711</v>
      </c>
      <c r="B434" s="143" t="s">
        <v>264</v>
      </c>
      <c r="C434" s="143" t="s">
        <v>265</v>
      </c>
      <c r="D434" s="143" t="s">
        <v>69</v>
      </c>
      <c r="E434" s="257">
        <v>56000000</v>
      </c>
      <c r="F434" s="257">
        <v>56000000</v>
      </c>
      <c r="G434" s="257">
        <v>56000000</v>
      </c>
      <c r="H434" s="257">
        <v>0</v>
      </c>
      <c r="I434" s="257">
        <v>0</v>
      </c>
      <c r="J434" s="257">
        <v>0</v>
      </c>
      <c r="K434" s="257">
        <v>28665106</v>
      </c>
      <c r="L434" s="257">
        <v>28665106</v>
      </c>
      <c r="M434" s="257">
        <v>27334894</v>
      </c>
      <c r="N434" s="257">
        <v>27334894</v>
      </c>
    </row>
    <row r="435" spans="1:14" s="143" customFormat="1" hidden="1" x14ac:dyDescent="0.25">
      <c r="A435" s="143" t="s">
        <v>711</v>
      </c>
      <c r="B435" s="143" t="s">
        <v>230</v>
      </c>
      <c r="C435" s="143" t="s">
        <v>231</v>
      </c>
      <c r="D435" s="143" t="s">
        <v>85</v>
      </c>
      <c r="E435" s="257">
        <v>53324000</v>
      </c>
      <c r="F435" s="257">
        <v>53324000</v>
      </c>
      <c r="G435" s="257">
        <v>51941000</v>
      </c>
      <c r="H435" s="257">
        <v>0</v>
      </c>
      <c r="I435" s="257">
        <v>7425000</v>
      </c>
      <c r="J435" s="257">
        <v>0</v>
      </c>
      <c r="K435" s="257">
        <v>0</v>
      </c>
      <c r="L435" s="257">
        <v>0</v>
      </c>
      <c r="M435" s="257">
        <v>45899000</v>
      </c>
      <c r="N435" s="257">
        <v>44516000</v>
      </c>
    </row>
    <row r="436" spans="1:14" s="143" customFormat="1" hidden="1" x14ac:dyDescent="0.25">
      <c r="A436" s="143" t="s">
        <v>711</v>
      </c>
      <c r="B436" s="143" t="s">
        <v>232</v>
      </c>
      <c r="C436" s="143" t="s">
        <v>233</v>
      </c>
      <c r="D436" s="143" t="s">
        <v>85</v>
      </c>
      <c r="E436" s="257">
        <v>45824000</v>
      </c>
      <c r="F436" s="257">
        <v>43124000</v>
      </c>
      <c r="G436" s="257">
        <v>43124000</v>
      </c>
      <c r="H436" s="257">
        <v>0</v>
      </c>
      <c r="I436" s="257">
        <v>0</v>
      </c>
      <c r="J436" s="257">
        <v>0</v>
      </c>
      <c r="K436" s="257">
        <v>0</v>
      </c>
      <c r="L436" s="257">
        <v>0</v>
      </c>
      <c r="M436" s="257">
        <v>43124000</v>
      </c>
      <c r="N436" s="257">
        <v>43124000</v>
      </c>
    </row>
    <row r="437" spans="1:14" s="143" customFormat="1" hidden="1" x14ac:dyDescent="0.25">
      <c r="A437" s="143" t="s">
        <v>711</v>
      </c>
      <c r="B437" s="143" t="s">
        <v>234</v>
      </c>
      <c r="C437" s="143" t="s">
        <v>235</v>
      </c>
      <c r="D437" s="143" t="s">
        <v>85</v>
      </c>
      <c r="E437" s="257">
        <v>3490000</v>
      </c>
      <c r="F437" s="257">
        <v>790000</v>
      </c>
      <c r="G437" s="257">
        <v>790000</v>
      </c>
      <c r="H437" s="257">
        <v>0</v>
      </c>
      <c r="I437" s="257">
        <v>0</v>
      </c>
      <c r="J437" s="257">
        <v>0</v>
      </c>
      <c r="K437" s="257">
        <v>0</v>
      </c>
      <c r="L437" s="257">
        <v>0</v>
      </c>
      <c r="M437" s="257">
        <v>790000</v>
      </c>
      <c r="N437" s="257">
        <v>790000</v>
      </c>
    </row>
    <row r="438" spans="1:14" s="143" customFormat="1" hidden="1" x14ac:dyDescent="0.25">
      <c r="A438" s="143" t="s">
        <v>711</v>
      </c>
      <c r="B438" s="143" t="s">
        <v>238</v>
      </c>
      <c r="C438" s="143" t="s">
        <v>239</v>
      </c>
      <c r="D438" s="143" t="s">
        <v>85</v>
      </c>
      <c r="E438" s="257">
        <v>420000</v>
      </c>
      <c r="F438" s="257">
        <v>0</v>
      </c>
      <c r="G438" s="257">
        <v>0</v>
      </c>
      <c r="H438" s="257">
        <v>0</v>
      </c>
      <c r="I438" s="257">
        <v>0</v>
      </c>
      <c r="J438" s="257">
        <v>0</v>
      </c>
      <c r="K438" s="257">
        <v>0</v>
      </c>
      <c r="L438" s="257">
        <v>0</v>
      </c>
      <c r="M438" s="257">
        <v>0</v>
      </c>
      <c r="N438" s="257">
        <v>0</v>
      </c>
    </row>
    <row r="439" spans="1:14" s="143" customFormat="1" hidden="1" x14ac:dyDescent="0.25">
      <c r="A439" s="143" t="s">
        <v>711</v>
      </c>
      <c r="B439" s="143" t="s">
        <v>326</v>
      </c>
      <c r="C439" s="143" t="s">
        <v>327</v>
      </c>
      <c r="D439" s="143" t="s">
        <v>85</v>
      </c>
      <c r="E439" s="257">
        <v>41125000</v>
      </c>
      <c r="F439" s="257">
        <v>41545000</v>
      </c>
      <c r="G439" s="257">
        <v>41545000</v>
      </c>
      <c r="H439" s="257">
        <v>0</v>
      </c>
      <c r="I439" s="257">
        <v>0</v>
      </c>
      <c r="J439" s="257">
        <v>0</v>
      </c>
      <c r="K439" s="257">
        <v>0</v>
      </c>
      <c r="L439" s="257">
        <v>0</v>
      </c>
      <c r="M439" s="257">
        <v>41545000</v>
      </c>
      <c r="N439" s="257">
        <v>41545000</v>
      </c>
    </row>
    <row r="440" spans="1:14" s="143" customFormat="1" hidden="1" x14ac:dyDescent="0.25">
      <c r="A440" s="143" t="s">
        <v>711</v>
      </c>
      <c r="B440" s="143" t="s">
        <v>242</v>
      </c>
      <c r="C440" s="143" t="s">
        <v>243</v>
      </c>
      <c r="D440" s="143" t="s">
        <v>85</v>
      </c>
      <c r="E440" s="257">
        <v>789000</v>
      </c>
      <c r="F440" s="257">
        <v>789000</v>
      </c>
      <c r="G440" s="257">
        <v>789000</v>
      </c>
      <c r="H440" s="257">
        <v>0</v>
      </c>
      <c r="I440" s="257">
        <v>0</v>
      </c>
      <c r="J440" s="257">
        <v>0</v>
      </c>
      <c r="K440" s="257">
        <v>0</v>
      </c>
      <c r="L440" s="257">
        <v>0</v>
      </c>
      <c r="M440" s="257">
        <v>789000</v>
      </c>
      <c r="N440" s="257">
        <v>789000</v>
      </c>
    </row>
    <row r="441" spans="1:14" s="143" customFormat="1" hidden="1" x14ac:dyDescent="0.25">
      <c r="A441" s="143" t="s">
        <v>711</v>
      </c>
      <c r="B441" s="143" t="s">
        <v>244</v>
      </c>
      <c r="C441" s="143" t="s">
        <v>245</v>
      </c>
      <c r="D441" s="143" t="s">
        <v>85</v>
      </c>
      <c r="E441" s="257">
        <v>7500000</v>
      </c>
      <c r="F441" s="257">
        <v>10200000</v>
      </c>
      <c r="G441" s="257">
        <v>8817000</v>
      </c>
      <c r="H441" s="257">
        <v>0</v>
      </c>
      <c r="I441" s="257">
        <v>7425000</v>
      </c>
      <c r="J441" s="257">
        <v>0</v>
      </c>
      <c r="K441" s="257">
        <v>0</v>
      </c>
      <c r="L441" s="257">
        <v>0</v>
      </c>
      <c r="M441" s="257">
        <v>2775000</v>
      </c>
      <c r="N441" s="257">
        <v>1392000</v>
      </c>
    </row>
    <row r="442" spans="1:14" s="143" customFormat="1" hidden="1" x14ac:dyDescent="0.25">
      <c r="A442" s="143" t="s">
        <v>711</v>
      </c>
      <c r="B442" s="143" t="s">
        <v>611</v>
      </c>
      <c r="C442" s="143" t="s">
        <v>612</v>
      </c>
      <c r="D442" s="143" t="s">
        <v>85</v>
      </c>
      <c r="E442" s="257">
        <v>7500000</v>
      </c>
      <c r="F442" s="257">
        <v>10200000</v>
      </c>
      <c r="G442" s="257">
        <v>8817000</v>
      </c>
      <c r="H442" s="257">
        <v>0</v>
      </c>
      <c r="I442" s="257">
        <v>7425000</v>
      </c>
      <c r="J442" s="257">
        <v>0</v>
      </c>
      <c r="K442" s="257">
        <v>0</v>
      </c>
      <c r="L442" s="257">
        <v>0</v>
      </c>
      <c r="M442" s="257">
        <v>2775000</v>
      </c>
      <c r="N442" s="257">
        <v>1392000</v>
      </c>
    </row>
    <row r="443" spans="1:14" s="143" customFormat="1" x14ac:dyDescent="0.25">
      <c r="A443" s="487">
        <v>214789002</v>
      </c>
      <c r="D443" s="49" t="s">
        <v>69</v>
      </c>
      <c r="E443" s="257">
        <v>2218633702</v>
      </c>
      <c r="F443" s="50">
        <v>2188449876</v>
      </c>
      <c r="G443" s="257">
        <v>1724062199</v>
      </c>
      <c r="H443" s="50">
        <v>38138455.119999997</v>
      </c>
      <c r="I443" s="50">
        <v>223644585.88</v>
      </c>
      <c r="J443" s="50">
        <v>1230984</v>
      </c>
      <c r="K443" s="50">
        <v>682227776.26999998</v>
      </c>
      <c r="L443" s="50">
        <v>660275770.66999996</v>
      </c>
      <c r="M443" s="50">
        <v>1243208074.73</v>
      </c>
      <c r="N443" s="257">
        <v>778820397.73000002</v>
      </c>
    </row>
    <row r="444" spans="1:14" s="143" customFormat="1" hidden="1" x14ac:dyDescent="0.25">
      <c r="A444" s="143" t="s">
        <v>712</v>
      </c>
      <c r="B444" s="143" t="s">
        <v>71</v>
      </c>
      <c r="C444" s="143" t="s">
        <v>72</v>
      </c>
      <c r="D444" s="143" t="s">
        <v>69</v>
      </c>
      <c r="E444" s="257">
        <v>1258145726</v>
      </c>
      <c r="F444" s="257">
        <v>1228348840</v>
      </c>
      <c r="G444" s="257">
        <v>1219624729</v>
      </c>
      <c r="H444" s="257">
        <v>0</v>
      </c>
      <c r="I444" s="257">
        <v>115961395</v>
      </c>
      <c r="J444" s="257">
        <v>0</v>
      </c>
      <c r="K444" s="257">
        <v>492564061.75</v>
      </c>
      <c r="L444" s="257">
        <v>492564061.75</v>
      </c>
      <c r="M444" s="257">
        <v>619823383.25</v>
      </c>
      <c r="N444" s="257">
        <v>611099272.25</v>
      </c>
    </row>
    <row r="445" spans="1:14" s="143" customFormat="1" hidden="1" x14ac:dyDescent="0.25">
      <c r="A445" s="143" t="s">
        <v>712</v>
      </c>
      <c r="B445" s="143" t="s">
        <v>73</v>
      </c>
      <c r="C445" s="143" t="s">
        <v>74</v>
      </c>
      <c r="D445" s="143" t="s">
        <v>69</v>
      </c>
      <c r="E445" s="257">
        <v>493376624</v>
      </c>
      <c r="F445" s="257">
        <v>477092402</v>
      </c>
      <c r="G445" s="257">
        <v>477092402</v>
      </c>
      <c r="H445" s="257">
        <v>0</v>
      </c>
      <c r="I445" s="257">
        <v>0</v>
      </c>
      <c r="J445" s="257">
        <v>0</v>
      </c>
      <c r="K445" s="257">
        <v>190193978.81999999</v>
      </c>
      <c r="L445" s="257">
        <v>190193978.81999999</v>
      </c>
      <c r="M445" s="257">
        <v>286898423.18000001</v>
      </c>
      <c r="N445" s="257">
        <v>286898423.18000001</v>
      </c>
    </row>
    <row r="446" spans="1:14" s="143" customFormat="1" hidden="1" x14ac:dyDescent="0.25">
      <c r="A446" s="143" t="s">
        <v>712</v>
      </c>
      <c r="B446" s="143" t="s">
        <v>75</v>
      </c>
      <c r="C446" s="143" t="s">
        <v>76</v>
      </c>
      <c r="D446" s="143" t="s">
        <v>69</v>
      </c>
      <c r="E446" s="257">
        <v>493376624</v>
      </c>
      <c r="F446" s="257">
        <v>477092402</v>
      </c>
      <c r="G446" s="257">
        <v>477092402</v>
      </c>
      <c r="H446" s="257">
        <v>0</v>
      </c>
      <c r="I446" s="257">
        <v>0</v>
      </c>
      <c r="J446" s="257">
        <v>0</v>
      </c>
      <c r="K446" s="257">
        <v>190193978.81999999</v>
      </c>
      <c r="L446" s="257">
        <v>190193978.81999999</v>
      </c>
      <c r="M446" s="257">
        <v>286898423.18000001</v>
      </c>
      <c r="N446" s="257">
        <v>286898423.18000001</v>
      </c>
    </row>
    <row r="447" spans="1:14" s="143" customFormat="1" hidden="1" x14ac:dyDescent="0.25">
      <c r="A447" s="143" t="s">
        <v>712</v>
      </c>
      <c r="B447" s="143" t="s">
        <v>77</v>
      </c>
      <c r="C447" s="143" t="s">
        <v>78</v>
      </c>
      <c r="D447" s="143" t="s">
        <v>69</v>
      </c>
      <c r="E447" s="257">
        <v>572843880</v>
      </c>
      <c r="F447" s="257">
        <v>563876622</v>
      </c>
      <c r="G447" s="257">
        <v>556483341</v>
      </c>
      <c r="H447" s="257">
        <v>0</v>
      </c>
      <c r="I447" s="257">
        <v>0</v>
      </c>
      <c r="J447" s="257">
        <v>0</v>
      </c>
      <c r="K447" s="257">
        <v>232282491.93000001</v>
      </c>
      <c r="L447" s="257">
        <v>232282491.93000001</v>
      </c>
      <c r="M447" s="257">
        <v>331594130.06999999</v>
      </c>
      <c r="N447" s="257">
        <v>324200849.06999999</v>
      </c>
    </row>
    <row r="448" spans="1:14" s="143" customFormat="1" hidden="1" x14ac:dyDescent="0.25">
      <c r="A448" s="143" t="s">
        <v>712</v>
      </c>
      <c r="B448" s="143" t="s">
        <v>79</v>
      </c>
      <c r="C448" s="143" t="s">
        <v>80</v>
      </c>
      <c r="D448" s="143" t="s">
        <v>69</v>
      </c>
      <c r="E448" s="257">
        <v>166263500</v>
      </c>
      <c r="F448" s="257">
        <v>166263500</v>
      </c>
      <c r="G448" s="257">
        <v>159438723</v>
      </c>
      <c r="H448" s="257">
        <v>0</v>
      </c>
      <c r="I448" s="257">
        <v>0</v>
      </c>
      <c r="J448" s="257">
        <v>0</v>
      </c>
      <c r="K448" s="257">
        <v>60288761.82</v>
      </c>
      <c r="L448" s="257">
        <v>60288761.82</v>
      </c>
      <c r="M448" s="257">
        <v>105974738.18000001</v>
      </c>
      <c r="N448" s="257">
        <v>99149961.180000007</v>
      </c>
    </row>
    <row r="449" spans="1:14" s="143" customFormat="1" hidden="1" x14ac:dyDescent="0.25">
      <c r="A449" s="143" t="s">
        <v>712</v>
      </c>
      <c r="B449" s="143" t="s">
        <v>81</v>
      </c>
      <c r="C449" s="143" t="s">
        <v>82</v>
      </c>
      <c r="D449" s="143" t="s">
        <v>69</v>
      </c>
      <c r="E449" s="257">
        <v>139725380</v>
      </c>
      <c r="F449" s="257">
        <v>133724590</v>
      </c>
      <c r="G449" s="257">
        <v>133724590</v>
      </c>
      <c r="H449" s="257">
        <v>0</v>
      </c>
      <c r="I449" s="257">
        <v>0</v>
      </c>
      <c r="J449" s="257">
        <v>0</v>
      </c>
      <c r="K449" s="257">
        <v>61387215.729999997</v>
      </c>
      <c r="L449" s="257">
        <v>61387215.729999997</v>
      </c>
      <c r="M449" s="257">
        <v>72337374.269999996</v>
      </c>
      <c r="N449" s="257">
        <v>72337374.269999996</v>
      </c>
    </row>
    <row r="450" spans="1:14" s="143" customFormat="1" hidden="1" x14ac:dyDescent="0.25">
      <c r="A450" s="143" t="s">
        <v>712</v>
      </c>
      <c r="B450" s="143" t="s">
        <v>86</v>
      </c>
      <c r="C450" s="143" t="s">
        <v>87</v>
      </c>
      <c r="D450" s="143" t="s">
        <v>69</v>
      </c>
      <c r="E450" s="257">
        <v>75278800</v>
      </c>
      <c r="F450" s="257">
        <v>75278800</v>
      </c>
      <c r="G450" s="257">
        <v>75278800</v>
      </c>
      <c r="H450" s="257">
        <v>0</v>
      </c>
      <c r="I450" s="257">
        <v>0</v>
      </c>
      <c r="J450" s="257">
        <v>0</v>
      </c>
      <c r="K450" s="257">
        <v>63363055.5</v>
      </c>
      <c r="L450" s="257">
        <v>63363055.5</v>
      </c>
      <c r="M450" s="257">
        <v>11915744.5</v>
      </c>
      <c r="N450" s="257">
        <v>11915744.5</v>
      </c>
    </row>
    <row r="451" spans="1:14" s="143" customFormat="1" hidden="1" x14ac:dyDescent="0.25">
      <c r="A451" s="143" t="s">
        <v>712</v>
      </c>
      <c r="B451" s="143" t="s">
        <v>88</v>
      </c>
      <c r="C451" s="143" t="s">
        <v>89</v>
      </c>
      <c r="D451" s="143" t="s">
        <v>69</v>
      </c>
      <c r="E451" s="257">
        <v>109589600</v>
      </c>
      <c r="F451" s="257">
        <v>108564836</v>
      </c>
      <c r="G451" s="257">
        <v>108564836</v>
      </c>
      <c r="H451" s="257">
        <v>0</v>
      </c>
      <c r="I451" s="257">
        <v>0</v>
      </c>
      <c r="J451" s="257">
        <v>0</v>
      </c>
      <c r="K451" s="257">
        <v>47243458.880000003</v>
      </c>
      <c r="L451" s="257">
        <v>47243458.880000003</v>
      </c>
      <c r="M451" s="257">
        <v>61321377.119999997</v>
      </c>
      <c r="N451" s="257">
        <v>61321377.119999997</v>
      </c>
    </row>
    <row r="452" spans="1:14" s="143" customFormat="1" hidden="1" x14ac:dyDescent="0.25">
      <c r="A452" s="143" t="s">
        <v>712</v>
      </c>
      <c r="B452" s="143" t="s">
        <v>83</v>
      </c>
      <c r="C452" s="143" t="s">
        <v>84</v>
      </c>
      <c r="D452" s="143" t="s">
        <v>85</v>
      </c>
      <c r="E452" s="257">
        <v>81986600</v>
      </c>
      <c r="F452" s="257">
        <v>80044896</v>
      </c>
      <c r="G452" s="257">
        <v>79476392</v>
      </c>
      <c r="H452" s="257">
        <v>0</v>
      </c>
      <c r="I452" s="257">
        <v>0</v>
      </c>
      <c r="J452" s="257">
        <v>0</v>
      </c>
      <c r="K452" s="257">
        <v>0</v>
      </c>
      <c r="L452" s="257">
        <v>0</v>
      </c>
      <c r="M452" s="257">
        <v>80044896</v>
      </c>
      <c r="N452" s="257">
        <v>79476392</v>
      </c>
    </row>
    <row r="453" spans="1:14" s="143" customFormat="1" hidden="1" x14ac:dyDescent="0.25">
      <c r="A453" s="143" t="s">
        <v>712</v>
      </c>
      <c r="B453" s="143" t="s">
        <v>90</v>
      </c>
      <c r="C453" s="143" t="s">
        <v>91</v>
      </c>
      <c r="D453" s="143" t="s">
        <v>69</v>
      </c>
      <c r="E453" s="257">
        <v>95962711</v>
      </c>
      <c r="F453" s="257">
        <v>93690008</v>
      </c>
      <c r="G453" s="257">
        <v>93024593</v>
      </c>
      <c r="H453" s="257">
        <v>0</v>
      </c>
      <c r="I453" s="257">
        <v>57917558</v>
      </c>
      <c r="J453" s="257">
        <v>0</v>
      </c>
      <c r="K453" s="257">
        <v>35107035</v>
      </c>
      <c r="L453" s="257">
        <v>35107035</v>
      </c>
      <c r="M453" s="257">
        <v>665415</v>
      </c>
      <c r="N453" s="257">
        <v>0</v>
      </c>
    </row>
    <row r="454" spans="1:14" s="143" customFormat="1" hidden="1" x14ac:dyDescent="0.25">
      <c r="A454" s="143" t="s">
        <v>712</v>
      </c>
      <c r="B454" s="143" t="s">
        <v>422</v>
      </c>
      <c r="C454" s="143" t="s">
        <v>697</v>
      </c>
      <c r="D454" s="143" t="s">
        <v>69</v>
      </c>
      <c r="E454" s="257">
        <v>91041575</v>
      </c>
      <c r="F454" s="257">
        <v>88885421</v>
      </c>
      <c r="G454" s="257">
        <v>88254129</v>
      </c>
      <c r="H454" s="257">
        <v>0</v>
      </c>
      <c r="I454" s="257">
        <v>54947454</v>
      </c>
      <c r="J454" s="257">
        <v>0</v>
      </c>
      <c r="K454" s="257">
        <v>33306675</v>
      </c>
      <c r="L454" s="257">
        <v>33306675</v>
      </c>
      <c r="M454" s="257">
        <v>631292</v>
      </c>
      <c r="N454" s="257">
        <v>0</v>
      </c>
    </row>
    <row r="455" spans="1:14" s="143" customFormat="1" hidden="1" x14ac:dyDescent="0.25">
      <c r="A455" s="143" t="s">
        <v>712</v>
      </c>
      <c r="B455" s="143" t="s">
        <v>439</v>
      </c>
      <c r="C455" s="143" t="s">
        <v>95</v>
      </c>
      <c r="D455" s="143" t="s">
        <v>69</v>
      </c>
      <c r="E455" s="257">
        <v>4921136</v>
      </c>
      <c r="F455" s="257">
        <v>4804587</v>
      </c>
      <c r="G455" s="257">
        <v>4770464</v>
      </c>
      <c r="H455" s="257">
        <v>0</v>
      </c>
      <c r="I455" s="257">
        <v>2970104</v>
      </c>
      <c r="J455" s="257">
        <v>0</v>
      </c>
      <c r="K455" s="257">
        <v>1800360</v>
      </c>
      <c r="L455" s="257">
        <v>1800360</v>
      </c>
      <c r="M455" s="257">
        <v>34123</v>
      </c>
      <c r="N455" s="257">
        <v>0</v>
      </c>
    </row>
    <row r="456" spans="1:14" s="143" customFormat="1" hidden="1" x14ac:dyDescent="0.25">
      <c r="A456" s="143" t="s">
        <v>712</v>
      </c>
      <c r="B456" s="143" t="s">
        <v>96</v>
      </c>
      <c r="C456" s="143" t="s">
        <v>97</v>
      </c>
      <c r="D456" s="143" t="s">
        <v>69</v>
      </c>
      <c r="E456" s="257">
        <v>95962511</v>
      </c>
      <c r="F456" s="257">
        <v>93689808</v>
      </c>
      <c r="G456" s="257">
        <v>93024393</v>
      </c>
      <c r="H456" s="257">
        <v>0</v>
      </c>
      <c r="I456" s="257">
        <v>58043837</v>
      </c>
      <c r="J456" s="257">
        <v>0</v>
      </c>
      <c r="K456" s="257">
        <v>34980556</v>
      </c>
      <c r="L456" s="257">
        <v>34980556</v>
      </c>
      <c r="M456" s="257">
        <v>665415</v>
      </c>
      <c r="N456" s="257">
        <v>0</v>
      </c>
    </row>
    <row r="457" spans="1:14" s="143" customFormat="1" hidden="1" x14ac:dyDescent="0.25">
      <c r="A457" s="143" t="s">
        <v>712</v>
      </c>
      <c r="B457" s="143" t="s">
        <v>457</v>
      </c>
      <c r="C457" s="143" t="s">
        <v>698</v>
      </c>
      <c r="D457" s="143" t="s">
        <v>69</v>
      </c>
      <c r="E457" s="257">
        <v>51672183</v>
      </c>
      <c r="F457" s="257">
        <v>50448420</v>
      </c>
      <c r="G457" s="257">
        <v>50090119</v>
      </c>
      <c r="H457" s="257">
        <v>0</v>
      </c>
      <c r="I457" s="257">
        <v>31312811</v>
      </c>
      <c r="J457" s="257">
        <v>0</v>
      </c>
      <c r="K457" s="257">
        <v>18777308</v>
      </c>
      <c r="L457" s="257">
        <v>18777308</v>
      </c>
      <c r="M457" s="257">
        <v>358301</v>
      </c>
      <c r="N457" s="257">
        <v>0</v>
      </c>
    </row>
    <row r="458" spans="1:14" s="143" customFormat="1" hidden="1" x14ac:dyDescent="0.25">
      <c r="A458" s="143" t="s">
        <v>712</v>
      </c>
      <c r="B458" s="143" t="s">
        <v>474</v>
      </c>
      <c r="C458" s="143" t="s">
        <v>699</v>
      </c>
      <c r="D458" s="143" t="s">
        <v>69</v>
      </c>
      <c r="E458" s="257">
        <v>14763409</v>
      </c>
      <c r="F458" s="257">
        <v>14413762</v>
      </c>
      <c r="G458" s="257">
        <v>14311391</v>
      </c>
      <c r="H458" s="257">
        <v>0</v>
      </c>
      <c r="I458" s="257">
        <v>8910308</v>
      </c>
      <c r="J458" s="257">
        <v>0</v>
      </c>
      <c r="K458" s="257">
        <v>5401083</v>
      </c>
      <c r="L458" s="257">
        <v>5401083</v>
      </c>
      <c r="M458" s="257">
        <v>102371</v>
      </c>
      <c r="N458" s="257">
        <v>0</v>
      </c>
    </row>
    <row r="459" spans="1:14" s="143" customFormat="1" hidden="1" x14ac:dyDescent="0.25">
      <c r="A459" s="143" t="s">
        <v>712</v>
      </c>
      <c r="B459" s="143" t="s">
        <v>491</v>
      </c>
      <c r="C459" s="143" t="s">
        <v>700</v>
      </c>
      <c r="D459" s="143" t="s">
        <v>69</v>
      </c>
      <c r="E459" s="257">
        <v>29526919</v>
      </c>
      <c r="F459" s="257">
        <v>28827626</v>
      </c>
      <c r="G459" s="257">
        <v>28622883</v>
      </c>
      <c r="H459" s="257">
        <v>0</v>
      </c>
      <c r="I459" s="257">
        <v>17820718</v>
      </c>
      <c r="J459" s="257">
        <v>0</v>
      </c>
      <c r="K459" s="257">
        <v>10802165</v>
      </c>
      <c r="L459" s="257">
        <v>10802165</v>
      </c>
      <c r="M459" s="257">
        <v>204743</v>
      </c>
      <c r="N459" s="257">
        <v>0</v>
      </c>
    </row>
    <row r="460" spans="1:14" s="143" customFormat="1" hidden="1" x14ac:dyDescent="0.25">
      <c r="A460" s="143" t="s">
        <v>712</v>
      </c>
      <c r="B460" s="143" t="s">
        <v>104</v>
      </c>
      <c r="C460" s="143" t="s">
        <v>105</v>
      </c>
      <c r="D460" s="143" t="s">
        <v>69</v>
      </c>
      <c r="E460" s="257">
        <v>306630000</v>
      </c>
      <c r="F460" s="257">
        <v>306630000</v>
      </c>
      <c r="G460" s="257">
        <v>160411875</v>
      </c>
      <c r="H460" s="257">
        <v>0</v>
      </c>
      <c r="I460" s="257">
        <v>66231891.200000003</v>
      </c>
      <c r="J460" s="257">
        <v>0</v>
      </c>
      <c r="K460" s="257">
        <v>74679983.799999997</v>
      </c>
      <c r="L460" s="257">
        <v>74679983.799999997</v>
      </c>
      <c r="M460" s="257">
        <v>165718125</v>
      </c>
      <c r="N460" s="257">
        <v>19500000</v>
      </c>
    </row>
    <row r="461" spans="1:14" s="143" customFormat="1" hidden="1" x14ac:dyDescent="0.25">
      <c r="A461" s="143" t="s">
        <v>712</v>
      </c>
      <c r="B461" s="143" t="s">
        <v>112</v>
      </c>
      <c r="C461" s="143" t="s">
        <v>113</v>
      </c>
      <c r="D461" s="143" t="s">
        <v>69</v>
      </c>
      <c r="E461" s="257">
        <v>291630000</v>
      </c>
      <c r="F461" s="257">
        <v>291630000</v>
      </c>
      <c r="G461" s="257">
        <v>145411875</v>
      </c>
      <c r="H461" s="257">
        <v>0</v>
      </c>
      <c r="I461" s="257">
        <v>66231891.200000003</v>
      </c>
      <c r="J461" s="257">
        <v>0</v>
      </c>
      <c r="K461" s="257">
        <v>74679983.799999997</v>
      </c>
      <c r="L461" s="257">
        <v>74679983.799999997</v>
      </c>
      <c r="M461" s="257">
        <v>150718125</v>
      </c>
      <c r="N461" s="257">
        <v>4500000</v>
      </c>
    </row>
    <row r="462" spans="1:14" s="143" customFormat="1" hidden="1" x14ac:dyDescent="0.25">
      <c r="A462" s="143" t="s">
        <v>712</v>
      </c>
      <c r="B462" s="143" t="s">
        <v>114</v>
      </c>
      <c r="C462" s="143" t="s">
        <v>115</v>
      </c>
      <c r="D462" s="143" t="s">
        <v>69</v>
      </c>
      <c r="E462" s="257">
        <v>221840000</v>
      </c>
      <c r="F462" s="257">
        <v>221840000</v>
      </c>
      <c r="G462" s="257">
        <v>108266875</v>
      </c>
      <c r="H462" s="257">
        <v>0</v>
      </c>
      <c r="I462" s="257">
        <v>44145095</v>
      </c>
      <c r="J462" s="257">
        <v>0</v>
      </c>
      <c r="K462" s="257">
        <v>64121780</v>
      </c>
      <c r="L462" s="257">
        <v>64121780</v>
      </c>
      <c r="M462" s="257">
        <v>113573125</v>
      </c>
      <c r="N462" s="257">
        <v>0</v>
      </c>
    </row>
    <row r="463" spans="1:14" s="143" customFormat="1" hidden="1" x14ac:dyDescent="0.25">
      <c r="A463" s="143" t="s">
        <v>712</v>
      </c>
      <c r="B463" s="143" t="s">
        <v>116</v>
      </c>
      <c r="C463" s="143" t="s">
        <v>117</v>
      </c>
      <c r="D463" s="143" t="s">
        <v>69</v>
      </c>
      <c r="E463" s="257">
        <v>52200000</v>
      </c>
      <c r="F463" s="257">
        <v>52200000</v>
      </c>
      <c r="G463" s="257">
        <v>26100000</v>
      </c>
      <c r="H463" s="257">
        <v>0</v>
      </c>
      <c r="I463" s="257">
        <v>15541796.199999999</v>
      </c>
      <c r="J463" s="257">
        <v>0</v>
      </c>
      <c r="K463" s="257">
        <v>10558203.800000001</v>
      </c>
      <c r="L463" s="257">
        <v>10558203.800000001</v>
      </c>
      <c r="M463" s="257">
        <v>26100000</v>
      </c>
      <c r="N463" s="257">
        <v>0</v>
      </c>
    </row>
    <row r="464" spans="1:14" s="143" customFormat="1" hidden="1" x14ac:dyDescent="0.25">
      <c r="A464" s="143" t="s">
        <v>712</v>
      </c>
      <c r="B464" s="143" t="s">
        <v>120</v>
      </c>
      <c r="C464" s="143" t="s">
        <v>121</v>
      </c>
      <c r="D464" s="143" t="s">
        <v>69</v>
      </c>
      <c r="E464" s="257">
        <v>13090000</v>
      </c>
      <c r="F464" s="257">
        <v>13090000</v>
      </c>
      <c r="G464" s="257">
        <v>6545000</v>
      </c>
      <c r="H464" s="257">
        <v>0</v>
      </c>
      <c r="I464" s="257">
        <v>6545000</v>
      </c>
      <c r="J464" s="257">
        <v>0</v>
      </c>
      <c r="K464" s="257">
        <v>0</v>
      </c>
      <c r="L464" s="257">
        <v>0</v>
      </c>
      <c r="M464" s="257">
        <v>6545000</v>
      </c>
      <c r="N464" s="257">
        <v>0</v>
      </c>
    </row>
    <row r="465" spans="1:14" s="143" customFormat="1" hidden="1" x14ac:dyDescent="0.25">
      <c r="A465" s="143" t="s">
        <v>712</v>
      </c>
      <c r="B465" s="143" t="s">
        <v>122</v>
      </c>
      <c r="C465" s="143" t="s">
        <v>123</v>
      </c>
      <c r="D465" s="143" t="s">
        <v>69</v>
      </c>
      <c r="E465" s="257">
        <v>4500000</v>
      </c>
      <c r="F465" s="257">
        <v>4500000</v>
      </c>
      <c r="G465" s="257">
        <v>4500000</v>
      </c>
      <c r="H465" s="257">
        <v>0</v>
      </c>
      <c r="I465" s="257">
        <v>0</v>
      </c>
      <c r="J465" s="257">
        <v>0</v>
      </c>
      <c r="K465" s="257">
        <v>0</v>
      </c>
      <c r="L465" s="257">
        <v>0</v>
      </c>
      <c r="M465" s="257">
        <v>4500000</v>
      </c>
      <c r="N465" s="257">
        <v>4500000</v>
      </c>
    </row>
    <row r="466" spans="1:14" s="143" customFormat="1" hidden="1" x14ac:dyDescent="0.25">
      <c r="A466" s="143" t="s">
        <v>712</v>
      </c>
      <c r="B466" s="143" t="s">
        <v>162</v>
      </c>
      <c r="C466" s="143" t="s">
        <v>163</v>
      </c>
      <c r="D466" s="143" t="s">
        <v>69</v>
      </c>
      <c r="E466" s="257">
        <v>15000000</v>
      </c>
      <c r="F466" s="257">
        <v>15000000</v>
      </c>
      <c r="G466" s="257">
        <v>15000000</v>
      </c>
      <c r="H466" s="257">
        <v>0</v>
      </c>
      <c r="I466" s="257">
        <v>0</v>
      </c>
      <c r="J466" s="257">
        <v>0</v>
      </c>
      <c r="K466" s="257">
        <v>0</v>
      </c>
      <c r="L466" s="257">
        <v>0</v>
      </c>
      <c r="M466" s="257">
        <v>15000000</v>
      </c>
      <c r="N466" s="257">
        <v>15000000</v>
      </c>
    </row>
    <row r="467" spans="1:14" s="143" customFormat="1" hidden="1" x14ac:dyDescent="0.25">
      <c r="A467" s="143" t="s">
        <v>712</v>
      </c>
      <c r="B467" s="143" t="s">
        <v>164</v>
      </c>
      <c r="C467" s="143" t="s">
        <v>165</v>
      </c>
      <c r="D467" s="143" t="s">
        <v>69</v>
      </c>
      <c r="E467" s="257">
        <v>15000000</v>
      </c>
      <c r="F467" s="257">
        <v>15000000</v>
      </c>
      <c r="G467" s="257">
        <v>15000000</v>
      </c>
      <c r="H467" s="257">
        <v>0</v>
      </c>
      <c r="I467" s="257">
        <v>0</v>
      </c>
      <c r="J467" s="257">
        <v>0</v>
      </c>
      <c r="K467" s="257">
        <v>0</v>
      </c>
      <c r="L467" s="257">
        <v>0</v>
      </c>
      <c r="M467" s="257">
        <v>15000000</v>
      </c>
      <c r="N467" s="257">
        <v>15000000</v>
      </c>
    </row>
    <row r="468" spans="1:14" s="143" customFormat="1" hidden="1" x14ac:dyDescent="0.25">
      <c r="A468" s="143" t="s">
        <v>712</v>
      </c>
      <c r="B468" s="143" t="s">
        <v>184</v>
      </c>
      <c r="C468" s="143" t="s">
        <v>185</v>
      </c>
      <c r="D468" s="143" t="s">
        <v>69</v>
      </c>
      <c r="E468" s="257">
        <v>621407272</v>
      </c>
      <c r="F468" s="257">
        <v>621407272</v>
      </c>
      <c r="G468" s="257">
        <v>312075122</v>
      </c>
      <c r="H468" s="257">
        <v>35178455.119999997</v>
      </c>
      <c r="I468" s="257">
        <v>26238044.68</v>
      </c>
      <c r="J468" s="257">
        <v>1230984</v>
      </c>
      <c r="K468" s="257">
        <v>107696222.72</v>
      </c>
      <c r="L468" s="257">
        <v>85744217.120000005</v>
      </c>
      <c r="M468" s="257">
        <v>451063565.48000002</v>
      </c>
      <c r="N468" s="257">
        <v>141731415.47999999</v>
      </c>
    </row>
    <row r="469" spans="1:14" s="143" customFormat="1" hidden="1" x14ac:dyDescent="0.25">
      <c r="A469" s="143" t="s">
        <v>712</v>
      </c>
      <c r="B469" s="143" t="s">
        <v>186</v>
      </c>
      <c r="C469" s="143" t="s">
        <v>187</v>
      </c>
      <c r="D469" s="143" t="s">
        <v>69</v>
      </c>
      <c r="E469" s="257">
        <v>25251750</v>
      </c>
      <c r="F469" s="257">
        <v>25251750</v>
      </c>
      <c r="G469" s="257">
        <v>7743376</v>
      </c>
      <c r="H469" s="257">
        <v>0</v>
      </c>
      <c r="I469" s="257">
        <v>0</v>
      </c>
      <c r="J469" s="257">
        <v>0</v>
      </c>
      <c r="K469" s="257">
        <v>0</v>
      </c>
      <c r="L469" s="257">
        <v>0</v>
      </c>
      <c r="M469" s="257">
        <v>25251750</v>
      </c>
      <c r="N469" s="257">
        <v>7743376</v>
      </c>
    </row>
    <row r="470" spans="1:14" s="143" customFormat="1" hidden="1" x14ac:dyDescent="0.25">
      <c r="A470" s="143" t="s">
        <v>712</v>
      </c>
      <c r="B470" s="143" t="s">
        <v>188</v>
      </c>
      <c r="C470" s="143" t="s">
        <v>189</v>
      </c>
      <c r="D470" s="143" t="s">
        <v>69</v>
      </c>
      <c r="E470" s="257">
        <v>24819750</v>
      </c>
      <c r="F470" s="257">
        <v>24819750</v>
      </c>
      <c r="G470" s="257">
        <v>7311376</v>
      </c>
      <c r="H470" s="257">
        <v>0</v>
      </c>
      <c r="I470" s="257">
        <v>0</v>
      </c>
      <c r="J470" s="257">
        <v>0</v>
      </c>
      <c r="K470" s="257">
        <v>0</v>
      </c>
      <c r="L470" s="257">
        <v>0</v>
      </c>
      <c r="M470" s="257">
        <v>24819750</v>
      </c>
      <c r="N470" s="257">
        <v>7311376</v>
      </c>
    </row>
    <row r="471" spans="1:14" s="143" customFormat="1" hidden="1" x14ac:dyDescent="0.25">
      <c r="A471" s="143" t="s">
        <v>712</v>
      </c>
      <c r="B471" s="143" t="s">
        <v>190</v>
      </c>
      <c r="C471" s="143" t="s">
        <v>191</v>
      </c>
      <c r="D471" s="143" t="s">
        <v>69</v>
      </c>
      <c r="E471" s="257">
        <v>197000</v>
      </c>
      <c r="F471" s="257">
        <v>432000</v>
      </c>
      <c r="G471" s="257">
        <v>432000</v>
      </c>
      <c r="H471" s="257">
        <v>0</v>
      </c>
      <c r="I471" s="257">
        <v>0</v>
      </c>
      <c r="J471" s="257">
        <v>0</v>
      </c>
      <c r="K471" s="257">
        <v>0</v>
      </c>
      <c r="L471" s="257">
        <v>0</v>
      </c>
      <c r="M471" s="257">
        <v>432000</v>
      </c>
      <c r="N471" s="257">
        <v>432000</v>
      </c>
    </row>
    <row r="472" spans="1:14" s="143" customFormat="1" hidden="1" x14ac:dyDescent="0.25">
      <c r="A472" s="143" t="s">
        <v>712</v>
      </c>
      <c r="B472" s="143" t="s">
        <v>194</v>
      </c>
      <c r="C472" s="143" t="s">
        <v>195</v>
      </c>
      <c r="D472" s="143" t="s">
        <v>69</v>
      </c>
      <c r="E472" s="257">
        <v>235000</v>
      </c>
      <c r="F472" s="257">
        <v>0</v>
      </c>
      <c r="G472" s="257">
        <v>0</v>
      </c>
      <c r="H472" s="257">
        <v>0</v>
      </c>
      <c r="I472" s="257">
        <v>0</v>
      </c>
      <c r="J472" s="257">
        <v>0</v>
      </c>
      <c r="K472" s="257">
        <v>0</v>
      </c>
      <c r="L472" s="257">
        <v>0</v>
      </c>
      <c r="M472" s="257">
        <v>0</v>
      </c>
      <c r="N472" s="257">
        <v>0</v>
      </c>
    </row>
    <row r="473" spans="1:14" s="143" customFormat="1" hidden="1" x14ac:dyDescent="0.25">
      <c r="A473" s="143" t="s">
        <v>712</v>
      </c>
      <c r="B473" s="143" t="s">
        <v>196</v>
      </c>
      <c r="C473" s="143" t="s">
        <v>197</v>
      </c>
      <c r="D473" s="143" t="s">
        <v>69</v>
      </c>
      <c r="E473" s="257">
        <v>582942552</v>
      </c>
      <c r="F473" s="257">
        <v>582942552</v>
      </c>
      <c r="G473" s="257">
        <v>291118776</v>
      </c>
      <c r="H473" s="257">
        <v>30139855.120000001</v>
      </c>
      <c r="I473" s="257">
        <v>26238044.68</v>
      </c>
      <c r="J473" s="257">
        <v>1230984</v>
      </c>
      <c r="K473" s="257">
        <v>107696222.72</v>
      </c>
      <c r="L473" s="257">
        <v>85744217.120000005</v>
      </c>
      <c r="M473" s="257">
        <v>417637445.48000002</v>
      </c>
      <c r="N473" s="257">
        <v>125813669.48</v>
      </c>
    </row>
    <row r="474" spans="1:14" s="143" customFormat="1" hidden="1" x14ac:dyDescent="0.25">
      <c r="A474" s="143" t="s">
        <v>712</v>
      </c>
      <c r="B474" s="143" t="s">
        <v>198</v>
      </c>
      <c r="C474" s="143" t="s">
        <v>199</v>
      </c>
      <c r="D474" s="143" t="s">
        <v>69</v>
      </c>
      <c r="E474" s="257">
        <v>582942552</v>
      </c>
      <c r="F474" s="257">
        <v>582942552</v>
      </c>
      <c r="G474" s="257">
        <v>291118776</v>
      </c>
      <c r="H474" s="257">
        <v>30139855.120000001</v>
      </c>
      <c r="I474" s="257">
        <v>26238044.68</v>
      </c>
      <c r="J474" s="257">
        <v>1230984</v>
      </c>
      <c r="K474" s="257">
        <v>107696222.72</v>
      </c>
      <c r="L474" s="257">
        <v>85744217.120000005</v>
      </c>
      <c r="M474" s="257">
        <v>417637445.48000002</v>
      </c>
      <c r="N474" s="257">
        <v>125813669.48</v>
      </c>
    </row>
    <row r="475" spans="1:14" s="143" customFormat="1" hidden="1" x14ac:dyDescent="0.25">
      <c r="A475" s="143" t="s">
        <v>712</v>
      </c>
      <c r="B475" s="143" t="s">
        <v>206</v>
      </c>
      <c r="C475" s="143" t="s">
        <v>207</v>
      </c>
      <c r="D475" s="143" t="s">
        <v>69</v>
      </c>
      <c r="E475" s="257">
        <v>367200</v>
      </c>
      <c r="F475" s="257">
        <v>367200</v>
      </c>
      <c r="G475" s="257">
        <v>367200</v>
      </c>
      <c r="H475" s="257">
        <v>0</v>
      </c>
      <c r="I475" s="257">
        <v>0</v>
      </c>
      <c r="J475" s="257">
        <v>0</v>
      </c>
      <c r="K475" s="257">
        <v>0</v>
      </c>
      <c r="L475" s="257">
        <v>0</v>
      </c>
      <c r="M475" s="257">
        <v>367200</v>
      </c>
      <c r="N475" s="257">
        <v>367200</v>
      </c>
    </row>
    <row r="476" spans="1:14" s="143" customFormat="1" hidden="1" x14ac:dyDescent="0.25">
      <c r="A476" s="143" t="s">
        <v>712</v>
      </c>
      <c r="B476" s="143" t="s">
        <v>208</v>
      </c>
      <c r="C476" s="143" t="s">
        <v>209</v>
      </c>
      <c r="D476" s="143" t="s">
        <v>69</v>
      </c>
      <c r="E476" s="257">
        <v>367200</v>
      </c>
      <c r="F476" s="257">
        <v>367200</v>
      </c>
      <c r="G476" s="257">
        <v>367200</v>
      </c>
      <c r="H476" s="257">
        <v>0</v>
      </c>
      <c r="I476" s="257">
        <v>0</v>
      </c>
      <c r="J476" s="257">
        <v>0</v>
      </c>
      <c r="K476" s="257">
        <v>0</v>
      </c>
      <c r="L476" s="257">
        <v>0</v>
      </c>
      <c r="M476" s="257">
        <v>367200</v>
      </c>
      <c r="N476" s="257">
        <v>367200</v>
      </c>
    </row>
    <row r="477" spans="1:14" s="143" customFormat="1" hidden="1" x14ac:dyDescent="0.25">
      <c r="A477" s="143" t="s">
        <v>712</v>
      </c>
      <c r="B477" s="143" t="s">
        <v>354</v>
      </c>
      <c r="C477" s="143" t="s">
        <v>355</v>
      </c>
      <c r="D477" s="143" t="s">
        <v>69</v>
      </c>
      <c r="E477" s="257">
        <v>6280000</v>
      </c>
      <c r="F477" s="257">
        <v>6280000</v>
      </c>
      <c r="G477" s="257">
        <v>6280000</v>
      </c>
      <c r="H477" s="257">
        <v>0</v>
      </c>
      <c r="I477" s="257">
        <v>0</v>
      </c>
      <c r="J477" s="257">
        <v>0</v>
      </c>
      <c r="K477" s="257">
        <v>0</v>
      </c>
      <c r="L477" s="257">
        <v>0</v>
      </c>
      <c r="M477" s="257">
        <v>6280000</v>
      </c>
      <c r="N477" s="257">
        <v>6280000</v>
      </c>
    </row>
    <row r="478" spans="1:14" s="143" customFormat="1" hidden="1" x14ac:dyDescent="0.25">
      <c r="A478" s="143" t="s">
        <v>712</v>
      </c>
      <c r="B478" s="143" t="s">
        <v>356</v>
      </c>
      <c r="C478" s="143" t="s">
        <v>357</v>
      </c>
      <c r="D478" s="143" t="s">
        <v>69</v>
      </c>
      <c r="E478" s="257">
        <v>6280000</v>
      </c>
      <c r="F478" s="257">
        <v>6280000</v>
      </c>
      <c r="G478" s="257">
        <v>6280000</v>
      </c>
      <c r="H478" s="257">
        <v>0</v>
      </c>
      <c r="I478" s="257">
        <v>0</v>
      </c>
      <c r="J478" s="257">
        <v>0</v>
      </c>
      <c r="K478" s="257">
        <v>0</v>
      </c>
      <c r="L478" s="257">
        <v>0</v>
      </c>
      <c r="M478" s="257">
        <v>6280000</v>
      </c>
      <c r="N478" s="257">
        <v>6280000</v>
      </c>
    </row>
    <row r="479" spans="1:14" s="143" customFormat="1" hidden="1" x14ac:dyDescent="0.25">
      <c r="A479" s="143" t="s">
        <v>712</v>
      </c>
      <c r="B479" s="143" t="s">
        <v>212</v>
      </c>
      <c r="C479" s="143" t="s">
        <v>213</v>
      </c>
      <c r="D479" s="143" t="s">
        <v>69</v>
      </c>
      <c r="E479" s="257">
        <v>6565770</v>
      </c>
      <c r="F479" s="257">
        <v>6565770</v>
      </c>
      <c r="G479" s="257">
        <v>6565770</v>
      </c>
      <c r="H479" s="257">
        <v>5038600</v>
      </c>
      <c r="I479" s="257">
        <v>0</v>
      </c>
      <c r="J479" s="257">
        <v>0</v>
      </c>
      <c r="K479" s="257">
        <v>0</v>
      </c>
      <c r="L479" s="257">
        <v>0</v>
      </c>
      <c r="M479" s="257">
        <v>1527170</v>
      </c>
      <c r="N479" s="257">
        <v>1527170</v>
      </c>
    </row>
    <row r="480" spans="1:14" s="143" customFormat="1" hidden="1" x14ac:dyDescent="0.25">
      <c r="A480" s="143" t="s">
        <v>712</v>
      </c>
      <c r="B480" s="143" t="s">
        <v>216</v>
      </c>
      <c r="C480" s="143" t="s">
        <v>217</v>
      </c>
      <c r="D480" s="143" t="s">
        <v>69</v>
      </c>
      <c r="E480" s="257">
        <v>1076170</v>
      </c>
      <c r="F480" s="257">
        <v>1076170</v>
      </c>
      <c r="G480" s="257">
        <v>1076170</v>
      </c>
      <c r="H480" s="257">
        <v>0</v>
      </c>
      <c r="I480" s="257">
        <v>0</v>
      </c>
      <c r="J480" s="257">
        <v>0</v>
      </c>
      <c r="K480" s="257">
        <v>0</v>
      </c>
      <c r="L480" s="257">
        <v>0</v>
      </c>
      <c r="M480" s="257">
        <v>1076170</v>
      </c>
      <c r="N480" s="257">
        <v>1076170</v>
      </c>
    </row>
    <row r="481" spans="1:14" s="143" customFormat="1" hidden="1" x14ac:dyDescent="0.25">
      <c r="A481" s="143" t="s">
        <v>712</v>
      </c>
      <c r="B481" s="143" t="s">
        <v>218</v>
      </c>
      <c r="C481" s="143" t="s">
        <v>219</v>
      </c>
      <c r="D481" s="143" t="s">
        <v>69</v>
      </c>
      <c r="E481" s="257">
        <v>333500</v>
      </c>
      <c r="F481" s="257">
        <v>333500</v>
      </c>
      <c r="G481" s="257">
        <v>333500</v>
      </c>
      <c r="H481" s="257">
        <v>0</v>
      </c>
      <c r="I481" s="257">
        <v>0</v>
      </c>
      <c r="J481" s="257">
        <v>0</v>
      </c>
      <c r="K481" s="257">
        <v>0</v>
      </c>
      <c r="L481" s="257">
        <v>0</v>
      </c>
      <c r="M481" s="257">
        <v>333500</v>
      </c>
      <c r="N481" s="257">
        <v>333500</v>
      </c>
    </row>
    <row r="482" spans="1:14" s="143" customFormat="1" hidden="1" x14ac:dyDescent="0.25">
      <c r="A482" s="143" t="s">
        <v>712</v>
      </c>
      <c r="B482" s="143" t="s">
        <v>220</v>
      </c>
      <c r="C482" s="143" t="s">
        <v>221</v>
      </c>
      <c r="D482" s="143" t="s">
        <v>69</v>
      </c>
      <c r="E482" s="257">
        <v>2531700</v>
      </c>
      <c r="F482" s="257">
        <v>2531700</v>
      </c>
      <c r="G482" s="257">
        <v>2531700</v>
      </c>
      <c r="H482" s="257">
        <v>2530600</v>
      </c>
      <c r="I482" s="257">
        <v>0</v>
      </c>
      <c r="J482" s="257">
        <v>0</v>
      </c>
      <c r="K482" s="257">
        <v>0</v>
      </c>
      <c r="L482" s="257">
        <v>0</v>
      </c>
      <c r="M482" s="257">
        <v>1100</v>
      </c>
      <c r="N482" s="257">
        <v>1100</v>
      </c>
    </row>
    <row r="483" spans="1:14" s="143" customFormat="1" hidden="1" x14ac:dyDescent="0.25">
      <c r="A483" s="143" t="s">
        <v>712</v>
      </c>
      <c r="B483" s="143" t="s">
        <v>224</v>
      </c>
      <c r="C483" s="143" t="s">
        <v>225</v>
      </c>
      <c r="D483" s="143" t="s">
        <v>69</v>
      </c>
      <c r="E483" s="257">
        <v>525000</v>
      </c>
      <c r="F483" s="257">
        <v>525000</v>
      </c>
      <c r="G483" s="257">
        <v>525000</v>
      </c>
      <c r="H483" s="257">
        <v>468000</v>
      </c>
      <c r="I483" s="257">
        <v>0</v>
      </c>
      <c r="J483" s="257">
        <v>0</v>
      </c>
      <c r="K483" s="257">
        <v>0</v>
      </c>
      <c r="L483" s="257">
        <v>0</v>
      </c>
      <c r="M483" s="257">
        <v>57000</v>
      </c>
      <c r="N483" s="257">
        <v>57000</v>
      </c>
    </row>
    <row r="484" spans="1:14" s="143" customFormat="1" hidden="1" x14ac:dyDescent="0.25">
      <c r="A484" s="143" t="s">
        <v>712</v>
      </c>
      <c r="B484" s="143" t="s">
        <v>226</v>
      </c>
      <c r="C484" s="143" t="s">
        <v>227</v>
      </c>
      <c r="D484" s="143" t="s">
        <v>69</v>
      </c>
      <c r="E484" s="257">
        <v>2094900</v>
      </c>
      <c r="F484" s="257">
        <v>2094900</v>
      </c>
      <c r="G484" s="257">
        <v>2094900</v>
      </c>
      <c r="H484" s="257">
        <v>2040000</v>
      </c>
      <c r="I484" s="257">
        <v>0</v>
      </c>
      <c r="J484" s="257">
        <v>0</v>
      </c>
      <c r="K484" s="257">
        <v>0</v>
      </c>
      <c r="L484" s="257">
        <v>0</v>
      </c>
      <c r="M484" s="257">
        <v>54900</v>
      </c>
      <c r="N484" s="257">
        <v>54900</v>
      </c>
    </row>
    <row r="485" spans="1:14" s="143" customFormat="1" hidden="1" x14ac:dyDescent="0.25">
      <c r="A485" s="143" t="s">
        <v>712</v>
      </c>
      <c r="B485" s="143" t="s">
        <v>228</v>
      </c>
      <c r="C485" s="143" t="s">
        <v>229</v>
      </c>
      <c r="D485" s="143" t="s">
        <v>69</v>
      </c>
      <c r="E485" s="257">
        <v>4500</v>
      </c>
      <c r="F485" s="257">
        <v>4500</v>
      </c>
      <c r="G485" s="257">
        <v>4500</v>
      </c>
      <c r="H485" s="257">
        <v>0</v>
      </c>
      <c r="I485" s="257">
        <v>0</v>
      </c>
      <c r="J485" s="257">
        <v>0</v>
      </c>
      <c r="K485" s="257">
        <v>0</v>
      </c>
      <c r="L485" s="257">
        <v>0</v>
      </c>
      <c r="M485" s="257">
        <v>4500</v>
      </c>
      <c r="N485" s="257">
        <v>4500</v>
      </c>
    </row>
    <row r="486" spans="1:14" s="143" customFormat="1" hidden="1" x14ac:dyDescent="0.25">
      <c r="A486" s="143" t="s">
        <v>712</v>
      </c>
      <c r="B486" s="143" t="s">
        <v>248</v>
      </c>
      <c r="C486" s="143" t="s">
        <v>249</v>
      </c>
      <c r="D486" s="143" t="s">
        <v>69</v>
      </c>
      <c r="E486" s="257">
        <v>21838204</v>
      </c>
      <c r="F486" s="257">
        <v>21451264</v>
      </c>
      <c r="G486" s="257">
        <v>21337973</v>
      </c>
      <c r="H486" s="257">
        <v>0</v>
      </c>
      <c r="I486" s="257">
        <v>9987255</v>
      </c>
      <c r="J486" s="257">
        <v>0</v>
      </c>
      <c r="K486" s="257">
        <v>7287508</v>
      </c>
      <c r="L486" s="257">
        <v>7287508</v>
      </c>
      <c r="M486" s="257">
        <v>4176501</v>
      </c>
      <c r="N486" s="257">
        <v>4063210</v>
      </c>
    </row>
    <row r="487" spans="1:14" s="143" customFormat="1" hidden="1" x14ac:dyDescent="0.25">
      <c r="A487" s="143" t="s">
        <v>712</v>
      </c>
      <c r="B487" s="143" t="s">
        <v>250</v>
      </c>
      <c r="C487" s="143" t="s">
        <v>251</v>
      </c>
      <c r="D487" s="143" t="s">
        <v>69</v>
      </c>
      <c r="E487" s="257">
        <v>16338204</v>
      </c>
      <c r="F487" s="257">
        <v>15951264</v>
      </c>
      <c r="G487" s="257">
        <v>15837973</v>
      </c>
      <c r="H487" s="257">
        <v>0</v>
      </c>
      <c r="I487" s="257">
        <v>9987255</v>
      </c>
      <c r="J487" s="257">
        <v>0</v>
      </c>
      <c r="K487" s="257">
        <v>5850718</v>
      </c>
      <c r="L487" s="257">
        <v>5850718</v>
      </c>
      <c r="M487" s="257">
        <v>113291</v>
      </c>
      <c r="N487" s="257">
        <v>0</v>
      </c>
    </row>
    <row r="488" spans="1:14" s="143" customFormat="1" hidden="1" x14ac:dyDescent="0.25">
      <c r="A488" s="143" t="s">
        <v>712</v>
      </c>
      <c r="B488" s="143" t="s">
        <v>631</v>
      </c>
      <c r="C488" s="143" t="s">
        <v>702</v>
      </c>
      <c r="D488" s="143" t="s">
        <v>69</v>
      </c>
      <c r="E488" s="257">
        <v>13877686</v>
      </c>
      <c r="F488" s="257">
        <v>13549019</v>
      </c>
      <c r="G488" s="257">
        <v>13452790</v>
      </c>
      <c r="H488" s="257">
        <v>0</v>
      </c>
      <c r="I488" s="257">
        <v>8502253</v>
      </c>
      <c r="J488" s="257">
        <v>0</v>
      </c>
      <c r="K488" s="257">
        <v>4950537</v>
      </c>
      <c r="L488" s="257">
        <v>4950537</v>
      </c>
      <c r="M488" s="257">
        <v>96229</v>
      </c>
      <c r="N488" s="257">
        <v>0</v>
      </c>
    </row>
    <row r="489" spans="1:14" s="143" customFormat="1" hidden="1" x14ac:dyDescent="0.25">
      <c r="A489" s="143" t="s">
        <v>712</v>
      </c>
      <c r="B489" s="143" t="s">
        <v>646</v>
      </c>
      <c r="C489" s="143" t="s">
        <v>703</v>
      </c>
      <c r="D489" s="143" t="s">
        <v>69</v>
      </c>
      <c r="E489" s="257">
        <v>2460518</v>
      </c>
      <c r="F489" s="257">
        <v>2402245</v>
      </c>
      <c r="G489" s="257">
        <v>2385183</v>
      </c>
      <c r="H489" s="257">
        <v>0</v>
      </c>
      <c r="I489" s="257">
        <v>1485002</v>
      </c>
      <c r="J489" s="257">
        <v>0</v>
      </c>
      <c r="K489" s="257">
        <v>900181</v>
      </c>
      <c r="L489" s="257">
        <v>900181</v>
      </c>
      <c r="M489" s="257">
        <v>17062</v>
      </c>
      <c r="N489" s="257">
        <v>0</v>
      </c>
    </row>
    <row r="490" spans="1:14" s="143" customFormat="1" hidden="1" x14ac:dyDescent="0.25">
      <c r="A490" s="143" t="s">
        <v>712</v>
      </c>
      <c r="B490" s="143" t="s">
        <v>260</v>
      </c>
      <c r="C490" s="143" t="s">
        <v>261</v>
      </c>
      <c r="D490" s="143" t="s">
        <v>69</v>
      </c>
      <c r="E490" s="257">
        <v>5500000</v>
      </c>
      <c r="F490" s="257">
        <v>5500000</v>
      </c>
      <c r="G490" s="257">
        <v>5500000</v>
      </c>
      <c r="H490" s="257">
        <v>0</v>
      </c>
      <c r="I490" s="257">
        <v>0</v>
      </c>
      <c r="J490" s="257">
        <v>0</v>
      </c>
      <c r="K490" s="257">
        <v>1436790</v>
      </c>
      <c r="L490" s="257">
        <v>1436790</v>
      </c>
      <c r="M490" s="257">
        <v>4063210</v>
      </c>
      <c r="N490" s="257">
        <v>4063210</v>
      </c>
    </row>
    <row r="491" spans="1:14" s="143" customFormat="1" hidden="1" x14ac:dyDescent="0.25">
      <c r="A491" s="143" t="s">
        <v>712</v>
      </c>
      <c r="B491" s="143" t="s">
        <v>264</v>
      </c>
      <c r="C491" s="143" t="s">
        <v>265</v>
      </c>
      <c r="D491" s="143" t="s">
        <v>69</v>
      </c>
      <c r="E491" s="257">
        <v>5500000</v>
      </c>
      <c r="F491" s="257">
        <v>5500000</v>
      </c>
      <c r="G491" s="257">
        <v>5500000</v>
      </c>
      <c r="H491" s="257">
        <v>0</v>
      </c>
      <c r="I491" s="257">
        <v>0</v>
      </c>
      <c r="J491" s="257">
        <v>0</v>
      </c>
      <c r="K491" s="257">
        <v>1436790</v>
      </c>
      <c r="L491" s="257">
        <v>1436790</v>
      </c>
      <c r="M491" s="257">
        <v>4063210</v>
      </c>
      <c r="N491" s="257">
        <v>4063210</v>
      </c>
    </row>
    <row r="492" spans="1:14" s="143" customFormat="1" hidden="1" x14ac:dyDescent="0.25">
      <c r="A492" s="143" t="s">
        <v>712</v>
      </c>
      <c r="B492" s="143" t="s">
        <v>230</v>
      </c>
      <c r="C492" s="143" t="s">
        <v>231</v>
      </c>
      <c r="D492" s="143" t="s">
        <v>85</v>
      </c>
      <c r="E492" s="257">
        <v>10612500</v>
      </c>
      <c r="F492" s="257">
        <v>10612500</v>
      </c>
      <c r="G492" s="257">
        <v>10612500</v>
      </c>
      <c r="H492" s="257">
        <v>2960000</v>
      </c>
      <c r="I492" s="257">
        <v>5226000</v>
      </c>
      <c r="J492" s="257">
        <v>0</v>
      </c>
      <c r="K492" s="257">
        <v>0</v>
      </c>
      <c r="L492" s="257">
        <v>0</v>
      </c>
      <c r="M492" s="257">
        <v>2426500</v>
      </c>
      <c r="N492" s="257">
        <v>2426500</v>
      </c>
    </row>
    <row r="493" spans="1:14" s="143" customFormat="1" hidden="1" x14ac:dyDescent="0.25">
      <c r="A493" s="143" t="s">
        <v>712</v>
      </c>
      <c r="B493" s="143" t="s">
        <v>232</v>
      </c>
      <c r="C493" s="143" t="s">
        <v>233</v>
      </c>
      <c r="D493" s="143" t="s">
        <v>85</v>
      </c>
      <c r="E493" s="257">
        <v>10612500</v>
      </c>
      <c r="F493" s="257">
        <v>10612500</v>
      </c>
      <c r="G493" s="257">
        <v>10612500</v>
      </c>
      <c r="H493" s="257">
        <v>2960000</v>
      </c>
      <c r="I493" s="257">
        <v>5226000</v>
      </c>
      <c r="J493" s="257">
        <v>0</v>
      </c>
      <c r="K493" s="257">
        <v>0</v>
      </c>
      <c r="L493" s="257">
        <v>0</v>
      </c>
      <c r="M493" s="257">
        <v>2426500</v>
      </c>
      <c r="N493" s="257">
        <v>2426500</v>
      </c>
    </row>
    <row r="494" spans="1:14" s="143" customFormat="1" hidden="1" x14ac:dyDescent="0.25">
      <c r="A494" s="143" t="s">
        <v>712</v>
      </c>
      <c r="B494" s="143" t="s">
        <v>234</v>
      </c>
      <c r="C494" s="143" t="s">
        <v>235</v>
      </c>
      <c r="D494" s="143" t="s">
        <v>85</v>
      </c>
      <c r="E494" s="257">
        <v>6650000</v>
      </c>
      <c r="F494" s="257">
        <v>6650000</v>
      </c>
      <c r="G494" s="257">
        <v>6650000</v>
      </c>
      <c r="H494" s="257">
        <v>0</v>
      </c>
      <c r="I494" s="257">
        <v>4560000</v>
      </c>
      <c r="J494" s="257">
        <v>0</v>
      </c>
      <c r="K494" s="257">
        <v>0</v>
      </c>
      <c r="L494" s="257">
        <v>0</v>
      </c>
      <c r="M494" s="257">
        <v>2090000</v>
      </c>
      <c r="N494" s="257">
        <v>2090000</v>
      </c>
    </row>
    <row r="495" spans="1:14" s="143" customFormat="1" hidden="1" x14ac:dyDescent="0.25">
      <c r="A495" s="143" t="s">
        <v>712</v>
      </c>
      <c r="B495" s="143" t="s">
        <v>326</v>
      </c>
      <c r="C495" s="143" t="s">
        <v>327</v>
      </c>
      <c r="D495" s="143" t="s">
        <v>85</v>
      </c>
      <c r="E495" s="257">
        <v>760000</v>
      </c>
      <c r="F495" s="257">
        <v>760000</v>
      </c>
      <c r="G495" s="257">
        <v>760000</v>
      </c>
      <c r="H495" s="257">
        <v>0</v>
      </c>
      <c r="I495" s="257">
        <v>666000</v>
      </c>
      <c r="J495" s="257">
        <v>0</v>
      </c>
      <c r="K495" s="257">
        <v>0</v>
      </c>
      <c r="L495" s="257">
        <v>0</v>
      </c>
      <c r="M495" s="257">
        <v>94000</v>
      </c>
      <c r="N495" s="257">
        <v>94000</v>
      </c>
    </row>
    <row r="496" spans="1:14" s="143" customFormat="1" hidden="1" x14ac:dyDescent="0.25">
      <c r="A496" s="143" t="s">
        <v>712</v>
      </c>
      <c r="B496" s="143" t="s">
        <v>242</v>
      </c>
      <c r="C496" s="143" t="s">
        <v>243</v>
      </c>
      <c r="D496" s="143" t="s">
        <v>85</v>
      </c>
      <c r="E496" s="257">
        <v>3202500</v>
      </c>
      <c r="F496" s="257">
        <v>3202500</v>
      </c>
      <c r="G496" s="257">
        <v>3202500</v>
      </c>
      <c r="H496" s="257">
        <v>2960000</v>
      </c>
      <c r="I496" s="257">
        <v>0</v>
      </c>
      <c r="J496" s="257">
        <v>0</v>
      </c>
      <c r="K496" s="257">
        <v>0</v>
      </c>
      <c r="L496" s="257">
        <v>0</v>
      </c>
      <c r="M496" s="257">
        <v>242500</v>
      </c>
      <c r="N496" s="257">
        <v>242500</v>
      </c>
    </row>
    <row r="497" spans="1:14" s="143" customFormat="1" x14ac:dyDescent="0.25">
      <c r="A497" s="487">
        <v>214789003</v>
      </c>
      <c r="D497" s="44" t="s">
        <v>69</v>
      </c>
      <c r="E497" s="257">
        <v>1434240030</v>
      </c>
      <c r="F497" s="50">
        <v>1423727288</v>
      </c>
      <c r="G497" s="257">
        <v>1307553586</v>
      </c>
      <c r="H497" s="50">
        <v>0</v>
      </c>
      <c r="I497" s="50">
        <v>143941999.88999999</v>
      </c>
      <c r="J497" s="50">
        <v>0</v>
      </c>
      <c r="K497" s="50">
        <v>531688722.45999998</v>
      </c>
      <c r="L497" s="50">
        <v>516559019.94</v>
      </c>
      <c r="M497" s="50">
        <v>748096565.64999998</v>
      </c>
      <c r="N497" s="257">
        <v>631922863.64999998</v>
      </c>
    </row>
    <row r="498" spans="1:14" s="143" customFormat="1" hidden="1" x14ac:dyDescent="0.25">
      <c r="A498" s="143" t="s">
        <v>713</v>
      </c>
      <c r="B498" s="143" t="s">
        <v>71</v>
      </c>
      <c r="C498" s="143" t="s">
        <v>72</v>
      </c>
      <c r="D498" s="143" t="s">
        <v>69</v>
      </c>
      <c r="E498" s="257">
        <v>1171265212</v>
      </c>
      <c r="F498" s="257">
        <v>1160887237</v>
      </c>
      <c r="G498" s="257">
        <v>1152605746</v>
      </c>
      <c r="H498" s="257">
        <v>0</v>
      </c>
      <c r="I498" s="257">
        <v>113672063</v>
      </c>
      <c r="J498" s="257">
        <v>0</v>
      </c>
      <c r="K498" s="257">
        <v>440630053.63</v>
      </c>
      <c r="L498" s="257">
        <v>440630053.63</v>
      </c>
      <c r="M498" s="257">
        <v>606585120.37</v>
      </c>
      <c r="N498" s="257">
        <v>598303629.37</v>
      </c>
    </row>
    <row r="499" spans="1:14" s="143" customFormat="1" hidden="1" x14ac:dyDescent="0.25">
      <c r="A499" s="143" t="s">
        <v>713</v>
      </c>
      <c r="B499" s="143" t="s">
        <v>73</v>
      </c>
      <c r="C499" s="143" t="s">
        <v>74</v>
      </c>
      <c r="D499" s="143" t="s">
        <v>69</v>
      </c>
      <c r="E499" s="257">
        <v>419650432</v>
      </c>
      <c r="F499" s="257">
        <v>414102244</v>
      </c>
      <c r="G499" s="257">
        <v>414102244</v>
      </c>
      <c r="H499" s="257">
        <v>0</v>
      </c>
      <c r="I499" s="257">
        <v>0</v>
      </c>
      <c r="J499" s="257">
        <v>0</v>
      </c>
      <c r="K499" s="257">
        <v>163832275.84</v>
      </c>
      <c r="L499" s="257">
        <v>163832275.84</v>
      </c>
      <c r="M499" s="257">
        <v>250269968.16</v>
      </c>
      <c r="N499" s="257">
        <v>250269968.16</v>
      </c>
    </row>
    <row r="500" spans="1:14" s="143" customFormat="1" hidden="1" x14ac:dyDescent="0.25">
      <c r="A500" s="143" t="s">
        <v>713</v>
      </c>
      <c r="B500" s="143" t="s">
        <v>75</v>
      </c>
      <c r="C500" s="143" t="s">
        <v>76</v>
      </c>
      <c r="D500" s="143" t="s">
        <v>69</v>
      </c>
      <c r="E500" s="257">
        <v>419650432</v>
      </c>
      <c r="F500" s="257">
        <v>414102244</v>
      </c>
      <c r="G500" s="257">
        <v>414102244</v>
      </c>
      <c r="H500" s="257">
        <v>0</v>
      </c>
      <c r="I500" s="257">
        <v>0</v>
      </c>
      <c r="J500" s="257">
        <v>0</v>
      </c>
      <c r="K500" s="257">
        <v>163832275.84</v>
      </c>
      <c r="L500" s="257">
        <v>163832275.84</v>
      </c>
      <c r="M500" s="257">
        <v>250269968.16</v>
      </c>
      <c r="N500" s="257">
        <v>250269968.16</v>
      </c>
    </row>
    <row r="501" spans="1:14" s="143" customFormat="1" hidden="1" x14ac:dyDescent="0.25">
      <c r="A501" s="143" t="s">
        <v>713</v>
      </c>
      <c r="B501" s="143" t="s">
        <v>293</v>
      </c>
      <c r="C501" s="143" t="s">
        <v>294</v>
      </c>
      <c r="D501" s="143" t="s">
        <v>69</v>
      </c>
      <c r="E501" s="257">
        <v>5204100</v>
      </c>
      <c r="F501" s="257">
        <v>5204100</v>
      </c>
      <c r="G501" s="257">
        <v>5204100</v>
      </c>
      <c r="H501" s="257">
        <v>0</v>
      </c>
      <c r="I501" s="257">
        <v>0</v>
      </c>
      <c r="J501" s="257">
        <v>0</v>
      </c>
      <c r="K501" s="257">
        <v>0</v>
      </c>
      <c r="L501" s="257">
        <v>0</v>
      </c>
      <c r="M501" s="257">
        <v>5204100</v>
      </c>
      <c r="N501" s="257">
        <v>5204100</v>
      </c>
    </row>
    <row r="502" spans="1:14" s="143" customFormat="1" hidden="1" x14ac:dyDescent="0.25">
      <c r="A502" s="143" t="s">
        <v>713</v>
      </c>
      <c r="B502" s="143" t="s">
        <v>339</v>
      </c>
      <c r="C502" s="143" t="s">
        <v>340</v>
      </c>
      <c r="D502" s="143" t="s">
        <v>69</v>
      </c>
      <c r="E502" s="257">
        <v>5204100</v>
      </c>
      <c r="F502" s="257">
        <v>5204100</v>
      </c>
      <c r="G502" s="257">
        <v>5204100</v>
      </c>
      <c r="H502" s="257">
        <v>0</v>
      </c>
      <c r="I502" s="257">
        <v>0</v>
      </c>
      <c r="J502" s="257">
        <v>0</v>
      </c>
      <c r="K502" s="257">
        <v>0</v>
      </c>
      <c r="L502" s="257">
        <v>0</v>
      </c>
      <c r="M502" s="257">
        <v>5204100</v>
      </c>
      <c r="N502" s="257">
        <v>5204100</v>
      </c>
    </row>
    <row r="503" spans="1:14" s="143" customFormat="1" hidden="1" x14ac:dyDescent="0.25">
      <c r="A503" s="143" t="s">
        <v>713</v>
      </c>
      <c r="B503" s="143" t="s">
        <v>77</v>
      </c>
      <c r="C503" s="143" t="s">
        <v>78</v>
      </c>
      <c r="D503" s="143" t="s">
        <v>69</v>
      </c>
      <c r="E503" s="257">
        <v>567738543</v>
      </c>
      <c r="F503" s="257">
        <v>564491876</v>
      </c>
      <c r="G503" s="257">
        <v>557473696</v>
      </c>
      <c r="H503" s="257">
        <v>0</v>
      </c>
      <c r="I503" s="257">
        <v>0</v>
      </c>
      <c r="J503" s="257">
        <v>0</v>
      </c>
      <c r="K503" s="257">
        <v>214644134.78999999</v>
      </c>
      <c r="L503" s="257">
        <v>214644134.78999999</v>
      </c>
      <c r="M503" s="257">
        <v>349847741.20999998</v>
      </c>
      <c r="N503" s="257">
        <v>342829561.20999998</v>
      </c>
    </row>
    <row r="504" spans="1:14" s="143" customFormat="1" hidden="1" x14ac:dyDescent="0.25">
      <c r="A504" s="143" t="s">
        <v>713</v>
      </c>
      <c r="B504" s="143" t="s">
        <v>79</v>
      </c>
      <c r="C504" s="143" t="s">
        <v>80</v>
      </c>
      <c r="D504" s="143" t="s">
        <v>69</v>
      </c>
      <c r="E504" s="257">
        <v>176537100</v>
      </c>
      <c r="F504" s="257">
        <v>176537100</v>
      </c>
      <c r="G504" s="257">
        <v>170058581</v>
      </c>
      <c r="H504" s="257">
        <v>0</v>
      </c>
      <c r="I504" s="257">
        <v>0</v>
      </c>
      <c r="J504" s="257">
        <v>0</v>
      </c>
      <c r="K504" s="257">
        <v>61660212.740000002</v>
      </c>
      <c r="L504" s="257">
        <v>61660212.740000002</v>
      </c>
      <c r="M504" s="257">
        <v>114876887.26000001</v>
      </c>
      <c r="N504" s="257">
        <v>108398368.26000001</v>
      </c>
    </row>
    <row r="505" spans="1:14" s="143" customFormat="1" hidden="1" x14ac:dyDescent="0.25">
      <c r="A505" s="143" t="s">
        <v>713</v>
      </c>
      <c r="B505" s="143" t="s">
        <v>81</v>
      </c>
      <c r="C505" s="143" t="s">
        <v>82</v>
      </c>
      <c r="D505" s="143" t="s">
        <v>69</v>
      </c>
      <c r="E505" s="257">
        <v>145353690</v>
      </c>
      <c r="F505" s="257">
        <v>142783300</v>
      </c>
      <c r="G505" s="257">
        <v>142783300</v>
      </c>
      <c r="H505" s="257">
        <v>0</v>
      </c>
      <c r="I505" s="257">
        <v>0</v>
      </c>
      <c r="J505" s="257">
        <v>0</v>
      </c>
      <c r="K505" s="257">
        <v>51614900.950000003</v>
      </c>
      <c r="L505" s="257">
        <v>51614900.950000003</v>
      </c>
      <c r="M505" s="257">
        <v>91168399.049999997</v>
      </c>
      <c r="N505" s="257">
        <v>91168399.049999997</v>
      </c>
    </row>
    <row r="506" spans="1:14" s="143" customFormat="1" hidden="1" x14ac:dyDescent="0.25">
      <c r="A506" s="143" t="s">
        <v>713</v>
      </c>
      <c r="B506" s="143" t="s">
        <v>86</v>
      </c>
      <c r="C506" s="143" t="s">
        <v>87</v>
      </c>
      <c r="D506" s="143" t="s">
        <v>69</v>
      </c>
      <c r="E506" s="257">
        <v>70126000</v>
      </c>
      <c r="F506" s="257">
        <v>70126000</v>
      </c>
      <c r="G506" s="257">
        <v>70126000</v>
      </c>
      <c r="H506" s="257">
        <v>0</v>
      </c>
      <c r="I506" s="257">
        <v>0</v>
      </c>
      <c r="J506" s="257">
        <v>0</v>
      </c>
      <c r="K506" s="257">
        <v>62351269.950000003</v>
      </c>
      <c r="L506" s="257">
        <v>62351269.950000003</v>
      </c>
      <c r="M506" s="257">
        <v>7774730.0499999998</v>
      </c>
      <c r="N506" s="257">
        <v>7774730.0499999998</v>
      </c>
    </row>
    <row r="507" spans="1:14" s="143" customFormat="1" hidden="1" x14ac:dyDescent="0.25">
      <c r="A507" s="143" t="s">
        <v>713</v>
      </c>
      <c r="B507" s="143" t="s">
        <v>88</v>
      </c>
      <c r="C507" s="143" t="s">
        <v>89</v>
      </c>
      <c r="D507" s="143" t="s">
        <v>69</v>
      </c>
      <c r="E507" s="257">
        <v>99397100</v>
      </c>
      <c r="F507" s="257">
        <v>99397100</v>
      </c>
      <c r="G507" s="257">
        <v>99397100</v>
      </c>
      <c r="H507" s="257">
        <v>0</v>
      </c>
      <c r="I507" s="257">
        <v>0</v>
      </c>
      <c r="J507" s="257">
        <v>0</v>
      </c>
      <c r="K507" s="257">
        <v>39017751.149999999</v>
      </c>
      <c r="L507" s="257">
        <v>39017751.149999999</v>
      </c>
      <c r="M507" s="257">
        <v>60379348.850000001</v>
      </c>
      <c r="N507" s="257">
        <v>60379348.850000001</v>
      </c>
    </row>
    <row r="508" spans="1:14" s="143" customFormat="1" hidden="1" x14ac:dyDescent="0.25">
      <c r="A508" s="143" t="s">
        <v>713</v>
      </c>
      <c r="B508" s="143" t="s">
        <v>83</v>
      </c>
      <c r="C508" s="143" t="s">
        <v>84</v>
      </c>
      <c r="D508" s="143" t="s">
        <v>85</v>
      </c>
      <c r="E508" s="257">
        <v>76324653</v>
      </c>
      <c r="F508" s="257">
        <v>75648376</v>
      </c>
      <c r="G508" s="257">
        <v>75108715</v>
      </c>
      <c r="H508" s="257">
        <v>0</v>
      </c>
      <c r="I508" s="257">
        <v>0</v>
      </c>
      <c r="J508" s="257">
        <v>0</v>
      </c>
      <c r="K508" s="257">
        <v>0</v>
      </c>
      <c r="L508" s="257">
        <v>0</v>
      </c>
      <c r="M508" s="257">
        <v>75648376</v>
      </c>
      <c r="N508" s="257">
        <v>75108715</v>
      </c>
    </row>
    <row r="509" spans="1:14" s="143" customFormat="1" hidden="1" x14ac:dyDescent="0.25">
      <c r="A509" s="143" t="s">
        <v>713</v>
      </c>
      <c r="B509" s="143" t="s">
        <v>90</v>
      </c>
      <c r="C509" s="143" t="s">
        <v>91</v>
      </c>
      <c r="D509" s="143" t="s">
        <v>69</v>
      </c>
      <c r="E509" s="257">
        <v>89336069</v>
      </c>
      <c r="F509" s="257">
        <v>88544509</v>
      </c>
      <c r="G509" s="257">
        <v>87912853</v>
      </c>
      <c r="H509" s="257">
        <v>0</v>
      </c>
      <c r="I509" s="257">
        <v>56782190</v>
      </c>
      <c r="J509" s="257">
        <v>0</v>
      </c>
      <c r="K509" s="257">
        <v>31130663</v>
      </c>
      <c r="L509" s="257">
        <v>31130663</v>
      </c>
      <c r="M509" s="257">
        <v>631656</v>
      </c>
      <c r="N509" s="257">
        <v>0</v>
      </c>
    </row>
    <row r="510" spans="1:14" s="143" customFormat="1" hidden="1" x14ac:dyDescent="0.25">
      <c r="A510" s="143" t="s">
        <v>713</v>
      </c>
      <c r="B510" s="143" t="s">
        <v>423</v>
      </c>
      <c r="C510" s="143" t="s">
        <v>697</v>
      </c>
      <c r="D510" s="143" t="s">
        <v>69</v>
      </c>
      <c r="E510" s="257">
        <v>84754804</v>
      </c>
      <c r="F510" s="257">
        <v>84003836</v>
      </c>
      <c r="G510" s="257">
        <v>83404573</v>
      </c>
      <c r="H510" s="257">
        <v>0</v>
      </c>
      <c r="I510" s="257">
        <v>53870354</v>
      </c>
      <c r="J510" s="257">
        <v>0</v>
      </c>
      <c r="K510" s="257">
        <v>29534219</v>
      </c>
      <c r="L510" s="257">
        <v>29534219</v>
      </c>
      <c r="M510" s="257">
        <v>599263</v>
      </c>
      <c r="N510" s="257">
        <v>0</v>
      </c>
    </row>
    <row r="511" spans="1:14" s="143" customFormat="1" hidden="1" x14ac:dyDescent="0.25">
      <c r="A511" s="143" t="s">
        <v>713</v>
      </c>
      <c r="B511" s="143" t="s">
        <v>440</v>
      </c>
      <c r="C511" s="143" t="s">
        <v>95</v>
      </c>
      <c r="D511" s="143" t="s">
        <v>69</v>
      </c>
      <c r="E511" s="257">
        <v>4581265</v>
      </c>
      <c r="F511" s="257">
        <v>4540673</v>
      </c>
      <c r="G511" s="257">
        <v>4508280</v>
      </c>
      <c r="H511" s="257">
        <v>0</v>
      </c>
      <c r="I511" s="257">
        <v>2911836</v>
      </c>
      <c r="J511" s="257">
        <v>0</v>
      </c>
      <c r="K511" s="257">
        <v>1596444</v>
      </c>
      <c r="L511" s="257">
        <v>1596444</v>
      </c>
      <c r="M511" s="257">
        <v>32393</v>
      </c>
      <c r="N511" s="257">
        <v>0</v>
      </c>
    </row>
    <row r="512" spans="1:14" s="143" customFormat="1" hidden="1" x14ac:dyDescent="0.25">
      <c r="A512" s="143" t="s">
        <v>713</v>
      </c>
      <c r="B512" s="143" t="s">
        <v>96</v>
      </c>
      <c r="C512" s="143" t="s">
        <v>97</v>
      </c>
      <c r="D512" s="143" t="s">
        <v>69</v>
      </c>
      <c r="E512" s="257">
        <v>89336068</v>
      </c>
      <c r="F512" s="257">
        <v>88544508</v>
      </c>
      <c r="G512" s="257">
        <v>87912853</v>
      </c>
      <c r="H512" s="257">
        <v>0</v>
      </c>
      <c r="I512" s="257">
        <v>56889873</v>
      </c>
      <c r="J512" s="257">
        <v>0</v>
      </c>
      <c r="K512" s="257">
        <v>31022980</v>
      </c>
      <c r="L512" s="257">
        <v>31022980</v>
      </c>
      <c r="M512" s="257">
        <v>631655</v>
      </c>
      <c r="N512" s="257">
        <v>0</v>
      </c>
    </row>
    <row r="513" spans="1:14" s="143" customFormat="1" hidden="1" x14ac:dyDescent="0.25">
      <c r="A513" s="143" t="s">
        <v>713</v>
      </c>
      <c r="B513" s="143" t="s">
        <v>458</v>
      </c>
      <c r="C513" s="143" t="s">
        <v>698</v>
      </c>
      <c r="D513" s="143" t="s">
        <v>69</v>
      </c>
      <c r="E513" s="257">
        <v>48104083</v>
      </c>
      <c r="F513" s="257">
        <v>47677858</v>
      </c>
      <c r="G513" s="257">
        <v>47337736</v>
      </c>
      <c r="H513" s="257">
        <v>0</v>
      </c>
      <c r="I513" s="257">
        <v>30682755</v>
      </c>
      <c r="J513" s="257">
        <v>0</v>
      </c>
      <c r="K513" s="257">
        <v>16654981</v>
      </c>
      <c r="L513" s="257">
        <v>16654981</v>
      </c>
      <c r="M513" s="257">
        <v>340122</v>
      </c>
      <c r="N513" s="257">
        <v>0</v>
      </c>
    </row>
    <row r="514" spans="1:14" s="143" customFormat="1" hidden="1" x14ac:dyDescent="0.25">
      <c r="A514" s="143" t="s">
        <v>713</v>
      </c>
      <c r="B514" s="143" t="s">
        <v>475</v>
      </c>
      <c r="C514" s="143" t="s">
        <v>699</v>
      </c>
      <c r="D514" s="143" t="s">
        <v>69</v>
      </c>
      <c r="E514" s="257">
        <v>13743995</v>
      </c>
      <c r="F514" s="257">
        <v>13622217</v>
      </c>
      <c r="G514" s="257">
        <v>13525039</v>
      </c>
      <c r="H514" s="257">
        <v>0</v>
      </c>
      <c r="I514" s="257">
        <v>8735706</v>
      </c>
      <c r="J514" s="257">
        <v>0</v>
      </c>
      <c r="K514" s="257">
        <v>4789333</v>
      </c>
      <c r="L514" s="257">
        <v>4789333</v>
      </c>
      <c r="M514" s="257">
        <v>97178</v>
      </c>
      <c r="N514" s="257">
        <v>0</v>
      </c>
    </row>
    <row r="515" spans="1:14" s="143" customFormat="1" hidden="1" x14ac:dyDescent="0.25">
      <c r="A515" s="143" t="s">
        <v>713</v>
      </c>
      <c r="B515" s="143" t="s">
        <v>492</v>
      </c>
      <c r="C515" s="143" t="s">
        <v>700</v>
      </c>
      <c r="D515" s="143" t="s">
        <v>69</v>
      </c>
      <c r="E515" s="257">
        <v>27487990</v>
      </c>
      <c r="F515" s="257">
        <v>27244433</v>
      </c>
      <c r="G515" s="257">
        <v>27050078</v>
      </c>
      <c r="H515" s="257">
        <v>0</v>
      </c>
      <c r="I515" s="257">
        <v>17471412</v>
      </c>
      <c r="J515" s="257">
        <v>0</v>
      </c>
      <c r="K515" s="257">
        <v>9578666</v>
      </c>
      <c r="L515" s="257">
        <v>9578666</v>
      </c>
      <c r="M515" s="257">
        <v>194355</v>
      </c>
      <c r="N515" s="257">
        <v>0</v>
      </c>
    </row>
    <row r="516" spans="1:14" s="143" customFormat="1" hidden="1" x14ac:dyDescent="0.25">
      <c r="A516" s="143" t="s">
        <v>713</v>
      </c>
      <c r="B516" s="143" t="s">
        <v>104</v>
      </c>
      <c r="C516" s="143" t="s">
        <v>105</v>
      </c>
      <c r="D516" s="143" t="s">
        <v>69</v>
      </c>
      <c r="E516" s="257">
        <v>92630000</v>
      </c>
      <c r="F516" s="257">
        <v>92630000</v>
      </c>
      <c r="G516" s="257">
        <v>46815000</v>
      </c>
      <c r="H516" s="257">
        <v>0</v>
      </c>
      <c r="I516" s="257">
        <v>17418385.850000001</v>
      </c>
      <c r="J516" s="257">
        <v>0</v>
      </c>
      <c r="K516" s="257">
        <v>28883704.149999999</v>
      </c>
      <c r="L516" s="257">
        <v>23380342.149999999</v>
      </c>
      <c r="M516" s="257">
        <v>46327910</v>
      </c>
      <c r="N516" s="257">
        <v>512910</v>
      </c>
    </row>
    <row r="517" spans="1:14" s="143" customFormat="1" hidden="1" x14ac:dyDescent="0.25">
      <c r="A517" s="143" t="s">
        <v>713</v>
      </c>
      <c r="B517" s="143" t="s">
        <v>112</v>
      </c>
      <c r="C517" s="143" t="s">
        <v>113</v>
      </c>
      <c r="D517" s="143" t="s">
        <v>69</v>
      </c>
      <c r="E517" s="257">
        <v>92630000</v>
      </c>
      <c r="F517" s="257">
        <v>92630000</v>
      </c>
      <c r="G517" s="257">
        <v>46815000</v>
      </c>
      <c r="H517" s="257">
        <v>0</v>
      </c>
      <c r="I517" s="257">
        <v>17418385.850000001</v>
      </c>
      <c r="J517" s="257">
        <v>0</v>
      </c>
      <c r="K517" s="257">
        <v>28883704.149999999</v>
      </c>
      <c r="L517" s="257">
        <v>23380342.149999999</v>
      </c>
      <c r="M517" s="257">
        <v>46327910</v>
      </c>
      <c r="N517" s="257">
        <v>512910</v>
      </c>
    </row>
    <row r="518" spans="1:14" s="143" customFormat="1" hidden="1" x14ac:dyDescent="0.25">
      <c r="A518" s="143" t="s">
        <v>713</v>
      </c>
      <c r="B518" s="143" t="s">
        <v>114</v>
      </c>
      <c r="C518" s="143" t="s">
        <v>115</v>
      </c>
      <c r="D518" s="143" t="s">
        <v>69</v>
      </c>
      <c r="E518" s="257">
        <v>54520000</v>
      </c>
      <c r="F518" s="257">
        <v>54520000</v>
      </c>
      <c r="G518" s="257">
        <v>27260000</v>
      </c>
      <c r="H518" s="257">
        <v>0</v>
      </c>
      <c r="I518" s="257">
        <v>4631707</v>
      </c>
      <c r="J518" s="257">
        <v>0</v>
      </c>
      <c r="K518" s="257">
        <v>22628293</v>
      </c>
      <c r="L518" s="257">
        <v>17124931</v>
      </c>
      <c r="M518" s="257">
        <v>27260000</v>
      </c>
      <c r="N518" s="257">
        <v>0</v>
      </c>
    </row>
    <row r="519" spans="1:14" s="143" customFormat="1" hidden="1" x14ac:dyDescent="0.25">
      <c r="A519" s="143" t="s">
        <v>713</v>
      </c>
      <c r="B519" s="143" t="s">
        <v>116</v>
      </c>
      <c r="C519" s="143" t="s">
        <v>117</v>
      </c>
      <c r="D519" s="143" t="s">
        <v>69</v>
      </c>
      <c r="E519" s="257">
        <v>34800000</v>
      </c>
      <c r="F519" s="257">
        <v>34800000</v>
      </c>
      <c r="G519" s="257">
        <v>17400000</v>
      </c>
      <c r="H519" s="257">
        <v>0</v>
      </c>
      <c r="I519" s="257">
        <v>11631678.85</v>
      </c>
      <c r="J519" s="257">
        <v>0</v>
      </c>
      <c r="K519" s="257">
        <v>5768321.1500000004</v>
      </c>
      <c r="L519" s="257">
        <v>5768321.1500000004</v>
      </c>
      <c r="M519" s="257">
        <v>17400000</v>
      </c>
      <c r="N519" s="257">
        <v>0</v>
      </c>
    </row>
    <row r="520" spans="1:14" s="143" customFormat="1" hidden="1" x14ac:dyDescent="0.25">
      <c r="A520" s="143" t="s">
        <v>713</v>
      </c>
      <c r="B520" s="143" t="s">
        <v>120</v>
      </c>
      <c r="C520" s="143" t="s">
        <v>121</v>
      </c>
      <c r="D520" s="143" t="s">
        <v>69</v>
      </c>
      <c r="E520" s="257">
        <v>2310000</v>
      </c>
      <c r="F520" s="257">
        <v>2310000</v>
      </c>
      <c r="G520" s="257">
        <v>1155000</v>
      </c>
      <c r="H520" s="257">
        <v>0</v>
      </c>
      <c r="I520" s="257">
        <v>1155000</v>
      </c>
      <c r="J520" s="257">
        <v>0</v>
      </c>
      <c r="K520" s="257">
        <v>0</v>
      </c>
      <c r="L520" s="257">
        <v>0</v>
      </c>
      <c r="M520" s="257">
        <v>1155000</v>
      </c>
      <c r="N520" s="257">
        <v>0</v>
      </c>
    </row>
    <row r="521" spans="1:14" s="143" customFormat="1" hidden="1" x14ac:dyDescent="0.25">
      <c r="A521" s="143" t="s">
        <v>713</v>
      </c>
      <c r="B521" s="143" t="s">
        <v>122</v>
      </c>
      <c r="C521" s="143" t="s">
        <v>123</v>
      </c>
      <c r="D521" s="143" t="s">
        <v>69</v>
      </c>
      <c r="E521" s="257">
        <v>1000000</v>
      </c>
      <c r="F521" s="257">
        <v>1000000</v>
      </c>
      <c r="G521" s="257">
        <v>1000000</v>
      </c>
      <c r="H521" s="257">
        <v>0</v>
      </c>
      <c r="I521" s="257">
        <v>0</v>
      </c>
      <c r="J521" s="257">
        <v>0</v>
      </c>
      <c r="K521" s="257">
        <v>487090</v>
      </c>
      <c r="L521" s="257">
        <v>487090</v>
      </c>
      <c r="M521" s="257">
        <v>512910</v>
      </c>
      <c r="N521" s="257">
        <v>512910</v>
      </c>
    </row>
    <row r="522" spans="1:14" s="143" customFormat="1" hidden="1" x14ac:dyDescent="0.25">
      <c r="A522" s="143" t="s">
        <v>713</v>
      </c>
      <c r="B522" s="143" t="s">
        <v>140</v>
      </c>
      <c r="C522" s="143" t="s">
        <v>141</v>
      </c>
      <c r="D522" s="143" t="s">
        <v>69</v>
      </c>
      <c r="E522" s="257">
        <v>0</v>
      </c>
      <c r="F522" s="257">
        <v>0</v>
      </c>
      <c r="G522" s="257">
        <v>0</v>
      </c>
      <c r="H522" s="257">
        <v>0</v>
      </c>
      <c r="I522" s="257">
        <v>0</v>
      </c>
      <c r="J522" s="257">
        <v>0</v>
      </c>
      <c r="K522" s="257">
        <v>0</v>
      </c>
      <c r="L522" s="257">
        <v>0</v>
      </c>
      <c r="M522" s="257">
        <v>0</v>
      </c>
      <c r="N522" s="257">
        <v>0</v>
      </c>
    </row>
    <row r="523" spans="1:14" s="143" customFormat="1" hidden="1" x14ac:dyDescent="0.25">
      <c r="A523" s="143" t="s">
        <v>713</v>
      </c>
      <c r="B523" s="143" t="s">
        <v>144</v>
      </c>
      <c r="C523" s="143" t="s">
        <v>145</v>
      </c>
      <c r="D523" s="143" t="s">
        <v>69</v>
      </c>
      <c r="E523" s="257">
        <v>0</v>
      </c>
      <c r="F523" s="257">
        <v>0</v>
      </c>
      <c r="G523" s="257">
        <v>0</v>
      </c>
      <c r="H523" s="257">
        <v>0</v>
      </c>
      <c r="I523" s="257">
        <v>0</v>
      </c>
      <c r="J523" s="257">
        <v>0</v>
      </c>
      <c r="K523" s="257">
        <v>0</v>
      </c>
      <c r="L523" s="257">
        <v>0</v>
      </c>
      <c r="M523" s="257">
        <v>0</v>
      </c>
      <c r="N523" s="257">
        <v>0</v>
      </c>
    </row>
    <row r="524" spans="1:14" s="143" customFormat="1" hidden="1" x14ac:dyDescent="0.25">
      <c r="A524" s="143" t="s">
        <v>713</v>
      </c>
      <c r="B524" s="143" t="s">
        <v>184</v>
      </c>
      <c r="C524" s="143" t="s">
        <v>185</v>
      </c>
      <c r="D524" s="143" t="s">
        <v>69</v>
      </c>
      <c r="E524" s="257">
        <v>150099855</v>
      </c>
      <c r="F524" s="257">
        <v>150099855</v>
      </c>
      <c r="G524" s="257">
        <v>88130188</v>
      </c>
      <c r="H524" s="257">
        <v>0</v>
      </c>
      <c r="I524" s="257">
        <v>3076411.04</v>
      </c>
      <c r="J524" s="257">
        <v>0</v>
      </c>
      <c r="K524" s="257">
        <v>53811585.68</v>
      </c>
      <c r="L524" s="257">
        <v>44185245.159999996</v>
      </c>
      <c r="M524" s="257">
        <v>93211858.280000001</v>
      </c>
      <c r="N524" s="257">
        <v>31242191.280000001</v>
      </c>
    </row>
    <row r="525" spans="1:14" s="143" customFormat="1" hidden="1" x14ac:dyDescent="0.25">
      <c r="A525" s="143" t="s">
        <v>713</v>
      </c>
      <c r="B525" s="143" t="s">
        <v>186</v>
      </c>
      <c r="C525" s="143" t="s">
        <v>187</v>
      </c>
      <c r="D525" s="143" t="s">
        <v>69</v>
      </c>
      <c r="E525" s="257">
        <v>568000</v>
      </c>
      <c r="F525" s="257">
        <v>568000</v>
      </c>
      <c r="G525" s="257">
        <v>568000</v>
      </c>
      <c r="H525" s="257">
        <v>0</v>
      </c>
      <c r="I525" s="257">
        <v>0</v>
      </c>
      <c r="J525" s="257">
        <v>0</v>
      </c>
      <c r="K525" s="257">
        <v>0</v>
      </c>
      <c r="L525" s="257">
        <v>0</v>
      </c>
      <c r="M525" s="257">
        <v>568000</v>
      </c>
      <c r="N525" s="257">
        <v>568000</v>
      </c>
    </row>
    <row r="526" spans="1:14" s="143" customFormat="1" hidden="1" x14ac:dyDescent="0.25">
      <c r="A526" s="143" t="s">
        <v>713</v>
      </c>
      <c r="B526" s="143" t="s">
        <v>188</v>
      </c>
      <c r="C526" s="143" t="s">
        <v>189</v>
      </c>
      <c r="D526" s="143" t="s">
        <v>69</v>
      </c>
      <c r="E526" s="257">
        <v>5500</v>
      </c>
      <c r="F526" s="257">
        <v>5500</v>
      </c>
      <c r="G526" s="257">
        <v>5500</v>
      </c>
      <c r="H526" s="257">
        <v>0</v>
      </c>
      <c r="I526" s="257">
        <v>0</v>
      </c>
      <c r="J526" s="257">
        <v>0</v>
      </c>
      <c r="K526" s="257">
        <v>0</v>
      </c>
      <c r="L526" s="257">
        <v>0</v>
      </c>
      <c r="M526" s="257">
        <v>5500</v>
      </c>
      <c r="N526" s="257">
        <v>5500</v>
      </c>
    </row>
    <row r="527" spans="1:14" s="143" customFormat="1" hidden="1" x14ac:dyDescent="0.25">
      <c r="A527" s="143" t="s">
        <v>713</v>
      </c>
      <c r="B527" s="143" t="s">
        <v>190</v>
      </c>
      <c r="C527" s="143" t="s">
        <v>191</v>
      </c>
      <c r="D527" s="143" t="s">
        <v>69</v>
      </c>
      <c r="E527" s="257">
        <v>147500</v>
      </c>
      <c r="F527" s="257">
        <v>562500</v>
      </c>
      <c r="G527" s="257">
        <v>562500</v>
      </c>
      <c r="H527" s="257">
        <v>0</v>
      </c>
      <c r="I527" s="257">
        <v>0</v>
      </c>
      <c r="J527" s="257">
        <v>0</v>
      </c>
      <c r="K527" s="257">
        <v>0</v>
      </c>
      <c r="L527" s="257">
        <v>0</v>
      </c>
      <c r="M527" s="257">
        <v>562500</v>
      </c>
      <c r="N527" s="257">
        <v>562500</v>
      </c>
    </row>
    <row r="528" spans="1:14" s="143" customFormat="1" hidden="1" x14ac:dyDescent="0.25">
      <c r="A528" s="143" t="s">
        <v>713</v>
      </c>
      <c r="B528" s="143" t="s">
        <v>194</v>
      </c>
      <c r="C528" s="143" t="s">
        <v>195</v>
      </c>
      <c r="D528" s="143" t="s">
        <v>69</v>
      </c>
      <c r="E528" s="257">
        <v>415000</v>
      </c>
      <c r="F528" s="257">
        <v>0</v>
      </c>
      <c r="G528" s="257">
        <v>0</v>
      </c>
      <c r="H528" s="257">
        <v>0</v>
      </c>
      <c r="I528" s="257">
        <v>0</v>
      </c>
      <c r="J528" s="257">
        <v>0</v>
      </c>
      <c r="K528" s="257">
        <v>0</v>
      </c>
      <c r="L528" s="257">
        <v>0</v>
      </c>
      <c r="M528" s="257">
        <v>0</v>
      </c>
      <c r="N528" s="257">
        <v>0</v>
      </c>
    </row>
    <row r="529" spans="1:14" s="143" customFormat="1" hidden="1" x14ac:dyDescent="0.25">
      <c r="A529" s="143" t="s">
        <v>713</v>
      </c>
      <c r="B529" s="143" t="s">
        <v>196</v>
      </c>
      <c r="C529" s="143" t="s">
        <v>197</v>
      </c>
      <c r="D529" s="143" t="s">
        <v>69</v>
      </c>
      <c r="E529" s="257">
        <v>148180115</v>
      </c>
      <c r="F529" s="257">
        <v>148180115</v>
      </c>
      <c r="G529" s="257">
        <v>86210448</v>
      </c>
      <c r="H529" s="257">
        <v>0</v>
      </c>
      <c r="I529" s="257">
        <v>3076411.04</v>
      </c>
      <c r="J529" s="257">
        <v>0</v>
      </c>
      <c r="K529" s="257">
        <v>53811585.68</v>
      </c>
      <c r="L529" s="257">
        <v>44185245.159999996</v>
      </c>
      <c r="M529" s="257">
        <v>91292118.280000001</v>
      </c>
      <c r="N529" s="257">
        <v>29322451.280000001</v>
      </c>
    </row>
    <row r="530" spans="1:14" s="143" customFormat="1" hidden="1" x14ac:dyDescent="0.25">
      <c r="A530" s="143" t="s">
        <v>713</v>
      </c>
      <c r="B530" s="143" t="s">
        <v>198</v>
      </c>
      <c r="C530" s="143" t="s">
        <v>199</v>
      </c>
      <c r="D530" s="143" t="s">
        <v>69</v>
      </c>
      <c r="E530" s="257">
        <v>148180115</v>
      </c>
      <c r="F530" s="257">
        <v>148180115</v>
      </c>
      <c r="G530" s="257">
        <v>86210448</v>
      </c>
      <c r="H530" s="257">
        <v>0</v>
      </c>
      <c r="I530" s="257">
        <v>3076411.04</v>
      </c>
      <c r="J530" s="257">
        <v>0</v>
      </c>
      <c r="K530" s="257">
        <v>53811585.68</v>
      </c>
      <c r="L530" s="257">
        <v>44185245.159999996</v>
      </c>
      <c r="M530" s="257">
        <v>91292118.280000001</v>
      </c>
      <c r="N530" s="257">
        <v>29322451.280000001</v>
      </c>
    </row>
    <row r="531" spans="1:14" s="143" customFormat="1" hidden="1" x14ac:dyDescent="0.25">
      <c r="A531" s="143" t="s">
        <v>713</v>
      </c>
      <c r="B531" s="143" t="s">
        <v>212</v>
      </c>
      <c r="C531" s="143" t="s">
        <v>213</v>
      </c>
      <c r="D531" s="143" t="s">
        <v>69</v>
      </c>
      <c r="E531" s="257">
        <v>1351740</v>
      </c>
      <c r="F531" s="257">
        <v>1351740</v>
      </c>
      <c r="G531" s="257">
        <v>1351740</v>
      </c>
      <c r="H531" s="257">
        <v>0</v>
      </c>
      <c r="I531" s="257">
        <v>0</v>
      </c>
      <c r="J531" s="257">
        <v>0</v>
      </c>
      <c r="K531" s="257">
        <v>0</v>
      </c>
      <c r="L531" s="257">
        <v>0</v>
      </c>
      <c r="M531" s="257">
        <v>1351740</v>
      </c>
      <c r="N531" s="257">
        <v>1351740</v>
      </c>
    </row>
    <row r="532" spans="1:14" s="143" customFormat="1" hidden="1" x14ac:dyDescent="0.25">
      <c r="A532" s="143" t="s">
        <v>713</v>
      </c>
      <c r="B532" s="143" t="s">
        <v>216</v>
      </c>
      <c r="C532" s="143" t="s">
        <v>217</v>
      </c>
      <c r="D532" s="143" t="s">
        <v>69</v>
      </c>
      <c r="E532" s="257">
        <v>708740</v>
      </c>
      <c r="F532" s="257">
        <v>708740</v>
      </c>
      <c r="G532" s="257">
        <v>708740</v>
      </c>
      <c r="H532" s="257">
        <v>0</v>
      </c>
      <c r="I532" s="257">
        <v>0</v>
      </c>
      <c r="J532" s="257">
        <v>0</v>
      </c>
      <c r="K532" s="257">
        <v>0</v>
      </c>
      <c r="L532" s="257">
        <v>0</v>
      </c>
      <c r="M532" s="257">
        <v>708740</v>
      </c>
      <c r="N532" s="257">
        <v>708740</v>
      </c>
    </row>
    <row r="533" spans="1:14" s="143" customFormat="1" hidden="1" x14ac:dyDescent="0.25">
      <c r="A533" s="143" t="s">
        <v>713</v>
      </c>
      <c r="B533" s="143" t="s">
        <v>218</v>
      </c>
      <c r="C533" s="143" t="s">
        <v>219</v>
      </c>
      <c r="D533" s="143" t="s">
        <v>69</v>
      </c>
      <c r="E533" s="257">
        <v>616000</v>
      </c>
      <c r="F533" s="257">
        <v>616000</v>
      </c>
      <c r="G533" s="257">
        <v>616000</v>
      </c>
      <c r="H533" s="257">
        <v>0</v>
      </c>
      <c r="I533" s="257">
        <v>0</v>
      </c>
      <c r="J533" s="257">
        <v>0</v>
      </c>
      <c r="K533" s="257">
        <v>0</v>
      </c>
      <c r="L533" s="257">
        <v>0</v>
      </c>
      <c r="M533" s="257">
        <v>616000</v>
      </c>
      <c r="N533" s="257">
        <v>616000</v>
      </c>
    </row>
    <row r="534" spans="1:14" s="143" customFormat="1" hidden="1" x14ac:dyDescent="0.25">
      <c r="A534" s="143" t="s">
        <v>713</v>
      </c>
      <c r="B534" s="143" t="s">
        <v>224</v>
      </c>
      <c r="C534" s="143" t="s">
        <v>225</v>
      </c>
      <c r="D534" s="143" t="s">
        <v>69</v>
      </c>
      <c r="E534" s="257">
        <v>27000</v>
      </c>
      <c r="F534" s="257">
        <v>27000</v>
      </c>
      <c r="G534" s="257">
        <v>27000</v>
      </c>
      <c r="H534" s="257">
        <v>0</v>
      </c>
      <c r="I534" s="257">
        <v>0</v>
      </c>
      <c r="J534" s="257">
        <v>0</v>
      </c>
      <c r="K534" s="257">
        <v>0</v>
      </c>
      <c r="L534" s="257">
        <v>0</v>
      </c>
      <c r="M534" s="257">
        <v>27000</v>
      </c>
      <c r="N534" s="257">
        <v>27000</v>
      </c>
    </row>
    <row r="535" spans="1:14" s="143" customFormat="1" hidden="1" x14ac:dyDescent="0.25">
      <c r="A535" s="143" t="s">
        <v>713</v>
      </c>
      <c r="B535" s="143" t="s">
        <v>248</v>
      </c>
      <c r="C535" s="143" t="s">
        <v>249</v>
      </c>
      <c r="D535" s="143" t="s">
        <v>69</v>
      </c>
      <c r="E535" s="257">
        <v>19709963</v>
      </c>
      <c r="F535" s="257">
        <v>19575196</v>
      </c>
      <c r="G535" s="257">
        <v>19467652</v>
      </c>
      <c r="H535" s="257">
        <v>0</v>
      </c>
      <c r="I535" s="257">
        <v>9775140</v>
      </c>
      <c r="J535" s="257">
        <v>0</v>
      </c>
      <c r="K535" s="257">
        <v>8363379</v>
      </c>
      <c r="L535" s="257">
        <v>8363379</v>
      </c>
      <c r="M535" s="257">
        <v>1436677</v>
      </c>
      <c r="N535" s="257">
        <v>1329133</v>
      </c>
    </row>
    <row r="536" spans="1:14" s="143" customFormat="1" hidden="1" x14ac:dyDescent="0.25">
      <c r="A536" s="143" t="s">
        <v>713</v>
      </c>
      <c r="B536" s="143" t="s">
        <v>250</v>
      </c>
      <c r="C536" s="143" t="s">
        <v>251</v>
      </c>
      <c r="D536" s="143" t="s">
        <v>69</v>
      </c>
      <c r="E536" s="257">
        <v>15209963</v>
      </c>
      <c r="F536" s="257">
        <v>15075196</v>
      </c>
      <c r="G536" s="257">
        <v>14967652</v>
      </c>
      <c r="H536" s="257">
        <v>0</v>
      </c>
      <c r="I536" s="257">
        <v>9775140</v>
      </c>
      <c r="J536" s="257">
        <v>0</v>
      </c>
      <c r="K536" s="257">
        <v>5192512</v>
      </c>
      <c r="L536" s="257">
        <v>5192512</v>
      </c>
      <c r="M536" s="257">
        <v>107544</v>
      </c>
      <c r="N536" s="257">
        <v>0</v>
      </c>
    </row>
    <row r="537" spans="1:14" s="143" customFormat="1" hidden="1" x14ac:dyDescent="0.25">
      <c r="A537" s="143" t="s">
        <v>713</v>
      </c>
      <c r="B537" s="143" t="s">
        <v>632</v>
      </c>
      <c r="C537" s="143" t="s">
        <v>702</v>
      </c>
      <c r="D537" s="143" t="s">
        <v>69</v>
      </c>
      <c r="E537" s="257">
        <v>12919331</v>
      </c>
      <c r="F537" s="257">
        <v>12804860</v>
      </c>
      <c r="G537" s="257">
        <v>12713512</v>
      </c>
      <c r="H537" s="257">
        <v>0</v>
      </c>
      <c r="I537" s="257">
        <v>8319222</v>
      </c>
      <c r="J537" s="257">
        <v>0</v>
      </c>
      <c r="K537" s="257">
        <v>4394290</v>
      </c>
      <c r="L537" s="257">
        <v>4394290</v>
      </c>
      <c r="M537" s="257">
        <v>91348</v>
      </c>
      <c r="N537" s="257">
        <v>0</v>
      </c>
    </row>
    <row r="538" spans="1:14" s="143" customFormat="1" hidden="1" x14ac:dyDescent="0.25">
      <c r="A538" s="143" t="s">
        <v>713</v>
      </c>
      <c r="B538" s="143" t="s">
        <v>647</v>
      </c>
      <c r="C538" s="143" t="s">
        <v>703</v>
      </c>
      <c r="D538" s="143" t="s">
        <v>69</v>
      </c>
      <c r="E538" s="257">
        <v>2290632</v>
      </c>
      <c r="F538" s="257">
        <v>2270336</v>
      </c>
      <c r="G538" s="257">
        <v>2254140</v>
      </c>
      <c r="H538" s="257">
        <v>0</v>
      </c>
      <c r="I538" s="257">
        <v>1455918</v>
      </c>
      <c r="J538" s="257">
        <v>0</v>
      </c>
      <c r="K538" s="257">
        <v>798222</v>
      </c>
      <c r="L538" s="257">
        <v>798222</v>
      </c>
      <c r="M538" s="257">
        <v>16196</v>
      </c>
      <c r="N538" s="257">
        <v>0</v>
      </c>
    </row>
    <row r="539" spans="1:14" s="143" customFormat="1" hidden="1" x14ac:dyDescent="0.25">
      <c r="A539" s="143" t="s">
        <v>713</v>
      </c>
      <c r="B539" s="143" t="s">
        <v>260</v>
      </c>
      <c r="C539" s="143" t="s">
        <v>261</v>
      </c>
      <c r="D539" s="143" t="s">
        <v>69</v>
      </c>
      <c r="E539" s="257">
        <v>4500000</v>
      </c>
      <c r="F539" s="257">
        <v>4500000</v>
      </c>
      <c r="G539" s="257">
        <v>4500000</v>
      </c>
      <c r="H539" s="257">
        <v>0</v>
      </c>
      <c r="I539" s="257">
        <v>0</v>
      </c>
      <c r="J539" s="257">
        <v>0</v>
      </c>
      <c r="K539" s="257">
        <v>3170867</v>
      </c>
      <c r="L539" s="257">
        <v>3170867</v>
      </c>
      <c r="M539" s="257">
        <v>1329133</v>
      </c>
      <c r="N539" s="257">
        <v>1329133</v>
      </c>
    </row>
    <row r="540" spans="1:14" s="143" customFormat="1" hidden="1" x14ac:dyDescent="0.25">
      <c r="A540" s="143" t="s">
        <v>713</v>
      </c>
      <c r="B540" s="143" t="s">
        <v>264</v>
      </c>
      <c r="C540" s="143" t="s">
        <v>265</v>
      </c>
      <c r="D540" s="143" t="s">
        <v>69</v>
      </c>
      <c r="E540" s="257">
        <v>4500000</v>
      </c>
      <c r="F540" s="257">
        <v>4500000</v>
      </c>
      <c r="G540" s="257">
        <v>4500000</v>
      </c>
      <c r="H540" s="257">
        <v>0</v>
      </c>
      <c r="I540" s="257">
        <v>0</v>
      </c>
      <c r="J540" s="257">
        <v>0</v>
      </c>
      <c r="K540" s="257">
        <v>3170867</v>
      </c>
      <c r="L540" s="257">
        <v>3170867</v>
      </c>
      <c r="M540" s="257">
        <v>1329133</v>
      </c>
      <c r="N540" s="257">
        <v>1329133</v>
      </c>
    </row>
    <row r="541" spans="1:14" s="143" customFormat="1" hidden="1" x14ac:dyDescent="0.25">
      <c r="A541" s="143" t="s">
        <v>713</v>
      </c>
      <c r="B541" s="143" t="s">
        <v>230</v>
      </c>
      <c r="C541" s="143" t="s">
        <v>231</v>
      </c>
      <c r="D541" s="143" t="s">
        <v>85</v>
      </c>
      <c r="E541" s="257">
        <v>535000</v>
      </c>
      <c r="F541" s="257">
        <v>535000</v>
      </c>
      <c r="G541" s="257">
        <v>535000</v>
      </c>
      <c r="H541" s="257">
        <v>0</v>
      </c>
      <c r="I541" s="257">
        <v>0</v>
      </c>
      <c r="J541" s="257">
        <v>0</v>
      </c>
      <c r="K541" s="257">
        <v>0</v>
      </c>
      <c r="L541" s="257">
        <v>0</v>
      </c>
      <c r="M541" s="257">
        <v>535000</v>
      </c>
      <c r="N541" s="257">
        <v>535000</v>
      </c>
    </row>
    <row r="542" spans="1:14" s="143" customFormat="1" hidden="1" x14ac:dyDescent="0.25">
      <c r="A542" s="143" t="s">
        <v>713</v>
      </c>
      <c r="B542" s="143" t="s">
        <v>232</v>
      </c>
      <c r="C542" s="143" t="s">
        <v>233</v>
      </c>
      <c r="D542" s="143" t="s">
        <v>85</v>
      </c>
      <c r="E542" s="257">
        <v>535000</v>
      </c>
      <c r="F542" s="257">
        <v>535000</v>
      </c>
      <c r="G542" s="257">
        <v>535000</v>
      </c>
      <c r="H542" s="257">
        <v>0</v>
      </c>
      <c r="I542" s="257">
        <v>0</v>
      </c>
      <c r="J542" s="257">
        <v>0</v>
      </c>
      <c r="K542" s="257">
        <v>0</v>
      </c>
      <c r="L542" s="257">
        <v>0</v>
      </c>
      <c r="M542" s="257">
        <v>535000</v>
      </c>
      <c r="N542" s="257">
        <v>535000</v>
      </c>
    </row>
    <row r="543" spans="1:14" s="143" customFormat="1" hidden="1" x14ac:dyDescent="0.25">
      <c r="A543" s="143" t="s">
        <v>713</v>
      </c>
      <c r="B543" s="143" t="s">
        <v>326</v>
      </c>
      <c r="C543" s="143" t="s">
        <v>327</v>
      </c>
      <c r="D543" s="143" t="s">
        <v>85</v>
      </c>
      <c r="E543" s="257">
        <v>535000</v>
      </c>
      <c r="F543" s="257">
        <v>535000</v>
      </c>
      <c r="G543" s="257">
        <v>535000</v>
      </c>
      <c r="H543" s="257">
        <v>0</v>
      </c>
      <c r="I543" s="257">
        <v>0</v>
      </c>
      <c r="J543" s="257">
        <v>0</v>
      </c>
      <c r="K543" s="257">
        <v>0</v>
      </c>
      <c r="L543" s="257">
        <v>0</v>
      </c>
      <c r="M543" s="257">
        <v>535000</v>
      </c>
      <c r="N543" s="257">
        <v>535000</v>
      </c>
    </row>
    <row r="544" spans="1:14" s="143" customFormat="1" x14ac:dyDescent="0.25">
      <c r="A544" s="487">
        <v>214789004</v>
      </c>
      <c r="D544" s="44" t="s">
        <v>69</v>
      </c>
      <c r="E544" s="257">
        <v>2343912564</v>
      </c>
      <c r="F544" s="50">
        <v>2290819963</v>
      </c>
      <c r="G544" s="257">
        <v>2054844307</v>
      </c>
      <c r="H544" s="50">
        <v>19116607.539999999</v>
      </c>
      <c r="I544" s="50">
        <v>224716999.84</v>
      </c>
      <c r="J544" s="50">
        <v>0</v>
      </c>
      <c r="K544" s="50">
        <v>837789496.13999999</v>
      </c>
      <c r="L544" s="50">
        <v>825158075.46000004</v>
      </c>
      <c r="M544" s="50">
        <v>1209196859.48</v>
      </c>
      <c r="N544" s="257">
        <v>973221203.48000002</v>
      </c>
    </row>
    <row r="545" spans="1:14" s="143" customFormat="1" hidden="1" x14ac:dyDescent="0.25">
      <c r="A545" s="143" t="s">
        <v>714</v>
      </c>
      <c r="B545" s="143" t="s">
        <v>71</v>
      </c>
      <c r="C545" s="143" t="s">
        <v>72</v>
      </c>
      <c r="D545" s="143" t="s">
        <v>69</v>
      </c>
      <c r="E545" s="257">
        <v>1911246104</v>
      </c>
      <c r="F545" s="257">
        <v>1874431575</v>
      </c>
      <c r="G545" s="257">
        <v>1860273235</v>
      </c>
      <c r="H545" s="257">
        <v>0</v>
      </c>
      <c r="I545" s="257">
        <v>178253300</v>
      </c>
      <c r="J545" s="257">
        <v>0</v>
      </c>
      <c r="K545" s="257">
        <v>742551116.65999997</v>
      </c>
      <c r="L545" s="257">
        <v>742551116.65999997</v>
      </c>
      <c r="M545" s="257">
        <v>953627158.34000003</v>
      </c>
      <c r="N545" s="257">
        <v>939468818.34000003</v>
      </c>
    </row>
    <row r="546" spans="1:14" s="143" customFormat="1" hidden="1" x14ac:dyDescent="0.25">
      <c r="A546" s="143" t="s">
        <v>714</v>
      </c>
      <c r="B546" s="143" t="s">
        <v>73</v>
      </c>
      <c r="C546" s="143" t="s">
        <v>74</v>
      </c>
      <c r="D546" s="143" t="s">
        <v>69</v>
      </c>
      <c r="E546" s="257">
        <v>693088616</v>
      </c>
      <c r="F546" s="257">
        <v>672914792</v>
      </c>
      <c r="G546" s="257">
        <v>672914792</v>
      </c>
      <c r="H546" s="257">
        <v>0</v>
      </c>
      <c r="I546" s="257">
        <v>0</v>
      </c>
      <c r="J546" s="257">
        <v>0</v>
      </c>
      <c r="K546" s="257">
        <v>270840061.63999999</v>
      </c>
      <c r="L546" s="257">
        <v>270840061.63999999</v>
      </c>
      <c r="M546" s="257">
        <v>402074730.36000001</v>
      </c>
      <c r="N546" s="257">
        <v>402074730.36000001</v>
      </c>
    </row>
    <row r="547" spans="1:14" s="143" customFormat="1" hidden="1" x14ac:dyDescent="0.25">
      <c r="A547" s="143" t="s">
        <v>714</v>
      </c>
      <c r="B547" s="143" t="s">
        <v>75</v>
      </c>
      <c r="C547" s="143" t="s">
        <v>76</v>
      </c>
      <c r="D547" s="143" t="s">
        <v>69</v>
      </c>
      <c r="E547" s="257">
        <v>693088616</v>
      </c>
      <c r="F547" s="257">
        <v>672914792</v>
      </c>
      <c r="G547" s="257">
        <v>672914792</v>
      </c>
      <c r="H547" s="257">
        <v>0</v>
      </c>
      <c r="I547" s="257">
        <v>0</v>
      </c>
      <c r="J547" s="257">
        <v>0</v>
      </c>
      <c r="K547" s="257">
        <v>270840061.63999999</v>
      </c>
      <c r="L547" s="257">
        <v>270840061.63999999</v>
      </c>
      <c r="M547" s="257">
        <v>402074730.36000001</v>
      </c>
      <c r="N547" s="257">
        <v>402074730.36000001</v>
      </c>
    </row>
    <row r="548" spans="1:14" s="143" customFormat="1" hidden="1" x14ac:dyDescent="0.25">
      <c r="A548" s="143" t="s">
        <v>714</v>
      </c>
      <c r="B548" s="143" t="s">
        <v>293</v>
      </c>
      <c r="C548" s="143" t="s">
        <v>294</v>
      </c>
      <c r="D548" s="143" t="s">
        <v>69</v>
      </c>
      <c r="E548" s="257">
        <v>2572600</v>
      </c>
      <c r="F548" s="257">
        <v>2572600</v>
      </c>
      <c r="G548" s="257">
        <v>2572600</v>
      </c>
      <c r="H548" s="257">
        <v>0</v>
      </c>
      <c r="I548" s="257">
        <v>0</v>
      </c>
      <c r="J548" s="257">
        <v>0</v>
      </c>
      <c r="K548" s="257">
        <v>808537.5</v>
      </c>
      <c r="L548" s="257">
        <v>808537.5</v>
      </c>
      <c r="M548" s="257">
        <v>1764062.5</v>
      </c>
      <c r="N548" s="257">
        <v>1764062.5</v>
      </c>
    </row>
    <row r="549" spans="1:14" s="143" customFormat="1" hidden="1" x14ac:dyDescent="0.25">
      <c r="A549" s="143" t="s">
        <v>714</v>
      </c>
      <c r="B549" s="143" t="s">
        <v>339</v>
      </c>
      <c r="C549" s="143" t="s">
        <v>340</v>
      </c>
      <c r="D549" s="143" t="s">
        <v>69</v>
      </c>
      <c r="E549" s="257">
        <v>2572600</v>
      </c>
      <c r="F549" s="257">
        <v>2572600</v>
      </c>
      <c r="G549" s="257">
        <v>2572600</v>
      </c>
      <c r="H549" s="257">
        <v>0</v>
      </c>
      <c r="I549" s="257">
        <v>0</v>
      </c>
      <c r="J549" s="257">
        <v>0</v>
      </c>
      <c r="K549" s="257">
        <v>808537.5</v>
      </c>
      <c r="L549" s="257">
        <v>808537.5</v>
      </c>
      <c r="M549" s="257">
        <v>1764062.5</v>
      </c>
      <c r="N549" s="257">
        <v>1764062.5</v>
      </c>
    </row>
    <row r="550" spans="1:14" s="143" customFormat="1" hidden="1" x14ac:dyDescent="0.25">
      <c r="A550" s="143" t="s">
        <v>714</v>
      </c>
      <c r="B550" s="143" t="s">
        <v>77</v>
      </c>
      <c r="C550" s="143" t="s">
        <v>78</v>
      </c>
      <c r="D550" s="143" t="s">
        <v>69</v>
      </c>
      <c r="E550" s="257">
        <v>924031359</v>
      </c>
      <c r="F550" s="257">
        <v>913006573</v>
      </c>
      <c r="G550" s="257">
        <v>901008037</v>
      </c>
      <c r="H550" s="257">
        <v>0</v>
      </c>
      <c r="I550" s="257">
        <v>0</v>
      </c>
      <c r="J550" s="257">
        <v>0</v>
      </c>
      <c r="K550" s="257">
        <v>365378011.51999998</v>
      </c>
      <c r="L550" s="257">
        <v>365378011.51999998</v>
      </c>
      <c r="M550" s="257">
        <v>547628561.48000002</v>
      </c>
      <c r="N550" s="257">
        <v>535630025.48000002</v>
      </c>
    </row>
    <row r="551" spans="1:14" s="143" customFormat="1" hidden="1" x14ac:dyDescent="0.25">
      <c r="A551" s="143" t="s">
        <v>714</v>
      </c>
      <c r="B551" s="143" t="s">
        <v>79</v>
      </c>
      <c r="C551" s="143" t="s">
        <v>80</v>
      </c>
      <c r="D551" s="143" t="s">
        <v>69</v>
      </c>
      <c r="E551" s="257">
        <v>322806400</v>
      </c>
      <c r="F551" s="257">
        <v>322806400</v>
      </c>
      <c r="G551" s="257">
        <v>311730487</v>
      </c>
      <c r="H551" s="257">
        <v>0</v>
      </c>
      <c r="I551" s="257">
        <v>0</v>
      </c>
      <c r="J551" s="257">
        <v>0</v>
      </c>
      <c r="K551" s="257">
        <v>116258012.44</v>
      </c>
      <c r="L551" s="257">
        <v>116258012.44</v>
      </c>
      <c r="M551" s="257">
        <v>206548387.56</v>
      </c>
      <c r="N551" s="257">
        <v>195472474.56</v>
      </c>
    </row>
    <row r="552" spans="1:14" s="143" customFormat="1" hidden="1" x14ac:dyDescent="0.25">
      <c r="A552" s="143" t="s">
        <v>714</v>
      </c>
      <c r="B552" s="143" t="s">
        <v>81</v>
      </c>
      <c r="C552" s="143" t="s">
        <v>82</v>
      </c>
      <c r="D552" s="143" t="s">
        <v>69</v>
      </c>
      <c r="E552" s="257">
        <v>234712205</v>
      </c>
      <c r="F552" s="257">
        <v>227111190</v>
      </c>
      <c r="G552" s="257">
        <v>227111190</v>
      </c>
      <c r="H552" s="257">
        <v>0</v>
      </c>
      <c r="I552" s="257">
        <v>0</v>
      </c>
      <c r="J552" s="257">
        <v>0</v>
      </c>
      <c r="K552" s="257">
        <v>96975183.030000001</v>
      </c>
      <c r="L552" s="257">
        <v>96975183.030000001</v>
      </c>
      <c r="M552" s="257">
        <v>130136006.97</v>
      </c>
      <c r="N552" s="257">
        <v>130136006.97</v>
      </c>
    </row>
    <row r="553" spans="1:14" s="143" customFormat="1" hidden="1" x14ac:dyDescent="0.25">
      <c r="A553" s="143" t="s">
        <v>714</v>
      </c>
      <c r="B553" s="143" t="s">
        <v>86</v>
      </c>
      <c r="C553" s="143" t="s">
        <v>87</v>
      </c>
      <c r="D553" s="143" t="s">
        <v>69</v>
      </c>
      <c r="E553" s="257">
        <v>114340800</v>
      </c>
      <c r="F553" s="257">
        <v>114340800</v>
      </c>
      <c r="G553" s="257">
        <v>114340800</v>
      </c>
      <c r="H553" s="257">
        <v>0</v>
      </c>
      <c r="I553" s="257">
        <v>0</v>
      </c>
      <c r="J553" s="257">
        <v>0</v>
      </c>
      <c r="K553" s="257">
        <v>100891549.97</v>
      </c>
      <c r="L553" s="257">
        <v>100891549.97</v>
      </c>
      <c r="M553" s="257">
        <v>13449250.029999999</v>
      </c>
      <c r="N553" s="257">
        <v>13449250.029999999</v>
      </c>
    </row>
    <row r="554" spans="1:14" s="143" customFormat="1" hidden="1" x14ac:dyDescent="0.25">
      <c r="A554" s="143" t="s">
        <v>714</v>
      </c>
      <c r="B554" s="143" t="s">
        <v>88</v>
      </c>
      <c r="C554" s="143" t="s">
        <v>89</v>
      </c>
      <c r="D554" s="143" t="s">
        <v>69</v>
      </c>
      <c r="E554" s="257">
        <v>127626300</v>
      </c>
      <c r="F554" s="257">
        <v>126601536</v>
      </c>
      <c r="G554" s="257">
        <v>126601536</v>
      </c>
      <c r="H554" s="257">
        <v>0</v>
      </c>
      <c r="I554" s="257">
        <v>0</v>
      </c>
      <c r="J554" s="257">
        <v>0</v>
      </c>
      <c r="K554" s="257">
        <v>51253266.079999998</v>
      </c>
      <c r="L554" s="257">
        <v>51253266.079999998</v>
      </c>
      <c r="M554" s="257">
        <v>75348269.920000002</v>
      </c>
      <c r="N554" s="257">
        <v>75348269.920000002</v>
      </c>
    </row>
    <row r="555" spans="1:14" s="143" customFormat="1" hidden="1" x14ac:dyDescent="0.25">
      <c r="A555" s="143" t="s">
        <v>714</v>
      </c>
      <c r="B555" s="143" t="s">
        <v>83</v>
      </c>
      <c r="C555" s="143" t="s">
        <v>84</v>
      </c>
      <c r="D555" s="143" t="s">
        <v>85</v>
      </c>
      <c r="E555" s="257">
        <v>124545654</v>
      </c>
      <c r="F555" s="257">
        <v>122146647</v>
      </c>
      <c r="G555" s="257">
        <v>121224024</v>
      </c>
      <c r="H555" s="257">
        <v>0</v>
      </c>
      <c r="I555" s="257">
        <v>0</v>
      </c>
      <c r="J555" s="257">
        <v>0</v>
      </c>
      <c r="K555" s="257">
        <v>0</v>
      </c>
      <c r="L555" s="257">
        <v>0</v>
      </c>
      <c r="M555" s="257">
        <v>122146647</v>
      </c>
      <c r="N555" s="257">
        <v>121224024</v>
      </c>
    </row>
    <row r="556" spans="1:14" s="143" customFormat="1" hidden="1" x14ac:dyDescent="0.25">
      <c r="A556" s="143" t="s">
        <v>714</v>
      </c>
      <c r="B556" s="143" t="s">
        <v>90</v>
      </c>
      <c r="C556" s="143" t="s">
        <v>91</v>
      </c>
      <c r="D556" s="143" t="s">
        <v>69</v>
      </c>
      <c r="E556" s="257">
        <v>145776815</v>
      </c>
      <c r="F556" s="257">
        <v>142968855</v>
      </c>
      <c r="G556" s="257">
        <v>141888953</v>
      </c>
      <c r="H556" s="257">
        <v>0</v>
      </c>
      <c r="I556" s="257">
        <v>89033148</v>
      </c>
      <c r="J556" s="257">
        <v>0</v>
      </c>
      <c r="K556" s="257">
        <v>52855805</v>
      </c>
      <c r="L556" s="257">
        <v>52855805</v>
      </c>
      <c r="M556" s="257">
        <v>1079902</v>
      </c>
      <c r="N556" s="257">
        <v>0</v>
      </c>
    </row>
    <row r="557" spans="1:14" s="143" customFormat="1" hidden="1" x14ac:dyDescent="0.25">
      <c r="A557" s="143" t="s">
        <v>714</v>
      </c>
      <c r="B557" s="143" t="s">
        <v>424</v>
      </c>
      <c r="C557" s="143" t="s">
        <v>697</v>
      </c>
      <c r="D557" s="143" t="s">
        <v>69</v>
      </c>
      <c r="E557" s="257">
        <v>138301084</v>
      </c>
      <c r="F557" s="257">
        <v>135637121</v>
      </c>
      <c r="G557" s="257">
        <v>134612599</v>
      </c>
      <c r="H557" s="257">
        <v>0</v>
      </c>
      <c r="I557" s="257">
        <v>84467349</v>
      </c>
      <c r="J557" s="257">
        <v>0</v>
      </c>
      <c r="K557" s="257">
        <v>50145250</v>
      </c>
      <c r="L557" s="257">
        <v>50145250</v>
      </c>
      <c r="M557" s="257">
        <v>1024522</v>
      </c>
      <c r="N557" s="257">
        <v>0</v>
      </c>
    </row>
    <row r="558" spans="1:14" s="143" customFormat="1" hidden="1" x14ac:dyDescent="0.25">
      <c r="A558" s="143" t="s">
        <v>714</v>
      </c>
      <c r="B558" s="143" t="s">
        <v>441</v>
      </c>
      <c r="C558" s="143" t="s">
        <v>95</v>
      </c>
      <c r="D558" s="143" t="s">
        <v>69</v>
      </c>
      <c r="E558" s="257">
        <v>7475731</v>
      </c>
      <c r="F558" s="257">
        <v>7331734</v>
      </c>
      <c r="G558" s="257">
        <v>7276354</v>
      </c>
      <c r="H558" s="257">
        <v>0</v>
      </c>
      <c r="I558" s="257">
        <v>4565799</v>
      </c>
      <c r="J558" s="257">
        <v>0</v>
      </c>
      <c r="K558" s="257">
        <v>2710555</v>
      </c>
      <c r="L558" s="257">
        <v>2710555</v>
      </c>
      <c r="M558" s="257">
        <v>55380</v>
      </c>
      <c r="N558" s="257">
        <v>0</v>
      </c>
    </row>
    <row r="559" spans="1:14" s="143" customFormat="1" hidden="1" x14ac:dyDescent="0.25">
      <c r="A559" s="143" t="s">
        <v>714</v>
      </c>
      <c r="B559" s="143" t="s">
        <v>96</v>
      </c>
      <c r="C559" s="143" t="s">
        <v>97</v>
      </c>
      <c r="D559" s="143" t="s">
        <v>69</v>
      </c>
      <c r="E559" s="257">
        <v>145776714</v>
      </c>
      <c r="F559" s="257">
        <v>142968755</v>
      </c>
      <c r="G559" s="257">
        <v>141888853</v>
      </c>
      <c r="H559" s="257">
        <v>0</v>
      </c>
      <c r="I559" s="257">
        <v>89220152</v>
      </c>
      <c r="J559" s="257">
        <v>0</v>
      </c>
      <c r="K559" s="257">
        <v>52668701</v>
      </c>
      <c r="L559" s="257">
        <v>52668701</v>
      </c>
      <c r="M559" s="257">
        <v>1079902</v>
      </c>
      <c r="N559" s="257">
        <v>0</v>
      </c>
    </row>
    <row r="560" spans="1:14" s="143" customFormat="1" hidden="1" x14ac:dyDescent="0.25">
      <c r="A560" s="143" t="s">
        <v>714</v>
      </c>
      <c r="B560" s="143" t="s">
        <v>459</v>
      </c>
      <c r="C560" s="143" t="s">
        <v>698</v>
      </c>
      <c r="D560" s="143" t="s">
        <v>69</v>
      </c>
      <c r="E560" s="257">
        <v>78495131</v>
      </c>
      <c r="F560" s="257">
        <v>76983152</v>
      </c>
      <c r="G560" s="257">
        <v>76401667</v>
      </c>
      <c r="H560" s="257">
        <v>0</v>
      </c>
      <c r="I560" s="257">
        <v>48127952</v>
      </c>
      <c r="J560" s="257">
        <v>0</v>
      </c>
      <c r="K560" s="257">
        <v>28273715</v>
      </c>
      <c r="L560" s="257">
        <v>28273715</v>
      </c>
      <c r="M560" s="257">
        <v>581485</v>
      </c>
      <c r="N560" s="257">
        <v>0</v>
      </c>
    </row>
    <row r="561" spans="1:14" s="143" customFormat="1" hidden="1" x14ac:dyDescent="0.25">
      <c r="A561" s="143" t="s">
        <v>714</v>
      </c>
      <c r="B561" s="143" t="s">
        <v>476</v>
      </c>
      <c r="C561" s="143" t="s">
        <v>699</v>
      </c>
      <c r="D561" s="143" t="s">
        <v>69</v>
      </c>
      <c r="E561" s="257">
        <v>22427194</v>
      </c>
      <c r="F561" s="257">
        <v>21995201</v>
      </c>
      <c r="G561" s="257">
        <v>21829062</v>
      </c>
      <c r="H561" s="257">
        <v>0</v>
      </c>
      <c r="I561" s="257">
        <v>13697400</v>
      </c>
      <c r="J561" s="257">
        <v>0</v>
      </c>
      <c r="K561" s="257">
        <v>8131662</v>
      </c>
      <c r="L561" s="257">
        <v>8131662</v>
      </c>
      <c r="M561" s="257">
        <v>166139</v>
      </c>
      <c r="N561" s="257">
        <v>0</v>
      </c>
    </row>
    <row r="562" spans="1:14" s="143" customFormat="1" hidden="1" x14ac:dyDescent="0.25">
      <c r="A562" s="143" t="s">
        <v>714</v>
      </c>
      <c r="B562" s="143" t="s">
        <v>493</v>
      </c>
      <c r="C562" s="143" t="s">
        <v>700</v>
      </c>
      <c r="D562" s="143" t="s">
        <v>69</v>
      </c>
      <c r="E562" s="257">
        <v>44854389</v>
      </c>
      <c r="F562" s="257">
        <v>43990402</v>
      </c>
      <c r="G562" s="257">
        <v>43658124</v>
      </c>
      <c r="H562" s="257">
        <v>0</v>
      </c>
      <c r="I562" s="257">
        <v>27394800</v>
      </c>
      <c r="J562" s="257">
        <v>0</v>
      </c>
      <c r="K562" s="257">
        <v>16263324</v>
      </c>
      <c r="L562" s="257">
        <v>16263324</v>
      </c>
      <c r="M562" s="257">
        <v>332278</v>
      </c>
      <c r="N562" s="257">
        <v>0</v>
      </c>
    </row>
    <row r="563" spans="1:14" s="143" customFormat="1" hidden="1" x14ac:dyDescent="0.25">
      <c r="A563" s="143" t="s">
        <v>714</v>
      </c>
      <c r="B563" s="143" t="s">
        <v>104</v>
      </c>
      <c r="C563" s="143" t="s">
        <v>105</v>
      </c>
      <c r="D563" s="143" t="s">
        <v>69</v>
      </c>
      <c r="E563" s="257">
        <v>93714000</v>
      </c>
      <c r="F563" s="257">
        <v>93714000</v>
      </c>
      <c r="G563" s="257">
        <v>43859500</v>
      </c>
      <c r="H563" s="257">
        <v>0</v>
      </c>
      <c r="I563" s="257">
        <v>19270776.609999999</v>
      </c>
      <c r="J563" s="257">
        <v>0</v>
      </c>
      <c r="K563" s="257">
        <v>23158539.559999999</v>
      </c>
      <c r="L563" s="257">
        <v>23158539.559999999</v>
      </c>
      <c r="M563" s="257">
        <v>51284683.829999998</v>
      </c>
      <c r="N563" s="257">
        <v>1430183.83</v>
      </c>
    </row>
    <row r="564" spans="1:14" s="143" customFormat="1" hidden="1" x14ac:dyDescent="0.25">
      <c r="A564" s="143" t="s">
        <v>714</v>
      </c>
      <c r="B564" s="143" t="s">
        <v>112</v>
      </c>
      <c r="C564" s="143" t="s">
        <v>113</v>
      </c>
      <c r="D564" s="143" t="s">
        <v>69</v>
      </c>
      <c r="E564" s="257">
        <v>92804000</v>
      </c>
      <c r="F564" s="257">
        <v>92804000</v>
      </c>
      <c r="G564" s="257">
        <v>42949500</v>
      </c>
      <c r="H564" s="257">
        <v>0</v>
      </c>
      <c r="I564" s="257">
        <v>19270776.609999999</v>
      </c>
      <c r="J564" s="257">
        <v>0</v>
      </c>
      <c r="K564" s="257">
        <v>23158539.559999999</v>
      </c>
      <c r="L564" s="257">
        <v>23158539.559999999</v>
      </c>
      <c r="M564" s="257">
        <v>50374683.829999998</v>
      </c>
      <c r="N564" s="257">
        <v>520183.83</v>
      </c>
    </row>
    <row r="565" spans="1:14" s="143" customFormat="1" hidden="1" x14ac:dyDescent="0.25">
      <c r="A565" s="143" t="s">
        <v>714</v>
      </c>
      <c r="B565" s="143" t="s">
        <v>114</v>
      </c>
      <c r="C565" s="143" t="s">
        <v>115</v>
      </c>
      <c r="D565" s="143" t="s">
        <v>69</v>
      </c>
      <c r="E565" s="257">
        <v>36754000</v>
      </c>
      <c r="F565" s="257">
        <v>36754000</v>
      </c>
      <c r="G565" s="257">
        <v>17627000</v>
      </c>
      <c r="H565" s="257">
        <v>0</v>
      </c>
      <c r="I565" s="257">
        <v>2735875.64</v>
      </c>
      <c r="J565" s="257">
        <v>0</v>
      </c>
      <c r="K565" s="257">
        <v>14891124.359999999</v>
      </c>
      <c r="L565" s="257">
        <v>14891124.359999999</v>
      </c>
      <c r="M565" s="257">
        <v>19127000</v>
      </c>
      <c r="N565" s="257">
        <v>0</v>
      </c>
    </row>
    <row r="566" spans="1:14" s="143" customFormat="1" hidden="1" x14ac:dyDescent="0.25">
      <c r="A566" s="143" t="s">
        <v>714</v>
      </c>
      <c r="B566" s="143" t="s">
        <v>116</v>
      </c>
      <c r="C566" s="143" t="s">
        <v>117</v>
      </c>
      <c r="D566" s="143" t="s">
        <v>69</v>
      </c>
      <c r="E566" s="257">
        <v>43500000</v>
      </c>
      <c r="F566" s="257">
        <v>43500000</v>
      </c>
      <c r="G566" s="257">
        <v>18557500</v>
      </c>
      <c r="H566" s="257">
        <v>0</v>
      </c>
      <c r="I566" s="257">
        <v>10709900.970000001</v>
      </c>
      <c r="J566" s="257">
        <v>0</v>
      </c>
      <c r="K566" s="257">
        <v>7847599.0300000003</v>
      </c>
      <c r="L566" s="257">
        <v>7847599.0300000003</v>
      </c>
      <c r="M566" s="257">
        <v>24942500</v>
      </c>
      <c r="N566" s="257">
        <v>0</v>
      </c>
    </row>
    <row r="567" spans="1:14" s="143" customFormat="1" hidden="1" x14ac:dyDescent="0.25">
      <c r="A567" s="143" t="s">
        <v>714</v>
      </c>
      <c r="B567" s="143" t="s">
        <v>120</v>
      </c>
      <c r="C567" s="143" t="s">
        <v>121</v>
      </c>
      <c r="D567" s="143" t="s">
        <v>69</v>
      </c>
      <c r="E567" s="257">
        <v>11550000</v>
      </c>
      <c r="F567" s="257">
        <v>11550000</v>
      </c>
      <c r="G567" s="257">
        <v>5775000</v>
      </c>
      <c r="H567" s="257">
        <v>0</v>
      </c>
      <c r="I567" s="257">
        <v>5775000</v>
      </c>
      <c r="J567" s="257">
        <v>0</v>
      </c>
      <c r="K567" s="257">
        <v>0</v>
      </c>
      <c r="L567" s="257">
        <v>0</v>
      </c>
      <c r="M567" s="257">
        <v>5775000</v>
      </c>
      <c r="N567" s="257">
        <v>0</v>
      </c>
    </row>
    <row r="568" spans="1:14" s="143" customFormat="1" hidden="1" x14ac:dyDescent="0.25">
      <c r="A568" s="143" t="s">
        <v>714</v>
      </c>
      <c r="B568" s="143" t="s">
        <v>122</v>
      </c>
      <c r="C568" s="143" t="s">
        <v>123</v>
      </c>
      <c r="D568" s="143" t="s">
        <v>69</v>
      </c>
      <c r="E568" s="257">
        <v>1000000</v>
      </c>
      <c r="F568" s="257">
        <v>1000000</v>
      </c>
      <c r="G568" s="257">
        <v>990000</v>
      </c>
      <c r="H568" s="257">
        <v>0</v>
      </c>
      <c r="I568" s="257">
        <v>50000</v>
      </c>
      <c r="J568" s="257">
        <v>0</v>
      </c>
      <c r="K568" s="257">
        <v>419816.17</v>
      </c>
      <c r="L568" s="257">
        <v>419816.17</v>
      </c>
      <c r="M568" s="257">
        <v>530183.82999999996</v>
      </c>
      <c r="N568" s="257">
        <v>520183.83</v>
      </c>
    </row>
    <row r="569" spans="1:14" s="143" customFormat="1" hidden="1" x14ac:dyDescent="0.25">
      <c r="A569" s="143" t="s">
        <v>714</v>
      </c>
      <c r="B569" s="143" t="s">
        <v>134</v>
      </c>
      <c r="C569" s="143" t="s">
        <v>135</v>
      </c>
      <c r="D569" s="143" t="s">
        <v>69</v>
      </c>
      <c r="E569" s="257">
        <v>410000</v>
      </c>
      <c r="F569" s="257">
        <v>410000</v>
      </c>
      <c r="G569" s="257">
        <v>410000</v>
      </c>
      <c r="H569" s="257">
        <v>0</v>
      </c>
      <c r="I569" s="257">
        <v>0</v>
      </c>
      <c r="J569" s="257">
        <v>0</v>
      </c>
      <c r="K569" s="257">
        <v>0</v>
      </c>
      <c r="L569" s="257">
        <v>0</v>
      </c>
      <c r="M569" s="257">
        <v>410000</v>
      </c>
      <c r="N569" s="257">
        <v>410000</v>
      </c>
    </row>
    <row r="570" spans="1:14" s="143" customFormat="1" hidden="1" x14ac:dyDescent="0.25">
      <c r="A570" s="143" t="s">
        <v>714</v>
      </c>
      <c r="B570" s="143" t="s">
        <v>346</v>
      </c>
      <c r="C570" s="143" t="s">
        <v>347</v>
      </c>
      <c r="D570" s="143" t="s">
        <v>69</v>
      </c>
      <c r="E570" s="257">
        <v>20000</v>
      </c>
      <c r="F570" s="257">
        <v>20000</v>
      </c>
      <c r="G570" s="257">
        <v>20000</v>
      </c>
      <c r="H570" s="257">
        <v>0</v>
      </c>
      <c r="I570" s="257">
        <v>0</v>
      </c>
      <c r="J570" s="257">
        <v>0</v>
      </c>
      <c r="K570" s="257">
        <v>0</v>
      </c>
      <c r="L570" s="257">
        <v>0</v>
      </c>
      <c r="M570" s="257">
        <v>20000</v>
      </c>
      <c r="N570" s="257">
        <v>20000</v>
      </c>
    </row>
    <row r="571" spans="1:14" s="143" customFormat="1" hidden="1" x14ac:dyDescent="0.25">
      <c r="A571" s="143" t="s">
        <v>714</v>
      </c>
      <c r="B571" s="143" t="s">
        <v>136</v>
      </c>
      <c r="C571" s="143" t="s">
        <v>137</v>
      </c>
      <c r="D571" s="143" t="s">
        <v>69</v>
      </c>
      <c r="E571" s="257">
        <v>350000</v>
      </c>
      <c r="F571" s="257">
        <v>350000</v>
      </c>
      <c r="G571" s="257">
        <v>350000</v>
      </c>
      <c r="H571" s="257">
        <v>0</v>
      </c>
      <c r="I571" s="257">
        <v>0</v>
      </c>
      <c r="J571" s="257">
        <v>0</v>
      </c>
      <c r="K571" s="257">
        <v>0</v>
      </c>
      <c r="L571" s="257">
        <v>0</v>
      </c>
      <c r="M571" s="257">
        <v>350000</v>
      </c>
      <c r="N571" s="257">
        <v>350000</v>
      </c>
    </row>
    <row r="572" spans="1:14" s="143" customFormat="1" hidden="1" x14ac:dyDescent="0.25">
      <c r="A572" s="143" t="s">
        <v>714</v>
      </c>
      <c r="B572" s="143" t="s">
        <v>138</v>
      </c>
      <c r="C572" s="143" t="s">
        <v>139</v>
      </c>
      <c r="D572" s="143" t="s">
        <v>69</v>
      </c>
      <c r="E572" s="257">
        <v>40000</v>
      </c>
      <c r="F572" s="257">
        <v>40000</v>
      </c>
      <c r="G572" s="257">
        <v>40000</v>
      </c>
      <c r="H572" s="257">
        <v>0</v>
      </c>
      <c r="I572" s="257">
        <v>0</v>
      </c>
      <c r="J572" s="257">
        <v>0</v>
      </c>
      <c r="K572" s="257">
        <v>0</v>
      </c>
      <c r="L572" s="257">
        <v>0</v>
      </c>
      <c r="M572" s="257">
        <v>40000</v>
      </c>
      <c r="N572" s="257">
        <v>40000</v>
      </c>
    </row>
    <row r="573" spans="1:14" s="143" customFormat="1" hidden="1" x14ac:dyDescent="0.25">
      <c r="A573" s="143" t="s">
        <v>714</v>
      </c>
      <c r="B573" s="143" t="s">
        <v>162</v>
      </c>
      <c r="C573" s="143" t="s">
        <v>163</v>
      </c>
      <c r="D573" s="143" t="s">
        <v>69</v>
      </c>
      <c r="E573" s="257">
        <v>500000</v>
      </c>
      <c r="F573" s="257">
        <v>500000</v>
      </c>
      <c r="G573" s="257">
        <v>500000</v>
      </c>
      <c r="H573" s="257">
        <v>0</v>
      </c>
      <c r="I573" s="257">
        <v>0</v>
      </c>
      <c r="J573" s="257">
        <v>0</v>
      </c>
      <c r="K573" s="257">
        <v>0</v>
      </c>
      <c r="L573" s="257">
        <v>0</v>
      </c>
      <c r="M573" s="257">
        <v>500000</v>
      </c>
      <c r="N573" s="257">
        <v>500000</v>
      </c>
    </row>
    <row r="574" spans="1:14" s="143" customFormat="1" hidden="1" x14ac:dyDescent="0.25">
      <c r="A574" s="143" t="s">
        <v>714</v>
      </c>
      <c r="B574" s="143" t="s">
        <v>164</v>
      </c>
      <c r="C574" s="143" t="s">
        <v>165</v>
      </c>
      <c r="D574" s="143" t="s">
        <v>69</v>
      </c>
      <c r="E574" s="257">
        <v>100000</v>
      </c>
      <c r="F574" s="257">
        <v>100000</v>
      </c>
      <c r="G574" s="257">
        <v>100000</v>
      </c>
      <c r="H574" s="257">
        <v>0</v>
      </c>
      <c r="I574" s="257">
        <v>0</v>
      </c>
      <c r="J574" s="257">
        <v>0</v>
      </c>
      <c r="K574" s="257">
        <v>0</v>
      </c>
      <c r="L574" s="257">
        <v>0</v>
      </c>
      <c r="M574" s="257">
        <v>100000</v>
      </c>
      <c r="N574" s="257">
        <v>100000</v>
      </c>
    </row>
    <row r="575" spans="1:14" s="143" customFormat="1" hidden="1" x14ac:dyDescent="0.25">
      <c r="A575" s="143" t="s">
        <v>714</v>
      </c>
      <c r="B575" s="143" t="s">
        <v>172</v>
      </c>
      <c r="C575" s="143" t="s">
        <v>173</v>
      </c>
      <c r="D575" s="143" t="s">
        <v>69</v>
      </c>
      <c r="E575" s="257">
        <v>400000</v>
      </c>
      <c r="F575" s="257">
        <v>400000</v>
      </c>
      <c r="G575" s="257">
        <v>400000</v>
      </c>
      <c r="H575" s="257">
        <v>0</v>
      </c>
      <c r="I575" s="257">
        <v>0</v>
      </c>
      <c r="J575" s="257">
        <v>0</v>
      </c>
      <c r="K575" s="257">
        <v>0</v>
      </c>
      <c r="L575" s="257">
        <v>0</v>
      </c>
      <c r="M575" s="257">
        <v>400000</v>
      </c>
      <c r="N575" s="257">
        <v>400000</v>
      </c>
    </row>
    <row r="576" spans="1:14" s="143" customFormat="1" hidden="1" x14ac:dyDescent="0.25">
      <c r="A576" s="143" t="s">
        <v>714</v>
      </c>
      <c r="B576" s="143" t="s">
        <v>184</v>
      </c>
      <c r="C576" s="143" t="s">
        <v>185</v>
      </c>
      <c r="D576" s="143" t="s">
        <v>69</v>
      </c>
      <c r="E576" s="257">
        <v>301595100</v>
      </c>
      <c r="F576" s="257">
        <v>290095100</v>
      </c>
      <c r="G576" s="257">
        <v>118325145</v>
      </c>
      <c r="H576" s="257">
        <v>19116607.539999999</v>
      </c>
      <c r="I576" s="257">
        <v>11772434.23</v>
      </c>
      <c r="J576" s="257">
        <v>0</v>
      </c>
      <c r="K576" s="257">
        <v>61673155.920000002</v>
      </c>
      <c r="L576" s="257">
        <v>49041735.240000002</v>
      </c>
      <c r="M576" s="257">
        <v>197532902.31</v>
      </c>
      <c r="N576" s="257">
        <v>25762947.309999999</v>
      </c>
    </row>
    <row r="577" spans="1:14" s="143" customFormat="1" hidden="1" x14ac:dyDescent="0.25">
      <c r="A577" s="143" t="s">
        <v>714</v>
      </c>
      <c r="B577" s="143" t="s">
        <v>186</v>
      </c>
      <c r="C577" s="143" t="s">
        <v>187</v>
      </c>
      <c r="D577" s="143" t="s">
        <v>69</v>
      </c>
      <c r="E577" s="257">
        <v>6620568</v>
      </c>
      <c r="F577" s="257">
        <v>4620568</v>
      </c>
      <c r="G577" s="257">
        <v>3382426</v>
      </c>
      <c r="H577" s="257">
        <v>0</v>
      </c>
      <c r="I577" s="257">
        <v>0</v>
      </c>
      <c r="J577" s="257">
        <v>0</v>
      </c>
      <c r="K577" s="257">
        <v>0</v>
      </c>
      <c r="L577" s="257">
        <v>0</v>
      </c>
      <c r="M577" s="257">
        <v>4620568</v>
      </c>
      <c r="N577" s="257">
        <v>3382426</v>
      </c>
    </row>
    <row r="578" spans="1:14" s="143" customFormat="1" hidden="1" x14ac:dyDescent="0.25">
      <c r="A578" s="143" t="s">
        <v>714</v>
      </c>
      <c r="B578" s="143" t="s">
        <v>188</v>
      </c>
      <c r="C578" s="143" t="s">
        <v>189</v>
      </c>
      <c r="D578" s="143" t="s">
        <v>69</v>
      </c>
      <c r="E578" s="257">
        <v>2413000</v>
      </c>
      <c r="F578" s="257">
        <v>2413000</v>
      </c>
      <c r="G578" s="257">
        <v>1174858</v>
      </c>
      <c r="H578" s="257">
        <v>0</v>
      </c>
      <c r="I578" s="257">
        <v>0</v>
      </c>
      <c r="J578" s="257">
        <v>0</v>
      </c>
      <c r="K578" s="257">
        <v>0</v>
      </c>
      <c r="L578" s="257">
        <v>0</v>
      </c>
      <c r="M578" s="257">
        <v>2413000</v>
      </c>
      <c r="N578" s="257">
        <v>1174858</v>
      </c>
    </row>
    <row r="579" spans="1:14" s="143" customFormat="1" hidden="1" x14ac:dyDescent="0.25">
      <c r="A579" s="143" t="s">
        <v>714</v>
      </c>
      <c r="B579" s="143" t="s">
        <v>350</v>
      </c>
      <c r="C579" s="143" t="s">
        <v>351</v>
      </c>
      <c r="D579" s="143" t="s">
        <v>69</v>
      </c>
      <c r="E579" s="257">
        <v>63287</v>
      </c>
      <c r="F579" s="257">
        <v>63287</v>
      </c>
      <c r="G579" s="257">
        <v>63287</v>
      </c>
      <c r="H579" s="257">
        <v>0</v>
      </c>
      <c r="I579" s="257">
        <v>0</v>
      </c>
      <c r="J579" s="257">
        <v>0</v>
      </c>
      <c r="K579" s="257">
        <v>0</v>
      </c>
      <c r="L579" s="257">
        <v>0</v>
      </c>
      <c r="M579" s="257">
        <v>63287</v>
      </c>
      <c r="N579" s="257">
        <v>63287</v>
      </c>
    </row>
    <row r="580" spans="1:14" s="143" customFormat="1" hidden="1" x14ac:dyDescent="0.25">
      <c r="A580" s="143" t="s">
        <v>714</v>
      </c>
      <c r="B580" s="143" t="s">
        <v>194</v>
      </c>
      <c r="C580" s="143" t="s">
        <v>195</v>
      </c>
      <c r="D580" s="143" t="s">
        <v>69</v>
      </c>
      <c r="E580" s="257">
        <v>4144281</v>
      </c>
      <c r="F580" s="257">
        <v>2144281</v>
      </c>
      <c r="G580" s="257">
        <v>2144281</v>
      </c>
      <c r="H580" s="257">
        <v>0</v>
      </c>
      <c r="I580" s="257">
        <v>0</v>
      </c>
      <c r="J580" s="257">
        <v>0</v>
      </c>
      <c r="K580" s="257">
        <v>0</v>
      </c>
      <c r="L580" s="257">
        <v>0</v>
      </c>
      <c r="M580" s="257">
        <v>2144281</v>
      </c>
      <c r="N580" s="257">
        <v>2144281</v>
      </c>
    </row>
    <row r="581" spans="1:14" s="143" customFormat="1" hidden="1" x14ac:dyDescent="0.25">
      <c r="A581" s="143" t="s">
        <v>714</v>
      </c>
      <c r="B581" s="143" t="s">
        <v>196</v>
      </c>
      <c r="C581" s="143" t="s">
        <v>197</v>
      </c>
      <c r="D581" s="143" t="s">
        <v>69</v>
      </c>
      <c r="E581" s="257">
        <v>280709986</v>
      </c>
      <c r="F581" s="257">
        <v>280709986</v>
      </c>
      <c r="G581" s="257">
        <v>110198173</v>
      </c>
      <c r="H581" s="257">
        <v>16807869.079999998</v>
      </c>
      <c r="I581" s="257">
        <v>11741384.23</v>
      </c>
      <c r="J581" s="257">
        <v>0</v>
      </c>
      <c r="K581" s="257">
        <v>61673155.920000002</v>
      </c>
      <c r="L581" s="257">
        <v>49041735.240000002</v>
      </c>
      <c r="M581" s="257">
        <v>190487576.77000001</v>
      </c>
      <c r="N581" s="257">
        <v>19975763.77</v>
      </c>
    </row>
    <row r="582" spans="1:14" s="143" customFormat="1" hidden="1" x14ac:dyDescent="0.25">
      <c r="A582" s="143" t="s">
        <v>714</v>
      </c>
      <c r="B582" s="143" t="s">
        <v>579</v>
      </c>
      <c r="C582" s="143" t="s">
        <v>580</v>
      </c>
      <c r="D582" s="143" t="s">
        <v>69</v>
      </c>
      <c r="E582" s="257">
        <v>1988520</v>
      </c>
      <c r="F582" s="257">
        <v>1988520</v>
      </c>
      <c r="G582" s="257">
        <v>1444180</v>
      </c>
      <c r="H582" s="257">
        <v>0</v>
      </c>
      <c r="I582" s="257">
        <v>899840</v>
      </c>
      <c r="J582" s="257">
        <v>0</v>
      </c>
      <c r="K582" s="257">
        <v>0</v>
      </c>
      <c r="L582" s="257">
        <v>0</v>
      </c>
      <c r="M582" s="257">
        <v>1088680</v>
      </c>
      <c r="N582" s="257">
        <v>544340</v>
      </c>
    </row>
    <row r="583" spans="1:14" s="143" customFormat="1" hidden="1" x14ac:dyDescent="0.25">
      <c r="A583" s="143" t="s">
        <v>714</v>
      </c>
      <c r="B583" s="143" t="s">
        <v>198</v>
      </c>
      <c r="C583" s="143" t="s">
        <v>199</v>
      </c>
      <c r="D583" s="143" t="s">
        <v>69</v>
      </c>
      <c r="E583" s="257">
        <v>278273098</v>
      </c>
      <c r="F583" s="257">
        <v>278273098</v>
      </c>
      <c r="G583" s="257">
        <v>108305625</v>
      </c>
      <c r="H583" s="257">
        <v>16807869.079999998</v>
      </c>
      <c r="I583" s="257">
        <v>10476235.640000001</v>
      </c>
      <c r="J583" s="257">
        <v>0</v>
      </c>
      <c r="K583" s="257">
        <v>61673155.920000002</v>
      </c>
      <c r="L583" s="257">
        <v>49041735.240000002</v>
      </c>
      <c r="M583" s="257">
        <v>189315837.36000001</v>
      </c>
      <c r="N583" s="257">
        <v>19348364.359999999</v>
      </c>
    </row>
    <row r="584" spans="1:14" s="143" customFormat="1" hidden="1" x14ac:dyDescent="0.25">
      <c r="A584" s="143" t="s">
        <v>714</v>
      </c>
      <c r="B584" s="143" t="s">
        <v>352</v>
      </c>
      <c r="C584" s="143" t="s">
        <v>353</v>
      </c>
      <c r="D584" s="143" t="s">
        <v>69</v>
      </c>
      <c r="E584" s="257">
        <v>448368</v>
      </c>
      <c r="F584" s="257">
        <v>448368</v>
      </c>
      <c r="G584" s="257">
        <v>448368</v>
      </c>
      <c r="H584" s="257">
        <v>0</v>
      </c>
      <c r="I584" s="257">
        <v>365308.59</v>
      </c>
      <c r="J584" s="257">
        <v>0</v>
      </c>
      <c r="K584" s="257">
        <v>0</v>
      </c>
      <c r="L584" s="257">
        <v>0</v>
      </c>
      <c r="M584" s="257">
        <v>83059.41</v>
      </c>
      <c r="N584" s="257">
        <v>83059.41</v>
      </c>
    </row>
    <row r="585" spans="1:14" s="143" customFormat="1" hidden="1" x14ac:dyDescent="0.25">
      <c r="A585" s="143" t="s">
        <v>714</v>
      </c>
      <c r="B585" s="143" t="s">
        <v>200</v>
      </c>
      <c r="C585" s="143" t="s">
        <v>201</v>
      </c>
      <c r="D585" s="143" t="s">
        <v>69</v>
      </c>
      <c r="E585" s="257">
        <v>8117062</v>
      </c>
      <c r="F585" s="257">
        <v>1817062</v>
      </c>
      <c r="G585" s="257">
        <v>1797062</v>
      </c>
      <c r="H585" s="257">
        <v>1417655</v>
      </c>
      <c r="I585" s="257">
        <v>0</v>
      </c>
      <c r="J585" s="257">
        <v>0</v>
      </c>
      <c r="K585" s="257">
        <v>0</v>
      </c>
      <c r="L585" s="257">
        <v>0</v>
      </c>
      <c r="M585" s="257">
        <v>399407</v>
      </c>
      <c r="N585" s="257">
        <v>379407</v>
      </c>
    </row>
    <row r="586" spans="1:14" s="143" customFormat="1" hidden="1" x14ac:dyDescent="0.25">
      <c r="A586" s="143" t="s">
        <v>714</v>
      </c>
      <c r="B586" s="143" t="s">
        <v>314</v>
      </c>
      <c r="C586" s="143" t="s">
        <v>315</v>
      </c>
      <c r="D586" s="143" t="s">
        <v>69</v>
      </c>
      <c r="E586" s="257">
        <v>2959825</v>
      </c>
      <c r="F586" s="257">
        <v>159825</v>
      </c>
      <c r="G586" s="257">
        <v>159825</v>
      </c>
      <c r="H586" s="257">
        <v>0</v>
      </c>
      <c r="I586" s="257">
        <v>0</v>
      </c>
      <c r="J586" s="257">
        <v>0</v>
      </c>
      <c r="K586" s="257">
        <v>0</v>
      </c>
      <c r="L586" s="257">
        <v>0</v>
      </c>
      <c r="M586" s="257">
        <v>159825</v>
      </c>
      <c r="N586" s="257">
        <v>159825</v>
      </c>
    </row>
    <row r="587" spans="1:14" s="143" customFormat="1" hidden="1" x14ac:dyDescent="0.25">
      <c r="A587" s="143" t="s">
        <v>714</v>
      </c>
      <c r="B587" s="143" t="s">
        <v>202</v>
      </c>
      <c r="C587" s="143" t="s">
        <v>203</v>
      </c>
      <c r="D587" s="143" t="s">
        <v>69</v>
      </c>
      <c r="E587" s="257">
        <v>1322500</v>
      </c>
      <c r="F587" s="257">
        <v>22500</v>
      </c>
      <c r="G587" s="257">
        <v>22500</v>
      </c>
      <c r="H587" s="257">
        <v>0</v>
      </c>
      <c r="I587" s="257">
        <v>0</v>
      </c>
      <c r="J587" s="257">
        <v>0</v>
      </c>
      <c r="K587" s="257">
        <v>0</v>
      </c>
      <c r="L587" s="257">
        <v>0</v>
      </c>
      <c r="M587" s="257">
        <v>22500</v>
      </c>
      <c r="N587" s="257">
        <v>22500</v>
      </c>
    </row>
    <row r="588" spans="1:14" s="143" customFormat="1" hidden="1" x14ac:dyDescent="0.25">
      <c r="A588" s="143" t="s">
        <v>714</v>
      </c>
      <c r="B588" s="143" t="s">
        <v>320</v>
      </c>
      <c r="C588" s="143" t="s">
        <v>321</v>
      </c>
      <c r="D588" s="143" t="s">
        <v>69</v>
      </c>
      <c r="E588" s="257">
        <v>220000</v>
      </c>
      <c r="F588" s="257">
        <v>20000</v>
      </c>
      <c r="G588" s="257">
        <v>0</v>
      </c>
      <c r="H588" s="257">
        <v>0</v>
      </c>
      <c r="I588" s="257">
        <v>0</v>
      </c>
      <c r="J588" s="257">
        <v>0</v>
      </c>
      <c r="K588" s="257">
        <v>0</v>
      </c>
      <c r="L588" s="257">
        <v>0</v>
      </c>
      <c r="M588" s="257">
        <v>20000</v>
      </c>
      <c r="N588" s="257">
        <v>0</v>
      </c>
    </row>
    <row r="589" spans="1:14" s="143" customFormat="1" hidden="1" x14ac:dyDescent="0.25">
      <c r="A589" s="143" t="s">
        <v>714</v>
      </c>
      <c r="B589" s="143" t="s">
        <v>204</v>
      </c>
      <c r="C589" s="143" t="s">
        <v>205</v>
      </c>
      <c r="D589" s="143" t="s">
        <v>69</v>
      </c>
      <c r="E589" s="257">
        <v>1532505</v>
      </c>
      <c r="F589" s="257">
        <v>1532505</v>
      </c>
      <c r="G589" s="257">
        <v>1532505</v>
      </c>
      <c r="H589" s="257">
        <v>1417655</v>
      </c>
      <c r="I589" s="257">
        <v>0</v>
      </c>
      <c r="J589" s="257">
        <v>0</v>
      </c>
      <c r="K589" s="257">
        <v>0</v>
      </c>
      <c r="L589" s="257">
        <v>0</v>
      </c>
      <c r="M589" s="257">
        <v>114850</v>
      </c>
      <c r="N589" s="257">
        <v>114850</v>
      </c>
    </row>
    <row r="590" spans="1:14" s="143" customFormat="1" hidden="1" x14ac:dyDescent="0.25">
      <c r="A590" s="143" t="s">
        <v>714</v>
      </c>
      <c r="B590" s="143" t="s">
        <v>322</v>
      </c>
      <c r="C590" s="143" t="s">
        <v>323</v>
      </c>
      <c r="D590" s="143" t="s">
        <v>69</v>
      </c>
      <c r="E590" s="257">
        <v>2082232</v>
      </c>
      <c r="F590" s="257">
        <v>82232</v>
      </c>
      <c r="G590" s="257">
        <v>82232</v>
      </c>
      <c r="H590" s="257">
        <v>0</v>
      </c>
      <c r="I590" s="257">
        <v>0</v>
      </c>
      <c r="J590" s="257">
        <v>0</v>
      </c>
      <c r="K590" s="257">
        <v>0</v>
      </c>
      <c r="L590" s="257">
        <v>0</v>
      </c>
      <c r="M590" s="257">
        <v>82232</v>
      </c>
      <c r="N590" s="257">
        <v>82232</v>
      </c>
    </row>
    <row r="591" spans="1:14" s="143" customFormat="1" hidden="1" x14ac:dyDescent="0.25">
      <c r="A591" s="143" t="s">
        <v>714</v>
      </c>
      <c r="B591" s="143" t="s">
        <v>206</v>
      </c>
      <c r="C591" s="143" t="s">
        <v>207</v>
      </c>
      <c r="D591" s="143" t="s">
        <v>69</v>
      </c>
      <c r="E591" s="257">
        <v>1362914</v>
      </c>
      <c r="F591" s="257">
        <v>662914</v>
      </c>
      <c r="G591" s="257">
        <v>662914</v>
      </c>
      <c r="H591" s="257">
        <v>0</v>
      </c>
      <c r="I591" s="257">
        <v>0</v>
      </c>
      <c r="J591" s="257">
        <v>0</v>
      </c>
      <c r="K591" s="257">
        <v>0</v>
      </c>
      <c r="L591" s="257">
        <v>0</v>
      </c>
      <c r="M591" s="257">
        <v>662914</v>
      </c>
      <c r="N591" s="257">
        <v>662914</v>
      </c>
    </row>
    <row r="592" spans="1:14" s="143" customFormat="1" hidden="1" x14ac:dyDescent="0.25">
      <c r="A592" s="143" t="s">
        <v>714</v>
      </c>
      <c r="B592" s="143" t="s">
        <v>208</v>
      </c>
      <c r="C592" s="143" t="s">
        <v>209</v>
      </c>
      <c r="D592" s="143" t="s">
        <v>69</v>
      </c>
      <c r="E592" s="257">
        <v>571414</v>
      </c>
      <c r="F592" s="257">
        <v>571414</v>
      </c>
      <c r="G592" s="257">
        <v>571414</v>
      </c>
      <c r="H592" s="257">
        <v>0</v>
      </c>
      <c r="I592" s="257">
        <v>0</v>
      </c>
      <c r="J592" s="257">
        <v>0</v>
      </c>
      <c r="K592" s="257">
        <v>0</v>
      </c>
      <c r="L592" s="257">
        <v>0</v>
      </c>
      <c r="M592" s="257">
        <v>571414</v>
      </c>
      <c r="N592" s="257">
        <v>571414</v>
      </c>
    </row>
    <row r="593" spans="1:14" s="143" customFormat="1" hidden="1" x14ac:dyDescent="0.25">
      <c r="A593" s="143" t="s">
        <v>714</v>
      </c>
      <c r="B593" s="143" t="s">
        <v>210</v>
      </c>
      <c r="C593" s="143" t="s">
        <v>211</v>
      </c>
      <c r="D593" s="143" t="s">
        <v>69</v>
      </c>
      <c r="E593" s="257">
        <v>791500</v>
      </c>
      <c r="F593" s="257">
        <v>91500</v>
      </c>
      <c r="G593" s="257">
        <v>91500</v>
      </c>
      <c r="H593" s="257">
        <v>0</v>
      </c>
      <c r="I593" s="257">
        <v>0</v>
      </c>
      <c r="J593" s="257">
        <v>0</v>
      </c>
      <c r="K593" s="257">
        <v>0</v>
      </c>
      <c r="L593" s="257">
        <v>0</v>
      </c>
      <c r="M593" s="257">
        <v>91500</v>
      </c>
      <c r="N593" s="257">
        <v>91500</v>
      </c>
    </row>
    <row r="594" spans="1:14" s="143" customFormat="1" hidden="1" x14ac:dyDescent="0.25">
      <c r="A594" s="143" t="s">
        <v>714</v>
      </c>
      <c r="B594" s="143" t="s">
        <v>354</v>
      </c>
      <c r="C594" s="143" t="s">
        <v>355</v>
      </c>
      <c r="D594" s="143" t="s">
        <v>69</v>
      </c>
      <c r="E594" s="257">
        <v>585840</v>
      </c>
      <c r="F594" s="257">
        <v>585840</v>
      </c>
      <c r="G594" s="257">
        <v>585840</v>
      </c>
      <c r="H594" s="257">
        <v>0</v>
      </c>
      <c r="I594" s="257">
        <v>0</v>
      </c>
      <c r="J594" s="257">
        <v>0</v>
      </c>
      <c r="K594" s="257">
        <v>0</v>
      </c>
      <c r="L594" s="257">
        <v>0</v>
      </c>
      <c r="M594" s="257">
        <v>585840</v>
      </c>
      <c r="N594" s="257">
        <v>585840</v>
      </c>
    </row>
    <row r="595" spans="1:14" s="143" customFormat="1" hidden="1" x14ac:dyDescent="0.25">
      <c r="A595" s="143" t="s">
        <v>714</v>
      </c>
      <c r="B595" s="143" t="s">
        <v>356</v>
      </c>
      <c r="C595" s="143" t="s">
        <v>357</v>
      </c>
      <c r="D595" s="143" t="s">
        <v>69</v>
      </c>
      <c r="E595" s="257">
        <v>585840</v>
      </c>
      <c r="F595" s="257">
        <v>585840</v>
      </c>
      <c r="G595" s="257">
        <v>585840</v>
      </c>
      <c r="H595" s="257">
        <v>0</v>
      </c>
      <c r="I595" s="257">
        <v>0</v>
      </c>
      <c r="J595" s="257">
        <v>0</v>
      </c>
      <c r="K595" s="257">
        <v>0</v>
      </c>
      <c r="L595" s="257">
        <v>0</v>
      </c>
      <c r="M595" s="257">
        <v>585840</v>
      </c>
      <c r="N595" s="257">
        <v>585840</v>
      </c>
    </row>
    <row r="596" spans="1:14" s="143" customFormat="1" hidden="1" x14ac:dyDescent="0.25">
      <c r="A596" s="143" t="s">
        <v>714</v>
      </c>
      <c r="B596" s="143" t="s">
        <v>212</v>
      </c>
      <c r="C596" s="143" t="s">
        <v>213</v>
      </c>
      <c r="D596" s="143" t="s">
        <v>69</v>
      </c>
      <c r="E596" s="257">
        <v>4198730</v>
      </c>
      <c r="F596" s="257">
        <v>1698730</v>
      </c>
      <c r="G596" s="257">
        <v>1698730</v>
      </c>
      <c r="H596" s="257">
        <v>891083.46</v>
      </c>
      <c r="I596" s="257">
        <v>31050</v>
      </c>
      <c r="J596" s="257">
        <v>0</v>
      </c>
      <c r="K596" s="257">
        <v>0</v>
      </c>
      <c r="L596" s="257">
        <v>0</v>
      </c>
      <c r="M596" s="257">
        <v>776596.54</v>
      </c>
      <c r="N596" s="257">
        <v>776596.54</v>
      </c>
    </row>
    <row r="597" spans="1:14" s="143" customFormat="1" hidden="1" x14ac:dyDescent="0.25">
      <c r="A597" s="143" t="s">
        <v>714</v>
      </c>
      <c r="B597" s="143" t="s">
        <v>220</v>
      </c>
      <c r="C597" s="143" t="s">
        <v>221</v>
      </c>
      <c r="D597" s="143" t="s">
        <v>69</v>
      </c>
      <c r="E597" s="257">
        <v>1076090</v>
      </c>
      <c r="F597" s="257">
        <v>1076090</v>
      </c>
      <c r="G597" s="257">
        <v>1076090</v>
      </c>
      <c r="H597" s="257">
        <v>891083.46</v>
      </c>
      <c r="I597" s="257">
        <v>31050</v>
      </c>
      <c r="J597" s="257">
        <v>0</v>
      </c>
      <c r="K597" s="257">
        <v>0</v>
      </c>
      <c r="L597" s="257">
        <v>0</v>
      </c>
      <c r="M597" s="257">
        <v>153956.54</v>
      </c>
      <c r="N597" s="257">
        <v>153956.54</v>
      </c>
    </row>
    <row r="598" spans="1:14" s="143" customFormat="1" hidden="1" x14ac:dyDescent="0.25">
      <c r="A598" s="143" t="s">
        <v>714</v>
      </c>
      <c r="B598" s="143" t="s">
        <v>222</v>
      </c>
      <c r="C598" s="143" t="s">
        <v>223</v>
      </c>
      <c r="D598" s="143" t="s">
        <v>69</v>
      </c>
      <c r="E598" s="257">
        <v>35760</v>
      </c>
      <c r="F598" s="257">
        <v>35760</v>
      </c>
      <c r="G598" s="257">
        <v>35760</v>
      </c>
      <c r="H598" s="257">
        <v>0</v>
      </c>
      <c r="I598" s="257">
        <v>0</v>
      </c>
      <c r="J598" s="257">
        <v>0</v>
      </c>
      <c r="K598" s="257">
        <v>0</v>
      </c>
      <c r="L598" s="257">
        <v>0</v>
      </c>
      <c r="M598" s="257">
        <v>35760</v>
      </c>
      <c r="N598" s="257">
        <v>35760</v>
      </c>
    </row>
    <row r="599" spans="1:14" s="143" customFormat="1" hidden="1" x14ac:dyDescent="0.25">
      <c r="A599" s="143" t="s">
        <v>714</v>
      </c>
      <c r="B599" s="143" t="s">
        <v>224</v>
      </c>
      <c r="C599" s="143" t="s">
        <v>225</v>
      </c>
      <c r="D599" s="143" t="s">
        <v>69</v>
      </c>
      <c r="E599" s="257">
        <v>2587400</v>
      </c>
      <c r="F599" s="257">
        <v>87400</v>
      </c>
      <c r="G599" s="257">
        <v>87400</v>
      </c>
      <c r="H599" s="257">
        <v>0</v>
      </c>
      <c r="I599" s="257">
        <v>0</v>
      </c>
      <c r="J599" s="257">
        <v>0</v>
      </c>
      <c r="K599" s="257">
        <v>0</v>
      </c>
      <c r="L599" s="257">
        <v>0</v>
      </c>
      <c r="M599" s="257">
        <v>87400</v>
      </c>
      <c r="N599" s="257">
        <v>87400</v>
      </c>
    </row>
    <row r="600" spans="1:14" s="143" customFormat="1" hidden="1" x14ac:dyDescent="0.25">
      <c r="A600" s="143" t="s">
        <v>714</v>
      </c>
      <c r="B600" s="143" t="s">
        <v>228</v>
      </c>
      <c r="C600" s="143" t="s">
        <v>229</v>
      </c>
      <c r="D600" s="143" t="s">
        <v>69</v>
      </c>
      <c r="E600" s="257">
        <v>499480</v>
      </c>
      <c r="F600" s="257">
        <v>499480</v>
      </c>
      <c r="G600" s="257">
        <v>499480</v>
      </c>
      <c r="H600" s="257">
        <v>0</v>
      </c>
      <c r="I600" s="257">
        <v>0</v>
      </c>
      <c r="J600" s="257">
        <v>0</v>
      </c>
      <c r="K600" s="257">
        <v>0</v>
      </c>
      <c r="L600" s="257">
        <v>0</v>
      </c>
      <c r="M600" s="257">
        <v>499480</v>
      </c>
      <c r="N600" s="257">
        <v>499480</v>
      </c>
    </row>
    <row r="601" spans="1:14" s="143" customFormat="1" hidden="1" x14ac:dyDescent="0.25">
      <c r="A601" s="143" t="s">
        <v>714</v>
      </c>
      <c r="B601" s="143" t="s">
        <v>248</v>
      </c>
      <c r="C601" s="143" t="s">
        <v>249</v>
      </c>
      <c r="D601" s="143" t="s">
        <v>69</v>
      </c>
      <c r="E601" s="257">
        <v>32319360</v>
      </c>
      <c r="F601" s="257">
        <v>31841288</v>
      </c>
      <c r="G601" s="257">
        <v>31657427</v>
      </c>
      <c r="H601" s="257">
        <v>0</v>
      </c>
      <c r="I601" s="257">
        <v>15345489</v>
      </c>
      <c r="J601" s="257">
        <v>0</v>
      </c>
      <c r="K601" s="257">
        <v>10406684</v>
      </c>
      <c r="L601" s="257">
        <v>10406684</v>
      </c>
      <c r="M601" s="257">
        <v>6089115</v>
      </c>
      <c r="N601" s="257">
        <v>5905254</v>
      </c>
    </row>
    <row r="602" spans="1:14" s="143" customFormat="1" hidden="1" x14ac:dyDescent="0.25">
      <c r="A602" s="143" t="s">
        <v>714</v>
      </c>
      <c r="B602" s="143" t="s">
        <v>250</v>
      </c>
      <c r="C602" s="143" t="s">
        <v>251</v>
      </c>
      <c r="D602" s="143" t="s">
        <v>69</v>
      </c>
      <c r="E602" s="257">
        <v>24819360</v>
      </c>
      <c r="F602" s="257">
        <v>24341288</v>
      </c>
      <c r="G602" s="257">
        <v>24157427</v>
      </c>
      <c r="H602" s="257">
        <v>0</v>
      </c>
      <c r="I602" s="257">
        <v>15345489</v>
      </c>
      <c r="J602" s="257">
        <v>0</v>
      </c>
      <c r="K602" s="257">
        <v>8811938</v>
      </c>
      <c r="L602" s="257">
        <v>8811938</v>
      </c>
      <c r="M602" s="257">
        <v>183861</v>
      </c>
      <c r="N602" s="257">
        <v>0</v>
      </c>
    </row>
    <row r="603" spans="1:14" s="143" customFormat="1" hidden="1" x14ac:dyDescent="0.25">
      <c r="A603" s="143" t="s">
        <v>714</v>
      </c>
      <c r="B603" s="143" t="s">
        <v>633</v>
      </c>
      <c r="C603" s="143" t="s">
        <v>702</v>
      </c>
      <c r="D603" s="143" t="s">
        <v>69</v>
      </c>
      <c r="E603" s="257">
        <v>21081545</v>
      </c>
      <c r="F603" s="257">
        <v>20675471</v>
      </c>
      <c r="G603" s="257">
        <v>20519300</v>
      </c>
      <c r="H603" s="257">
        <v>0</v>
      </c>
      <c r="I603" s="257">
        <v>13062638</v>
      </c>
      <c r="J603" s="257">
        <v>0</v>
      </c>
      <c r="K603" s="257">
        <v>7456662</v>
      </c>
      <c r="L603" s="257">
        <v>7456662</v>
      </c>
      <c r="M603" s="257">
        <v>156171</v>
      </c>
      <c r="N603" s="257">
        <v>0</v>
      </c>
    </row>
    <row r="604" spans="1:14" s="143" customFormat="1" hidden="1" x14ac:dyDescent="0.25">
      <c r="A604" s="143" t="s">
        <v>714</v>
      </c>
      <c r="B604" s="143" t="s">
        <v>648</v>
      </c>
      <c r="C604" s="143" t="s">
        <v>703</v>
      </c>
      <c r="D604" s="143" t="s">
        <v>69</v>
      </c>
      <c r="E604" s="257">
        <v>3737815</v>
      </c>
      <c r="F604" s="257">
        <v>3665817</v>
      </c>
      <c r="G604" s="257">
        <v>3638127</v>
      </c>
      <c r="H604" s="257">
        <v>0</v>
      </c>
      <c r="I604" s="257">
        <v>2282851</v>
      </c>
      <c r="J604" s="257">
        <v>0</v>
      </c>
      <c r="K604" s="257">
        <v>1355276</v>
      </c>
      <c r="L604" s="257">
        <v>1355276</v>
      </c>
      <c r="M604" s="257">
        <v>27690</v>
      </c>
      <c r="N604" s="257">
        <v>0</v>
      </c>
    </row>
    <row r="605" spans="1:14" s="143" customFormat="1" hidden="1" x14ac:dyDescent="0.25">
      <c r="A605" s="143" t="s">
        <v>714</v>
      </c>
      <c r="B605" s="143" t="s">
        <v>260</v>
      </c>
      <c r="C605" s="143" t="s">
        <v>261</v>
      </c>
      <c r="D605" s="143" t="s">
        <v>69</v>
      </c>
      <c r="E605" s="257">
        <v>7500000</v>
      </c>
      <c r="F605" s="257">
        <v>7500000</v>
      </c>
      <c r="G605" s="257">
        <v>7500000</v>
      </c>
      <c r="H605" s="257">
        <v>0</v>
      </c>
      <c r="I605" s="257">
        <v>0</v>
      </c>
      <c r="J605" s="257">
        <v>0</v>
      </c>
      <c r="K605" s="257">
        <v>1594746</v>
      </c>
      <c r="L605" s="257">
        <v>1594746</v>
      </c>
      <c r="M605" s="257">
        <v>5905254</v>
      </c>
      <c r="N605" s="257">
        <v>5905254</v>
      </c>
    </row>
    <row r="606" spans="1:14" s="143" customFormat="1" hidden="1" x14ac:dyDescent="0.25">
      <c r="A606" s="143" t="s">
        <v>714</v>
      </c>
      <c r="B606" s="143" t="s">
        <v>264</v>
      </c>
      <c r="C606" s="143" t="s">
        <v>265</v>
      </c>
      <c r="D606" s="143" t="s">
        <v>69</v>
      </c>
      <c r="E606" s="257">
        <v>7500000</v>
      </c>
      <c r="F606" s="257">
        <v>7500000</v>
      </c>
      <c r="G606" s="257">
        <v>7500000</v>
      </c>
      <c r="H606" s="257">
        <v>0</v>
      </c>
      <c r="I606" s="257">
        <v>0</v>
      </c>
      <c r="J606" s="257">
        <v>0</v>
      </c>
      <c r="K606" s="257">
        <v>1594746</v>
      </c>
      <c r="L606" s="257">
        <v>1594746</v>
      </c>
      <c r="M606" s="257">
        <v>5905254</v>
      </c>
      <c r="N606" s="257">
        <v>5905254</v>
      </c>
    </row>
    <row r="607" spans="1:14" s="143" customFormat="1" hidden="1" x14ac:dyDescent="0.25">
      <c r="A607" s="143" t="s">
        <v>714</v>
      </c>
      <c r="B607" s="143" t="s">
        <v>230</v>
      </c>
      <c r="C607" s="143" t="s">
        <v>231</v>
      </c>
      <c r="D607" s="143" t="s">
        <v>85</v>
      </c>
      <c r="E607" s="257">
        <v>5038000</v>
      </c>
      <c r="F607" s="257">
        <v>738000</v>
      </c>
      <c r="G607" s="257">
        <v>729000</v>
      </c>
      <c r="H607" s="257">
        <v>0</v>
      </c>
      <c r="I607" s="257">
        <v>75000</v>
      </c>
      <c r="J607" s="257">
        <v>0</v>
      </c>
      <c r="K607" s="257">
        <v>0</v>
      </c>
      <c r="L607" s="257">
        <v>0</v>
      </c>
      <c r="M607" s="257">
        <v>663000</v>
      </c>
      <c r="N607" s="257">
        <v>654000</v>
      </c>
    </row>
    <row r="608" spans="1:14" s="143" customFormat="1" hidden="1" x14ac:dyDescent="0.25">
      <c r="A608" s="143" t="s">
        <v>714</v>
      </c>
      <c r="B608" s="143" t="s">
        <v>232</v>
      </c>
      <c r="C608" s="143" t="s">
        <v>233</v>
      </c>
      <c r="D608" s="143" t="s">
        <v>85</v>
      </c>
      <c r="E608" s="257">
        <v>4954000</v>
      </c>
      <c r="F608" s="257">
        <v>654000</v>
      </c>
      <c r="G608" s="257">
        <v>654000</v>
      </c>
      <c r="H608" s="257">
        <v>0</v>
      </c>
      <c r="I608" s="257">
        <v>0</v>
      </c>
      <c r="J608" s="257">
        <v>0</v>
      </c>
      <c r="K608" s="257">
        <v>0</v>
      </c>
      <c r="L608" s="257">
        <v>0</v>
      </c>
      <c r="M608" s="257">
        <v>654000</v>
      </c>
      <c r="N608" s="257">
        <v>654000</v>
      </c>
    </row>
    <row r="609" spans="1:14" s="143" customFormat="1" hidden="1" x14ac:dyDescent="0.25">
      <c r="A609" s="143" t="s">
        <v>714</v>
      </c>
      <c r="B609" s="143" t="s">
        <v>234</v>
      </c>
      <c r="C609" s="143" t="s">
        <v>235</v>
      </c>
      <c r="D609" s="143" t="s">
        <v>85</v>
      </c>
      <c r="E609" s="257">
        <v>3565000</v>
      </c>
      <c r="F609" s="257">
        <v>565000</v>
      </c>
      <c r="G609" s="257">
        <v>565000</v>
      </c>
      <c r="H609" s="257">
        <v>0</v>
      </c>
      <c r="I609" s="257">
        <v>0</v>
      </c>
      <c r="J609" s="257">
        <v>0</v>
      </c>
      <c r="K609" s="257">
        <v>0</v>
      </c>
      <c r="L609" s="257">
        <v>0</v>
      </c>
      <c r="M609" s="257">
        <v>565000</v>
      </c>
      <c r="N609" s="257">
        <v>565000</v>
      </c>
    </row>
    <row r="610" spans="1:14" s="143" customFormat="1" hidden="1" x14ac:dyDescent="0.25">
      <c r="A610" s="143" t="s">
        <v>714</v>
      </c>
      <c r="B610" s="143" t="s">
        <v>242</v>
      </c>
      <c r="C610" s="143" t="s">
        <v>243</v>
      </c>
      <c r="D610" s="143" t="s">
        <v>85</v>
      </c>
      <c r="E610" s="257">
        <v>1389000</v>
      </c>
      <c r="F610" s="257">
        <v>89000</v>
      </c>
      <c r="G610" s="257">
        <v>89000</v>
      </c>
      <c r="H610" s="257">
        <v>0</v>
      </c>
      <c r="I610" s="257">
        <v>0</v>
      </c>
      <c r="J610" s="257">
        <v>0</v>
      </c>
      <c r="K610" s="257">
        <v>0</v>
      </c>
      <c r="L610" s="257">
        <v>0</v>
      </c>
      <c r="M610" s="257">
        <v>89000</v>
      </c>
      <c r="N610" s="257">
        <v>89000</v>
      </c>
    </row>
    <row r="611" spans="1:14" s="143" customFormat="1" hidden="1" x14ac:dyDescent="0.25">
      <c r="A611" s="143" t="s">
        <v>714</v>
      </c>
      <c r="B611" s="143" t="s">
        <v>244</v>
      </c>
      <c r="C611" s="143" t="s">
        <v>245</v>
      </c>
      <c r="D611" s="143" t="s">
        <v>85</v>
      </c>
      <c r="E611" s="257">
        <v>84000</v>
      </c>
      <c r="F611" s="257">
        <v>84000</v>
      </c>
      <c r="G611" s="257">
        <v>75000</v>
      </c>
      <c r="H611" s="257">
        <v>0</v>
      </c>
      <c r="I611" s="257">
        <v>75000</v>
      </c>
      <c r="J611" s="257">
        <v>0</v>
      </c>
      <c r="K611" s="257">
        <v>0</v>
      </c>
      <c r="L611" s="257">
        <v>0</v>
      </c>
      <c r="M611" s="257">
        <v>9000</v>
      </c>
      <c r="N611" s="257">
        <v>0</v>
      </c>
    </row>
    <row r="612" spans="1:14" s="143" customFormat="1" hidden="1" x14ac:dyDescent="0.25">
      <c r="A612" s="143" t="s">
        <v>714</v>
      </c>
      <c r="B612" s="143" t="s">
        <v>611</v>
      </c>
      <c r="C612" s="143" t="s">
        <v>612</v>
      </c>
      <c r="D612" s="143" t="s">
        <v>85</v>
      </c>
      <c r="E612" s="257">
        <v>84000</v>
      </c>
      <c r="F612" s="257">
        <v>84000</v>
      </c>
      <c r="G612" s="257">
        <v>75000</v>
      </c>
      <c r="H612" s="257">
        <v>0</v>
      </c>
      <c r="I612" s="257">
        <v>75000</v>
      </c>
      <c r="J612" s="257">
        <v>0</v>
      </c>
      <c r="K612" s="257">
        <v>0</v>
      </c>
      <c r="L612" s="257">
        <v>0</v>
      </c>
      <c r="M612" s="257">
        <v>9000</v>
      </c>
      <c r="N612" s="257">
        <v>0</v>
      </c>
    </row>
    <row r="613" spans="1:14" s="143" customFormat="1" x14ac:dyDescent="0.25">
      <c r="A613" s="487">
        <v>214789005</v>
      </c>
      <c r="D613" s="44" t="s">
        <v>69</v>
      </c>
      <c r="E613" s="257">
        <v>1188120522</v>
      </c>
      <c r="F613" s="50">
        <v>1164075462</v>
      </c>
      <c r="G613" s="257">
        <v>1136705142</v>
      </c>
      <c r="H613" s="50">
        <v>0</v>
      </c>
      <c r="I613" s="50">
        <v>126580850.17</v>
      </c>
      <c r="J613" s="50">
        <v>0</v>
      </c>
      <c r="K613" s="50">
        <v>429689276.35000002</v>
      </c>
      <c r="L613" s="50">
        <v>428952720.85000002</v>
      </c>
      <c r="M613" s="50">
        <v>607805335.48000002</v>
      </c>
      <c r="N613" s="257">
        <v>580435015.48000002</v>
      </c>
    </row>
    <row r="614" spans="1:14" s="143" customFormat="1" hidden="1" x14ac:dyDescent="0.25">
      <c r="A614" s="143" t="s">
        <v>715</v>
      </c>
      <c r="B614" s="143" t="s">
        <v>71</v>
      </c>
      <c r="C614" s="143" t="s">
        <v>72</v>
      </c>
      <c r="D614" s="143" t="s">
        <v>69</v>
      </c>
      <c r="E614" s="257">
        <v>1139557000</v>
      </c>
      <c r="F614" s="257">
        <v>1115820185</v>
      </c>
      <c r="G614" s="257">
        <v>1107863284</v>
      </c>
      <c r="H614" s="257">
        <v>0</v>
      </c>
      <c r="I614" s="257">
        <v>109891585</v>
      </c>
      <c r="J614" s="257">
        <v>0</v>
      </c>
      <c r="K614" s="257">
        <v>418604945.51999998</v>
      </c>
      <c r="L614" s="257">
        <v>418604945.51999998</v>
      </c>
      <c r="M614" s="257">
        <v>587323654.48000002</v>
      </c>
      <c r="N614" s="257">
        <v>579366753.48000002</v>
      </c>
    </row>
    <row r="615" spans="1:14" s="143" customFormat="1" hidden="1" x14ac:dyDescent="0.25">
      <c r="A615" s="143" t="s">
        <v>715</v>
      </c>
      <c r="B615" s="143" t="s">
        <v>73</v>
      </c>
      <c r="C615" s="143" t="s">
        <v>74</v>
      </c>
      <c r="D615" s="143" t="s">
        <v>69</v>
      </c>
      <c r="E615" s="257">
        <v>400867000</v>
      </c>
      <c r="F615" s="257">
        <v>388692700</v>
      </c>
      <c r="G615" s="257">
        <v>388692700</v>
      </c>
      <c r="H615" s="257">
        <v>0</v>
      </c>
      <c r="I615" s="257">
        <v>0</v>
      </c>
      <c r="J615" s="257">
        <v>0</v>
      </c>
      <c r="K615" s="257">
        <v>150858041.53</v>
      </c>
      <c r="L615" s="257">
        <v>150858041.53</v>
      </c>
      <c r="M615" s="257">
        <v>237834658.47</v>
      </c>
      <c r="N615" s="257">
        <v>237834658.47</v>
      </c>
    </row>
    <row r="616" spans="1:14" s="143" customFormat="1" hidden="1" x14ac:dyDescent="0.25">
      <c r="A616" s="143" t="s">
        <v>715</v>
      </c>
      <c r="B616" s="143" t="s">
        <v>75</v>
      </c>
      <c r="C616" s="143" t="s">
        <v>76</v>
      </c>
      <c r="D616" s="143" t="s">
        <v>69</v>
      </c>
      <c r="E616" s="257">
        <v>400867000</v>
      </c>
      <c r="F616" s="257">
        <v>388692700</v>
      </c>
      <c r="G616" s="257">
        <v>388692700</v>
      </c>
      <c r="H616" s="257">
        <v>0</v>
      </c>
      <c r="I616" s="257">
        <v>0</v>
      </c>
      <c r="J616" s="257">
        <v>0</v>
      </c>
      <c r="K616" s="257">
        <v>150858041.53</v>
      </c>
      <c r="L616" s="257">
        <v>150858041.53</v>
      </c>
      <c r="M616" s="257">
        <v>237834658.47</v>
      </c>
      <c r="N616" s="257">
        <v>237834658.47</v>
      </c>
    </row>
    <row r="617" spans="1:14" s="143" customFormat="1" hidden="1" x14ac:dyDescent="0.25">
      <c r="A617" s="143" t="s">
        <v>715</v>
      </c>
      <c r="B617" s="143" t="s">
        <v>77</v>
      </c>
      <c r="C617" s="143" t="s">
        <v>78</v>
      </c>
      <c r="D617" s="143" t="s">
        <v>69</v>
      </c>
      <c r="E617" s="257">
        <v>564855020</v>
      </c>
      <c r="F617" s="257">
        <v>556913468</v>
      </c>
      <c r="G617" s="257">
        <v>550170363</v>
      </c>
      <c r="H617" s="257">
        <v>0</v>
      </c>
      <c r="I617" s="257">
        <v>0</v>
      </c>
      <c r="J617" s="257">
        <v>0</v>
      </c>
      <c r="K617" s="257">
        <v>208638267.99000001</v>
      </c>
      <c r="L617" s="257">
        <v>208638267.99000001</v>
      </c>
      <c r="M617" s="257">
        <v>348275200.00999999</v>
      </c>
      <c r="N617" s="257">
        <v>341532095.00999999</v>
      </c>
    </row>
    <row r="618" spans="1:14" s="143" customFormat="1" hidden="1" x14ac:dyDescent="0.25">
      <c r="A618" s="143" t="s">
        <v>715</v>
      </c>
      <c r="B618" s="143" t="s">
        <v>79</v>
      </c>
      <c r="C618" s="143" t="s">
        <v>80</v>
      </c>
      <c r="D618" s="143" t="s">
        <v>69</v>
      </c>
      <c r="E618" s="257">
        <v>153608900</v>
      </c>
      <c r="F618" s="257">
        <v>153608900</v>
      </c>
      <c r="G618" s="257">
        <v>147384303</v>
      </c>
      <c r="H618" s="257">
        <v>0</v>
      </c>
      <c r="I618" s="257">
        <v>0</v>
      </c>
      <c r="J618" s="257">
        <v>0</v>
      </c>
      <c r="K618" s="257">
        <v>49263368.280000001</v>
      </c>
      <c r="L618" s="257">
        <v>49263368.280000001</v>
      </c>
      <c r="M618" s="257">
        <v>104345531.72</v>
      </c>
      <c r="N618" s="257">
        <v>98120934.719999999</v>
      </c>
    </row>
    <row r="619" spans="1:14" s="143" customFormat="1" hidden="1" x14ac:dyDescent="0.25">
      <c r="A619" s="143" t="s">
        <v>715</v>
      </c>
      <c r="B619" s="143" t="s">
        <v>81</v>
      </c>
      <c r="C619" s="143" t="s">
        <v>82</v>
      </c>
      <c r="D619" s="143" t="s">
        <v>69</v>
      </c>
      <c r="E619" s="257">
        <v>194052109</v>
      </c>
      <c r="F619" s="257">
        <v>188799681</v>
      </c>
      <c r="G619" s="257">
        <v>188799681</v>
      </c>
      <c r="H619" s="257">
        <v>0</v>
      </c>
      <c r="I619" s="257">
        <v>0</v>
      </c>
      <c r="J619" s="257">
        <v>0</v>
      </c>
      <c r="K619" s="257">
        <v>71795928.480000004</v>
      </c>
      <c r="L619" s="257">
        <v>71795928.480000004</v>
      </c>
      <c r="M619" s="257">
        <v>117003752.52</v>
      </c>
      <c r="N619" s="257">
        <v>117003752.52</v>
      </c>
    </row>
    <row r="620" spans="1:14" s="143" customFormat="1" hidden="1" x14ac:dyDescent="0.25">
      <c r="A620" s="143" t="s">
        <v>715</v>
      </c>
      <c r="B620" s="143" t="s">
        <v>86</v>
      </c>
      <c r="C620" s="143" t="s">
        <v>87</v>
      </c>
      <c r="D620" s="143" t="s">
        <v>69</v>
      </c>
      <c r="E620" s="257">
        <v>68267000</v>
      </c>
      <c r="F620" s="257">
        <v>68267000</v>
      </c>
      <c r="G620" s="257">
        <v>68267000</v>
      </c>
      <c r="H620" s="257">
        <v>0</v>
      </c>
      <c r="I620" s="257">
        <v>0</v>
      </c>
      <c r="J620" s="257">
        <v>0</v>
      </c>
      <c r="K620" s="257">
        <v>61310698.509999998</v>
      </c>
      <c r="L620" s="257">
        <v>61310698.509999998</v>
      </c>
      <c r="M620" s="257">
        <v>6956301.4900000002</v>
      </c>
      <c r="N620" s="257">
        <v>6956301.4900000002</v>
      </c>
    </row>
    <row r="621" spans="1:14" s="143" customFormat="1" hidden="1" x14ac:dyDescent="0.25">
      <c r="A621" s="143" t="s">
        <v>715</v>
      </c>
      <c r="B621" s="143" t="s">
        <v>88</v>
      </c>
      <c r="C621" s="143" t="s">
        <v>89</v>
      </c>
      <c r="D621" s="143" t="s">
        <v>69</v>
      </c>
      <c r="E621" s="257">
        <v>74668200</v>
      </c>
      <c r="F621" s="257">
        <v>73525878</v>
      </c>
      <c r="G621" s="257">
        <v>73525878</v>
      </c>
      <c r="H621" s="257">
        <v>0</v>
      </c>
      <c r="I621" s="257">
        <v>0</v>
      </c>
      <c r="J621" s="257">
        <v>0</v>
      </c>
      <c r="K621" s="257">
        <v>26268272.719999999</v>
      </c>
      <c r="L621" s="257">
        <v>26268272.719999999</v>
      </c>
      <c r="M621" s="257">
        <v>47257605.280000001</v>
      </c>
      <c r="N621" s="257">
        <v>47257605.280000001</v>
      </c>
    </row>
    <row r="622" spans="1:14" s="143" customFormat="1" hidden="1" x14ac:dyDescent="0.25">
      <c r="A622" s="143" t="s">
        <v>715</v>
      </c>
      <c r="B622" s="143" t="s">
        <v>83</v>
      </c>
      <c r="C622" s="143" t="s">
        <v>84</v>
      </c>
      <c r="D622" s="143" t="s">
        <v>85</v>
      </c>
      <c r="E622" s="257">
        <v>74258811</v>
      </c>
      <c r="F622" s="257">
        <v>72712009</v>
      </c>
      <c r="G622" s="257">
        <v>72193501</v>
      </c>
      <c r="H622" s="257">
        <v>0</v>
      </c>
      <c r="I622" s="257">
        <v>0</v>
      </c>
      <c r="J622" s="257">
        <v>0</v>
      </c>
      <c r="K622" s="257">
        <v>0</v>
      </c>
      <c r="L622" s="257">
        <v>0</v>
      </c>
      <c r="M622" s="257">
        <v>72712009</v>
      </c>
      <c r="N622" s="257">
        <v>72193501</v>
      </c>
    </row>
    <row r="623" spans="1:14" s="143" customFormat="1" hidden="1" x14ac:dyDescent="0.25">
      <c r="A623" s="143" t="s">
        <v>715</v>
      </c>
      <c r="B623" s="143" t="s">
        <v>90</v>
      </c>
      <c r="C623" s="143" t="s">
        <v>91</v>
      </c>
      <c r="D623" s="143" t="s">
        <v>69</v>
      </c>
      <c r="E623" s="257">
        <v>86917540</v>
      </c>
      <c r="F623" s="257">
        <v>85107058</v>
      </c>
      <c r="G623" s="257">
        <v>84500160</v>
      </c>
      <c r="H623" s="257">
        <v>0</v>
      </c>
      <c r="I623" s="257">
        <v>54890490</v>
      </c>
      <c r="J623" s="257">
        <v>0</v>
      </c>
      <c r="K623" s="257">
        <v>29609670</v>
      </c>
      <c r="L623" s="257">
        <v>29609670</v>
      </c>
      <c r="M623" s="257">
        <v>606898</v>
      </c>
      <c r="N623" s="257">
        <v>0</v>
      </c>
    </row>
    <row r="624" spans="1:14" s="143" customFormat="1" hidden="1" x14ac:dyDescent="0.25">
      <c r="A624" s="143" t="s">
        <v>715</v>
      </c>
      <c r="B624" s="143" t="s">
        <v>425</v>
      </c>
      <c r="C624" s="143" t="s">
        <v>697</v>
      </c>
      <c r="D624" s="143" t="s">
        <v>69</v>
      </c>
      <c r="E624" s="257">
        <v>82460320</v>
      </c>
      <c r="F624" s="257">
        <v>80742683</v>
      </c>
      <c r="G624" s="257">
        <v>80166908</v>
      </c>
      <c r="H624" s="257">
        <v>0</v>
      </c>
      <c r="I624" s="257">
        <v>52075683</v>
      </c>
      <c r="J624" s="257">
        <v>0</v>
      </c>
      <c r="K624" s="257">
        <v>28091225</v>
      </c>
      <c r="L624" s="257">
        <v>28091225</v>
      </c>
      <c r="M624" s="257">
        <v>575775</v>
      </c>
      <c r="N624" s="257">
        <v>0</v>
      </c>
    </row>
    <row r="625" spans="1:14" s="143" customFormat="1" hidden="1" x14ac:dyDescent="0.25">
      <c r="A625" s="143" t="s">
        <v>715</v>
      </c>
      <c r="B625" s="143" t="s">
        <v>442</v>
      </c>
      <c r="C625" s="143" t="s">
        <v>95</v>
      </c>
      <c r="D625" s="143" t="s">
        <v>69</v>
      </c>
      <c r="E625" s="257">
        <v>4457220</v>
      </c>
      <c r="F625" s="257">
        <v>4364375</v>
      </c>
      <c r="G625" s="257">
        <v>4333252</v>
      </c>
      <c r="H625" s="257">
        <v>0</v>
      </c>
      <c r="I625" s="257">
        <v>2814807</v>
      </c>
      <c r="J625" s="257">
        <v>0</v>
      </c>
      <c r="K625" s="257">
        <v>1518445</v>
      </c>
      <c r="L625" s="257">
        <v>1518445</v>
      </c>
      <c r="M625" s="257">
        <v>31123</v>
      </c>
      <c r="N625" s="257">
        <v>0</v>
      </c>
    </row>
    <row r="626" spans="1:14" s="143" customFormat="1" hidden="1" x14ac:dyDescent="0.25">
      <c r="A626" s="143" t="s">
        <v>715</v>
      </c>
      <c r="B626" s="143" t="s">
        <v>96</v>
      </c>
      <c r="C626" s="143" t="s">
        <v>97</v>
      </c>
      <c r="D626" s="143" t="s">
        <v>69</v>
      </c>
      <c r="E626" s="257">
        <v>86917440</v>
      </c>
      <c r="F626" s="257">
        <v>85106959</v>
      </c>
      <c r="G626" s="257">
        <v>84500061</v>
      </c>
      <c r="H626" s="257">
        <v>0</v>
      </c>
      <c r="I626" s="257">
        <v>55001095</v>
      </c>
      <c r="J626" s="257">
        <v>0</v>
      </c>
      <c r="K626" s="257">
        <v>29498966</v>
      </c>
      <c r="L626" s="257">
        <v>29498966</v>
      </c>
      <c r="M626" s="257">
        <v>606898</v>
      </c>
      <c r="N626" s="257">
        <v>0</v>
      </c>
    </row>
    <row r="627" spans="1:14" s="143" customFormat="1" hidden="1" x14ac:dyDescent="0.25">
      <c r="A627" s="143" t="s">
        <v>715</v>
      </c>
      <c r="B627" s="143" t="s">
        <v>460</v>
      </c>
      <c r="C627" s="143" t="s">
        <v>698</v>
      </c>
      <c r="D627" s="143" t="s">
        <v>69</v>
      </c>
      <c r="E627" s="257">
        <v>46801760</v>
      </c>
      <c r="F627" s="257">
        <v>45826885</v>
      </c>
      <c r="G627" s="257">
        <v>45500094</v>
      </c>
      <c r="H627" s="257">
        <v>0</v>
      </c>
      <c r="I627" s="257">
        <v>29667129</v>
      </c>
      <c r="J627" s="257">
        <v>0</v>
      </c>
      <c r="K627" s="257">
        <v>15832965</v>
      </c>
      <c r="L627" s="257">
        <v>15832965</v>
      </c>
      <c r="M627" s="257">
        <v>326791</v>
      </c>
      <c r="N627" s="257">
        <v>0</v>
      </c>
    </row>
    <row r="628" spans="1:14" s="143" customFormat="1" hidden="1" x14ac:dyDescent="0.25">
      <c r="A628" s="143" t="s">
        <v>715</v>
      </c>
      <c r="B628" s="143" t="s">
        <v>477</v>
      </c>
      <c r="C628" s="143" t="s">
        <v>699</v>
      </c>
      <c r="D628" s="143" t="s">
        <v>69</v>
      </c>
      <c r="E628" s="257">
        <v>13371860</v>
      </c>
      <c r="F628" s="257">
        <v>13093325</v>
      </c>
      <c r="G628" s="257">
        <v>12999956</v>
      </c>
      <c r="H628" s="257">
        <v>0</v>
      </c>
      <c r="I628" s="257">
        <v>8444622</v>
      </c>
      <c r="J628" s="257">
        <v>0</v>
      </c>
      <c r="K628" s="257">
        <v>4555334</v>
      </c>
      <c r="L628" s="257">
        <v>4555334</v>
      </c>
      <c r="M628" s="257">
        <v>93369</v>
      </c>
      <c r="N628" s="257">
        <v>0</v>
      </c>
    </row>
    <row r="629" spans="1:14" s="143" customFormat="1" hidden="1" x14ac:dyDescent="0.25">
      <c r="A629" s="143" t="s">
        <v>715</v>
      </c>
      <c r="B629" s="143" t="s">
        <v>494</v>
      </c>
      <c r="C629" s="143" t="s">
        <v>700</v>
      </c>
      <c r="D629" s="143" t="s">
        <v>69</v>
      </c>
      <c r="E629" s="257">
        <v>26743820</v>
      </c>
      <c r="F629" s="257">
        <v>26186749</v>
      </c>
      <c r="G629" s="257">
        <v>26000011</v>
      </c>
      <c r="H629" s="257">
        <v>0</v>
      </c>
      <c r="I629" s="257">
        <v>16889344</v>
      </c>
      <c r="J629" s="257">
        <v>0</v>
      </c>
      <c r="K629" s="257">
        <v>9110667</v>
      </c>
      <c r="L629" s="257">
        <v>9110667</v>
      </c>
      <c r="M629" s="257">
        <v>186738</v>
      </c>
      <c r="N629" s="257">
        <v>0</v>
      </c>
    </row>
    <row r="630" spans="1:14" s="143" customFormat="1" hidden="1" x14ac:dyDescent="0.25">
      <c r="A630" s="143" t="s">
        <v>715</v>
      </c>
      <c r="B630" s="143" t="s">
        <v>104</v>
      </c>
      <c r="C630" s="143" t="s">
        <v>105</v>
      </c>
      <c r="D630" s="143" t="s">
        <v>69</v>
      </c>
      <c r="E630" s="257">
        <v>30265400</v>
      </c>
      <c r="F630" s="257">
        <v>30265400</v>
      </c>
      <c r="G630" s="257">
        <v>10955310</v>
      </c>
      <c r="H630" s="257">
        <v>0</v>
      </c>
      <c r="I630" s="257">
        <v>7233250.1699999999</v>
      </c>
      <c r="J630" s="257">
        <v>0</v>
      </c>
      <c r="K630" s="257">
        <v>3412669.83</v>
      </c>
      <c r="L630" s="257">
        <v>2676114.33</v>
      </c>
      <c r="M630" s="257">
        <v>19619480</v>
      </c>
      <c r="N630" s="257">
        <v>309390</v>
      </c>
    </row>
    <row r="631" spans="1:14" s="143" customFormat="1" hidden="1" x14ac:dyDescent="0.25">
      <c r="A631" s="143" t="s">
        <v>715</v>
      </c>
      <c r="B631" s="143" t="s">
        <v>112</v>
      </c>
      <c r="C631" s="143" t="s">
        <v>113</v>
      </c>
      <c r="D631" s="143" t="s">
        <v>69</v>
      </c>
      <c r="E631" s="257">
        <v>30265400</v>
      </c>
      <c r="F631" s="257">
        <v>30265400</v>
      </c>
      <c r="G631" s="257">
        <v>10955310</v>
      </c>
      <c r="H631" s="257">
        <v>0</v>
      </c>
      <c r="I631" s="257">
        <v>7233250.1699999999</v>
      </c>
      <c r="J631" s="257">
        <v>0</v>
      </c>
      <c r="K631" s="257">
        <v>3412669.83</v>
      </c>
      <c r="L631" s="257">
        <v>2676114.33</v>
      </c>
      <c r="M631" s="257">
        <v>19619480</v>
      </c>
      <c r="N631" s="257">
        <v>309390</v>
      </c>
    </row>
    <row r="632" spans="1:14" s="143" customFormat="1" hidden="1" x14ac:dyDescent="0.25">
      <c r="A632" s="143" t="s">
        <v>715</v>
      </c>
      <c r="B632" s="143" t="s">
        <v>114</v>
      </c>
      <c r="C632" s="143" t="s">
        <v>115</v>
      </c>
      <c r="D632" s="143" t="s">
        <v>69</v>
      </c>
      <c r="E632" s="257">
        <v>3196000</v>
      </c>
      <c r="F632" s="257">
        <v>3196000</v>
      </c>
      <c r="G632" s="257">
        <v>1598000</v>
      </c>
      <c r="H632" s="257">
        <v>0</v>
      </c>
      <c r="I632" s="257">
        <v>546066</v>
      </c>
      <c r="J632" s="257">
        <v>0</v>
      </c>
      <c r="K632" s="257">
        <v>1051934</v>
      </c>
      <c r="L632" s="257">
        <v>1051934</v>
      </c>
      <c r="M632" s="257">
        <v>1598000</v>
      </c>
      <c r="N632" s="257">
        <v>0</v>
      </c>
    </row>
    <row r="633" spans="1:14" s="143" customFormat="1" hidden="1" x14ac:dyDescent="0.25">
      <c r="A633" s="143" t="s">
        <v>715</v>
      </c>
      <c r="B633" s="143" t="s">
        <v>116</v>
      </c>
      <c r="C633" s="143" t="s">
        <v>117</v>
      </c>
      <c r="D633" s="143" t="s">
        <v>69</v>
      </c>
      <c r="E633" s="257">
        <v>21749400</v>
      </c>
      <c r="F633" s="257">
        <v>21749400</v>
      </c>
      <c r="G633" s="257">
        <v>6347310</v>
      </c>
      <c r="H633" s="257">
        <v>0</v>
      </c>
      <c r="I633" s="257">
        <v>4117032.39</v>
      </c>
      <c r="J633" s="257">
        <v>0</v>
      </c>
      <c r="K633" s="257">
        <v>2230277.61</v>
      </c>
      <c r="L633" s="257">
        <v>1493722.11</v>
      </c>
      <c r="M633" s="257">
        <v>15402090</v>
      </c>
      <c r="N633" s="257">
        <v>0</v>
      </c>
    </row>
    <row r="634" spans="1:14" s="143" customFormat="1" hidden="1" x14ac:dyDescent="0.25">
      <c r="A634" s="143" t="s">
        <v>715</v>
      </c>
      <c r="B634" s="143" t="s">
        <v>120</v>
      </c>
      <c r="C634" s="143" t="s">
        <v>121</v>
      </c>
      <c r="D634" s="143" t="s">
        <v>69</v>
      </c>
      <c r="E634" s="257">
        <v>4620000</v>
      </c>
      <c r="F634" s="257">
        <v>4620000</v>
      </c>
      <c r="G634" s="257">
        <v>2310000</v>
      </c>
      <c r="H634" s="257">
        <v>0</v>
      </c>
      <c r="I634" s="257">
        <v>2310000</v>
      </c>
      <c r="J634" s="257">
        <v>0</v>
      </c>
      <c r="K634" s="257">
        <v>0</v>
      </c>
      <c r="L634" s="257">
        <v>0</v>
      </c>
      <c r="M634" s="257">
        <v>2310000</v>
      </c>
      <c r="N634" s="257">
        <v>0</v>
      </c>
    </row>
    <row r="635" spans="1:14" s="143" customFormat="1" hidden="1" x14ac:dyDescent="0.25">
      <c r="A635" s="143" t="s">
        <v>715</v>
      </c>
      <c r="B635" s="143" t="s">
        <v>122</v>
      </c>
      <c r="C635" s="143" t="s">
        <v>123</v>
      </c>
      <c r="D635" s="143" t="s">
        <v>69</v>
      </c>
      <c r="E635" s="257">
        <v>700000</v>
      </c>
      <c r="F635" s="257">
        <v>700000</v>
      </c>
      <c r="G635" s="257">
        <v>700000</v>
      </c>
      <c r="H635" s="257">
        <v>0</v>
      </c>
      <c r="I635" s="257">
        <v>260151.78</v>
      </c>
      <c r="J635" s="257">
        <v>0</v>
      </c>
      <c r="K635" s="257">
        <v>130458.22</v>
      </c>
      <c r="L635" s="257">
        <v>130458.22</v>
      </c>
      <c r="M635" s="257">
        <v>309390</v>
      </c>
      <c r="N635" s="257">
        <v>309390</v>
      </c>
    </row>
    <row r="636" spans="1:14" s="143" customFormat="1" hidden="1" x14ac:dyDescent="0.25">
      <c r="A636" s="143" t="s">
        <v>715</v>
      </c>
      <c r="B636" s="143" t="s">
        <v>140</v>
      </c>
      <c r="C636" s="143" t="s">
        <v>141</v>
      </c>
      <c r="D636" s="143" t="s">
        <v>69</v>
      </c>
      <c r="E636" s="257">
        <v>0</v>
      </c>
      <c r="F636" s="257">
        <v>0</v>
      </c>
      <c r="G636" s="257">
        <v>0</v>
      </c>
      <c r="H636" s="257">
        <v>0</v>
      </c>
      <c r="I636" s="257">
        <v>0</v>
      </c>
      <c r="J636" s="257">
        <v>0</v>
      </c>
      <c r="K636" s="257">
        <v>0</v>
      </c>
      <c r="L636" s="257">
        <v>0</v>
      </c>
      <c r="M636" s="257">
        <v>0</v>
      </c>
      <c r="N636" s="257">
        <v>0</v>
      </c>
    </row>
    <row r="637" spans="1:14" s="143" customFormat="1" hidden="1" x14ac:dyDescent="0.25">
      <c r="A637" s="143" t="s">
        <v>715</v>
      </c>
      <c r="B637" s="143" t="s">
        <v>144</v>
      </c>
      <c r="C637" s="143" t="s">
        <v>145</v>
      </c>
      <c r="D637" s="143" t="s">
        <v>69</v>
      </c>
      <c r="E637" s="257">
        <v>0</v>
      </c>
      <c r="F637" s="257">
        <v>0</v>
      </c>
      <c r="G637" s="257">
        <v>0</v>
      </c>
      <c r="H637" s="257">
        <v>0</v>
      </c>
      <c r="I637" s="257">
        <v>0</v>
      </c>
      <c r="J637" s="257">
        <v>0</v>
      </c>
      <c r="K637" s="257">
        <v>0</v>
      </c>
      <c r="L637" s="257">
        <v>0</v>
      </c>
      <c r="M637" s="257">
        <v>0</v>
      </c>
      <c r="N637" s="257">
        <v>0</v>
      </c>
    </row>
    <row r="638" spans="1:14" s="143" customFormat="1" hidden="1" x14ac:dyDescent="0.25">
      <c r="A638" s="143" t="s">
        <v>715</v>
      </c>
      <c r="B638" s="143" t="s">
        <v>248</v>
      </c>
      <c r="C638" s="143" t="s">
        <v>249</v>
      </c>
      <c r="D638" s="143" t="s">
        <v>69</v>
      </c>
      <c r="E638" s="257">
        <v>18298122</v>
      </c>
      <c r="F638" s="257">
        <v>17989877</v>
      </c>
      <c r="G638" s="257">
        <v>17886548</v>
      </c>
      <c r="H638" s="257">
        <v>0</v>
      </c>
      <c r="I638" s="257">
        <v>9456015</v>
      </c>
      <c r="J638" s="257">
        <v>0</v>
      </c>
      <c r="K638" s="257">
        <v>7671661</v>
      </c>
      <c r="L638" s="257">
        <v>7671661</v>
      </c>
      <c r="M638" s="257">
        <v>862201</v>
      </c>
      <c r="N638" s="257">
        <v>758872</v>
      </c>
    </row>
    <row r="639" spans="1:14" s="143" customFormat="1" hidden="1" x14ac:dyDescent="0.25">
      <c r="A639" s="143" t="s">
        <v>715</v>
      </c>
      <c r="B639" s="143" t="s">
        <v>250</v>
      </c>
      <c r="C639" s="143" t="s">
        <v>251</v>
      </c>
      <c r="D639" s="143" t="s">
        <v>69</v>
      </c>
      <c r="E639" s="257">
        <v>14798122</v>
      </c>
      <c r="F639" s="257">
        <v>14489877</v>
      </c>
      <c r="G639" s="257">
        <v>14386548</v>
      </c>
      <c r="H639" s="257">
        <v>0</v>
      </c>
      <c r="I639" s="257">
        <v>9456015</v>
      </c>
      <c r="J639" s="257">
        <v>0</v>
      </c>
      <c r="K639" s="257">
        <v>4930533</v>
      </c>
      <c r="L639" s="257">
        <v>4930533</v>
      </c>
      <c r="M639" s="257">
        <v>103329</v>
      </c>
      <c r="N639" s="257">
        <v>0</v>
      </c>
    </row>
    <row r="640" spans="1:14" s="143" customFormat="1" hidden="1" x14ac:dyDescent="0.25">
      <c r="A640" s="143" t="s">
        <v>715</v>
      </c>
      <c r="B640" s="143" t="s">
        <v>634</v>
      </c>
      <c r="C640" s="143" t="s">
        <v>702</v>
      </c>
      <c r="D640" s="143" t="s">
        <v>69</v>
      </c>
      <c r="E640" s="257">
        <v>12569562</v>
      </c>
      <c r="F640" s="257">
        <v>12307739</v>
      </c>
      <c r="G640" s="257">
        <v>12219972</v>
      </c>
      <c r="H640" s="257">
        <v>0</v>
      </c>
      <c r="I640" s="257">
        <v>8048660</v>
      </c>
      <c r="J640" s="257">
        <v>0</v>
      </c>
      <c r="K640" s="257">
        <v>4171312</v>
      </c>
      <c r="L640" s="257">
        <v>4171312</v>
      </c>
      <c r="M640" s="257">
        <v>87767</v>
      </c>
      <c r="N640" s="257">
        <v>0</v>
      </c>
    </row>
    <row r="641" spans="1:14" s="143" customFormat="1" hidden="1" x14ac:dyDescent="0.25">
      <c r="A641" s="143" t="s">
        <v>715</v>
      </c>
      <c r="B641" s="143" t="s">
        <v>649</v>
      </c>
      <c r="C641" s="143" t="s">
        <v>703</v>
      </c>
      <c r="D641" s="143" t="s">
        <v>69</v>
      </c>
      <c r="E641" s="257">
        <v>2228560</v>
      </c>
      <c r="F641" s="257">
        <v>2182138</v>
      </c>
      <c r="G641" s="257">
        <v>2166576</v>
      </c>
      <c r="H641" s="257">
        <v>0</v>
      </c>
      <c r="I641" s="257">
        <v>1407355</v>
      </c>
      <c r="J641" s="257">
        <v>0</v>
      </c>
      <c r="K641" s="257">
        <v>759221</v>
      </c>
      <c r="L641" s="257">
        <v>759221</v>
      </c>
      <c r="M641" s="257">
        <v>15562</v>
      </c>
      <c r="N641" s="257">
        <v>0</v>
      </c>
    </row>
    <row r="642" spans="1:14" s="143" customFormat="1" hidden="1" x14ac:dyDescent="0.25">
      <c r="A642" s="143" t="s">
        <v>715</v>
      </c>
      <c r="B642" s="143" t="s">
        <v>260</v>
      </c>
      <c r="C642" s="143" t="s">
        <v>261</v>
      </c>
      <c r="D642" s="143" t="s">
        <v>69</v>
      </c>
      <c r="E642" s="257">
        <v>3500000</v>
      </c>
      <c r="F642" s="257">
        <v>3500000</v>
      </c>
      <c r="G642" s="257">
        <v>3500000</v>
      </c>
      <c r="H642" s="257">
        <v>0</v>
      </c>
      <c r="I642" s="257">
        <v>0</v>
      </c>
      <c r="J642" s="257">
        <v>0</v>
      </c>
      <c r="K642" s="257">
        <v>2741128</v>
      </c>
      <c r="L642" s="257">
        <v>2741128</v>
      </c>
      <c r="M642" s="257">
        <v>758872</v>
      </c>
      <c r="N642" s="257">
        <v>758872</v>
      </c>
    </row>
    <row r="643" spans="1:14" s="143" customFormat="1" hidden="1" x14ac:dyDescent="0.25">
      <c r="A643" s="143" t="s">
        <v>715</v>
      </c>
      <c r="B643" s="143" t="s">
        <v>264</v>
      </c>
      <c r="C643" s="143" t="s">
        <v>265</v>
      </c>
      <c r="D643" s="143" t="s">
        <v>69</v>
      </c>
      <c r="E643" s="257">
        <v>3500000</v>
      </c>
      <c r="F643" s="257">
        <v>3500000</v>
      </c>
      <c r="G643" s="257">
        <v>3500000</v>
      </c>
      <c r="H643" s="257">
        <v>0</v>
      </c>
      <c r="I643" s="257">
        <v>0</v>
      </c>
      <c r="J643" s="257">
        <v>0</v>
      </c>
      <c r="K643" s="257">
        <v>2741128</v>
      </c>
      <c r="L643" s="257">
        <v>2741128</v>
      </c>
      <c r="M643" s="257">
        <v>758872</v>
      </c>
      <c r="N643" s="257">
        <v>758872</v>
      </c>
    </row>
    <row r="644" spans="1:14" s="143" customFormat="1" x14ac:dyDescent="0.25">
      <c r="A644" s="487">
        <v>214789006</v>
      </c>
      <c r="D644" s="44" t="s">
        <v>69</v>
      </c>
      <c r="E644" s="257">
        <v>7207746597</v>
      </c>
      <c r="F644" s="50">
        <v>7206011789</v>
      </c>
      <c r="G644" s="257">
        <v>3739550939</v>
      </c>
      <c r="H644" s="50">
        <v>634642560</v>
      </c>
      <c r="I644" s="50">
        <v>29028399</v>
      </c>
      <c r="J644" s="50">
        <v>0</v>
      </c>
      <c r="K644" s="50">
        <v>2037130842.6800001</v>
      </c>
      <c r="L644" s="50">
        <v>2037130842.6800001</v>
      </c>
      <c r="M644" s="50">
        <v>4505209987.3199997</v>
      </c>
      <c r="N644" s="257">
        <v>1038749137.3200001</v>
      </c>
    </row>
    <row r="645" spans="1:14" s="143" customFormat="1" hidden="1" x14ac:dyDescent="0.25">
      <c r="A645" s="143" t="s">
        <v>716</v>
      </c>
      <c r="B645" s="143" t="s">
        <v>71</v>
      </c>
      <c r="C645" s="143" t="s">
        <v>72</v>
      </c>
      <c r="D645" s="143" t="s">
        <v>69</v>
      </c>
      <c r="E645" s="257">
        <v>273249937</v>
      </c>
      <c r="F645" s="257">
        <v>271537368</v>
      </c>
      <c r="G645" s="257">
        <v>269822981</v>
      </c>
      <c r="H645" s="257">
        <v>0</v>
      </c>
      <c r="I645" s="257">
        <v>26019260</v>
      </c>
      <c r="J645" s="257">
        <v>0</v>
      </c>
      <c r="K645" s="257">
        <v>101489172.26000001</v>
      </c>
      <c r="L645" s="257">
        <v>101489172.26000001</v>
      </c>
      <c r="M645" s="257">
        <v>144028935.74000001</v>
      </c>
      <c r="N645" s="257">
        <v>142314548.74000001</v>
      </c>
    </row>
    <row r="646" spans="1:14" s="143" customFormat="1" hidden="1" x14ac:dyDescent="0.25">
      <c r="A646" s="143" t="s">
        <v>716</v>
      </c>
      <c r="B646" s="143" t="s">
        <v>73</v>
      </c>
      <c r="C646" s="143" t="s">
        <v>74</v>
      </c>
      <c r="D646" s="143" t="s">
        <v>69</v>
      </c>
      <c r="E646" s="257">
        <v>97637632</v>
      </c>
      <c r="F646" s="257">
        <v>96661384</v>
      </c>
      <c r="G646" s="257">
        <v>96661384</v>
      </c>
      <c r="H646" s="257">
        <v>0</v>
      </c>
      <c r="I646" s="257">
        <v>0</v>
      </c>
      <c r="J646" s="257">
        <v>0</v>
      </c>
      <c r="K646" s="257">
        <v>38334276.990000002</v>
      </c>
      <c r="L646" s="257">
        <v>38334276.990000002</v>
      </c>
      <c r="M646" s="257">
        <v>58327107.009999998</v>
      </c>
      <c r="N646" s="257">
        <v>58327107.009999998</v>
      </c>
    </row>
    <row r="647" spans="1:14" s="143" customFormat="1" hidden="1" x14ac:dyDescent="0.25">
      <c r="A647" s="143" t="s">
        <v>716</v>
      </c>
      <c r="B647" s="143" t="s">
        <v>75</v>
      </c>
      <c r="C647" s="143" t="s">
        <v>76</v>
      </c>
      <c r="D647" s="143" t="s">
        <v>69</v>
      </c>
      <c r="E647" s="257">
        <v>97637632</v>
      </c>
      <c r="F647" s="257">
        <v>96661384</v>
      </c>
      <c r="G647" s="257">
        <v>96661384</v>
      </c>
      <c r="H647" s="257">
        <v>0</v>
      </c>
      <c r="I647" s="257">
        <v>0</v>
      </c>
      <c r="J647" s="257">
        <v>0</v>
      </c>
      <c r="K647" s="257">
        <v>38334276.990000002</v>
      </c>
      <c r="L647" s="257">
        <v>38334276.990000002</v>
      </c>
      <c r="M647" s="257">
        <v>58327107.009999998</v>
      </c>
      <c r="N647" s="257">
        <v>58327107.009999998</v>
      </c>
    </row>
    <row r="648" spans="1:14" s="143" customFormat="1" hidden="1" x14ac:dyDescent="0.25">
      <c r="A648" s="143" t="s">
        <v>716</v>
      </c>
      <c r="B648" s="143" t="s">
        <v>77</v>
      </c>
      <c r="C648" s="143" t="s">
        <v>78</v>
      </c>
      <c r="D648" s="143" t="s">
        <v>69</v>
      </c>
      <c r="E648" s="257">
        <v>133929275</v>
      </c>
      <c r="F648" s="257">
        <v>133454197</v>
      </c>
      <c r="G648" s="257">
        <v>132001335</v>
      </c>
      <c r="H648" s="257">
        <v>0</v>
      </c>
      <c r="I648" s="257">
        <v>0</v>
      </c>
      <c r="J648" s="257">
        <v>0</v>
      </c>
      <c r="K648" s="257">
        <v>48013893.270000003</v>
      </c>
      <c r="L648" s="257">
        <v>48013893.270000003</v>
      </c>
      <c r="M648" s="257">
        <v>85440303.730000004</v>
      </c>
      <c r="N648" s="257">
        <v>83987441.730000004</v>
      </c>
    </row>
    <row r="649" spans="1:14" s="143" customFormat="1" hidden="1" x14ac:dyDescent="0.25">
      <c r="A649" s="143" t="s">
        <v>716</v>
      </c>
      <c r="B649" s="143" t="s">
        <v>79</v>
      </c>
      <c r="C649" s="143" t="s">
        <v>80</v>
      </c>
      <c r="D649" s="143" t="s">
        <v>69</v>
      </c>
      <c r="E649" s="257">
        <v>34862400</v>
      </c>
      <c r="F649" s="257">
        <v>34862400</v>
      </c>
      <c r="G649" s="257">
        <v>33521255</v>
      </c>
      <c r="H649" s="257">
        <v>0</v>
      </c>
      <c r="I649" s="257">
        <v>0</v>
      </c>
      <c r="J649" s="257">
        <v>0</v>
      </c>
      <c r="K649" s="257">
        <v>13561778.609999999</v>
      </c>
      <c r="L649" s="257">
        <v>13561778.609999999</v>
      </c>
      <c r="M649" s="257">
        <v>21300621.390000001</v>
      </c>
      <c r="N649" s="257">
        <v>19959476.390000001</v>
      </c>
    </row>
    <row r="650" spans="1:14" s="143" customFormat="1" hidden="1" x14ac:dyDescent="0.25">
      <c r="A650" s="143" t="s">
        <v>716</v>
      </c>
      <c r="B650" s="143" t="s">
        <v>81</v>
      </c>
      <c r="C650" s="143" t="s">
        <v>82</v>
      </c>
      <c r="D650" s="143" t="s">
        <v>69</v>
      </c>
      <c r="E650" s="257">
        <v>32733979</v>
      </c>
      <c r="F650" s="257">
        <v>32370500</v>
      </c>
      <c r="G650" s="257">
        <v>32370500</v>
      </c>
      <c r="H650" s="257">
        <v>0</v>
      </c>
      <c r="I650" s="257">
        <v>0</v>
      </c>
      <c r="J650" s="257">
        <v>0</v>
      </c>
      <c r="K650" s="257">
        <v>12040014.369999999</v>
      </c>
      <c r="L650" s="257">
        <v>12040014.369999999</v>
      </c>
      <c r="M650" s="257">
        <v>20330485.629999999</v>
      </c>
      <c r="N650" s="257">
        <v>20330485.629999999</v>
      </c>
    </row>
    <row r="651" spans="1:14" s="143" customFormat="1" hidden="1" x14ac:dyDescent="0.25">
      <c r="A651" s="143" t="s">
        <v>716</v>
      </c>
      <c r="B651" s="143" t="s">
        <v>86</v>
      </c>
      <c r="C651" s="143" t="s">
        <v>87</v>
      </c>
      <c r="D651" s="143" t="s">
        <v>69</v>
      </c>
      <c r="E651" s="257">
        <v>16387600</v>
      </c>
      <c r="F651" s="257">
        <v>16387600</v>
      </c>
      <c r="G651" s="257">
        <v>16387600</v>
      </c>
      <c r="H651" s="257">
        <v>0</v>
      </c>
      <c r="I651" s="257">
        <v>0</v>
      </c>
      <c r="J651" s="257">
        <v>0</v>
      </c>
      <c r="K651" s="257">
        <v>9494365.5</v>
      </c>
      <c r="L651" s="257">
        <v>9494365.5</v>
      </c>
      <c r="M651" s="257">
        <v>6893234.5</v>
      </c>
      <c r="N651" s="257">
        <v>6893234.5</v>
      </c>
    </row>
    <row r="652" spans="1:14" s="143" customFormat="1" hidden="1" x14ac:dyDescent="0.25">
      <c r="A652" s="143" t="s">
        <v>716</v>
      </c>
      <c r="B652" s="143" t="s">
        <v>88</v>
      </c>
      <c r="C652" s="143" t="s">
        <v>89</v>
      </c>
      <c r="D652" s="143" t="s">
        <v>69</v>
      </c>
      <c r="E652" s="257">
        <v>32139100</v>
      </c>
      <c r="F652" s="257">
        <v>32139100</v>
      </c>
      <c r="G652" s="257">
        <v>32139100</v>
      </c>
      <c r="H652" s="257">
        <v>0</v>
      </c>
      <c r="I652" s="257">
        <v>0</v>
      </c>
      <c r="J652" s="257">
        <v>0</v>
      </c>
      <c r="K652" s="257">
        <v>12917734.789999999</v>
      </c>
      <c r="L652" s="257">
        <v>12917734.789999999</v>
      </c>
      <c r="M652" s="257">
        <v>19221365.210000001</v>
      </c>
      <c r="N652" s="257">
        <v>19221365.210000001</v>
      </c>
    </row>
    <row r="653" spans="1:14" s="143" customFormat="1" hidden="1" x14ac:dyDescent="0.25">
      <c r="A653" s="143" t="s">
        <v>716</v>
      </c>
      <c r="B653" s="143" t="s">
        <v>83</v>
      </c>
      <c r="C653" s="143" t="s">
        <v>84</v>
      </c>
      <c r="D653" s="143" t="s">
        <v>85</v>
      </c>
      <c r="E653" s="257">
        <v>17806196</v>
      </c>
      <c r="F653" s="257">
        <v>17694597</v>
      </c>
      <c r="G653" s="257">
        <v>17582880</v>
      </c>
      <c r="H653" s="257">
        <v>0</v>
      </c>
      <c r="I653" s="257">
        <v>0</v>
      </c>
      <c r="J653" s="257">
        <v>0</v>
      </c>
      <c r="K653" s="257">
        <v>0</v>
      </c>
      <c r="L653" s="257">
        <v>0</v>
      </c>
      <c r="M653" s="257">
        <v>17694597</v>
      </c>
      <c r="N653" s="257">
        <v>17582880</v>
      </c>
    </row>
    <row r="654" spans="1:14" s="143" customFormat="1" hidden="1" x14ac:dyDescent="0.25">
      <c r="A654" s="143" t="s">
        <v>716</v>
      </c>
      <c r="B654" s="143" t="s">
        <v>90</v>
      </c>
      <c r="C654" s="143" t="s">
        <v>91</v>
      </c>
      <c r="D654" s="143" t="s">
        <v>69</v>
      </c>
      <c r="E654" s="257">
        <v>20841515</v>
      </c>
      <c r="F654" s="257">
        <v>20710893</v>
      </c>
      <c r="G654" s="257">
        <v>20580131</v>
      </c>
      <c r="H654" s="257">
        <v>0</v>
      </c>
      <c r="I654" s="257">
        <v>12996218</v>
      </c>
      <c r="J654" s="257">
        <v>0</v>
      </c>
      <c r="K654" s="257">
        <v>7583913</v>
      </c>
      <c r="L654" s="257">
        <v>7583913</v>
      </c>
      <c r="M654" s="257">
        <v>130762</v>
      </c>
      <c r="N654" s="257">
        <v>0</v>
      </c>
    </row>
    <row r="655" spans="1:14" s="143" customFormat="1" hidden="1" x14ac:dyDescent="0.25">
      <c r="A655" s="143" t="s">
        <v>716</v>
      </c>
      <c r="B655" s="143" t="s">
        <v>426</v>
      </c>
      <c r="C655" s="143" t="s">
        <v>697</v>
      </c>
      <c r="D655" s="143" t="s">
        <v>69</v>
      </c>
      <c r="E655" s="257">
        <v>19772804</v>
      </c>
      <c r="F655" s="257">
        <v>19648880</v>
      </c>
      <c r="G655" s="257">
        <v>19524824</v>
      </c>
      <c r="H655" s="257">
        <v>0</v>
      </c>
      <c r="I655" s="257">
        <v>12329829</v>
      </c>
      <c r="J655" s="257">
        <v>0</v>
      </c>
      <c r="K655" s="257">
        <v>7194995</v>
      </c>
      <c r="L655" s="257">
        <v>7194995</v>
      </c>
      <c r="M655" s="257">
        <v>124056</v>
      </c>
      <c r="N655" s="257">
        <v>0</v>
      </c>
    </row>
    <row r="656" spans="1:14" s="143" customFormat="1" hidden="1" x14ac:dyDescent="0.25">
      <c r="A656" s="143" t="s">
        <v>716</v>
      </c>
      <c r="B656" s="143" t="s">
        <v>443</v>
      </c>
      <c r="C656" s="143" t="s">
        <v>95</v>
      </c>
      <c r="D656" s="143" t="s">
        <v>69</v>
      </c>
      <c r="E656" s="257">
        <v>1068711</v>
      </c>
      <c r="F656" s="257">
        <v>1062013</v>
      </c>
      <c r="G656" s="257">
        <v>1055307</v>
      </c>
      <c r="H656" s="257">
        <v>0</v>
      </c>
      <c r="I656" s="257">
        <v>666389</v>
      </c>
      <c r="J656" s="257">
        <v>0</v>
      </c>
      <c r="K656" s="257">
        <v>388918</v>
      </c>
      <c r="L656" s="257">
        <v>388918</v>
      </c>
      <c r="M656" s="257">
        <v>6706</v>
      </c>
      <c r="N656" s="257">
        <v>0</v>
      </c>
    </row>
    <row r="657" spans="1:14" s="143" customFormat="1" hidden="1" x14ac:dyDescent="0.25">
      <c r="A657" s="143" t="s">
        <v>716</v>
      </c>
      <c r="B657" s="143" t="s">
        <v>96</v>
      </c>
      <c r="C657" s="143" t="s">
        <v>97</v>
      </c>
      <c r="D657" s="143" t="s">
        <v>69</v>
      </c>
      <c r="E657" s="257">
        <v>20841515</v>
      </c>
      <c r="F657" s="257">
        <v>20710894</v>
      </c>
      <c r="G657" s="257">
        <v>20580131</v>
      </c>
      <c r="H657" s="257">
        <v>0</v>
      </c>
      <c r="I657" s="257">
        <v>13023042</v>
      </c>
      <c r="J657" s="257">
        <v>0</v>
      </c>
      <c r="K657" s="257">
        <v>7557089</v>
      </c>
      <c r="L657" s="257">
        <v>7557089</v>
      </c>
      <c r="M657" s="257">
        <v>130763</v>
      </c>
      <c r="N657" s="257">
        <v>0</v>
      </c>
    </row>
    <row r="658" spans="1:14" s="143" customFormat="1" hidden="1" x14ac:dyDescent="0.25">
      <c r="A658" s="143" t="s">
        <v>716</v>
      </c>
      <c r="B658" s="143" t="s">
        <v>461</v>
      </c>
      <c r="C658" s="143" t="s">
        <v>698</v>
      </c>
      <c r="D658" s="143" t="s">
        <v>69</v>
      </c>
      <c r="E658" s="257">
        <v>11222416</v>
      </c>
      <c r="F658" s="257">
        <v>11152081</v>
      </c>
      <c r="G658" s="257">
        <v>11081671</v>
      </c>
      <c r="H658" s="257">
        <v>0</v>
      </c>
      <c r="I658" s="257">
        <v>7024851</v>
      </c>
      <c r="J658" s="257">
        <v>0</v>
      </c>
      <c r="K658" s="257">
        <v>4056820</v>
      </c>
      <c r="L658" s="257">
        <v>4056820</v>
      </c>
      <c r="M658" s="257">
        <v>70410</v>
      </c>
      <c r="N658" s="257">
        <v>0</v>
      </c>
    </row>
    <row r="659" spans="1:14" s="143" customFormat="1" hidden="1" x14ac:dyDescent="0.25">
      <c r="A659" s="143" t="s">
        <v>716</v>
      </c>
      <c r="B659" s="143" t="s">
        <v>478</v>
      </c>
      <c r="C659" s="143" t="s">
        <v>699</v>
      </c>
      <c r="D659" s="143" t="s">
        <v>69</v>
      </c>
      <c r="E659" s="257">
        <v>3206333</v>
      </c>
      <c r="F659" s="257">
        <v>3186238</v>
      </c>
      <c r="G659" s="257">
        <v>3166120</v>
      </c>
      <c r="H659" s="257">
        <v>0</v>
      </c>
      <c r="I659" s="257">
        <v>1999364</v>
      </c>
      <c r="J659" s="257">
        <v>0</v>
      </c>
      <c r="K659" s="257">
        <v>1166756</v>
      </c>
      <c r="L659" s="257">
        <v>1166756</v>
      </c>
      <c r="M659" s="257">
        <v>20118</v>
      </c>
      <c r="N659" s="257">
        <v>0</v>
      </c>
    </row>
    <row r="660" spans="1:14" s="143" customFormat="1" hidden="1" x14ac:dyDescent="0.25">
      <c r="A660" s="143" t="s">
        <v>716</v>
      </c>
      <c r="B660" s="143" t="s">
        <v>495</v>
      </c>
      <c r="C660" s="143" t="s">
        <v>700</v>
      </c>
      <c r="D660" s="143" t="s">
        <v>69</v>
      </c>
      <c r="E660" s="257">
        <v>6412766</v>
      </c>
      <c r="F660" s="257">
        <v>6372575</v>
      </c>
      <c r="G660" s="257">
        <v>6332340</v>
      </c>
      <c r="H660" s="257">
        <v>0</v>
      </c>
      <c r="I660" s="257">
        <v>3998827</v>
      </c>
      <c r="J660" s="257">
        <v>0</v>
      </c>
      <c r="K660" s="257">
        <v>2333513</v>
      </c>
      <c r="L660" s="257">
        <v>2333513</v>
      </c>
      <c r="M660" s="257">
        <v>40235</v>
      </c>
      <c r="N660" s="257">
        <v>0</v>
      </c>
    </row>
    <row r="661" spans="1:14" s="143" customFormat="1" hidden="1" x14ac:dyDescent="0.25">
      <c r="A661" s="143" t="s">
        <v>716</v>
      </c>
      <c r="B661" s="143" t="s">
        <v>104</v>
      </c>
      <c r="C661" s="143" t="s">
        <v>105</v>
      </c>
      <c r="D661" s="143" t="s">
        <v>69</v>
      </c>
      <c r="E661" s="257">
        <v>6929448400</v>
      </c>
      <c r="F661" s="257">
        <v>6929448400</v>
      </c>
      <c r="G661" s="257">
        <v>3464724200</v>
      </c>
      <c r="H661" s="257">
        <v>634642560</v>
      </c>
      <c r="I661" s="257">
        <v>769764</v>
      </c>
      <c r="J661" s="257">
        <v>0</v>
      </c>
      <c r="K661" s="257">
        <v>1934377287.4200001</v>
      </c>
      <c r="L661" s="257">
        <v>1934377287.4200001</v>
      </c>
      <c r="M661" s="257">
        <v>4359658788.5799999</v>
      </c>
      <c r="N661" s="257">
        <v>894934588.58000004</v>
      </c>
    </row>
    <row r="662" spans="1:14" s="143" customFormat="1" hidden="1" x14ac:dyDescent="0.25">
      <c r="A662" s="143" t="s">
        <v>716</v>
      </c>
      <c r="B662" s="143" t="s">
        <v>106</v>
      </c>
      <c r="C662" s="143" t="s">
        <v>107</v>
      </c>
      <c r="D662" s="143" t="s">
        <v>69</v>
      </c>
      <c r="E662" s="257">
        <v>6927908871</v>
      </c>
      <c r="F662" s="257">
        <v>6927908871</v>
      </c>
      <c r="G662" s="257">
        <v>3463954436</v>
      </c>
      <c r="H662" s="257">
        <v>634642560</v>
      </c>
      <c r="I662" s="257">
        <v>0</v>
      </c>
      <c r="J662" s="257">
        <v>0</v>
      </c>
      <c r="K662" s="257">
        <v>1934377287.4200001</v>
      </c>
      <c r="L662" s="257">
        <v>1934377287.4200001</v>
      </c>
      <c r="M662" s="257">
        <v>4358889023.5799999</v>
      </c>
      <c r="N662" s="257">
        <v>894934588.58000004</v>
      </c>
    </row>
    <row r="663" spans="1:14" s="143" customFormat="1" hidden="1" x14ac:dyDescent="0.25">
      <c r="A663" s="143" t="s">
        <v>716</v>
      </c>
      <c r="B663" s="143" t="s">
        <v>110</v>
      </c>
      <c r="C663" s="143" t="s">
        <v>111</v>
      </c>
      <c r="D663" s="143" t="s">
        <v>69</v>
      </c>
      <c r="E663" s="257">
        <v>6927908871</v>
      </c>
      <c r="F663" s="257">
        <v>6927908871</v>
      </c>
      <c r="G663" s="257">
        <v>3463954436</v>
      </c>
      <c r="H663" s="257">
        <v>634642560</v>
      </c>
      <c r="I663" s="257">
        <v>0</v>
      </c>
      <c r="J663" s="257">
        <v>0</v>
      </c>
      <c r="K663" s="257">
        <v>1934377287.4200001</v>
      </c>
      <c r="L663" s="257">
        <v>1934377287.4200001</v>
      </c>
      <c r="M663" s="257">
        <v>4358889023.5799999</v>
      </c>
      <c r="N663" s="257">
        <v>894934588.58000004</v>
      </c>
    </row>
    <row r="664" spans="1:14" s="143" customFormat="1" hidden="1" x14ac:dyDescent="0.25">
      <c r="A664" s="143" t="s">
        <v>716</v>
      </c>
      <c r="B664" s="143" t="s">
        <v>112</v>
      </c>
      <c r="C664" s="143" t="s">
        <v>113</v>
      </c>
      <c r="D664" s="143" t="s">
        <v>69</v>
      </c>
      <c r="E664" s="257">
        <v>1539529</v>
      </c>
      <c r="F664" s="257">
        <v>1539529</v>
      </c>
      <c r="G664" s="257">
        <v>769764</v>
      </c>
      <c r="H664" s="257">
        <v>0</v>
      </c>
      <c r="I664" s="257">
        <v>769764</v>
      </c>
      <c r="J664" s="257">
        <v>0</v>
      </c>
      <c r="K664" s="257">
        <v>0</v>
      </c>
      <c r="L664" s="257">
        <v>0</v>
      </c>
      <c r="M664" s="257">
        <v>769765</v>
      </c>
      <c r="N664" s="257">
        <v>0</v>
      </c>
    </row>
    <row r="665" spans="1:14" s="143" customFormat="1" hidden="1" x14ac:dyDescent="0.25">
      <c r="A665" s="143" t="s">
        <v>716</v>
      </c>
      <c r="B665" s="143" t="s">
        <v>120</v>
      </c>
      <c r="C665" s="143" t="s">
        <v>121</v>
      </c>
      <c r="D665" s="143" t="s">
        <v>69</v>
      </c>
      <c r="E665" s="257">
        <v>1539529</v>
      </c>
      <c r="F665" s="257">
        <v>1539529</v>
      </c>
      <c r="G665" s="257">
        <v>769764</v>
      </c>
      <c r="H665" s="257">
        <v>0</v>
      </c>
      <c r="I665" s="257">
        <v>769764</v>
      </c>
      <c r="J665" s="257">
        <v>0</v>
      </c>
      <c r="K665" s="257">
        <v>0</v>
      </c>
      <c r="L665" s="257">
        <v>0</v>
      </c>
      <c r="M665" s="257">
        <v>769765</v>
      </c>
      <c r="N665" s="257">
        <v>0</v>
      </c>
    </row>
    <row r="666" spans="1:14" s="143" customFormat="1" hidden="1" x14ac:dyDescent="0.25">
      <c r="A666" s="143" t="s">
        <v>716</v>
      </c>
      <c r="B666" s="143" t="s">
        <v>248</v>
      </c>
      <c r="C666" s="143" t="s">
        <v>249</v>
      </c>
      <c r="D666" s="143" t="s">
        <v>69</v>
      </c>
      <c r="E666" s="257">
        <v>5048260</v>
      </c>
      <c r="F666" s="257">
        <v>5026021</v>
      </c>
      <c r="G666" s="257">
        <v>5003758</v>
      </c>
      <c r="H666" s="257">
        <v>0</v>
      </c>
      <c r="I666" s="257">
        <v>2239375</v>
      </c>
      <c r="J666" s="257">
        <v>0</v>
      </c>
      <c r="K666" s="257">
        <v>1264383</v>
      </c>
      <c r="L666" s="257">
        <v>1264383</v>
      </c>
      <c r="M666" s="257">
        <v>1522263</v>
      </c>
      <c r="N666" s="257">
        <v>1500000</v>
      </c>
    </row>
    <row r="667" spans="1:14" s="143" customFormat="1" hidden="1" x14ac:dyDescent="0.25">
      <c r="A667" s="143" t="s">
        <v>716</v>
      </c>
      <c r="B667" s="143" t="s">
        <v>250</v>
      </c>
      <c r="C667" s="143" t="s">
        <v>251</v>
      </c>
      <c r="D667" s="143" t="s">
        <v>69</v>
      </c>
      <c r="E667" s="257">
        <v>3548260</v>
      </c>
      <c r="F667" s="257">
        <v>3526021</v>
      </c>
      <c r="G667" s="257">
        <v>3503758</v>
      </c>
      <c r="H667" s="257">
        <v>0</v>
      </c>
      <c r="I667" s="257">
        <v>2239375</v>
      </c>
      <c r="J667" s="257">
        <v>0</v>
      </c>
      <c r="K667" s="257">
        <v>1264383</v>
      </c>
      <c r="L667" s="257">
        <v>1264383</v>
      </c>
      <c r="M667" s="257">
        <v>22263</v>
      </c>
      <c r="N667" s="257">
        <v>0</v>
      </c>
    </row>
    <row r="668" spans="1:14" s="143" customFormat="1" hidden="1" x14ac:dyDescent="0.25">
      <c r="A668" s="143" t="s">
        <v>716</v>
      </c>
      <c r="B668" s="143" t="s">
        <v>635</v>
      </c>
      <c r="C668" s="143" t="s">
        <v>702</v>
      </c>
      <c r="D668" s="143" t="s">
        <v>69</v>
      </c>
      <c r="E668" s="257">
        <v>3013955</v>
      </c>
      <c r="F668" s="257">
        <v>2995065</v>
      </c>
      <c r="G668" s="257">
        <v>2976155</v>
      </c>
      <c r="H668" s="257">
        <v>0</v>
      </c>
      <c r="I668" s="257">
        <v>1906230</v>
      </c>
      <c r="J668" s="257">
        <v>0</v>
      </c>
      <c r="K668" s="257">
        <v>1069925</v>
      </c>
      <c r="L668" s="257">
        <v>1069925</v>
      </c>
      <c r="M668" s="257">
        <v>18910</v>
      </c>
      <c r="N668" s="257">
        <v>0</v>
      </c>
    </row>
    <row r="669" spans="1:14" s="143" customFormat="1" hidden="1" x14ac:dyDescent="0.25">
      <c r="A669" s="143" t="s">
        <v>716</v>
      </c>
      <c r="B669" s="143" t="s">
        <v>650</v>
      </c>
      <c r="C669" s="143" t="s">
        <v>703</v>
      </c>
      <c r="D669" s="143" t="s">
        <v>69</v>
      </c>
      <c r="E669" s="257">
        <v>534305</v>
      </c>
      <c r="F669" s="257">
        <v>530956</v>
      </c>
      <c r="G669" s="257">
        <v>527603</v>
      </c>
      <c r="H669" s="257">
        <v>0</v>
      </c>
      <c r="I669" s="257">
        <v>333145</v>
      </c>
      <c r="J669" s="257">
        <v>0</v>
      </c>
      <c r="K669" s="257">
        <v>194458</v>
      </c>
      <c r="L669" s="257">
        <v>194458</v>
      </c>
      <c r="M669" s="257">
        <v>3353</v>
      </c>
      <c r="N669" s="257">
        <v>0</v>
      </c>
    </row>
    <row r="670" spans="1:14" s="143" customFormat="1" hidden="1" x14ac:dyDescent="0.25">
      <c r="A670" s="143" t="s">
        <v>716</v>
      </c>
      <c r="B670" s="143" t="s">
        <v>260</v>
      </c>
      <c r="C670" s="143" t="s">
        <v>261</v>
      </c>
      <c r="D670" s="143" t="s">
        <v>69</v>
      </c>
      <c r="E670" s="257">
        <v>1500000</v>
      </c>
      <c r="F670" s="257">
        <v>1500000</v>
      </c>
      <c r="G670" s="257">
        <v>1500000</v>
      </c>
      <c r="H670" s="257">
        <v>0</v>
      </c>
      <c r="I670" s="257">
        <v>0</v>
      </c>
      <c r="J670" s="257">
        <v>0</v>
      </c>
      <c r="K670" s="257">
        <v>0</v>
      </c>
      <c r="L670" s="257">
        <v>0</v>
      </c>
      <c r="M670" s="257">
        <v>1500000</v>
      </c>
      <c r="N670" s="257">
        <v>1500000</v>
      </c>
    </row>
    <row r="671" spans="1:14" s="143" customFormat="1" hidden="1" x14ac:dyDescent="0.25">
      <c r="A671" s="143" t="s">
        <v>716</v>
      </c>
      <c r="B671" s="143" t="s">
        <v>264</v>
      </c>
      <c r="C671" s="143" t="s">
        <v>265</v>
      </c>
      <c r="D671" s="143" t="s">
        <v>69</v>
      </c>
      <c r="E671" s="257">
        <v>1500000</v>
      </c>
      <c r="F671" s="257">
        <v>1500000</v>
      </c>
      <c r="G671" s="257">
        <v>1500000</v>
      </c>
      <c r="H671" s="257">
        <v>0</v>
      </c>
      <c r="I671" s="257">
        <v>0</v>
      </c>
      <c r="J671" s="257">
        <v>0</v>
      </c>
      <c r="K671" s="257">
        <v>0</v>
      </c>
      <c r="L671" s="257">
        <v>0</v>
      </c>
      <c r="M671" s="257">
        <v>1500000</v>
      </c>
      <c r="N671" s="257">
        <v>1500000</v>
      </c>
    </row>
    <row r="672" spans="1:14" s="143" customFormat="1" x14ac:dyDescent="0.25">
      <c r="A672" s="44">
        <v>214790</v>
      </c>
      <c r="D672" s="44" t="s">
        <v>69</v>
      </c>
      <c r="E672" s="257">
        <v>1417740073</v>
      </c>
      <c r="F672" s="50">
        <v>1321552517</v>
      </c>
      <c r="G672" s="257">
        <v>1177796124.0799999</v>
      </c>
      <c r="H672" s="50">
        <v>0</v>
      </c>
      <c r="I672" s="50">
        <v>136735309.05000001</v>
      </c>
      <c r="J672" s="50">
        <v>1443281.63</v>
      </c>
      <c r="K672" s="50">
        <v>445603390.69</v>
      </c>
      <c r="L672" s="50">
        <v>444461191.94999999</v>
      </c>
      <c r="M672" s="50">
        <v>737770535.63</v>
      </c>
      <c r="N672" s="257">
        <v>594014142.71000004</v>
      </c>
    </row>
    <row r="673" spans="1:14" s="143" customFormat="1" hidden="1" x14ac:dyDescent="0.25">
      <c r="A673" s="143" t="s">
        <v>717</v>
      </c>
      <c r="B673" s="143" t="s">
        <v>71</v>
      </c>
      <c r="C673" s="143" t="s">
        <v>72</v>
      </c>
      <c r="D673" s="143" t="s">
        <v>69</v>
      </c>
      <c r="E673" s="257">
        <v>1125132721</v>
      </c>
      <c r="F673" s="257">
        <v>1096513206</v>
      </c>
      <c r="G673" s="257">
        <v>1089706735</v>
      </c>
      <c r="H673" s="257">
        <v>0</v>
      </c>
      <c r="I673" s="257">
        <v>97903366</v>
      </c>
      <c r="J673" s="257">
        <v>0</v>
      </c>
      <c r="K673" s="257">
        <v>420351173.07999998</v>
      </c>
      <c r="L673" s="257">
        <v>420351173.07999998</v>
      </c>
      <c r="M673" s="257">
        <v>578258666.91999996</v>
      </c>
      <c r="N673" s="257">
        <v>571452195.91999996</v>
      </c>
    </row>
    <row r="674" spans="1:14" s="143" customFormat="1" hidden="1" x14ac:dyDescent="0.25">
      <c r="A674" s="143" t="s">
        <v>717</v>
      </c>
      <c r="B674" s="143" t="s">
        <v>73</v>
      </c>
      <c r="C674" s="143" t="s">
        <v>74</v>
      </c>
      <c r="D674" s="143" t="s">
        <v>69</v>
      </c>
      <c r="E674" s="257">
        <v>456307400</v>
      </c>
      <c r="F674" s="257">
        <v>441766100</v>
      </c>
      <c r="G674" s="257">
        <v>441766100</v>
      </c>
      <c r="H674" s="257">
        <v>0</v>
      </c>
      <c r="I674" s="257">
        <v>0</v>
      </c>
      <c r="J674" s="257">
        <v>0</v>
      </c>
      <c r="K674" s="257">
        <v>171579554.90000001</v>
      </c>
      <c r="L674" s="257">
        <v>171579554.90000001</v>
      </c>
      <c r="M674" s="257">
        <v>270186545.10000002</v>
      </c>
      <c r="N674" s="257">
        <v>270186545.10000002</v>
      </c>
    </row>
    <row r="675" spans="1:14" s="143" customFormat="1" hidden="1" x14ac:dyDescent="0.25">
      <c r="A675" s="143" t="s">
        <v>717</v>
      </c>
      <c r="B675" s="143" t="s">
        <v>75</v>
      </c>
      <c r="C675" s="143" t="s">
        <v>76</v>
      </c>
      <c r="D675" s="143" t="s">
        <v>69</v>
      </c>
      <c r="E675" s="257">
        <v>456307400</v>
      </c>
      <c r="F675" s="257">
        <v>441766100</v>
      </c>
      <c r="G675" s="257">
        <v>441766100</v>
      </c>
      <c r="H675" s="257">
        <v>0</v>
      </c>
      <c r="I675" s="257">
        <v>0</v>
      </c>
      <c r="J675" s="257">
        <v>0</v>
      </c>
      <c r="K675" s="257">
        <v>171579554.90000001</v>
      </c>
      <c r="L675" s="257">
        <v>171579554.90000001</v>
      </c>
      <c r="M675" s="257">
        <v>270186545.10000002</v>
      </c>
      <c r="N675" s="257">
        <v>270186545.10000002</v>
      </c>
    </row>
    <row r="676" spans="1:14" s="143" customFormat="1" hidden="1" x14ac:dyDescent="0.25">
      <c r="A676" s="143" t="s">
        <v>717</v>
      </c>
      <c r="B676" s="143" t="s">
        <v>77</v>
      </c>
      <c r="C676" s="143" t="s">
        <v>78</v>
      </c>
      <c r="D676" s="143" t="s">
        <v>69</v>
      </c>
      <c r="E676" s="257">
        <v>497190642</v>
      </c>
      <c r="F676" s="257">
        <v>488516531</v>
      </c>
      <c r="G676" s="257">
        <v>481710060</v>
      </c>
      <c r="H676" s="257">
        <v>0</v>
      </c>
      <c r="I676" s="257">
        <v>0</v>
      </c>
      <c r="J676" s="257">
        <v>0</v>
      </c>
      <c r="K676" s="257">
        <v>180444409.18000001</v>
      </c>
      <c r="L676" s="257">
        <v>180444409.18000001</v>
      </c>
      <c r="M676" s="257">
        <v>308072121.81999999</v>
      </c>
      <c r="N676" s="257">
        <v>301265650.81999999</v>
      </c>
    </row>
    <row r="677" spans="1:14" s="143" customFormat="1" hidden="1" x14ac:dyDescent="0.25">
      <c r="A677" s="143" t="s">
        <v>717</v>
      </c>
      <c r="B677" s="143" t="s">
        <v>79</v>
      </c>
      <c r="C677" s="143" t="s">
        <v>80</v>
      </c>
      <c r="D677" s="143" t="s">
        <v>69</v>
      </c>
      <c r="E677" s="257">
        <v>91313600</v>
      </c>
      <c r="F677" s="257">
        <v>91313600</v>
      </c>
      <c r="G677" s="257">
        <v>84507129</v>
      </c>
      <c r="H677" s="257">
        <v>0</v>
      </c>
      <c r="I677" s="257">
        <v>0</v>
      </c>
      <c r="J677" s="257">
        <v>0</v>
      </c>
      <c r="K677" s="257">
        <v>34857384.82</v>
      </c>
      <c r="L677" s="257">
        <v>34857384.82</v>
      </c>
      <c r="M677" s="257">
        <v>56456215.18</v>
      </c>
      <c r="N677" s="257">
        <v>49649744.18</v>
      </c>
    </row>
    <row r="678" spans="1:14" s="143" customFormat="1" hidden="1" x14ac:dyDescent="0.25">
      <c r="A678" s="143" t="s">
        <v>717</v>
      </c>
      <c r="B678" s="143" t="s">
        <v>81</v>
      </c>
      <c r="C678" s="143" t="s">
        <v>82</v>
      </c>
      <c r="D678" s="143" t="s">
        <v>69</v>
      </c>
      <c r="E678" s="257">
        <v>214869984</v>
      </c>
      <c r="F678" s="257">
        <v>209049915</v>
      </c>
      <c r="G678" s="257">
        <v>209049915</v>
      </c>
      <c r="H678" s="257">
        <v>0</v>
      </c>
      <c r="I678" s="257">
        <v>0</v>
      </c>
      <c r="J678" s="257">
        <v>0</v>
      </c>
      <c r="K678" s="257">
        <v>78672683.109999999</v>
      </c>
      <c r="L678" s="257">
        <v>78672683.109999999</v>
      </c>
      <c r="M678" s="257">
        <v>130377231.89</v>
      </c>
      <c r="N678" s="257">
        <v>130377231.89</v>
      </c>
    </row>
    <row r="679" spans="1:14" s="143" customFormat="1" hidden="1" x14ac:dyDescent="0.25">
      <c r="A679" s="143" t="s">
        <v>717</v>
      </c>
      <c r="B679" s="143" t="s">
        <v>86</v>
      </c>
      <c r="C679" s="143" t="s">
        <v>87</v>
      </c>
      <c r="D679" s="143" t="s">
        <v>69</v>
      </c>
      <c r="E679" s="257">
        <v>67452900</v>
      </c>
      <c r="F679" s="257">
        <v>67452900</v>
      </c>
      <c r="G679" s="257">
        <v>67452900</v>
      </c>
      <c r="H679" s="257">
        <v>0</v>
      </c>
      <c r="I679" s="257">
        <v>0</v>
      </c>
      <c r="J679" s="257">
        <v>0</v>
      </c>
      <c r="K679" s="257">
        <v>49770797.770000003</v>
      </c>
      <c r="L679" s="257">
        <v>49770797.770000003</v>
      </c>
      <c r="M679" s="257">
        <v>17682102.23</v>
      </c>
      <c r="N679" s="257">
        <v>17682102.23</v>
      </c>
    </row>
    <row r="680" spans="1:14" s="143" customFormat="1" hidden="1" x14ac:dyDescent="0.25">
      <c r="A680" s="143" t="s">
        <v>717</v>
      </c>
      <c r="B680" s="143" t="s">
        <v>88</v>
      </c>
      <c r="C680" s="143" t="s">
        <v>89</v>
      </c>
      <c r="D680" s="143" t="s">
        <v>69</v>
      </c>
      <c r="E680" s="257">
        <v>50235300</v>
      </c>
      <c r="F680" s="257">
        <v>49689780</v>
      </c>
      <c r="G680" s="257">
        <v>49689780</v>
      </c>
      <c r="H680" s="257">
        <v>0</v>
      </c>
      <c r="I680" s="257">
        <v>0</v>
      </c>
      <c r="J680" s="257">
        <v>0</v>
      </c>
      <c r="K680" s="257">
        <v>17110145.829999998</v>
      </c>
      <c r="L680" s="257">
        <v>17110145.829999998</v>
      </c>
      <c r="M680" s="257">
        <v>32579634.170000002</v>
      </c>
      <c r="N680" s="257">
        <v>32579634.170000002</v>
      </c>
    </row>
    <row r="681" spans="1:14" s="143" customFormat="1" hidden="1" x14ac:dyDescent="0.25">
      <c r="A681" s="143" t="s">
        <v>717</v>
      </c>
      <c r="B681" s="143" t="s">
        <v>83</v>
      </c>
      <c r="C681" s="143" t="s">
        <v>84</v>
      </c>
      <c r="D681" s="143" t="s">
        <v>85</v>
      </c>
      <c r="E681" s="257">
        <v>73318858</v>
      </c>
      <c r="F681" s="257">
        <v>71010336</v>
      </c>
      <c r="G681" s="257">
        <v>71010336</v>
      </c>
      <c r="H681" s="257">
        <v>0</v>
      </c>
      <c r="I681" s="257">
        <v>0</v>
      </c>
      <c r="J681" s="257">
        <v>0</v>
      </c>
      <c r="K681" s="257">
        <v>33397.65</v>
      </c>
      <c r="L681" s="257">
        <v>33397.65</v>
      </c>
      <c r="M681" s="257">
        <v>70976938.349999994</v>
      </c>
      <c r="N681" s="257">
        <v>70976938.349999994</v>
      </c>
    </row>
    <row r="682" spans="1:14" s="143" customFormat="1" hidden="1" x14ac:dyDescent="0.25">
      <c r="A682" s="143" t="s">
        <v>717</v>
      </c>
      <c r="B682" s="143" t="s">
        <v>90</v>
      </c>
      <c r="C682" s="143" t="s">
        <v>91</v>
      </c>
      <c r="D682" s="143" t="s">
        <v>69</v>
      </c>
      <c r="E682" s="257">
        <v>85817390</v>
      </c>
      <c r="F682" s="257">
        <v>83115337</v>
      </c>
      <c r="G682" s="257">
        <v>83115337</v>
      </c>
      <c r="H682" s="257">
        <v>0</v>
      </c>
      <c r="I682" s="257">
        <v>48859280</v>
      </c>
      <c r="J682" s="257">
        <v>0</v>
      </c>
      <c r="K682" s="257">
        <v>34256057</v>
      </c>
      <c r="L682" s="257">
        <v>34256057</v>
      </c>
      <c r="M682" s="257">
        <v>0</v>
      </c>
      <c r="N682" s="257">
        <v>0</v>
      </c>
    </row>
    <row r="683" spans="1:14" s="143" customFormat="1" hidden="1" x14ac:dyDescent="0.25">
      <c r="A683" s="143" t="s">
        <v>717</v>
      </c>
      <c r="B683" s="143" t="s">
        <v>427</v>
      </c>
      <c r="C683" s="143" t="s">
        <v>697</v>
      </c>
      <c r="D683" s="143" t="s">
        <v>69</v>
      </c>
      <c r="E683" s="257">
        <v>81416555</v>
      </c>
      <c r="F683" s="257">
        <v>78853069</v>
      </c>
      <c r="G683" s="257">
        <v>78853069</v>
      </c>
      <c r="H683" s="257">
        <v>0</v>
      </c>
      <c r="I683" s="257">
        <v>46353750</v>
      </c>
      <c r="J683" s="257">
        <v>0</v>
      </c>
      <c r="K683" s="257">
        <v>32499319</v>
      </c>
      <c r="L683" s="257">
        <v>32499319</v>
      </c>
      <c r="M683" s="257">
        <v>0</v>
      </c>
      <c r="N683" s="257">
        <v>0</v>
      </c>
    </row>
    <row r="684" spans="1:14" s="143" customFormat="1" hidden="1" x14ac:dyDescent="0.25">
      <c r="A684" s="143" t="s">
        <v>717</v>
      </c>
      <c r="B684" s="143" t="s">
        <v>444</v>
      </c>
      <c r="C684" s="143" t="s">
        <v>95</v>
      </c>
      <c r="D684" s="143" t="s">
        <v>69</v>
      </c>
      <c r="E684" s="257">
        <v>4400835</v>
      </c>
      <c r="F684" s="257">
        <v>4262268</v>
      </c>
      <c r="G684" s="257">
        <v>4262268</v>
      </c>
      <c r="H684" s="257">
        <v>0</v>
      </c>
      <c r="I684" s="257">
        <v>2505530</v>
      </c>
      <c r="J684" s="257">
        <v>0</v>
      </c>
      <c r="K684" s="257">
        <v>1756738</v>
      </c>
      <c r="L684" s="257">
        <v>1756738</v>
      </c>
      <c r="M684" s="257">
        <v>0</v>
      </c>
      <c r="N684" s="257">
        <v>0</v>
      </c>
    </row>
    <row r="685" spans="1:14" s="143" customFormat="1" hidden="1" x14ac:dyDescent="0.25">
      <c r="A685" s="143" t="s">
        <v>717</v>
      </c>
      <c r="B685" s="143" t="s">
        <v>96</v>
      </c>
      <c r="C685" s="143" t="s">
        <v>97</v>
      </c>
      <c r="D685" s="143" t="s">
        <v>69</v>
      </c>
      <c r="E685" s="257">
        <v>85817289</v>
      </c>
      <c r="F685" s="257">
        <v>83115238</v>
      </c>
      <c r="G685" s="257">
        <v>83115238</v>
      </c>
      <c r="H685" s="257">
        <v>0</v>
      </c>
      <c r="I685" s="257">
        <v>49044086</v>
      </c>
      <c r="J685" s="257">
        <v>0</v>
      </c>
      <c r="K685" s="257">
        <v>34071152</v>
      </c>
      <c r="L685" s="257">
        <v>34071152</v>
      </c>
      <c r="M685" s="257">
        <v>0</v>
      </c>
      <c r="N685" s="257">
        <v>0</v>
      </c>
    </row>
    <row r="686" spans="1:14" s="143" customFormat="1" hidden="1" x14ac:dyDescent="0.25">
      <c r="A686" s="143" t="s">
        <v>717</v>
      </c>
      <c r="B686" s="143" t="s">
        <v>462</v>
      </c>
      <c r="C686" s="143" t="s">
        <v>698</v>
      </c>
      <c r="D686" s="143" t="s">
        <v>69</v>
      </c>
      <c r="E686" s="257">
        <v>46209371</v>
      </c>
      <c r="F686" s="257">
        <v>44754420</v>
      </c>
      <c r="G686" s="257">
        <v>44754420</v>
      </c>
      <c r="H686" s="257">
        <v>0</v>
      </c>
      <c r="I686" s="257">
        <v>26493737</v>
      </c>
      <c r="J686" s="257">
        <v>0</v>
      </c>
      <c r="K686" s="257">
        <v>18260683</v>
      </c>
      <c r="L686" s="257">
        <v>18260683</v>
      </c>
      <c r="M686" s="257">
        <v>0</v>
      </c>
      <c r="N686" s="257">
        <v>0</v>
      </c>
    </row>
    <row r="687" spans="1:14" s="143" customFormat="1" hidden="1" x14ac:dyDescent="0.25">
      <c r="A687" s="143" t="s">
        <v>717</v>
      </c>
      <c r="B687" s="143" t="s">
        <v>479</v>
      </c>
      <c r="C687" s="143" t="s">
        <v>699</v>
      </c>
      <c r="D687" s="143" t="s">
        <v>69</v>
      </c>
      <c r="E687" s="257">
        <v>13202606</v>
      </c>
      <c r="F687" s="257">
        <v>12786906</v>
      </c>
      <c r="G687" s="257">
        <v>12786906</v>
      </c>
      <c r="H687" s="257">
        <v>0</v>
      </c>
      <c r="I687" s="257">
        <v>7516759</v>
      </c>
      <c r="J687" s="257">
        <v>0</v>
      </c>
      <c r="K687" s="257">
        <v>5270147</v>
      </c>
      <c r="L687" s="257">
        <v>5270147</v>
      </c>
      <c r="M687" s="257">
        <v>0</v>
      </c>
      <c r="N687" s="257">
        <v>0</v>
      </c>
    </row>
    <row r="688" spans="1:14" s="143" customFormat="1" hidden="1" x14ac:dyDescent="0.25">
      <c r="A688" s="143" t="s">
        <v>717</v>
      </c>
      <c r="B688" s="143" t="s">
        <v>496</v>
      </c>
      <c r="C688" s="143" t="s">
        <v>700</v>
      </c>
      <c r="D688" s="143" t="s">
        <v>69</v>
      </c>
      <c r="E688" s="257">
        <v>26405312</v>
      </c>
      <c r="F688" s="257">
        <v>25573912</v>
      </c>
      <c r="G688" s="257">
        <v>25573912</v>
      </c>
      <c r="H688" s="257">
        <v>0</v>
      </c>
      <c r="I688" s="257">
        <v>15033590</v>
      </c>
      <c r="J688" s="257">
        <v>0</v>
      </c>
      <c r="K688" s="257">
        <v>10540322</v>
      </c>
      <c r="L688" s="257">
        <v>10540322</v>
      </c>
      <c r="M688" s="257">
        <v>0</v>
      </c>
      <c r="N688" s="257">
        <v>0</v>
      </c>
    </row>
    <row r="689" spans="1:14" s="143" customFormat="1" hidden="1" x14ac:dyDescent="0.25">
      <c r="A689" s="143" t="s">
        <v>717</v>
      </c>
      <c r="B689" s="143" t="s">
        <v>104</v>
      </c>
      <c r="C689" s="143" t="s">
        <v>105</v>
      </c>
      <c r="D689" s="143" t="s">
        <v>69</v>
      </c>
      <c r="E689" s="257">
        <v>143937951</v>
      </c>
      <c r="F689" s="257">
        <v>120283951</v>
      </c>
      <c r="G689" s="257">
        <v>49345105</v>
      </c>
      <c r="H689" s="257">
        <v>0</v>
      </c>
      <c r="I689" s="257">
        <v>25552757.68</v>
      </c>
      <c r="J689" s="257">
        <v>1443281.63</v>
      </c>
      <c r="K689" s="257">
        <v>9033538.3100000005</v>
      </c>
      <c r="L689" s="257">
        <v>8697312.0700000003</v>
      </c>
      <c r="M689" s="257">
        <v>84254373.379999995</v>
      </c>
      <c r="N689" s="257">
        <v>13315527.380000001</v>
      </c>
    </row>
    <row r="690" spans="1:14" s="143" customFormat="1" hidden="1" x14ac:dyDescent="0.25">
      <c r="A690" s="143" t="s">
        <v>717</v>
      </c>
      <c r="B690" s="143" t="s">
        <v>106</v>
      </c>
      <c r="C690" s="143" t="s">
        <v>107</v>
      </c>
      <c r="D690" s="143" t="s">
        <v>69</v>
      </c>
      <c r="E690" s="257">
        <v>60469231</v>
      </c>
      <c r="F690" s="257">
        <v>50315823</v>
      </c>
      <c r="G690" s="257">
        <v>21367467</v>
      </c>
      <c r="H690" s="257">
        <v>0</v>
      </c>
      <c r="I690" s="257">
        <v>10191222.67</v>
      </c>
      <c r="J690" s="257">
        <v>1443281.63</v>
      </c>
      <c r="K690" s="257">
        <v>3156342.6</v>
      </c>
      <c r="L690" s="257">
        <v>2820116.36</v>
      </c>
      <c r="M690" s="257">
        <v>35524976.100000001</v>
      </c>
      <c r="N690" s="257">
        <v>6576620.0999999996</v>
      </c>
    </row>
    <row r="691" spans="1:14" s="143" customFormat="1" hidden="1" x14ac:dyDescent="0.25">
      <c r="A691" s="143" t="s">
        <v>717</v>
      </c>
      <c r="B691" s="143" t="s">
        <v>108</v>
      </c>
      <c r="C691" s="143" t="s">
        <v>109</v>
      </c>
      <c r="D691" s="143" t="s">
        <v>69</v>
      </c>
      <c r="E691" s="257">
        <v>60469231</v>
      </c>
      <c r="F691" s="257">
        <v>50315823</v>
      </c>
      <c r="G691" s="257">
        <v>21367467</v>
      </c>
      <c r="H691" s="257">
        <v>0</v>
      </c>
      <c r="I691" s="257">
        <v>10191222.67</v>
      </c>
      <c r="J691" s="257">
        <v>1443281.63</v>
      </c>
      <c r="K691" s="257">
        <v>3156342.6</v>
      </c>
      <c r="L691" s="257">
        <v>2820116.36</v>
      </c>
      <c r="M691" s="257">
        <v>35524976.100000001</v>
      </c>
      <c r="N691" s="257">
        <v>6576620.0999999996</v>
      </c>
    </row>
    <row r="692" spans="1:14" s="143" customFormat="1" hidden="1" x14ac:dyDescent="0.25">
      <c r="A692" s="143" t="s">
        <v>717</v>
      </c>
      <c r="B692" s="143" t="s">
        <v>112</v>
      </c>
      <c r="C692" s="143" t="s">
        <v>113</v>
      </c>
      <c r="D692" s="143" t="s">
        <v>69</v>
      </c>
      <c r="E692" s="257">
        <v>12862800</v>
      </c>
      <c r="F692" s="257">
        <v>13016208</v>
      </c>
      <c r="G692" s="257">
        <v>7171108</v>
      </c>
      <c r="H692" s="257">
        <v>0</v>
      </c>
      <c r="I692" s="257">
        <v>2347862.0099999998</v>
      </c>
      <c r="J692" s="257">
        <v>0</v>
      </c>
      <c r="K692" s="257">
        <v>2660103.71</v>
      </c>
      <c r="L692" s="257">
        <v>2660103.71</v>
      </c>
      <c r="M692" s="257">
        <v>8008242.2800000003</v>
      </c>
      <c r="N692" s="257">
        <v>2163142.2799999998</v>
      </c>
    </row>
    <row r="693" spans="1:14" s="143" customFormat="1" hidden="1" x14ac:dyDescent="0.25">
      <c r="A693" s="143" t="s">
        <v>717</v>
      </c>
      <c r="B693" s="143" t="s">
        <v>114</v>
      </c>
      <c r="C693" s="143" t="s">
        <v>115</v>
      </c>
      <c r="D693" s="143" t="s">
        <v>69</v>
      </c>
      <c r="E693" s="257">
        <v>0</v>
      </c>
      <c r="F693" s="257">
        <v>153408</v>
      </c>
      <c r="G693" s="257">
        <v>153408</v>
      </c>
      <c r="H693" s="257">
        <v>0</v>
      </c>
      <c r="I693" s="257">
        <v>64262</v>
      </c>
      <c r="J693" s="257">
        <v>0</v>
      </c>
      <c r="K693" s="257">
        <v>89146</v>
      </c>
      <c r="L693" s="257">
        <v>89146</v>
      </c>
      <c r="M693" s="257">
        <v>0</v>
      </c>
      <c r="N693" s="257">
        <v>0</v>
      </c>
    </row>
    <row r="694" spans="1:14" s="143" customFormat="1" hidden="1" x14ac:dyDescent="0.25">
      <c r="A694" s="143" t="s">
        <v>717</v>
      </c>
      <c r="B694" s="143" t="s">
        <v>116</v>
      </c>
      <c r="C694" s="143" t="s">
        <v>117</v>
      </c>
      <c r="D694" s="143" t="s">
        <v>69</v>
      </c>
      <c r="E694" s="257">
        <v>500000</v>
      </c>
      <c r="F694" s="257">
        <v>500000</v>
      </c>
      <c r="G694" s="257">
        <v>427000</v>
      </c>
      <c r="H694" s="257">
        <v>0</v>
      </c>
      <c r="I694" s="257">
        <v>55395.25</v>
      </c>
      <c r="J694" s="257">
        <v>0</v>
      </c>
      <c r="K694" s="257">
        <v>371336.75</v>
      </c>
      <c r="L694" s="257">
        <v>371336.75</v>
      </c>
      <c r="M694" s="257">
        <v>73268</v>
      </c>
      <c r="N694" s="257">
        <v>268</v>
      </c>
    </row>
    <row r="695" spans="1:14" s="143" customFormat="1" hidden="1" x14ac:dyDescent="0.25">
      <c r="A695" s="143" t="s">
        <v>717</v>
      </c>
      <c r="B695" s="143" t="s">
        <v>120</v>
      </c>
      <c r="C695" s="143" t="s">
        <v>121</v>
      </c>
      <c r="D695" s="143" t="s">
        <v>69</v>
      </c>
      <c r="E695" s="257">
        <v>12362800</v>
      </c>
      <c r="F695" s="257">
        <v>12362800</v>
      </c>
      <c r="G695" s="257">
        <v>6590700</v>
      </c>
      <c r="H695" s="257">
        <v>0</v>
      </c>
      <c r="I695" s="257">
        <v>2228204.7599999998</v>
      </c>
      <c r="J695" s="257">
        <v>0</v>
      </c>
      <c r="K695" s="257">
        <v>2199620.96</v>
      </c>
      <c r="L695" s="257">
        <v>2199620.96</v>
      </c>
      <c r="M695" s="257">
        <v>7934974.2800000003</v>
      </c>
      <c r="N695" s="257">
        <v>2162874.2799999998</v>
      </c>
    </row>
    <row r="696" spans="1:14" s="143" customFormat="1" hidden="1" x14ac:dyDescent="0.25">
      <c r="A696" s="143" t="s">
        <v>717</v>
      </c>
      <c r="B696" s="143" t="s">
        <v>124</v>
      </c>
      <c r="C696" s="143" t="s">
        <v>125</v>
      </c>
      <c r="D696" s="143" t="s">
        <v>69</v>
      </c>
      <c r="E696" s="257">
        <v>4286000</v>
      </c>
      <c r="F696" s="257">
        <v>2002000</v>
      </c>
      <c r="G696" s="257">
        <v>1316550</v>
      </c>
      <c r="H696" s="257">
        <v>0</v>
      </c>
      <c r="I696" s="257">
        <v>1204510</v>
      </c>
      <c r="J696" s="257">
        <v>0</v>
      </c>
      <c r="K696" s="257">
        <v>0</v>
      </c>
      <c r="L696" s="257">
        <v>0</v>
      </c>
      <c r="M696" s="257">
        <v>797490</v>
      </c>
      <c r="N696" s="257">
        <v>112040</v>
      </c>
    </row>
    <row r="697" spans="1:14" s="143" customFormat="1" hidden="1" x14ac:dyDescent="0.25">
      <c r="A697" s="143" t="s">
        <v>717</v>
      </c>
      <c r="B697" s="143" t="s">
        <v>126</v>
      </c>
      <c r="C697" s="143" t="s">
        <v>127</v>
      </c>
      <c r="D697" s="143" t="s">
        <v>69</v>
      </c>
      <c r="E697" s="257">
        <v>450000</v>
      </c>
      <c r="F697" s="257">
        <v>350000</v>
      </c>
      <c r="G697" s="257">
        <v>182500</v>
      </c>
      <c r="H697" s="257">
        <v>0</v>
      </c>
      <c r="I697" s="257">
        <v>178600</v>
      </c>
      <c r="J697" s="257">
        <v>0</v>
      </c>
      <c r="K697" s="257">
        <v>0</v>
      </c>
      <c r="L697" s="257">
        <v>0</v>
      </c>
      <c r="M697" s="257">
        <v>171400</v>
      </c>
      <c r="N697" s="257">
        <v>3900</v>
      </c>
    </row>
    <row r="698" spans="1:14" s="143" customFormat="1" hidden="1" x14ac:dyDescent="0.25">
      <c r="A698" s="143" t="s">
        <v>717</v>
      </c>
      <c r="B698" s="143" t="s">
        <v>532</v>
      </c>
      <c r="C698" s="143" t="s">
        <v>718</v>
      </c>
      <c r="D698" s="143" t="s">
        <v>69</v>
      </c>
      <c r="E698" s="257">
        <v>1336000</v>
      </c>
      <c r="F698" s="257">
        <v>652000</v>
      </c>
      <c r="G698" s="257">
        <v>209050</v>
      </c>
      <c r="H698" s="257">
        <v>0</v>
      </c>
      <c r="I698" s="257">
        <v>209050</v>
      </c>
      <c r="J698" s="257">
        <v>0</v>
      </c>
      <c r="K698" s="257">
        <v>0</v>
      </c>
      <c r="L698" s="257">
        <v>0</v>
      </c>
      <c r="M698" s="257">
        <v>442950</v>
      </c>
      <c r="N698" s="257">
        <v>0</v>
      </c>
    </row>
    <row r="699" spans="1:14" s="143" customFormat="1" hidden="1" x14ac:dyDescent="0.25">
      <c r="A699" s="143" t="s">
        <v>717</v>
      </c>
      <c r="B699" s="143" t="s">
        <v>128</v>
      </c>
      <c r="C699" s="143" t="s">
        <v>129</v>
      </c>
      <c r="D699" s="143" t="s">
        <v>69</v>
      </c>
      <c r="E699" s="257">
        <v>2500000</v>
      </c>
      <c r="F699" s="257">
        <v>1000000</v>
      </c>
      <c r="G699" s="257">
        <v>925000</v>
      </c>
      <c r="H699" s="257">
        <v>0</v>
      </c>
      <c r="I699" s="257">
        <v>816860</v>
      </c>
      <c r="J699" s="257">
        <v>0</v>
      </c>
      <c r="K699" s="257">
        <v>0</v>
      </c>
      <c r="L699" s="257">
        <v>0</v>
      </c>
      <c r="M699" s="257">
        <v>183140</v>
      </c>
      <c r="N699" s="257">
        <v>108140</v>
      </c>
    </row>
    <row r="700" spans="1:14" s="143" customFormat="1" hidden="1" x14ac:dyDescent="0.25">
      <c r="A700" s="143" t="s">
        <v>717</v>
      </c>
      <c r="B700" s="143" t="s">
        <v>134</v>
      </c>
      <c r="C700" s="143" t="s">
        <v>135</v>
      </c>
      <c r="D700" s="143" t="s">
        <v>69</v>
      </c>
      <c r="E700" s="257">
        <v>3625200</v>
      </c>
      <c r="F700" s="257">
        <v>625200</v>
      </c>
      <c r="G700" s="257">
        <v>66300</v>
      </c>
      <c r="H700" s="257">
        <v>0</v>
      </c>
      <c r="I700" s="257">
        <v>65000</v>
      </c>
      <c r="J700" s="257">
        <v>0</v>
      </c>
      <c r="K700" s="257">
        <v>0</v>
      </c>
      <c r="L700" s="257">
        <v>0</v>
      </c>
      <c r="M700" s="257">
        <v>560200</v>
      </c>
      <c r="N700" s="257">
        <v>1300</v>
      </c>
    </row>
    <row r="701" spans="1:14" s="143" customFormat="1" hidden="1" x14ac:dyDescent="0.25">
      <c r="A701" s="143" t="s">
        <v>717</v>
      </c>
      <c r="B701" s="143" t="s">
        <v>138</v>
      </c>
      <c r="C701" s="143" t="s">
        <v>139</v>
      </c>
      <c r="D701" s="143" t="s">
        <v>69</v>
      </c>
      <c r="E701" s="257">
        <v>3625200</v>
      </c>
      <c r="F701" s="257">
        <v>625200</v>
      </c>
      <c r="G701" s="257">
        <v>66300</v>
      </c>
      <c r="H701" s="257">
        <v>0</v>
      </c>
      <c r="I701" s="257">
        <v>65000</v>
      </c>
      <c r="J701" s="257">
        <v>0</v>
      </c>
      <c r="K701" s="257">
        <v>0</v>
      </c>
      <c r="L701" s="257">
        <v>0</v>
      </c>
      <c r="M701" s="257">
        <v>560200</v>
      </c>
      <c r="N701" s="257">
        <v>1300</v>
      </c>
    </row>
    <row r="702" spans="1:14" s="143" customFormat="1" hidden="1" x14ac:dyDescent="0.25">
      <c r="A702" s="143" t="s">
        <v>717</v>
      </c>
      <c r="B702" s="143" t="s">
        <v>140</v>
      </c>
      <c r="C702" s="143" t="s">
        <v>141</v>
      </c>
      <c r="D702" s="143" t="s">
        <v>69</v>
      </c>
      <c r="E702" s="257">
        <v>18004720</v>
      </c>
      <c r="F702" s="257">
        <v>13554720</v>
      </c>
      <c r="G702" s="257">
        <v>4451180</v>
      </c>
      <c r="H702" s="257">
        <v>0</v>
      </c>
      <c r="I702" s="257">
        <v>2448470</v>
      </c>
      <c r="J702" s="257">
        <v>0</v>
      </c>
      <c r="K702" s="257">
        <v>1774750</v>
      </c>
      <c r="L702" s="257">
        <v>1774750</v>
      </c>
      <c r="M702" s="257">
        <v>9331500</v>
      </c>
      <c r="N702" s="257">
        <v>227960</v>
      </c>
    </row>
    <row r="703" spans="1:14" s="143" customFormat="1" hidden="1" x14ac:dyDescent="0.25">
      <c r="A703" s="143" t="s">
        <v>717</v>
      </c>
      <c r="B703" s="143" t="s">
        <v>142</v>
      </c>
      <c r="C703" s="143" t="s">
        <v>143</v>
      </c>
      <c r="D703" s="143" t="s">
        <v>69</v>
      </c>
      <c r="E703" s="257">
        <v>1560220</v>
      </c>
      <c r="F703" s="257">
        <v>1110220</v>
      </c>
      <c r="G703" s="257">
        <v>340055</v>
      </c>
      <c r="H703" s="257">
        <v>0</v>
      </c>
      <c r="I703" s="257">
        <v>155670</v>
      </c>
      <c r="J703" s="257">
        <v>0</v>
      </c>
      <c r="K703" s="257">
        <v>155850</v>
      </c>
      <c r="L703" s="257">
        <v>155850</v>
      </c>
      <c r="M703" s="257">
        <v>798700</v>
      </c>
      <c r="N703" s="257">
        <v>28535</v>
      </c>
    </row>
    <row r="704" spans="1:14" s="143" customFormat="1" hidden="1" x14ac:dyDescent="0.25">
      <c r="A704" s="143" t="s">
        <v>717</v>
      </c>
      <c r="B704" s="143" t="s">
        <v>144</v>
      </c>
      <c r="C704" s="143" t="s">
        <v>145</v>
      </c>
      <c r="D704" s="143" t="s">
        <v>69</v>
      </c>
      <c r="E704" s="257">
        <v>16444500</v>
      </c>
      <c r="F704" s="257">
        <v>12444500</v>
      </c>
      <c r="G704" s="257">
        <v>4111125</v>
      </c>
      <c r="H704" s="257">
        <v>0</v>
      </c>
      <c r="I704" s="257">
        <v>2292800</v>
      </c>
      <c r="J704" s="257">
        <v>0</v>
      </c>
      <c r="K704" s="257">
        <v>1618900</v>
      </c>
      <c r="L704" s="257">
        <v>1618900</v>
      </c>
      <c r="M704" s="257">
        <v>8532800</v>
      </c>
      <c r="N704" s="257">
        <v>199425</v>
      </c>
    </row>
    <row r="705" spans="1:14" s="143" customFormat="1" hidden="1" x14ac:dyDescent="0.25">
      <c r="A705" s="143" t="s">
        <v>717</v>
      </c>
      <c r="B705" s="143" t="s">
        <v>150</v>
      </c>
      <c r="C705" s="143" t="s">
        <v>151</v>
      </c>
      <c r="D705" s="143" t="s">
        <v>69</v>
      </c>
      <c r="E705" s="257">
        <v>6000000</v>
      </c>
      <c r="F705" s="257">
        <v>5900000</v>
      </c>
      <c r="G705" s="257">
        <v>3400000</v>
      </c>
      <c r="H705" s="257">
        <v>0</v>
      </c>
      <c r="I705" s="257">
        <v>1654043</v>
      </c>
      <c r="J705" s="257">
        <v>0</v>
      </c>
      <c r="K705" s="257">
        <v>1045957</v>
      </c>
      <c r="L705" s="257">
        <v>1045957</v>
      </c>
      <c r="M705" s="257">
        <v>3200000</v>
      </c>
      <c r="N705" s="257">
        <v>700000</v>
      </c>
    </row>
    <row r="706" spans="1:14" s="143" customFormat="1" hidden="1" x14ac:dyDescent="0.25">
      <c r="A706" s="143" t="s">
        <v>717</v>
      </c>
      <c r="B706" s="143" t="s">
        <v>152</v>
      </c>
      <c r="C706" s="143" t="s">
        <v>153</v>
      </c>
      <c r="D706" s="143" t="s">
        <v>69</v>
      </c>
      <c r="E706" s="257">
        <v>6000000</v>
      </c>
      <c r="F706" s="257">
        <v>5900000</v>
      </c>
      <c r="G706" s="257">
        <v>3400000</v>
      </c>
      <c r="H706" s="257">
        <v>0</v>
      </c>
      <c r="I706" s="257">
        <v>1654043</v>
      </c>
      <c r="J706" s="257">
        <v>0</v>
      </c>
      <c r="K706" s="257">
        <v>1045957</v>
      </c>
      <c r="L706" s="257">
        <v>1045957</v>
      </c>
      <c r="M706" s="257">
        <v>3200000</v>
      </c>
      <c r="N706" s="257">
        <v>700000</v>
      </c>
    </row>
    <row r="707" spans="1:14" s="143" customFormat="1" hidden="1" x14ac:dyDescent="0.25">
      <c r="A707" s="143" t="s">
        <v>717</v>
      </c>
      <c r="B707" s="143" t="s">
        <v>154</v>
      </c>
      <c r="C707" s="143" t="s">
        <v>155</v>
      </c>
      <c r="D707" s="143" t="s">
        <v>69</v>
      </c>
      <c r="E707" s="257">
        <v>27190000</v>
      </c>
      <c r="F707" s="257">
        <v>25490000</v>
      </c>
      <c r="G707" s="257">
        <v>7097500</v>
      </c>
      <c r="H707" s="257">
        <v>0</v>
      </c>
      <c r="I707" s="257">
        <v>6379700</v>
      </c>
      <c r="J707" s="257">
        <v>0</v>
      </c>
      <c r="K707" s="257">
        <v>350300</v>
      </c>
      <c r="L707" s="257">
        <v>350300</v>
      </c>
      <c r="M707" s="257">
        <v>18760000</v>
      </c>
      <c r="N707" s="257">
        <v>367500</v>
      </c>
    </row>
    <row r="708" spans="1:14" s="143" customFormat="1" hidden="1" x14ac:dyDescent="0.25">
      <c r="A708" s="143" t="s">
        <v>717</v>
      </c>
      <c r="B708" s="143" t="s">
        <v>156</v>
      </c>
      <c r="C708" s="143" t="s">
        <v>157</v>
      </c>
      <c r="D708" s="143" t="s">
        <v>69</v>
      </c>
      <c r="E708" s="257">
        <v>27190000</v>
      </c>
      <c r="F708" s="257">
        <v>25490000</v>
      </c>
      <c r="G708" s="257">
        <v>7097500</v>
      </c>
      <c r="H708" s="257">
        <v>0</v>
      </c>
      <c r="I708" s="257">
        <v>6379700</v>
      </c>
      <c r="J708" s="257">
        <v>0</v>
      </c>
      <c r="K708" s="257">
        <v>350300</v>
      </c>
      <c r="L708" s="257">
        <v>350300</v>
      </c>
      <c r="M708" s="257">
        <v>18760000</v>
      </c>
      <c r="N708" s="257">
        <v>367500</v>
      </c>
    </row>
    <row r="709" spans="1:14" s="143" customFormat="1" hidden="1" x14ac:dyDescent="0.25">
      <c r="A709" s="143" t="s">
        <v>717</v>
      </c>
      <c r="B709" s="143" t="s">
        <v>162</v>
      </c>
      <c r="C709" s="143" t="s">
        <v>163</v>
      </c>
      <c r="D709" s="143" t="s">
        <v>69</v>
      </c>
      <c r="E709" s="257">
        <v>9500000</v>
      </c>
      <c r="F709" s="257">
        <v>8000000</v>
      </c>
      <c r="G709" s="257">
        <v>4395000</v>
      </c>
      <c r="H709" s="257">
        <v>0</v>
      </c>
      <c r="I709" s="257">
        <v>1261950</v>
      </c>
      <c r="J709" s="257">
        <v>0</v>
      </c>
      <c r="K709" s="257">
        <v>0</v>
      </c>
      <c r="L709" s="257">
        <v>0</v>
      </c>
      <c r="M709" s="257">
        <v>6738050</v>
      </c>
      <c r="N709" s="257">
        <v>3133050</v>
      </c>
    </row>
    <row r="710" spans="1:14" s="143" customFormat="1" hidden="1" x14ac:dyDescent="0.25">
      <c r="A710" s="143" t="s">
        <v>717</v>
      </c>
      <c r="B710" s="143" t="s">
        <v>166</v>
      </c>
      <c r="C710" s="143" t="s">
        <v>167</v>
      </c>
      <c r="D710" s="143" t="s">
        <v>69</v>
      </c>
      <c r="E710" s="257">
        <v>4500000</v>
      </c>
      <c r="F710" s="257">
        <v>3000000</v>
      </c>
      <c r="G710" s="257">
        <v>1000000</v>
      </c>
      <c r="H710" s="257">
        <v>0</v>
      </c>
      <c r="I710" s="257">
        <v>50000</v>
      </c>
      <c r="J710" s="257">
        <v>0</v>
      </c>
      <c r="K710" s="257">
        <v>0</v>
      </c>
      <c r="L710" s="257">
        <v>0</v>
      </c>
      <c r="M710" s="257">
        <v>2950000</v>
      </c>
      <c r="N710" s="257">
        <v>950000</v>
      </c>
    </row>
    <row r="711" spans="1:14" s="143" customFormat="1" hidden="1" x14ac:dyDescent="0.25">
      <c r="A711" s="143" t="s">
        <v>717</v>
      </c>
      <c r="B711" s="143" t="s">
        <v>170</v>
      </c>
      <c r="C711" s="143" t="s">
        <v>171</v>
      </c>
      <c r="D711" s="143" t="s">
        <v>69</v>
      </c>
      <c r="E711" s="257">
        <v>5000000</v>
      </c>
      <c r="F711" s="257">
        <v>5000000</v>
      </c>
      <c r="G711" s="257">
        <v>3395000</v>
      </c>
      <c r="H711" s="257">
        <v>0</v>
      </c>
      <c r="I711" s="257">
        <v>1211950</v>
      </c>
      <c r="J711" s="257">
        <v>0</v>
      </c>
      <c r="K711" s="257">
        <v>0</v>
      </c>
      <c r="L711" s="257">
        <v>0</v>
      </c>
      <c r="M711" s="257">
        <v>3788050</v>
      </c>
      <c r="N711" s="257">
        <v>2183050</v>
      </c>
    </row>
    <row r="712" spans="1:14" s="143" customFormat="1" hidden="1" x14ac:dyDescent="0.25">
      <c r="A712" s="143" t="s">
        <v>717</v>
      </c>
      <c r="B712" s="143" t="s">
        <v>174</v>
      </c>
      <c r="C712" s="143" t="s">
        <v>175</v>
      </c>
      <c r="D712" s="143" t="s">
        <v>69</v>
      </c>
      <c r="E712" s="257">
        <v>500000</v>
      </c>
      <c r="F712" s="257">
        <v>380000</v>
      </c>
      <c r="G712" s="257">
        <v>55000</v>
      </c>
      <c r="H712" s="257">
        <v>0</v>
      </c>
      <c r="I712" s="257">
        <v>0</v>
      </c>
      <c r="J712" s="257">
        <v>0</v>
      </c>
      <c r="K712" s="257">
        <v>46085</v>
      </c>
      <c r="L712" s="257">
        <v>46085</v>
      </c>
      <c r="M712" s="257">
        <v>333915</v>
      </c>
      <c r="N712" s="257">
        <v>8915</v>
      </c>
    </row>
    <row r="713" spans="1:14" s="143" customFormat="1" hidden="1" x14ac:dyDescent="0.25">
      <c r="A713" s="143" t="s">
        <v>717</v>
      </c>
      <c r="B713" s="143" t="s">
        <v>176</v>
      </c>
      <c r="C713" s="143" t="s">
        <v>177</v>
      </c>
      <c r="D713" s="143" t="s">
        <v>69</v>
      </c>
      <c r="E713" s="257">
        <v>500000</v>
      </c>
      <c r="F713" s="257">
        <v>380000</v>
      </c>
      <c r="G713" s="257">
        <v>55000</v>
      </c>
      <c r="H713" s="257">
        <v>0</v>
      </c>
      <c r="I713" s="257">
        <v>0</v>
      </c>
      <c r="J713" s="257">
        <v>0</v>
      </c>
      <c r="K713" s="257">
        <v>46085</v>
      </c>
      <c r="L713" s="257">
        <v>46085</v>
      </c>
      <c r="M713" s="257">
        <v>333915</v>
      </c>
      <c r="N713" s="257">
        <v>8915</v>
      </c>
    </row>
    <row r="714" spans="1:14" s="143" customFormat="1" hidden="1" x14ac:dyDescent="0.25">
      <c r="A714" s="143" t="s">
        <v>717</v>
      </c>
      <c r="B714" s="143" t="s">
        <v>178</v>
      </c>
      <c r="C714" s="143" t="s">
        <v>179</v>
      </c>
      <c r="D714" s="143" t="s">
        <v>69</v>
      </c>
      <c r="E714" s="257">
        <v>1500000</v>
      </c>
      <c r="F714" s="257">
        <v>1000000</v>
      </c>
      <c r="G714" s="257">
        <v>25000</v>
      </c>
      <c r="H714" s="257">
        <v>0</v>
      </c>
      <c r="I714" s="257">
        <v>0</v>
      </c>
      <c r="J714" s="257">
        <v>0</v>
      </c>
      <c r="K714" s="257">
        <v>0</v>
      </c>
      <c r="L714" s="257">
        <v>0</v>
      </c>
      <c r="M714" s="257">
        <v>1000000</v>
      </c>
      <c r="N714" s="257">
        <v>25000</v>
      </c>
    </row>
    <row r="715" spans="1:14" s="143" customFormat="1" hidden="1" x14ac:dyDescent="0.25">
      <c r="A715" s="143" t="s">
        <v>717</v>
      </c>
      <c r="B715" s="143" t="s">
        <v>182</v>
      </c>
      <c r="C715" s="143" t="s">
        <v>183</v>
      </c>
      <c r="D715" s="143" t="s">
        <v>69</v>
      </c>
      <c r="E715" s="257">
        <v>1500000</v>
      </c>
      <c r="F715" s="257">
        <v>1000000</v>
      </c>
      <c r="G715" s="257">
        <v>25000</v>
      </c>
      <c r="H715" s="257">
        <v>0</v>
      </c>
      <c r="I715" s="257">
        <v>0</v>
      </c>
      <c r="J715" s="257">
        <v>0</v>
      </c>
      <c r="K715" s="257">
        <v>0</v>
      </c>
      <c r="L715" s="257">
        <v>0</v>
      </c>
      <c r="M715" s="257">
        <v>1000000</v>
      </c>
      <c r="N715" s="257">
        <v>25000</v>
      </c>
    </row>
    <row r="716" spans="1:14" s="143" customFormat="1" hidden="1" x14ac:dyDescent="0.25">
      <c r="A716" s="143" t="s">
        <v>717</v>
      </c>
      <c r="B716" s="143" t="s">
        <v>184</v>
      </c>
      <c r="C716" s="143" t="s">
        <v>185</v>
      </c>
      <c r="D716" s="143" t="s">
        <v>69</v>
      </c>
      <c r="E716" s="257">
        <v>52884335</v>
      </c>
      <c r="F716" s="257">
        <v>36944335</v>
      </c>
      <c r="G716" s="257">
        <v>14809036.08</v>
      </c>
      <c r="H716" s="257">
        <v>0</v>
      </c>
      <c r="I716" s="257">
        <v>4713331.37</v>
      </c>
      <c r="J716" s="257">
        <v>0</v>
      </c>
      <c r="K716" s="257">
        <v>6997229.9000000004</v>
      </c>
      <c r="L716" s="257">
        <v>6191257.4000000004</v>
      </c>
      <c r="M716" s="257">
        <v>25233773.73</v>
      </c>
      <c r="N716" s="257">
        <v>3098474.81</v>
      </c>
    </row>
    <row r="717" spans="1:14" s="143" customFormat="1" hidden="1" x14ac:dyDescent="0.25">
      <c r="A717" s="143" t="s">
        <v>717</v>
      </c>
      <c r="B717" s="143" t="s">
        <v>186</v>
      </c>
      <c r="C717" s="143" t="s">
        <v>187</v>
      </c>
      <c r="D717" s="143" t="s">
        <v>69</v>
      </c>
      <c r="E717" s="257">
        <v>21308004</v>
      </c>
      <c r="F717" s="257">
        <v>15018004</v>
      </c>
      <c r="G717" s="257">
        <v>5637970</v>
      </c>
      <c r="H717" s="257">
        <v>0</v>
      </c>
      <c r="I717" s="257">
        <v>2263927.1</v>
      </c>
      <c r="J717" s="257">
        <v>0</v>
      </c>
      <c r="K717" s="257">
        <v>3372411.3</v>
      </c>
      <c r="L717" s="257">
        <v>3372411.3</v>
      </c>
      <c r="M717" s="257">
        <v>9381665.5999999996</v>
      </c>
      <c r="N717" s="257">
        <v>1631.6</v>
      </c>
    </row>
    <row r="718" spans="1:14" s="143" customFormat="1" hidden="1" x14ac:dyDescent="0.25">
      <c r="A718" s="143" t="s">
        <v>717</v>
      </c>
      <c r="B718" s="143" t="s">
        <v>188</v>
      </c>
      <c r="C718" s="143" t="s">
        <v>189</v>
      </c>
      <c r="D718" s="143" t="s">
        <v>69</v>
      </c>
      <c r="E718" s="257">
        <v>9500000</v>
      </c>
      <c r="F718" s="257">
        <v>8210000</v>
      </c>
      <c r="G718" s="257">
        <v>1701631</v>
      </c>
      <c r="H718" s="257">
        <v>0</v>
      </c>
      <c r="I718" s="257">
        <v>621681.98</v>
      </c>
      <c r="J718" s="257">
        <v>0</v>
      </c>
      <c r="K718" s="257">
        <v>1078318.02</v>
      </c>
      <c r="L718" s="257">
        <v>1078318.02</v>
      </c>
      <c r="M718" s="257">
        <v>6510000</v>
      </c>
      <c r="N718" s="257">
        <v>1631</v>
      </c>
    </row>
    <row r="719" spans="1:14" s="143" customFormat="1" hidden="1" x14ac:dyDescent="0.25">
      <c r="A719" s="143" t="s">
        <v>717</v>
      </c>
      <c r="B719" s="143" t="s">
        <v>192</v>
      </c>
      <c r="C719" s="143" t="s">
        <v>193</v>
      </c>
      <c r="D719" s="143" t="s">
        <v>69</v>
      </c>
      <c r="E719" s="257">
        <v>11808004</v>
      </c>
      <c r="F719" s="257">
        <v>6808004</v>
      </c>
      <c r="G719" s="257">
        <v>3936339</v>
      </c>
      <c r="H719" s="257">
        <v>0</v>
      </c>
      <c r="I719" s="257">
        <v>1642245.1200000001</v>
      </c>
      <c r="J719" s="257">
        <v>0</v>
      </c>
      <c r="K719" s="257">
        <v>2294093.2799999998</v>
      </c>
      <c r="L719" s="257">
        <v>2294093.2799999998</v>
      </c>
      <c r="M719" s="257">
        <v>2871665.6</v>
      </c>
      <c r="N719" s="257">
        <v>0.60000000000000009</v>
      </c>
    </row>
    <row r="720" spans="1:14" s="143" customFormat="1" hidden="1" x14ac:dyDescent="0.25">
      <c r="A720" s="143" t="s">
        <v>717</v>
      </c>
      <c r="B720" s="143" t="s">
        <v>196</v>
      </c>
      <c r="C720" s="143" t="s">
        <v>197</v>
      </c>
      <c r="D720" s="143" t="s">
        <v>69</v>
      </c>
      <c r="E720" s="257">
        <v>7008325</v>
      </c>
      <c r="F720" s="257">
        <v>6008325</v>
      </c>
      <c r="G720" s="257">
        <v>2502082</v>
      </c>
      <c r="H720" s="257">
        <v>0</v>
      </c>
      <c r="I720" s="257">
        <v>1736529.7</v>
      </c>
      <c r="J720" s="257">
        <v>0</v>
      </c>
      <c r="K720" s="257">
        <v>583872</v>
      </c>
      <c r="L720" s="257">
        <v>583872</v>
      </c>
      <c r="M720" s="257">
        <v>3687923.3</v>
      </c>
      <c r="N720" s="257">
        <v>181680.3</v>
      </c>
    </row>
    <row r="721" spans="1:14" s="143" customFormat="1" hidden="1" x14ac:dyDescent="0.25">
      <c r="A721" s="143" t="s">
        <v>717</v>
      </c>
      <c r="B721" s="143" t="s">
        <v>198</v>
      </c>
      <c r="C721" s="143" t="s">
        <v>199</v>
      </c>
      <c r="D721" s="143" t="s">
        <v>69</v>
      </c>
      <c r="E721" s="257">
        <v>7008325</v>
      </c>
      <c r="F721" s="257">
        <v>6008325</v>
      </c>
      <c r="G721" s="257">
        <v>2502082</v>
      </c>
      <c r="H721" s="257">
        <v>0</v>
      </c>
      <c r="I721" s="257">
        <v>1736529.7</v>
      </c>
      <c r="J721" s="257">
        <v>0</v>
      </c>
      <c r="K721" s="257">
        <v>583872</v>
      </c>
      <c r="L721" s="257">
        <v>583872</v>
      </c>
      <c r="M721" s="257">
        <v>3687923.3</v>
      </c>
      <c r="N721" s="257">
        <v>181680.3</v>
      </c>
    </row>
    <row r="722" spans="1:14" s="143" customFormat="1" hidden="1" x14ac:dyDescent="0.25">
      <c r="A722" s="143" t="s">
        <v>717</v>
      </c>
      <c r="B722" s="143" t="s">
        <v>200</v>
      </c>
      <c r="C722" s="143" t="s">
        <v>201</v>
      </c>
      <c r="D722" s="143" t="s">
        <v>69</v>
      </c>
      <c r="E722" s="257">
        <v>900000</v>
      </c>
      <c r="F722" s="257">
        <v>160000</v>
      </c>
      <c r="G722" s="257">
        <v>152000.01</v>
      </c>
      <c r="H722" s="257">
        <v>0</v>
      </c>
      <c r="I722" s="257">
        <v>132953.99</v>
      </c>
      <c r="J722" s="257">
        <v>0</v>
      </c>
      <c r="K722" s="257">
        <v>0</v>
      </c>
      <c r="L722" s="257">
        <v>0</v>
      </c>
      <c r="M722" s="257">
        <v>27046.01</v>
      </c>
      <c r="N722" s="257">
        <v>19046.02</v>
      </c>
    </row>
    <row r="723" spans="1:14" s="143" customFormat="1" hidden="1" x14ac:dyDescent="0.25">
      <c r="A723" s="143" t="s">
        <v>717</v>
      </c>
      <c r="B723" s="143" t="s">
        <v>316</v>
      </c>
      <c r="C723" s="143" t="s">
        <v>317</v>
      </c>
      <c r="D723" s="143" t="s">
        <v>69</v>
      </c>
      <c r="E723" s="257">
        <v>420000</v>
      </c>
      <c r="F723" s="257">
        <v>20000</v>
      </c>
      <c r="G723" s="257">
        <v>19046.009999999998</v>
      </c>
      <c r="H723" s="257">
        <v>0</v>
      </c>
      <c r="I723" s="257">
        <v>0</v>
      </c>
      <c r="J723" s="257">
        <v>0</v>
      </c>
      <c r="K723" s="257">
        <v>0</v>
      </c>
      <c r="L723" s="257">
        <v>0</v>
      </c>
      <c r="M723" s="257">
        <v>20000</v>
      </c>
      <c r="N723" s="257">
        <v>19046.009999999998</v>
      </c>
    </row>
    <row r="724" spans="1:14" s="143" customFormat="1" hidden="1" x14ac:dyDescent="0.25">
      <c r="A724" s="143" t="s">
        <v>717</v>
      </c>
      <c r="B724" s="143" t="s">
        <v>202</v>
      </c>
      <c r="C724" s="143" t="s">
        <v>203</v>
      </c>
      <c r="D724" s="143" t="s">
        <v>69</v>
      </c>
      <c r="E724" s="257">
        <v>480000</v>
      </c>
      <c r="F724" s="257">
        <v>140000</v>
      </c>
      <c r="G724" s="257">
        <v>132954</v>
      </c>
      <c r="H724" s="257">
        <v>0</v>
      </c>
      <c r="I724" s="257">
        <v>132953.99</v>
      </c>
      <c r="J724" s="257">
        <v>0</v>
      </c>
      <c r="K724" s="257">
        <v>0</v>
      </c>
      <c r="L724" s="257">
        <v>0</v>
      </c>
      <c r="M724" s="257">
        <v>7046.01</v>
      </c>
      <c r="N724" s="257">
        <v>0.01</v>
      </c>
    </row>
    <row r="725" spans="1:14" s="143" customFormat="1" hidden="1" x14ac:dyDescent="0.25">
      <c r="A725" s="143" t="s">
        <v>717</v>
      </c>
      <c r="B725" s="143" t="s">
        <v>206</v>
      </c>
      <c r="C725" s="143" t="s">
        <v>207</v>
      </c>
      <c r="D725" s="143" t="s">
        <v>69</v>
      </c>
      <c r="E725" s="257">
        <v>3052196</v>
      </c>
      <c r="F725" s="257">
        <v>1752196</v>
      </c>
      <c r="G725" s="257">
        <v>0</v>
      </c>
      <c r="H725" s="257">
        <v>0</v>
      </c>
      <c r="I725" s="257">
        <v>0</v>
      </c>
      <c r="J725" s="257">
        <v>0</v>
      </c>
      <c r="K725" s="257">
        <v>0</v>
      </c>
      <c r="L725" s="257">
        <v>0</v>
      </c>
      <c r="M725" s="257">
        <v>1752196</v>
      </c>
      <c r="N725" s="257">
        <v>0</v>
      </c>
    </row>
    <row r="726" spans="1:14" s="143" customFormat="1" hidden="1" x14ac:dyDescent="0.25">
      <c r="A726" s="143" t="s">
        <v>717</v>
      </c>
      <c r="B726" s="143" t="s">
        <v>208</v>
      </c>
      <c r="C726" s="143" t="s">
        <v>209</v>
      </c>
      <c r="D726" s="143" t="s">
        <v>69</v>
      </c>
      <c r="E726" s="257">
        <v>885321</v>
      </c>
      <c r="F726" s="257">
        <v>85321</v>
      </c>
      <c r="G726" s="257">
        <v>0</v>
      </c>
      <c r="H726" s="257">
        <v>0</v>
      </c>
      <c r="I726" s="257">
        <v>0</v>
      </c>
      <c r="J726" s="257">
        <v>0</v>
      </c>
      <c r="K726" s="257">
        <v>0</v>
      </c>
      <c r="L726" s="257">
        <v>0</v>
      </c>
      <c r="M726" s="257">
        <v>85321</v>
      </c>
      <c r="N726" s="257">
        <v>0</v>
      </c>
    </row>
    <row r="727" spans="1:14" s="143" customFormat="1" hidden="1" x14ac:dyDescent="0.25">
      <c r="A727" s="143" t="s">
        <v>717</v>
      </c>
      <c r="B727" s="143" t="s">
        <v>210</v>
      </c>
      <c r="C727" s="143" t="s">
        <v>211</v>
      </c>
      <c r="D727" s="143" t="s">
        <v>69</v>
      </c>
      <c r="E727" s="257">
        <v>2166875</v>
      </c>
      <c r="F727" s="257">
        <v>1666875</v>
      </c>
      <c r="G727" s="257">
        <v>0</v>
      </c>
      <c r="H727" s="257">
        <v>0</v>
      </c>
      <c r="I727" s="257">
        <v>0</v>
      </c>
      <c r="J727" s="257">
        <v>0</v>
      </c>
      <c r="K727" s="257">
        <v>0</v>
      </c>
      <c r="L727" s="257">
        <v>0</v>
      </c>
      <c r="M727" s="257">
        <v>1666875</v>
      </c>
      <c r="N727" s="257">
        <v>0</v>
      </c>
    </row>
    <row r="728" spans="1:14" s="143" customFormat="1" hidden="1" x14ac:dyDescent="0.25">
      <c r="A728" s="143" t="s">
        <v>717</v>
      </c>
      <c r="B728" s="143" t="s">
        <v>212</v>
      </c>
      <c r="C728" s="143" t="s">
        <v>213</v>
      </c>
      <c r="D728" s="143" t="s">
        <v>69</v>
      </c>
      <c r="E728" s="257">
        <v>20615810</v>
      </c>
      <c r="F728" s="257">
        <v>14005810</v>
      </c>
      <c r="G728" s="257">
        <v>6516984.0700000003</v>
      </c>
      <c r="H728" s="257">
        <v>0</v>
      </c>
      <c r="I728" s="257">
        <v>579920.57999999996</v>
      </c>
      <c r="J728" s="257">
        <v>0</v>
      </c>
      <c r="K728" s="257">
        <v>3040946.6</v>
      </c>
      <c r="L728" s="257">
        <v>2234974.1</v>
      </c>
      <c r="M728" s="257">
        <v>10384942.82</v>
      </c>
      <c r="N728" s="257">
        <v>2896116.89</v>
      </c>
    </row>
    <row r="729" spans="1:14" s="143" customFormat="1" hidden="1" x14ac:dyDescent="0.25">
      <c r="A729" s="143" t="s">
        <v>717</v>
      </c>
      <c r="B729" s="143" t="s">
        <v>214</v>
      </c>
      <c r="C729" s="143" t="s">
        <v>215</v>
      </c>
      <c r="D729" s="143" t="s">
        <v>69</v>
      </c>
      <c r="E729" s="257">
        <v>8014742</v>
      </c>
      <c r="F729" s="257">
        <v>5474742</v>
      </c>
      <c r="G729" s="257">
        <v>993687</v>
      </c>
      <c r="H729" s="257">
        <v>0</v>
      </c>
      <c r="I729" s="257">
        <v>94789</v>
      </c>
      <c r="J729" s="257">
        <v>0</v>
      </c>
      <c r="K729" s="257">
        <v>493107</v>
      </c>
      <c r="L729" s="257">
        <v>493107</v>
      </c>
      <c r="M729" s="257">
        <v>4886846</v>
      </c>
      <c r="N729" s="257">
        <v>405791</v>
      </c>
    </row>
    <row r="730" spans="1:14" s="143" customFormat="1" hidden="1" x14ac:dyDescent="0.25">
      <c r="A730" s="143" t="s">
        <v>717</v>
      </c>
      <c r="B730" s="143" t="s">
        <v>218</v>
      </c>
      <c r="C730" s="143" t="s">
        <v>219</v>
      </c>
      <c r="D730" s="143" t="s">
        <v>69</v>
      </c>
      <c r="E730" s="257">
        <v>5268045</v>
      </c>
      <c r="F730" s="257">
        <v>3698045</v>
      </c>
      <c r="G730" s="257">
        <v>932866.47</v>
      </c>
      <c r="H730" s="257">
        <v>0</v>
      </c>
      <c r="I730" s="257">
        <v>201186.7</v>
      </c>
      <c r="J730" s="257">
        <v>0</v>
      </c>
      <c r="K730" s="257">
        <v>259408.45</v>
      </c>
      <c r="L730" s="257">
        <v>259408.45</v>
      </c>
      <c r="M730" s="257">
        <v>3237449.85</v>
      </c>
      <c r="N730" s="257">
        <v>472271.32</v>
      </c>
    </row>
    <row r="731" spans="1:14" s="143" customFormat="1" hidden="1" x14ac:dyDescent="0.25">
      <c r="A731" s="143" t="s">
        <v>717</v>
      </c>
      <c r="B731" s="143" t="s">
        <v>220</v>
      </c>
      <c r="C731" s="143" t="s">
        <v>221</v>
      </c>
      <c r="D731" s="143" t="s">
        <v>69</v>
      </c>
      <c r="E731" s="257">
        <v>3038980</v>
      </c>
      <c r="F731" s="257">
        <v>3980</v>
      </c>
      <c r="G731" s="257">
        <v>407.6</v>
      </c>
      <c r="H731" s="257">
        <v>0</v>
      </c>
      <c r="I731" s="257">
        <v>0</v>
      </c>
      <c r="J731" s="257">
        <v>0</v>
      </c>
      <c r="K731" s="257">
        <v>0</v>
      </c>
      <c r="L731" s="257">
        <v>0</v>
      </c>
      <c r="M731" s="257">
        <v>3980</v>
      </c>
      <c r="N731" s="257">
        <v>407.6</v>
      </c>
    </row>
    <row r="732" spans="1:14" s="143" customFormat="1" hidden="1" x14ac:dyDescent="0.25">
      <c r="A732" s="143" t="s">
        <v>717</v>
      </c>
      <c r="B732" s="143" t="s">
        <v>222</v>
      </c>
      <c r="C732" s="143" t="s">
        <v>223</v>
      </c>
      <c r="D732" s="143" t="s">
        <v>69</v>
      </c>
      <c r="E732" s="257">
        <v>2590023</v>
      </c>
      <c r="F732" s="257">
        <v>4590023</v>
      </c>
      <c r="G732" s="257">
        <v>4590023</v>
      </c>
      <c r="H732" s="257">
        <v>0</v>
      </c>
      <c r="I732" s="257">
        <v>283944.88</v>
      </c>
      <c r="J732" s="257">
        <v>0</v>
      </c>
      <c r="K732" s="257">
        <v>2288431.15</v>
      </c>
      <c r="L732" s="257">
        <v>1482458.65</v>
      </c>
      <c r="M732" s="257">
        <v>2017646.97</v>
      </c>
      <c r="N732" s="257">
        <v>2017646.97</v>
      </c>
    </row>
    <row r="733" spans="1:14" s="143" customFormat="1" hidden="1" x14ac:dyDescent="0.25">
      <c r="A733" s="143" t="s">
        <v>717</v>
      </c>
      <c r="B733" s="143" t="s">
        <v>226</v>
      </c>
      <c r="C733" s="143" t="s">
        <v>227</v>
      </c>
      <c r="D733" s="143" t="s">
        <v>69</v>
      </c>
      <c r="E733" s="257">
        <v>774300</v>
      </c>
      <c r="F733" s="257">
        <v>234300</v>
      </c>
      <c r="G733" s="257">
        <v>0</v>
      </c>
      <c r="H733" s="257">
        <v>0</v>
      </c>
      <c r="I733" s="257">
        <v>0</v>
      </c>
      <c r="J733" s="257">
        <v>0</v>
      </c>
      <c r="K733" s="257">
        <v>0</v>
      </c>
      <c r="L733" s="257">
        <v>0</v>
      </c>
      <c r="M733" s="257">
        <v>234300</v>
      </c>
      <c r="N733" s="257">
        <v>0</v>
      </c>
    </row>
    <row r="734" spans="1:14" s="143" customFormat="1" hidden="1" x14ac:dyDescent="0.25">
      <c r="A734" s="143" t="s">
        <v>717</v>
      </c>
      <c r="B734" s="143" t="s">
        <v>228</v>
      </c>
      <c r="C734" s="143" t="s">
        <v>229</v>
      </c>
      <c r="D734" s="143" t="s">
        <v>69</v>
      </c>
      <c r="E734" s="257">
        <v>929720</v>
      </c>
      <c r="F734" s="257">
        <v>4720</v>
      </c>
      <c r="G734" s="257">
        <v>0</v>
      </c>
      <c r="H734" s="257">
        <v>0</v>
      </c>
      <c r="I734" s="257">
        <v>0</v>
      </c>
      <c r="J734" s="257">
        <v>0</v>
      </c>
      <c r="K734" s="257">
        <v>0</v>
      </c>
      <c r="L734" s="257">
        <v>0</v>
      </c>
      <c r="M734" s="257">
        <v>4720</v>
      </c>
      <c r="N734" s="257">
        <v>0</v>
      </c>
    </row>
    <row r="735" spans="1:14" s="143" customFormat="1" hidden="1" x14ac:dyDescent="0.25">
      <c r="A735" s="143" t="s">
        <v>717</v>
      </c>
      <c r="B735" s="143" t="s">
        <v>248</v>
      </c>
      <c r="C735" s="143" t="s">
        <v>249</v>
      </c>
      <c r="D735" s="143" t="s">
        <v>69</v>
      </c>
      <c r="E735" s="257">
        <v>50610852</v>
      </c>
      <c r="F735" s="257">
        <v>43150811</v>
      </c>
      <c r="G735" s="257">
        <v>22150811</v>
      </c>
      <c r="H735" s="257">
        <v>0</v>
      </c>
      <c r="I735" s="257">
        <v>8503454</v>
      </c>
      <c r="J735" s="257">
        <v>0</v>
      </c>
      <c r="K735" s="257">
        <v>8211266</v>
      </c>
      <c r="L735" s="257">
        <v>8211266</v>
      </c>
      <c r="M735" s="257">
        <v>26436091</v>
      </c>
      <c r="N735" s="257">
        <v>5436091</v>
      </c>
    </row>
    <row r="736" spans="1:14" s="143" customFormat="1" hidden="1" x14ac:dyDescent="0.25">
      <c r="A736" s="143" t="s">
        <v>717</v>
      </c>
      <c r="B736" s="143" t="s">
        <v>250</v>
      </c>
      <c r="C736" s="143" t="s">
        <v>251</v>
      </c>
      <c r="D736" s="143" t="s">
        <v>69</v>
      </c>
      <c r="E736" s="257">
        <v>14610852</v>
      </c>
      <c r="F736" s="257">
        <v>14150811</v>
      </c>
      <c r="G736" s="257">
        <v>14150811</v>
      </c>
      <c r="H736" s="257">
        <v>0</v>
      </c>
      <c r="I736" s="257">
        <v>8503454</v>
      </c>
      <c r="J736" s="257">
        <v>0</v>
      </c>
      <c r="K736" s="257">
        <v>5647357</v>
      </c>
      <c r="L736" s="257">
        <v>5647357</v>
      </c>
      <c r="M736" s="257">
        <v>0</v>
      </c>
      <c r="N736" s="257">
        <v>0</v>
      </c>
    </row>
    <row r="737" spans="1:14" s="143" customFormat="1" hidden="1" x14ac:dyDescent="0.25">
      <c r="A737" s="143" t="s">
        <v>717</v>
      </c>
      <c r="B737" s="143" t="s">
        <v>636</v>
      </c>
      <c r="C737" s="143" t="s">
        <v>702</v>
      </c>
      <c r="D737" s="143" t="s">
        <v>69</v>
      </c>
      <c r="E737" s="257">
        <v>12410435</v>
      </c>
      <c r="F737" s="257">
        <v>12019677</v>
      </c>
      <c r="G737" s="257">
        <v>12019677</v>
      </c>
      <c r="H737" s="257">
        <v>0</v>
      </c>
      <c r="I737" s="257">
        <v>7250682</v>
      </c>
      <c r="J737" s="257">
        <v>0</v>
      </c>
      <c r="K737" s="257">
        <v>4768995</v>
      </c>
      <c r="L737" s="257">
        <v>4768995</v>
      </c>
      <c r="M737" s="257">
        <v>0</v>
      </c>
      <c r="N737" s="257">
        <v>0</v>
      </c>
    </row>
    <row r="738" spans="1:14" s="143" customFormat="1" hidden="1" x14ac:dyDescent="0.25">
      <c r="A738" s="143" t="s">
        <v>717</v>
      </c>
      <c r="B738" s="143" t="s">
        <v>651</v>
      </c>
      <c r="C738" s="143" t="s">
        <v>703</v>
      </c>
      <c r="D738" s="143" t="s">
        <v>69</v>
      </c>
      <c r="E738" s="257">
        <v>2200417</v>
      </c>
      <c r="F738" s="257">
        <v>2131134</v>
      </c>
      <c r="G738" s="257">
        <v>2131134</v>
      </c>
      <c r="H738" s="257">
        <v>0</v>
      </c>
      <c r="I738" s="257">
        <v>1252772</v>
      </c>
      <c r="J738" s="257">
        <v>0</v>
      </c>
      <c r="K738" s="257">
        <v>878362</v>
      </c>
      <c r="L738" s="257">
        <v>878362</v>
      </c>
      <c r="M738" s="257">
        <v>0</v>
      </c>
      <c r="N738" s="257">
        <v>0</v>
      </c>
    </row>
    <row r="739" spans="1:14" s="143" customFormat="1" hidden="1" x14ac:dyDescent="0.25">
      <c r="A739" s="143" t="s">
        <v>717</v>
      </c>
      <c r="B739" s="143" t="s">
        <v>260</v>
      </c>
      <c r="C739" s="143" t="s">
        <v>261</v>
      </c>
      <c r="D739" s="143" t="s">
        <v>69</v>
      </c>
      <c r="E739" s="257">
        <v>26000000</v>
      </c>
      <c r="F739" s="257">
        <v>21500000</v>
      </c>
      <c r="G739" s="257">
        <v>8000000</v>
      </c>
      <c r="H739" s="257">
        <v>0</v>
      </c>
      <c r="I739" s="257">
        <v>0</v>
      </c>
      <c r="J739" s="257">
        <v>0</v>
      </c>
      <c r="K739" s="257">
        <v>2563909</v>
      </c>
      <c r="L739" s="257">
        <v>2563909</v>
      </c>
      <c r="M739" s="257">
        <v>18936091</v>
      </c>
      <c r="N739" s="257">
        <v>5436091</v>
      </c>
    </row>
    <row r="740" spans="1:14" s="143" customFormat="1" hidden="1" x14ac:dyDescent="0.25">
      <c r="A740" s="143" t="s">
        <v>717</v>
      </c>
      <c r="B740" s="143" t="s">
        <v>262</v>
      </c>
      <c r="C740" s="143" t="s">
        <v>263</v>
      </c>
      <c r="D740" s="143" t="s">
        <v>69</v>
      </c>
      <c r="E740" s="257">
        <v>18000000</v>
      </c>
      <c r="F740" s="257">
        <v>13500000</v>
      </c>
      <c r="G740" s="257">
        <v>0</v>
      </c>
      <c r="H740" s="257">
        <v>0</v>
      </c>
      <c r="I740" s="257">
        <v>0</v>
      </c>
      <c r="J740" s="257">
        <v>0</v>
      </c>
      <c r="K740" s="257">
        <v>0</v>
      </c>
      <c r="L740" s="257">
        <v>0</v>
      </c>
      <c r="M740" s="257">
        <v>13500000</v>
      </c>
      <c r="N740" s="257">
        <v>0</v>
      </c>
    </row>
    <row r="741" spans="1:14" s="143" customFormat="1" hidden="1" x14ac:dyDescent="0.25">
      <c r="A741" s="143" t="s">
        <v>717</v>
      </c>
      <c r="B741" s="143" t="s">
        <v>264</v>
      </c>
      <c r="C741" s="143" t="s">
        <v>265</v>
      </c>
      <c r="D741" s="143" t="s">
        <v>69</v>
      </c>
      <c r="E741" s="257">
        <v>8000000</v>
      </c>
      <c r="F741" s="257">
        <v>8000000</v>
      </c>
      <c r="G741" s="257">
        <v>8000000</v>
      </c>
      <c r="H741" s="257">
        <v>0</v>
      </c>
      <c r="I741" s="257">
        <v>0</v>
      </c>
      <c r="J741" s="257">
        <v>0</v>
      </c>
      <c r="K741" s="257">
        <v>2563909</v>
      </c>
      <c r="L741" s="257">
        <v>2563909</v>
      </c>
      <c r="M741" s="257">
        <v>5436091</v>
      </c>
      <c r="N741" s="257">
        <v>5436091</v>
      </c>
    </row>
    <row r="742" spans="1:14" s="143" customFormat="1" hidden="1" x14ac:dyDescent="0.25">
      <c r="A742" s="143" t="s">
        <v>717</v>
      </c>
      <c r="B742" s="143" t="s">
        <v>286</v>
      </c>
      <c r="C742" s="143" t="s">
        <v>287</v>
      </c>
      <c r="D742" s="143" t="s">
        <v>69</v>
      </c>
      <c r="E742" s="257">
        <v>10000000</v>
      </c>
      <c r="F742" s="257">
        <v>7500000</v>
      </c>
      <c r="G742" s="257">
        <v>0</v>
      </c>
      <c r="H742" s="257">
        <v>0</v>
      </c>
      <c r="I742" s="257">
        <v>0</v>
      </c>
      <c r="J742" s="257">
        <v>0</v>
      </c>
      <c r="K742" s="257">
        <v>0</v>
      </c>
      <c r="L742" s="257">
        <v>0</v>
      </c>
      <c r="M742" s="257">
        <v>7500000</v>
      </c>
      <c r="N742" s="257">
        <v>0</v>
      </c>
    </row>
    <row r="743" spans="1:14" s="143" customFormat="1" hidden="1" x14ac:dyDescent="0.25">
      <c r="A743" s="143" t="s">
        <v>717</v>
      </c>
      <c r="B743" s="143" t="s">
        <v>288</v>
      </c>
      <c r="C743" s="143" t="s">
        <v>289</v>
      </c>
      <c r="D743" s="143" t="s">
        <v>69</v>
      </c>
      <c r="E743" s="257">
        <v>10000000</v>
      </c>
      <c r="F743" s="257">
        <v>7500000</v>
      </c>
      <c r="G743" s="257">
        <v>0</v>
      </c>
      <c r="H743" s="257">
        <v>0</v>
      </c>
      <c r="I743" s="257">
        <v>0</v>
      </c>
      <c r="J743" s="257">
        <v>0</v>
      </c>
      <c r="K743" s="257">
        <v>0</v>
      </c>
      <c r="L743" s="257">
        <v>0</v>
      </c>
      <c r="M743" s="257">
        <v>7500000</v>
      </c>
      <c r="N743" s="257">
        <v>0</v>
      </c>
    </row>
    <row r="744" spans="1:14" s="143" customFormat="1" hidden="1" x14ac:dyDescent="0.25">
      <c r="A744" s="143" t="s">
        <v>717</v>
      </c>
      <c r="B744" s="143" t="s">
        <v>230</v>
      </c>
      <c r="C744" s="143" t="s">
        <v>231</v>
      </c>
      <c r="D744" s="143" t="s">
        <v>85</v>
      </c>
      <c r="E744" s="257">
        <v>45174214</v>
      </c>
      <c r="F744" s="257">
        <v>24660214</v>
      </c>
      <c r="G744" s="257">
        <v>1784437</v>
      </c>
      <c r="H744" s="257">
        <v>0</v>
      </c>
      <c r="I744" s="257">
        <v>62400</v>
      </c>
      <c r="J744" s="257">
        <v>0</v>
      </c>
      <c r="K744" s="257">
        <v>1010183.4</v>
      </c>
      <c r="L744" s="257">
        <v>1010183.4</v>
      </c>
      <c r="M744" s="257">
        <v>23587630.600000001</v>
      </c>
      <c r="N744" s="257">
        <v>711853.6</v>
      </c>
    </row>
    <row r="745" spans="1:14" s="143" customFormat="1" hidden="1" x14ac:dyDescent="0.25">
      <c r="A745" s="143" t="s">
        <v>717</v>
      </c>
      <c r="B745" s="143" t="s">
        <v>232</v>
      </c>
      <c r="C745" s="143" t="s">
        <v>233</v>
      </c>
      <c r="D745" s="143" t="s">
        <v>85</v>
      </c>
      <c r="E745" s="257">
        <v>45174214</v>
      </c>
      <c r="F745" s="257">
        <v>24660214</v>
      </c>
      <c r="G745" s="257">
        <v>1784437</v>
      </c>
      <c r="H745" s="257">
        <v>0</v>
      </c>
      <c r="I745" s="257">
        <v>62400</v>
      </c>
      <c r="J745" s="257">
        <v>0</v>
      </c>
      <c r="K745" s="257">
        <v>1010183.4</v>
      </c>
      <c r="L745" s="257">
        <v>1010183.4</v>
      </c>
      <c r="M745" s="257">
        <v>23587630.600000001</v>
      </c>
      <c r="N745" s="257">
        <v>711853.6</v>
      </c>
    </row>
    <row r="746" spans="1:14" s="143" customFormat="1" hidden="1" x14ac:dyDescent="0.25">
      <c r="A746" s="143" t="s">
        <v>717</v>
      </c>
      <c r="B746" s="143" t="s">
        <v>324</v>
      </c>
      <c r="C746" s="143" t="s">
        <v>325</v>
      </c>
      <c r="D746" s="143" t="s">
        <v>85</v>
      </c>
      <c r="E746" s="257">
        <v>400000</v>
      </c>
      <c r="F746" s="257">
        <v>200000</v>
      </c>
      <c r="G746" s="257">
        <v>0</v>
      </c>
      <c r="H746" s="257">
        <v>0</v>
      </c>
      <c r="I746" s="257">
        <v>0</v>
      </c>
      <c r="J746" s="257">
        <v>0</v>
      </c>
      <c r="K746" s="257">
        <v>0</v>
      </c>
      <c r="L746" s="257">
        <v>0</v>
      </c>
      <c r="M746" s="257">
        <v>200000</v>
      </c>
      <c r="N746" s="257">
        <v>0</v>
      </c>
    </row>
    <row r="747" spans="1:14" s="143" customFormat="1" hidden="1" x14ac:dyDescent="0.25">
      <c r="A747" s="143" t="s">
        <v>717</v>
      </c>
      <c r="B747" s="143" t="s">
        <v>236</v>
      </c>
      <c r="C747" s="143" t="s">
        <v>237</v>
      </c>
      <c r="D747" s="143" t="s">
        <v>85</v>
      </c>
      <c r="E747" s="257">
        <v>10235014</v>
      </c>
      <c r="F747" s="257">
        <v>3235014</v>
      </c>
      <c r="G747" s="257">
        <v>1010184</v>
      </c>
      <c r="H747" s="257">
        <v>0</v>
      </c>
      <c r="I747" s="257">
        <v>0</v>
      </c>
      <c r="J747" s="257">
        <v>0</v>
      </c>
      <c r="K747" s="257">
        <v>1010183.4</v>
      </c>
      <c r="L747" s="257">
        <v>1010183.4</v>
      </c>
      <c r="M747" s="257">
        <v>2224830.6</v>
      </c>
      <c r="N747" s="257">
        <v>0.60000000000000009</v>
      </c>
    </row>
    <row r="748" spans="1:14" s="143" customFormat="1" hidden="1" x14ac:dyDescent="0.25">
      <c r="A748" s="143" t="s">
        <v>717</v>
      </c>
      <c r="B748" s="143" t="s">
        <v>238</v>
      </c>
      <c r="C748" s="143" t="s">
        <v>239</v>
      </c>
      <c r="D748" s="143" t="s">
        <v>85</v>
      </c>
      <c r="E748" s="257">
        <v>3243620</v>
      </c>
      <c r="F748" s="257">
        <v>243620</v>
      </c>
      <c r="G748" s="257">
        <v>243620</v>
      </c>
      <c r="H748" s="257">
        <v>0</v>
      </c>
      <c r="I748" s="257">
        <v>0</v>
      </c>
      <c r="J748" s="257">
        <v>0</v>
      </c>
      <c r="K748" s="257">
        <v>0</v>
      </c>
      <c r="L748" s="257">
        <v>0</v>
      </c>
      <c r="M748" s="257">
        <v>243620</v>
      </c>
      <c r="N748" s="257">
        <v>243620</v>
      </c>
    </row>
    <row r="749" spans="1:14" s="143" customFormat="1" hidden="1" x14ac:dyDescent="0.25">
      <c r="A749" s="143" t="s">
        <v>717</v>
      </c>
      <c r="B749" s="143" t="s">
        <v>282</v>
      </c>
      <c r="C749" s="143" t="s">
        <v>283</v>
      </c>
      <c r="D749" s="143" t="s">
        <v>85</v>
      </c>
      <c r="E749" s="257">
        <v>414480</v>
      </c>
      <c r="F749" s="257">
        <v>480</v>
      </c>
      <c r="G749" s="257">
        <v>480</v>
      </c>
      <c r="H749" s="257">
        <v>0</v>
      </c>
      <c r="I749" s="257">
        <v>0</v>
      </c>
      <c r="J749" s="257">
        <v>0</v>
      </c>
      <c r="K749" s="257">
        <v>0</v>
      </c>
      <c r="L749" s="257">
        <v>0</v>
      </c>
      <c r="M749" s="257">
        <v>480</v>
      </c>
      <c r="N749" s="257">
        <v>480</v>
      </c>
    </row>
    <row r="750" spans="1:14" s="143" customFormat="1" hidden="1" x14ac:dyDescent="0.25">
      <c r="A750" s="143" t="s">
        <v>717</v>
      </c>
      <c r="B750" s="143" t="s">
        <v>240</v>
      </c>
      <c r="C750" s="143" t="s">
        <v>241</v>
      </c>
      <c r="D750" s="143" t="s">
        <v>85</v>
      </c>
      <c r="E750" s="257">
        <v>27531100</v>
      </c>
      <c r="F750" s="257">
        <v>20531100</v>
      </c>
      <c r="G750" s="257">
        <v>467753</v>
      </c>
      <c r="H750" s="257">
        <v>0</v>
      </c>
      <c r="I750" s="257">
        <v>0</v>
      </c>
      <c r="J750" s="257">
        <v>0</v>
      </c>
      <c r="K750" s="257">
        <v>0</v>
      </c>
      <c r="L750" s="257">
        <v>0</v>
      </c>
      <c r="M750" s="257">
        <v>20531100</v>
      </c>
      <c r="N750" s="257">
        <v>467753</v>
      </c>
    </row>
    <row r="751" spans="1:14" s="143" customFormat="1" hidden="1" x14ac:dyDescent="0.25">
      <c r="A751" s="143" t="s">
        <v>717</v>
      </c>
      <c r="B751" s="143" t="s">
        <v>242</v>
      </c>
      <c r="C751" s="143" t="s">
        <v>243</v>
      </c>
      <c r="D751" s="143" t="s">
        <v>85</v>
      </c>
      <c r="E751" s="257">
        <v>3350000</v>
      </c>
      <c r="F751" s="257">
        <v>450000</v>
      </c>
      <c r="G751" s="257">
        <v>62400</v>
      </c>
      <c r="H751" s="257">
        <v>0</v>
      </c>
      <c r="I751" s="257">
        <v>62400</v>
      </c>
      <c r="J751" s="257">
        <v>0</v>
      </c>
      <c r="K751" s="257">
        <v>0</v>
      </c>
      <c r="L751" s="257">
        <v>0</v>
      </c>
      <c r="M751" s="257">
        <v>387600</v>
      </c>
      <c r="N751" s="257">
        <v>0</v>
      </c>
    </row>
    <row r="752" spans="1:14" s="143" customFormat="1" x14ac:dyDescent="0.25">
      <c r="A752" s="44">
        <v>214791</v>
      </c>
      <c r="D752" s="44" t="s">
        <v>69</v>
      </c>
      <c r="E752" s="257">
        <v>7826709762</v>
      </c>
      <c r="F752" s="50">
        <v>7636694426</v>
      </c>
      <c r="G752" s="257">
        <v>7609676047</v>
      </c>
      <c r="H752" s="50">
        <v>0</v>
      </c>
      <c r="I752" s="50">
        <v>714683779.30999994</v>
      </c>
      <c r="J752" s="50">
        <v>0</v>
      </c>
      <c r="K752" s="50">
        <v>3068211189.29</v>
      </c>
      <c r="L752" s="50">
        <v>3068211189.29</v>
      </c>
      <c r="M752" s="50">
        <v>3853799457.4000001</v>
      </c>
      <c r="N752" s="257">
        <v>3826781078.4000001</v>
      </c>
    </row>
    <row r="753" spans="1:14" s="143" customFormat="1" hidden="1" x14ac:dyDescent="0.25">
      <c r="A753" s="143" t="s">
        <v>719</v>
      </c>
      <c r="B753" s="143" t="s">
        <v>71</v>
      </c>
      <c r="C753" s="143" t="s">
        <v>72</v>
      </c>
      <c r="D753" s="143" t="s">
        <v>69</v>
      </c>
      <c r="E753" s="257">
        <v>7726375169</v>
      </c>
      <c r="F753" s="257">
        <v>7514142101</v>
      </c>
      <c r="G753" s="257">
        <v>7487123722</v>
      </c>
      <c r="H753" s="257">
        <v>0</v>
      </c>
      <c r="I753" s="257">
        <v>657630917.11000001</v>
      </c>
      <c r="J753" s="257">
        <v>0</v>
      </c>
      <c r="K753" s="257">
        <v>3021950976.4899998</v>
      </c>
      <c r="L753" s="257">
        <v>3021950976.4899998</v>
      </c>
      <c r="M753" s="257">
        <v>3834560207.4000001</v>
      </c>
      <c r="N753" s="257">
        <v>3807541828.4000001</v>
      </c>
    </row>
    <row r="754" spans="1:14" s="143" customFormat="1" hidden="1" x14ac:dyDescent="0.25">
      <c r="A754" s="143" t="s">
        <v>719</v>
      </c>
      <c r="B754" s="143" t="s">
        <v>73</v>
      </c>
      <c r="C754" s="143" t="s">
        <v>74</v>
      </c>
      <c r="D754" s="143" t="s">
        <v>69</v>
      </c>
      <c r="E754" s="257">
        <v>2598911346</v>
      </c>
      <c r="F754" s="257">
        <v>2517033928</v>
      </c>
      <c r="G754" s="257">
        <v>2517033928</v>
      </c>
      <c r="H754" s="257">
        <v>0</v>
      </c>
      <c r="I754" s="257">
        <v>0</v>
      </c>
      <c r="J754" s="257">
        <v>0</v>
      </c>
      <c r="K754" s="257">
        <v>1004572687.86</v>
      </c>
      <c r="L754" s="257">
        <v>1004572687.86</v>
      </c>
      <c r="M754" s="257">
        <v>1512461240.1400001</v>
      </c>
      <c r="N754" s="257">
        <v>1512461240.1400001</v>
      </c>
    </row>
    <row r="755" spans="1:14" s="143" customFormat="1" hidden="1" x14ac:dyDescent="0.25">
      <c r="A755" s="143" t="s">
        <v>719</v>
      </c>
      <c r="B755" s="143" t="s">
        <v>75</v>
      </c>
      <c r="C755" s="143" t="s">
        <v>76</v>
      </c>
      <c r="D755" s="143" t="s">
        <v>69</v>
      </c>
      <c r="E755" s="257">
        <v>2598911346</v>
      </c>
      <c r="F755" s="257">
        <v>2513033928</v>
      </c>
      <c r="G755" s="257">
        <v>2513033928</v>
      </c>
      <c r="H755" s="257">
        <v>0</v>
      </c>
      <c r="I755" s="257">
        <v>0</v>
      </c>
      <c r="J755" s="257">
        <v>0</v>
      </c>
      <c r="K755" s="257">
        <v>1004572687.86</v>
      </c>
      <c r="L755" s="257">
        <v>1004572687.86</v>
      </c>
      <c r="M755" s="257">
        <v>1508461240.1400001</v>
      </c>
      <c r="N755" s="257">
        <v>1508461240.1400001</v>
      </c>
    </row>
    <row r="756" spans="1:14" s="143" customFormat="1" hidden="1" x14ac:dyDescent="0.25">
      <c r="A756" s="143" t="s">
        <v>719</v>
      </c>
      <c r="B756" s="143" t="s">
        <v>291</v>
      </c>
      <c r="C756" s="143" t="s">
        <v>292</v>
      </c>
      <c r="D756" s="143" t="s">
        <v>69</v>
      </c>
      <c r="E756" s="257">
        <v>0</v>
      </c>
      <c r="F756" s="257">
        <v>4000000</v>
      </c>
      <c r="G756" s="257">
        <v>4000000</v>
      </c>
      <c r="H756" s="257">
        <v>0</v>
      </c>
      <c r="I756" s="257">
        <v>0</v>
      </c>
      <c r="J756" s="257">
        <v>0</v>
      </c>
      <c r="K756" s="257">
        <v>0</v>
      </c>
      <c r="L756" s="257">
        <v>0</v>
      </c>
      <c r="M756" s="257">
        <v>4000000</v>
      </c>
      <c r="N756" s="257">
        <v>4000000</v>
      </c>
    </row>
    <row r="757" spans="1:14" s="143" customFormat="1" hidden="1" x14ac:dyDescent="0.25">
      <c r="A757" s="143" t="s">
        <v>719</v>
      </c>
      <c r="B757" s="143" t="s">
        <v>77</v>
      </c>
      <c r="C757" s="143" t="s">
        <v>78</v>
      </c>
      <c r="D757" s="143" t="s">
        <v>69</v>
      </c>
      <c r="E757" s="257">
        <v>3948833757</v>
      </c>
      <c r="F757" s="257">
        <v>3851161380</v>
      </c>
      <c r="G757" s="257">
        <v>3824143001</v>
      </c>
      <c r="H757" s="257">
        <v>0</v>
      </c>
      <c r="I757" s="257">
        <v>0</v>
      </c>
      <c r="J757" s="257">
        <v>0</v>
      </c>
      <c r="K757" s="257">
        <v>1529062412.74</v>
      </c>
      <c r="L757" s="257">
        <v>1529062412.74</v>
      </c>
      <c r="M757" s="257">
        <v>2322098967.2600002</v>
      </c>
      <c r="N757" s="257">
        <v>2295080588.2600002</v>
      </c>
    </row>
    <row r="758" spans="1:14" s="143" customFormat="1" hidden="1" x14ac:dyDescent="0.25">
      <c r="A758" s="143" t="s">
        <v>719</v>
      </c>
      <c r="B758" s="143" t="s">
        <v>79</v>
      </c>
      <c r="C758" s="143" t="s">
        <v>80</v>
      </c>
      <c r="D758" s="143" t="s">
        <v>69</v>
      </c>
      <c r="E758" s="257">
        <v>655368000</v>
      </c>
      <c r="F758" s="257">
        <v>655368000</v>
      </c>
      <c r="G758" s="257">
        <v>628349621</v>
      </c>
      <c r="H758" s="257">
        <v>0</v>
      </c>
      <c r="I758" s="257">
        <v>0</v>
      </c>
      <c r="J758" s="257">
        <v>0</v>
      </c>
      <c r="K758" s="257">
        <v>239316282.91</v>
      </c>
      <c r="L758" s="257">
        <v>239316282.91</v>
      </c>
      <c r="M758" s="257">
        <v>416051717.08999997</v>
      </c>
      <c r="N758" s="257">
        <v>389033338.08999997</v>
      </c>
    </row>
    <row r="759" spans="1:14" s="143" customFormat="1" hidden="1" x14ac:dyDescent="0.25">
      <c r="A759" s="143" t="s">
        <v>719</v>
      </c>
      <c r="B759" s="143" t="s">
        <v>81</v>
      </c>
      <c r="C759" s="143" t="s">
        <v>82</v>
      </c>
      <c r="D759" s="143" t="s">
        <v>69</v>
      </c>
      <c r="E759" s="257">
        <v>1818533000</v>
      </c>
      <c r="F759" s="257">
        <v>1771965067</v>
      </c>
      <c r="G759" s="257">
        <v>1771965067</v>
      </c>
      <c r="H759" s="257">
        <v>0</v>
      </c>
      <c r="I759" s="257">
        <v>0</v>
      </c>
      <c r="J759" s="257">
        <v>0</v>
      </c>
      <c r="K759" s="257">
        <v>688826358.05999994</v>
      </c>
      <c r="L759" s="257">
        <v>688826358.05999994</v>
      </c>
      <c r="M759" s="257">
        <v>1083138708.9400001</v>
      </c>
      <c r="N759" s="257">
        <v>1083138708.9400001</v>
      </c>
    </row>
    <row r="760" spans="1:14" s="143" customFormat="1" hidden="1" x14ac:dyDescent="0.25">
      <c r="A760" s="143" t="s">
        <v>719</v>
      </c>
      <c r="B760" s="143" t="s">
        <v>86</v>
      </c>
      <c r="C760" s="143" t="s">
        <v>87</v>
      </c>
      <c r="D760" s="143" t="s">
        <v>69</v>
      </c>
      <c r="E760" s="257">
        <v>463338500</v>
      </c>
      <c r="F760" s="257">
        <v>434338500</v>
      </c>
      <c r="G760" s="257">
        <v>434338500</v>
      </c>
      <c r="H760" s="257">
        <v>0</v>
      </c>
      <c r="I760" s="257">
        <v>0</v>
      </c>
      <c r="J760" s="257">
        <v>0</v>
      </c>
      <c r="K760" s="257">
        <v>407415356.12</v>
      </c>
      <c r="L760" s="257">
        <v>407415356.12</v>
      </c>
      <c r="M760" s="257">
        <v>26923143.879999999</v>
      </c>
      <c r="N760" s="257">
        <v>26923143.879999999</v>
      </c>
    </row>
    <row r="761" spans="1:14" s="143" customFormat="1" hidden="1" x14ac:dyDescent="0.25">
      <c r="A761" s="143" t="s">
        <v>719</v>
      </c>
      <c r="B761" s="143" t="s">
        <v>88</v>
      </c>
      <c r="C761" s="143" t="s">
        <v>89</v>
      </c>
      <c r="D761" s="143" t="s">
        <v>69</v>
      </c>
      <c r="E761" s="257">
        <v>508107900</v>
      </c>
      <c r="F761" s="257">
        <v>499965081</v>
      </c>
      <c r="G761" s="257">
        <v>499965081</v>
      </c>
      <c r="H761" s="257">
        <v>0</v>
      </c>
      <c r="I761" s="257">
        <v>0</v>
      </c>
      <c r="J761" s="257">
        <v>0</v>
      </c>
      <c r="K761" s="257">
        <v>193504415.65000001</v>
      </c>
      <c r="L761" s="257">
        <v>193504415.65000001</v>
      </c>
      <c r="M761" s="257">
        <v>306460665.35000002</v>
      </c>
      <c r="N761" s="257">
        <v>306460665.35000002</v>
      </c>
    </row>
    <row r="762" spans="1:14" s="143" customFormat="1" hidden="1" x14ac:dyDescent="0.25">
      <c r="A762" s="143" t="s">
        <v>719</v>
      </c>
      <c r="B762" s="143" t="s">
        <v>83</v>
      </c>
      <c r="C762" s="143" t="s">
        <v>84</v>
      </c>
      <c r="D762" s="143" t="s">
        <v>85</v>
      </c>
      <c r="E762" s="257">
        <v>503486357</v>
      </c>
      <c r="F762" s="257">
        <v>489524732</v>
      </c>
      <c r="G762" s="257">
        <v>489524732</v>
      </c>
      <c r="H762" s="257">
        <v>0</v>
      </c>
      <c r="I762" s="257">
        <v>0</v>
      </c>
      <c r="J762" s="257">
        <v>0</v>
      </c>
      <c r="K762" s="257">
        <v>0</v>
      </c>
      <c r="L762" s="257">
        <v>0</v>
      </c>
      <c r="M762" s="257">
        <v>489524732</v>
      </c>
      <c r="N762" s="257">
        <v>489524732</v>
      </c>
    </row>
    <row r="763" spans="1:14" s="143" customFormat="1" hidden="1" x14ac:dyDescent="0.25">
      <c r="A763" s="143" t="s">
        <v>719</v>
      </c>
      <c r="B763" s="143" t="s">
        <v>90</v>
      </c>
      <c r="C763" s="143" t="s">
        <v>91</v>
      </c>
      <c r="D763" s="143" t="s">
        <v>69</v>
      </c>
      <c r="E763" s="257">
        <v>589315133</v>
      </c>
      <c r="F763" s="257">
        <v>572973497</v>
      </c>
      <c r="G763" s="257">
        <v>572973497</v>
      </c>
      <c r="H763" s="257">
        <v>0</v>
      </c>
      <c r="I763" s="257">
        <v>326811663.45999998</v>
      </c>
      <c r="J763" s="257">
        <v>0</v>
      </c>
      <c r="K763" s="257">
        <v>246161833.53999999</v>
      </c>
      <c r="L763" s="257">
        <v>246161833.53999999</v>
      </c>
      <c r="M763" s="257">
        <v>0</v>
      </c>
      <c r="N763" s="257">
        <v>0</v>
      </c>
    </row>
    <row r="764" spans="1:14" s="143" customFormat="1" hidden="1" x14ac:dyDescent="0.25">
      <c r="A764" s="143" t="s">
        <v>719</v>
      </c>
      <c r="B764" s="143" t="s">
        <v>428</v>
      </c>
      <c r="C764" s="143" t="s">
        <v>697</v>
      </c>
      <c r="D764" s="143" t="s">
        <v>69</v>
      </c>
      <c r="E764" s="257">
        <v>559093873</v>
      </c>
      <c r="F764" s="257">
        <v>543590268</v>
      </c>
      <c r="G764" s="257">
        <v>543590268</v>
      </c>
      <c r="H764" s="257">
        <v>0</v>
      </c>
      <c r="I764" s="257">
        <v>310051565.89999998</v>
      </c>
      <c r="J764" s="257">
        <v>0</v>
      </c>
      <c r="K764" s="257">
        <v>233538702.09999999</v>
      </c>
      <c r="L764" s="257">
        <v>233538702.09999999</v>
      </c>
      <c r="M764" s="257">
        <v>0</v>
      </c>
      <c r="N764" s="257">
        <v>0</v>
      </c>
    </row>
    <row r="765" spans="1:14" s="143" customFormat="1" hidden="1" x14ac:dyDescent="0.25">
      <c r="A765" s="143" t="s">
        <v>719</v>
      </c>
      <c r="B765" s="143" t="s">
        <v>445</v>
      </c>
      <c r="C765" s="143" t="s">
        <v>95</v>
      </c>
      <c r="D765" s="143" t="s">
        <v>69</v>
      </c>
      <c r="E765" s="257">
        <v>30221260</v>
      </c>
      <c r="F765" s="257">
        <v>29383229</v>
      </c>
      <c r="G765" s="257">
        <v>29383229</v>
      </c>
      <c r="H765" s="257">
        <v>0</v>
      </c>
      <c r="I765" s="257">
        <v>16760097.560000001</v>
      </c>
      <c r="J765" s="257">
        <v>0</v>
      </c>
      <c r="K765" s="257">
        <v>12623131.439999999</v>
      </c>
      <c r="L765" s="257">
        <v>12623131.439999999</v>
      </c>
      <c r="M765" s="257">
        <v>0</v>
      </c>
      <c r="N765" s="257">
        <v>0</v>
      </c>
    </row>
    <row r="766" spans="1:14" s="143" customFormat="1" hidden="1" x14ac:dyDescent="0.25">
      <c r="A766" s="143" t="s">
        <v>719</v>
      </c>
      <c r="B766" s="143" t="s">
        <v>96</v>
      </c>
      <c r="C766" s="143" t="s">
        <v>97</v>
      </c>
      <c r="D766" s="143" t="s">
        <v>69</v>
      </c>
      <c r="E766" s="257">
        <v>589314933</v>
      </c>
      <c r="F766" s="257">
        <v>572973296</v>
      </c>
      <c r="G766" s="257">
        <v>572973296</v>
      </c>
      <c r="H766" s="257">
        <v>0</v>
      </c>
      <c r="I766" s="257">
        <v>330819253.64999998</v>
      </c>
      <c r="J766" s="257">
        <v>0</v>
      </c>
      <c r="K766" s="257">
        <v>242154042.34999999</v>
      </c>
      <c r="L766" s="257">
        <v>242154042.34999999</v>
      </c>
      <c r="M766" s="257">
        <v>0</v>
      </c>
      <c r="N766" s="257">
        <v>0</v>
      </c>
    </row>
    <row r="767" spans="1:14" s="143" customFormat="1" hidden="1" x14ac:dyDescent="0.25">
      <c r="A767" s="143" t="s">
        <v>719</v>
      </c>
      <c r="B767" s="143" t="s">
        <v>463</v>
      </c>
      <c r="C767" s="143" t="s">
        <v>698</v>
      </c>
      <c r="D767" s="143" t="s">
        <v>69</v>
      </c>
      <c r="E767" s="257">
        <v>317323487</v>
      </c>
      <c r="F767" s="257">
        <v>308524144</v>
      </c>
      <c r="G767" s="257">
        <v>308524144</v>
      </c>
      <c r="H767" s="257">
        <v>0</v>
      </c>
      <c r="I767" s="257">
        <v>179978502.91</v>
      </c>
      <c r="J767" s="257">
        <v>0</v>
      </c>
      <c r="K767" s="257">
        <v>128545641.09</v>
      </c>
      <c r="L767" s="257">
        <v>128545641.09</v>
      </c>
      <c r="M767" s="257">
        <v>0</v>
      </c>
      <c r="N767" s="257">
        <v>0</v>
      </c>
    </row>
    <row r="768" spans="1:14" s="143" customFormat="1" hidden="1" x14ac:dyDescent="0.25">
      <c r="A768" s="143" t="s">
        <v>719</v>
      </c>
      <c r="B768" s="143" t="s">
        <v>480</v>
      </c>
      <c r="C768" s="143" t="s">
        <v>699</v>
      </c>
      <c r="D768" s="143" t="s">
        <v>69</v>
      </c>
      <c r="E768" s="257">
        <v>90663782</v>
      </c>
      <c r="F768" s="257">
        <v>88149684</v>
      </c>
      <c r="G768" s="257">
        <v>88149684</v>
      </c>
      <c r="H768" s="257">
        <v>0</v>
      </c>
      <c r="I768" s="257">
        <v>50280183.670000002</v>
      </c>
      <c r="J768" s="257">
        <v>0</v>
      </c>
      <c r="K768" s="257">
        <v>37869500.329999998</v>
      </c>
      <c r="L768" s="257">
        <v>37869500.329999998</v>
      </c>
      <c r="M768" s="257">
        <v>0</v>
      </c>
      <c r="N768" s="257">
        <v>0</v>
      </c>
    </row>
    <row r="769" spans="1:14" s="143" customFormat="1" hidden="1" x14ac:dyDescent="0.25">
      <c r="A769" s="143" t="s">
        <v>719</v>
      </c>
      <c r="B769" s="143" t="s">
        <v>497</v>
      </c>
      <c r="C769" s="143" t="s">
        <v>700</v>
      </c>
      <c r="D769" s="143" t="s">
        <v>69</v>
      </c>
      <c r="E769" s="257">
        <v>181327664</v>
      </c>
      <c r="F769" s="257">
        <v>176299468</v>
      </c>
      <c r="G769" s="257">
        <v>176299468</v>
      </c>
      <c r="H769" s="257">
        <v>0</v>
      </c>
      <c r="I769" s="257">
        <v>100560567.06999999</v>
      </c>
      <c r="J769" s="257">
        <v>0</v>
      </c>
      <c r="K769" s="257">
        <v>75738900.930000007</v>
      </c>
      <c r="L769" s="257">
        <v>75738900.930000007</v>
      </c>
      <c r="M769" s="257">
        <v>0</v>
      </c>
      <c r="N769" s="257">
        <v>0</v>
      </c>
    </row>
    <row r="770" spans="1:14" s="143" customFormat="1" hidden="1" x14ac:dyDescent="0.25">
      <c r="A770" s="143" t="s">
        <v>719</v>
      </c>
      <c r="B770" s="143" t="s">
        <v>248</v>
      </c>
      <c r="C770" s="143" t="s">
        <v>249</v>
      </c>
      <c r="D770" s="143" t="s">
        <v>69</v>
      </c>
      <c r="E770" s="257">
        <v>100334593</v>
      </c>
      <c r="F770" s="257">
        <v>122552325</v>
      </c>
      <c r="G770" s="257">
        <v>122552325</v>
      </c>
      <c r="H770" s="257">
        <v>0</v>
      </c>
      <c r="I770" s="257">
        <v>57052862.200000003</v>
      </c>
      <c r="J770" s="257">
        <v>0</v>
      </c>
      <c r="K770" s="257">
        <v>46260212.799999997</v>
      </c>
      <c r="L770" s="257">
        <v>46260212.799999997</v>
      </c>
      <c r="M770" s="257">
        <v>19239250</v>
      </c>
      <c r="N770" s="257">
        <v>19239250</v>
      </c>
    </row>
    <row r="771" spans="1:14" s="143" customFormat="1" hidden="1" x14ac:dyDescent="0.25">
      <c r="A771" s="143" t="s">
        <v>719</v>
      </c>
      <c r="B771" s="143" t="s">
        <v>250</v>
      </c>
      <c r="C771" s="143" t="s">
        <v>251</v>
      </c>
      <c r="D771" s="143" t="s">
        <v>69</v>
      </c>
      <c r="E771" s="257">
        <v>100334593</v>
      </c>
      <c r="F771" s="257">
        <v>97552325</v>
      </c>
      <c r="G771" s="257">
        <v>97552325</v>
      </c>
      <c r="H771" s="257">
        <v>0</v>
      </c>
      <c r="I771" s="257">
        <v>57052862.200000003</v>
      </c>
      <c r="J771" s="257">
        <v>0</v>
      </c>
      <c r="K771" s="257">
        <v>40499462.799999997</v>
      </c>
      <c r="L771" s="257">
        <v>40499462.799999997</v>
      </c>
      <c r="M771" s="257">
        <v>0</v>
      </c>
      <c r="N771" s="257">
        <v>0</v>
      </c>
    </row>
    <row r="772" spans="1:14" s="143" customFormat="1" hidden="1" x14ac:dyDescent="0.25">
      <c r="A772" s="143" t="s">
        <v>719</v>
      </c>
      <c r="B772" s="143" t="s">
        <v>637</v>
      </c>
      <c r="C772" s="143" t="s">
        <v>702</v>
      </c>
      <c r="D772" s="143" t="s">
        <v>69</v>
      </c>
      <c r="E772" s="257">
        <v>85224013</v>
      </c>
      <c r="F772" s="257">
        <v>82860761</v>
      </c>
      <c r="G772" s="257">
        <v>82860761</v>
      </c>
      <c r="H772" s="257">
        <v>0</v>
      </c>
      <c r="I772" s="257">
        <v>48672914.670000002</v>
      </c>
      <c r="J772" s="257">
        <v>0</v>
      </c>
      <c r="K772" s="257">
        <v>34187846.329999998</v>
      </c>
      <c r="L772" s="257">
        <v>34187846.329999998</v>
      </c>
      <c r="M772" s="257">
        <v>0</v>
      </c>
      <c r="N772" s="257">
        <v>0</v>
      </c>
    </row>
    <row r="773" spans="1:14" s="143" customFormat="1" hidden="1" x14ac:dyDescent="0.25">
      <c r="A773" s="143" t="s">
        <v>719</v>
      </c>
      <c r="B773" s="143" t="s">
        <v>652</v>
      </c>
      <c r="C773" s="143" t="s">
        <v>703</v>
      </c>
      <c r="D773" s="143" t="s">
        <v>69</v>
      </c>
      <c r="E773" s="257">
        <v>15110580</v>
      </c>
      <c r="F773" s="257">
        <v>14691564</v>
      </c>
      <c r="G773" s="257">
        <v>14691564</v>
      </c>
      <c r="H773" s="257">
        <v>0</v>
      </c>
      <c r="I773" s="257">
        <v>8379947.5300000003</v>
      </c>
      <c r="J773" s="257">
        <v>0</v>
      </c>
      <c r="K773" s="257">
        <v>6311616.4699999997</v>
      </c>
      <c r="L773" s="257">
        <v>6311616.4699999997</v>
      </c>
      <c r="M773" s="257">
        <v>0</v>
      </c>
      <c r="N773" s="257">
        <v>0</v>
      </c>
    </row>
    <row r="774" spans="1:14" s="143" customFormat="1" hidden="1" x14ac:dyDescent="0.25">
      <c r="A774" s="143" t="s">
        <v>719</v>
      </c>
      <c r="B774" s="143" t="s">
        <v>260</v>
      </c>
      <c r="C774" s="143" t="s">
        <v>261</v>
      </c>
      <c r="D774" s="143" t="s">
        <v>69</v>
      </c>
      <c r="E774" s="257">
        <v>0</v>
      </c>
      <c r="F774" s="257">
        <v>25000000</v>
      </c>
      <c r="G774" s="257">
        <v>25000000</v>
      </c>
      <c r="H774" s="257">
        <v>0</v>
      </c>
      <c r="I774" s="257">
        <v>0</v>
      </c>
      <c r="J774" s="257">
        <v>0</v>
      </c>
      <c r="K774" s="257">
        <v>5760750</v>
      </c>
      <c r="L774" s="257">
        <v>5760750</v>
      </c>
      <c r="M774" s="257">
        <v>19239250</v>
      </c>
      <c r="N774" s="257">
        <v>19239250</v>
      </c>
    </row>
    <row r="775" spans="1:14" s="143" customFormat="1" hidden="1" x14ac:dyDescent="0.25">
      <c r="A775" s="143" t="s">
        <v>719</v>
      </c>
      <c r="B775" s="143" t="s">
        <v>262</v>
      </c>
      <c r="C775" s="143" t="s">
        <v>263</v>
      </c>
      <c r="D775" s="143" t="s">
        <v>69</v>
      </c>
      <c r="E775" s="257">
        <v>0</v>
      </c>
      <c r="F775" s="257">
        <v>0</v>
      </c>
      <c r="G775" s="257">
        <v>0</v>
      </c>
      <c r="H775" s="257">
        <v>0</v>
      </c>
      <c r="I775" s="257">
        <v>0</v>
      </c>
      <c r="J775" s="257">
        <v>0</v>
      </c>
      <c r="K775" s="257">
        <v>0</v>
      </c>
      <c r="L775" s="257">
        <v>0</v>
      </c>
      <c r="M775" s="257">
        <v>0</v>
      </c>
      <c r="N775" s="257">
        <v>0</v>
      </c>
    </row>
    <row r="776" spans="1:14" s="143" customFormat="1" hidden="1" x14ac:dyDescent="0.25">
      <c r="A776" s="143" t="s">
        <v>719</v>
      </c>
      <c r="B776" s="143" t="s">
        <v>264</v>
      </c>
      <c r="C776" s="143" t="s">
        <v>265</v>
      </c>
      <c r="D776" s="143" t="s">
        <v>69</v>
      </c>
      <c r="E776" s="257">
        <v>0</v>
      </c>
      <c r="F776" s="257">
        <v>25000000</v>
      </c>
      <c r="G776" s="257">
        <v>25000000</v>
      </c>
      <c r="H776" s="257">
        <v>0</v>
      </c>
      <c r="I776" s="257">
        <v>0</v>
      </c>
      <c r="J776" s="257">
        <v>0</v>
      </c>
      <c r="K776" s="257">
        <v>5760750</v>
      </c>
      <c r="L776" s="257">
        <v>5760750</v>
      </c>
      <c r="M776" s="257">
        <v>19239250</v>
      </c>
      <c r="N776" s="257">
        <v>19239250</v>
      </c>
    </row>
    <row r="777" spans="1:14" s="143" customFormat="1" x14ac:dyDescent="0.25">
      <c r="A777" s="44">
        <v>214793</v>
      </c>
      <c r="D777" s="44" t="s">
        <v>69</v>
      </c>
      <c r="E777" s="257">
        <v>918243709</v>
      </c>
      <c r="F777" s="50">
        <v>898206525</v>
      </c>
      <c r="G777" s="257">
        <v>893833070</v>
      </c>
      <c r="H777" s="50">
        <v>0</v>
      </c>
      <c r="I777" s="50">
        <v>78945128.700000003</v>
      </c>
      <c r="J777" s="50">
        <v>0</v>
      </c>
      <c r="K777" s="50">
        <v>377459125.75999999</v>
      </c>
      <c r="L777" s="50">
        <v>377459125.75999999</v>
      </c>
      <c r="M777" s="50">
        <v>441802270.54000002</v>
      </c>
      <c r="N777" s="257">
        <v>437428815.54000002</v>
      </c>
    </row>
    <row r="778" spans="1:14" s="143" customFormat="1" hidden="1" x14ac:dyDescent="0.25">
      <c r="A778" s="143" t="s">
        <v>720</v>
      </c>
      <c r="B778" s="143" t="s">
        <v>71</v>
      </c>
      <c r="C778" s="143" t="s">
        <v>72</v>
      </c>
      <c r="D778" s="143" t="s">
        <v>69</v>
      </c>
      <c r="E778" s="257">
        <v>899027714</v>
      </c>
      <c r="F778" s="257">
        <v>880542675</v>
      </c>
      <c r="G778" s="257">
        <v>877048918</v>
      </c>
      <c r="H778" s="257">
        <v>0</v>
      </c>
      <c r="I778" s="257">
        <v>72572057.959999993</v>
      </c>
      <c r="J778" s="257">
        <v>0</v>
      </c>
      <c r="K778" s="257">
        <v>370471817.77999997</v>
      </c>
      <c r="L778" s="257">
        <v>370471817.77999997</v>
      </c>
      <c r="M778" s="257">
        <v>437498799.25999999</v>
      </c>
      <c r="N778" s="257">
        <v>434005042.25999999</v>
      </c>
    </row>
    <row r="779" spans="1:14" s="143" customFormat="1" hidden="1" x14ac:dyDescent="0.25">
      <c r="A779" s="143" t="s">
        <v>720</v>
      </c>
      <c r="B779" s="143" t="s">
        <v>73</v>
      </c>
      <c r="C779" s="143" t="s">
        <v>74</v>
      </c>
      <c r="D779" s="143" t="s">
        <v>69</v>
      </c>
      <c r="E779" s="257">
        <v>305726500</v>
      </c>
      <c r="F779" s="257">
        <v>300395500</v>
      </c>
      <c r="G779" s="257">
        <v>300395500</v>
      </c>
      <c r="H779" s="257">
        <v>0</v>
      </c>
      <c r="I779" s="257">
        <v>0</v>
      </c>
      <c r="J779" s="257">
        <v>0</v>
      </c>
      <c r="K779" s="257">
        <v>122975473.81999999</v>
      </c>
      <c r="L779" s="257">
        <v>122975473.81999999</v>
      </c>
      <c r="M779" s="257">
        <v>177420026.18000001</v>
      </c>
      <c r="N779" s="257">
        <v>177420026.18000001</v>
      </c>
    </row>
    <row r="780" spans="1:14" s="143" customFormat="1" hidden="1" x14ac:dyDescent="0.25">
      <c r="A780" s="143" t="s">
        <v>720</v>
      </c>
      <c r="B780" s="143" t="s">
        <v>75</v>
      </c>
      <c r="C780" s="143" t="s">
        <v>76</v>
      </c>
      <c r="D780" s="143" t="s">
        <v>69</v>
      </c>
      <c r="E780" s="257">
        <v>305726500</v>
      </c>
      <c r="F780" s="257">
        <v>298895500</v>
      </c>
      <c r="G780" s="257">
        <v>298895500</v>
      </c>
      <c r="H780" s="257">
        <v>0</v>
      </c>
      <c r="I780" s="257">
        <v>0</v>
      </c>
      <c r="J780" s="257">
        <v>0</v>
      </c>
      <c r="K780" s="257">
        <v>122975473.81999999</v>
      </c>
      <c r="L780" s="257">
        <v>122975473.81999999</v>
      </c>
      <c r="M780" s="257">
        <v>175920026.18000001</v>
      </c>
      <c r="N780" s="257">
        <v>175920026.18000001</v>
      </c>
    </row>
    <row r="781" spans="1:14" s="143" customFormat="1" hidden="1" x14ac:dyDescent="0.25">
      <c r="A781" s="143" t="s">
        <v>720</v>
      </c>
      <c r="B781" s="143" t="s">
        <v>291</v>
      </c>
      <c r="C781" s="143" t="s">
        <v>292</v>
      </c>
      <c r="D781" s="143" t="s">
        <v>69</v>
      </c>
      <c r="E781" s="257">
        <v>0</v>
      </c>
      <c r="F781" s="257">
        <v>1500000</v>
      </c>
      <c r="G781" s="257">
        <v>1500000</v>
      </c>
      <c r="H781" s="257">
        <v>0</v>
      </c>
      <c r="I781" s="257">
        <v>0</v>
      </c>
      <c r="J781" s="257">
        <v>0</v>
      </c>
      <c r="K781" s="257">
        <v>0</v>
      </c>
      <c r="L781" s="257">
        <v>0</v>
      </c>
      <c r="M781" s="257">
        <v>1500000</v>
      </c>
      <c r="N781" s="257">
        <v>1500000</v>
      </c>
    </row>
    <row r="782" spans="1:14" s="143" customFormat="1" hidden="1" x14ac:dyDescent="0.25">
      <c r="A782" s="143" t="s">
        <v>720</v>
      </c>
      <c r="B782" s="143" t="s">
        <v>77</v>
      </c>
      <c r="C782" s="143" t="s">
        <v>78</v>
      </c>
      <c r="D782" s="143" t="s">
        <v>69</v>
      </c>
      <c r="E782" s="257">
        <v>456157950</v>
      </c>
      <c r="F782" s="257">
        <v>445746506</v>
      </c>
      <c r="G782" s="257">
        <v>442252749</v>
      </c>
      <c r="H782" s="257">
        <v>0</v>
      </c>
      <c r="I782" s="257">
        <v>0</v>
      </c>
      <c r="J782" s="257">
        <v>0</v>
      </c>
      <c r="K782" s="257">
        <v>185667732.91999999</v>
      </c>
      <c r="L782" s="257">
        <v>185667732.91999999</v>
      </c>
      <c r="M782" s="257">
        <v>260078773.08000001</v>
      </c>
      <c r="N782" s="257">
        <v>256585016.08000001</v>
      </c>
    </row>
    <row r="783" spans="1:14" s="143" customFormat="1" hidden="1" x14ac:dyDescent="0.25">
      <c r="A783" s="143" t="s">
        <v>720</v>
      </c>
      <c r="B783" s="143" t="s">
        <v>79</v>
      </c>
      <c r="C783" s="143" t="s">
        <v>80</v>
      </c>
      <c r="D783" s="143" t="s">
        <v>69</v>
      </c>
      <c r="E783" s="257">
        <v>79360300</v>
      </c>
      <c r="F783" s="257">
        <v>79360300</v>
      </c>
      <c r="G783" s="257">
        <v>75866543</v>
      </c>
      <c r="H783" s="257">
        <v>0</v>
      </c>
      <c r="I783" s="257">
        <v>0</v>
      </c>
      <c r="J783" s="257">
        <v>0</v>
      </c>
      <c r="K783" s="257">
        <v>30214437.420000002</v>
      </c>
      <c r="L783" s="257">
        <v>30214437.420000002</v>
      </c>
      <c r="M783" s="257">
        <v>49145862.579999998</v>
      </c>
      <c r="N783" s="257">
        <v>45652105.579999998</v>
      </c>
    </row>
    <row r="784" spans="1:14" s="143" customFormat="1" hidden="1" x14ac:dyDescent="0.25">
      <c r="A784" s="143" t="s">
        <v>720</v>
      </c>
      <c r="B784" s="143" t="s">
        <v>81</v>
      </c>
      <c r="C784" s="143" t="s">
        <v>82</v>
      </c>
      <c r="D784" s="143" t="s">
        <v>69</v>
      </c>
      <c r="E784" s="257">
        <v>203715000</v>
      </c>
      <c r="F784" s="257">
        <v>200338818</v>
      </c>
      <c r="G784" s="257">
        <v>200338818</v>
      </c>
      <c r="H784" s="257">
        <v>0</v>
      </c>
      <c r="I784" s="257">
        <v>0</v>
      </c>
      <c r="J784" s="257">
        <v>0</v>
      </c>
      <c r="K784" s="257">
        <v>83536793.859999999</v>
      </c>
      <c r="L784" s="257">
        <v>83536793.859999999</v>
      </c>
      <c r="M784" s="257">
        <v>116802024.14</v>
      </c>
      <c r="N784" s="257">
        <v>116802024.14</v>
      </c>
    </row>
    <row r="785" spans="1:14" s="143" customFormat="1" hidden="1" x14ac:dyDescent="0.25">
      <c r="A785" s="143" t="s">
        <v>720</v>
      </c>
      <c r="B785" s="143" t="s">
        <v>86</v>
      </c>
      <c r="C785" s="143" t="s">
        <v>87</v>
      </c>
      <c r="D785" s="143" t="s">
        <v>69</v>
      </c>
      <c r="E785" s="257">
        <v>53908100</v>
      </c>
      <c r="F785" s="257">
        <v>48408100</v>
      </c>
      <c r="G785" s="257">
        <v>48408100</v>
      </c>
      <c r="H785" s="257">
        <v>0</v>
      </c>
      <c r="I785" s="257">
        <v>0</v>
      </c>
      <c r="J785" s="257">
        <v>0</v>
      </c>
      <c r="K785" s="257">
        <v>47507997.909999996</v>
      </c>
      <c r="L785" s="257">
        <v>47507997.909999996</v>
      </c>
      <c r="M785" s="257">
        <v>900102.09</v>
      </c>
      <c r="N785" s="257">
        <v>900102.09</v>
      </c>
    </row>
    <row r="786" spans="1:14" s="143" customFormat="1" hidden="1" x14ac:dyDescent="0.25">
      <c r="A786" s="143" t="s">
        <v>720</v>
      </c>
      <c r="B786" s="143" t="s">
        <v>88</v>
      </c>
      <c r="C786" s="143" t="s">
        <v>89</v>
      </c>
      <c r="D786" s="143" t="s">
        <v>69</v>
      </c>
      <c r="E786" s="257">
        <v>60590000</v>
      </c>
      <c r="F786" s="257">
        <v>60226320</v>
      </c>
      <c r="G786" s="257">
        <v>60226320</v>
      </c>
      <c r="H786" s="257">
        <v>0</v>
      </c>
      <c r="I786" s="257">
        <v>0</v>
      </c>
      <c r="J786" s="257">
        <v>0</v>
      </c>
      <c r="K786" s="257">
        <v>24408503.73</v>
      </c>
      <c r="L786" s="257">
        <v>24408503.73</v>
      </c>
      <c r="M786" s="257">
        <v>35817816.270000003</v>
      </c>
      <c r="N786" s="257">
        <v>35817816.270000003</v>
      </c>
    </row>
    <row r="787" spans="1:14" s="143" customFormat="1" hidden="1" x14ac:dyDescent="0.25">
      <c r="A787" s="143" t="s">
        <v>720</v>
      </c>
      <c r="B787" s="143" t="s">
        <v>83</v>
      </c>
      <c r="C787" s="143" t="s">
        <v>84</v>
      </c>
      <c r="D787" s="143" t="s">
        <v>85</v>
      </c>
      <c r="E787" s="257">
        <v>58584550</v>
      </c>
      <c r="F787" s="257">
        <v>57412968</v>
      </c>
      <c r="G787" s="257">
        <v>57412968</v>
      </c>
      <c r="H787" s="257">
        <v>0</v>
      </c>
      <c r="I787" s="257">
        <v>0</v>
      </c>
      <c r="J787" s="257">
        <v>0</v>
      </c>
      <c r="K787" s="257">
        <v>0</v>
      </c>
      <c r="L787" s="257">
        <v>0</v>
      </c>
      <c r="M787" s="257">
        <v>57412968</v>
      </c>
      <c r="N787" s="257">
        <v>57412968</v>
      </c>
    </row>
    <row r="788" spans="1:14" s="143" customFormat="1" hidden="1" x14ac:dyDescent="0.25">
      <c r="A788" s="143" t="s">
        <v>720</v>
      </c>
      <c r="B788" s="143" t="s">
        <v>90</v>
      </c>
      <c r="C788" s="143" t="s">
        <v>91</v>
      </c>
      <c r="D788" s="143" t="s">
        <v>69</v>
      </c>
      <c r="E788" s="257">
        <v>68571682</v>
      </c>
      <c r="F788" s="257">
        <v>67200384</v>
      </c>
      <c r="G788" s="257">
        <v>67200384</v>
      </c>
      <c r="H788" s="257">
        <v>0</v>
      </c>
      <c r="I788" s="257">
        <v>36031480.530000001</v>
      </c>
      <c r="J788" s="257">
        <v>0</v>
      </c>
      <c r="K788" s="257">
        <v>31168903.469999999</v>
      </c>
      <c r="L788" s="257">
        <v>31168903.469999999</v>
      </c>
      <c r="M788" s="257">
        <v>0</v>
      </c>
      <c r="N788" s="257">
        <v>0</v>
      </c>
    </row>
    <row r="789" spans="1:14" s="143" customFormat="1" hidden="1" x14ac:dyDescent="0.25">
      <c r="A789" s="143" t="s">
        <v>720</v>
      </c>
      <c r="B789" s="143" t="s">
        <v>429</v>
      </c>
      <c r="C789" s="143" t="s">
        <v>697</v>
      </c>
      <c r="D789" s="143" t="s">
        <v>69</v>
      </c>
      <c r="E789" s="257">
        <v>65055209</v>
      </c>
      <c r="F789" s="257">
        <v>63754233</v>
      </c>
      <c r="G789" s="257">
        <v>63754233</v>
      </c>
      <c r="H789" s="257">
        <v>0</v>
      </c>
      <c r="I789" s="257">
        <v>34184610.060000002</v>
      </c>
      <c r="J789" s="257">
        <v>0</v>
      </c>
      <c r="K789" s="257">
        <v>29569622.940000001</v>
      </c>
      <c r="L789" s="257">
        <v>29569622.940000001</v>
      </c>
      <c r="M789" s="257">
        <v>0</v>
      </c>
      <c r="N789" s="257">
        <v>0</v>
      </c>
    </row>
    <row r="790" spans="1:14" s="143" customFormat="1" hidden="1" x14ac:dyDescent="0.25">
      <c r="A790" s="143" t="s">
        <v>720</v>
      </c>
      <c r="B790" s="143" t="s">
        <v>446</v>
      </c>
      <c r="C790" s="143" t="s">
        <v>95</v>
      </c>
      <c r="D790" s="143" t="s">
        <v>69</v>
      </c>
      <c r="E790" s="257">
        <v>3516473</v>
      </c>
      <c r="F790" s="257">
        <v>3446151</v>
      </c>
      <c r="G790" s="257">
        <v>3446151</v>
      </c>
      <c r="H790" s="257">
        <v>0</v>
      </c>
      <c r="I790" s="257">
        <v>1846870.47</v>
      </c>
      <c r="J790" s="257">
        <v>0</v>
      </c>
      <c r="K790" s="257">
        <v>1599280.53</v>
      </c>
      <c r="L790" s="257">
        <v>1599280.53</v>
      </c>
      <c r="M790" s="257">
        <v>0</v>
      </c>
      <c r="N790" s="257">
        <v>0</v>
      </c>
    </row>
    <row r="791" spans="1:14" s="143" customFormat="1" hidden="1" x14ac:dyDescent="0.25">
      <c r="A791" s="143" t="s">
        <v>720</v>
      </c>
      <c r="B791" s="143" t="s">
        <v>96</v>
      </c>
      <c r="C791" s="143" t="s">
        <v>97</v>
      </c>
      <c r="D791" s="143" t="s">
        <v>69</v>
      </c>
      <c r="E791" s="257">
        <v>68571582</v>
      </c>
      <c r="F791" s="257">
        <v>67200285</v>
      </c>
      <c r="G791" s="257">
        <v>67200285</v>
      </c>
      <c r="H791" s="257">
        <v>0</v>
      </c>
      <c r="I791" s="257">
        <v>36540577.43</v>
      </c>
      <c r="J791" s="257">
        <v>0</v>
      </c>
      <c r="K791" s="257">
        <v>30659707.57</v>
      </c>
      <c r="L791" s="257">
        <v>30659707.57</v>
      </c>
      <c r="M791" s="257">
        <v>0</v>
      </c>
      <c r="N791" s="257">
        <v>0</v>
      </c>
    </row>
    <row r="792" spans="1:14" s="143" customFormat="1" hidden="1" x14ac:dyDescent="0.25">
      <c r="A792" s="143" t="s">
        <v>720</v>
      </c>
      <c r="B792" s="143" t="s">
        <v>464</v>
      </c>
      <c r="C792" s="143" t="s">
        <v>698</v>
      </c>
      <c r="D792" s="143" t="s">
        <v>69</v>
      </c>
      <c r="E792" s="257">
        <v>36923221</v>
      </c>
      <c r="F792" s="257">
        <v>36184829</v>
      </c>
      <c r="G792" s="257">
        <v>36184829</v>
      </c>
      <c r="H792" s="257">
        <v>0</v>
      </c>
      <c r="I792" s="257">
        <v>19909708.210000001</v>
      </c>
      <c r="J792" s="257">
        <v>0</v>
      </c>
      <c r="K792" s="257">
        <v>16275120.789999999</v>
      </c>
      <c r="L792" s="257">
        <v>16275120.789999999</v>
      </c>
      <c r="M792" s="257">
        <v>0</v>
      </c>
      <c r="N792" s="257">
        <v>0</v>
      </c>
    </row>
    <row r="793" spans="1:14" s="143" customFormat="1" hidden="1" x14ac:dyDescent="0.25">
      <c r="A793" s="143" t="s">
        <v>720</v>
      </c>
      <c r="B793" s="143" t="s">
        <v>481</v>
      </c>
      <c r="C793" s="143" t="s">
        <v>699</v>
      </c>
      <c r="D793" s="143" t="s">
        <v>69</v>
      </c>
      <c r="E793" s="257">
        <v>10549420</v>
      </c>
      <c r="F793" s="257">
        <v>10338452</v>
      </c>
      <c r="G793" s="257">
        <v>10338452</v>
      </c>
      <c r="H793" s="257">
        <v>0</v>
      </c>
      <c r="I793" s="257">
        <v>5543584.25</v>
      </c>
      <c r="J793" s="257">
        <v>0</v>
      </c>
      <c r="K793" s="257">
        <v>4794867.75</v>
      </c>
      <c r="L793" s="257">
        <v>4794867.75</v>
      </c>
      <c r="M793" s="257">
        <v>0</v>
      </c>
      <c r="N793" s="257">
        <v>0</v>
      </c>
    </row>
    <row r="794" spans="1:14" s="143" customFormat="1" hidden="1" x14ac:dyDescent="0.25">
      <c r="A794" s="143" t="s">
        <v>720</v>
      </c>
      <c r="B794" s="143" t="s">
        <v>498</v>
      </c>
      <c r="C794" s="143" t="s">
        <v>700</v>
      </c>
      <c r="D794" s="143" t="s">
        <v>69</v>
      </c>
      <c r="E794" s="257">
        <v>21098941</v>
      </c>
      <c r="F794" s="257">
        <v>20677004</v>
      </c>
      <c r="G794" s="257">
        <v>20677004</v>
      </c>
      <c r="H794" s="257">
        <v>0</v>
      </c>
      <c r="I794" s="257">
        <v>11087284.970000001</v>
      </c>
      <c r="J794" s="257">
        <v>0</v>
      </c>
      <c r="K794" s="257">
        <v>9589719.0299999993</v>
      </c>
      <c r="L794" s="257">
        <v>9589719.0299999993</v>
      </c>
      <c r="M794" s="257">
        <v>0</v>
      </c>
      <c r="N794" s="257">
        <v>0</v>
      </c>
    </row>
    <row r="795" spans="1:14" s="143" customFormat="1" hidden="1" x14ac:dyDescent="0.25">
      <c r="A795" s="143" t="s">
        <v>720</v>
      </c>
      <c r="B795" s="143" t="s">
        <v>104</v>
      </c>
      <c r="C795" s="143" t="s">
        <v>105</v>
      </c>
      <c r="D795" s="143" t="s">
        <v>69</v>
      </c>
      <c r="E795" s="257">
        <v>7541300</v>
      </c>
      <c r="F795" s="257">
        <v>2222626</v>
      </c>
      <c r="G795" s="257">
        <v>1342928</v>
      </c>
      <c r="H795" s="257">
        <v>0</v>
      </c>
      <c r="I795" s="257">
        <v>0</v>
      </c>
      <c r="J795" s="257">
        <v>0</v>
      </c>
      <c r="K795" s="257">
        <v>1342926.72</v>
      </c>
      <c r="L795" s="257">
        <v>1342926.72</v>
      </c>
      <c r="M795" s="257">
        <v>879699.28</v>
      </c>
      <c r="N795" s="257">
        <v>1.28</v>
      </c>
    </row>
    <row r="796" spans="1:14" s="143" customFormat="1" hidden="1" x14ac:dyDescent="0.25">
      <c r="A796" s="143" t="s">
        <v>720</v>
      </c>
      <c r="B796" s="143" t="s">
        <v>140</v>
      </c>
      <c r="C796" s="143" t="s">
        <v>141</v>
      </c>
      <c r="D796" s="143" t="s">
        <v>69</v>
      </c>
      <c r="E796" s="257">
        <v>7541300</v>
      </c>
      <c r="F796" s="257">
        <v>2222626</v>
      </c>
      <c r="G796" s="257">
        <v>1342928</v>
      </c>
      <c r="H796" s="257">
        <v>0</v>
      </c>
      <c r="I796" s="257">
        <v>0</v>
      </c>
      <c r="J796" s="257">
        <v>0</v>
      </c>
      <c r="K796" s="257">
        <v>1342926.72</v>
      </c>
      <c r="L796" s="257">
        <v>1342926.72</v>
      </c>
      <c r="M796" s="257">
        <v>879699.28</v>
      </c>
      <c r="N796" s="257">
        <v>1.28</v>
      </c>
    </row>
    <row r="797" spans="1:14" s="143" customFormat="1" hidden="1" x14ac:dyDescent="0.25">
      <c r="A797" s="143" t="s">
        <v>720</v>
      </c>
      <c r="B797" s="143" t="s">
        <v>146</v>
      </c>
      <c r="C797" s="143" t="s">
        <v>147</v>
      </c>
      <c r="D797" s="143" t="s">
        <v>69</v>
      </c>
      <c r="E797" s="257">
        <v>2513800</v>
      </c>
      <c r="F797" s="257">
        <v>434386</v>
      </c>
      <c r="G797" s="257">
        <v>434386</v>
      </c>
      <c r="H797" s="257">
        <v>0</v>
      </c>
      <c r="I797" s="257">
        <v>0</v>
      </c>
      <c r="J797" s="257">
        <v>0</v>
      </c>
      <c r="K797" s="257">
        <v>434385.63</v>
      </c>
      <c r="L797" s="257">
        <v>434385.63</v>
      </c>
      <c r="M797" s="257">
        <v>0.37</v>
      </c>
      <c r="N797" s="257">
        <v>0.37</v>
      </c>
    </row>
    <row r="798" spans="1:14" s="143" customFormat="1" hidden="1" x14ac:dyDescent="0.25">
      <c r="A798" s="143" t="s">
        <v>720</v>
      </c>
      <c r="B798" s="143" t="s">
        <v>148</v>
      </c>
      <c r="C798" s="143" t="s">
        <v>149</v>
      </c>
      <c r="D798" s="143" t="s">
        <v>69</v>
      </c>
      <c r="E798" s="257">
        <v>5027500</v>
      </c>
      <c r="F798" s="257">
        <v>1788240</v>
      </c>
      <c r="G798" s="257">
        <v>908542</v>
      </c>
      <c r="H798" s="257">
        <v>0</v>
      </c>
      <c r="I798" s="257">
        <v>0</v>
      </c>
      <c r="J798" s="257">
        <v>0</v>
      </c>
      <c r="K798" s="257">
        <v>908541.09</v>
      </c>
      <c r="L798" s="257">
        <v>908541.09</v>
      </c>
      <c r="M798" s="257">
        <v>879698.91</v>
      </c>
      <c r="N798" s="257">
        <v>0.91</v>
      </c>
    </row>
    <row r="799" spans="1:14" s="143" customFormat="1" hidden="1" x14ac:dyDescent="0.25">
      <c r="A799" s="143" t="s">
        <v>720</v>
      </c>
      <c r="B799" s="143" t="s">
        <v>248</v>
      </c>
      <c r="C799" s="143" t="s">
        <v>249</v>
      </c>
      <c r="D799" s="143" t="s">
        <v>69</v>
      </c>
      <c r="E799" s="257">
        <v>11674695</v>
      </c>
      <c r="F799" s="257">
        <v>15441224</v>
      </c>
      <c r="G799" s="257">
        <v>15441224</v>
      </c>
      <c r="H799" s="257">
        <v>0</v>
      </c>
      <c r="I799" s="257">
        <v>6373070.7400000002</v>
      </c>
      <c r="J799" s="257">
        <v>0</v>
      </c>
      <c r="K799" s="257">
        <v>5644381.2599999998</v>
      </c>
      <c r="L799" s="257">
        <v>5644381.2599999998</v>
      </c>
      <c r="M799" s="257">
        <v>3423772</v>
      </c>
      <c r="N799" s="257">
        <v>3423772</v>
      </c>
    </row>
    <row r="800" spans="1:14" s="143" customFormat="1" hidden="1" x14ac:dyDescent="0.25">
      <c r="A800" s="143" t="s">
        <v>720</v>
      </c>
      <c r="B800" s="143" t="s">
        <v>250</v>
      </c>
      <c r="C800" s="143" t="s">
        <v>251</v>
      </c>
      <c r="D800" s="143" t="s">
        <v>69</v>
      </c>
      <c r="E800" s="257">
        <v>11674695</v>
      </c>
      <c r="F800" s="257">
        <v>11441224</v>
      </c>
      <c r="G800" s="257">
        <v>11441224</v>
      </c>
      <c r="H800" s="257">
        <v>0</v>
      </c>
      <c r="I800" s="257">
        <v>6373070.7400000002</v>
      </c>
      <c r="J800" s="257">
        <v>0</v>
      </c>
      <c r="K800" s="257">
        <v>5068153.26</v>
      </c>
      <c r="L800" s="257">
        <v>5068153.26</v>
      </c>
      <c r="M800" s="257">
        <v>0</v>
      </c>
      <c r="N800" s="257">
        <v>0</v>
      </c>
    </row>
    <row r="801" spans="1:14" s="143" customFormat="1" hidden="1" x14ac:dyDescent="0.25">
      <c r="A801" s="143" t="s">
        <v>720</v>
      </c>
      <c r="B801" s="143" t="s">
        <v>638</v>
      </c>
      <c r="C801" s="143" t="s">
        <v>702</v>
      </c>
      <c r="D801" s="143" t="s">
        <v>69</v>
      </c>
      <c r="E801" s="257">
        <v>9916509</v>
      </c>
      <c r="F801" s="257">
        <v>9718198</v>
      </c>
      <c r="G801" s="257">
        <v>9718198</v>
      </c>
      <c r="H801" s="257">
        <v>0</v>
      </c>
      <c r="I801" s="257">
        <v>5440241.2199999997</v>
      </c>
      <c r="J801" s="257">
        <v>0</v>
      </c>
      <c r="K801" s="257">
        <v>4277956.78</v>
      </c>
      <c r="L801" s="257">
        <v>4277956.78</v>
      </c>
      <c r="M801" s="257">
        <v>0</v>
      </c>
      <c r="N801" s="257">
        <v>0</v>
      </c>
    </row>
    <row r="802" spans="1:14" s="143" customFormat="1" hidden="1" x14ac:dyDescent="0.25">
      <c r="A802" s="143" t="s">
        <v>720</v>
      </c>
      <c r="B802" s="143" t="s">
        <v>653</v>
      </c>
      <c r="C802" s="143" t="s">
        <v>703</v>
      </c>
      <c r="D802" s="143" t="s">
        <v>69</v>
      </c>
      <c r="E802" s="257">
        <v>1758186</v>
      </c>
      <c r="F802" s="257">
        <v>1723026</v>
      </c>
      <c r="G802" s="257">
        <v>1723026</v>
      </c>
      <c r="H802" s="257">
        <v>0</v>
      </c>
      <c r="I802" s="257">
        <v>932829.52</v>
      </c>
      <c r="J802" s="257">
        <v>0</v>
      </c>
      <c r="K802" s="257">
        <v>790196.48</v>
      </c>
      <c r="L802" s="257">
        <v>790196.48</v>
      </c>
      <c r="M802" s="257">
        <v>0</v>
      </c>
      <c r="N802" s="257">
        <v>0</v>
      </c>
    </row>
    <row r="803" spans="1:14" s="143" customFormat="1" hidden="1" x14ac:dyDescent="0.25">
      <c r="A803" s="143" t="s">
        <v>720</v>
      </c>
      <c r="B803" s="143" t="s">
        <v>260</v>
      </c>
      <c r="C803" s="143" t="s">
        <v>261</v>
      </c>
      <c r="D803" s="143" t="s">
        <v>69</v>
      </c>
      <c r="E803" s="257">
        <v>0</v>
      </c>
      <c r="F803" s="257">
        <v>4000000</v>
      </c>
      <c r="G803" s="257">
        <v>4000000</v>
      </c>
      <c r="H803" s="257">
        <v>0</v>
      </c>
      <c r="I803" s="257">
        <v>0</v>
      </c>
      <c r="J803" s="257">
        <v>0</v>
      </c>
      <c r="K803" s="257">
        <v>576228</v>
      </c>
      <c r="L803" s="257">
        <v>576228</v>
      </c>
      <c r="M803" s="257">
        <v>3423772</v>
      </c>
      <c r="N803" s="257">
        <v>3423772</v>
      </c>
    </row>
    <row r="804" spans="1:14" s="143" customFormat="1" hidden="1" x14ac:dyDescent="0.25">
      <c r="A804" s="143" t="s">
        <v>720</v>
      </c>
      <c r="B804" s="143" t="s">
        <v>264</v>
      </c>
      <c r="C804" s="143" t="s">
        <v>265</v>
      </c>
      <c r="D804" s="143" t="s">
        <v>69</v>
      </c>
      <c r="E804" s="257">
        <v>0</v>
      </c>
      <c r="F804" s="257">
        <v>4000000</v>
      </c>
      <c r="G804" s="257">
        <v>4000000</v>
      </c>
      <c r="H804" s="257">
        <v>0</v>
      </c>
      <c r="I804" s="257">
        <v>0</v>
      </c>
      <c r="J804" s="257">
        <v>0</v>
      </c>
      <c r="K804" s="257">
        <v>576228</v>
      </c>
      <c r="L804" s="257">
        <v>576228</v>
      </c>
      <c r="M804" s="257">
        <v>3423772</v>
      </c>
      <c r="N804" s="257">
        <v>3423772</v>
      </c>
    </row>
    <row r="805" spans="1:14" s="143" customFormat="1" x14ac:dyDescent="0.25">
      <c r="A805" s="44">
        <v>214794</v>
      </c>
      <c r="D805" s="44" t="s">
        <v>69</v>
      </c>
      <c r="E805" s="257">
        <v>13895221022</v>
      </c>
      <c r="F805" s="50">
        <v>13453908259</v>
      </c>
      <c r="G805" s="257">
        <v>13076686206</v>
      </c>
      <c r="H805" s="50">
        <v>0</v>
      </c>
      <c r="I805" s="50">
        <v>1308249969.1800001</v>
      </c>
      <c r="J805" s="50">
        <v>0</v>
      </c>
      <c r="K805" s="50">
        <v>5164336983.7399998</v>
      </c>
      <c r="L805" s="50">
        <v>5164336983.7399998</v>
      </c>
      <c r="M805" s="50">
        <v>6981321306.0799999</v>
      </c>
      <c r="N805" s="257">
        <v>6604099253.0799999</v>
      </c>
    </row>
    <row r="806" spans="1:14" s="143" customFormat="1" hidden="1" x14ac:dyDescent="0.25">
      <c r="A806" s="143" t="s">
        <v>721</v>
      </c>
      <c r="B806" s="143" t="s">
        <v>71</v>
      </c>
      <c r="C806" s="143" t="s">
        <v>72</v>
      </c>
      <c r="D806" s="143" t="s">
        <v>69</v>
      </c>
      <c r="E806" s="257">
        <v>13427888280</v>
      </c>
      <c r="F806" s="257">
        <v>12993531157</v>
      </c>
      <c r="G806" s="257">
        <v>12728061044</v>
      </c>
      <c r="H806" s="257">
        <v>0</v>
      </c>
      <c r="I806" s="257">
        <v>1206529084.51</v>
      </c>
      <c r="J806" s="257">
        <v>0</v>
      </c>
      <c r="K806" s="257">
        <v>4958918418.9099998</v>
      </c>
      <c r="L806" s="257">
        <v>4958918418.9099998</v>
      </c>
      <c r="M806" s="257">
        <v>6828083653.5799999</v>
      </c>
      <c r="N806" s="257">
        <v>6562613540.5799999</v>
      </c>
    </row>
    <row r="807" spans="1:14" s="143" customFormat="1" hidden="1" x14ac:dyDescent="0.25">
      <c r="A807" s="143" t="s">
        <v>721</v>
      </c>
      <c r="B807" s="143" t="s">
        <v>73</v>
      </c>
      <c r="C807" s="143" t="s">
        <v>74</v>
      </c>
      <c r="D807" s="143" t="s">
        <v>69</v>
      </c>
      <c r="E807" s="257">
        <v>4501527400</v>
      </c>
      <c r="F807" s="257">
        <v>4282102200</v>
      </c>
      <c r="G807" s="257">
        <v>4190183402</v>
      </c>
      <c r="H807" s="257">
        <v>0</v>
      </c>
      <c r="I807" s="257">
        <v>0</v>
      </c>
      <c r="J807" s="257">
        <v>0</v>
      </c>
      <c r="K807" s="257">
        <v>1563080978.46</v>
      </c>
      <c r="L807" s="257">
        <v>1563080978.46</v>
      </c>
      <c r="M807" s="257">
        <v>2719021221.54</v>
      </c>
      <c r="N807" s="257">
        <v>2627102423.54</v>
      </c>
    </row>
    <row r="808" spans="1:14" s="143" customFormat="1" hidden="1" x14ac:dyDescent="0.25">
      <c r="A808" s="143" t="s">
        <v>721</v>
      </c>
      <c r="B808" s="143" t="s">
        <v>75</v>
      </c>
      <c r="C808" s="143" t="s">
        <v>76</v>
      </c>
      <c r="D808" s="143" t="s">
        <v>69</v>
      </c>
      <c r="E808" s="257">
        <v>4501527400</v>
      </c>
      <c r="F808" s="257">
        <v>4282102200</v>
      </c>
      <c r="G808" s="257">
        <v>4190183402</v>
      </c>
      <c r="H808" s="257">
        <v>0</v>
      </c>
      <c r="I808" s="257">
        <v>0</v>
      </c>
      <c r="J808" s="257">
        <v>0</v>
      </c>
      <c r="K808" s="257">
        <v>1563080978.46</v>
      </c>
      <c r="L808" s="257">
        <v>1563080978.46</v>
      </c>
      <c r="M808" s="257">
        <v>2719021221.54</v>
      </c>
      <c r="N808" s="257">
        <v>2627102423.54</v>
      </c>
    </row>
    <row r="809" spans="1:14" s="143" customFormat="1" hidden="1" x14ac:dyDescent="0.25">
      <c r="A809" s="143" t="s">
        <v>721</v>
      </c>
      <c r="B809" s="143" t="s">
        <v>77</v>
      </c>
      <c r="C809" s="143" t="s">
        <v>78</v>
      </c>
      <c r="D809" s="143" t="s">
        <v>69</v>
      </c>
      <c r="E809" s="257">
        <v>6803353044</v>
      </c>
      <c r="F809" s="257">
        <v>6662683454</v>
      </c>
      <c r="G809" s="257">
        <v>6505519159</v>
      </c>
      <c r="H809" s="257">
        <v>0</v>
      </c>
      <c r="I809" s="257">
        <v>0</v>
      </c>
      <c r="J809" s="257">
        <v>0</v>
      </c>
      <c r="K809" s="257">
        <v>2570726391.96</v>
      </c>
      <c r="L809" s="257">
        <v>2570726391.96</v>
      </c>
      <c r="M809" s="257">
        <v>4091957062.04</v>
      </c>
      <c r="N809" s="257">
        <v>3934792767.04</v>
      </c>
    </row>
    <row r="810" spans="1:14" s="143" customFormat="1" hidden="1" x14ac:dyDescent="0.25">
      <c r="A810" s="143" t="s">
        <v>721</v>
      </c>
      <c r="B810" s="143" t="s">
        <v>79</v>
      </c>
      <c r="C810" s="143" t="s">
        <v>80</v>
      </c>
      <c r="D810" s="143" t="s">
        <v>69</v>
      </c>
      <c r="E810" s="257">
        <v>1381150100</v>
      </c>
      <c r="F810" s="257">
        <v>1381150100</v>
      </c>
      <c r="G810" s="257">
        <v>1293573084</v>
      </c>
      <c r="H810" s="257">
        <v>0</v>
      </c>
      <c r="I810" s="257">
        <v>0</v>
      </c>
      <c r="J810" s="257">
        <v>0</v>
      </c>
      <c r="K810" s="257">
        <v>503420167.75</v>
      </c>
      <c r="L810" s="257">
        <v>503420167.75</v>
      </c>
      <c r="M810" s="257">
        <v>877729932.25</v>
      </c>
      <c r="N810" s="257">
        <v>790152916.25</v>
      </c>
    </row>
    <row r="811" spans="1:14" s="143" customFormat="1" hidden="1" x14ac:dyDescent="0.25">
      <c r="A811" s="143" t="s">
        <v>721</v>
      </c>
      <c r="B811" s="143" t="s">
        <v>81</v>
      </c>
      <c r="C811" s="143" t="s">
        <v>82</v>
      </c>
      <c r="D811" s="143" t="s">
        <v>69</v>
      </c>
      <c r="E811" s="257">
        <v>2537511300</v>
      </c>
      <c r="F811" s="257">
        <v>2461272475</v>
      </c>
      <c r="G811" s="257">
        <v>2414129473</v>
      </c>
      <c r="H811" s="257">
        <v>0</v>
      </c>
      <c r="I811" s="257">
        <v>0</v>
      </c>
      <c r="J811" s="257">
        <v>0</v>
      </c>
      <c r="K811" s="257">
        <v>911720636.02999997</v>
      </c>
      <c r="L811" s="257">
        <v>911720636.02999997</v>
      </c>
      <c r="M811" s="257">
        <v>1549551838.97</v>
      </c>
      <c r="N811" s="257">
        <v>1502408836.97</v>
      </c>
    </row>
    <row r="812" spans="1:14" s="143" customFormat="1" hidden="1" x14ac:dyDescent="0.25">
      <c r="A812" s="143" t="s">
        <v>721</v>
      </c>
      <c r="B812" s="143" t="s">
        <v>86</v>
      </c>
      <c r="C812" s="143" t="s">
        <v>87</v>
      </c>
      <c r="D812" s="143" t="s">
        <v>69</v>
      </c>
      <c r="E812" s="257">
        <v>799025700</v>
      </c>
      <c r="F812" s="257">
        <v>799025700</v>
      </c>
      <c r="G812" s="257">
        <v>799025700</v>
      </c>
      <c r="H812" s="257">
        <v>0</v>
      </c>
      <c r="I812" s="257">
        <v>0</v>
      </c>
      <c r="J812" s="257">
        <v>0</v>
      </c>
      <c r="K812" s="257">
        <v>720602684.51999998</v>
      </c>
      <c r="L812" s="257">
        <v>720602684.51999998</v>
      </c>
      <c r="M812" s="257">
        <v>78423015.480000004</v>
      </c>
      <c r="N812" s="257">
        <v>78423015.480000004</v>
      </c>
    </row>
    <row r="813" spans="1:14" s="143" customFormat="1" hidden="1" x14ac:dyDescent="0.25">
      <c r="A813" s="143" t="s">
        <v>721</v>
      </c>
      <c r="B813" s="143" t="s">
        <v>88</v>
      </c>
      <c r="C813" s="143" t="s">
        <v>89</v>
      </c>
      <c r="D813" s="143" t="s">
        <v>69</v>
      </c>
      <c r="E813" s="257">
        <v>1216380900</v>
      </c>
      <c r="F813" s="257">
        <v>1188568083</v>
      </c>
      <c r="G813" s="257">
        <v>1171957206</v>
      </c>
      <c r="H813" s="257">
        <v>0</v>
      </c>
      <c r="I813" s="257">
        <v>0</v>
      </c>
      <c r="J813" s="257">
        <v>0</v>
      </c>
      <c r="K813" s="257">
        <v>434982903.66000003</v>
      </c>
      <c r="L813" s="257">
        <v>434982903.66000003</v>
      </c>
      <c r="M813" s="257">
        <v>753585179.34000003</v>
      </c>
      <c r="N813" s="257">
        <v>736974302.34000003</v>
      </c>
    </row>
    <row r="814" spans="1:14" s="143" customFormat="1" hidden="1" x14ac:dyDescent="0.25">
      <c r="A814" s="143" t="s">
        <v>721</v>
      </c>
      <c r="B814" s="143" t="s">
        <v>83</v>
      </c>
      <c r="C814" s="143" t="s">
        <v>84</v>
      </c>
      <c r="D814" s="143" t="s">
        <v>85</v>
      </c>
      <c r="E814" s="257">
        <v>869285044</v>
      </c>
      <c r="F814" s="257">
        <v>832667096</v>
      </c>
      <c r="G814" s="257">
        <v>826833696</v>
      </c>
      <c r="H814" s="257">
        <v>0</v>
      </c>
      <c r="I814" s="257">
        <v>0</v>
      </c>
      <c r="J814" s="257">
        <v>0</v>
      </c>
      <c r="K814" s="257">
        <v>0</v>
      </c>
      <c r="L814" s="257">
        <v>0</v>
      </c>
      <c r="M814" s="257">
        <v>832667096</v>
      </c>
      <c r="N814" s="257">
        <v>826833696</v>
      </c>
    </row>
    <row r="815" spans="1:14" s="143" customFormat="1" hidden="1" x14ac:dyDescent="0.25">
      <c r="A815" s="143" t="s">
        <v>721</v>
      </c>
      <c r="B815" s="143" t="s">
        <v>90</v>
      </c>
      <c r="C815" s="143" t="s">
        <v>91</v>
      </c>
      <c r="D815" s="143" t="s">
        <v>69</v>
      </c>
      <c r="E815" s="257">
        <v>1017470468</v>
      </c>
      <c r="F815" s="257">
        <v>980339301</v>
      </c>
      <c r="G815" s="257">
        <v>972145791</v>
      </c>
      <c r="H815" s="257">
        <v>0</v>
      </c>
      <c r="I815" s="257">
        <v>567427901</v>
      </c>
      <c r="J815" s="257">
        <v>0</v>
      </c>
      <c r="K815" s="257">
        <v>404717890</v>
      </c>
      <c r="L815" s="257">
        <v>404717890</v>
      </c>
      <c r="M815" s="257">
        <v>8193510</v>
      </c>
      <c r="N815" s="257">
        <v>0</v>
      </c>
    </row>
    <row r="816" spans="1:14" s="143" customFormat="1" hidden="1" x14ac:dyDescent="0.25">
      <c r="A816" s="143" t="s">
        <v>721</v>
      </c>
      <c r="B816" s="143" t="s">
        <v>430</v>
      </c>
      <c r="C816" s="143" t="s">
        <v>697</v>
      </c>
      <c r="D816" s="143" t="s">
        <v>69</v>
      </c>
      <c r="E816" s="257">
        <v>965292547</v>
      </c>
      <c r="F816" s="257">
        <v>930065542</v>
      </c>
      <c r="G816" s="257">
        <v>922292212</v>
      </c>
      <c r="H816" s="257">
        <v>0</v>
      </c>
      <c r="I816" s="257">
        <v>538329093</v>
      </c>
      <c r="J816" s="257">
        <v>0</v>
      </c>
      <c r="K816" s="257">
        <v>383963119</v>
      </c>
      <c r="L816" s="257">
        <v>383963119</v>
      </c>
      <c r="M816" s="257">
        <v>7773330</v>
      </c>
      <c r="N816" s="257">
        <v>0</v>
      </c>
    </row>
    <row r="817" spans="1:14" s="143" customFormat="1" hidden="1" x14ac:dyDescent="0.25">
      <c r="A817" s="143" t="s">
        <v>721</v>
      </c>
      <c r="B817" s="143" t="s">
        <v>447</v>
      </c>
      <c r="C817" s="143" t="s">
        <v>95</v>
      </c>
      <c r="D817" s="143" t="s">
        <v>69</v>
      </c>
      <c r="E817" s="257">
        <v>52177921</v>
      </c>
      <c r="F817" s="257">
        <v>50273759</v>
      </c>
      <c r="G817" s="257">
        <v>49853579</v>
      </c>
      <c r="H817" s="257">
        <v>0</v>
      </c>
      <c r="I817" s="257">
        <v>29098808</v>
      </c>
      <c r="J817" s="257">
        <v>0</v>
      </c>
      <c r="K817" s="257">
        <v>20754771</v>
      </c>
      <c r="L817" s="257">
        <v>20754771</v>
      </c>
      <c r="M817" s="257">
        <v>420180</v>
      </c>
      <c r="N817" s="257">
        <v>0</v>
      </c>
    </row>
    <row r="818" spans="1:14" s="143" customFormat="1" hidden="1" x14ac:dyDescent="0.25">
      <c r="A818" s="143" t="s">
        <v>721</v>
      </c>
      <c r="B818" s="143" t="s">
        <v>96</v>
      </c>
      <c r="C818" s="143" t="s">
        <v>97</v>
      </c>
      <c r="D818" s="143" t="s">
        <v>69</v>
      </c>
      <c r="E818" s="257">
        <v>1105537368</v>
      </c>
      <c r="F818" s="257">
        <v>1068406202</v>
      </c>
      <c r="G818" s="257">
        <v>1060212692</v>
      </c>
      <c r="H818" s="257">
        <v>0</v>
      </c>
      <c r="I818" s="257">
        <v>639101183.50999999</v>
      </c>
      <c r="J818" s="257">
        <v>0</v>
      </c>
      <c r="K818" s="257">
        <v>420393158.49000001</v>
      </c>
      <c r="L818" s="257">
        <v>420393158.49000001</v>
      </c>
      <c r="M818" s="257">
        <v>8911860</v>
      </c>
      <c r="N818" s="257">
        <v>718350</v>
      </c>
    </row>
    <row r="819" spans="1:14" s="143" customFormat="1" hidden="1" x14ac:dyDescent="0.25">
      <c r="A819" s="143" t="s">
        <v>721</v>
      </c>
      <c r="B819" s="143" t="s">
        <v>465</v>
      </c>
      <c r="C819" s="143" t="s">
        <v>698</v>
      </c>
      <c r="D819" s="143" t="s">
        <v>69</v>
      </c>
      <c r="E819" s="257">
        <v>547868675</v>
      </c>
      <c r="F819" s="257">
        <v>527874970</v>
      </c>
      <c r="G819" s="257">
        <v>523463080</v>
      </c>
      <c r="H819" s="257">
        <v>0</v>
      </c>
      <c r="I819" s="257">
        <v>326807903</v>
      </c>
      <c r="J819" s="257">
        <v>0</v>
      </c>
      <c r="K819" s="257">
        <v>196655177</v>
      </c>
      <c r="L819" s="257">
        <v>196655177</v>
      </c>
      <c r="M819" s="257">
        <v>4411890</v>
      </c>
      <c r="N819" s="257">
        <v>0</v>
      </c>
    </row>
    <row r="820" spans="1:14" s="143" customFormat="1" hidden="1" x14ac:dyDescent="0.25">
      <c r="A820" s="143" t="s">
        <v>721</v>
      </c>
      <c r="B820" s="143" t="s">
        <v>482</v>
      </c>
      <c r="C820" s="143" t="s">
        <v>699</v>
      </c>
      <c r="D820" s="143" t="s">
        <v>69</v>
      </c>
      <c r="E820" s="257">
        <v>156533864</v>
      </c>
      <c r="F820" s="257">
        <v>150821377</v>
      </c>
      <c r="G820" s="257">
        <v>149560837</v>
      </c>
      <c r="H820" s="257">
        <v>0</v>
      </c>
      <c r="I820" s="257">
        <v>87296548</v>
      </c>
      <c r="J820" s="257">
        <v>0</v>
      </c>
      <c r="K820" s="257">
        <v>62264289</v>
      </c>
      <c r="L820" s="257">
        <v>62264289</v>
      </c>
      <c r="M820" s="257">
        <v>1260540</v>
      </c>
      <c r="N820" s="257">
        <v>0</v>
      </c>
    </row>
    <row r="821" spans="1:14" s="143" customFormat="1" hidden="1" x14ac:dyDescent="0.25">
      <c r="A821" s="143" t="s">
        <v>721</v>
      </c>
      <c r="B821" s="143" t="s">
        <v>499</v>
      </c>
      <c r="C821" s="143" t="s">
        <v>700</v>
      </c>
      <c r="D821" s="143" t="s">
        <v>69</v>
      </c>
      <c r="E821" s="257">
        <v>313067829</v>
      </c>
      <c r="F821" s="257">
        <v>301642855</v>
      </c>
      <c r="G821" s="257">
        <v>299121775</v>
      </c>
      <c r="H821" s="257">
        <v>0</v>
      </c>
      <c r="I821" s="257">
        <v>174593158</v>
      </c>
      <c r="J821" s="257">
        <v>0</v>
      </c>
      <c r="K821" s="257">
        <v>124528617</v>
      </c>
      <c r="L821" s="257">
        <v>124528617</v>
      </c>
      <c r="M821" s="257">
        <v>2521080</v>
      </c>
      <c r="N821" s="257">
        <v>0</v>
      </c>
    </row>
    <row r="822" spans="1:14" s="143" customFormat="1" hidden="1" x14ac:dyDescent="0.25">
      <c r="A822" s="143" t="s">
        <v>721</v>
      </c>
      <c r="B822" s="143" t="s">
        <v>516</v>
      </c>
      <c r="C822" s="143" t="s">
        <v>722</v>
      </c>
      <c r="D822" s="143" t="s">
        <v>69</v>
      </c>
      <c r="E822" s="257">
        <v>88067000</v>
      </c>
      <c r="F822" s="257">
        <v>88067000</v>
      </c>
      <c r="G822" s="257">
        <v>88067000</v>
      </c>
      <c r="H822" s="257">
        <v>0</v>
      </c>
      <c r="I822" s="257">
        <v>50403574.509999998</v>
      </c>
      <c r="J822" s="257">
        <v>0</v>
      </c>
      <c r="K822" s="257">
        <v>36945075.490000002</v>
      </c>
      <c r="L822" s="257">
        <v>36945075.490000002</v>
      </c>
      <c r="M822" s="257">
        <v>718350</v>
      </c>
      <c r="N822" s="257">
        <v>718350</v>
      </c>
    </row>
    <row r="823" spans="1:14" s="143" customFormat="1" hidden="1" x14ac:dyDescent="0.25">
      <c r="A823" s="143" t="s">
        <v>721</v>
      </c>
      <c r="B823" s="143" t="s">
        <v>104</v>
      </c>
      <c r="C823" s="143" t="s">
        <v>105</v>
      </c>
      <c r="D823" s="143" t="s">
        <v>69</v>
      </c>
      <c r="E823" s="257">
        <v>45500000</v>
      </c>
      <c r="F823" s="257">
        <v>44866179</v>
      </c>
      <c r="G823" s="257">
        <v>44866179</v>
      </c>
      <c r="H823" s="257">
        <v>0</v>
      </c>
      <c r="I823" s="257">
        <v>886800</v>
      </c>
      <c r="J823" s="257">
        <v>0</v>
      </c>
      <c r="K823" s="257">
        <v>43979379</v>
      </c>
      <c r="L823" s="257">
        <v>43979379</v>
      </c>
      <c r="M823" s="257">
        <v>0</v>
      </c>
      <c r="N823" s="257">
        <v>0</v>
      </c>
    </row>
    <row r="824" spans="1:14" s="143" customFormat="1" hidden="1" x14ac:dyDescent="0.25">
      <c r="A824" s="143" t="s">
        <v>721</v>
      </c>
      <c r="B824" s="143" t="s">
        <v>150</v>
      </c>
      <c r="C824" s="143" t="s">
        <v>151</v>
      </c>
      <c r="D824" s="143" t="s">
        <v>69</v>
      </c>
      <c r="E824" s="257">
        <v>45500000</v>
      </c>
      <c r="F824" s="257">
        <v>44866179</v>
      </c>
      <c r="G824" s="257">
        <v>44866179</v>
      </c>
      <c r="H824" s="257">
        <v>0</v>
      </c>
      <c r="I824" s="257">
        <v>886800</v>
      </c>
      <c r="J824" s="257">
        <v>0</v>
      </c>
      <c r="K824" s="257">
        <v>43979379</v>
      </c>
      <c r="L824" s="257">
        <v>43979379</v>
      </c>
      <c r="M824" s="257">
        <v>0</v>
      </c>
      <c r="N824" s="257">
        <v>0</v>
      </c>
    </row>
    <row r="825" spans="1:14" s="143" customFormat="1" hidden="1" x14ac:dyDescent="0.25">
      <c r="A825" s="143" t="s">
        <v>721</v>
      </c>
      <c r="B825" s="143" t="s">
        <v>152</v>
      </c>
      <c r="C825" s="143" t="s">
        <v>153</v>
      </c>
      <c r="D825" s="143" t="s">
        <v>69</v>
      </c>
      <c r="E825" s="257">
        <v>45500000</v>
      </c>
      <c r="F825" s="257">
        <v>44866179</v>
      </c>
      <c r="G825" s="257">
        <v>44866179</v>
      </c>
      <c r="H825" s="257">
        <v>0</v>
      </c>
      <c r="I825" s="257">
        <v>886800</v>
      </c>
      <c r="J825" s="257">
        <v>0</v>
      </c>
      <c r="K825" s="257">
        <v>43979379</v>
      </c>
      <c r="L825" s="257">
        <v>43979379</v>
      </c>
      <c r="M825" s="257">
        <v>0</v>
      </c>
      <c r="N825" s="257">
        <v>0</v>
      </c>
    </row>
    <row r="826" spans="1:14" s="143" customFormat="1" hidden="1" x14ac:dyDescent="0.25">
      <c r="A826" s="143" t="s">
        <v>721</v>
      </c>
      <c r="B826" s="143" t="s">
        <v>248</v>
      </c>
      <c r="C826" s="143" t="s">
        <v>249</v>
      </c>
      <c r="D826" s="143" t="s">
        <v>69</v>
      </c>
      <c r="E826" s="257">
        <v>421832742</v>
      </c>
      <c r="F826" s="257">
        <v>415510923</v>
      </c>
      <c r="G826" s="257">
        <v>303758983</v>
      </c>
      <c r="H826" s="257">
        <v>0</v>
      </c>
      <c r="I826" s="257">
        <v>100834084.67</v>
      </c>
      <c r="J826" s="257">
        <v>0</v>
      </c>
      <c r="K826" s="257">
        <v>161439185.83000001</v>
      </c>
      <c r="L826" s="257">
        <v>161439185.83000001</v>
      </c>
      <c r="M826" s="257">
        <v>153237652.5</v>
      </c>
      <c r="N826" s="257">
        <v>41485712.5</v>
      </c>
    </row>
    <row r="827" spans="1:14" s="143" customFormat="1" hidden="1" x14ac:dyDescent="0.25">
      <c r="A827" s="143" t="s">
        <v>721</v>
      </c>
      <c r="B827" s="143" t="s">
        <v>250</v>
      </c>
      <c r="C827" s="143" t="s">
        <v>251</v>
      </c>
      <c r="D827" s="143" t="s">
        <v>69</v>
      </c>
      <c r="E827" s="257">
        <v>173230842</v>
      </c>
      <c r="F827" s="257">
        <v>166909023</v>
      </c>
      <c r="G827" s="257">
        <v>165514033</v>
      </c>
      <c r="H827" s="257">
        <v>0</v>
      </c>
      <c r="I827" s="257">
        <v>99030639.209999993</v>
      </c>
      <c r="J827" s="257">
        <v>0</v>
      </c>
      <c r="K827" s="257">
        <v>66483393.789999999</v>
      </c>
      <c r="L827" s="257">
        <v>66483393.789999999</v>
      </c>
      <c r="M827" s="257">
        <v>1394990</v>
      </c>
      <c r="N827" s="257">
        <v>0</v>
      </c>
    </row>
    <row r="828" spans="1:14" s="143" customFormat="1" hidden="1" x14ac:dyDescent="0.25">
      <c r="A828" s="143" t="s">
        <v>721</v>
      </c>
      <c r="B828" s="143" t="s">
        <v>639</v>
      </c>
      <c r="C828" s="143" t="s">
        <v>702</v>
      </c>
      <c r="D828" s="143" t="s">
        <v>69</v>
      </c>
      <c r="E828" s="257">
        <v>147141882</v>
      </c>
      <c r="F828" s="257">
        <v>141772144</v>
      </c>
      <c r="G828" s="257">
        <v>140587244</v>
      </c>
      <c r="H828" s="257">
        <v>0</v>
      </c>
      <c r="I828" s="257">
        <v>84481231.790000007</v>
      </c>
      <c r="J828" s="257">
        <v>0</v>
      </c>
      <c r="K828" s="257">
        <v>56106012.210000001</v>
      </c>
      <c r="L828" s="257">
        <v>56106012.210000001</v>
      </c>
      <c r="M828" s="257">
        <v>1184900</v>
      </c>
      <c r="N828" s="257">
        <v>0</v>
      </c>
    </row>
    <row r="829" spans="1:14" s="143" customFormat="1" hidden="1" x14ac:dyDescent="0.25">
      <c r="A829" s="143" t="s">
        <v>721</v>
      </c>
      <c r="B829" s="143" t="s">
        <v>654</v>
      </c>
      <c r="C829" s="143" t="s">
        <v>703</v>
      </c>
      <c r="D829" s="143" t="s">
        <v>69</v>
      </c>
      <c r="E829" s="257">
        <v>26088960</v>
      </c>
      <c r="F829" s="257">
        <v>25136879</v>
      </c>
      <c r="G829" s="257">
        <v>24926789</v>
      </c>
      <c r="H829" s="257">
        <v>0</v>
      </c>
      <c r="I829" s="257">
        <v>14549407.42</v>
      </c>
      <c r="J829" s="257">
        <v>0</v>
      </c>
      <c r="K829" s="257">
        <v>10377381.58</v>
      </c>
      <c r="L829" s="257">
        <v>10377381.58</v>
      </c>
      <c r="M829" s="257">
        <v>210090</v>
      </c>
      <c r="N829" s="257">
        <v>0</v>
      </c>
    </row>
    <row r="830" spans="1:14" s="143" customFormat="1" hidden="1" x14ac:dyDescent="0.25">
      <c r="A830" s="143" t="s">
        <v>721</v>
      </c>
      <c r="B830" s="143" t="s">
        <v>260</v>
      </c>
      <c r="C830" s="143" t="s">
        <v>261</v>
      </c>
      <c r="D830" s="143" t="s">
        <v>69</v>
      </c>
      <c r="E830" s="257">
        <v>223601900</v>
      </c>
      <c r="F830" s="257">
        <v>223601900</v>
      </c>
      <c r="G830" s="257">
        <v>134244950</v>
      </c>
      <c r="H830" s="257">
        <v>0</v>
      </c>
      <c r="I830" s="257">
        <v>1764966.43</v>
      </c>
      <c r="J830" s="257">
        <v>0</v>
      </c>
      <c r="K830" s="257">
        <v>90994271.069999993</v>
      </c>
      <c r="L830" s="257">
        <v>90994271.069999993</v>
      </c>
      <c r="M830" s="257">
        <v>130842662.5</v>
      </c>
      <c r="N830" s="257">
        <v>41485712.5</v>
      </c>
    </row>
    <row r="831" spans="1:14" s="143" customFormat="1" hidden="1" x14ac:dyDescent="0.25">
      <c r="A831" s="143" t="s">
        <v>721</v>
      </c>
      <c r="B831" s="143" t="s">
        <v>262</v>
      </c>
      <c r="C831" s="143" t="s">
        <v>263</v>
      </c>
      <c r="D831" s="143" t="s">
        <v>69</v>
      </c>
      <c r="E831" s="257">
        <v>150213900</v>
      </c>
      <c r="F831" s="257">
        <v>150213900</v>
      </c>
      <c r="G831" s="257">
        <v>60856950</v>
      </c>
      <c r="H831" s="257">
        <v>0</v>
      </c>
      <c r="I831" s="257">
        <v>1764966.43</v>
      </c>
      <c r="J831" s="257">
        <v>0</v>
      </c>
      <c r="K831" s="257">
        <v>59091983.57</v>
      </c>
      <c r="L831" s="257">
        <v>59091983.57</v>
      </c>
      <c r="M831" s="257">
        <v>89356950</v>
      </c>
      <c r="N831" s="257">
        <v>0</v>
      </c>
    </row>
    <row r="832" spans="1:14" s="143" customFormat="1" hidden="1" x14ac:dyDescent="0.25">
      <c r="A832" s="143" t="s">
        <v>721</v>
      </c>
      <c r="B832" s="143" t="s">
        <v>264</v>
      </c>
      <c r="C832" s="143" t="s">
        <v>265</v>
      </c>
      <c r="D832" s="143" t="s">
        <v>69</v>
      </c>
      <c r="E832" s="257">
        <v>73388000</v>
      </c>
      <c r="F832" s="257">
        <v>73388000</v>
      </c>
      <c r="G832" s="257">
        <v>73388000</v>
      </c>
      <c r="H832" s="257">
        <v>0</v>
      </c>
      <c r="I832" s="257">
        <v>0</v>
      </c>
      <c r="J832" s="257">
        <v>0</v>
      </c>
      <c r="K832" s="257">
        <v>31902287.5</v>
      </c>
      <c r="L832" s="257">
        <v>31902287.5</v>
      </c>
      <c r="M832" s="257">
        <v>41485712.5</v>
      </c>
      <c r="N832" s="257">
        <v>41485712.5</v>
      </c>
    </row>
    <row r="833" spans="1:14" s="143" customFormat="1" hidden="1" x14ac:dyDescent="0.25">
      <c r="A833" s="143" t="s">
        <v>721</v>
      </c>
      <c r="B833" s="143" t="s">
        <v>286</v>
      </c>
      <c r="C833" s="143" t="s">
        <v>287</v>
      </c>
      <c r="D833" s="143" t="s">
        <v>69</v>
      </c>
      <c r="E833" s="257">
        <v>25000000</v>
      </c>
      <c r="F833" s="257">
        <v>25000000</v>
      </c>
      <c r="G833" s="257">
        <v>4000000</v>
      </c>
      <c r="H833" s="257">
        <v>0</v>
      </c>
      <c r="I833" s="257">
        <v>38479.03</v>
      </c>
      <c r="J833" s="257">
        <v>0</v>
      </c>
      <c r="K833" s="257">
        <v>3961520.97</v>
      </c>
      <c r="L833" s="257">
        <v>3961520.97</v>
      </c>
      <c r="M833" s="257">
        <v>21000000</v>
      </c>
      <c r="N833" s="257">
        <v>0</v>
      </c>
    </row>
    <row r="834" spans="1:14" hidden="1" x14ac:dyDescent="0.25">
      <c r="A834" s="143" t="s">
        <v>721</v>
      </c>
      <c r="B834" s="143" t="s">
        <v>288</v>
      </c>
      <c r="C834" s="143" t="s">
        <v>289</v>
      </c>
      <c r="D834" s="143" t="s">
        <v>69</v>
      </c>
      <c r="E834" s="257">
        <v>10000000</v>
      </c>
      <c r="F834" s="257">
        <v>10000000</v>
      </c>
      <c r="G834" s="257">
        <v>4000000</v>
      </c>
      <c r="H834" s="257">
        <v>0</v>
      </c>
      <c r="I834" s="257">
        <v>38479.03</v>
      </c>
      <c r="J834" s="257">
        <v>0</v>
      </c>
      <c r="K834" s="257">
        <v>3961520.97</v>
      </c>
      <c r="L834" s="257">
        <v>3961520.97</v>
      </c>
      <c r="M834" s="257">
        <v>6000000</v>
      </c>
      <c r="N834" s="257">
        <v>0</v>
      </c>
    </row>
    <row r="835" spans="1:14" hidden="1" x14ac:dyDescent="0.25">
      <c r="A835" s="143" t="s">
        <v>721</v>
      </c>
      <c r="B835" s="143" t="s">
        <v>370</v>
      </c>
      <c r="C835" s="143" t="s">
        <v>371</v>
      </c>
      <c r="D835" s="143" t="s">
        <v>69</v>
      </c>
      <c r="E835" s="257">
        <v>15000000</v>
      </c>
      <c r="F835" s="257">
        <v>15000000</v>
      </c>
      <c r="G835" s="257">
        <v>0</v>
      </c>
      <c r="H835" s="257">
        <v>0</v>
      </c>
      <c r="I835" s="257">
        <v>0</v>
      </c>
      <c r="J835" s="257">
        <v>0</v>
      </c>
      <c r="K835" s="257">
        <v>0</v>
      </c>
      <c r="L835" s="257">
        <v>0</v>
      </c>
      <c r="M835" s="257">
        <v>15000000</v>
      </c>
      <c r="N835" s="257">
        <v>0</v>
      </c>
    </row>
    <row r="836" spans="1:14" hidden="1" x14ac:dyDescent="0.25">
      <c r="A836" s="53"/>
      <c r="B836" s="53"/>
      <c r="C836" s="53"/>
      <c r="D836" s="53"/>
      <c r="E836" s="54">
        <v>765104920000</v>
      </c>
      <c r="F836" s="54">
        <v>752543049830</v>
      </c>
      <c r="G836" s="54">
        <v>639853353758.40002</v>
      </c>
      <c r="H836" s="54">
        <v>7373175511.1499996</v>
      </c>
      <c r="I836" s="54">
        <v>109353219752.35001</v>
      </c>
      <c r="J836" s="54">
        <v>2334413555.9499998</v>
      </c>
      <c r="K836" s="54">
        <v>261660587185.54999</v>
      </c>
      <c r="L836" s="54">
        <v>257433059855.70001</v>
      </c>
      <c r="M836" s="54">
        <v>371821653825</v>
      </c>
      <c r="N836" s="54">
        <v>259131957753.39999</v>
      </c>
    </row>
  </sheetData>
  <sheetProtection selectLockedCells="1" selectUnlockedCells="1"/>
  <autoFilter ref="A1:N836"/>
  <conditionalFormatting sqref="K2:K451">
    <cfRule type="cellIs" dxfId="1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33"/>
  <sheetViews>
    <sheetView zoomScaleNormal="100" workbookViewId="0"/>
  </sheetViews>
  <sheetFormatPr baseColWidth="10" defaultColWidth="36.28515625" defaultRowHeight="15" x14ac:dyDescent="0.25"/>
  <cols>
    <col min="1" max="1" width="17.5703125" customWidth="1"/>
    <col min="2" max="2" width="20.28515625" hidden="1" customWidth="1"/>
    <col min="3" max="3" width="11.28515625" hidden="1" customWidth="1"/>
    <col min="4" max="4" width="6.5703125" customWidth="1"/>
    <col min="5" max="5" width="19.28515625" hidden="1" customWidth="1"/>
    <col min="6" max="6" width="24.28515625" customWidth="1"/>
    <col min="7" max="7" width="18.42578125" hidden="1" customWidth="1"/>
    <col min="8" max="8" width="19.42578125" customWidth="1"/>
    <col min="9" max="9" width="18.5703125" customWidth="1"/>
    <col min="10" max="10" width="21.42578125" customWidth="1"/>
    <col min="11" max="11" width="20.28515625" customWidth="1"/>
    <col min="12" max="12" width="21.42578125" customWidth="1"/>
    <col min="13" max="13" width="22.7109375" customWidth="1"/>
    <col min="14" max="14" width="29" hidden="1" customWidth="1"/>
  </cols>
  <sheetData>
    <row r="1" spans="1:14" s="143" customFormat="1" x14ac:dyDescent="0.25">
      <c r="A1" s="488" t="s">
        <v>52</v>
      </c>
      <c r="B1" s="144" t="s">
        <v>691</v>
      </c>
      <c r="C1" s="144" t="s">
        <v>54</v>
      </c>
      <c r="D1" s="488" t="s">
        <v>55</v>
      </c>
      <c r="E1" s="144" t="s">
        <v>56</v>
      </c>
      <c r="F1" s="488" t="s">
        <v>57</v>
      </c>
      <c r="G1" s="144" t="s">
        <v>58</v>
      </c>
      <c r="H1" s="488" t="s">
        <v>59</v>
      </c>
      <c r="I1" s="488" t="s">
        <v>60</v>
      </c>
      <c r="J1" s="488" t="s">
        <v>61</v>
      </c>
      <c r="K1" s="488" t="s">
        <v>12</v>
      </c>
      <c r="L1" s="488" t="s">
        <v>63</v>
      </c>
      <c r="M1" s="488" t="s">
        <v>65</v>
      </c>
      <c r="N1" s="144" t="s">
        <v>67</v>
      </c>
    </row>
    <row r="2" spans="1:14" s="143" customFormat="1" x14ac:dyDescent="0.25">
      <c r="A2" s="144" t="s">
        <v>68</v>
      </c>
      <c r="D2" s="144" t="s">
        <v>69</v>
      </c>
      <c r="E2" s="257">
        <v>153020984000</v>
      </c>
      <c r="F2" s="489">
        <v>150602076483.42001</v>
      </c>
      <c r="G2" s="257">
        <v>128382670289.67999</v>
      </c>
      <c r="H2" s="489">
        <v>437284559.60000002</v>
      </c>
      <c r="I2" s="489">
        <v>22056644052.290001</v>
      </c>
      <c r="J2" s="489">
        <v>492571652.63999999</v>
      </c>
      <c r="K2" s="489">
        <v>42144630307.980003</v>
      </c>
      <c r="L2" s="489">
        <v>41075666834.099998</v>
      </c>
      <c r="M2" s="489">
        <v>85470945910.910004</v>
      </c>
      <c r="N2" s="257">
        <v>63251539717.169998</v>
      </c>
    </row>
    <row r="3" spans="1:14" s="143" customFormat="1" x14ac:dyDescent="0.25">
      <c r="A3" s="44">
        <v>214786</v>
      </c>
      <c r="D3" s="44" t="s">
        <v>69</v>
      </c>
      <c r="E3" s="257">
        <v>2252563898</v>
      </c>
      <c r="F3" s="50">
        <v>2116485751</v>
      </c>
      <c r="G3" s="257">
        <v>1983135750.5999999</v>
      </c>
      <c r="H3" s="50">
        <v>0</v>
      </c>
      <c r="I3" s="50">
        <v>292303995.22000003</v>
      </c>
      <c r="J3" s="50">
        <v>0</v>
      </c>
      <c r="K3" s="50">
        <v>582069938.30999994</v>
      </c>
      <c r="L3" s="50">
        <v>582069938.30999994</v>
      </c>
      <c r="M3" s="50">
        <v>1242111817.47</v>
      </c>
      <c r="N3" s="257">
        <v>1108761817.0699999</v>
      </c>
    </row>
    <row r="4" spans="1:14" s="143" customFormat="1" hidden="1" x14ac:dyDescent="0.25">
      <c r="A4" s="143" t="s">
        <v>696</v>
      </c>
      <c r="B4" s="143" t="s">
        <v>71</v>
      </c>
      <c r="C4" s="143" t="s">
        <v>72</v>
      </c>
      <c r="D4" s="143" t="s">
        <v>69</v>
      </c>
      <c r="E4" s="257">
        <v>1845529688</v>
      </c>
      <c r="F4" s="257">
        <v>1721066664</v>
      </c>
      <c r="G4" s="257">
        <v>1721066664</v>
      </c>
      <c r="H4" s="257">
        <v>0</v>
      </c>
      <c r="I4" s="257">
        <v>199021782</v>
      </c>
      <c r="J4" s="257">
        <v>0</v>
      </c>
      <c r="K4" s="257">
        <v>470233604.36000001</v>
      </c>
      <c r="L4" s="257">
        <v>470233604.36000001</v>
      </c>
      <c r="M4" s="257">
        <v>1051811277.64</v>
      </c>
      <c r="N4" s="257">
        <v>1051811277.64</v>
      </c>
    </row>
    <row r="5" spans="1:14" s="143" customFormat="1" hidden="1" x14ac:dyDescent="0.25">
      <c r="A5" s="143" t="s">
        <v>696</v>
      </c>
      <c r="B5" s="143" t="s">
        <v>73</v>
      </c>
      <c r="C5" s="143" t="s">
        <v>74</v>
      </c>
      <c r="D5" s="143" t="s">
        <v>69</v>
      </c>
      <c r="E5" s="257">
        <v>712211400</v>
      </c>
      <c r="F5" s="257">
        <v>686759100</v>
      </c>
      <c r="G5" s="257">
        <v>686759100</v>
      </c>
      <c r="H5" s="257">
        <v>0</v>
      </c>
      <c r="I5" s="257">
        <v>0</v>
      </c>
      <c r="J5" s="257">
        <v>0</v>
      </c>
      <c r="K5" s="257">
        <v>203369810.88999999</v>
      </c>
      <c r="L5" s="257">
        <v>203369810.88999999</v>
      </c>
      <c r="M5" s="257">
        <v>483389289.11000001</v>
      </c>
      <c r="N5" s="257">
        <v>483389289.11000001</v>
      </c>
    </row>
    <row r="6" spans="1:14" s="143" customFormat="1" hidden="1" x14ac:dyDescent="0.25">
      <c r="A6" s="143" t="s">
        <v>696</v>
      </c>
      <c r="B6" s="143" t="s">
        <v>75</v>
      </c>
      <c r="C6" s="143" t="s">
        <v>76</v>
      </c>
      <c r="D6" s="143" t="s">
        <v>69</v>
      </c>
      <c r="E6" s="257">
        <v>712211400</v>
      </c>
      <c r="F6" s="257">
        <v>686759100</v>
      </c>
      <c r="G6" s="257">
        <v>686759100</v>
      </c>
      <c r="H6" s="257">
        <v>0</v>
      </c>
      <c r="I6" s="257">
        <v>0</v>
      </c>
      <c r="J6" s="257">
        <v>0</v>
      </c>
      <c r="K6" s="257">
        <v>203369810.88999999</v>
      </c>
      <c r="L6" s="257">
        <v>203369810.88999999</v>
      </c>
      <c r="M6" s="257">
        <v>483389289.11000001</v>
      </c>
      <c r="N6" s="257">
        <v>483389289.11000001</v>
      </c>
    </row>
    <row r="7" spans="1:14" s="143" customFormat="1" hidden="1" x14ac:dyDescent="0.25">
      <c r="A7" s="143" t="s">
        <v>696</v>
      </c>
      <c r="B7" s="143" t="s">
        <v>77</v>
      </c>
      <c r="C7" s="143" t="s">
        <v>78</v>
      </c>
      <c r="D7" s="143" t="s">
        <v>69</v>
      </c>
      <c r="E7" s="257">
        <v>851789535</v>
      </c>
      <c r="F7" s="257">
        <v>762470364</v>
      </c>
      <c r="G7" s="257">
        <v>762470364</v>
      </c>
      <c r="H7" s="257">
        <v>0</v>
      </c>
      <c r="I7" s="257">
        <v>0</v>
      </c>
      <c r="J7" s="257">
        <v>0</v>
      </c>
      <c r="K7" s="257">
        <v>194048375.47</v>
      </c>
      <c r="L7" s="257">
        <v>194048375.47</v>
      </c>
      <c r="M7" s="257">
        <v>568421988.52999997</v>
      </c>
      <c r="N7" s="257">
        <v>568421988.52999997</v>
      </c>
    </row>
    <row r="8" spans="1:14" s="143" customFormat="1" hidden="1" x14ac:dyDescent="0.25">
      <c r="A8" s="143" t="s">
        <v>696</v>
      </c>
      <c r="B8" s="143" t="s">
        <v>79</v>
      </c>
      <c r="C8" s="143" t="s">
        <v>80</v>
      </c>
      <c r="D8" s="143" t="s">
        <v>69</v>
      </c>
      <c r="E8" s="257">
        <v>171630900</v>
      </c>
      <c r="F8" s="257">
        <v>171630900</v>
      </c>
      <c r="G8" s="257">
        <v>171630900</v>
      </c>
      <c r="H8" s="257">
        <v>0</v>
      </c>
      <c r="I8" s="257">
        <v>0</v>
      </c>
      <c r="J8" s="257">
        <v>0</v>
      </c>
      <c r="K8" s="257">
        <v>47842640.909999996</v>
      </c>
      <c r="L8" s="257">
        <v>47842640.909999996</v>
      </c>
      <c r="M8" s="257">
        <v>123788259.09</v>
      </c>
      <c r="N8" s="257">
        <v>123788259.09</v>
      </c>
    </row>
    <row r="9" spans="1:14" s="143" customFormat="1" hidden="1" x14ac:dyDescent="0.25">
      <c r="A9" s="143" t="s">
        <v>696</v>
      </c>
      <c r="B9" s="143" t="s">
        <v>81</v>
      </c>
      <c r="C9" s="143" t="s">
        <v>82</v>
      </c>
      <c r="D9" s="143" t="s">
        <v>69</v>
      </c>
      <c r="E9" s="257">
        <v>362005040</v>
      </c>
      <c r="F9" s="257">
        <v>349729445</v>
      </c>
      <c r="G9" s="257">
        <v>349729445</v>
      </c>
      <c r="H9" s="257">
        <v>0</v>
      </c>
      <c r="I9" s="257">
        <v>0</v>
      </c>
      <c r="J9" s="257">
        <v>0</v>
      </c>
      <c r="K9" s="257">
        <v>95723867.739999995</v>
      </c>
      <c r="L9" s="257">
        <v>95723867.739999995</v>
      </c>
      <c r="M9" s="257">
        <v>254005577.25999999</v>
      </c>
      <c r="N9" s="257">
        <v>254005577.25999999</v>
      </c>
    </row>
    <row r="10" spans="1:14" s="143" customFormat="1" hidden="1" x14ac:dyDescent="0.25">
      <c r="A10" s="143" t="s">
        <v>696</v>
      </c>
      <c r="B10" s="143" t="s">
        <v>83</v>
      </c>
      <c r="C10" s="143" t="s">
        <v>84</v>
      </c>
      <c r="D10" s="143" t="s">
        <v>85</v>
      </c>
      <c r="E10" s="257">
        <v>120263295</v>
      </c>
      <c r="F10" s="257">
        <v>116123261</v>
      </c>
      <c r="G10" s="257">
        <v>116123261</v>
      </c>
      <c r="H10" s="257">
        <v>0</v>
      </c>
      <c r="I10" s="257">
        <v>0</v>
      </c>
      <c r="J10" s="257">
        <v>0</v>
      </c>
      <c r="K10" s="257">
        <v>0</v>
      </c>
      <c r="L10" s="257">
        <v>0</v>
      </c>
      <c r="M10" s="257">
        <v>116123261</v>
      </c>
      <c r="N10" s="257">
        <v>116123261</v>
      </c>
    </row>
    <row r="11" spans="1:14" s="143" customFormat="1" hidden="1" x14ac:dyDescent="0.25">
      <c r="A11" s="143" t="s">
        <v>696</v>
      </c>
      <c r="B11" s="143" t="s">
        <v>86</v>
      </c>
      <c r="C11" s="143" t="s">
        <v>87</v>
      </c>
      <c r="D11" s="143" t="s">
        <v>69</v>
      </c>
      <c r="E11" s="257">
        <v>110671900</v>
      </c>
      <c r="F11" s="257">
        <v>38177498</v>
      </c>
      <c r="G11" s="257">
        <v>38177498</v>
      </c>
      <c r="H11" s="257">
        <v>0</v>
      </c>
      <c r="I11" s="257">
        <v>0</v>
      </c>
      <c r="J11" s="257">
        <v>0</v>
      </c>
      <c r="K11" s="257">
        <v>26177497.469999999</v>
      </c>
      <c r="L11" s="257">
        <v>26177497.469999999</v>
      </c>
      <c r="M11" s="257">
        <v>12000000.529999999</v>
      </c>
      <c r="N11" s="257">
        <v>12000000.529999999</v>
      </c>
    </row>
    <row r="12" spans="1:14" s="143" customFormat="1" hidden="1" x14ac:dyDescent="0.25">
      <c r="A12" s="143" t="s">
        <v>696</v>
      </c>
      <c r="B12" s="143" t="s">
        <v>88</v>
      </c>
      <c r="C12" s="143" t="s">
        <v>89</v>
      </c>
      <c r="D12" s="143" t="s">
        <v>69</v>
      </c>
      <c r="E12" s="257">
        <v>87218400</v>
      </c>
      <c r="F12" s="257">
        <v>86809260</v>
      </c>
      <c r="G12" s="257">
        <v>86809260</v>
      </c>
      <c r="H12" s="257">
        <v>0</v>
      </c>
      <c r="I12" s="257">
        <v>0</v>
      </c>
      <c r="J12" s="257">
        <v>0</v>
      </c>
      <c r="K12" s="257">
        <v>24304369.350000001</v>
      </c>
      <c r="L12" s="257">
        <v>24304369.350000001</v>
      </c>
      <c r="M12" s="257">
        <v>62504890.649999999</v>
      </c>
      <c r="N12" s="257">
        <v>62504890.649999999</v>
      </c>
    </row>
    <row r="13" spans="1:14" s="143" customFormat="1" hidden="1" x14ac:dyDescent="0.25">
      <c r="A13" s="143" t="s">
        <v>696</v>
      </c>
      <c r="B13" s="143" t="s">
        <v>90</v>
      </c>
      <c r="C13" s="143" t="s">
        <v>91</v>
      </c>
      <c r="D13" s="143" t="s">
        <v>69</v>
      </c>
      <c r="E13" s="257">
        <v>140764376</v>
      </c>
      <c r="F13" s="257">
        <v>135918599</v>
      </c>
      <c r="G13" s="257">
        <v>135918599</v>
      </c>
      <c r="H13" s="257">
        <v>0</v>
      </c>
      <c r="I13" s="257">
        <v>99430224</v>
      </c>
      <c r="J13" s="257">
        <v>0</v>
      </c>
      <c r="K13" s="257">
        <v>36488375</v>
      </c>
      <c r="L13" s="257">
        <v>36488375</v>
      </c>
      <c r="M13" s="257">
        <v>0</v>
      </c>
      <c r="N13" s="257">
        <v>0</v>
      </c>
    </row>
    <row r="14" spans="1:14" s="143" customFormat="1" hidden="1" x14ac:dyDescent="0.25">
      <c r="A14" s="143" t="s">
        <v>696</v>
      </c>
      <c r="B14" s="143" t="s">
        <v>416</v>
      </c>
      <c r="C14" s="143" t="s">
        <v>697</v>
      </c>
      <c r="D14" s="143" t="s">
        <v>69</v>
      </c>
      <c r="E14" s="257">
        <v>133545724</v>
      </c>
      <c r="F14" s="257">
        <v>128948448</v>
      </c>
      <c r="G14" s="257">
        <v>128948448</v>
      </c>
      <c r="H14" s="257">
        <v>0</v>
      </c>
      <c r="I14" s="257">
        <v>94331249</v>
      </c>
      <c r="J14" s="257">
        <v>0</v>
      </c>
      <c r="K14" s="257">
        <v>34617199</v>
      </c>
      <c r="L14" s="257">
        <v>34617199</v>
      </c>
      <c r="M14" s="257">
        <v>0</v>
      </c>
      <c r="N14" s="257">
        <v>0</v>
      </c>
    </row>
    <row r="15" spans="1:14" s="143" customFormat="1" hidden="1" x14ac:dyDescent="0.25">
      <c r="A15" s="143" t="s">
        <v>696</v>
      </c>
      <c r="B15" s="143" t="s">
        <v>433</v>
      </c>
      <c r="C15" s="143" t="s">
        <v>95</v>
      </c>
      <c r="D15" s="143" t="s">
        <v>69</v>
      </c>
      <c r="E15" s="257">
        <v>7218652</v>
      </c>
      <c r="F15" s="257">
        <v>6970151</v>
      </c>
      <c r="G15" s="257">
        <v>6970151</v>
      </c>
      <c r="H15" s="257">
        <v>0</v>
      </c>
      <c r="I15" s="257">
        <v>5098975</v>
      </c>
      <c r="J15" s="257">
        <v>0</v>
      </c>
      <c r="K15" s="257">
        <v>1871176</v>
      </c>
      <c r="L15" s="257">
        <v>1871176</v>
      </c>
      <c r="M15" s="257">
        <v>0</v>
      </c>
      <c r="N15" s="257">
        <v>0</v>
      </c>
    </row>
    <row r="16" spans="1:14" s="143" customFormat="1" hidden="1" x14ac:dyDescent="0.25">
      <c r="A16" s="143" t="s">
        <v>696</v>
      </c>
      <c r="B16" s="143" t="s">
        <v>96</v>
      </c>
      <c r="C16" s="143" t="s">
        <v>97</v>
      </c>
      <c r="D16" s="143" t="s">
        <v>69</v>
      </c>
      <c r="E16" s="257">
        <v>140764377</v>
      </c>
      <c r="F16" s="257">
        <v>135918601</v>
      </c>
      <c r="G16" s="257">
        <v>135918601</v>
      </c>
      <c r="H16" s="257">
        <v>0</v>
      </c>
      <c r="I16" s="257">
        <v>99591558</v>
      </c>
      <c r="J16" s="257">
        <v>0</v>
      </c>
      <c r="K16" s="257">
        <v>36327043</v>
      </c>
      <c r="L16" s="257">
        <v>36327043</v>
      </c>
      <c r="M16" s="257">
        <v>0</v>
      </c>
      <c r="N16" s="257">
        <v>0</v>
      </c>
    </row>
    <row r="17" spans="1:14" s="143" customFormat="1" hidden="1" x14ac:dyDescent="0.25">
      <c r="A17" s="143" t="s">
        <v>696</v>
      </c>
      <c r="B17" s="143" t="s">
        <v>451</v>
      </c>
      <c r="C17" s="143" t="s">
        <v>698</v>
      </c>
      <c r="D17" s="143" t="s">
        <v>69</v>
      </c>
      <c r="E17" s="257">
        <v>75796203</v>
      </c>
      <c r="F17" s="257">
        <v>73186939</v>
      </c>
      <c r="G17" s="257">
        <v>73186939</v>
      </c>
      <c r="H17" s="257">
        <v>0</v>
      </c>
      <c r="I17" s="257">
        <v>53700700</v>
      </c>
      <c r="J17" s="257">
        <v>0</v>
      </c>
      <c r="K17" s="257">
        <v>19486239</v>
      </c>
      <c r="L17" s="257">
        <v>19486239</v>
      </c>
      <c r="M17" s="257">
        <v>0</v>
      </c>
      <c r="N17" s="257">
        <v>0</v>
      </c>
    </row>
    <row r="18" spans="1:14" s="143" customFormat="1" hidden="1" x14ac:dyDescent="0.25">
      <c r="A18" s="143" t="s">
        <v>696</v>
      </c>
      <c r="B18" s="143" t="s">
        <v>468</v>
      </c>
      <c r="C18" s="143" t="s">
        <v>699</v>
      </c>
      <c r="D18" s="143" t="s">
        <v>69</v>
      </c>
      <c r="E18" s="257">
        <v>21656058</v>
      </c>
      <c r="F18" s="257">
        <v>20910554</v>
      </c>
      <c r="G18" s="257">
        <v>20910554</v>
      </c>
      <c r="H18" s="257">
        <v>0</v>
      </c>
      <c r="I18" s="257">
        <v>15296948</v>
      </c>
      <c r="J18" s="257">
        <v>0</v>
      </c>
      <c r="K18" s="257">
        <v>5613606</v>
      </c>
      <c r="L18" s="257">
        <v>5613606</v>
      </c>
      <c r="M18" s="257">
        <v>0</v>
      </c>
      <c r="N18" s="257">
        <v>0</v>
      </c>
    </row>
    <row r="19" spans="1:14" s="143" customFormat="1" hidden="1" x14ac:dyDescent="0.25">
      <c r="A19" s="143" t="s">
        <v>696</v>
      </c>
      <c r="B19" s="143" t="s">
        <v>485</v>
      </c>
      <c r="C19" s="143" t="s">
        <v>700</v>
      </c>
      <c r="D19" s="143" t="s">
        <v>69</v>
      </c>
      <c r="E19" s="257">
        <v>43312116</v>
      </c>
      <c r="F19" s="257">
        <v>41821108</v>
      </c>
      <c r="G19" s="257">
        <v>41821108</v>
      </c>
      <c r="H19" s="257">
        <v>0</v>
      </c>
      <c r="I19" s="257">
        <v>30593910</v>
      </c>
      <c r="J19" s="257">
        <v>0</v>
      </c>
      <c r="K19" s="257">
        <v>11227198</v>
      </c>
      <c r="L19" s="257">
        <v>11227198</v>
      </c>
      <c r="M19" s="257">
        <v>0</v>
      </c>
      <c r="N19" s="257">
        <v>0</v>
      </c>
    </row>
    <row r="20" spans="1:14" s="143" customFormat="1" hidden="1" x14ac:dyDescent="0.25">
      <c r="A20" s="143" t="s">
        <v>696</v>
      </c>
      <c r="B20" s="143" t="s">
        <v>104</v>
      </c>
      <c r="C20" s="143" t="s">
        <v>105</v>
      </c>
      <c r="D20" s="143" t="s">
        <v>69</v>
      </c>
      <c r="E20" s="257">
        <v>83371900</v>
      </c>
      <c r="F20" s="257">
        <v>73451900</v>
      </c>
      <c r="G20" s="257">
        <v>73451899.599999994</v>
      </c>
      <c r="H20" s="257">
        <v>0</v>
      </c>
      <c r="I20" s="257">
        <v>39431945.829999998</v>
      </c>
      <c r="J20" s="257">
        <v>0</v>
      </c>
      <c r="K20" s="257">
        <v>4954686.58</v>
      </c>
      <c r="L20" s="257">
        <v>4954686.58</v>
      </c>
      <c r="M20" s="257">
        <v>29065267.59</v>
      </c>
      <c r="N20" s="257">
        <v>29065267.190000001</v>
      </c>
    </row>
    <row r="21" spans="1:14" s="143" customFormat="1" hidden="1" x14ac:dyDescent="0.25">
      <c r="A21" s="143" t="s">
        <v>696</v>
      </c>
      <c r="B21" s="143" t="s">
        <v>106</v>
      </c>
      <c r="C21" s="143" t="s">
        <v>107</v>
      </c>
      <c r="D21" s="143" t="s">
        <v>69</v>
      </c>
      <c r="E21" s="257">
        <v>55749325</v>
      </c>
      <c r="F21" s="257">
        <v>54664325</v>
      </c>
      <c r="G21" s="257">
        <v>54664324.600000001</v>
      </c>
      <c r="H21" s="257">
        <v>0</v>
      </c>
      <c r="I21" s="257">
        <v>29594135.449999999</v>
      </c>
      <c r="J21" s="257">
        <v>0</v>
      </c>
      <c r="K21" s="257">
        <v>0</v>
      </c>
      <c r="L21" s="257">
        <v>0</v>
      </c>
      <c r="M21" s="257">
        <v>25070189.550000001</v>
      </c>
      <c r="N21" s="257">
        <v>25070189.149999999</v>
      </c>
    </row>
    <row r="22" spans="1:14" s="143" customFormat="1" hidden="1" x14ac:dyDescent="0.25">
      <c r="A22" s="143" t="s">
        <v>696</v>
      </c>
      <c r="B22" s="143" t="s">
        <v>108</v>
      </c>
      <c r="C22" s="143" t="s">
        <v>109</v>
      </c>
      <c r="D22" s="143" t="s">
        <v>69</v>
      </c>
      <c r="E22" s="257">
        <v>55664325</v>
      </c>
      <c r="F22" s="257">
        <v>54664325</v>
      </c>
      <c r="G22" s="257">
        <v>54664324.600000001</v>
      </c>
      <c r="H22" s="257">
        <v>0</v>
      </c>
      <c r="I22" s="257">
        <v>29594135.449999999</v>
      </c>
      <c r="J22" s="257">
        <v>0</v>
      </c>
      <c r="K22" s="257">
        <v>0</v>
      </c>
      <c r="L22" s="257">
        <v>0</v>
      </c>
      <c r="M22" s="257">
        <v>25070189.550000001</v>
      </c>
      <c r="N22" s="257">
        <v>25070189.149999999</v>
      </c>
    </row>
    <row r="23" spans="1:14" s="143" customFormat="1" hidden="1" x14ac:dyDescent="0.25">
      <c r="A23" s="143" t="s">
        <v>696</v>
      </c>
      <c r="B23" s="143" t="s">
        <v>110</v>
      </c>
      <c r="C23" s="143" t="s">
        <v>111</v>
      </c>
      <c r="D23" s="143" t="s">
        <v>69</v>
      </c>
      <c r="E23" s="257">
        <v>85000</v>
      </c>
      <c r="F23" s="257">
        <v>0</v>
      </c>
      <c r="G23" s="257">
        <v>0</v>
      </c>
      <c r="H23" s="257">
        <v>0</v>
      </c>
      <c r="I23" s="257">
        <v>0</v>
      </c>
      <c r="J23" s="257">
        <v>0</v>
      </c>
      <c r="K23" s="257">
        <v>0</v>
      </c>
      <c r="L23" s="257">
        <v>0</v>
      </c>
      <c r="M23" s="257">
        <v>0</v>
      </c>
      <c r="N23" s="257">
        <v>0</v>
      </c>
    </row>
    <row r="24" spans="1:14" s="143" customFormat="1" hidden="1" x14ac:dyDescent="0.25">
      <c r="A24" s="143" t="s">
        <v>696</v>
      </c>
      <c r="B24" s="143" t="s">
        <v>124</v>
      </c>
      <c r="C24" s="143" t="s">
        <v>125</v>
      </c>
      <c r="D24" s="143" t="s">
        <v>69</v>
      </c>
      <c r="E24" s="257">
        <v>1900000</v>
      </c>
      <c r="F24" s="257">
        <v>925000</v>
      </c>
      <c r="G24" s="257">
        <v>925000</v>
      </c>
      <c r="H24" s="257">
        <v>0</v>
      </c>
      <c r="I24" s="257">
        <v>298320</v>
      </c>
      <c r="J24" s="257">
        <v>0</v>
      </c>
      <c r="K24" s="257">
        <v>0</v>
      </c>
      <c r="L24" s="257">
        <v>0</v>
      </c>
      <c r="M24" s="257">
        <v>626680</v>
      </c>
      <c r="N24" s="257">
        <v>626680</v>
      </c>
    </row>
    <row r="25" spans="1:14" s="143" customFormat="1" hidden="1" x14ac:dyDescent="0.25">
      <c r="A25" s="143" t="s">
        <v>696</v>
      </c>
      <c r="B25" s="143" t="s">
        <v>128</v>
      </c>
      <c r="C25" s="143" t="s">
        <v>129</v>
      </c>
      <c r="D25" s="143" t="s">
        <v>69</v>
      </c>
      <c r="E25" s="257">
        <v>1250000</v>
      </c>
      <c r="F25" s="257">
        <v>625000</v>
      </c>
      <c r="G25" s="257">
        <v>625000</v>
      </c>
      <c r="H25" s="257">
        <v>0</v>
      </c>
      <c r="I25" s="257">
        <v>0</v>
      </c>
      <c r="J25" s="257">
        <v>0</v>
      </c>
      <c r="K25" s="257">
        <v>0</v>
      </c>
      <c r="L25" s="257">
        <v>0</v>
      </c>
      <c r="M25" s="257">
        <v>625000</v>
      </c>
      <c r="N25" s="257">
        <v>625000</v>
      </c>
    </row>
    <row r="26" spans="1:14" s="143" customFormat="1" hidden="1" x14ac:dyDescent="0.25">
      <c r="A26" s="143" t="s">
        <v>696</v>
      </c>
      <c r="B26" s="143" t="s">
        <v>130</v>
      </c>
      <c r="C26" s="143" t="s">
        <v>131</v>
      </c>
      <c r="D26" s="143" t="s">
        <v>69</v>
      </c>
      <c r="E26" s="257">
        <v>50000</v>
      </c>
      <c r="F26" s="257">
        <v>0</v>
      </c>
      <c r="G26" s="257">
        <v>0</v>
      </c>
      <c r="H26" s="257">
        <v>0</v>
      </c>
      <c r="I26" s="257">
        <v>0</v>
      </c>
      <c r="J26" s="257">
        <v>0</v>
      </c>
      <c r="K26" s="257">
        <v>0</v>
      </c>
      <c r="L26" s="257">
        <v>0</v>
      </c>
      <c r="M26" s="257">
        <v>0</v>
      </c>
      <c r="N26" s="257">
        <v>0</v>
      </c>
    </row>
    <row r="27" spans="1:14" s="143" customFormat="1" hidden="1" x14ac:dyDescent="0.25">
      <c r="A27" s="143" t="s">
        <v>696</v>
      </c>
      <c r="B27" s="143" t="s">
        <v>132</v>
      </c>
      <c r="C27" s="143" t="s">
        <v>133</v>
      </c>
      <c r="D27" s="143" t="s">
        <v>69</v>
      </c>
      <c r="E27" s="257">
        <v>600000</v>
      </c>
      <c r="F27" s="257">
        <v>300000</v>
      </c>
      <c r="G27" s="257">
        <v>300000</v>
      </c>
      <c r="H27" s="257">
        <v>0</v>
      </c>
      <c r="I27" s="257">
        <v>298320</v>
      </c>
      <c r="J27" s="257">
        <v>0</v>
      </c>
      <c r="K27" s="257">
        <v>0</v>
      </c>
      <c r="L27" s="257">
        <v>0</v>
      </c>
      <c r="M27" s="257">
        <v>1680</v>
      </c>
      <c r="N27" s="257">
        <v>1680</v>
      </c>
    </row>
    <row r="28" spans="1:14" s="143" customFormat="1" hidden="1" x14ac:dyDescent="0.25">
      <c r="A28" s="143" t="s">
        <v>696</v>
      </c>
      <c r="B28" s="143" t="s">
        <v>140</v>
      </c>
      <c r="C28" s="143" t="s">
        <v>141</v>
      </c>
      <c r="D28" s="143" t="s">
        <v>69</v>
      </c>
      <c r="E28" s="257">
        <v>25000000</v>
      </c>
      <c r="F28" s="257">
        <v>17540000</v>
      </c>
      <c r="G28" s="257">
        <v>17540000</v>
      </c>
      <c r="H28" s="257">
        <v>0</v>
      </c>
      <c r="I28" s="257">
        <v>9539490.3800000008</v>
      </c>
      <c r="J28" s="257">
        <v>0</v>
      </c>
      <c r="K28" s="257">
        <v>4954686.58</v>
      </c>
      <c r="L28" s="257">
        <v>4954686.58</v>
      </c>
      <c r="M28" s="257">
        <v>3045823.04</v>
      </c>
      <c r="N28" s="257">
        <v>3045823.04</v>
      </c>
    </row>
    <row r="29" spans="1:14" s="143" customFormat="1" hidden="1" x14ac:dyDescent="0.25">
      <c r="A29" s="143" t="s">
        <v>696</v>
      </c>
      <c r="B29" s="143" t="s">
        <v>142</v>
      </c>
      <c r="C29" s="143" t="s">
        <v>143</v>
      </c>
      <c r="D29" s="143" t="s">
        <v>69</v>
      </c>
      <c r="E29" s="257">
        <v>100000</v>
      </c>
      <c r="F29" s="257">
        <v>100000</v>
      </c>
      <c r="G29" s="257">
        <v>100000</v>
      </c>
      <c r="H29" s="257">
        <v>0</v>
      </c>
      <c r="I29" s="257">
        <v>64340</v>
      </c>
      <c r="J29" s="257">
        <v>0</v>
      </c>
      <c r="K29" s="257">
        <v>35660</v>
      </c>
      <c r="L29" s="257">
        <v>35660</v>
      </c>
      <c r="M29" s="257">
        <v>0</v>
      </c>
      <c r="N29" s="257">
        <v>0</v>
      </c>
    </row>
    <row r="30" spans="1:14" s="143" customFormat="1" hidden="1" x14ac:dyDescent="0.25">
      <c r="A30" s="143" t="s">
        <v>696</v>
      </c>
      <c r="B30" s="143" t="s">
        <v>144</v>
      </c>
      <c r="C30" s="143" t="s">
        <v>145</v>
      </c>
      <c r="D30" s="143" t="s">
        <v>69</v>
      </c>
      <c r="E30" s="257">
        <v>8085000</v>
      </c>
      <c r="F30" s="257">
        <v>8085000</v>
      </c>
      <c r="G30" s="257">
        <v>8085000</v>
      </c>
      <c r="H30" s="257">
        <v>0</v>
      </c>
      <c r="I30" s="257">
        <v>6848500</v>
      </c>
      <c r="J30" s="257">
        <v>0</v>
      </c>
      <c r="K30" s="257">
        <v>782200</v>
      </c>
      <c r="L30" s="257">
        <v>782200</v>
      </c>
      <c r="M30" s="257">
        <v>454300</v>
      </c>
      <c r="N30" s="257">
        <v>454300</v>
      </c>
    </row>
    <row r="31" spans="1:14" s="143" customFormat="1" hidden="1" x14ac:dyDescent="0.25">
      <c r="A31" s="143" t="s">
        <v>696</v>
      </c>
      <c r="B31" s="143" t="s">
        <v>146</v>
      </c>
      <c r="C31" s="143" t="s">
        <v>147</v>
      </c>
      <c r="D31" s="143" t="s">
        <v>69</v>
      </c>
      <c r="E31" s="257">
        <v>8295000</v>
      </c>
      <c r="F31" s="257">
        <v>1585000</v>
      </c>
      <c r="G31" s="257">
        <v>1585000</v>
      </c>
      <c r="H31" s="257">
        <v>0</v>
      </c>
      <c r="I31" s="257">
        <v>37411.9</v>
      </c>
      <c r="J31" s="257">
        <v>0</v>
      </c>
      <c r="K31" s="257">
        <v>1547588.1</v>
      </c>
      <c r="L31" s="257">
        <v>1547588.1</v>
      </c>
      <c r="M31" s="257">
        <v>0</v>
      </c>
      <c r="N31" s="257">
        <v>0</v>
      </c>
    </row>
    <row r="32" spans="1:14" s="143" customFormat="1" hidden="1" x14ac:dyDescent="0.25">
      <c r="A32" s="143" t="s">
        <v>696</v>
      </c>
      <c r="B32" s="143" t="s">
        <v>148</v>
      </c>
      <c r="C32" s="143" t="s">
        <v>149</v>
      </c>
      <c r="D32" s="143" t="s">
        <v>69</v>
      </c>
      <c r="E32" s="257">
        <v>8520000</v>
      </c>
      <c r="F32" s="257">
        <v>7770000</v>
      </c>
      <c r="G32" s="257">
        <v>7770000</v>
      </c>
      <c r="H32" s="257">
        <v>0</v>
      </c>
      <c r="I32" s="257">
        <v>2589238.48</v>
      </c>
      <c r="J32" s="257">
        <v>0</v>
      </c>
      <c r="K32" s="257">
        <v>2589238.48</v>
      </c>
      <c r="L32" s="257">
        <v>2589238.48</v>
      </c>
      <c r="M32" s="257">
        <v>2591523.04</v>
      </c>
      <c r="N32" s="257">
        <v>2591523.04</v>
      </c>
    </row>
    <row r="33" spans="1:14" s="143" customFormat="1" hidden="1" x14ac:dyDescent="0.25">
      <c r="A33" s="143" t="s">
        <v>696</v>
      </c>
      <c r="B33" s="143" t="s">
        <v>154</v>
      </c>
      <c r="C33" s="143" t="s">
        <v>155</v>
      </c>
      <c r="D33" s="143" t="s">
        <v>69</v>
      </c>
      <c r="E33" s="257">
        <v>400000</v>
      </c>
      <c r="F33" s="257">
        <v>0</v>
      </c>
      <c r="G33" s="257">
        <v>0</v>
      </c>
      <c r="H33" s="257">
        <v>0</v>
      </c>
      <c r="I33" s="257">
        <v>0</v>
      </c>
      <c r="J33" s="257">
        <v>0</v>
      </c>
      <c r="K33" s="257">
        <v>0</v>
      </c>
      <c r="L33" s="257">
        <v>0</v>
      </c>
      <c r="M33" s="257">
        <v>0</v>
      </c>
      <c r="N33" s="257">
        <v>0</v>
      </c>
    </row>
    <row r="34" spans="1:14" s="143" customFormat="1" hidden="1" x14ac:dyDescent="0.25">
      <c r="A34" s="143" t="s">
        <v>696</v>
      </c>
      <c r="B34" s="143" t="s">
        <v>160</v>
      </c>
      <c r="C34" s="143" t="s">
        <v>161</v>
      </c>
      <c r="D34" s="143" t="s">
        <v>69</v>
      </c>
      <c r="E34" s="257">
        <v>400000</v>
      </c>
      <c r="F34" s="257">
        <v>0</v>
      </c>
      <c r="G34" s="257">
        <v>0</v>
      </c>
      <c r="H34" s="257">
        <v>0</v>
      </c>
      <c r="I34" s="257">
        <v>0</v>
      </c>
      <c r="J34" s="257">
        <v>0</v>
      </c>
      <c r="K34" s="257">
        <v>0</v>
      </c>
      <c r="L34" s="257">
        <v>0</v>
      </c>
      <c r="M34" s="257">
        <v>0</v>
      </c>
      <c r="N34" s="257">
        <v>0</v>
      </c>
    </row>
    <row r="35" spans="1:14" s="143" customFormat="1" hidden="1" x14ac:dyDescent="0.25">
      <c r="A35" s="143" t="s">
        <v>696</v>
      </c>
      <c r="B35" s="143" t="s">
        <v>162</v>
      </c>
      <c r="C35" s="143" t="s">
        <v>163</v>
      </c>
      <c r="D35" s="143" t="s">
        <v>69</v>
      </c>
      <c r="E35" s="257">
        <v>322575</v>
      </c>
      <c r="F35" s="257">
        <v>322575</v>
      </c>
      <c r="G35" s="257">
        <v>322575</v>
      </c>
      <c r="H35" s="257">
        <v>0</v>
      </c>
      <c r="I35" s="257">
        <v>0</v>
      </c>
      <c r="J35" s="257">
        <v>0</v>
      </c>
      <c r="K35" s="257">
        <v>0</v>
      </c>
      <c r="L35" s="257">
        <v>0</v>
      </c>
      <c r="M35" s="257">
        <v>322575</v>
      </c>
      <c r="N35" s="257">
        <v>322575</v>
      </c>
    </row>
    <row r="36" spans="1:14" s="143" customFormat="1" hidden="1" x14ac:dyDescent="0.25">
      <c r="A36" s="143" t="s">
        <v>696</v>
      </c>
      <c r="B36" s="143" t="s">
        <v>170</v>
      </c>
      <c r="C36" s="143" t="s">
        <v>171</v>
      </c>
      <c r="D36" s="143" t="s">
        <v>69</v>
      </c>
      <c r="E36" s="257">
        <v>322575</v>
      </c>
      <c r="F36" s="257">
        <v>322575</v>
      </c>
      <c r="G36" s="257">
        <v>322575</v>
      </c>
      <c r="H36" s="257">
        <v>0</v>
      </c>
      <c r="I36" s="257">
        <v>0</v>
      </c>
      <c r="J36" s="257">
        <v>0</v>
      </c>
      <c r="K36" s="257">
        <v>0</v>
      </c>
      <c r="L36" s="257">
        <v>0</v>
      </c>
      <c r="M36" s="257">
        <v>322575</v>
      </c>
      <c r="N36" s="257">
        <v>322575</v>
      </c>
    </row>
    <row r="37" spans="1:14" s="143" customFormat="1" hidden="1" x14ac:dyDescent="0.25">
      <c r="A37" s="143" t="s">
        <v>696</v>
      </c>
      <c r="B37" s="143" t="s">
        <v>184</v>
      </c>
      <c r="C37" s="143" t="s">
        <v>185</v>
      </c>
      <c r="D37" s="143" t="s">
        <v>69</v>
      </c>
      <c r="E37" s="257">
        <v>4976400</v>
      </c>
      <c r="F37" s="257">
        <v>4376300</v>
      </c>
      <c r="G37" s="257">
        <v>4376300</v>
      </c>
      <c r="H37" s="257">
        <v>0</v>
      </c>
      <c r="I37" s="257">
        <v>0</v>
      </c>
      <c r="J37" s="257">
        <v>0</v>
      </c>
      <c r="K37" s="257">
        <v>562346.76</v>
      </c>
      <c r="L37" s="257">
        <v>562346.76</v>
      </c>
      <c r="M37" s="257">
        <v>3813953.24</v>
      </c>
      <c r="N37" s="257">
        <v>3813953.24</v>
      </c>
    </row>
    <row r="38" spans="1:14" s="143" customFormat="1" hidden="1" x14ac:dyDescent="0.25">
      <c r="A38" s="143" t="s">
        <v>696</v>
      </c>
      <c r="B38" s="143" t="s">
        <v>186</v>
      </c>
      <c r="C38" s="143" t="s">
        <v>187</v>
      </c>
      <c r="D38" s="143" t="s">
        <v>69</v>
      </c>
      <c r="E38" s="257">
        <v>43000</v>
      </c>
      <c r="F38" s="257">
        <v>0</v>
      </c>
      <c r="G38" s="257">
        <v>0</v>
      </c>
      <c r="H38" s="257">
        <v>0</v>
      </c>
      <c r="I38" s="257">
        <v>0</v>
      </c>
      <c r="J38" s="257">
        <v>0</v>
      </c>
      <c r="K38" s="257">
        <v>0</v>
      </c>
      <c r="L38" s="257">
        <v>0</v>
      </c>
      <c r="M38" s="257">
        <v>0</v>
      </c>
      <c r="N38" s="257">
        <v>0</v>
      </c>
    </row>
    <row r="39" spans="1:14" s="143" customFormat="1" hidden="1" x14ac:dyDescent="0.25">
      <c r="A39" s="143" t="s">
        <v>696</v>
      </c>
      <c r="B39" s="143" t="s">
        <v>192</v>
      </c>
      <c r="C39" s="143" t="s">
        <v>193</v>
      </c>
      <c r="D39" s="143" t="s">
        <v>69</v>
      </c>
      <c r="E39" s="257">
        <v>43000</v>
      </c>
      <c r="F39" s="257">
        <v>0</v>
      </c>
      <c r="G39" s="257">
        <v>0</v>
      </c>
      <c r="H39" s="257">
        <v>0</v>
      </c>
      <c r="I39" s="257">
        <v>0</v>
      </c>
      <c r="J39" s="257">
        <v>0</v>
      </c>
      <c r="K39" s="257">
        <v>0</v>
      </c>
      <c r="L39" s="257">
        <v>0</v>
      </c>
      <c r="M39" s="257">
        <v>0</v>
      </c>
      <c r="N39" s="257">
        <v>0</v>
      </c>
    </row>
    <row r="40" spans="1:14" s="143" customFormat="1" hidden="1" x14ac:dyDescent="0.25">
      <c r="A40" s="143" t="s">
        <v>696</v>
      </c>
      <c r="B40" s="143" t="s">
        <v>206</v>
      </c>
      <c r="C40" s="143" t="s">
        <v>207</v>
      </c>
      <c r="D40" s="143" t="s">
        <v>69</v>
      </c>
      <c r="E40" s="257">
        <v>49000</v>
      </c>
      <c r="F40" s="257">
        <v>0</v>
      </c>
      <c r="G40" s="257">
        <v>0</v>
      </c>
      <c r="H40" s="257">
        <v>0</v>
      </c>
      <c r="I40" s="257">
        <v>0</v>
      </c>
      <c r="J40" s="257">
        <v>0</v>
      </c>
      <c r="K40" s="257">
        <v>0</v>
      </c>
      <c r="L40" s="257">
        <v>0</v>
      </c>
      <c r="M40" s="257">
        <v>0</v>
      </c>
      <c r="N40" s="257">
        <v>0</v>
      </c>
    </row>
    <row r="41" spans="1:14" s="143" customFormat="1" hidden="1" x14ac:dyDescent="0.25">
      <c r="A41" s="143" t="s">
        <v>696</v>
      </c>
      <c r="B41" s="143" t="s">
        <v>208</v>
      </c>
      <c r="C41" s="143" t="s">
        <v>209</v>
      </c>
      <c r="D41" s="143" t="s">
        <v>69</v>
      </c>
      <c r="E41" s="257">
        <v>49000</v>
      </c>
      <c r="F41" s="257">
        <v>0</v>
      </c>
      <c r="G41" s="257">
        <v>0</v>
      </c>
      <c r="H41" s="257">
        <v>0</v>
      </c>
      <c r="I41" s="257">
        <v>0</v>
      </c>
      <c r="J41" s="257">
        <v>0</v>
      </c>
      <c r="K41" s="257">
        <v>0</v>
      </c>
      <c r="L41" s="257">
        <v>0</v>
      </c>
      <c r="M41" s="257">
        <v>0</v>
      </c>
      <c r="N41" s="257">
        <v>0</v>
      </c>
    </row>
    <row r="42" spans="1:14" s="143" customFormat="1" hidden="1" x14ac:dyDescent="0.25">
      <c r="A42" s="143" t="s">
        <v>696</v>
      </c>
      <c r="B42" s="143" t="s">
        <v>212</v>
      </c>
      <c r="C42" s="143" t="s">
        <v>213</v>
      </c>
      <c r="D42" s="143" t="s">
        <v>69</v>
      </c>
      <c r="E42" s="257">
        <v>4884400</v>
      </c>
      <c r="F42" s="257">
        <v>4376300</v>
      </c>
      <c r="G42" s="257">
        <v>4376300</v>
      </c>
      <c r="H42" s="257">
        <v>0</v>
      </c>
      <c r="I42" s="257">
        <v>0</v>
      </c>
      <c r="J42" s="257">
        <v>0</v>
      </c>
      <c r="K42" s="257">
        <v>562346.76</v>
      </c>
      <c r="L42" s="257">
        <v>562346.76</v>
      </c>
      <c r="M42" s="257">
        <v>3813953.24</v>
      </c>
      <c r="N42" s="257">
        <v>3813953.24</v>
      </c>
    </row>
    <row r="43" spans="1:14" s="143" customFormat="1" hidden="1" x14ac:dyDescent="0.25">
      <c r="A43" s="143" t="s">
        <v>696</v>
      </c>
      <c r="B43" s="143" t="s">
        <v>214</v>
      </c>
      <c r="C43" s="143" t="s">
        <v>215</v>
      </c>
      <c r="D43" s="143" t="s">
        <v>69</v>
      </c>
      <c r="E43" s="257">
        <v>2500000</v>
      </c>
      <c r="F43" s="257">
        <v>2250000</v>
      </c>
      <c r="G43" s="257">
        <v>2250000</v>
      </c>
      <c r="H43" s="257">
        <v>0</v>
      </c>
      <c r="I43" s="257">
        <v>0</v>
      </c>
      <c r="J43" s="257">
        <v>0</v>
      </c>
      <c r="K43" s="257">
        <v>0</v>
      </c>
      <c r="L43" s="257">
        <v>0</v>
      </c>
      <c r="M43" s="257">
        <v>2250000</v>
      </c>
      <c r="N43" s="257">
        <v>2250000</v>
      </c>
    </row>
    <row r="44" spans="1:14" s="143" customFormat="1" hidden="1" x14ac:dyDescent="0.25">
      <c r="A44" s="143" t="s">
        <v>696</v>
      </c>
      <c r="B44" s="143" t="s">
        <v>218</v>
      </c>
      <c r="C44" s="143" t="s">
        <v>219</v>
      </c>
      <c r="D44" s="143" t="s">
        <v>69</v>
      </c>
      <c r="E44" s="257">
        <v>1800000</v>
      </c>
      <c r="F44" s="257">
        <v>1676300</v>
      </c>
      <c r="G44" s="257">
        <v>1676300</v>
      </c>
      <c r="H44" s="257">
        <v>0</v>
      </c>
      <c r="I44" s="257">
        <v>0</v>
      </c>
      <c r="J44" s="257">
        <v>0</v>
      </c>
      <c r="K44" s="257">
        <v>562346.76</v>
      </c>
      <c r="L44" s="257">
        <v>562346.76</v>
      </c>
      <c r="M44" s="257">
        <v>1113953.24</v>
      </c>
      <c r="N44" s="257">
        <v>1113953.24</v>
      </c>
    </row>
    <row r="45" spans="1:14" s="143" customFormat="1" hidden="1" x14ac:dyDescent="0.25">
      <c r="A45" s="143" t="s">
        <v>696</v>
      </c>
      <c r="B45" s="143" t="s">
        <v>222</v>
      </c>
      <c r="C45" s="143" t="s">
        <v>223</v>
      </c>
      <c r="D45" s="143" t="s">
        <v>69</v>
      </c>
      <c r="E45" s="257">
        <v>500000</v>
      </c>
      <c r="F45" s="257">
        <v>450000</v>
      </c>
      <c r="G45" s="257">
        <v>450000</v>
      </c>
      <c r="H45" s="257">
        <v>0</v>
      </c>
      <c r="I45" s="257">
        <v>0</v>
      </c>
      <c r="J45" s="257">
        <v>0</v>
      </c>
      <c r="K45" s="257">
        <v>0</v>
      </c>
      <c r="L45" s="257">
        <v>0</v>
      </c>
      <c r="M45" s="257">
        <v>450000</v>
      </c>
      <c r="N45" s="257">
        <v>450000</v>
      </c>
    </row>
    <row r="46" spans="1:14" s="143" customFormat="1" hidden="1" x14ac:dyDescent="0.25">
      <c r="A46" s="143" t="s">
        <v>696</v>
      </c>
      <c r="B46" s="143" t="s">
        <v>226</v>
      </c>
      <c r="C46" s="143" t="s">
        <v>227</v>
      </c>
      <c r="D46" s="143" t="s">
        <v>69</v>
      </c>
      <c r="E46" s="257">
        <v>37400</v>
      </c>
      <c r="F46" s="257">
        <v>0</v>
      </c>
      <c r="G46" s="257">
        <v>0</v>
      </c>
      <c r="H46" s="257">
        <v>0</v>
      </c>
      <c r="I46" s="257">
        <v>0</v>
      </c>
      <c r="J46" s="257">
        <v>0</v>
      </c>
      <c r="K46" s="257">
        <v>0</v>
      </c>
      <c r="L46" s="257">
        <v>0</v>
      </c>
      <c r="M46" s="257">
        <v>0</v>
      </c>
      <c r="N46" s="257">
        <v>0</v>
      </c>
    </row>
    <row r="47" spans="1:14" s="143" customFormat="1" hidden="1" x14ac:dyDescent="0.25">
      <c r="A47" s="143" t="s">
        <v>696</v>
      </c>
      <c r="B47" s="143" t="s">
        <v>228</v>
      </c>
      <c r="C47" s="143" t="s">
        <v>229</v>
      </c>
      <c r="D47" s="143" t="s">
        <v>69</v>
      </c>
      <c r="E47" s="257">
        <v>47000</v>
      </c>
      <c r="F47" s="257">
        <v>0</v>
      </c>
      <c r="G47" s="257">
        <v>0</v>
      </c>
      <c r="H47" s="257">
        <v>0</v>
      </c>
      <c r="I47" s="257">
        <v>0</v>
      </c>
      <c r="J47" s="257">
        <v>0</v>
      </c>
      <c r="K47" s="257">
        <v>0</v>
      </c>
      <c r="L47" s="257">
        <v>0</v>
      </c>
      <c r="M47" s="257">
        <v>0</v>
      </c>
      <c r="N47" s="257">
        <v>0</v>
      </c>
    </row>
    <row r="48" spans="1:14" s="143" customFormat="1" hidden="1" x14ac:dyDescent="0.25">
      <c r="A48" s="143" t="s">
        <v>696</v>
      </c>
      <c r="B48" s="143" t="s">
        <v>230</v>
      </c>
      <c r="C48" s="143" t="s">
        <v>231</v>
      </c>
      <c r="D48" s="143" t="s">
        <v>85</v>
      </c>
      <c r="E48" s="257">
        <v>4220000</v>
      </c>
      <c r="F48" s="257">
        <v>3950000</v>
      </c>
      <c r="G48" s="257">
        <v>3950000</v>
      </c>
      <c r="H48" s="257">
        <v>0</v>
      </c>
      <c r="I48" s="257">
        <v>0</v>
      </c>
      <c r="J48" s="257">
        <v>0</v>
      </c>
      <c r="K48" s="257">
        <v>0</v>
      </c>
      <c r="L48" s="257">
        <v>0</v>
      </c>
      <c r="M48" s="257">
        <v>3950000</v>
      </c>
      <c r="N48" s="257">
        <v>3950000</v>
      </c>
    </row>
    <row r="49" spans="1:14" s="143" customFormat="1" hidden="1" x14ac:dyDescent="0.25">
      <c r="A49" s="143" t="s">
        <v>696</v>
      </c>
      <c r="B49" s="143" t="s">
        <v>232</v>
      </c>
      <c r="C49" s="143" t="s">
        <v>233</v>
      </c>
      <c r="D49" s="143" t="s">
        <v>85</v>
      </c>
      <c r="E49" s="257">
        <v>3320000</v>
      </c>
      <c r="F49" s="257">
        <v>3050000</v>
      </c>
      <c r="G49" s="257">
        <v>3050000</v>
      </c>
      <c r="H49" s="257">
        <v>0</v>
      </c>
      <c r="I49" s="257">
        <v>0</v>
      </c>
      <c r="J49" s="257">
        <v>0</v>
      </c>
      <c r="K49" s="257">
        <v>0</v>
      </c>
      <c r="L49" s="257">
        <v>0</v>
      </c>
      <c r="M49" s="257">
        <v>3050000</v>
      </c>
      <c r="N49" s="257">
        <v>3050000</v>
      </c>
    </row>
    <row r="50" spans="1:14" s="143" customFormat="1" hidden="1" x14ac:dyDescent="0.25">
      <c r="A50" s="143" t="s">
        <v>696</v>
      </c>
      <c r="B50" s="143" t="s">
        <v>236</v>
      </c>
      <c r="C50" s="143" t="s">
        <v>237</v>
      </c>
      <c r="D50" s="143" t="s">
        <v>85</v>
      </c>
      <c r="E50" s="257">
        <v>120000</v>
      </c>
      <c r="F50" s="257">
        <v>0</v>
      </c>
      <c r="G50" s="257">
        <v>0</v>
      </c>
      <c r="H50" s="257">
        <v>0</v>
      </c>
      <c r="I50" s="257">
        <v>0</v>
      </c>
      <c r="J50" s="257">
        <v>0</v>
      </c>
      <c r="K50" s="257">
        <v>0</v>
      </c>
      <c r="L50" s="257">
        <v>0</v>
      </c>
      <c r="M50" s="257">
        <v>0</v>
      </c>
      <c r="N50" s="257">
        <v>0</v>
      </c>
    </row>
    <row r="51" spans="1:14" s="143" customFormat="1" hidden="1" x14ac:dyDescent="0.25">
      <c r="A51" s="143" t="s">
        <v>696</v>
      </c>
      <c r="B51" s="143" t="s">
        <v>238</v>
      </c>
      <c r="C51" s="143" t="s">
        <v>239</v>
      </c>
      <c r="D51" s="143" t="s">
        <v>85</v>
      </c>
      <c r="E51" s="257">
        <v>3200000</v>
      </c>
      <c r="F51" s="257">
        <v>3050000</v>
      </c>
      <c r="G51" s="257">
        <v>3050000</v>
      </c>
      <c r="H51" s="257">
        <v>0</v>
      </c>
      <c r="I51" s="257">
        <v>0</v>
      </c>
      <c r="J51" s="257">
        <v>0</v>
      </c>
      <c r="K51" s="257">
        <v>0</v>
      </c>
      <c r="L51" s="257">
        <v>0</v>
      </c>
      <c r="M51" s="257">
        <v>3050000</v>
      </c>
      <c r="N51" s="257">
        <v>3050000</v>
      </c>
    </row>
    <row r="52" spans="1:14" s="143" customFormat="1" hidden="1" x14ac:dyDescent="0.25">
      <c r="A52" s="143" t="s">
        <v>696</v>
      </c>
      <c r="B52" s="143" t="s">
        <v>244</v>
      </c>
      <c r="C52" s="143" t="s">
        <v>245</v>
      </c>
      <c r="D52" s="143" t="s">
        <v>85</v>
      </c>
      <c r="E52" s="257">
        <v>900000</v>
      </c>
      <c r="F52" s="257">
        <v>900000</v>
      </c>
      <c r="G52" s="257">
        <v>900000</v>
      </c>
      <c r="H52" s="257">
        <v>0</v>
      </c>
      <c r="I52" s="257">
        <v>0</v>
      </c>
      <c r="J52" s="257">
        <v>0</v>
      </c>
      <c r="K52" s="257">
        <v>0</v>
      </c>
      <c r="L52" s="257">
        <v>0</v>
      </c>
      <c r="M52" s="257">
        <v>900000</v>
      </c>
      <c r="N52" s="257">
        <v>900000</v>
      </c>
    </row>
    <row r="53" spans="1:14" s="143" customFormat="1" hidden="1" x14ac:dyDescent="0.25">
      <c r="A53" s="143" t="s">
        <v>696</v>
      </c>
      <c r="B53" s="143" t="s">
        <v>246</v>
      </c>
      <c r="C53" s="143" t="s">
        <v>247</v>
      </c>
      <c r="D53" s="143" t="s">
        <v>85</v>
      </c>
      <c r="E53" s="257">
        <v>900000</v>
      </c>
      <c r="F53" s="257">
        <v>900000</v>
      </c>
      <c r="G53" s="257">
        <v>900000</v>
      </c>
      <c r="H53" s="257">
        <v>0</v>
      </c>
      <c r="I53" s="257">
        <v>0</v>
      </c>
      <c r="J53" s="257">
        <v>0</v>
      </c>
      <c r="K53" s="257">
        <v>0</v>
      </c>
      <c r="L53" s="257">
        <v>0</v>
      </c>
      <c r="M53" s="257">
        <v>900000</v>
      </c>
      <c r="N53" s="257">
        <v>900000</v>
      </c>
    </row>
    <row r="54" spans="1:14" s="143" customFormat="1" hidden="1" x14ac:dyDescent="0.25">
      <c r="A54" s="143" t="s">
        <v>696</v>
      </c>
      <c r="B54" s="143" t="s">
        <v>248</v>
      </c>
      <c r="C54" s="143" t="s">
        <v>249</v>
      </c>
      <c r="D54" s="143" t="s">
        <v>69</v>
      </c>
      <c r="E54" s="257">
        <v>314465910</v>
      </c>
      <c r="F54" s="257">
        <v>313640887</v>
      </c>
      <c r="G54" s="257">
        <v>180290887</v>
      </c>
      <c r="H54" s="257">
        <v>0</v>
      </c>
      <c r="I54" s="257">
        <v>53850267.390000001</v>
      </c>
      <c r="J54" s="257">
        <v>0</v>
      </c>
      <c r="K54" s="257">
        <v>106319300.61</v>
      </c>
      <c r="L54" s="257">
        <v>106319300.61</v>
      </c>
      <c r="M54" s="257">
        <v>153471319</v>
      </c>
      <c r="N54" s="257">
        <v>20121319</v>
      </c>
    </row>
    <row r="55" spans="1:14" s="143" customFormat="1" hidden="1" x14ac:dyDescent="0.25">
      <c r="A55" s="143" t="s">
        <v>696</v>
      </c>
      <c r="B55" s="143" t="s">
        <v>250</v>
      </c>
      <c r="C55" s="143" t="s">
        <v>251</v>
      </c>
      <c r="D55" s="143" t="s">
        <v>69</v>
      </c>
      <c r="E55" s="257">
        <v>281465910</v>
      </c>
      <c r="F55" s="257">
        <v>280640887</v>
      </c>
      <c r="G55" s="257">
        <v>166834507</v>
      </c>
      <c r="H55" s="257">
        <v>0</v>
      </c>
      <c r="I55" s="257">
        <v>53850267</v>
      </c>
      <c r="J55" s="257">
        <v>0</v>
      </c>
      <c r="K55" s="257">
        <v>98015309</v>
      </c>
      <c r="L55" s="257">
        <v>98015309</v>
      </c>
      <c r="M55" s="257">
        <v>128775311</v>
      </c>
      <c r="N55" s="257">
        <v>14968931</v>
      </c>
    </row>
    <row r="56" spans="1:14" s="143" customFormat="1" hidden="1" x14ac:dyDescent="0.25">
      <c r="A56" s="143" t="s">
        <v>696</v>
      </c>
      <c r="B56" s="143" t="s">
        <v>619</v>
      </c>
      <c r="C56" s="143" t="s">
        <v>701</v>
      </c>
      <c r="D56" s="143" t="s">
        <v>69</v>
      </c>
      <c r="E56" s="257">
        <v>257500000</v>
      </c>
      <c r="F56" s="257">
        <v>257500000</v>
      </c>
      <c r="G56" s="257">
        <v>143693620</v>
      </c>
      <c r="H56" s="257">
        <v>0</v>
      </c>
      <c r="I56" s="257">
        <v>36785714</v>
      </c>
      <c r="J56" s="257">
        <v>0</v>
      </c>
      <c r="K56" s="257">
        <v>91964285</v>
      </c>
      <c r="L56" s="257">
        <v>91964285</v>
      </c>
      <c r="M56" s="257">
        <v>128750001</v>
      </c>
      <c r="N56" s="257">
        <v>14943621</v>
      </c>
    </row>
    <row r="57" spans="1:14" s="143" customFormat="1" hidden="1" x14ac:dyDescent="0.25">
      <c r="A57" s="143" t="s">
        <v>696</v>
      </c>
      <c r="B57" s="143" t="s">
        <v>625</v>
      </c>
      <c r="C57" s="143" t="s">
        <v>702</v>
      </c>
      <c r="D57" s="143" t="s">
        <v>69</v>
      </c>
      <c r="E57" s="257">
        <v>20356634</v>
      </c>
      <c r="F57" s="257">
        <v>19655861</v>
      </c>
      <c r="G57" s="257">
        <v>19655861</v>
      </c>
      <c r="H57" s="257">
        <v>0</v>
      </c>
      <c r="I57" s="257">
        <v>14540435</v>
      </c>
      <c r="J57" s="257">
        <v>0</v>
      </c>
      <c r="K57" s="257">
        <v>5115424</v>
      </c>
      <c r="L57" s="257">
        <v>5115424</v>
      </c>
      <c r="M57" s="257">
        <v>2</v>
      </c>
      <c r="N57" s="257">
        <v>2</v>
      </c>
    </row>
    <row r="58" spans="1:14" s="143" customFormat="1" hidden="1" x14ac:dyDescent="0.25">
      <c r="A58" s="143" t="s">
        <v>696</v>
      </c>
      <c r="B58" s="143" t="s">
        <v>640</v>
      </c>
      <c r="C58" s="143" t="s">
        <v>703</v>
      </c>
      <c r="D58" s="143" t="s">
        <v>69</v>
      </c>
      <c r="E58" s="257">
        <v>3609276</v>
      </c>
      <c r="F58" s="257">
        <v>3485026</v>
      </c>
      <c r="G58" s="257">
        <v>3485026</v>
      </c>
      <c r="H58" s="257">
        <v>0</v>
      </c>
      <c r="I58" s="257">
        <v>2524118</v>
      </c>
      <c r="J58" s="257">
        <v>0</v>
      </c>
      <c r="K58" s="257">
        <v>935600</v>
      </c>
      <c r="L58" s="257">
        <v>935600</v>
      </c>
      <c r="M58" s="257">
        <v>25308</v>
      </c>
      <c r="N58" s="257">
        <v>25308</v>
      </c>
    </row>
    <row r="59" spans="1:14" s="143" customFormat="1" hidden="1" x14ac:dyDescent="0.25">
      <c r="A59" s="143" t="s">
        <v>696</v>
      </c>
      <c r="B59" s="143" t="s">
        <v>260</v>
      </c>
      <c r="C59" s="143" t="s">
        <v>261</v>
      </c>
      <c r="D59" s="143" t="s">
        <v>69</v>
      </c>
      <c r="E59" s="257">
        <v>33000000</v>
      </c>
      <c r="F59" s="257">
        <v>33000000</v>
      </c>
      <c r="G59" s="257">
        <v>13456380</v>
      </c>
      <c r="H59" s="257">
        <v>0</v>
      </c>
      <c r="I59" s="257">
        <v>0.39</v>
      </c>
      <c r="J59" s="257">
        <v>0</v>
      </c>
      <c r="K59" s="257">
        <v>8303991.6100000003</v>
      </c>
      <c r="L59" s="257">
        <v>8303991.6100000003</v>
      </c>
      <c r="M59" s="257">
        <v>24696008</v>
      </c>
      <c r="N59" s="257">
        <v>5152388</v>
      </c>
    </row>
    <row r="60" spans="1:14" s="143" customFormat="1" hidden="1" x14ac:dyDescent="0.25">
      <c r="A60" s="143" t="s">
        <v>696</v>
      </c>
      <c r="B60" s="143" t="s">
        <v>262</v>
      </c>
      <c r="C60" s="143" t="s">
        <v>263</v>
      </c>
      <c r="D60" s="143" t="s">
        <v>69</v>
      </c>
      <c r="E60" s="257">
        <v>23000000</v>
      </c>
      <c r="F60" s="257">
        <v>23000000</v>
      </c>
      <c r="G60" s="257">
        <v>3456380</v>
      </c>
      <c r="H60" s="257">
        <v>0</v>
      </c>
      <c r="I60" s="257">
        <v>0.39</v>
      </c>
      <c r="J60" s="257">
        <v>0</v>
      </c>
      <c r="K60" s="257">
        <v>3456379.61</v>
      </c>
      <c r="L60" s="257">
        <v>3456379.61</v>
      </c>
      <c r="M60" s="257">
        <v>19543620</v>
      </c>
      <c r="N60" s="257">
        <v>0</v>
      </c>
    </row>
    <row r="61" spans="1:14" s="143" customFormat="1" hidden="1" x14ac:dyDescent="0.25">
      <c r="A61" s="143" t="s">
        <v>696</v>
      </c>
      <c r="B61" s="143" t="s">
        <v>264</v>
      </c>
      <c r="C61" s="143" t="s">
        <v>265</v>
      </c>
      <c r="D61" s="143" t="s">
        <v>69</v>
      </c>
      <c r="E61" s="257">
        <v>10000000</v>
      </c>
      <c r="F61" s="257">
        <v>10000000</v>
      </c>
      <c r="G61" s="257">
        <v>10000000</v>
      </c>
      <c r="H61" s="257">
        <v>0</v>
      </c>
      <c r="I61" s="257">
        <v>0</v>
      </c>
      <c r="J61" s="257">
        <v>0</v>
      </c>
      <c r="K61" s="257">
        <v>4847612</v>
      </c>
      <c r="L61" s="257">
        <v>4847612</v>
      </c>
      <c r="M61" s="257">
        <v>5152388</v>
      </c>
      <c r="N61" s="257">
        <v>5152388</v>
      </c>
    </row>
    <row r="62" spans="1:14" s="143" customFormat="1" x14ac:dyDescent="0.25">
      <c r="A62" s="44">
        <v>214787</v>
      </c>
      <c r="D62" s="44" t="s">
        <v>69</v>
      </c>
      <c r="E62" s="257">
        <v>3672713874</v>
      </c>
      <c r="F62" s="50">
        <v>3488019672</v>
      </c>
      <c r="G62" s="257">
        <v>3212153970</v>
      </c>
      <c r="H62" s="50">
        <v>0</v>
      </c>
      <c r="I62" s="50">
        <v>459098722.5</v>
      </c>
      <c r="J62" s="50">
        <v>201764.83</v>
      </c>
      <c r="K62" s="50">
        <v>1015642430.59</v>
      </c>
      <c r="L62" s="50">
        <v>1000130258.59</v>
      </c>
      <c r="M62" s="50">
        <v>2013076754.0799999</v>
      </c>
      <c r="N62" s="257">
        <v>1737211052.0799999</v>
      </c>
    </row>
    <row r="63" spans="1:14" s="143" customFormat="1" hidden="1" x14ac:dyDescent="0.25">
      <c r="A63" s="143" t="s">
        <v>704</v>
      </c>
      <c r="B63" s="143" t="s">
        <v>71</v>
      </c>
      <c r="C63" s="143" t="s">
        <v>72</v>
      </c>
      <c r="D63" s="143" t="s">
        <v>69</v>
      </c>
      <c r="E63" s="257">
        <v>2848782596</v>
      </c>
      <c r="F63" s="257">
        <v>2677848536</v>
      </c>
      <c r="G63" s="257">
        <v>2657811383</v>
      </c>
      <c r="H63" s="257">
        <v>0</v>
      </c>
      <c r="I63" s="257">
        <v>288527935</v>
      </c>
      <c r="J63" s="257">
        <v>0</v>
      </c>
      <c r="K63" s="257">
        <v>808936300.60000002</v>
      </c>
      <c r="L63" s="257">
        <v>808936300.60000002</v>
      </c>
      <c r="M63" s="257">
        <v>1580384300.4000001</v>
      </c>
      <c r="N63" s="257">
        <v>1560347147.4000001</v>
      </c>
    </row>
    <row r="64" spans="1:14" s="143" customFormat="1" hidden="1" x14ac:dyDescent="0.25">
      <c r="A64" s="143" t="s">
        <v>704</v>
      </c>
      <c r="B64" s="143" t="s">
        <v>73</v>
      </c>
      <c r="C64" s="143" t="s">
        <v>74</v>
      </c>
      <c r="D64" s="143" t="s">
        <v>69</v>
      </c>
      <c r="E64" s="257">
        <v>1118901696</v>
      </c>
      <c r="F64" s="257">
        <v>1090175970</v>
      </c>
      <c r="G64" s="257">
        <v>1090175970</v>
      </c>
      <c r="H64" s="257">
        <v>0</v>
      </c>
      <c r="I64" s="257">
        <v>0</v>
      </c>
      <c r="J64" s="257">
        <v>0</v>
      </c>
      <c r="K64" s="257">
        <v>345557541.01999998</v>
      </c>
      <c r="L64" s="257">
        <v>345557541.01999998</v>
      </c>
      <c r="M64" s="257">
        <v>744618428.98000002</v>
      </c>
      <c r="N64" s="257">
        <v>744618428.98000002</v>
      </c>
    </row>
    <row r="65" spans="1:14" s="143" customFormat="1" hidden="1" x14ac:dyDescent="0.25">
      <c r="A65" s="143" t="s">
        <v>704</v>
      </c>
      <c r="B65" s="143" t="s">
        <v>75</v>
      </c>
      <c r="C65" s="143" t="s">
        <v>76</v>
      </c>
      <c r="D65" s="143" t="s">
        <v>69</v>
      </c>
      <c r="E65" s="257">
        <v>1118901696</v>
      </c>
      <c r="F65" s="257">
        <v>1090175970</v>
      </c>
      <c r="G65" s="257">
        <v>1090175970</v>
      </c>
      <c r="H65" s="257">
        <v>0</v>
      </c>
      <c r="I65" s="257">
        <v>0</v>
      </c>
      <c r="J65" s="257">
        <v>0</v>
      </c>
      <c r="K65" s="257">
        <v>345557541.01999998</v>
      </c>
      <c r="L65" s="257">
        <v>345557541.01999998</v>
      </c>
      <c r="M65" s="257">
        <v>744618428.98000002</v>
      </c>
      <c r="N65" s="257">
        <v>744618428.98000002</v>
      </c>
    </row>
    <row r="66" spans="1:14" s="143" customFormat="1" hidden="1" x14ac:dyDescent="0.25">
      <c r="A66" s="143" t="s">
        <v>704</v>
      </c>
      <c r="B66" s="143" t="s">
        <v>77</v>
      </c>
      <c r="C66" s="143" t="s">
        <v>78</v>
      </c>
      <c r="D66" s="143" t="s">
        <v>69</v>
      </c>
      <c r="E66" s="257">
        <v>1295309720</v>
      </c>
      <c r="F66" s="257">
        <v>1164246440</v>
      </c>
      <c r="G66" s="257">
        <v>1144209287</v>
      </c>
      <c r="H66" s="257">
        <v>0</v>
      </c>
      <c r="I66" s="257">
        <v>0</v>
      </c>
      <c r="J66" s="257">
        <v>0</v>
      </c>
      <c r="K66" s="257">
        <v>328480568.57999998</v>
      </c>
      <c r="L66" s="257">
        <v>328480568.57999998</v>
      </c>
      <c r="M66" s="257">
        <v>835765871.41999996</v>
      </c>
      <c r="N66" s="257">
        <v>815728718.41999996</v>
      </c>
    </row>
    <row r="67" spans="1:14" s="143" customFormat="1" hidden="1" x14ac:dyDescent="0.25">
      <c r="A67" s="143" t="s">
        <v>704</v>
      </c>
      <c r="B67" s="143" t="s">
        <v>79</v>
      </c>
      <c r="C67" s="143" t="s">
        <v>80</v>
      </c>
      <c r="D67" s="143" t="s">
        <v>69</v>
      </c>
      <c r="E67" s="257">
        <v>329734600</v>
      </c>
      <c r="F67" s="257">
        <v>329734600</v>
      </c>
      <c r="G67" s="257">
        <v>312608542</v>
      </c>
      <c r="H67" s="257">
        <v>0</v>
      </c>
      <c r="I67" s="257">
        <v>0</v>
      </c>
      <c r="J67" s="257">
        <v>0</v>
      </c>
      <c r="K67" s="257">
        <v>102525368.81</v>
      </c>
      <c r="L67" s="257">
        <v>102525368.81</v>
      </c>
      <c r="M67" s="257">
        <v>227209231.19</v>
      </c>
      <c r="N67" s="257">
        <v>210083173.19</v>
      </c>
    </row>
    <row r="68" spans="1:14" s="143" customFormat="1" hidden="1" x14ac:dyDescent="0.25">
      <c r="A68" s="143" t="s">
        <v>704</v>
      </c>
      <c r="B68" s="143" t="s">
        <v>81</v>
      </c>
      <c r="C68" s="143" t="s">
        <v>82</v>
      </c>
      <c r="D68" s="143" t="s">
        <v>69</v>
      </c>
      <c r="E68" s="257">
        <v>442514922</v>
      </c>
      <c r="F68" s="257">
        <v>432303620</v>
      </c>
      <c r="G68" s="257">
        <v>432303620</v>
      </c>
      <c r="H68" s="257">
        <v>0</v>
      </c>
      <c r="I68" s="257">
        <v>0</v>
      </c>
      <c r="J68" s="257">
        <v>0</v>
      </c>
      <c r="K68" s="257">
        <v>133319612.8</v>
      </c>
      <c r="L68" s="257">
        <v>133319612.8</v>
      </c>
      <c r="M68" s="257">
        <v>298984007.19999999</v>
      </c>
      <c r="N68" s="257">
        <v>298984007.19999999</v>
      </c>
    </row>
    <row r="69" spans="1:14" s="143" customFormat="1" hidden="1" x14ac:dyDescent="0.25">
      <c r="A69" s="143" t="s">
        <v>704</v>
      </c>
      <c r="B69" s="143" t="s">
        <v>83</v>
      </c>
      <c r="C69" s="143" t="s">
        <v>84</v>
      </c>
      <c r="D69" s="143" t="s">
        <v>85</v>
      </c>
      <c r="E69" s="257">
        <v>185639998</v>
      </c>
      <c r="F69" s="257">
        <v>180879060</v>
      </c>
      <c r="G69" s="257">
        <v>177967965</v>
      </c>
      <c r="H69" s="257">
        <v>0</v>
      </c>
      <c r="I69" s="257">
        <v>0</v>
      </c>
      <c r="J69" s="257">
        <v>0</v>
      </c>
      <c r="K69" s="257">
        <v>0</v>
      </c>
      <c r="L69" s="257">
        <v>0</v>
      </c>
      <c r="M69" s="257">
        <v>180879060</v>
      </c>
      <c r="N69" s="257">
        <v>177967965</v>
      </c>
    </row>
    <row r="70" spans="1:14" s="143" customFormat="1" hidden="1" x14ac:dyDescent="0.25">
      <c r="A70" s="143" t="s">
        <v>704</v>
      </c>
      <c r="B70" s="143" t="s">
        <v>86</v>
      </c>
      <c r="C70" s="143" t="s">
        <v>87</v>
      </c>
      <c r="D70" s="143" t="s">
        <v>69</v>
      </c>
      <c r="E70" s="257">
        <v>170646400</v>
      </c>
      <c r="F70" s="257">
        <v>55646400</v>
      </c>
      <c r="G70" s="257">
        <v>55646400</v>
      </c>
      <c r="H70" s="257">
        <v>0</v>
      </c>
      <c r="I70" s="257">
        <v>0</v>
      </c>
      <c r="J70" s="257">
        <v>0</v>
      </c>
      <c r="K70" s="257">
        <v>40448779.990000002</v>
      </c>
      <c r="L70" s="257">
        <v>40448779.990000002</v>
      </c>
      <c r="M70" s="257">
        <v>15197620.01</v>
      </c>
      <c r="N70" s="257">
        <v>15197620.01</v>
      </c>
    </row>
    <row r="71" spans="1:14" s="143" customFormat="1" hidden="1" x14ac:dyDescent="0.25">
      <c r="A71" s="143" t="s">
        <v>704</v>
      </c>
      <c r="B71" s="143" t="s">
        <v>88</v>
      </c>
      <c r="C71" s="143" t="s">
        <v>89</v>
      </c>
      <c r="D71" s="143" t="s">
        <v>69</v>
      </c>
      <c r="E71" s="257">
        <v>166773800</v>
      </c>
      <c r="F71" s="257">
        <v>165682760</v>
      </c>
      <c r="G71" s="257">
        <v>165682760</v>
      </c>
      <c r="H71" s="257">
        <v>0</v>
      </c>
      <c r="I71" s="257">
        <v>0</v>
      </c>
      <c r="J71" s="257">
        <v>0</v>
      </c>
      <c r="K71" s="257">
        <v>52186806.979999997</v>
      </c>
      <c r="L71" s="257">
        <v>52186806.979999997</v>
      </c>
      <c r="M71" s="257">
        <v>113495953.02</v>
      </c>
      <c r="N71" s="257">
        <v>113495953.02</v>
      </c>
    </row>
    <row r="72" spans="1:14" s="143" customFormat="1" hidden="1" x14ac:dyDescent="0.25">
      <c r="A72" s="143" t="s">
        <v>704</v>
      </c>
      <c r="B72" s="143" t="s">
        <v>90</v>
      </c>
      <c r="C72" s="143" t="s">
        <v>91</v>
      </c>
      <c r="D72" s="143" t="s">
        <v>69</v>
      </c>
      <c r="E72" s="257">
        <v>217285640</v>
      </c>
      <c r="F72" s="257">
        <v>211713113</v>
      </c>
      <c r="G72" s="257">
        <v>211713113</v>
      </c>
      <c r="H72" s="257">
        <v>0</v>
      </c>
      <c r="I72" s="257">
        <v>144076234</v>
      </c>
      <c r="J72" s="257">
        <v>0</v>
      </c>
      <c r="K72" s="257">
        <v>67636879</v>
      </c>
      <c r="L72" s="257">
        <v>67636879</v>
      </c>
      <c r="M72" s="257">
        <v>0</v>
      </c>
      <c r="N72" s="257">
        <v>0</v>
      </c>
    </row>
    <row r="73" spans="1:14" s="143" customFormat="1" hidden="1" x14ac:dyDescent="0.25">
      <c r="A73" s="143" t="s">
        <v>704</v>
      </c>
      <c r="B73" s="143" t="s">
        <v>418</v>
      </c>
      <c r="C73" s="143" t="s">
        <v>697</v>
      </c>
      <c r="D73" s="143" t="s">
        <v>69</v>
      </c>
      <c r="E73" s="257">
        <v>206142800</v>
      </c>
      <c r="F73" s="257">
        <v>200856044</v>
      </c>
      <c r="G73" s="257">
        <v>200856044</v>
      </c>
      <c r="H73" s="257">
        <v>0</v>
      </c>
      <c r="I73" s="257">
        <v>136687718</v>
      </c>
      <c r="J73" s="257">
        <v>0</v>
      </c>
      <c r="K73" s="257">
        <v>64168326</v>
      </c>
      <c r="L73" s="257">
        <v>64168326</v>
      </c>
      <c r="M73" s="257">
        <v>0</v>
      </c>
      <c r="N73" s="257">
        <v>0</v>
      </c>
    </row>
    <row r="74" spans="1:14" s="143" customFormat="1" hidden="1" x14ac:dyDescent="0.25">
      <c r="A74" s="143" t="s">
        <v>704</v>
      </c>
      <c r="B74" s="143" t="s">
        <v>435</v>
      </c>
      <c r="C74" s="143" t="s">
        <v>95</v>
      </c>
      <c r="D74" s="143" t="s">
        <v>69</v>
      </c>
      <c r="E74" s="257">
        <v>11142840</v>
      </c>
      <c r="F74" s="257">
        <v>10857069</v>
      </c>
      <c r="G74" s="257">
        <v>10857069</v>
      </c>
      <c r="H74" s="257">
        <v>0</v>
      </c>
      <c r="I74" s="257">
        <v>7388516</v>
      </c>
      <c r="J74" s="257">
        <v>0</v>
      </c>
      <c r="K74" s="257">
        <v>3468553</v>
      </c>
      <c r="L74" s="257">
        <v>3468553</v>
      </c>
      <c r="M74" s="257">
        <v>0</v>
      </c>
      <c r="N74" s="257">
        <v>0</v>
      </c>
    </row>
    <row r="75" spans="1:14" s="143" customFormat="1" hidden="1" x14ac:dyDescent="0.25">
      <c r="A75" s="143" t="s">
        <v>704</v>
      </c>
      <c r="B75" s="143" t="s">
        <v>96</v>
      </c>
      <c r="C75" s="143" t="s">
        <v>97</v>
      </c>
      <c r="D75" s="143" t="s">
        <v>69</v>
      </c>
      <c r="E75" s="257">
        <v>217285540</v>
      </c>
      <c r="F75" s="257">
        <v>211713013</v>
      </c>
      <c r="G75" s="257">
        <v>211713013</v>
      </c>
      <c r="H75" s="257">
        <v>0</v>
      </c>
      <c r="I75" s="257">
        <v>144451701</v>
      </c>
      <c r="J75" s="257">
        <v>0</v>
      </c>
      <c r="K75" s="257">
        <v>67261312</v>
      </c>
      <c r="L75" s="257">
        <v>67261312</v>
      </c>
      <c r="M75" s="257">
        <v>0</v>
      </c>
      <c r="N75" s="257">
        <v>0</v>
      </c>
    </row>
    <row r="76" spans="1:14" s="143" customFormat="1" hidden="1" x14ac:dyDescent="0.25">
      <c r="A76" s="143" t="s">
        <v>704</v>
      </c>
      <c r="B76" s="143" t="s">
        <v>453</v>
      </c>
      <c r="C76" s="143" t="s">
        <v>698</v>
      </c>
      <c r="D76" s="143" t="s">
        <v>69</v>
      </c>
      <c r="E76" s="257">
        <v>116999976</v>
      </c>
      <c r="F76" s="257">
        <v>113999385</v>
      </c>
      <c r="G76" s="257">
        <v>113999385</v>
      </c>
      <c r="H76" s="257">
        <v>0</v>
      </c>
      <c r="I76" s="257">
        <v>77955101</v>
      </c>
      <c r="J76" s="257">
        <v>0</v>
      </c>
      <c r="K76" s="257">
        <v>36044284</v>
      </c>
      <c r="L76" s="257">
        <v>36044284</v>
      </c>
      <c r="M76" s="257">
        <v>0</v>
      </c>
      <c r="N76" s="257">
        <v>0</v>
      </c>
    </row>
    <row r="77" spans="1:14" s="143" customFormat="1" hidden="1" x14ac:dyDescent="0.25">
      <c r="A77" s="143" t="s">
        <v>704</v>
      </c>
      <c r="B77" s="143" t="s">
        <v>470</v>
      </c>
      <c r="C77" s="143" t="s">
        <v>699</v>
      </c>
      <c r="D77" s="143" t="s">
        <v>69</v>
      </c>
      <c r="E77" s="257">
        <v>33428521</v>
      </c>
      <c r="F77" s="257">
        <v>32571209</v>
      </c>
      <c r="G77" s="257">
        <v>32571209</v>
      </c>
      <c r="H77" s="257">
        <v>0</v>
      </c>
      <c r="I77" s="257">
        <v>22165530</v>
      </c>
      <c r="J77" s="257">
        <v>0</v>
      </c>
      <c r="K77" s="257">
        <v>10405679</v>
      </c>
      <c r="L77" s="257">
        <v>10405679</v>
      </c>
      <c r="M77" s="257">
        <v>0</v>
      </c>
      <c r="N77" s="257">
        <v>0</v>
      </c>
    </row>
    <row r="78" spans="1:14" s="143" customFormat="1" hidden="1" x14ac:dyDescent="0.25">
      <c r="A78" s="143" t="s">
        <v>704</v>
      </c>
      <c r="B78" s="143" t="s">
        <v>487</v>
      </c>
      <c r="C78" s="143" t="s">
        <v>700</v>
      </c>
      <c r="D78" s="143" t="s">
        <v>69</v>
      </c>
      <c r="E78" s="257">
        <v>66857043</v>
      </c>
      <c r="F78" s="257">
        <v>65142419</v>
      </c>
      <c r="G78" s="257">
        <v>65142419</v>
      </c>
      <c r="H78" s="257">
        <v>0</v>
      </c>
      <c r="I78" s="257">
        <v>44331070</v>
      </c>
      <c r="J78" s="257">
        <v>0</v>
      </c>
      <c r="K78" s="257">
        <v>20811349</v>
      </c>
      <c r="L78" s="257">
        <v>20811349</v>
      </c>
      <c r="M78" s="257">
        <v>0</v>
      </c>
      <c r="N78" s="257">
        <v>0</v>
      </c>
    </row>
    <row r="79" spans="1:14" s="143" customFormat="1" hidden="1" x14ac:dyDescent="0.25">
      <c r="A79" s="143" t="s">
        <v>704</v>
      </c>
      <c r="B79" s="143" t="s">
        <v>104</v>
      </c>
      <c r="C79" s="143" t="s">
        <v>105</v>
      </c>
      <c r="D79" s="143" t="s">
        <v>69</v>
      </c>
      <c r="E79" s="257">
        <v>261541565</v>
      </c>
      <c r="F79" s="257">
        <v>252541565</v>
      </c>
      <c r="G79" s="257">
        <v>248765465</v>
      </c>
      <c r="H79" s="257">
        <v>0</v>
      </c>
      <c r="I79" s="257">
        <v>104480459</v>
      </c>
      <c r="J79" s="257">
        <v>201764.83</v>
      </c>
      <c r="K79" s="257">
        <v>49081694.369999997</v>
      </c>
      <c r="L79" s="257">
        <v>33569522.369999997</v>
      </c>
      <c r="M79" s="257">
        <v>98777646.799999997</v>
      </c>
      <c r="N79" s="257">
        <v>95001546.799999997</v>
      </c>
    </row>
    <row r="80" spans="1:14" s="143" customFormat="1" hidden="1" x14ac:dyDescent="0.25">
      <c r="A80" s="143" t="s">
        <v>704</v>
      </c>
      <c r="B80" s="143" t="s">
        <v>106</v>
      </c>
      <c r="C80" s="143" t="s">
        <v>107</v>
      </c>
      <c r="D80" s="143" t="s">
        <v>69</v>
      </c>
      <c r="E80" s="257">
        <v>90013380</v>
      </c>
      <c r="F80" s="257">
        <v>90013380</v>
      </c>
      <c r="G80" s="257">
        <v>90013380</v>
      </c>
      <c r="H80" s="257">
        <v>0</v>
      </c>
      <c r="I80" s="257">
        <v>360000</v>
      </c>
      <c r="J80" s="257">
        <v>0</v>
      </c>
      <c r="K80" s="257">
        <v>0</v>
      </c>
      <c r="L80" s="257">
        <v>0</v>
      </c>
      <c r="M80" s="257">
        <v>89653380</v>
      </c>
      <c r="N80" s="257">
        <v>89653380</v>
      </c>
    </row>
    <row r="81" spans="1:14" s="143" customFormat="1" hidden="1" x14ac:dyDescent="0.25">
      <c r="A81" s="143" t="s">
        <v>704</v>
      </c>
      <c r="B81" s="143" t="s">
        <v>108</v>
      </c>
      <c r="C81" s="143" t="s">
        <v>109</v>
      </c>
      <c r="D81" s="143" t="s">
        <v>69</v>
      </c>
      <c r="E81" s="257">
        <v>0</v>
      </c>
      <c r="F81" s="257">
        <v>90013379.840000004</v>
      </c>
      <c r="G81" s="257">
        <v>90013379.840000004</v>
      </c>
      <c r="H81" s="257">
        <v>0</v>
      </c>
      <c r="I81" s="257">
        <v>360000</v>
      </c>
      <c r="J81" s="257">
        <v>0</v>
      </c>
      <c r="K81" s="257">
        <v>0</v>
      </c>
      <c r="L81" s="257">
        <v>0</v>
      </c>
      <c r="M81" s="257">
        <v>89653379.840000004</v>
      </c>
      <c r="N81" s="257">
        <v>89653379.840000004</v>
      </c>
    </row>
    <row r="82" spans="1:14" s="143" customFormat="1" hidden="1" x14ac:dyDescent="0.25">
      <c r="A82" s="143" t="s">
        <v>704</v>
      </c>
      <c r="B82" s="143" t="s">
        <v>304</v>
      </c>
      <c r="C82" s="143" t="s">
        <v>305</v>
      </c>
      <c r="D82" s="143" t="s">
        <v>69</v>
      </c>
      <c r="E82" s="257">
        <v>90013380</v>
      </c>
      <c r="F82" s="257">
        <v>0.16</v>
      </c>
      <c r="G82" s="257">
        <v>0.16</v>
      </c>
      <c r="H82" s="257">
        <v>0</v>
      </c>
      <c r="I82" s="257">
        <v>0</v>
      </c>
      <c r="J82" s="257">
        <v>0</v>
      </c>
      <c r="K82" s="257">
        <v>0</v>
      </c>
      <c r="L82" s="257">
        <v>0</v>
      </c>
      <c r="M82" s="257">
        <v>0.16</v>
      </c>
      <c r="N82" s="257">
        <v>0.16</v>
      </c>
    </row>
    <row r="83" spans="1:14" s="143" customFormat="1" hidden="1" x14ac:dyDescent="0.25">
      <c r="A83" s="143" t="s">
        <v>704</v>
      </c>
      <c r="B83" s="143" t="s">
        <v>112</v>
      </c>
      <c r="C83" s="143" t="s">
        <v>113</v>
      </c>
      <c r="D83" s="143" t="s">
        <v>69</v>
      </c>
      <c r="E83" s="257">
        <v>105953785</v>
      </c>
      <c r="F83" s="257">
        <v>102953785</v>
      </c>
      <c r="G83" s="257">
        <v>102953785</v>
      </c>
      <c r="H83" s="257">
        <v>0</v>
      </c>
      <c r="I83" s="257">
        <v>79048574.870000005</v>
      </c>
      <c r="J83" s="257">
        <v>0</v>
      </c>
      <c r="K83" s="257">
        <v>22330803.690000001</v>
      </c>
      <c r="L83" s="257">
        <v>22330803.690000001</v>
      </c>
      <c r="M83" s="257">
        <v>1574406.44</v>
      </c>
      <c r="N83" s="257">
        <v>1574406.44</v>
      </c>
    </row>
    <row r="84" spans="1:14" s="143" customFormat="1" hidden="1" x14ac:dyDescent="0.25">
      <c r="A84" s="143" t="s">
        <v>704</v>
      </c>
      <c r="B84" s="143" t="s">
        <v>114</v>
      </c>
      <c r="C84" s="143" t="s">
        <v>115</v>
      </c>
      <c r="D84" s="143" t="s">
        <v>69</v>
      </c>
      <c r="E84" s="257">
        <v>8169861</v>
      </c>
      <c r="F84" s="257">
        <v>6169861</v>
      </c>
      <c r="G84" s="257">
        <v>6169861</v>
      </c>
      <c r="H84" s="257">
        <v>0</v>
      </c>
      <c r="I84" s="257">
        <v>3634015</v>
      </c>
      <c r="J84" s="257">
        <v>0</v>
      </c>
      <c r="K84" s="257">
        <v>1381440</v>
      </c>
      <c r="L84" s="257">
        <v>1381440</v>
      </c>
      <c r="M84" s="257">
        <v>1154406</v>
      </c>
      <c r="N84" s="257">
        <v>1154406</v>
      </c>
    </row>
    <row r="85" spans="1:14" s="143" customFormat="1" hidden="1" x14ac:dyDescent="0.25">
      <c r="A85" s="143" t="s">
        <v>704</v>
      </c>
      <c r="B85" s="143" t="s">
        <v>116</v>
      </c>
      <c r="C85" s="143" t="s">
        <v>117</v>
      </c>
      <c r="D85" s="143" t="s">
        <v>69</v>
      </c>
      <c r="E85" s="257">
        <v>49884000</v>
      </c>
      <c r="F85" s="257">
        <v>49884000</v>
      </c>
      <c r="G85" s="257">
        <v>49884000</v>
      </c>
      <c r="H85" s="257">
        <v>0</v>
      </c>
      <c r="I85" s="257">
        <v>34374791.549999997</v>
      </c>
      <c r="J85" s="257">
        <v>0</v>
      </c>
      <c r="K85" s="257">
        <v>15509208.449999999</v>
      </c>
      <c r="L85" s="257">
        <v>15509208.449999999</v>
      </c>
      <c r="M85" s="257">
        <v>0</v>
      </c>
      <c r="N85" s="257">
        <v>0</v>
      </c>
    </row>
    <row r="86" spans="1:14" s="143" customFormat="1" hidden="1" x14ac:dyDescent="0.25">
      <c r="A86" s="143" t="s">
        <v>704</v>
      </c>
      <c r="B86" s="143" t="s">
        <v>118</v>
      </c>
      <c r="C86" s="143" t="s">
        <v>119</v>
      </c>
      <c r="D86" s="143" t="s">
        <v>69</v>
      </c>
      <c r="E86" s="257">
        <v>19924</v>
      </c>
      <c r="F86" s="257">
        <v>19924</v>
      </c>
      <c r="G86" s="257">
        <v>19924</v>
      </c>
      <c r="H86" s="257">
        <v>0</v>
      </c>
      <c r="I86" s="257">
        <v>999</v>
      </c>
      <c r="J86" s="257">
        <v>0</v>
      </c>
      <c r="K86" s="257">
        <v>18925</v>
      </c>
      <c r="L86" s="257">
        <v>18925</v>
      </c>
      <c r="M86" s="257">
        <v>0</v>
      </c>
      <c r="N86" s="257">
        <v>0</v>
      </c>
    </row>
    <row r="87" spans="1:14" s="143" customFormat="1" hidden="1" x14ac:dyDescent="0.25">
      <c r="A87" s="143" t="s">
        <v>704</v>
      </c>
      <c r="B87" s="143" t="s">
        <v>120</v>
      </c>
      <c r="C87" s="143" t="s">
        <v>121</v>
      </c>
      <c r="D87" s="143" t="s">
        <v>69</v>
      </c>
      <c r="E87" s="257">
        <v>47460000</v>
      </c>
      <c r="F87" s="257">
        <v>46460000</v>
      </c>
      <c r="G87" s="257">
        <v>46460000</v>
      </c>
      <c r="H87" s="257">
        <v>0</v>
      </c>
      <c r="I87" s="257">
        <v>41038769.32</v>
      </c>
      <c r="J87" s="257">
        <v>0</v>
      </c>
      <c r="K87" s="257">
        <v>5421230.2400000002</v>
      </c>
      <c r="L87" s="257">
        <v>5421230.2400000002</v>
      </c>
      <c r="M87" s="257">
        <v>0.44</v>
      </c>
      <c r="N87" s="257">
        <v>0.44</v>
      </c>
    </row>
    <row r="88" spans="1:14" s="143" customFormat="1" hidden="1" x14ac:dyDescent="0.25">
      <c r="A88" s="143" t="s">
        <v>704</v>
      </c>
      <c r="B88" s="143" t="s">
        <v>122</v>
      </c>
      <c r="C88" s="143" t="s">
        <v>123</v>
      </c>
      <c r="D88" s="143" t="s">
        <v>69</v>
      </c>
      <c r="E88" s="257">
        <v>420000</v>
      </c>
      <c r="F88" s="257">
        <v>420000</v>
      </c>
      <c r="G88" s="257">
        <v>420000</v>
      </c>
      <c r="H88" s="257">
        <v>0</v>
      </c>
      <c r="I88" s="257">
        <v>0</v>
      </c>
      <c r="J88" s="257">
        <v>0</v>
      </c>
      <c r="K88" s="257">
        <v>0</v>
      </c>
      <c r="L88" s="257">
        <v>0</v>
      </c>
      <c r="M88" s="257">
        <v>420000</v>
      </c>
      <c r="N88" s="257">
        <v>420000</v>
      </c>
    </row>
    <row r="89" spans="1:14" s="143" customFormat="1" hidden="1" x14ac:dyDescent="0.25">
      <c r="A89" s="143" t="s">
        <v>704</v>
      </c>
      <c r="B89" s="143" t="s">
        <v>124</v>
      </c>
      <c r="C89" s="143" t="s">
        <v>125</v>
      </c>
      <c r="D89" s="143" t="s">
        <v>69</v>
      </c>
      <c r="E89" s="257">
        <v>8000000</v>
      </c>
      <c r="F89" s="257">
        <v>8000000</v>
      </c>
      <c r="G89" s="257">
        <v>7500000</v>
      </c>
      <c r="H89" s="257">
        <v>0</v>
      </c>
      <c r="I89" s="257">
        <v>2315998.14</v>
      </c>
      <c r="J89" s="257">
        <v>48217.2</v>
      </c>
      <c r="K89" s="257">
        <v>4595630</v>
      </c>
      <c r="L89" s="257">
        <v>4595630</v>
      </c>
      <c r="M89" s="257">
        <v>1040154.66</v>
      </c>
      <c r="N89" s="257">
        <v>540154.66</v>
      </c>
    </row>
    <row r="90" spans="1:14" s="143" customFormat="1" hidden="1" x14ac:dyDescent="0.25">
      <c r="A90" s="143" t="s">
        <v>704</v>
      </c>
      <c r="B90" s="143" t="s">
        <v>126</v>
      </c>
      <c r="C90" s="143" t="s">
        <v>127</v>
      </c>
      <c r="D90" s="143" t="s">
        <v>69</v>
      </c>
      <c r="E90" s="257">
        <v>7000000</v>
      </c>
      <c r="F90" s="257">
        <v>7000000</v>
      </c>
      <c r="G90" s="257">
        <v>7000000</v>
      </c>
      <c r="H90" s="257">
        <v>0</v>
      </c>
      <c r="I90" s="257">
        <v>2315998.14</v>
      </c>
      <c r="J90" s="257">
        <v>48217.2</v>
      </c>
      <c r="K90" s="257">
        <v>4595630</v>
      </c>
      <c r="L90" s="257">
        <v>4595630</v>
      </c>
      <c r="M90" s="257">
        <v>40154.660000000003</v>
      </c>
      <c r="N90" s="257">
        <v>40154.660000000003</v>
      </c>
    </row>
    <row r="91" spans="1:14" s="143" customFormat="1" hidden="1" x14ac:dyDescent="0.25">
      <c r="A91" s="143" t="s">
        <v>704</v>
      </c>
      <c r="B91" s="143" t="s">
        <v>132</v>
      </c>
      <c r="C91" s="143" t="s">
        <v>133</v>
      </c>
      <c r="D91" s="143" t="s">
        <v>69</v>
      </c>
      <c r="E91" s="257">
        <v>1000000</v>
      </c>
      <c r="F91" s="257">
        <v>1000000</v>
      </c>
      <c r="G91" s="257">
        <v>500000</v>
      </c>
      <c r="H91" s="257">
        <v>0</v>
      </c>
      <c r="I91" s="257">
        <v>0</v>
      </c>
      <c r="J91" s="257">
        <v>0</v>
      </c>
      <c r="K91" s="257">
        <v>0</v>
      </c>
      <c r="L91" s="257">
        <v>0</v>
      </c>
      <c r="M91" s="257">
        <v>1000000</v>
      </c>
      <c r="N91" s="257">
        <v>500000</v>
      </c>
    </row>
    <row r="92" spans="1:14" s="143" customFormat="1" hidden="1" x14ac:dyDescent="0.25">
      <c r="A92" s="143" t="s">
        <v>704</v>
      </c>
      <c r="B92" s="143" t="s">
        <v>134</v>
      </c>
      <c r="C92" s="143" t="s">
        <v>135</v>
      </c>
      <c r="D92" s="143" t="s">
        <v>69</v>
      </c>
      <c r="E92" s="257">
        <v>3480000</v>
      </c>
      <c r="F92" s="257">
        <v>1480000</v>
      </c>
      <c r="G92" s="257">
        <v>1480000</v>
      </c>
      <c r="H92" s="257">
        <v>0</v>
      </c>
      <c r="I92" s="257">
        <v>1161010.51</v>
      </c>
      <c r="J92" s="257">
        <v>0</v>
      </c>
      <c r="K92" s="257">
        <v>318670.17</v>
      </c>
      <c r="L92" s="257">
        <v>318670.17</v>
      </c>
      <c r="M92" s="257">
        <v>319.32</v>
      </c>
      <c r="N92" s="257">
        <v>319.32</v>
      </c>
    </row>
    <row r="93" spans="1:14" s="143" customFormat="1" hidden="1" x14ac:dyDescent="0.25">
      <c r="A93" s="143" t="s">
        <v>704</v>
      </c>
      <c r="B93" s="143" t="s">
        <v>136</v>
      </c>
      <c r="C93" s="143" t="s">
        <v>137</v>
      </c>
      <c r="D93" s="143" t="s">
        <v>69</v>
      </c>
      <c r="E93" s="257">
        <v>2000000</v>
      </c>
      <c r="F93" s="257">
        <v>0</v>
      </c>
      <c r="G93" s="257">
        <v>0</v>
      </c>
      <c r="H93" s="257">
        <v>0</v>
      </c>
      <c r="I93" s="257">
        <v>0</v>
      </c>
      <c r="J93" s="257">
        <v>0</v>
      </c>
      <c r="K93" s="257">
        <v>0</v>
      </c>
      <c r="L93" s="257">
        <v>0</v>
      </c>
      <c r="M93" s="257">
        <v>0</v>
      </c>
      <c r="N93" s="257">
        <v>0</v>
      </c>
    </row>
    <row r="94" spans="1:14" s="143" customFormat="1" hidden="1" x14ac:dyDescent="0.25">
      <c r="A94" s="143" t="s">
        <v>704</v>
      </c>
      <c r="B94" s="143" t="s">
        <v>138</v>
      </c>
      <c r="C94" s="143" t="s">
        <v>139</v>
      </c>
      <c r="D94" s="143" t="s">
        <v>69</v>
      </c>
      <c r="E94" s="257">
        <v>1480000</v>
      </c>
      <c r="F94" s="257">
        <v>1480000</v>
      </c>
      <c r="G94" s="257">
        <v>1480000</v>
      </c>
      <c r="H94" s="257">
        <v>0</v>
      </c>
      <c r="I94" s="257">
        <v>1161010.51</v>
      </c>
      <c r="J94" s="257">
        <v>0</v>
      </c>
      <c r="K94" s="257">
        <v>318670.17</v>
      </c>
      <c r="L94" s="257">
        <v>318670.17</v>
      </c>
      <c r="M94" s="257">
        <v>319.32</v>
      </c>
      <c r="N94" s="257">
        <v>319.32</v>
      </c>
    </row>
    <row r="95" spans="1:14" s="143" customFormat="1" hidden="1" x14ac:dyDescent="0.25">
      <c r="A95" s="143" t="s">
        <v>704</v>
      </c>
      <c r="B95" s="143" t="s">
        <v>140</v>
      </c>
      <c r="C95" s="143" t="s">
        <v>141</v>
      </c>
      <c r="D95" s="143" t="s">
        <v>69</v>
      </c>
      <c r="E95" s="257">
        <v>1500000</v>
      </c>
      <c r="F95" s="257">
        <v>1500000</v>
      </c>
      <c r="G95" s="257">
        <v>1173900</v>
      </c>
      <c r="H95" s="257">
        <v>0</v>
      </c>
      <c r="I95" s="257">
        <v>932000</v>
      </c>
      <c r="J95" s="257">
        <v>0</v>
      </c>
      <c r="K95" s="257">
        <v>151300</v>
      </c>
      <c r="L95" s="257">
        <v>151300</v>
      </c>
      <c r="M95" s="257">
        <v>416700</v>
      </c>
      <c r="N95" s="257">
        <v>90600</v>
      </c>
    </row>
    <row r="96" spans="1:14" s="143" customFormat="1" hidden="1" x14ac:dyDescent="0.25">
      <c r="A96" s="143" t="s">
        <v>704</v>
      </c>
      <c r="B96" s="143" t="s">
        <v>144</v>
      </c>
      <c r="C96" s="143" t="s">
        <v>145</v>
      </c>
      <c r="D96" s="143" t="s">
        <v>69</v>
      </c>
      <c r="E96" s="257">
        <v>1500000</v>
      </c>
      <c r="F96" s="257">
        <v>1500000</v>
      </c>
      <c r="G96" s="257">
        <v>1173900</v>
      </c>
      <c r="H96" s="257">
        <v>0</v>
      </c>
      <c r="I96" s="257">
        <v>932000</v>
      </c>
      <c r="J96" s="257">
        <v>0</v>
      </c>
      <c r="K96" s="257">
        <v>151300</v>
      </c>
      <c r="L96" s="257">
        <v>151300</v>
      </c>
      <c r="M96" s="257">
        <v>416700</v>
      </c>
      <c r="N96" s="257">
        <v>90600</v>
      </c>
    </row>
    <row r="97" spans="1:14" s="143" customFormat="1" hidden="1" x14ac:dyDescent="0.25">
      <c r="A97" s="143" t="s">
        <v>704</v>
      </c>
      <c r="B97" s="143" t="s">
        <v>150</v>
      </c>
      <c r="C97" s="143" t="s">
        <v>151</v>
      </c>
      <c r="D97" s="143" t="s">
        <v>69</v>
      </c>
      <c r="E97" s="257">
        <v>29000000</v>
      </c>
      <c r="F97" s="257">
        <v>25500000</v>
      </c>
      <c r="G97" s="257">
        <v>24000000</v>
      </c>
      <c r="H97" s="257">
        <v>0</v>
      </c>
      <c r="I97" s="257">
        <v>6051230</v>
      </c>
      <c r="J97" s="257">
        <v>0</v>
      </c>
      <c r="K97" s="257">
        <v>17560942</v>
      </c>
      <c r="L97" s="257">
        <v>2048770</v>
      </c>
      <c r="M97" s="257">
        <v>1887828</v>
      </c>
      <c r="N97" s="257">
        <v>387828</v>
      </c>
    </row>
    <row r="98" spans="1:14" s="143" customFormat="1" hidden="1" x14ac:dyDescent="0.25">
      <c r="A98" s="143" t="s">
        <v>704</v>
      </c>
      <c r="B98" s="143" t="s">
        <v>152</v>
      </c>
      <c r="C98" s="143" t="s">
        <v>153</v>
      </c>
      <c r="D98" s="143" t="s">
        <v>69</v>
      </c>
      <c r="E98" s="257">
        <v>29000000</v>
      </c>
      <c r="F98" s="257">
        <v>25500000</v>
      </c>
      <c r="G98" s="257">
        <v>24000000</v>
      </c>
      <c r="H98" s="257">
        <v>0</v>
      </c>
      <c r="I98" s="257">
        <v>6051230</v>
      </c>
      <c r="J98" s="257">
        <v>0</v>
      </c>
      <c r="K98" s="257">
        <v>17560942</v>
      </c>
      <c r="L98" s="257">
        <v>2048770</v>
      </c>
      <c r="M98" s="257">
        <v>1887828</v>
      </c>
      <c r="N98" s="257">
        <v>387828</v>
      </c>
    </row>
    <row r="99" spans="1:14" s="143" customFormat="1" hidden="1" x14ac:dyDescent="0.25">
      <c r="A99" s="143" t="s">
        <v>704</v>
      </c>
      <c r="B99" s="143" t="s">
        <v>154</v>
      </c>
      <c r="C99" s="143" t="s">
        <v>155</v>
      </c>
      <c r="D99" s="143" t="s">
        <v>69</v>
      </c>
      <c r="E99" s="257">
        <v>200000</v>
      </c>
      <c r="F99" s="257">
        <v>200000</v>
      </c>
      <c r="G99" s="257">
        <v>200000</v>
      </c>
      <c r="H99" s="257">
        <v>0</v>
      </c>
      <c r="I99" s="257">
        <v>200000</v>
      </c>
      <c r="J99" s="257">
        <v>0</v>
      </c>
      <c r="K99" s="257">
        <v>0</v>
      </c>
      <c r="L99" s="257">
        <v>0</v>
      </c>
      <c r="M99" s="257">
        <v>0</v>
      </c>
      <c r="N99" s="257">
        <v>0</v>
      </c>
    </row>
    <row r="100" spans="1:14" s="143" customFormat="1" hidden="1" x14ac:dyDescent="0.25">
      <c r="A100" s="143" t="s">
        <v>704</v>
      </c>
      <c r="B100" s="143" t="s">
        <v>160</v>
      </c>
      <c r="C100" s="143" t="s">
        <v>161</v>
      </c>
      <c r="D100" s="143" t="s">
        <v>69</v>
      </c>
      <c r="E100" s="257">
        <v>200000</v>
      </c>
      <c r="F100" s="257">
        <v>200000</v>
      </c>
      <c r="G100" s="257">
        <v>200000</v>
      </c>
      <c r="H100" s="257">
        <v>0</v>
      </c>
      <c r="I100" s="257">
        <v>200000</v>
      </c>
      <c r="J100" s="257">
        <v>0</v>
      </c>
      <c r="K100" s="257">
        <v>0</v>
      </c>
      <c r="L100" s="257">
        <v>0</v>
      </c>
      <c r="M100" s="257">
        <v>0</v>
      </c>
      <c r="N100" s="257">
        <v>0</v>
      </c>
    </row>
    <row r="101" spans="1:14" s="143" customFormat="1" hidden="1" x14ac:dyDescent="0.25">
      <c r="A101" s="143" t="s">
        <v>704</v>
      </c>
      <c r="B101" s="143" t="s">
        <v>162</v>
      </c>
      <c r="C101" s="143" t="s">
        <v>163</v>
      </c>
      <c r="D101" s="143" t="s">
        <v>69</v>
      </c>
      <c r="E101" s="257">
        <v>21394400</v>
      </c>
      <c r="F101" s="257">
        <v>20894400</v>
      </c>
      <c r="G101" s="257">
        <v>19444400</v>
      </c>
      <c r="H101" s="257">
        <v>0</v>
      </c>
      <c r="I101" s="257">
        <v>12411645.48</v>
      </c>
      <c r="J101" s="257">
        <v>153547.63</v>
      </c>
      <c r="K101" s="257">
        <v>4124348.51</v>
      </c>
      <c r="L101" s="257">
        <v>4124348.51</v>
      </c>
      <c r="M101" s="257">
        <v>4204858.38</v>
      </c>
      <c r="N101" s="257">
        <v>2754858.38</v>
      </c>
    </row>
    <row r="102" spans="1:14" s="143" customFormat="1" hidden="1" x14ac:dyDescent="0.25">
      <c r="A102" s="143" t="s">
        <v>704</v>
      </c>
      <c r="B102" s="143" t="s">
        <v>166</v>
      </c>
      <c r="C102" s="143" t="s">
        <v>167</v>
      </c>
      <c r="D102" s="143" t="s">
        <v>69</v>
      </c>
      <c r="E102" s="257">
        <v>13000000</v>
      </c>
      <c r="F102" s="257">
        <v>13000000</v>
      </c>
      <c r="G102" s="257">
        <v>13000000</v>
      </c>
      <c r="H102" s="257">
        <v>0</v>
      </c>
      <c r="I102" s="257">
        <v>9315582.8200000003</v>
      </c>
      <c r="J102" s="257">
        <v>0</v>
      </c>
      <c r="K102" s="257">
        <v>3672467.23</v>
      </c>
      <c r="L102" s="257">
        <v>3672467.23</v>
      </c>
      <c r="M102" s="257">
        <v>11949.95</v>
      </c>
      <c r="N102" s="257">
        <v>11949.95</v>
      </c>
    </row>
    <row r="103" spans="1:14" s="143" customFormat="1" hidden="1" x14ac:dyDescent="0.25">
      <c r="A103" s="143" t="s">
        <v>704</v>
      </c>
      <c r="B103" s="143" t="s">
        <v>168</v>
      </c>
      <c r="C103" s="143" t="s">
        <v>169</v>
      </c>
      <c r="D103" s="143" t="s">
        <v>69</v>
      </c>
      <c r="E103" s="257">
        <v>6194400</v>
      </c>
      <c r="F103" s="257">
        <v>5694400</v>
      </c>
      <c r="G103" s="257">
        <v>4694400</v>
      </c>
      <c r="H103" s="257">
        <v>0</v>
      </c>
      <c r="I103" s="257">
        <v>1986540</v>
      </c>
      <c r="J103" s="257">
        <v>0</v>
      </c>
      <c r="K103" s="257">
        <v>0</v>
      </c>
      <c r="L103" s="257">
        <v>0</v>
      </c>
      <c r="M103" s="257">
        <v>3707860</v>
      </c>
      <c r="N103" s="257">
        <v>2707860</v>
      </c>
    </row>
    <row r="104" spans="1:14" s="143" customFormat="1" hidden="1" x14ac:dyDescent="0.25">
      <c r="A104" s="143" t="s">
        <v>704</v>
      </c>
      <c r="B104" s="143" t="s">
        <v>172</v>
      </c>
      <c r="C104" s="143" t="s">
        <v>173</v>
      </c>
      <c r="D104" s="143" t="s">
        <v>69</v>
      </c>
      <c r="E104" s="257">
        <v>2200000</v>
      </c>
      <c r="F104" s="257">
        <v>2200000</v>
      </c>
      <c r="G104" s="257">
        <v>1750000</v>
      </c>
      <c r="H104" s="257">
        <v>0</v>
      </c>
      <c r="I104" s="257">
        <v>1109522.6599999999</v>
      </c>
      <c r="J104" s="257">
        <v>153547.63</v>
      </c>
      <c r="K104" s="257">
        <v>451881.28</v>
      </c>
      <c r="L104" s="257">
        <v>451881.28</v>
      </c>
      <c r="M104" s="257">
        <v>485048.43</v>
      </c>
      <c r="N104" s="257">
        <v>35048.43</v>
      </c>
    </row>
    <row r="105" spans="1:14" s="143" customFormat="1" hidden="1" x14ac:dyDescent="0.25">
      <c r="A105" s="143" t="s">
        <v>704</v>
      </c>
      <c r="B105" s="143" t="s">
        <v>174</v>
      </c>
      <c r="C105" s="143" t="s">
        <v>175</v>
      </c>
      <c r="D105" s="143" t="s">
        <v>69</v>
      </c>
      <c r="E105" s="257">
        <v>1000000</v>
      </c>
      <c r="F105" s="257">
        <v>1000000</v>
      </c>
      <c r="G105" s="257">
        <v>1000000</v>
      </c>
      <c r="H105" s="257">
        <v>0</v>
      </c>
      <c r="I105" s="257">
        <v>1000000</v>
      </c>
      <c r="J105" s="257">
        <v>0</v>
      </c>
      <c r="K105" s="257">
        <v>0</v>
      </c>
      <c r="L105" s="257">
        <v>0</v>
      </c>
      <c r="M105" s="257">
        <v>0</v>
      </c>
      <c r="N105" s="257">
        <v>0</v>
      </c>
    </row>
    <row r="106" spans="1:14" s="143" customFormat="1" hidden="1" x14ac:dyDescent="0.25">
      <c r="A106" s="143" t="s">
        <v>704</v>
      </c>
      <c r="B106" s="143" t="s">
        <v>176</v>
      </c>
      <c r="C106" s="143" t="s">
        <v>177</v>
      </c>
      <c r="D106" s="143" t="s">
        <v>69</v>
      </c>
      <c r="E106" s="257">
        <v>1000000</v>
      </c>
      <c r="F106" s="257">
        <v>1000000</v>
      </c>
      <c r="G106" s="257">
        <v>1000000</v>
      </c>
      <c r="H106" s="257">
        <v>0</v>
      </c>
      <c r="I106" s="257">
        <v>1000000</v>
      </c>
      <c r="J106" s="257">
        <v>0</v>
      </c>
      <c r="K106" s="257">
        <v>0</v>
      </c>
      <c r="L106" s="257">
        <v>0</v>
      </c>
      <c r="M106" s="257">
        <v>0</v>
      </c>
      <c r="N106" s="257">
        <v>0</v>
      </c>
    </row>
    <row r="107" spans="1:14" s="143" customFormat="1" hidden="1" x14ac:dyDescent="0.25">
      <c r="A107" s="143" t="s">
        <v>704</v>
      </c>
      <c r="B107" s="143" t="s">
        <v>178</v>
      </c>
      <c r="C107" s="143" t="s">
        <v>179</v>
      </c>
      <c r="D107" s="143" t="s">
        <v>69</v>
      </c>
      <c r="E107" s="257">
        <v>1000000</v>
      </c>
      <c r="F107" s="257">
        <v>1000000</v>
      </c>
      <c r="G107" s="257">
        <v>1000000</v>
      </c>
      <c r="H107" s="257">
        <v>0</v>
      </c>
      <c r="I107" s="257">
        <v>1000000</v>
      </c>
      <c r="J107" s="257">
        <v>0</v>
      </c>
      <c r="K107" s="257">
        <v>0</v>
      </c>
      <c r="L107" s="257">
        <v>0</v>
      </c>
      <c r="M107" s="257">
        <v>0</v>
      </c>
      <c r="N107" s="257">
        <v>0</v>
      </c>
    </row>
    <row r="108" spans="1:14" s="143" customFormat="1" hidden="1" x14ac:dyDescent="0.25">
      <c r="A108" s="143" t="s">
        <v>704</v>
      </c>
      <c r="B108" s="143" t="s">
        <v>182</v>
      </c>
      <c r="C108" s="143" t="s">
        <v>183</v>
      </c>
      <c r="D108" s="143" t="s">
        <v>69</v>
      </c>
      <c r="E108" s="257">
        <v>1000000</v>
      </c>
      <c r="F108" s="257">
        <v>1000000</v>
      </c>
      <c r="G108" s="257">
        <v>1000000</v>
      </c>
      <c r="H108" s="257">
        <v>0</v>
      </c>
      <c r="I108" s="257">
        <v>1000000</v>
      </c>
      <c r="J108" s="257">
        <v>0</v>
      </c>
      <c r="K108" s="257">
        <v>0</v>
      </c>
      <c r="L108" s="257">
        <v>0</v>
      </c>
      <c r="M108" s="257">
        <v>0</v>
      </c>
      <c r="N108" s="257">
        <v>0</v>
      </c>
    </row>
    <row r="109" spans="1:14" s="143" customFormat="1" hidden="1" x14ac:dyDescent="0.25">
      <c r="A109" s="143" t="s">
        <v>704</v>
      </c>
      <c r="B109" s="143" t="s">
        <v>184</v>
      </c>
      <c r="C109" s="143" t="s">
        <v>185</v>
      </c>
      <c r="D109" s="143" t="s">
        <v>69</v>
      </c>
      <c r="E109" s="257">
        <v>40981500</v>
      </c>
      <c r="F109" s="257">
        <v>38920115</v>
      </c>
      <c r="G109" s="257">
        <v>38920115</v>
      </c>
      <c r="H109" s="257">
        <v>0</v>
      </c>
      <c r="I109" s="257">
        <v>7751891.5999999996</v>
      </c>
      <c r="J109" s="257">
        <v>0</v>
      </c>
      <c r="K109" s="257">
        <v>4969692.5199999996</v>
      </c>
      <c r="L109" s="257">
        <v>4969692.5199999996</v>
      </c>
      <c r="M109" s="257">
        <v>26198530.879999999</v>
      </c>
      <c r="N109" s="257">
        <v>26198530.879999999</v>
      </c>
    </row>
    <row r="110" spans="1:14" s="143" customFormat="1" hidden="1" x14ac:dyDescent="0.25">
      <c r="A110" s="143" t="s">
        <v>704</v>
      </c>
      <c r="B110" s="143" t="s">
        <v>186</v>
      </c>
      <c r="C110" s="143" t="s">
        <v>187</v>
      </c>
      <c r="D110" s="143" t="s">
        <v>69</v>
      </c>
      <c r="E110" s="257">
        <v>14621000</v>
      </c>
      <c r="F110" s="257">
        <v>14100000</v>
      </c>
      <c r="G110" s="257">
        <v>14100000</v>
      </c>
      <c r="H110" s="257">
        <v>0</v>
      </c>
      <c r="I110" s="257">
        <v>6715310.5999999996</v>
      </c>
      <c r="J110" s="257">
        <v>0</v>
      </c>
      <c r="K110" s="257">
        <v>2884689.4</v>
      </c>
      <c r="L110" s="257">
        <v>2884689.4</v>
      </c>
      <c r="M110" s="257">
        <v>4500000</v>
      </c>
      <c r="N110" s="257">
        <v>4500000</v>
      </c>
    </row>
    <row r="111" spans="1:14" s="143" customFormat="1" hidden="1" x14ac:dyDescent="0.25">
      <c r="A111" s="143" t="s">
        <v>704</v>
      </c>
      <c r="B111" s="143" t="s">
        <v>188</v>
      </c>
      <c r="C111" s="143" t="s">
        <v>189</v>
      </c>
      <c r="D111" s="143" t="s">
        <v>69</v>
      </c>
      <c r="E111" s="257">
        <v>9600000</v>
      </c>
      <c r="F111" s="257">
        <v>9600000</v>
      </c>
      <c r="G111" s="257">
        <v>9600000</v>
      </c>
      <c r="H111" s="257">
        <v>0</v>
      </c>
      <c r="I111" s="257">
        <v>6715310.5999999996</v>
      </c>
      <c r="J111" s="257">
        <v>0</v>
      </c>
      <c r="K111" s="257">
        <v>2884689.4</v>
      </c>
      <c r="L111" s="257">
        <v>2884689.4</v>
      </c>
      <c r="M111" s="257">
        <v>0</v>
      </c>
      <c r="N111" s="257">
        <v>0</v>
      </c>
    </row>
    <row r="112" spans="1:14" s="143" customFormat="1" hidden="1" x14ac:dyDescent="0.25">
      <c r="A112" s="143" t="s">
        <v>704</v>
      </c>
      <c r="B112" s="143" t="s">
        <v>190</v>
      </c>
      <c r="C112" s="143" t="s">
        <v>191</v>
      </c>
      <c r="D112" s="143" t="s">
        <v>69</v>
      </c>
      <c r="E112" s="257">
        <v>5000000</v>
      </c>
      <c r="F112" s="257">
        <v>4500000</v>
      </c>
      <c r="G112" s="257">
        <v>4500000</v>
      </c>
      <c r="H112" s="257">
        <v>0</v>
      </c>
      <c r="I112" s="257">
        <v>0</v>
      </c>
      <c r="J112" s="257">
        <v>0</v>
      </c>
      <c r="K112" s="257">
        <v>0</v>
      </c>
      <c r="L112" s="257">
        <v>0</v>
      </c>
      <c r="M112" s="257">
        <v>4500000</v>
      </c>
      <c r="N112" s="257">
        <v>4500000</v>
      </c>
    </row>
    <row r="113" spans="1:14" s="143" customFormat="1" hidden="1" x14ac:dyDescent="0.25">
      <c r="A113" s="143" t="s">
        <v>704</v>
      </c>
      <c r="B113" s="143" t="s">
        <v>192</v>
      </c>
      <c r="C113" s="143" t="s">
        <v>193</v>
      </c>
      <c r="D113" s="143" t="s">
        <v>69</v>
      </c>
      <c r="E113" s="257">
        <v>21000</v>
      </c>
      <c r="F113" s="257">
        <v>0</v>
      </c>
      <c r="G113" s="257">
        <v>0</v>
      </c>
      <c r="H113" s="257">
        <v>0</v>
      </c>
      <c r="I113" s="257">
        <v>0</v>
      </c>
      <c r="J113" s="257">
        <v>0</v>
      </c>
      <c r="K113" s="257">
        <v>0</v>
      </c>
      <c r="L113" s="257">
        <v>0</v>
      </c>
      <c r="M113" s="257">
        <v>0</v>
      </c>
      <c r="N113" s="257">
        <v>0</v>
      </c>
    </row>
    <row r="114" spans="1:14" s="143" customFormat="1" hidden="1" x14ac:dyDescent="0.25">
      <c r="A114" s="143" t="s">
        <v>704</v>
      </c>
      <c r="B114" s="143" t="s">
        <v>196</v>
      </c>
      <c r="C114" s="143" t="s">
        <v>197</v>
      </c>
      <c r="D114" s="143" t="s">
        <v>69</v>
      </c>
      <c r="E114" s="257">
        <v>3000000</v>
      </c>
      <c r="F114" s="257">
        <v>2755000</v>
      </c>
      <c r="G114" s="257">
        <v>2755000</v>
      </c>
      <c r="H114" s="257">
        <v>0</v>
      </c>
      <c r="I114" s="257">
        <v>754479</v>
      </c>
      <c r="J114" s="257">
        <v>0</v>
      </c>
      <c r="K114" s="257">
        <v>0</v>
      </c>
      <c r="L114" s="257">
        <v>0</v>
      </c>
      <c r="M114" s="257">
        <v>2000521</v>
      </c>
      <c r="N114" s="257">
        <v>2000521</v>
      </c>
    </row>
    <row r="115" spans="1:14" s="143" customFormat="1" hidden="1" x14ac:dyDescent="0.25">
      <c r="A115" s="143" t="s">
        <v>704</v>
      </c>
      <c r="B115" s="143" t="s">
        <v>198</v>
      </c>
      <c r="C115" s="143" t="s">
        <v>199</v>
      </c>
      <c r="D115" s="143" t="s">
        <v>69</v>
      </c>
      <c r="E115" s="257">
        <v>3000000</v>
      </c>
      <c r="F115" s="257">
        <v>2755000</v>
      </c>
      <c r="G115" s="257">
        <v>2755000</v>
      </c>
      <c r="H115" s="257">
        <v>0</v>
      </c>
      <c r="I115" s="257">
        <v>754479</v>
      </c>
      <c r="J115" s="257">
        <v>0</v>
      </c>
      <c r="K115" s="257">
        <v>0</v>
      </c>
      <c r="L115" s="257">
        <v>0</v>
      </c>
      <c r="M115" s="257">
        <v>2000521</v>
      </c>
      <c r="N115" s="257">
        <v>2000521</v>
      </c>
    </row>
    <row r="116" spans="1:14" s="143" customFormat="1" hidden="1" x14ac:dyDescent="0.25">
      <c r="A116" s="143" t="s">
        <v>704</v>
      </c>
      <c r="B116" s="143" t="s">
        <v>206</v>
      </c>
      <c r="C116" s="143" t="s">
        <v>207</v>
      </c>
      <c r="D116" s="143" t="s">
        <v>69</v>
      </c>
      <c r="E116" s="257">
        <v>355000</v>
      </c>
      <c r="F116" s="257">
        <v>12615</v>
      </c>
      <c r="G116" s="257">
        <v>12615</v>
      </c>
      <c r="H116" s="257">
        <v>0</v>
      </c>
      <c r="I116" s="257">
        <v>0</v>
      </c>
      <c r="J116" s="257">
        <v>0</v>
      </c>
      <c r="K116" s="257">
        <v>12615</v>
      </c>
      <c r="L116" s="257">
        <v>12615</v>
      </c>
      <c r="M116" s="257">
        <v>0</v>
      </c>
      <c r="N116" s="257">
        <v>0</v>
      </c>
    </row>
    <row r="117" spans="1:14" s="143" customFormat="1" hidden="1" x14ac:dyDescent="0.25">
      <c r="A117" s="143" t="s">
        <v>704</v>
      </c>
      <c r="B117" s="143" t="s">
        <v>208</v>
      </c>
      <c r="C117" s="143" t="s">
        <v>209</v>
      </c>
      <c r="D117" s="143" t="s">
        <v>69</v>
      </c>
      <c r="E117" s="257">
        <v>130000</v>
      </c>
      <c r="F117" s="257">
        <v>12615</v>
      </c>
      <c r="G117" s="257">
        <v>12615</v>
      </c>
      <c r="H117" s="257">
        <v>0</v>
      </c>
      <c r="I117" s="257">
        <v>0</v>
      </c>
      <c r="J117" s="257">
        <v>0</v>
      </c>
      <c r="K117" s="257">
        <v>12615</v>
      </c>
      <c r="L117" s="257">
        <v>12615</v>
      </c>
      <c r="M117" s="257">
        <v>0</v>
      </c>
      <c r="N117" s="257">
        <v>0</v>
      </c>
    </row>
    <row r="118" spans="1:14" s="143" customFormat="1" hidden="1" x14ac:dyDescent="0.25">
      <c r="A118" s="143" t="s">
        <v>704</v>
      </c>
      <c r="B118" s="143" t="s">
        <v>210</v>
      </c>
      <c r="C118" s="143" t="s">
        <v>211</v>
      </c>
      <c r="D118" s="143" t="s">
        <v>69</v>
      </c>
      <c r="E118" s="257">
        <v>225000</v>
      </c>
      <c r="F118" s="257">
        <v>0</v>
      </c>
      <c r="G118" s="257">
        <v>0</v>
      </c>
      <c r="H118" s="257">
        <v>0</v>
      </c>
      <c r="I118" s="257">
        <v>0</v>
      </c>
      <c r="J118" s="257">
        <v>0</v>
      </c>
      <c r="K118" s="257">
        <v>0</v>
      </c>
      <c r="L118" s="257">
        <v>0</v>
      </c>
      <c r="M118" s="257">
        <v>0</v>
      </c>
      <c r="N118" s="257">
        <v>0</v>
      </c>
    </row>
    <row r="119" spans="1:14" s="143" customFormat="1" hidden="1" x14ac:dyDescent="0.25">
      <c r="A119" s="143" t="s">
        <v>704</v>
      </c>
      <c r="B119" s="143" t="s">
        <v>212</v>
      </c>
      <c r="C119" s="143" t="s">
        <v>213</v>
      </c>
      <c r="D119" s="143" t="s">
        <v>69</v>
      </c>
      <c r="E119" s="257">
        <v>23005500</v>
      </c>
      <c r="F119" s="257">
        <v>22052500</v>
      </c>
      <c r="G119" s="257">
        <v>22052500</v>
      </c>
      <c r="H119" s="257">
        <v>0</v>
      </c>
      <c r="I119" s="257">
        <v>282102</v>
      </c>
      <c r="J119" s="257">
        <v>0</v>
      </c>
      <c r="K119" s="257">
        <v>2072388.12</v>
      </c>
      <c r="L119" s="257">
        <v>2072388.12</v>
      </c>
      <c r="M119" s="257">
        <v>19698009.879999999</v>
      </c>
      <c r="N119" s="257">
        <v>19698009.879999999</v>
      </c>
    </row>
    <row r="120" spans="1:14" s="143" customFormat="1" hidden="1" x14ac:dyDescent="0.25">
      <c r="A120" s="143" t="s">
        <v>704</v>
      </c>
      <c r="B120" s="143" t="s">
        <v>214</v>
      </c>
      <c r="C120" s="143" t="s">
        <v>215</v>
      </c>
      <c r="D120" s="143" t="s">
        <v>69</v>
      </c>
      <c r="E120" s="257">
        <v>2600000</v>
      </c>
      <c r="F120" s="257">
        <v>2350000</v>
      </c>
      <c r="G120" s="257">
        <v>2350000</v>
      </c>
      <c r="H120" s="257">
        <v>0</v>
      </c>
      <c r="I120" s="257">
        <v>14916</v>
      </c>
      <c r="J120" s="257">
        <v>0</v>
      </c>
      <c r="K120" s="257">
        <v>0</v>
      </c>
      <c r="L120" s="257">
        <v>0</v>
      </c>
      <c r="M120" s="257">
        <v>2335084</v>
      </c>
      <c r="N120" s="257">
        <v>2335084</v>
      </c>
    </row>
    <row r="121" spans="1:14" s="143" customFormat="1" hidden="1" x14ac:dyDescent="0.25">
      <c r="A121" s="143" t="s">
        <v>704</v>
      </c>
      <c r="B121" s="143" t="s">
        <v>216</v>
      </c>
      <c r="C121" s="143" t="s">
        <v>217</v>
      </c>
      <c r="D121" s="143" t="s">
        <v>69</v>
      </c>
      <c r="E121" s="257">
        <v>562500</v>
      </c>
      <c r="F121" s="257">
        <v>502500</v>
      </c>
      <c r="G121" s="257">
        <v>502500</v>
      </c>
      <c r="H121" s="257">
        <v>0</v>
      </c>
      <c r="I121" s="257">
        <v>0</v>
      </c>
      <c r="J121" s="257">
        <v>0</v>
      </c>
      <c r="K121" s="257">
        <v>0</v>
      </c>
      <c r="L121" s="257">
        <v>0</v>
      </c>
      <c r="M121" s="257">
        <v>502500</v>
      </c>
      <c r="N121" s="257">
        <v>502500</v>
      </c>
    </row>
    <row r="122" spans="1:14" s="143" customFormat="1" hidden="1" x14ac:dyDescent="0.25">
      <c r="A122" s="143" t="s">
        <v>704</v>
      </c>
      <c r="B122" s="143" t="s">
        <v>218</v>
      </c>
      <c r="C122" s="143" t="s">
        <v>219</v>
      </c>
      <c r="D122" s="143" t="s">
        <v>69</v>
      </c>
      <c r="E122" s="257">
        <v>8000000</v>
      </c>
      <c r="F122" s="257">
        <v>7500000</v>
      </c>
      <c r="G122" s="257">
        <v>7500000</v>
      </c>
      <c r="H122" s="257">
        <v>0</v>
      </c>
      <c r="I122" s="257">
        <v>89550</v>
      </c>
      <c r="J122" s="257">
        <v>0</v>
      </c>
      <c r="K122" s="257">
        <v>2072388.12</v>
      </c>
      <c r="L122" s="257">
        <v>2072388.12</v>
      </c>
      <c r="M122" s="257">
        <v>5338061.88</v>
      </c>
      <c r="N122" s="257">
        <v>5338061.88</v>
      </c>
    </row>
    <row r="123" spans="1:14" s="143" customFormat="1" hidden="1" x14ac:dyDescent="0.25">
      <c r="A123" s="143" t="s">
        <v>704</v>
      </c>
      <c r="B123" s="143" t="s">
        <v>222</v>
      </c>
      <c r="C123" s="143" t="s">
        <v>223</v>
      </c>
      <c r="D123" s="143" t="s">
        <v>69</v>
      </c>
      <c r="E123" s="257">
        <v>11000000</v>
      </c>
      <c r="F123" s="257">
        <v>11000000</v>
      </c>
      <c r="G123" s="257">
        <v>11000000</v>
      </c>
      <c r="H123" s="257">
        <v>0</v>
      </c>
      <c r="I123" s="257">
        <v>177636</v>
      </c>
      <c r="J123" s="257">
        <v>0</v>
      </c>
      <c r="K123" s="257">
        <v>0</v>
      </c>
      <c r="L123" s="257">
        <v>0</v>
      </c>
      <c r="M123" s="257">
        <v>10822364</v>
      </c>
      <c r="N123" s="257">
        <v>10822364</v>
      </c>
    </row>
    <row r="124" spans="1:14" s="143" customFormat="1" hidden="1" x14ac:dyDescent="0.25">
      <c r="A124" s="143" t="s">
        <v>704</v>
      </c>
      <c r="B124" s="143" t="s">
        <v>224</v>
      </c>
      <c r="C124" s="143" t="s">
        <v>225</v>
      </c>
      <c r="D124" s="143" t="s">
        <v>69</v>
      </c>
      <c r="E124" s="257">
        <v>800000</v>
      </c>
      <c r="F124" s="257">
        <v>700000</v>
      </c>
      <c r="G124" s="257">
        <v>700000</v>
      </c>
      <c r="H124" s="257">
        <v>0</v>
      </c>
      <c r="I124" s="257">
        <v>0</v>
      </c>
      <c r="J124" s="257">
        <v>0</v>
      </c>
      <c r="K124" s="257">
        <v>0</v>
      </c>
      <c r="L124" s="257">
        <v>0</v>
      </c>
      <c r="M124" s="257">
        <v>700000</v>
      </c>
      <c r="N124" s="257">
        <v>700000</v>
      </c>
    </row>
    <row r="125" spans="1:14" s="143" customFormat="1" hidden="1" x14ac:dyDescent="0.25">
      <c r="A125" s="143" t="s">
        <v>704</v>
      </c>
      <c r="B125" s="143" t="s">
        <v>226</v>
      </c>
      <c r="C125" s="143" t="s">
        <v>227</v>
      </c>
      <c r="D125" s="143" t="s">
        <v>69</v>
      </c>
      <c r="E125" s="257">
        <v>10000</v>
      </c>
      <c r="F125" s="257">
        <v>0</v>
      </c>
      <c r="G125" s="257">
        <v>0</v>
      </c>
      <c r="H125" s="257">
        <v>0</v>
      </c>
      <c r="I125" s="257">
        <v>0</v>
      </c>
      <c r="J125" s="257">
        <v>0</v>
      </c>
      <c r="K125" s="257">
        <v>0</v>
      </c>
      <c r="L125" s="257">
        <v>0</v>
      </c>
      <c r="M125" s="257">
        <v>0</v>
      </c>
      <c r="N125" s="257">
        <v>0</v>
      </c>
    </row>
    <row r="126" spans="1:14" s="143" customFormat="1" hidden="1" x14ac:dyDescent="0.25">
      <c r="A126" s="143" t="s">
        <v>704</v>
      </c>
      <c r="B126" s="143" t="s">
        <v>228</v>
      </c>
      <c r="C126" s="143" t="s">
        <v>229</v>
      </c>
      <c r="D126" s="143" t="s">
        <v>69</v>
      </c>
      <c r="E126" s="257">
        <v>33000</v>
      </c>
      <c r="F126" s="257">
        <v>0</v>
      </c>
      <c r="G126" s="257">
        <v>0</v>
      </c>
      <c r="H126" s="257">
        <v>0</v>
      </c>
      <c r="I126" s="257">
        <v>0</v>
      </c>
      <c r="J126" s="257">
        <v>0</v>
      </c>
      <c r="K126" s="257">
        <v>0</v>
      </c>
      <c r="L126" s="257">
        <v>0</v>
      </c>
      <c r="M126" s="257">
        <v>0</v>
      </c>
      <c r="N126" s="257">
        <v>0</v>
      </c>
    </row>
    <row r="127" spans="1:14" s="143" customFormat="1" hidden="1" x14ac:dyDescent="0.25">
      <c r="A127" s="143" t="s">
        <v>704</v>
      </c>
      <c r="B127" s="143" t="s">
        <v>230</v>
      </c>
      <c r="C127" s="143" t="s">
        <v>231</v>
      </c>
      <c r="D127" s="143" t="s">
        <v>85</v>
      </c>
      <c r="E127" s="257">
        <v>12109140</v>
      </c>
      <c r="F127" s="257">
        <v>10969140</v>
      </c>
      <c r="G127" s="257">
        <v>10969140</v>
      </c>
      <c r="H127" s="257">
        <v>0</v>
      </c>
      <c r="I127" s="257">
        <v>0</v>
      </c>
      <c r="J127" s="257">
        <v>0</v>
      </c>
      <c r="K127" s="257">
        <v>0</v>
      </c>
      <c r="L127" s="257">
        <v>0</v>
      </c>
      <c r="M127" s="257">
        <v>10969140</v>
      </c>
      <c r="N127" s="257">
        <v>10969140</v>
      </c>
    </row>
    <row r="128" spans="1:14" s="143" customFormat="1" hidden="1" x14ac:dyDescent="0.25">
      <c r="A128" s="143" t="s">
        <v>704</v>
      </c>
      <c r="B128" s="143" t="s">
        <v>232</v>
      </c>
      <c r="C128" s="143" t="s">
        <v>233</v>
      </c>
      <c r="D128" s="143" t="s">
        <v>85</v>
      </c>
      <c r="E128" s="257">
        <v>12109140</v>
      </c>
      <c r="F128" s="257">
        <v>10969140</v>
      </c>
      <c r="G128" s="257">
        <v>10969140</v>
      </c>
      <c r="H128" s="257">
        <v>0</v>
      </c>
      <c r="I128" s="257">
        <v>0</v>
      </c>
      <c r="J128" s="257">
        <v>0</v>
      </c>
      <c r="K128" s="257">
        <v>0</v>
      </c>
      <c r="L128" s="257">
        <v>0</v>
      </c>
      <c r="M128" s="257">
        <v>10969140</v>
      </c>
      <c r="N128" s="257">
        <v>10969140</v>
      </c>
    </row>
    <row r="129" spans="1:14" s="143" customFormat="1" hidden="1" x14ac:dyDescent="0.25">
      <c r="A129" s="143" t="s">
        <v>704</v>
      </c>
      <c r="B129" s="143" t="s">
        <v>234</v>
      </c>
      <c r="C129" s="143" t="s">
        <v>235</v>
      </c>
      <c r="D129" s="143" t="s">
        <v>85</v>
      </c>
      <c r="E129" s="257">
        <v>120000</v>
      </c>
      <c r="F129" s="257">
        <v>0</v>
      </c>
      <c r="G129" s="257">
        <v>0</v>
      </c>
      <c r="H129" s="257">
        <v>0</v>
      </c>
      <c r="I129" s="257">
        <v>0</v>
      </c>
      <c r="J129" s="257">
        <v>0</v>
      </c>
      <c r="K129" s="257">
        <v>0</v>
      </c>
      <c r="L129" s="257">
        <v>0</v>
      </c>
      <c r="M129" s="257">
        <v>0</v>
      </c>
      <c r="N129" s="257">
        <v>0</v>
      </c>
    </row>
    <row r="130" spans="1:14" s="143" customFormat="1" hidden="1" x14ac:dyDescent="0.25">
      <c r="A130" s="143" t="s">
        <v>704</v>
      </c>
      <c r="B130" s="143" t="s">
        <v>236</v>
      </c>
      <c r="C130" s="143" t="s">
        <v>237</v>
      </c>
      <c r="D130" s="143" t="s">
        <v>85</v>
      </c>
      <c r="E130" s="257">
        <v>620000</v>
      </c>
      <c r="F130" s="257">
        <v>0</v>
      </c>
      <c r="G130" s="257">
        <v>0</v>
      </c>
      <c r="H130" s="257">
        <v>0</v>
      </c>
      <c r="I130" s="257">
        <v>0</v>
      </c>
      <c r="J130" s="257">
        <v>0</v>
      </c>
      <c r="K130" s="257">
        <v>0</v>
      </c>
      <c r="L130" s="257">
        <v>0</v>
      </c>
      <c r="M130" s="257">
        <v>0</v>
      </c>
      <c r="N130" s="257">
        <v>0</v>
      </c>
    </row>
    <row r="131" spans="1:14" s="143" customFormat="1" hidden="1" x14ac:dyDescent="0.25">
      <c r="A131" s="143" t="s">
        <v>704</v>
      </c>
      <c r="B131" s="143" t="s">
        <v>238</v>
      </c>
      <c r="C131" s="143" t="s">
        <v>239</v>
      </c>
      <c r="D131" s="143" t="s">
        <v>85</v>
      </c>
      <c r="E131" s="257">
        <v>11369140</v>
      </c>
      <c r="F131" s="257">
        <v>10969140</v>
      </c>
      <c r="G131" s="257">
        <v>10969140</v>
      </c>
      <c r="H131" s="257">
        <v>0</v>
      </c>
      <c r="I131" s="257">
        <v>0</v>
      </c>
      <c r="J131" s="257">
        <v>0</v>
      </c>
      <c r="K131" s="257">
        <v>0</v>
      </c>
      <c r="L131" s="257">
        <v>0</v>
      </c>
      <c r="M131" s="257">
        <v>10969140</v>
      </c>
      <c r="N131" s="257">
        <v>10969140</v>
      </c>
    </row>
    <row r="132" spans="1:14" s="143" customFormat="1" hidden="1" x14ac:dyDescent="0.25">
      <c r="A132" s="143" t="s">
        <v>704</v>
      </c>
      <c r="B132" s="143" t="s">
        <v>248</v>
      </c>
      <c r="C132" s="143" t="s">
        <v>249</v>
      </c>
      <c r="D132" s="143" t="s">
        <v>69</v>
      </c>
      <c r="E132" s="257">
        <v>509299073</v>
      </c>
      <c r="F132" s="257">
        <v>507740316</v>
      </c>
      <c r="G132" s="257">
        <v>255687867</v>
      </c>
      <c r="H132" s="257">
        <v>0</v>
      </c>
      <c r="I132" s="257">
        <v>58338436.899999999</v>
      </c>
      <c r="J132" s="257">
        <v>0</v>
      </c>
      <c r="K132" s="257">
        <v>152654743.09999999</v>
      </c>
      <c r="L132" s="257">
        <v>152654743.09999999</v>
      </c>
      <c r="M132" s="257">
        <v>296747136</v>
      </c>
      <c r="N132" s="257">
        <v>44694687</v>
      </c>
    </row>
    <row r="133" spans="1:14" s="143" customFormat="1" hidden="1" x14ac:dyDescent="0.25">
      <c r="A133" s="143" t="s">
        <v>704</v>
      </c>
      <c r="B133" s="143" t="s">
        <v>250</v>
      </c>
      <c r="C133" s="143" t="s">
        <v>251</v>
      </c>
      <c r="D133" s="143" t="s">
        <v>69</v>
      </c>
      <c r="E133" s="257">
        <v>38994178</v>
      </c>
      <c r="F133" s="257">
        <v>38045421</v>
      </c>
      <c r="G133" s="257">
        <v>38045421</v>
      </c>
      <c r="H133" s="257">
        <v>0</v>
      </c>
      <c r="I133" s="257">
        <v>24472683</v>
      </c>
      <c r="J133" s="257">
        <v>0</v>
      </c>
      <c r="K133" s="257">
        <v>13140037</v>
      </c>
      <c r="L133" s="257">
        <v>13140037</v>
      </c>
      <c r="M133" s="257">
        <v>432701</v>
      </c>
      <c r="N133" s="257">
        <v>432701</v>
      </c>
    </row>
    <row r="134" spans="1:14" s="143" customFormat="1" hidden="1" x14ac:dyDescent="0.25">
      <c r="A134" s="143" t="s">
        <v>704</v>
      </c>
      <c r="B134" s="143" t="s">
        <v>617</v>
      </c>
      <c r="C134" s="143" t="s">
        <v>253</v>
      </c>
      <c r="D134" s="143" t="s">
        <v>69</v>
      </c>
      <c r="E134" s="257">
        <v>2000000</v>
      </c>
      <c r="F134" s="257">
        <v>2000000</v>
      </c>
      <c r="G134" s="257">
        <v>2000000</v>
      </c>
      <c r="H134" s="257">
        <v>0</v>
      </c>
      <c r="I134" s="257">
        <v>0</v>
      </c>
      <c r="J134" s="257">
        <v>0</v>
      </c>
      <c r="K134" s="257">
        <v>2000000</v>
      </c>
      <c r="L134" s="257">
        <v>2000000</v>
      </c>
      <c r="M134" s="257">
        <v>0</v>
      </c>
      <c r="N134" s="257">
        <v>0</v>
      </c>
    </row>
    <row r="135" spans="1:14" s="143" customFormat="1" hidden="1" x14ac:dyDescent="0.25">
      <c r="A135" s="143" t="s">
        <v>704</v>
      </c>
      <c r="B135" s="143" t="s">
        <v>627</v>
      </c>
      <c r="C135" s="143" t="s">
        <v>702</v>
      </c>
      <c r="D135" s="143" t="s">
        <v>69</v>
      </c>
      <c r="E135" s="257">
        <v>31422808</v>
      </c>
      <c r="F135" s="257">
        <v>30616936</v>
      </c>
      <c r="G135" s="257">
        <v>30616936</v>
      </c>
      <c r="H135" s="257">
        <v>0</v>
      </c>
      <c r="I135" s="257">
        <v>21211179</v>
      </c>
      <c r="J135" s="257">
        <v>0</v>
      </c>
      <c r="K135" s="257">
        <v>9405757</v>
      </c>
      <c r="L135" s="257">
        <v>9405757</v>
      </c>
      <c r="M135" s="257">
        <v>0</v>
      </c>
      <c r="N135" s="257">
        <v>0</v>
      </c>
    </row>
    <row r="136" spans="1:14" s="143" customFormat="1" hidden="1" x14ac:dyDescent="0.25">
      <c r="A136" s="143" t="s">
        <v>704</v>
      </c>
      <c r="B136" s="143" t="s">
        <v>642</v>
      </c>
      <c r="C136" s="143" t="s">
        <v>703</v>
      </c>
      <c r="D136" s="143" t="s">
        <v>69</v>
      </c>
      <c r="E136" s="257">
        <v>5571370</v>
      </c>
      <c r="F136" s="257">
        <v>5428485</v>
      </c>
      <c r="G136" s="257">
        <v>5428485</v>
      </c>
      <c r="H136" s="257">
        <v>0</v>
      </c>
      <c r="I136" s="257">
        <v>3261504</v>
      </c>
      <c r="J136" s="257">
        <v>0</v>
      </c>
      <c r="K136" s="257">
        <v>1734280</v>
      </c>
      <c r="L136" s="257">
        <v>1734280</v>
      </c>
      <c r="M136" s="257">
        <v>432701</v>
      </c>
      <c r="N136" s="257">
        <v>432701</v>
      </c>
    </row>
    <row r="137" spans="1:14" s="143" customFormat="1" hidden="1" x14ac:dyDescent="0.25">
      <c r="A137" s="143" t="s">
        <v>704</v>
      </c>
      <c r="B137" s="143" t="s">
        <v>260</v>
      </c>
      <c r="C137" s="143" t="s">
        <v>261</v>
      </c>
      <c r="D137" s="143" t="s">
        <v>69</v>
      </c>
      <c r="E137" s="257">
        <v>47000000</v>
      </c>
      <c r="F137" s="257">
        <v>47000000</v>
      </c>
      <c r="G137" s="257">
        <v>25000000</v>
      </c>
      <c r="H137" s="257">
        <v>0</v>
      </c>
      <c r="I137" s="257">
        <v>0</v>
      </c>
      <c r="J137" s="257">
        <v>0</v>
      </c>
      <c r="K137" s="257">
        <v>701097</v>
      </c>
      <c r="L137" s="257">
        <v>701097</v>
      </c>
      <c r="M137" s="257">
        <v>46298903</v>
      </c>
      <c r="N137" s="257">
        <v>24298903</v>
      </c>
    </row>
    <row r="138" spans="1:14" s="143" customFormat="1" hidden="1" x14ac:dyDescent="0.25">
      <c r="A138" s="143" t="s">
        <v>704</v>
      </c>
      <c r="B138" s="143" t="s">
        <v>262</v>
      </c>
      <c r="C138" s="143" t="s">
        <v>263</v>
      </c>
      <c r="D138" s="143" t="s">
        <v>69</v>
      </c>
      <c r="E138" s="257">
        <v>22000000</v>
      </c>
      <c r="F138" s="257">
        <v>22000000</v>
      </c>
      <c r="G138" s="257">
        <v>0</v>
      </c>
      <c r="H138" s="257">
        <v>0</v>
      </c>
      <c r="I138" s="257">
        <v>0</v>
      </c>
      <c r="J138" s="257">
        <v>0</v>
      </c>
      <c r="K138" s="257">
        <v>0</v>
      </c>
      <c r="L138" s="257">
        <v>0</v>
      </c>
      <c r="M138" s="257">
        <v>22000000</v>
      </c>
      <c r="N138" s="257">
        <v>0</v>
      </c>
    </row>
    <row r="139" spans="1:14" s="143" customFormat="1" hidden="1" x14ac:dyDescent="0.25">
      <c r="A139" s="143" t="s">
        <v>704</v>
      </c>
      <c r="B139" s="143" t="s">
        <v>264</v>
      </c>
      <c r="C139" s="143" t="s">
        <v>265</v>
      </c>
      <c r="D139" s="143" t="s">
        <v>69</v>
      </c>
      <c r="E139" s="257">
        <v>25000000</v>
      </c>
      <c r="F139" s="257">
        <v>25000000</v>
      </c>
      <c r="G139" s="257">
        <v>25000000</v>
      </c>
      <c r="H139" s="257">
        <v>0</v>
      </c>
      <c r="I139" s="257">
        <v>0</v>
      </c>
      <c r="J139" s="257">
        <v>0</v>
      </c>
      <c r="K139" s="257">
        <v>701097</v>
      </c>
      <c r="L139" s="257">
        <v>701097</v>
      </c>
      <c r="M139" s="257">
        <v>24298903</v>
      </c>
      <c r="N139" s="257">
        <v>24298903</v>
      </c>
    </row>
    <row r="140" spans="1:14" s="143" customFormat="1" hidden="1" x14ac:dyDescent="0.25">
      <c r="A140" s="143" t="s">
        <v>704</v>
      </c>
      <c r="B140" s="143" t="s">
        <v>266</v>
      </c>
      <c r="C140" s="143" t="s">
        <v>267</v>
      </c>
      <c r="D140" s="143" t="s">
        <v>69</v>
      </c>
      <c r="E140" s="257">
        <v>423304895</v>
      </c>
      <c r="F140" s="257">
        <v>422694895</v>
      </c>
      <c r="G140" s="257">
        <v>192642446</v>
      </c>
      <c r="H140" s="257">
        <v>0</v>
      </c>
      <c r="I140" s="257">
        <v>33865753.899999999</v>
      </c>
      <c r="J140" s="257">
        <v>0</v>
      </c>
      <c r="K140" s="257">
        <v>138813609.09999999</v>
      </c>
      <c r="L140" s="257">
        <v>138813609.09999999</v>
      </c>
      <c r="M140" s="257">
        <v>250015532</v>
      </c>
      <c r="N140" s="257">
        <v>19963083</v>
      </c>
    </row>
    <row r="141" spans="1:14" s="143" customFormat="1" hidden="1" x14ac:dyDescent="0.25">
      <c r="A141" s="143" t="s">
        <v>704</v>
      </c>
      <c r="B141" s="143" t="s">
        <v>664</v>
      </c>
      <c r="C141" s="143" t="s">
        <v>269</v>
      </c>
      <c r="D141" s="143" t="s">
        <v>69</v>
      </c>
      <c r="E141" s="257">
        <v>406300000</v>
      </c>
      <c r="F141" s="257">
        <v>406300000</v>
      </c>
      <c r="G141" s="257">
        <v>189254751</v>
      </c>
      <c r="H141" s="257">
        <v>0</v>
      </c>
      <c r="I141" s="257">
        <v>33858334</v>
      </c>
      <c r="J141" s="257">
        <v>0</v>
      </c>
      <c r="K141" s="257">
        <v>135433334</v>
      </c>
      <c r="L141" s="257">
        <v>135433334</v>
      </c>
      <c r="M141" s="257">
        <v>237008332</v>
      </c>
      <c r="N141" s="257">
        <v>19963083</v>
      </c>
    </row>
    <row r="142" spans="1:14" s="143" customFormat="1" hidden="1" x14ac:dyDescent="0.25">
      <c r="A142" s="143" t="s">
        <v>704</v>
      </c>
      <c r="B142" s="143" t="s">
        <v>666</v>
      </c>
      <c r="C142" s="143" t="s">
        <v>705</v>
      </c>
      <c r="D142" s="143" t="s">
        <v>69</v>
      </c>
      <c r="E142" s="257">
        <v>13007200</v>
      </c>
      <c r="F142" s="257">
        <v>13007200</v>
      </c>
      <c r="G142" s="257">
        <v>0</v>
      </c>
      <c r="H142" s="257">
        <v>0</v>
      </c>
      <c r="I142" s="257">
        <v>0</v>
      </c>
      <c r="J142" s="257">
        <v>0</v>
      </c>
      <c r="K142" s="257">
        <v>0</v>
      </c>
      <c r="L142" s="257">
        <v>0</v>
      </c>
      <c r="M142" s="257">
        <v>13007200</v>
      </c>
      <c r="N142" s="257">
        <v>0</v>
      </c>
    </row>
    <row r="143" spans="1:14" s="143" customFormat="1" hidden="1" x14ac:dyDescent="0.25">
      <c r="A143" s="143" t="s">
        <v>704</v>
      </c>
      <c r="B143" s="143" t="s">
        <v>668</v>
      </c>
      <c r="C143" s="143" t="s">
        <v>273</v>
      </c>
      <c r="D143" s="143" t="s">
        <v>69</v>
      </c>
      <c r="E143" s="257">
        <v>3997695</v>
      </c>
      <c r="F143" s="257">
        <v>3387695</v>
      </c>
      <c r="G143" s="257">
        <v>3387695</v>
      </c>
      <c r="H143" s="257">
        <v>0</v>
      </c>
      <c r="I143" s="257">
        <v>7419.9</v>
      </c>
      <c r="J143" s="257">
        <v>0</v>
      </c>
      <c r="K143" s="257">
        <v>3380275.1</v>
      </c>
      <c r="L143" s="257">
        <v>3380275.1</v>
      </c>
      <c r="M143" s="257">
        <v>0</v>
      </c>
      <c r="N143" s="257">
        <v>0</v>
      </c>
    </row>
    <row r="144" spans="1:14" s="143" customFormat="1" x14ac:dyDescent="0.25">
      <c r="A144" s="44">
        <v>214788</v>
      </c>
      <c r="D144" s="44" t="s">
        <v>69</v>
      </c>
      <c r="E144" s="257">
        <v>3537393833</v>
      </c>
      <c r="F144" s="50">
        <v>3395278076</v>
      </c>
      <c r="G144" s="257">
        <v>2220134129</v>
      </c>
      <c r="H144" s="50">
        <v>60211517.600000001</v>
      </c>
      <c r="I144" s="50">
        <v>373631417.69</v>
      </c>
      <c r="J144" s="50">
        <v>58244929.600000001</v>
      </c>
      <c r="K144" s="50">
        <v>598368925.29999995</v>
      </c>
      <c r="L144" s="50">
        <v>594244920.97000003</v>
      </c>
      <c r="M144" s="50">
        <v>2304821285.8099999</v>
      </c>
      <c r="N144" s="257">
        <v>1129677338.8099999</v>
      </c>
    </row>
    <row r="145" spans="1:14" s="143" customFormat="1" hidden="1" x14ac:dyDescent="0.25">
      <c r="A145" s="143" t="s">
        <v>706</v>
      </c>
      <c r="B145" s="143" t="s">
        <v>71</v>
      </c>
      <c r="C145" s="143" t="s">
        <v>72</v>
      </c>
      <c r="D145" s="143" t="s">
        <v>69</v>
      </c>
      <c r="E145" s="257">
        <v>1329087181</v>
      </c>
      <c r="F145" s="257">
        <v>1297911768</v>
      </c>
      <c r="G145" s="257">
        <v>1202043753</v>
      </c>
      <c r="H145" s="257">
        <v>0</v>
      </c>
      <c r="I145" s="257">
        <v>134709904.94999999</v>
      </c>
      <c r="J145" s="257">
        <v>0</v>
      </c>
      <c r="K145" s="257">
        <v>403165764.31999999</v>
      </c>
      <c r="L145" s="257">
        <v>403165764.31999999</v>
      </c>
      <c r="M145" s="257">
        <v>760036098.73000002</v>
      </c>
      <c r="N145" s="257">
        <v>664168083.73000002</v>
      </c>
    </row>
    <row r="146" spans="1:14" s="143" customFormat="1" hidden="1" x14ac:dyDescent="0.25">
      <c r="A146" s="143" t="s">
        <v>706</v>
      </c>
      <c r="B146" s="143" t="s">
        <v>73</v>
      </c>
      <c r="C146" s="143" t="s">
        <v>74</v>
      </c>
      <c r="D146" s="143" t="s">
        <v>69</v>
      </c>
      <c r="E146" s="257">
        <v>512821400</v>
      </c>
      <c r="F146" s="257">
        <v>495348575</v>
      </c>
      <c r="G146" s="257">
        <v>406078937</v>
      </c>
      <c r="H146" s="257">
        <v>0</v>
      </c>
      <c r="I146" s="257">
        <v>0</v>
      </c>
      <c r="J146" s="257">
        <v>0</v>
      </c>
      <c r="K146" s="257">
        <v>148745352.41999999</v>
      </c>
      <c r="L146" s="257">
        <v>148745352.41999999</v>
      </c>
      <c r="M146" s="257">
        <v>346603222.57999998</v>
      </c>
      <c r="N146" s="257">
        <v>257333584.58000001</v>
      </c>
    </row>
    <row r="147" spans="1:14" s="143" customFormat="1" hidden="1" x14ac:dyDescent="0.25">
      <c r="A147" s="143" t="s">
        <v>706</v>
      </c>
      <c r="B147" s="143" t="s">
        <v>75</v>
      </c>
      <c r="C147" s="143" t="s">
        <v>76</v>
      </c>
      <c r="D147" s="143" t="s">
        <v>69</v>
      </c>
      <c r="E147" s="257">
        <v>507821400</v>
      </c>
      <c r="F147" s="257">
        <v>494148575</v>
      </c>
      <c r="G147" s="257">
        <v>404878937</v>
      </c>
      <c r="H147" s="257">
        <v>0</v>
      </c>
      <c r="I147" s="257">
        <v>0</v>
      </c>
      <c r="J147" s="257">
        <v>0</v>
      </c>
      <c r="K147" s="257">
        <v>148745352.41999999</v>
      </c>
      <c r="L147" s="257">
        <v>148745352.41999999</v>
      </c>
      <c r="M147" s="257">
        <v>345403222.57999998</v>
      </c>
      <c r="N147" s="257">
        <v>256133584.58000001</v>
      </c>
    </row>
    <row r="148" spans="1:14" s="143" customFormat="1" hidden="1" x14ac:dyDescent="0.25">
      <c r="A148" s="143" t="s">
        <v>706</v>
      </c>
      <c r="B148" s="143" t="s">
        <v>291</v>
      </c>
      <c r="C148" s="143" t="s">
        <v>292</v>
      </c>
      <c r="D148" s="143" t="s">
        <v>69</v>
      </c>
      <c r="E148" s="257">
        <v>5000000</v>
      </c>
      <c r="F148" s="257">
        <v>1200000</v>
      </c>
      <c r="G148" s="257">
        <v>1200000</v>
      </c>
      <c r="H148" s="257">
        <v>0</v>
      </c>
      <c r="I148" s="257">
        <v>0</v>
      </c>
      <c r="J148" s="257">
        <v>0</v>
      </c>
      <c r="K148" s="257">
        <v>0</v>
      </c>
      <c r="L148" s="257">
        <v>0</v>
      </c>
      <c r="M148" s="257">
        <v>1200000</v>
      </c>
      <c r="N148" s="257">
        <v>1200000</v>
      </c>
    </row>
    <row r="149" spans="1:14" s="143" customFormat="1" hidden="1" x14ac:dyDescent="0.25">
      <c r="A149" s="143" t="s">
        <v>706</v>
      </c>
      <c r="B149" s="143" t="s">
        <v>293</v>
      </c>
      <c r="C149" s="143" t="s">
        <v>294</v>
      </c>
      <c r="D149" s="143" t="s">
        <v>69</v>
      </c>
      <c r="E149" s="257">
        <v>11000000</v>
      </c>
      <c r="F149" s="257">
        <v>11000000</v>
      </c>
      <c r="G149" s="257">
        <v>11000000</v>
      </c>
      <c r="H149" s="257">
        <v>0</v>
      </c>
      <c r="I149" s="257">
        <v>0</v>
      </c>
      <c r="J149" s="257">
        <v>0</v>
      </c>
      <c r="K149" s="257">
        <v>1612813.62</v>
      </c>
      <c r="L149" s="257">
        <v>1612813.62</v>
      </c>
      <c r="M149" s="257">
        <v>9387186.3800000008</v>
      </c>
      <c r="N149" s="257">
        <v>9387186.3800000008</v>
      </c>
    </row>
    <row r="150" spans="1:14" s="143" customFormat="1" hidden="1" x14ac:dyDescent="0.25">
      <c r="A150" s="143" t="s">
        <v>706</v>
      </c>
      <c r="B150" s="143" t="s">
        <v>295</v>
      </c>
      <c r="C150" s="143" t="s">
        <v>296</v>
      </c>
      <c r="D150" s="143" t="s">
        <v>69</v>
      </c>
      <c r="E150" s="257">
        <v>11000000</v>
      </c>
      <c r="F150" s="257">
        <v>11000000</v>
      </c>
      <c r="G150" s="257">
        <v>11000000</v>
      </c>
      <c r="H150" s="257">
        <v>0</v>
      </c>
      <c r="I150" s="257">
        <v>0</v>
      </c>
      <c r="J150" s="257">
        <v>0</v>
      </c>
      <c r="K150" s="257">
        <v>1612813.62</v>
      </c>
      <c r="L150" s="257">
        <v>1612813.62</v>
      </c>
      <c r="M150" s="257">
        <v>9387186.3800000008</v>
      </c>
      <c r="N150" s="257">
        <v>9387186.3800000008</v>
      </c>
    </row>
    <row r="151" spans="1:14" s="143" customFormat="1" hidden="1" x14ac:dyDescent="0.25">
      <c r="A151" s="143" t="s">
        <v>706</v>
      </c>
      <c r="B151" s="143" t="s">
        <v>77</v>
      </c>
      <c r="C151" s="143" t="s">
        <v>78</v>
      </c>
      <c r="D151" s="143" t="s">
        <v>69</v>
      </c>
      <c r="E151" s="257">
        <v>602518513</v>
      </c>
      <c r="F151" s="257">
        <v>593988660</v>
      </c>
      <c r="G151" s="257">
        <v>587390283</v>
      </c>
      <c r="H151" s="257">
        <v>0</v>
      </c>
      <c r="I151" s="257">
        <v>0</v>
      </c>
      <c r="J151" s="257">
        <v>0</v>
      </c>
      <c r="K151" s="257">
        <v>189942970.22999999</v>
      </c>
      <c r="L151" s="257">
        <v>189942970.22999999</v>
      </c>
      <c r="M151" s="257">
        <v>404045689.76999998</v>
      </c>
      <c r="N151" s="257">
        <v>397447312.76999998</v>
      </c>
    </row>
    <row r="152" spans="1:14" s="143" customFormat="1" hidden="1" x14ac:dyDescent="0.25">
      <c r="A152" s="143" t="s">
        <v>706</v>
      </c>
      <c r="B152" s="143" t="s">
        <v>79</v>
      </c>
      <c r="C152" s="143" t="s">
        <v>80</v>
      </c>
      <c r="D152" s="143" t="s">
        <v>69</v>
      </c>
      <c r="E152" s="257">
        <v>160994500</v>
      </c>
      <c r="F152" s="257">
        <v>160994500</v>
      </c>
      <c r="G152" s="257">
        <v>154396123</v>
      </c>
      <c r="H152" s="257">
        <v>0</v>
      </c>
      <c r="I152" s="257">
        <v>0</v>
      </c>
      <c r="J152" s="257">
        <v>0</v>
      </c>
      <c r="K152" s="257">
        <v>45120212.530000001</v>
      </c>
      <c r="L152" s="257">
        <v>45120212.530000001</v>
      </c>
      <c r="M152" s="257">
        <v>115874287.47</v>
      </c>
      <c r="N152" s="257">
        <v>109275910.47</v>
      </c>
    </row>
    <row r="153" spans="1:14" s="143" customFormat="1" hidden="1" x14ac:dyDescent="0.25">
      <c r="A153" s="143" t="s">
        <v>706</v>
      </c>
      <c r="B153" s="143" t="s">
        <v>81</v>
      </c>
      <c r="C153" s="143" t="s">
        <v>82</v>
      </c>
      <c r="D153" s="143" t="s">
        <v>69</v>
      </c>
      <c r="E153" s="257">
        <v>218799248</v>
      </c>
      <c r="F153" s="257">
        <v>212878407</v>
      </c>
      <c r="G153" s="257">
        <v>212878407</v>
      </c>
      <c r="H153" s="257">
        <v>0</v>
      </c>
      <c r="I153" s="257">
        <v>0</v>
      </c>
      <c r="J153" s="257">
        <v>0</v>
      </c>
      <c r="K153" s="257">
        <v>58434751.240000002</v>
      </c>
      <c r="L153" s="257">
        <v>58434751.240000002</v>
      </c>
      <c r="M153" s="257">
        <v>154443655.75999999</v>
      </c>
      <c r="N153" s="257">
        <v>154443655.75999999</v>
      </c>
    </row>
    <row r="154" spans="1:14" s="143" customFormat="1" hidden="1" x14ac:dyDescent="0.25">
      <c r="A154" s="143" t="s">
        <v>706</v>
      </c>
      <c r="B154" s="143" t="s">
        <v>83</v>
      </c>
      <c r="C154" s="143" t="s">
        <v>84</v>
      </c>
      <c r="D154" s="143" t="s">
        <v>85</v>
      </c>
      <c r="E154" s="257">
        <v>86609465</v>
      </c>
      <c r="F154" s="257">
        <v>84394818</v>
      </c>
      <c r="G154" s="257">
        <v>84394818</v>
      </c>
      <c r="H154" s="257">
        <v>0</v>
      </c>
      <c r="I154" s="257">
        <v>0</v>
      </c>
      <c r="J154" s="257">
        <v>0</v>
      </c>
      <c r="K154" s="257">
        <v>0</v>
      </c>
      <c r="L154" s="257">
        <v>0</v>
      </c>
      <c r="M154" s="257">
        <v>84394818</v>
      </c>
      <c r="N154" s="257">
        <v>84394818</v>
      </c>
    </row>
    <row r="155" spans="1:14" s="143" customFormat="1" hidden="1" x14ac:dyDescent="0.25">
      <c r="A155" s="143" t="s">
        <v>706</v>
      </c>
      <c r="B155" s="143" t="s">
        <v>86</v>
      </c>
      <c r="C155" s="143" t="s">
        <v>87</v>
      </c>
      <c r="D155" s="143" t="s">
        <v>69</v>
      </c>
      <c r="E155" s="257">
        <v>79437600</v>
      </c>
      <c r="F155" s="257">
        <v>79437600</v>
      </c>
      <c r="G155" s="257">
        <v>79437600</v>
      </c>
      <c r="H155" s="257">
        <v>0</v>
      </c>
      <c r="I155" s="257">
        <v>0</v>
      </c>
      <c r="J155" s="257">
        <v>0</v>
      </c>
      <c r="K155" s="257">
        <v>70505091.120000005</v>
      </c>
      <c r="L155" s="257">
        <v>70505091.120000005</v>
      </c>
      <c r="M155" s="257">
        <v>8932508.8800000008</v>
      </c>
      <c r="N155" s="257">
        <v>8932508.8800000008</v>
      </c>
    </row>
    <row r="156" spans="1:14" s="143" customFormat="1" hidden="1" x14ac:dyDescent="0.25">
      <c r="A156" s="143" t="s">
        <v>706</v>
      </c>
      <c r="B156" s="143" t="s">
        <v>88</v>
      </c>
      <c r="C156" s="143" t="s">
        <v>89</v>
      </c>
      <c r="D156" s="143" t="s">
        <v>69</v>
      </c>
      <c r="E156" s="257">
        <v>56677700</v>
      </c>
      <c r="F156" s="257">
        <v>56283335</v>
      </c>
      <c r="G156" s="257">
        <v>56283335</v>
      </c>
      <c r="H156" s="257">
        <v>0</v>
      </c>
      <c r="I156" s="257">
        <v>0</v>
      </c>
      <c r="J156" s="257">
        <v>0</v>
      </c>
      <c r="K156" s="257">
        <v>15882915.34</v>
      </c>
      <c r="L156" s="257">
        <v>15882915.34</v>
      </c>
      <c r="M156" s="257">
        <v>40400419.659999996</v>
      </c>
      <c r="N156" s="257">
        <v>40400419.659999996</v>
      </c>
    </row>
    <row r="157" spans="1:14" s="143" customFormat="1" hidden="1" x14ac:dyDescent="0.25">
      <c r="A157" s="143" t="s">
        <v>706</v>
      </c>
      <c r="B157" s="143" t="s">
        <v>90</v>
      </c>
      <c r="C157" s="143" t="s">
        <v>91</v>
      </c>
      <c r="D157" s="143" t="s">
        <v>69</v>
      </c>
      <c r="E157" s="257">
        <v>101373634</v>
      </c>
      <c r="F157" s="257">
        <v>98787266</v>
      </c>
      <c r="G157" s="257">
        <v>98787266</v>
      </c>
      <c r="H157" s="257">
        <v>0</v>
      </c>
      <c r="I157" s="257">
        <v>67045082.020000003</v>
      </c>
      <c r="J157" s="257">
        <v>0</v>
      </c>
      <c r="K157" s="257">
        <v>31742183.98</v>
      </c>
      <c r="L157" s="257">
        <v>31742183.98</v>
      </c>
      <c r="M157" s="257">
        <v>0</v>
      </c>
      <c r="N157" s="257">
        <v>0</v>
      </c>
    </row>
    <row r="158" spans="1:14" s="143" customFormat="1" hidden="1" x14ac:dyDescent="0.25">
      <c r="A158" s="143" t="s">
        <v>706</v>
      </c>
      <c r="B158" s="143" t="s">
        <v>419</v>
      </c>
      <c r="C158" s="143" t="s">
        <v>697</v>
      </c>
      <c r="D158" s="143" t="s">
        <v>69</v>
      </c>
      <c r="E158" s="257">
        <v>96175035</v>
      </c>
      <c r="F158" s="257">
        <v>93721300</v>
      </c>
      <c r="G158" s="257">
        <v>93721300</v>
      </c>
      <c r="H158" s="257">
        <v>0</v>
      </c>
      <c r="I158" s="257">
        <v>63606835.049999997</v>
      </c>
      <c r="J158" s="257">
        <v>0</v>
      </c>
      <c r="K158" s="257">
        <v>30114464.949999999</v>
      </c>
      <c r="L158" s="257">
        <v>30114464.949999999</v>
      </c>
      <c r="M158" s="257">
        <v>0</v>
      </c>
      <c r="N158" s="257">
        <v>0</v>
      </c>
    </row>
    <row r="159" spans="1:14" s="143" customFormat="1" hidden="1" x14ac:dyDescent="0.25">
      <c r="A159" s="143" t="s">
        <v>706</v>
      </c>
      <c r="B159" s="143" t="s">
        <v>436</v>
      </c>
      <c r="C159" s="143" t="s">
        <v>95</v>
      </c>
      <c r="D159" s="143" t="s">
        <v>69</v>
      </c>
      <c r="E159" s="257">
        <v>5198599</v>
      </c>
      <c r="F159" s="257">
        <v>5065966</v>
      </c>
      <c r="G159" s="257">
        <v>5065966</v>
      </c>
      <c r="H159" s="257">
        <v>0</v>
      </c>
      <c r="I159" s="257">
        <v>3438246.97</v>
      </c>
      <c r="J159" s="257">
        <v>0</v>
      </c>
      <c r="K159" s="257">
        <v>1627719.03</v>
      </c>
      <c r="L159" s="257">
        <v>1627719.03</v>
      </c>
      <c r="M159" s="257">
        <v>0</v>
      </c>
      <c r="N159" s="257">
        <v>0</v>
      </c>
    </row>
    <row r="160" spans="1:14" s="143" customFormat="1" hidden="1" x14ac:dyDescent="0.25">
      <c r="A160" s="143" t="s">
        <v>706</v>
      </c>
      <c r="B160" s="143" t="s">
        <v>96</v>
      </c>
      <c r="C160" s="143" t="s">
        <v>97</v>
      </c>
      <c r="D160" s="143" t="s">
        <v>69</v>
      </c>
      <c r="E160" s="257">
        <v>101373634</v>
      </c>
      <c r="F160" s="257">
        <v>98787267</v>
      </c>
      <c r="G160" s="257">
        <v>98787267</v>
      </c>
      <c r="H160" s="257">
        <v>0</v>
      </c>
      <c r="I160" s="257">
        <v>67664822.930000007</v>
      </c>
      <c r="J160" s="257">
        <v>0</v>
      </c>
      <c r="K160" s="257">
        <v>31122444.07</v>
      </c>
      <c r="L160" s="257">
        <v>31122444.07</v>
      </c>
      <c r="M160" s="257">
        <v>0</v>
      </c>
      <c r="N160" s="257">
        <v>0</v>
      </c>
    </row>
    <row r="161" spans="1:14" s="143" customFormat="1" hidden="1" x14ac:dyDescent="0.25">
      <c r="A161" s="143" t="s">
        <v>706</v>
      </c>
      <c r="B161" s="143" t="s">
        <v>454</v>
      </c>
      <c r="C161" s="143" t="s">
        <v>698</v>
      </c>
      <c r="D161" s="143" t="s">
        <v>69</v>
      </c>
      <c r="E161" s="257">
        <v>54585842</v>
      </c>
      <c r="F161" s="257">
        <v>53193182</v>
      </c>
      <c r="G161" s="257">
        <v>53193182</v>
      </c>
      <c r="H161" s="257">
        <v>0</v>
      </c>
      <c r="I161" s="257">
        <v>36720240.890000001</v>
      </c>
      <c r="J161" s="257">
        <v>0</v>
      </c>
      <c r="K161" s="257">
        <v>16472941.109999999</v>
      </c>
      <c r="L161" s="257">
        <v>16472941.109999999</v>
      </c>
      <c r="M161" s="257">
        <v>0</v>
      </c>
      <c r="N161" s="257">
        <v>0</v>
      </c>
    </row>
    <row r="162" spans="1:14" s="143" customFormat="1" hidden="1" x14ac:dyDescent="0.25">
      <c r="A162" s="143" t="s">
        <v>706</v>
      </c>
      <c r="B162" s="143" t="s">
        <v>471</v>
      </c>
      <c r="C162" s="143" t="s">
        <v>699</v>
      </c>
      <c r="D162" s="143" t="s">
        <v>69</v>
      </c>
      <c r="E162" s="257">
        <v>15595897</v>
      </c>
      <c r="F162" s="257">
        <v>15197995</v>
      </c>
      <c r="G162" s="257">
        <v>15197995</v>
      </c>
      <c r="H162" s="257">
        <v>0</v>
      </c>
      <c r="I162" s="257">
        <v>10314823.08</v>
      </c>
      <c r="J162" s="257">
        <v>0</v>
      </c>
      <c r="K162" s="257">
        <v>4883171.92</v>
      </c>
      <c r="L162" s="257">
        <v>4883171.92</v>
      </c>
      <c r="M162" s="257">
        <v>0</v>
      </c>
      <c r="N162" s="257">
        <v>0</v>
      </c>
    </row>
    <row r="163" spans="1:14" s="143" customFormat="1" hidden="1" x14ac:dyDescent="0.25">
      <c r="A163" s="143" t="s">
        <v>706</v>
      </c>
      <c r="B163" s="143" t="s">
        <v>488</v>
      </c>
      <c r="C163" s="143" t="s">
        <v>700</v>
      </c>
      <c r="D163" s="143" t="s">
        <v>69</v>
      </c>
      <c r="E163" s="257">
        <v>31191895</v>
      </c>
      <c r="F163" s="257">
        <v>30396090</v>
      </c>
      <c r="G163" s="257">
        <v>30396090</v>
      </c>
      <c r="H163" s="257">
        <v>0</v>
      </c>
      <c r="I163" s="257">
        <v>20629758.960000001</v>
      </c>
      <c r="J163" s="257">
        <v>0</v>
      </c>
      <c r="K163" s="257">
        <v>9766331.0399999991</v>
      </c>
      <c r="L163" s="257">
        <v>9766331.0399999991</v>
      </c>
      <c r="M163" s="257">
        <v>0</v>
      </c>
      <c r="N163" s="257">
        <v>0</v>
      </c>
    </row>
    <row r="164" spans="1:14" s="143" customFormat="1" hidden="1" x14ac:dyDescent="0.25">
      <c r="A164" s="143" t="s">
        <v>706</v>
      </c>
      <c r="B164" s="143" t="s">
        <v>104</v>
      </c>
      <c r="C164" s="143" t="s">
        <v>105</v>
      </c>
      <c r="D164" s="143" t="s">
        <v>69</v>
      </c>
      <c r="E164" s="257">
        <v>1188545520</v>
      </c>
      <c r="F164" s="257">
        <v>1188545520</v>
      </c>
      <c r="G164" s="257">
        <v>622821378</v>
      </c>
      <c r="H164" s="257">
        <v>0</v>
      </c>
      <c r="I164" s="257">
        <v>217750726.15000001</v>
      </c>
      <c r="J164" s="257">
        <v>57398929.600000001</v>
      </c>
      <c r="K164" s="257">
        <v>183340838.08000001</v>
      </c>
      <c r="L164" s="257">
        <v>179291413.75</v>
      </c>
      <c r="M164" s="257">
        <v>730055026.16999996</v>
      </c>
      <c r="N164" s="257">
        <v>164330884.16999999</v>
      </c>
    </row>
    <row r="165" spans="1:14" s="143" customFormat="1" hidden="1" x14ac:dyDescent="0.25">
      <c r="A165" s="143" t="s">
        <v>706</v>
      </c>
      <c r="B165" s="143" t="s">
        <v>106</v>
      </c>
      <c r="C165" s="143" t="s">
        <v>107</v>
      </c>
      <c r="D165" s="143" t="s">
        <v>69</v>
      </c>
      <c r="E165" s="257">
        <v>411755980</v>
      </c>
      <c r="F165" s="257">
        <v>409405497.89999998</v>
      </c>
      <c r="G165" s="257">
        <v>220538507.90000001</v>
      </c>
      <c r="H165" s="257">
        <v>0</v>
      </c>
      <c r="I165" s="257">
        <v>64258261.75</v>
      </c>
      <c r="J165" s="257">
        <v>32923567.460000001</v>
      </c>
      <c r="K165" s="257">
        <v>65984154.409999996</v>
      </c>
      <c r="L165" s="257">
        <v>64225642.759999998</v>
      </c>
      <c r="M165" s="257">
        <v>246239514.28</v>
      </c>
      <c r="N165" s="257">
        <v>57372524.280000001</v>
      </c>
    </row>
    <row r="166" spans="1:14" s="143" customFormat="1" hidden="1" x14ac:dyDescent="0.25">
      <c r="A166" s="143" t="s">
        <v>706</v>
      </c>
      <c r="B166" s="143" t="s">
        <v>280</v>
      </c>
      <c r="C166" s="143" t="s">
        <v>281</v>
      </c>
      <c r="D166" s="143" t="s">
        <v>69</v>
      </c>
      <c r="E166" s="257">
        <v>168555500</v>
      </c>
      <c r="F166" s="257">
        <v>168555500</v>
      </c>
      <c r="G166" s="257">
        <v>101077750</v>
      </c>
      <c r="H166" s="257">
        <v>0</v>
      </c>
      <c r="I166" s="257">
        <v>28475673.07</v>
      </c>
      <c r="J166" s="257">
        <v>17828171.600000001</v>
      </c>
      <c r="K166" s="257">
        <v>46278844.670000002</v>
      </c>
      <c r="L166" s="257">
        <v>44520333.020000003</v>
      </c>
      <c r="M166" s="257">
        <v>75972810.659999996</v>
      </c>
      <c r="N166" s="257">
        <v>8495060.6600000001</v>
      </c>
    </row>
    <row r="167" spans="1:14" s="143" customFormat="1" hidden="1" x14ac:dyDescent="0.25">
      <c r="A167" s="143" t="s">
        <v>706</v>
      </c>
      <c r="B167" s="143" t="s">
        <v>302</v>
      </c>
      <c r="C167" s="143" t="s">
        <v>303</v>
      </c>
      <c r="D167" s="143" t="s">
        <v>69</v>
      </c>
      <c r="E167" s="257">
        <v>3869560</v>
      </c>
      <c r="F167" s="257">
        <v>3869560</v>
      </c>
      <c r="G167" s="257">
        <v>1934780</v>
      </c>
      <c r="H167" s="257">
        <v>0</v>
      </c>
      <c r="I167" s="257">
        <v>282862.88</v>
      </c>
      <c r="J167" s="257">
        <v>495560.08</v>
      </c>
      <c r="K167" s="257">
        <v>0</v>
      </c>
      <c r="L167" s="257">
        <v>0</v>
      </c>
      <c r="M167" s="257">
        <v>3091137.04</v>
      </c>
      <c r="N167" s="257">
        <v>1156357.04</v>
      </c>
    </row>
    <row r="168" spans="1:14" s="143" customFormat="1" hidden="1" x14ac:dyDescent="0.25">
      <c r="A168" s="143" t="s">
        <v>706</v>
      </c>
      <c r="B168" s="143" t="s">
        <v>108</v>
      </c>
      <c r="C168" s="143" t="s">
        <v>109</v>
      </c>
      <c r="D168" s="143" t="s">
        <v>69</v>
      </c>
      <c r="E168" s="257">
        <v>194561670</v>
      </c>
      <c r="F168" s="257">
        <v>189561670</v>
      </c>
      <c r="G168" s="257">
        <v>92280835</v>
      </c>
      <c r="H168" s="257">
        <v>0</v>
      </c>
      <c r="I168" s="257">
        <v>26505747.57</v>
      </c>
      <c r="J168" s="257">
        <v>11940092.380000001</v>
      </c>
      <c r="K168" s="257">
        <v>14476785.16</v>
      </c>
      <c r="L168" s="257">
        <v>14476785.16</v>
      </c>
      <c r="M168" s="257">
        <v>136639044.88999999</v>
      </c>
      <c r="N168" s="257">
        <v>39358209.890000001</v>
      </c>
    </row>
    <row r="169" spans="1:14" s="143" customFormat="1" hidden="1" x14ac:dyDescent="0.25">
      <c r="A169" s="143" t="s">
        <v>706</v>
      </c>
      <c r="B169" s="143" t="s">
        <v>304</v>
      </c>
      <c r="C169" s="143" t="s">
        <v>305</v>
      </c>
      <c r="D169" s="143" t="s">
        <v>69</v>
      </c>
      <c r="E169" s="257">
        <v>1649720</v>
      </c>
      <c r="F169" s="257">
        <v>1799237.9</v>
      </c>
      <c r="G169" s="257">
        <v>1185377.8999999999</v>
      </c>
      <c r="H169" s="257">
        <v>0</v>
      </c>
      <c r="I169" s="257">
        <v>499766.61</v>
      </c>
      <c r="J169" s="257">
        <v>274428.05</v>
      </c>
      <c r="K169" s="257">
        <v>287358.44</v>
      </c>
      <c r="L169" s="257">
        <v>287358.44</v>
      </c>
      <c r="M169" s="257">
        <v>737684.8</v>
      </c>
      <c r="N169" s="257">
        <v>123824.8</v>
      </c>
    </row>
    <row r="170" spans="1:14" s="143" customFormat="1" hidden="1" x14ac:dyDescent="0.25">
      <c r="A170" s="143" t="s">
        <v>706</v>
      </c>
      <c r="B170" s="143" t="s">
        <v>110</v>
      </c>
      <c r="C170" s="143" t="s">
        <v>111</v>
      </c>
      <c r="D170" s="143" t="s">
        <v>69</v>
      </c>
      <c r="E170" s="257">
        <v>43119530</v>
      </c>
      <c r="F170" s="257">
        <v>45619530</v>
      </c>
      <c r="G170" s="257">
        <v>24059765</v>
      </c>
      <c r="H170" s="257">
        <v>0</v>
      </c>
      <c r="I170" s="257">
        <v>8494211.6199999992</v>
      </c>
      <c r="J170" s="257">
        <v>2385315.35</v>
      </c>
      <c r="K170" s="257">
        <v>4941166.1399999997</v>
      </c>
      <c r="L170" s="257">
        <v>4941166.1399999997</v>
      </c>
      <c r="M170" s="257">
        <v>29798836.890000001</v>
      </c>
      <c r="N170" s="257">
        <v>8239071.8899999997</v>
      </c>
    </row>
    <row r="171" spans="1:14" s="143" customFormat="1" hidden="1" x14ac:dyDescent="0.25">
      <c r="A171" s="143" t="s">
        <v>706</v>
      </c>
      <c r="B171" s="143" t="s">
        <v>112</v>
      </c>
      <c r="C171" s="143" t="s">
        <v>113</v>
      </c>
      <c r="D171" s="143" t="s">
        <v>69</v>
      </c>
      <c r="E171" s="257">
        <v>114662680</v>
      </c>
      <c r="F171" s="257">
        <v>114662680</v>
      </c>
      <c r="G171" s="257">
        <v>57331340</v>
      </c>
      <c r="H171" s="257">
        <v>0</v>
      </c>
      <c r="I171" s="257">
        <v>22446853.16</v>
      </c>
      <c r="J171" s="257">
        <v>269623.01</v>
      </c>
      <c r="K171" s="257">
        <v>15777667</v>
      </c>
      <c r="L171" s="257">
        <v>15584120.6</v>
      </c>
      <c r="M171" s="257">
        <v>76168536.829999998</v>
      </c>
      <c r="N171" s="257">
        <v>18837196.829999998</v>
      </c>
    </row>
    <row r="172" spans="1:14" s="143" customFormat="1" hidden="1" x14ac:dyDescent="0.25">
      <c r="A172" s="143" t="s">
        <v>706</v>
      </c>
      <c r="B172" s="143" t="s">
        <v>114</v>
      </c>
      <c r="C172" s="143" t="s">
        <v>115</v>
      </c>
      <c r="D172" s="143" t="s">
        <v>69</v>
      </c>
      <c r="E172" s="257">
        <v>19200000</v>
      </c>
      <c r="F172" s="257">
        <v>19200000</v>
      </c>
      <c r="G172" s="257">
        <v>9600000</v>
      </c>
      <c r="H172" s="257">
        <v>0</v>
      </c>
      <c r="I172" s="257">
        <v>2906707.01</v>
      </c>
      <c r="J172" s="257">
        <v>0</v>
      </c>
      <c r="K172" s="257">
        <v>1858214</v>
      </c>
      <c r="L172" s="257">
        <v>1858214</v>
      </c>
      <c r="M172" s="257">
        <v>14435078.99</v>
      </c>
      <c r="N172" s="257">
        <v>4835078.99</v>
      </c>
    </row>
    <row r="173" spans="1:14" s="143" customFormat="1" hidden="1" x14ac:dyDescent="0.25">
      <c r="A173" s="143" t="s">
        <v>706</v>
      </c>
      <c r="B173" s="143" t="s">
        <v>116</v>
      </c>
      <c r="C173" s="143" t="s">
        <v>117</v>
      </c>
      <c r="D173" s="143" t="s">
        <v>69</v>
      </c>
      <c r="E173" s="257">
        <v>37800000</v>
      </c>
      <c r="F173" s="257">
        <v>37800000</v>
      </c>
      <c r="G173" s="257">
        <v>18900000</v>
      </c>
      <c r="H173" s="257">
        <v>0</v>
      </c>
      <c r="I173" s="257">
        <v>9192128.0500000007</v>
      </c>
      <c r="J173" s="257">
        <v>0</v>
      </c>
      <c r="K173" s="257">
        <v>7091176.9500000002</v>
      </c>
      <c r="L173" s="257">
        <v>7091176.9500000002</v>
      </c>
      <c r="M173" s="257">
        <v>21516695</v>
      </c>
      <c r="N173" s="257">
        <v>2616695</v>
      </c>
    </row>
    <row r="174" spans="1:14" s="143" customFormat="1" hidden="1" x14ac:dyDescent="0.25">
      <c r="A174" s="143" t="s">
        <v>706</v>
      </c>
      <c r="B174" s="143" t="s">
        <v>118</v>
      </c>
      <c r="C174" s="143" t="s">
        <v>119</v>
      </c>
      <c r="D174" s="143" t="s">
        <v>69</v>
      </c>
      <c r="E174" s="257">
        <v>7200000</v>
      </c>
      <c r="F174" s="257">
        <v>7200000</v>
      </c>
      <c r="G174" s="257">
        <v>3600000</v>
      </c>
      <c r="H174" s="257">
        <v>0</v>
      </c>
      <c r="I174" s="257">
        <v>524133.6</v>
      </c>
      <c r="J174" s="257">
        <v>0</v>
      </c>
      <c r="K174" s="257">
        <v>668456.4</v>
      </c>
      <c r="L174" s="257">
        <v>474910</v>
      </c>
      <c r="M174" s="257">
        <v>6007410</v>
      </c>
      <c r="N174" s="257">
        <v>2407410</v>
      </c>
    </row>
    <row r="175" spans="1:14" s="143" customFormat="1" hidden="1" x14ac:dyDescent="0.25">
      <c r="A175" s="143" t="s">
        <v>706</v>
      </c>
      <c r="B175" s="143" t="s">
        <v>120</v>
      </c>
      <c r="C175" s="143" t="s">
        <v>121</v>
      </c>
      <c r="D175" s="143" t="s">
        <v>69</v>
      </c>
      <c r="E175" s="257">
        <v>45662680</v>
      </c>
      <c r="F175" s="257">
        <v>45662680</v>
      </c>
      <c r="G175" s="257">
        <v>22831340</v>
      </c>
      <c r="H175" s="257">
        <v>0</v>
      </c>
      <c r="I175" s="257">
        <v>9823884.5</v>
      </c>
      <c r="J175" s="257">
        <v>269623.01</v>
      </c>
      <c r="K175" s="257">
        <v>5714718.7999999998</v>
      </c>
      <c r="L175" s="257">
        <v>5714718.7999999998</v>
      </c>
      <c r="M175" s="257">
        <v>29854453.690000001</v>
      </c>
      <c r="N175" s="257">
        <v>7023113.6900000004</v>
      </c>
    </row>
    <row r="176" spans="1:14" s="143" customFormat="1" hidden="1" x14ac:dyDescent="0.25">
      <c r="A176" s="143" t="s">
        <v>706</v>
      </c>
      <c r="B176" s="143" t="s">
        <v>122</v>
      </c>
      <c r="C176" s="143" t="s">
        <v>123</v>
      </c>
      <c r="D176" s="143" t="s">
        <v>69</v>
      </c>
      <c r="E176" s="257">
        <v>4800000</v>
      </c>
      <c r="F176" s="257">
        <v>4800000</v>
      </c>
      <c r="G176" s="257">
        <v>2400000</v>
      </c>
      <c r="H176" s="257">
        <v>0</v>
      </c>
      <c r="I176" s="257">
        <v>0</v>
      </c>
      <c r="J176" s="257">
        <v>0</v>
      </c>
      <c r="K176" s="257">
        <v>445100.85</v>
      </c>
      <c r="L176" s="257">
        <v>445100.85</v>
      </c>
      <c r="M176" s="257">
        <v>4354899.1500000004</v>
      </c>
      <c r="N176" s="257">
        <v>1954899.15</v>
      </c>
    </row>
    <row r="177" spans="1:14" s="143" customFormat="1" hidden="1" x14ac:dyDescent="0.25">
      <c r="A177" s="143" t="s">
        <v>706</v>
      </c>
      <c r="B177" s="143" t="s">
        <v>124</v>
      </c>
      <c r="C177" s="143" t="s">
        <v>125</v>
      </c>
      <c r="D177" s="143" t="s">
        <v>69</v>
      </c>
      <c r="E177" s="257">
        <v>5424230</v>
      </c>
      <c r="F177" s="257">
        <v>6924230</v>
      </c>
      <c r="G177" s="257">
        <v>4524666</v>
      </c>
      <c r="H177" s="257">
        <v>0</v>
      </c>
      <c r="I177" s="257">
        <v>516953.98</v>
      </c>
      <c r="J177" s="257">
        <v>0</v>
      </c>
      <c r="K177" s="257">
        <v>364183.52</v>
      </c>
      <c r="L177" s="257">
        <v>256178.12</v>
      </c>
      <c r="M177" s="257">
        <v>6043092.5</v>
      </c>
      <c r="N177" s="257">
        <v>3643528.5</v>
      </c>
    </row>
    <row r="178" spans="1:14" s="143" customFormat="1" hidden="1" x14ac:dyDescent="0.25">
      <c r="A178" s="143" t="s">
        <v>706</v>
      </c>
      <c r="B178" s="143" t="s">
        <v>126</v>
      </c>
      <c r="C178" s="143" t="s">
        <v>127</v>
      </c>
      <c r="D178" s="143" t="s">
        <v>69</v>
      </c>
      <c r="E178" s="257">
        <v>500000</v>
      </c>
      <c r="F178" s="257">
        <v>2000000</v>
      </c>
      <c r="G178" s="257">
        <v>1993500</v>
      </c>
      <c r="H178" s="257">
        <v>0</v>
      </c>
      <c r="I178" s="257">
        <v>140842.92000000001</v>
      </c>
      <c r="J178" s="257">
        <v>0</v>
      </c>
      <c r="K178" s="257">
        <v>218535.4</v>
      </c>
      <c r="L178" s="257">
        <v>110530</v>
      </c>
      <c r="M178" s="257">
        <v>1640621.68</v>
      </c>
      <c r="N178" s="257">
        <v>1634121.68</v>
      </c>
    </row>
    <row r="179" spans="1:14" s="143" customFormat="1" hidden="1" x14ac:dyDescent="0.25">
      <c r="A179" s="143" t="s">
        <v>706</v>
      </c>
      <c r="B179" s="143" t="s">
        <v>128</v>
      </c>
      <c r="C179" s="143" t="s">
        <v>129</v>
      </c>
      <c r="D179" s="143" t="s">
        <v>69</v>
      </c>
      <c r="E179" s="257">
        <v>1000000</v>
      </c>
      <c r="F179" s="257">
        <v>1000000</v>
      </c>
      <c r="G179" s="257">
        <v>500000</v>
      </c>
      <c r="H179" s="257">
        <v>0</v>
      </c>
      <c r="I179" s="257">
        <v>95600</v>
      </c>
      <c r="J179" s="257">
        <v>0</v>
      </c>
      <c r="K179" s="257">
        <v>12015</v>
      </c>
      <c r="L179" s="257">
        <v>12015</v>
      </c>
      <c r="M179" s="257">
        <v>892385</v>
      </c>
      <c r="N179" s="257">
        <v>392385</v>
      </c>
    </row>
    <row r="180" spans="1:14" s="143" customFormat="1" hidden="1" x14ac:dyDescent="0.25">
      <c r="A180" s="143" t="s">
        <v>706</v>
      </c>
      <c r="B180" s="143" t="s">
        <v>130</v>
      </c>
      <c r="C180" s="143" t="s">
        <v>131</v>
      </c>
      <c r="D180" s="143" t="s">
        <v>69</v>
      </c>
      <c r="E180" s="257">
        <v>138100</v>
      </c>
      <c r="F180" s="257">
        <v>138100</v>
      </c>
      <c r="G180" s="257">
        <v>138100</v>
      </c>
      <c r="H180" s="257">
        <v>0</v>
      </c>
      <c r="I180" s="257">
        <v>91217.63</v>
      </c>
      <c r="J180" s="257">
        <v>0</v>
      </c>
      <c r="K180" s="257">
        <v>23297.21</v>
      </c>
      <c r="L180" s="257">
        <v>23297.21</v>
      </c>
      <c r="M180" s="257">
        <v>23585.16</v>
      </c>
      <c r="N180" s="257">
        <v>23585.16</v>
      </c>
    </row>
    <row r="181" spans="1:14" s="143" customFormat="1" hidden="1" x14ac:dyDescent="0.25">
      <c r="A181" s="143" t="s">
        <v>706</v>
      </c>
      <c r="B181" s="143" t="s">
        <v>132</v>
      </c>
      <c r="C181" s="143" t="s">
        <v>133</v>
      </c>
      <c r="D181" s="143" t="s">
        <v>69</v>
      </c>
      <c r="E181" s="257">
        <v>3786130</v>
      </c>
      <c r="F181" s="257">
        <v>3786130</v>
      </c>
      <c r="G181" s="257">
        <v>1893066</v>
      </c>
      <c r="H181" s="257">
        <v>0</v>
      </c>
      <c r="I181" s="257">
        <v>189293.43</v>
      </c>
      <c r="J181" s="257">
        <v>0</v>
      </c>
      <c r="K181" s="257">
        <v>110335.91</v>
      </c>
      <c r="L181" s="257">
        <v>110335.91</v>
      </c>
      <c r="M181" s="257">
        <v>3486500.66</v>
      </c>
      <c r="N181" s="257">
        <v>1593436.66</v>
      </c>
    </row>
    <row r="182" spans="1:14" s="143" customFormat="1" hidden="1" x14ac:dyDescent="0.25">
      <c r="A182" s="143" t="s">
        <v>706</v>
      </c>
      <c r="B182" s="143" t="s">
        <v>134</v>
      </c>
      <c r="C182" s="143" t="s">
        <v>135</v>
      </c>
      <c r="D182" s="143" t="s">
        <v>69</v>
      </c>
      <c r="E182" s="257">
        <v>385113260</v>
      </c>
      <c r="F182" s="257">
        <v>386113260</v>
      </c>
      <c r="G182" s="257">
        <v>214256630</v>
      </c>
      <c r="H182" s="257">
        <v>0</v>
      </c>
      <c r="I182" s="257">
        <v>101577709.34999999</v>
      </c>
      <c r="J182" s="257">
        <v>23004427.879999999</v>
      </c>
      <c r="K182" s="257">
        <v>77831067.310000002</v>
      </c>
      <c r="L182" s="257">
        <v>75901506.430000007</v>
      </c>
      <c r="M182" s="257">
        <v>183700055.46000001</v>
      </c>
      <c r="N182" s="257">
        <v>11843425.460000001</v>
      </c>
    </row>
    <row r="183" spans="1:14" s="143" customFormat="1" hidden="1" x14ac:dyDescent="0.25">
      <c r="A183" s="143" t="s">
        <v>706</v>
      </c>
      <c r="B183" s="143" t="s">
        <v>306</v>
      </c>
      <c r="C183" s="143" t="s">
        <v>307</v>
      </c>
      <c r="D183" s="143" t="s">
        <v>69</v>
      </c>
      <c r="E183" s="257">
        <v>2000000</v>
      </c>
      <c r="F183" s="257">
        <v>2000000</v>
      </c>
      <c r="G183" s="257">
        <v>1000000</v>
      </c>
      <c r="H183" s="257">
        <v>0</v>
      </c>
      <c r="I183" s="257">
        <v>0</v>
      </c>
      <c r="J183" s="257">
        <v>0</v>
      </c>
      <c r="K183" s="257">
        <v>0</v>
      </c>
      <c r="L183" s="257">
        <v>0</v>
      </c>
      <c r="M183" s="257">
        <v>2000000</v>
      </c>
      <c r="N183" s="257">
        <v>1000000</v>
      </c>
    </row>
    <row r="184" spans="1:14" s="143" customFormat="1" hidden="1" x14ac:dyDescent="0.25">
      <c r="A184" s="143" t="s">
        <v>706</v>
      </c>
      <c r="B184" s="143" t="s">
        <v>136</v>
      </c>
      <c r="C184" s="143" t="s">
        <v>137</v>
      </c>
      <c r="D184" s="143" t="s">
        <v>69</v>
      </c>
      <c r="E184" s="257">
        <v>373281100</v>
      </c>
      <c r="F184" s="257">
        <v>373281100</v>
      </c>
      <c r="G184" s="257">
        <v>203240550</v>
      </c>
      <c r="H184" s="257">
        <v>0</v>
      </c>
      <c r="I184" s="257">
        <v>96848216.489999995</v>
      </c>
      <c r="J184" s="257">
        <v>23004427.879999999</v>
      </c>
      <c r="K184" s="257">
        <v>74147224.709999993</v>
      </c>
      <c r="L184" s="257">
        <v>72217663.829999998</v>
      </c>
      <c r="M184" s="257">
        <v>179281230.91999999</v>
      </c>
      <c r="N184" s="257">
        <v>9240680.9199999999</v>
      </c>
    </row>
    <row r="185" spans="1:14" s="143" customFormat="1" hidden="1" x14ac:dyDescent="0.25">
      <c r="A185" s="143" t="s">
        <v>706</v>
      </c>
      <c r="B185" s="143" t="s">
        <v>138</v>
      </c>
      <c r="C185" s="143" t="s">
        <v>139</v>
      </c>
      <c r="D185" s="143" t="s">
        <v>69</v>
      </c>
      <c r="E185" s="257">
        <v>9832160</v>
      </c>
      <c r="F185" s="257">
        <v>10832160</v>
      </c>
      <c r="G185" s="257">
        <v>10016080</v>
      </c>
      <c r="H185" s="257">
        <v>0</v>
      </c>
      <c r="I185" s="257">
        <v>4729492.8600000003</v>
      </c>
      <c r="J185" s="257">
        <v>0</v>
      </c>
      <c r="K185" s="257">
        <v>3683842.6</v>
      </c>
      <c r="L185" s="257">
        <v>3683842.6</v>
      </c>
      <c r="M185" s="257">
        <v>2418824.54</v>
      </c>
      <c r="N185" s="257">
        <v>1602744.54</v>
      </c>
    </row>
    <row r="186" spans="1:14" s="143" customFormat="1" hidden="1" x14ac:dyDescent="0.25">
      <c r="A186" s="143" t="s">
        <v>706</v>
      </c>
      <c r="B186" s="143" t="s">
        <v>140</v>
      </c>
      <c r="C186" s="143" t="s">
        <v>141</v>
      </c>
      <c r="D186" s="143" t="s">
        <v>69</v>
      </c>
      <c r="E186" s="257">
        <v>35800000</v>
      </c>
      <c r="F186" s="257">
        <v>35800000</v>
      </c>
      <c r="G186" s="257">
        <v>20921616</v>
      </c>
      <c r="H186" s="257">
        <v>0</v>
      </c>
      <c r="I186" s="257">
        <v>5680588.2699999996</v>
      </c>
      <c r="J186" s="257">
        <v>0</v>
      </c>
      <c r="K186" s="257">
        <v>4462611.7300000004</v>
      </c>
      <c r="L186" s="257">
        <v>4402811.7300000004</v>
      </c>
      <c r="M186" s="257">
        <v>25656800</v>
      </c>
      <c r="N186" s="257">
        <v>10778416</v>
      </c>
    </row>
    <row r="187" spans="1:14" s="143" customFormat="1" hidden="1" x14ac:dyDescent="0.25">
      <c r="A187" s="143" t="s">
        <v>706</v>
      </c>
      <c r="B187" s="143" t="s">
        <v>142</v>
      </c>
      <c r="C187" s="143" t="s">
        <v>143</v>
      </c>
      <c r="D187" s="143" t="s">
        <v>69</v>
      </c>
      <c r="E187" s="257">
        <v>1800000</v>
      </c>
      <c r="F187" s="257">
        <v>1800000</v>
      </c>
      <c r="G187" s="257">
        <v>1262575</v>
      </c>
      <c r="H187" s="257">
        <v>0</v>
      </c>
      <c r="I187" s="257">
        <v>428488.27</v>
      </c>
      <c r="J187" s="257">
        <v>0</v>
      </c>
      <c r="K187" s="257">
        <v>271511.73</v>
      </c>
      <c r="L187" s="257">
        <v>271511.73</v>
      </c>
      <c r="M187" s="257">
        <v>1100000</v>
      </c>
      <c r="N187" s="257">
        <v>562575</v>
      </c>
    </row>
    <row r="188" spans="1:14" s="143" customFormat="1" hidden="1" x14ac:dyDescent="0.25">
      <c r="A188" s="143" t="s">
        <v>706</v>
      </c>
      <c r="B188" s="143" t="s">
        <v>144</v>
      </c>
      <c r="C188" s="143" t="s">
        <v>145</v>
      </c>
      <c r="D188" s="143" t="s">
        <v>69</v>
      </c>
      <c r="E188" s="257">
        <v>34000000</v>
      </c>
      <c r="F188" s="257">
        <v>34000000</v>
      </c>
      <c r="G188" s="257">
        <v>19659041</v>
      </c>
      <c r="H188" s="257">
        <v>0</v>
      </c>
      <c r="I188" s="257">
        <v>5252100</v>
      </c>
      <c r="J188" s="257">
        <v>0</v>
      </c>
      <c r="K188" s="257">
        <v>4191100</v>
      </c>
      <c r="L188" s="257">
        <v>4131300</v>
      </c>
      <c r="M188" s="257">
        <v>24556800</v>
      </c>
      <c r="N188" s="257">
        <v>10215841</v>
      </c>
    </row>
    <row r="189" spans="1:14" s="143" customFormat="1" hidden="1" x14ac:dyDescent="0.25">
      <c r="A189" s="143" t="s">
        <v>706</v>
      </c>
      <c r="B189" s="143" t="s">
        <v>150</v>
      </c>
      <c r="C189" s="143" t="s">
        <v>151</v>
      </c>
      <c r="D189" s="143" t="s">
        <v>69</v>
      </c>
      <c r="E189" s="257">
        <v>113000000</v>
      </c>
      <c r="F189" s="257">
        <v>113000000</v>
      </c>
      <c r="G189" s="257">
        <v>48692450</v>
      </c>
      <c r="H189" s="257">
        <v>0</v>
      </c>
      <c r="I189" s="257">
        <v>6249093.54</v>
      </c>
      <c r="J189" s="257">
        <v>0</v>
      </c>
      <c r="K189" s="257">
        <v>13652150</v>
      </c>
      <c r="L189" s="257">
        <v>13652150</v>
      </c>
      <c r="M189" s="257">
        <v>93098756.459999993</v>
      </c>
      <c r="N189" s="257">
        <v>28791206.460000001</v>
      </c>
    </row>
    <row r="190" spans="1:14" s="143" customFormat="1" hidden="1" x14ac:dyDescent="0.25">
      <c r="A190" s="143" t="s">
        <v>706</v>
      </c>
      <c r="B190" s="143" t="s">
        <v>152</v>
      </c>
      <c r="C190" s="143" t="s">
        <v>153</v>
      </c>
      <c r="D190" s="143" t="s">
        <v>69</v>
      </c>
      <c r="E190" s="257">
        <v>113000000</v>
      </c>
      <c r="F190" s="257">
        <v>113000000</v>
      </c>
      <c r="G190" s="257">
        <v>48692450</v>
      </c>
      <c r="H190" s="257">
        <v>0</v>
      </c>
      <c r="I190" s="257">
        <v>6249093.54</v>
      </c>
      <c r="J190" s="257">
        <v>0</v>
      </c>
      <c r="K190" s="257">
        <v>13652150</v>
      </c>
      <c r="L190" s="257">
        <v>13652150</v>
      </c>
      <c r="M190" s="257">
        <v>93098756.459999993</v>
      </c>
      <c r="N190" s="257">
        <v>28791206.460000001</v>
      </c>
    </row>
    <row r="191" spans="1:14" s="143" customFormat="1" hidden="1" x14ac:dyDescent="0.25">
      <c r="A191" s="143" t="s">
        <v>706</v>
      </c>
      <c r="B191" s="143" t="s">
        <v>162</v>
      </c>
      <c r="C191" s="143" t="s">
        <v>163</v>
      </c>
      <c r="D191" s="143" t="s">
        <v>69</v>
      </c>
      <c r="E191" s="257">
        <v>119064370</v>
      </c>
      <c r="F191" s="257">
        <v>118914852.09999999</v>
      </c>
      <c r="G191" s="257">
        <v>54382668.100000001</v>
      </c>
      <c r="H191" s="257">
        <v>0</v>
      </c>
      <c r="I191" s="257">
        <v>16285099.1</v>
      </c>
      <c r="J191" s="257">
        <v>1201311.25</v>
      </c>
      <c r="K191" s="257">
        <v>5267629.1100000003</v>
      </c>
      <c r="L191" s="257">
        <v>5267629.1100000003</v>
      </c>
      <c r="M191" s="257">
        <v>96160812.640000001</v>
      </c>
      <c r="N191" s="257">
        <v>31628628.640000001</v>
      </c>
    </row>
    <row r="192" spans="1:14" s="143" customFormat="1" hidden="1" x14ac:dyDescent="0.25">
      <c r="A192" s="143" t="s">
        <v>706</v>
      </c>
      <c r="B192" s="143" t="s">
        <v>310</v>
      </c>
      <c r="C192" s="143" t="s">
        <v>311</v>
      </c>
      <c r="D192" s="143" t="s">
        <v>69</v>
      </c>
      <c r="E192" s="257">
        <v>25816590</v>
      </c>
      <c r="F192" s="257">
        <v>25816590</v>
      </c>
      <c r="G192" s="257">
        <v>12908296</v>
      </c>
      <c r="H192" s="257">
        <v>0</v>
      </c>
      <c r="I192" s="257">
        <v>1752982.08</v>
      </c>
      <c r="J192" s="257">
        <v>0</v>
      </c>
      <c r="K192" s="257">
        <v>351430</v>
      </c>
      <c r="L192" s="257">
        <v>351430</v>
      </c>
      <c r="M192" s="257">
        <v>23712177.920000002</v>
      </c>
      <c r="N192" s="257">
        <v>10803883.92</v>
      </c>
    </row>
    <row r="193" spans="1:14" s="143" customFormat="1" hidden="1" x14ac:dyDescent="0.25">
      <c r="A193" s="143" t="s">
        <v>706</v>
      </c>
      <c r="B193" s="143" t="s">
        <v>164</v>
      </c>
      <c r="C193" s="143" t="s">
        <v>165</v>
      </c>
      <c r="D193" s="143" t="s">
        <v>69</v>
      </c>
      <c r="E193" s="257">
        <v>4358000</v>
      </c>
      <c r="F193" s="257">
        <v>4358000</v>
      </c>
      <c r="G193" s="257">
        <v>2179000</v>
      </c>
      <c r="H193" s="257">
        <v>0</v>
      </c>
      <c r="I193" s="257">
        <v>910332.51</v>
      </c>
      <c r="J193" s="257">
        <v>391311.25</v>
      </c>
      <c r="K193" s="257">
        <v>0</v>
      </c>
      <c r="L193" s="257">
        <v>0</v>
      </c>
      <c r="M193" s="257">
        <v>3056356.24</v>
      </c>
      <c r="N193" s="257">
        <v>877356.24</v>
      </c>
    </row>
    <row r="194" spans="1:14" s="143" customFormat="1" hidden="1" x14ac:dyDescent="0.25">
      <c r="A194" s="143" t="s">
        <v>706</v>
      </c>
      <c r="B194" s="143" t="s">
        <v>166</v>
      </c>
      <c r="C194" s="143" t="s">
        <v>167</v>
      </c>
      <c r="D194" s="143" t="s">
        <v>69</v>
      </c>
      <c r="E194" s="257">
        <v>28300000</v>
      </c>
      <c r="F194" s="257">
        <v>28150482.100000001</v>
      </c>
      <c r="G194" s="257">
        <v>9000482.0999999996</v>
      </c>
      <c r="H194" s="257">
        <v>0</v>
      </c>
      <c r="I194" s="257">
        <v>3545283.31</v>
      </c>
      <c r="J194" s="257">
        <v>0</v>
      </c>
      <c r="K194" s="257">
        <v>1488193.14</v>
      </c>
      <c r="L194" s="257">
        <v>1488193.14</v>
      </c>
      <c r="M194" s="257">
        <v>23117005.649999999</v>
      </c>
      <c r="N194" s="257">
        <v>3967005.65</v>
      </c>
    </row>
    <row r="195" spans="1:14" s="143" customFormat="1" hidden="1" x14ac:dyDescent="0.25">
      <c r="A195" s="143" t="s">
        <v>706</v>
      </c>
      <c r="B195" s="143" t="s">
        <v>312</v>
      </c>
      <c r="C195" s="143" t="s">
        <v>313</v>
      </c>
      <c r="D195" s="143" t="s">
        <v>69</v>
      </c>
      <c r="E195" s="257">
        <v>8695420</v>
      </c>
      <c r="F195" s="257">
        <v>8695420</v>
      </c>
      <c r="G195" s="257">
        <v>4347710</v>
      </c>
      <c r="H195" s="257">
        <v>0</v>
      </c>
      <c r="I195" s="257">
        <v>1285917.57</v>
      </c>
      <c r="J195" s="257">
        <v>0</v>
      </c>
      <c r="K195" s="257">
        <v>309205.96999999997</v>
      </c>
      <c r="L195" s="257">
        <v>309205.96999999997</v>
      </c>
      <c r="M195" s="257">
        <v>7100296.46</v>
      </c>
      <c r="N195" s="257">
        <v>2752586.46</v>
      </c>
    </row>
    <row r="196" spans="1:14" s="143" customFormat="1" hidden="1" x14ac:dyDescent="0.25">
      <c r="A196" s="143" t="s">
        <v>706</v>
      </c>
      <c r="B196" s="143" t="s">
        <v>168</v>
      </c>
      <c r="C196" s="143" t="s">
        <v>169</v>
      </c>
      <c r="D196" s="143" t="s">
        <v>69</v>
      </c>
      <c r="E196" s="257">
        <v>19689160</v>
      </c>
      <c r="F196" s="257">
        <v>19689160</v>
      </c>
      <c r="G196" s="257">
        <v>9844580</v>
      </c>
      <c r="H196" s="257">
        <v>0</v>
      </c>
      <c r="I196" s="257">
        <v>2977339.77</v>
      </c>
      <c r="J196" s="257">
        <v>0</v>
      </c>
      <c r="K196" s="257">
        <v>135600</v>
      </c>
      <c r="L196" s="257">
        <v>135600</v>
      </c>
      <c r="M196" s="257">
        <v>16576220.23</v>
      </c>
      <c r="N196" s="257">
        <v>6731640.2300000004</v>
      </c>
    </row>
    <row r="197" spans="1:14" s="143" customFormat="1" hidden="1" x14ac:dyDescent="0.25">
      <c r="A197" s="143" t="s">
        <v>706</v>
      </c>
      <c r="B197" s="143" t="s">
        <v>170</v>
      </c>
      <c r="C197" s="143" t="s">
        <v>171</v>
      </c>
      <c r="D197" s="143" t="s">
        <v>69</v>
      </c>
      <c r="E197" s="257">
        <v>26663380</v>
      </c>
      <c r="F197" s="257">
        <v>26663380</v>
      </c>
      <c r="G197" s="257">
        <v>13331690</v>
      </c>
      <c r="H197" s="257">
        <v>0</v>
      </c>
      <c r="I197" s="257">
        <v>4485621.67</v>
      </c>
      <c r="J197" s="257">
        <v>810000</v>
      </c>
      <c r="K197" s="257">
        <v>2983200</v>
      </c>
      <c r="L197" s="257">
        <v>2983200</v>
      </c>
      <c r="M197" s="257">
        <v>18384558.329999998</v>
      </c>
      <c r="N197" s="257">
        <v>5052868.33</v>
      </c>
    </row>
    <row r="198" spans="1:14" s="143" customFormat="1" hidden="1" x14ac:dyDescent="0.25">
      <c r="A198" s="143" t="s">
        <v>706</v>
      </c>
      <c r="B198" s="143" t="s">
        <v>172</v>
      </c>
      <c r="C198" s="143" t="s">
        <v>173</v>
      </c>
      <c r="D198" s="143" t="s">
        <v>69</v>
      </c>
      <c r="E198" s="257">
        <v>5541820</v>
      </c>
      <c r="F198" s="257">
        <v>5541820</v>
      </c>
      <c r="G198" s="257">
        <v>2770910</v>
      </c>
      <c r="H198" s="257">
        <v>0</v>
      </c>
      <c r="I198" s="257">
        <v>1327622.19</v>
      </c>
      <c r="J198" s="257">
        <v>0</v>
      </c>
      <c r="K198" s="257">
        <v>0</v>
      </c>
      <c r="L198" s="257">
        <v>0</v>
      </c>
      <c r="M198" s="257">
        <v>4214197.8099999996</v>
      </c>
      <c r="N198" s="257">
        <v>1443287.81</v>
      </c>
    </row>
    <row r="199" spans="1:14" s="143" customFormat="1" hidden="1" x14ac:dyDescent="0.25">
      <c r="A199" s="143" t="s">
        <v>706</v>
      </c>
      <c r="B199" s="143" t="s">
        <v>174</v>
      </c>
      <c r="C199" s="143" t="s">
        <v>175</v>
      </c>
      <c r="D199" s="143" t="s">
        <v>69</v>
      </c>
      <c r="E199" s="257">
        <v>1525000</v>
      </c>
      <c r="F199" s="257">
        <v>1525000</v>
      </c>
      <c r="G199" s="257">
        <v>973500</v>
      </c>
      <c r="H199" s="257">
        <v>0</v>
      </c>
      <c r="I199" s="257">
        <v>586167</v>
      </c>
      <c r="J199" s="257">
        <v>0</v>
      </c>
      <c r="K199" s="257">
        <v>1375</v>
      </c>
      <c r="L199" s="257">
        <v>1375</v>
      </c>
      <c r="M199" s="257">
        <v>937458</v>
      </c>
      <c r="N199" s="257">
        <v>385958</v>
      </c>
    </row>
    <row r="200" spans="1:14" s="143" customFormat="1" hidden="1" x14ac:dyDescent="0.25">
      <c r="A200" s="143" t="s">
        <v>706</v>
      </c>
      <c r="B200" s="143" t="s">
        <v>176</v>
      </c>
      <c r="C200" s="143" t="s">
        <v>177</v>
      </c>
      <c r="D200" s="143" t="s">
        <v>69</v>
      </c>
      <c r="E200" s="257">
        <v>1525000</v>
      </c>
      <c r="F200" s="257">
        <v>1525000</v>
      </c>
      <c r="G200" s="257">
        <v>973500</v>
      </c>
      <c r="H200" s="257">
        <v>0</v>
      </c>
      <c r="I200" s="257">
        <v>586167</v>
      </c>
      <c r="J200" s="257">
        <v>0</v>
      </c>
      <c r="K200" s="257">
        <v>1375</v>
      </c>
      <c r="L200" s="257">
        <v>1375</v>
      </c>
      <c r="M200" s="257">
        <v>937458</v>
      </c>
      <c r="N200" s="257">
        <v>385958</v>
      </c>
    </row>
    <row r="201" spans="1:14" s="143" customFormat="1" hidden="1" x14ac:dyDescent="0.25">
      <c r="A201" s="143" t="s">
        <v>706</v>
      </c>
      <c r="B201" s="143" t="s">
        <v>178</v>
      </c>
      <c r="C201" s="143" t="s">
        <v>179</v>
      </c>
      <c r="D201" s="143" t="s">
        <v>69</v>
      </c>
      <c r="E201" s="257">
        <v>2200000</v>
      </c>
      <c r="F201" s="257">
        <v>2200000</v>
      </c>
      <c r="G201" s="257">
        <v>1200000</v>
      </c>
      <c r="H201" s="257">
        <v>0</v>
      </c>
      <c r="I201" s="257">
        <v>150000</v>
      </c>
      <c r="J201" s="257">
        <v>0</v>
      </c>
      <c r="K201" s="257">
        <v>0</v>
      </c>
      <c r="L201" s="257">
        <v>0</v>
      </c>
      <c r="M201" s="257">
        <v>2050000</v>
      </c>
      <c r="N201" s="257">
        <v>1050000</v>
      </c>
    </row>
    <row r="202" spans="1:14" s="143" customFormat="1" hidden="1" x14ac:dyDescent="0.25">
      <c r="A202" s="143" t="s">
        <v>706</v>
      </c>
      <c r="B202" s="143" t="s">
        <v>180</v>
      </c>
      <c r="C202" s="143" t="s">
        <v>181</v>
      </c>
      <c r="D202" s="143" t="s">
        <v>69</v>
      </c>
      <c r="E202" s="257">
        <v>200000</v>
      </c>
      <c r="F202" s="257">
        <v>200000</v>
      </c>
      <c r="G202" s="257">
        <v>200000</v>
      </c>
      <c r="H202" s="257">
        <v>0</v>
      </c>
      <c r="I202" s="257">
        <v>150000</v>
      </c>
      <c r="J202" s="257">
        <v>0</v>
      </c>
      <c r="K202" s="257">
        <v>0</v>
      </c>
      <c r="L202" s="257">
        <v>0</v>
      </c>
      <c r="M202" s="257">
        <v>50000</v>
      </c>
      <c r="N202" s="257">
        <v>50000</v>
      </c>
    </row>
    <row r="203" spans="1:14" s="143" customFormat="1" hidden="1" x14ac:dyDescent="0.25">
      <c r="A203" s="143" t="s">
        <v>706</v>
      </c>
      <c r="B203" s="143" t="s">
        <v>182</v>
      </c>
      <c r="C203" s="143" t="s">
        <v>183</v>
      </c>
      <c r="D203" s="143" t="s">
        <v>69</v>
      </c>
      <c r="E203" s="257">
        <v>2000000</v>
      </c>
      <c r="F203" s="257">
        <v>2000000</v>
      </c>
      <c r="G203" s="257">
        <v>1000000</v>
      </c>
      <c r="H203" s="257">
        <v>0</v>
      </c>
      <c r="I203" s="257">
        <v>0</v>
      </c>
      <c r="J203" s="257">
        <v>0</v>
      </c>
      <c r="K203" s="257">
        <v>0</v>
      </c>
      <c r="L203" s="257">
        <v>0</v>
      </c>
      <c r="M203" s="257">
        <v>2000000</v>
      </c>
      <c r="N203" s="257">
        <v>1000000</v>
      </c>
    </row>
    <row r="204" spans="1:14" s="143" customFormat="1" hidden="1" x14ac:dyDescent="0.25">
      <c r="A204" s="143" t="s">
        <v>706</v>
      </c>
      <c r="B204" s="143" t="s">
        <v>184</v>
      </c>
      <c r="C204" s="143" t="s">
        <v>185</v>
      </c>
      <c r="D204" s="143" t="s">
        <v>69</v>
      </c>
      <c r="E204" s="257">
        <v>56348380</v>
      </c>
      <c r="F204" s="257">
        <v>50848380</v>
      </c>
      <c r="G204" s="257">
        <v>21622740</v>
      </c>
      <c r="H204" s="257">
        <v>328581.40000000002</v>
      </c>
      <c r="I204" s="257">
        <v>3398337.16</v>
      </c>
      <c r="J204" s="257">
        <v>846000</v>
      </c>
      <c r="K204" s="257">
        <v>5286699.47</v>
      </c>
      <c r="L204" s="257">
        <v>5212119.47</v>
      </c>
      <c r="M204" s="257">
        <v>40988761.969999999</v>
      </c>
      <c r="N204" s="257">
        <v>11763121.970000001</v>
      </c>
    </row>
    <row r="205" spans="1:14" s="143" customFormat="1" hidden="1" x14ac:dyDescent="0.25">
      <c r="A205" s="143" t="s">
        <v>706</v>
      </c>
      <c r="B205" s="143" t="s">
        <v>186</v>
      </c>
      <c r="C205" s="143" t="s">
        <v>187</v>
      </c>
      <c r="D205" s="143" t="s">
        <v>69</v>
      </c>
      <c r="E205" s="257">
        <v>30858480</v>
      </c>
      <c r="F205" s="257">
        <v>29358480</v>
      </c>
      <c r="G205" s="257">
        <v>14009240</v>
      </c>
      <c r="H205" s="257">
        <v>0</v>
      </c>
      <c r="I205" s="257">
        <v>2682576.98</v>
      </c>
      <c r="J205" s="257">
        <v>0</v>
      </c>
      <c r="K205" s="257">
        <v>3786292.14</v>
      </c>
      <c r="L205" s="257">
        <v>3786292.14</v>
      </c>
      <c r="M205" s="257">
        <v>22889610.879999999</v>
      </c>
      <c r="N205" s="257">
        <v>7540370.8799999999</v>
      </c>
    </row>
    <row r="206" spans="1:14" s="143" customFormat="1" hidden="1" x14ac:dyDescent="0.25">
      <c r="A206" s="143" t="s">
        <v>706</v>
      </c>
      <c r="B206" s="143" t="s">
        <v>188</v>
      </c>
      <c r="C206" s="143" t="s">
        <v>189</v>
      </c>
      <c r="D206" s="143" t="s">
        <v>69</v>
      </c>
      <c r="E206" s="257">
        <v>25379000</v>
      </c>
      <c r="F206" s="257">
        <v>25379000</v>
      </c>
      <c r="G206" s="257">
        <v>12769500</v>
      </c>
      <c r="H206" s="257">
        <v>0</v>
      </c>
      <c r="I206" s="257">
        <v>2624772.86</v>
      </c>
      <c r="J206" s="257">
        <v>0</v>
      </c>
      <c r="K206" s="257">
        <v>3775227.14</v>
      </c>
      <c r="L206" s="257">
        <v>3775227.14</v>
      </c>
      <c r="M206" s="257">
        <v>18979000</v>
      </c>
      <c r="N206" s="257">
        <v>6369500</v>
      </c>
    </row>
    <row r="207" spans="1:14" s="143" customFormat="1" hidden="1" x14ac:dyDescent="0.25">
      <c r="A207" s="143" t="s">
        <v>706</v>
      </c>
      <c r="B207" s="143" t="s">
        <v>190</v>
      </c>
      <c r="C207" s="143" t="s">
        <v>191</v>
      </c>
      <c r="D207" s="143" t="s">
        <v>69</v>
      </c>
      <c r="E207" s="257">
        <v>231600</v>
      </c>
      <c r="F207" s="257">
        <v>231600</v>
      </c>
      <c r="G207" s="257">
        <v>115800</v>
      </c>
      <c r="H207" s="257">
        <v>0</v>
      </c>
      <c r="I207" s="257">
        <v>0</v>
      </c>
      <c r="J207" s="257">
        <v>0</v>
      </c>
      <c r="K207" s="257">
        <v>0</v>
      </c>
      <c r="L207" s="257">
        <v>0</v>
      </c>
      <c r="M207" s="257">
        <v>231600</v>
      </c>
      <c r="N207" s="257">
        <v>115800</v>
      </c>
    </row>
    <row r="208" spans="1:14" s="143" customFormat="1" hidden="1" x14ac:dyDescent="0.25">
      <c r="A208" s="143" t="s">
        <v>706</v>
      </c>
      <c r="B208" s="143" t="s">
        <v>192</v>
      </c>
      <c r="C208" s="143" t="s">
        <v>193</v>
      </c>
      <c r="D208" s="143" t="s">
        <v>69</v>
      </c>
      <c r="E208" s="257">
        <v>4850880</v>
      </c>
      <c r="F208" s="257">
        <v>3350880</v>
      </c>
      <c r="G208" s="257">
        <v>925440</v>
      </c>
      <c r="H208" s="257">
        <v>0</v>
      </c>
      <c r="I208" s="257">
        <v>57804.12</v>
      </c>
      <c r="J208" s="257">
        <v>0</v>
      </c>
      <c r="K208" s="257">
        <v>11065</v>
      </c>
      <c r="L208" s="257">
        <v>11065</v>
      </c>
      <c r="M208" s="257">
        <v>3282010.88</v>
      </c>
      <c r="N208" s="257">
        <v>856570.88</v>
      </c>
    </row>
    <row r="209" spans="1:14" s="143" customFormat="1" hidden="1" x14ac:dyDescent="0.25">
      <c r="A209" s="143" t="s">
        <v>706</v>
      </c>
      <c r="B209" s="143" t="s">
        <v>194</v>
      </c>
      <c r="C209" s="143" t="s">
        <v>195</v>
      </c>
      <c r="D209" s="143" t="s">
        <v>69</v>
      </c>
      <c r="E209" s="257">
        <v>397000</v>
      </c>
      <c r="F209" s="257">
        <v>397000</v>
      </c>
      <c r="G209" s="257">
        <v>198500</v>
      </c>
      <c r="H209" s="257">
        <v>0</v>
      </c>
      <c r="I209" s="257">
        <v>0</v>
      </c>
      <c r="J209" s="257">
        <v>0</v>
      </c>
      <c r="K209" s="257">
        <v>0</v>
      </c>
      <c r="L209" s="257">
        <v>0</v>
      </c>
      <c r="M209" s="257">
        <v>397000</v>
      </c>
      <c r="N209" s="257">
        <v>198500</v>
      </c>
    </row>
    <row r="210" spans="1:14" s="143" customFormat="1" hidden="1" x14ac:dyDescent="0.25">
      <c r="A210" s="143" t="s">
        <v>706</v>
      </c>
      <c r="B210" s="143" t="s">
        <v>200</v>
      </c>
      <c r="C210" s="143" t="s">
        <v>201</v>
      </c>
      <c r="D210" s="143" t="s">
        <v>69</v>
      </c>
      <c r="E210" s="257">
        <v>5536500</v>
      </c>
      <c r="F210" s="257">
        <v>5536500</v>
      </c>
      <c r="G210" s="257">
        <v>2788250</v>
      </c>
      <c r="H210" s="257">
        <v>328581.40000000002</v>
      </c>
      <c r="I210" s="257">
        <v>3160</v>
      </c>
      <c r="J210" s="257">
        <v>0</v>
      </c>
      <c r="K210" s="257">
        <v>483923</v>
      </c>
      <c r="L210" s="257">
        <v>483923</v>
      </c>
      <c r="M210" s="257">
        <v>4720835.5999999996</v>
      </c>
      <c r="N210" s="257">
        <v>1972585.6</v>
      </c>
    </row>
    <row r="211" spans="1:14" s="143" customFormat="1" hidden="1" x14ac:dyDescent="0.25">
      <c r="A211" s="143" t="s">
        <v>706</v>
      </c>
      <c r="B211" s="143" t="s">
        <v>314</v>
      </c>
      <c r="C211" s="143" t="s">
        <v>315</v>
      </c>
      <c r="D211" s="143" t="s">
        <v>69</v>
      </c>
      <c r="E211" s="257">
        <v>1274000</v>
      </c>
      <c r="F211" s="257">
        <v>1274000</v>
      </c>
      <c r="G211" s="257">
        <v>657000</v>
      </c>
      <c r="H211" s="257">
        <v>0</v>
      </c>
      <c r="I211" s="257">
        <v>0</v>
      </c>
      <c r="J211" s="257">
        <v>0</v>
      </c>
      <c r="K211" s="257">
        <v>338498</v>
      </c>
      <c r="L211" s="257">
        <v>338498</v>
      </c>
      <c r="M211" s="257">
        <v>935502</v>
      </c>
      <c r="N211" s="257">
        <v>318502</v>
      </c>
    </row>
    <row r="212" spans="1:14" s="143" customFormat="1" hidden="1" x14ac:dyDescent="0.25">
      <c r="A212" s="143" t="s">
        <v>706</v>
      </c>
      <c r="B212" s="143" t="s">
        <v>316</v>
      </c>
      <c r="C212" s="143" t="s">
        <v>317</v>
      </c>
      <c r="D212" s="143" t="s">
        <v>69</v>
      </c>
      <c r="E212" s="257">
        <v>290000</v>
      </c>
      <c r="F212" s="257">
        <v>290000</v>
      </c>
      <c r="G212" s="257">
        <v>145000</v>
      </c>
      <c r="H212" s="257">
        <v>0</v>
      </c>
      <c r="I212" s="257">
        <v>0</v>
      </c>
      <c r="J212" s="257">
        <v>0</v>
      </c>
      <c r="K212" s="257">
        <v>0</v>
      </c>
      <c r="L212" s="257">
        <v>0</v>
      </c>
      <c r="M212" s="257">
        <v>290000</v>
      </c>
      <c r="N212" s="257">
        <v>145000</v>
      </c>
    </row>
    <row r="213" spans="1:14" s="143" customFormat="1" hidden="1" x14ac:dyDescent="0.25">
      <c r="A213" s="143" t="s">
        <v>706</v>
      </c>
      <c r="B213" s="143" t="s">
        <v>318</v>
      </c>
      <c r="C213" s="143" t="s">
        <v>319</v>
      </c>
      <c r="D213" s="143" t="s">
        <v>69</v>
      </c>
      <c r="E213" s="257">
        <v>100000</v>
      </c>
      <c r="F213" s="257">
        <v>100000</v>
      </c>
      <c r="G213" s="257">
        <v>50000</v>
      </c>
      <c r="H213" s="257">
        <v>0</v>
      </c>
      <c r="I213" s="257">
        <v>0</v>
      </c>
      <c r="J213" s="257">
        <v>0</v>
      </c>
      <c r="K213" s="257">
        <v>0</v>
      </c>
      <c r="L213" s="257">
        <v>0</v>
      </c>
      <c r="M213" s="257">
        <v>100000</v>
      </c>
      <c r="N213" s="257">
        <v>50000</v>
      </c>
    </row>
    <row r="214" spans="1:14" s="143" customFormat="1" hidden="1" x14ac:dyDescent="0.25">
      <c r="A214" s="143" t="s">
        <v>706</v>
      </c>
      <c r="B214" s="143" t="s">
        <v>202</v>
      </c>
      <c r="C214" s="143" t="s">
        <v>203</v>
      </c>
      <c r="D214" s="143" t="s">
        <v>69</v>
      </c>
      <c r="E214" s="257">
        <v>2782500</v>
      </c>
      <c r="F214" s="257">
        <v>2782500</v>
      </c>
      <c r="G214" s="257">
        <v>1391250</v>
      </c>
      <c r="H214" s="257">
        <v>328581.40000000002</v>
      </c>
      <c r="I214" s="257">
        <v>0</v>
      </c>
      <c r="J214" s="257">
        <v>0</v>
      </c>
      <c r="K214" s="257">
        <v>0</v>
      </c>
      <c r="L214" s="257">
        <v>0</v>
      </c>
      <c r="M214" s="257">
        <v>2453918.6</v>
      </c>
      <c r="N214" s="257">
        <v>1062668.6000000001</v>
      </c>
    </row>
    <row r="215" spans="1:14" s="143" customFormat="1" hidden="1" x14ac:dyDescent="0.25">
      <c r="A215" s="143" t="s">
        <v>706</v>
      </c>
      <c r="B215" s="143" t="s">
        <v>204</v>
      </c>
      <c r="C215" s="143" t="s">
        <v>205</v>
      </c>
      <c r="D215" s="143" t="s">
        <v>69</v>
      </c>
      <c r="E215" s="257">
        <v>200000</v>
      </c>
      <c r="F215" s="257">
        <v>200000</v>
      </c>
      <c r="G215" s="257">
        <v>100000</v>
      </c>
      <c r="H215" s="257">
        <v>0</v>
      </c>
      <c r="I215" s="257">
        <v>0</v>
      </c>
      <c r="J215" s="257">
        <v>0</v>
      </c>
      <c r="K215" s="257">
        <v>0</v>
      </c>
      <c r="L215" s="257">
        <v>0</v>
      </c>
      <c r="M215" s="257">
        <v>200000</v>
      </c>
      <c r="N215" s="257">
        <v>100000</v>
      </c>
    </row>
    <row r="216" spans="1:14" s="143" customFormat="1" hidden="1" x14ac:dyDescent="0.25">
      <c r="A216" s="143" t="s">
        <v>706</v>
      </c>
      <c r="B216" s="143" t="s">
        <v>322</v>
      </c>
      <c r="C216" s="143" t="s">
        <v>323</v>
      </c>
      <c r="D216" s="143" t="s">
        <v>69</v>
      </c>
      <c r="E216" s="257">
        <v>890000</v>
      </c>
      <c r="F216" s="257">
        <v>890000</v>
      </c>
      <c r="G216" s="257">
        <v>445000</v>
      </c>
      <c r="H216" s="257">
        <v>0</v>
      </c>
      <c r="I216" s="257">
        <v>3160</v>
      </c>
      <c r="J216" s="257">
        <v>0</v>
      </c>
      <c r="K216" s="257">
        <v>145425</v>
      </c>
      <c r="L216" s="257">
        <v>145425</v>
      </c>
      <c r="M216" s="257">
        <v>741415</v>
      </c>
      <c r="N216" s="257">
        <v>296415</v>
      </c>
    </row>
    <row r="217" spans="1:14" s="143" customFormat="1" hidden="1" x14ac:dyDescent="0.25">
      <c r="A217" s="143" t="s">
        <v>706</v>
      </c>
      <c r="B217" s="143" t="s">
        <v>206</v>
      </c>
      <c r="C217" s="143" t="s">
        <v>207</v>
      </c>
      <c r="D217" s="143" t="s">
        <v>69</v>
      </c>
      <c r="E217" s="257">
        <v>3341900</v>
      </c>
      <c r="F217" s="257">
        <v>2341900</v>
      </c>
      <c r="G217" s="257">
        <v>670950</v>
      </c>
      <c r="H217" s="257">
        <v>0</v>
      </c>
      <c r="I217" s="257">
        <v>6280.17</v>
      </c>
      <c r="J217" s="257">
        <v>0</v>
      </c>
      <c r="K217" s="257">
        <v>111538.33</v>
      </c>
      <c r="L217" s="257">
        <v>111538.33</v>
      </c>
      <c r="M217" s="257">
        <v>2224081.5</v>
      </c>
      <c r="N217" s="257">
        <v>553131.5</v>
      </c>
    </row>
    <row r="218" spans="1:14" s="143" customFormat="1" hidden="1" x14ac:dyDescent="0.25">
      <c r="A218" s="143" t="s">
        <v>706</v>
      </c>
      <c r="B218" s="143" t="s">
        <v>208</v>
      </c>
      <c r="C218" s="143" t="s">
        <v>209</v>
      </c>
      <c r="D218" s="143" t="s">
        <v>69</v>
      </c>
      <c r="E218" s="257">
        <v>671900</v>
      </c>
      <c r="F218" s="257">
        <v>671900</v>
      </c>
      <c r="G218" s="257">
        <v>335950</v>
      </c>
      <c r="H218" s="257">
        <v>0</v>
      </c>
      <c r="I218" s="257">
        <v>0</v>
      </c>
      <c r="J218" s="257">
        <v>0</v>
      </c>
      <c r="K218" s="257">
        <v>45250</v>
      </c>
      <c r="L218" s="257">
        <v>45250</v>
      </c>
      <c r="M218" s="257">
        <v>626650</v>
      </c>
      <c r="N218" s="257">
        <v>290700</v>
      </c>
    </row>
    <row r="219" spans="1:14" s="143" customFormat="1" hidden="1" x14ac:dyDescent="0.25">
      <c r="A219" s="143" t="s">
        <v>706</v>
      </c>
      <c r="B219" s="143" t="s">
        <v>210</v>
      </c>
      <c r="C219" s="143" t="s">
        <v>211</v>
      </c>
      <c r="D219" s="143" t="s">
        <v>69</v>
      </c>
      <c r="E219" s="257">
        <v>2670000</v>
      </c>
      <c r="F219" s="257">
        <v>1670000</v>
      </c>
      <c r="G219" s="257">
        <v>335000</v>
      </c>
      <c r="H219" s="257">
        <v>0</v>
      </c>
      <c r="I219" s="257">
        <v>6280.17</v>
      </c>
      <c r="J219" s="257">
        <v>0</v>
      </c>
      <c r="K219" s="257">
        <v>66288.33</v>
      </c>
      <c r="L219" s="257">
        <v>66288.33</v>
      </c>
      <c r="M219" s="257">
        <v>1597431.5</v>
      </c>
      <c r="N219" s="257">
        <v>262431.5</v>
      </c>
    </row>
    <row r="220" spans="1:14" s="143" customFormat="1" hidden="1" x14ac:dyDescent="0.25">
      <c r="A220" s="143" t="s">
        <v>706</v>
      </c>
      <c r="B220" s="143" t="s">
        <v>212</v>
      </c>
      <c r="C220" s="143" t="s">
        <v>213</v>
      </c>
      <c r="D220" s="143" t="s">
        <v>69</v>
      </c>
      <c r="E220" s="257">
        <v>16611500</v>
      </c>
      <c r="F220" s="257">
        <v>13611500</v>
      </c>
      <c r="G220" s="257">
        <v>4154300</v>
      </c>
      <c r="H220" s="257">
        <v>0</v>
      </c>
      <c r="I220" s="257">
        <v>706320.01</v>
      </c>
      <c r="J220" s="257">
        <v>846000</v>
      </c>
      <c r="K220" s="257">
        <v>904946</v>
      </c>
      <c r="L220" s="257">
        <v>830366</v>
      </c>
      <c r="M220" s="257">
        <v>11154233.99</v>
      </c>
      <c r="N220" s="257">
        <v>1697033.99</v>
      </c>
    </row>
    <row r="221" spans="1:14" s="143" customFormat="1" hidden="1" x14ac:dyDescent="0.25">
      <c r="A221" s="143" t="s">
        <v>706</v>
      </c>
      <c r="B221" s="143" t="s">
        <v>214</v>
      </c>
      <c r="C221" s="143" t="s">
        <v>215</v>
      </c>
      <c r="D221" s="143" t="s">
        <v>69</v>
      </c>
      <c r="E221" s="257">
        <v>5232000</v>
      </c>
      <c r="F221" s="257">
        <v>2232000</v>
      </c>
      <c r="G221" s="257">
        <v>116000</v>
      </c>
      <c r="H221" s="257">
        <v>0</v>
      </c>
      <c r="I221" s="257">
        <v>0</v>
      </c>
      <c r="J221" s="257">
        <v>0</v>
      </c>
      <c r="K221" s="257">
        <v>30288</v>
      </c>
      <c r="L221" s="257">
        <v>30288</v>
      </c>
      <c r="M221" s="257">
        <v>2201712</v>
      </c>
      <c r="N221" s="257">
        <v>85712</v>
      </c>
    </row>
    <row r="222" spans="1:14" s="143" customFormat="1" hidden="1" x14ac:dyDescent="0.25">
      <c r="A222" s="143" t="s">
        <v>706</v>
      </c>
      <c r="B222" s="143" t="s">
        <v>218</v>
      </c>
      <c r="C222" s="143" t="s">
        <v>219</v>
      </c>
      <c r="D222" s="143" t="s">
        <v>69</v>
      </c>
      <c r="E222" s="257">
        <v>6600000</v>
      </c>
      <c r="F222" s="257">
        <v>6600000</v>
      </c>
      <c r="G222" s="257">
        <v>1300000</v>
      </c>
      <c r="H222" s="257">
        <v>0</v>
      </c>
      <c r="I222" s="257">
        <v>593740.01</v>
      </c>
      <c r="J222" s="257">
        <v>0</v>
      </c>
      <c r="K222" s="257">
        <v>159078</v>
      </c>
      <c r="L222" s="257">
        <v>84498</v>
      </c>
      <c r="M222" s="257">
        <v>5847181.9900000002</v>
      </c>
      <c r="N222" s="257">
        <v>547181.99</v>
      </c>
    </row>
    <row r="223" spans="1:14" s="143" customFormat="1" hidden="1" x14ac:dyDescent="0.25">
      <c r="A223" s="143" t="s">
        <v>706</v>
      </c>
      <c r="B223" s="143" t="s">
        <v>220</v>
      </c>
      <c r="C223" s="143" t="s">
        <v>221</v>
      </c>
      <c r="D223" s="143" t="s">
        <v>69</v>
      </c>
      <c r="E223" s="257">
        <v>340000</v>
      </c>
      <c r="F223" s="257">
        <v>340000</v>
      </c>
      <c r="G223" s="257">
        <v>170000</v>
      </c>
      <c r="H223" s="257">
        <v>0</v>
      </c>
      <c r="I223" s="257">
        <v>0</v>
      </c>
      <c r="J223" s="257">
        <v>0</v>
      </c>
      <c r="K223" s="257">
        <v>0</v>
      </c>
      <c r="L223" s="257">
        <v>0</v>
      </c>
      <c r="M223" s="257">
        <v>340000</v>
      </c>
      <c r="N223" s="257">
        <v>170000</v>
      </c>
    </row>
    <row r="224" spans="1:14" s="143" customFormat="1" hidden="1" x14ac:dyDescent="0.25">
      <c r="A224" s="143" t="s">
        <v>706</v>
      </c>
      <c r="B224" s="143" t="s">
        <v>222</v>
      </c>
      <c r="C224" s="143" t="s">
        <v>223</v>
      </c>
      <c r="D224" s="143" t="s">
        <v>69</v>
      </c>
      <c r="E224" s="257">
        <v>1393100</v>
      </c>
      <c r="F224" s="257">
        <v>1393100</v>
      </c>
      <c r="G224" s="257">
        <v>1393100</v>
      </c>
      <c r="H224" s="257">
        <v>0</v>
      </c>
      <c r="I224" s="257">
        <v>109980</v>
      </c>
      <c r="J224" s="257">
        <v>846000</v>
      </c>
      <c r="K224" s="257">
        <v>363740</v>
      </c>
      <c r="L224" s="257">
        <v>363740</v>
      </c>
      <c r="M224" s="257">
        <v>73380</v>
      </c>
      <c r="N224" s="257">
        <v>73380</v>
      </c>
    </row>
    <row r="225" spans="1:14" s="143" customFormat="1" hidden="1" x14ac:dyDescent="0.25">
      <c r="A225" s="143" t="s">
        <v>706</v>
      </c>
      <c r="B225" s="143" t="s">
        <v>224</v>
      </c>
      <c r="C225" s="143" t="s">
        <v>225</v>
      </c>
      <c r="D225" s="143" t="s">
        <v>69</v>
      </c>
      <c r="E225" s="257">
        <v>2296200</v>
      </c>
      <c r="F225" s="257">
        <v>2296200</v>
      </c>
      <c r="G225" s="257">
        <v>648100</v>
      </c>
      <c r="H225" s="257">
        <v>0</v>
      </c>
      <c r="I225" s="257">
        <v>0</v>
      </c>
      <c r="J225" s="257">
        <v>0</v>
      </c>
      <c r="K225" s="257">
        <v>15000</v>
      </c>
      <c r="L225" s="257">
        <v>15000</v>
      </c>
      <c r="M225" s="257">
        <v>2281200</v>
      </c>
      <c r="N225" s="257">
        <v>633100</v>
      </c>
    </row>
    <row r="226" spans="1:14" s="143" customFormat="1" hidden="1" x14ac:dyDescent="0.25">
      <c r="A226" s="143" t="s">
        <v>706</v>
      </c>
      <c r="B226" s="143" t="s">
        <v>228</v>
      </c>
      <c r="C226" s="143" t="s">
        <v>229</v>
      </c>
      <c r="D226" s="143" t="s">
        <v>69</v>
      </c>
      <c r="E226" s="257">
        <v>750200</v>
      </c>
      <c r="F226" s="257">
        <v>750200</v>
      </c>
      <c r="G226" s="257">
        <v>527100</v>
      </c>
      <c r="H226" s="257">
        <v>0</v>
      </c>
      <c r="I226" s="257">
        <v>2600</v>
      </c>
      <c r="J226" s="257">
        <v>0</v>
      </c>
      <c r="K226" s="257">
        <v>336840</v>
      </c>
      <c r="L226" s="257">
        <v>336840</v>
      </c>
      <c r="M226" s="257">
        <v>410760</v>
      </c>
      <c r="N226" s="257">
        <v>187660</v>
      </c>
    </row>
    <row r="227" spans="1:14" s="143" customFormat="1" hidden="1" x14ac:dyDescent="0.25">
      <c r="A227" s="143" t="s">
        <v>706</v>
      </c>
      <c r="B227" s="143" t="s">
        <v>230</v>
      </c>
      <c r="C227" s="143" t="s">
        <v>231</v>
      </c>
      <c r="D227" s="143" t="s">
        <v>85</v>
      </c>
      <c r="E227" s="257">
        <v>744452300</v>
      </c>
      <c r="F227" s="257">
        <v>639452300</v>
      </c>
      <c r="G227" s="257">
        <v>265726150</v>
      </c>
      <c r="H227" s="257">
        <v>59882936.200000003</v>
      </c>
      <c r="I227" s="257">
        <v>6198631.8600000003</v>
      </c>
      <c r="J227" s="257">
        <v>0</v>
      </c>
      <c r="K227" s="257">
        <v>0</v>
      </c>
      <c r="L227" s="257">
        <v>0</v>
      </c>
      <c r="M227" s="257">
        <v>573370731.94000006</v>
      </c>
      <c r="N227" s="257">
        <v>199644581.94</v>
      </c>
    </row>
    <row r="228" spans="1:14" s="143" customFormat="1" hidden="1" x14ac:dyDescent="0.25">
      <c r="A228" s="143" t="s">
        <v>706</v>
      </c>
      <c r="B228" s="143" t="s">
        <v>232</v>
      </c>
      <c r="C228" s="143" t="s">
        <v>233</v>
      </c>
      <c r="D228" s="143" t="s">
        <v>85</v>
      </c>
      <c r="E228" s="257">
        <v>67752300</v>
      </c>
      <c r="F228" s="257">
        <v>62752300</v>
      </c>
      <c r="G228" s="257">
        <v>38626150</v>
      </c>
      <c r="H228" s="257">
        <v>21930181.199999999</v>
      </c>
      <c r="I228" s="257">
        <v>0</v>
      </c>
      <c r="J228" s="257">
        <v>0</v>
      </c>
      <c r="K228" s="257">
        <v>0</v>
      </c>
      <c r="L228" s="257">
        <v>0</v>
      </c>
      <c r="M228" s="257">
        <v>40822118.799999997</v>
      </c>
      <c r="N228" s="257">
        <v>16695968.800000001</v>
      </c>
    </row>
    <row r="229" spans="1:14" s="143" customFormat="1" hidden="1" x14ac:dyDescent="0.25">
      <c r="A229" s="143" t="s">
        <v>706</v>
      </c>
      <c r="B229" s="143" t="s">
        <v>238</v>
      </c>
      <c r="C229" s="143" t="s">
        <v>239</v>
      </c>
      <c r="D229" s="143" t="s">
        <v>85</v>
      </c>
      <c r="E229" s="257">
        <v>45252300</v>
      </c>
      <c r="F229" s="257">
        <v>40252300</v>
      </c>
      <c r="G229" s="257">
        <v>16126150</v>
      </c>
      <c r="H229" s="257">
        <v>0</v>
      </c>
      <c r="I229" s="257">
        <v>0</v>
      </c>
      <c r="J229" s="257">
        <v>0</v>
      </c>
      <c r="K229" s="257">
        <v>0</v>
      </c>
      <c r="L229" s="257">
        <v>0</v>
      </c>
      <c r="M229" s="257">
        <v>40252300</v>
      </c>
      <c r="N229" s="257">
        <v>16126150</v>
      </c>
    </row>
    <row r="230" spans="1:14" s="143" customFormat="1" hidden="1" x14ac:dyDescent="0.25">
      <c r="A230" s="143" t="s">
        <v>706</v>
      </c>
      <c r="B230" s="143" t="s">
        <v>282</v>
      </c>
      <c r="C230" s="143" t="s">
        <v>283</v>
      </c>
      <c r="D230" s="143" t="s">
        <v>85</v>
      </c>
      <c r="E230" s="257">
        <v>22500000</v>
      </c>
      <c r="F230" s="257">
        <v>22500000</v>
      </c>
      <c r="G230" s="257">
        <v>22500000</v>
      </c>
      <c r="H230" s="257">
        <v>21930181.199999999</v>
      </c>
      <c r="I230" s="257">
        <v>0</v>
      </c>
      <c r="J230" s="257">
        <v>0</v>
      </c>
      <c r="K230" s="257">
        <v>0</v>
      </c>
      <c r="L230" s="257">
        <v>0</v>
      </c>
      <c r="M230" s="257">
        <v>569818.80000000005</v>
      </c>
      <c r="N230" s="257">
        <v>569818.80000000005</v>
      </c>
    </row>
    <row r="231" spans="1:14" s="143" customFormat="1" hidden="1" x14ac:dyDescent="0.25">
      <c r="A231" s="143" t="s">
        <v>706</v>
      </c>
      <c r="B231" s="143" t="s">
        <v>328</v>
      </c>
      <c r="C231" s="143" t="s">
        <v>329</v>
      </c>
      <c r="D231" s="143" t="s">
        <v>85</v>
      </c>
      <c r="E231" s="257">
        <v>630000000</v>
      </c>
      <c r="F231" s="257">
        <v>530000000</v>
      </c>
      <c r="G231" s="257">
        <v>180400000</v>
      </c>
      <c r="H231" s="257">
        <v>0</v>
      </c>
      <c r="I231" s="257">
        <v>0</v>
      </c>
      <c r="J231" s="257">
        <v>0</v>
      </c>
      <c r="K231" s="257">
        <v>0</v>
      </c>
      <c r="L231" s="257">
        <v>0</v>
      </c>
      <c r="M231" s="257">
        <v>530000000</v>
      </c>
      <c r="N231" s="257">
        <v>180400000</v>
      </c>
    </row>
    <row r="232" spans="1:14" s="143" customFormat="1" hidden="1" x14ac:dyDescent="0.25">
      <c r="A232" s="143" t="s">
        <v>706</v>
      </c>
      <c r="B232" s="143" t="s">
        <v>330</v>
      </c>
      <c r="C232" s="143" t="s">
        <v>331</v>
      </c>
      <c r="D232" s="143" t="s">
        <v>85</v>
      </c>
      <c r="E232" s="257">
        <v>630000000</v>
      </c>
      <c r="F232" s="257">
        <v>530000000</v>
      </c>
      <c r="G232" s="257">
        <v>180400000</v>
      </c>
      <c r="H232" s="257">
        <v>0</v>
      </c>
      <c r="I232" s="257">
        <v>0</v>
      </c>
      <c r="J232" s="257">
        <v>0</v>
      </c>
      <c r="K232" s="257">
        <v>0</v>
      </c>
      <c r="L232" s="257">
        <v>0</v>
      </c>
      <c r="M232" s="257">
        <v>530000000</v>
      </c>
      <c r="N232" s="257">
        <v>180400000</v>
      </c>
    </row>
    <row r="233" spans="1:14" s="143" customFormat="1" hidden="1" x14ac:dyDescent="0.25">
      <c r="A233" s="143" t="s">
        <v>706</v>
      </c>
      <c r="B233" s="143" t="s">
        <v>244</v>
      </c>
      <c r="C233" s="143" t="s">
        <v>245</v>
      </c>
      <c r="D233" s="143" t="s">
        <v>85</v>
      </c>
      <c r="E233" s="257">
        <v>46700000</v>
      </c>
      <c r="F233" s="257">
        <v>46700000</v>
      </c>
      <c r="G233" s="257">
        <v>46700000</v>
      </c>
      <c r="H233" s="257">
        <v>37952755</v>
      </c>
      <c r="I233" s="257">
        <v>6198631.8600000003</v>
      </c>
      <c r="J233" s="257">
        <v>0</v>
      </c>
      <c r="K233" s="257">
        <v>0</v>
      </c>
      <c r="L233" s="257">
        <v>0</v>
      </c>
      <c r="M233" s="257">
        <v>2548613.14</v>
      </c>
      <c r="N233" s="257">
        <v>2548613.14</v>
      </c>
    </row>
    <row r="234" spans="1:14" s="143" customFormat="1" hidden="1" x14ac:dyDescent="0.25">
      <c r="A234" s="143" t="s">
        <v>706</v>
      </c>
      <c r="B234" s="143" t="s">
        <v>246</v>
      </c>
      <c r="C234" s="143" t="s">
        <v>247</v>
      </c>
      <c r="D234" s="143" t="s">
        <v>85</v>
      </c>
      <c r="E234" s="257">
        <v>46700000</v>
      </c>
      <c r="F234" s="257">
        <v>46700000</v>
      </c>
      <c r="G234" s="257">
        <v>46700000</v>
      </c>
      <c r="H234" s="257">
        <v>37952755</v>
      </c>
      <c r="I234" s="257">
        <v>6198631.8600000003</v>
      </c>
      <c r="J234" s="257">
        <v>0</v>
      </c>
      <c r="K234" s="257">
        <v>0</v>
      </c>
      <c r="L234" s="257">
        <v>0</v>
      </c>
      <c r="M234" s="257">
        <v>2548613.14</v>
      </c>
      <c r="N234" s="257">
        <v>2548613.14</v>
      </c>
    </row>
    <row r="235" spans="1:14" s="143" customFormat="1" hidden="1" x14ac:dyDescent="0.25">
      <c r="A235" s="143" t="s">
        <v>706</v>
      </c>
      <c r="B235" s="143" t="s">
        <v>248</v>
      </c>
      <c r="C235" s="143" t="s">
        <v>249</v>
      </c>
      <c r="D235" s="143" t="s">
        <v>69</v>
      </c>
      <c r="E235" s="257">
        <v>218960452</v>
      </c>
      <c r="F235" s="257">
        <v>218520108</v>
      </c>
      <c r="G235" s="257">
        <v>107920108</v>
      </c>
      <c r="H235" s="257">
        <v>0</v>
      </c>
      <c r="I235" s="257">
        <v>11573817.57</v>
      </c>
      <c r="J235" s="257">
        <v>0</v>
      </c>
      <c r="K235" s="257">
        <v>6575623.4299999997</v>
      </c>
      <c r="L235" s="257">
        <v>6575623.4299999997</v>
      </c>
      <c r="M235" s="257">
        <v>200370667</v>
      </c>
      <c r="N235" s="257">
        <v>89770667</v>
      </c>
    </row>
    <row r="236" spans="1:14" s="143" customFormat="1" hidden="1" x14ac:dyDescent="0.25">
      <c r="A236" s="143" t="s">
        <v>706</v>
      </c>
      <c r="B236" s="143" t="s">
        <v>250</v>
      </c>
      <c r="C236" s="143" t="s">
        <v>251</v>
      </c>
      <c r="D236" s="143" t="s">
        <v>69</v>
      </c>
      <c r="E236" s="257">
        <v>17259352</v>
      </c>
      <c r="F236" s="257">
        <v>16819008</v>
      </c>
      <c r="G236" s="257">
        <v>16819008</v>
      </c>
      <c r="H236" s="257">
        <v>0</v>
      </c>
      <c r="I236" s="257">
        <v>11573817.57</v>
      </c>
      <c r="J236" s="257">
        <v>0</v>
      </c>
      <c r="K236" s="257">
        <v>5245190.43</v>
      </c>
      <c r="L236" s="257">
        <v>5245190.43</v>
      </c>
      <c r="M236" s="257">
        <v>0</v>
      </c>
      <c r="N236" s="257">
        <v>0</v>
      </c>
    </row>
    <row r="237" spans="1:14" s="143" customFormat="1" hidden="1" x14ac:dyDescent="0.25">
      <c r="A237" s="143" t="s">
        <v>706</v>
      </c>
      <c r="B237" s="143" t="s">
        <v>628</v>
      </c>
      <c r="C237" s="143" t="s">
        <v>702</v>
      </c>
      <c r="D237" s="143" t="s">
        <v>69</v>
      </c>
      <c r="E237" s="257">
        <v>14660103</v>
      </c>
      <c r="F237" s="257">
        <v>14286075</v>
      </c>
      <c r="G237" s="257">
        <v>14286075</v>
      </c>
      <c r="H237" s="257">
        <v>0</v>
      </c>
      <c r="I237" s="257">
        <v>9863651.4499999993</v>
      </c>
      <c r="J237" s="257">
        <v>0</v>
      </c>
      <c r="K237" s="257">
        <v>4422423.55</v>
      </c>
      <c r="L237" s="257">
        <v>4422423.55</v>
      </c>
      <c r="M237" s="257">
        <v>0</v>
      </c>
      <c r="N237" s="257">
        <v>0</v>
      </c>
    </row>
    <row r="238" spans="1:14" s="143" customFormat="1" hidden="1" x14ac:dyDescent="0.25">
      <c r="A238" s="143" t="s">
        <v>706</v>
      </c>
      <c r="B238" s="143" t="s">
        <v>643</v>
      </c>
      <c r="C238" s="143" t="s">
        <v>703</v>
      </c>
      <c r="D238" s="143" t="s">
        <v>69</v>
      </c>
      <c r="E238" s="257">
        <v>2599249</v>
      </c>
      <c r="F238" s="257">
        <v>2532933</v>
      </c>
      <c r="G238" s="257">
        <v>2532933</v>
      </c>
      <c r="H238" s="257">
        <v>0</v>
      </c>
      <c r="I238" s="257">
        <v>1710166.12</v>
      </c>
      <c r="J238" s="257">
        <v>0</v>
      </c>
      <c r="K238" s="257">
        <v>822766.88</v>
      </c>
      <c r="L238" s="257">
        <v>822766.88</v>
      </c>
      <c r="M238" s="257">
        <v>0</v>
      </c>
      <c r="N238" s="257">
        <v>0</v>
      </c>
    </row>
    <row r="239" spans="1:14" s="143" customFormat="1" hidden="1" x14ac:dyDescent="0.25">
      <c r="A239" s="143" t="s">
        <v>706</v>
      </c>
      <c r="B239" s="143" t="s">
        <v>260</v>
      </c>
      <c r="C239" s="143" t="s">
        <v>261</v>
      </c>
      <c r="D239" s="143" t="s">
        <v>69</v>
      </c>
      <c r="E239" s="257">
        <v>195701100</v>
      </c>
      <c r="F239" s="257">
        <v>195701100</v>
      </c>
      <c r="G239" s="257">
        <v>88101100</v>
      </c>
      <c r="H239" s="257">
        <v>0</v>
      </c>
      <c r="I239" s="257">
        <v>0</v>
      </c>
      <c r="J239" s="257">
        <v>0</v>
      </c>
      <c r="K239" s="257">
        <v>1330433</v>
      </c>
      <c r="L239" s="257">
        <v>1330433</v>
      </c>
      <c r="M239" s="257">
        <v>194370667</v>
      </c>
      <c r="N239" s="257">
        <v>86770667</v>
      </c>
    </row>
    <row r="240" spans="1:14" s="143" customFormat="1" hidden="1" x14ac:dyDescent="0.25">
      <c r="A240" s="143" t="s">
        <v>706</v>
      </c>
      <c r="B240" s="143" t="s">
        <v>262</v>
      </c>
      <c r="C240" s="143" t="s">
        <v>263</v>
      </c>
      <c r="D240" s="143" t="s">
        <v>69</v>
      </c>
      <c r="E240" s="257">
        <v>165701100</v>
      </c>
      <c r="F240" s="257">
        <v>165701100</v>
      </c>
      <c r="G240" s="257">
        <v>58101100</v>
      </c>
      <c r="H240" s="257">
        <v>0</v>
      </c>
      <c r="I240" s="257">
        <v>0</v>
      </c>
      <c r="J240" s="257">
        <v>0</v>
      </c>
      <c r="K240" s="257">
        <v>0</v>
      </c>
      <c r="L240" s="257">
        <v>0</v>
      </c>
      <c r="M240" s="257">
        <v>165701100</v>
      </c>
      <c r="N240" s="257">
        <v>58101100</v>
      </c>
    </row>
    <row r="241" spans="1:14" s="143" customFormat="1" hidden="1" x14ac:dyDescent="0.25">
      <c r="A241" s="143" t="s">
        <v>706</v>
      </c>
      <c r="B241" s="143" t="s">
        <v>264</v>
      </c>
      <c r="C241" s="143" t="s">
        <v>265</v>
      </c>
      <c r="D241" s="143" t="s">
        <v>69</v>
      </c>
      <c r="E241" s="257">
        <v>30000000</v>
      </c>
      <c r="F241" s="257">
        <v>30000000</v>
      </c>
      <c r="G241" s="257">
        <v>30000000</v>
      </c>
      <c r="H241" s="257">
        <v>0</v>
      </c>
      <c r="I241" s="257">
        <v>0</v>
      </c>
      <c r="J241" s="257">
        <v>0</v>
      </c>
      <c r="K241" s="257">
        <v>1330433</v>
      </c>
      <c r="L241" s="257">
        <v>1330433</v>
      </c>
      <c r="M241" s="257">
        <v>28669567</v>
      </c>
      <c r="N241" s="257">
        <v>28669567</v>
      </c>
    </row>
    <row r="242" spans="1:14" s="143" customFormat="1" hidden="1" x14ac:dyDescent="0.25">
      <c r="A242" s="143" t="s">
        <v>706</v>
      </c>
      <c r="B242" s="143" t="s">
        <v>286</v>
      </c>
      <c r="C242" s="143" t="s">
        <v>287</v>
      </c>
      <c r="D242" s="143" t="s">
        <v>69</v>
      </c>
      <c r="E242" s="257">
        <v>6000000</v>
      </c>
      <c r="F242" s="257">
        <v>6000000</v>
      </c>
      <c r="G242" s="257">
        <v>3000000</v>
      </c>
      <c r="H242" s="257">
        <v>0</v>
      </c>
      <c r="I242" s="257">
        <v>0</v>
      </c>
      <c r="J242" s="257">
        <v>0</v>
      </c>
      <c r="K242" s="257">
        <v>0</v>
      </c>
      <c r="L242" s="257">
        <v>0</v>
      </c>
      <c r="M242" s="257">
        <v>6000000</v>
      </c>
      <c r="N242" s="257">
        <v>3000000</v>
      </c>
    </row>
    <row r="243" spans="1:14" s="143" customFormat="1" hidden="1" x14ac:dyDescent="0.25">
      <c r="A243" s="143" t="s">
        <v>706</v>
      </c>
      <c r="B243" s="143" t="s">
        <v>288</v>
      </c>
      <c r="C243" s="143" t="s">
        <v>289</v>
      </c>
      <c r="D243" s="143" t="s">
        <v>69</v>
      </c>
      <c r="E243" s="257">
        <v>6000000</v>
      </c>
      <c r="F243" s="257">
        <v>6000000</v>
      </c>
      <c r="G243" s="257">
        <v>3000000</v>
      </c>
      <c r="H243" s="257">
        <v>0</v>
      </c>
      <c r="I243" s="257">
        <v>0</v>
      </c>
      <c r="J243" s="257">
        <v>0</v>
      </c>
      <c r="K243" s="257">
        <v>0</v>
      </c>
      <c r="L243" s="257">
        <v>0</v>
      </c>
      <c r="M243" s="257">
        <v>6000000</v>
      </c>
      <c r="N243" s="257">
        <v>3000000</v>
      </c>
    </row>
    <row r="244" spans="1:14" s="143" customFormat="1" x14ac:dyDescent="0.25">
      <c r="A244" s="44">
        <v>214789</v>
      </c>
      <c r="D244" s="44" t="s">
        <v>69</v>
      </c>
      <c r="E244" s="257">
        <v>77210852108</v>
      </c>
      <c r="F244" s="50">
        <v>76491955083.419998</v>
      </c>
      <c r="G244" s="257">
        <v>67599772307</v>
      </c>
      <c r="H244" s="50">
        <v>351295740.60000002</v>
      </c>
      <c r="I244" s="50">
        <v>14083918509.99</v>
      </c>
      <c r="J244" s="50">
        <v>102727425.72</v>
      </c>
      <c r="K244" s="50">
        <v>22510767910.84</v>
      </c>
      <c r="L244" s="50">
        <v>21543829572.889999</v>
      </c>
      <c r="M244" s="50">
        <v>39443245496.269997</v>
      </c>
      <c r="N244" s="257">
        <v>30551062719.849998</v>
      </c>
    </row>
    <row r="245" spans="1:14" s="143" customFormat="1" hidden="1" x14ac:dyDescent="0.25">
      <c r="A245" s="143" t="s">
        <v>707</v>
      </c>
      <c r="B245" s="143" t="s">
        <v>71</v>
      </c>
      <c r="C245" s="143" t="s">
        <v>72</v>
      </c>
      <c r="D245" s="143" t="s">
        <v>69</v>
      </c>
      <c r="E245" s="257">
        <v>48966684366</v>
      </c>
      <c r="F245" s="257">
        <v>48172940441</v>
      </c>
      <c r="G245" s="257">
        <v>44715038449</v>
      </c>
      <c r="H245" s="257">
        <v>0</v>
      </c>
      <c r="I245" s="257">
        <v>4396116422</v>
      </c>
      <c r="J245" s="257">
        <v>0</v>
      </c>
      <c r="K245" s="257">
        <v>16687637575.57</v>
      </c>
      <c r="L245" s="257">
        <v>16687637575.57</v>
      </c>
      <c r="M245" s="257">
        <v>27089186443.43</v>
      </c>
      <c r="N245" s="257">
        <v>23631284451.43</v>
      </c>
    </row>
    <row r="246" spans="1:14" s="143" customFormat="1" hidden="1" x14ac:dyDescent="0.25">
      <c r="A246" s="143" t="s">
        <v>707</v>
      </c>
      <c r="B246" s="143" t="s">
        <v>73</v>
      </c>
      <c r="C246" s="143" t="s">
        <v>74</v>
      </c>
      <c r="D246" s="143" t="s">
        <v>69</v>
      </c>
      <c r="E246" s="257">
        <v>17541843984</v>
      </c>
      <c r="F246" s="257">
        <v>17057005800</v>
      </c>
      <c r="G246" s="257">
        <v>14895960310</v>
      </c>
      <c r="H246" s="257">
        <v>0</v>
      </c>
      <c r="I246" s="257">
        <v>0</v>
      </c>
      <c r="J246" s="257">
        <v>0</v>
      </c>
      <c r="K246" s="257">
        <v>5416155116.8599997</v>
      </c>
      <c r="L246" s="257">
        <v>5416155116.8599997</v>
      </c>
      <c r="M246" s="257">
        <v>11640850683.139999</v>
      </c>
      <c r="N246" s="257">
        <v>9479805193.1399994</v>
      </c>
    </row>
    <row r="247" spans="1:14" s="143" customFormat="1" hidden="1" x14ac:dyDescent="0.25">
      <c r="A247" s="143" t="s">
        <v>707</v>
      </c>
      <c r="B247" s="143" t="s">
        <v>75</v>
      </c>
      <c r="C247" s="143" t="s">
        <v>76</v>
      </c>
      <c r="D247" s="143" t="s">
        <v>69</v>
      </c>
      <c r="E247" s="257">
        <v>17541843984</v>
      </c>
      <c r="F247" s="257">
        <v>17057005800</v>
      </c>
      <c r="G247" s="257">
        <v>14895960310</v>
      </c>
      <c r="H247" s="257">
        <v>0</v>
      </c>
      <c r="I247" s="257">
        <v>0</v>
      </c>
      <c r="J247" s="257">
        <v>0</v>
      </c>
      <c r="K247" s="257">
        <v>5416155116.8599997</v>
      </c>
      <c r="L247" s="257">
        <v>5416155116.8599997</v>
      </c>
      <c r="M247" s="257">
        <v>11640850683.139999</v>
      </c>
      <c r="N247" s="257">
        <v>9479805193.1399994</v>
      </c>
    </row>
    <row r="248" spans="1:14" s="143" customFormat="1" hidden="1" x14ac:dyDescent="0.25">
      <c r="A248" s="143" t="s">
        <v>707</v>
      </c>
      <c r="B248" s="143" t="s">
        <v>293</v>
      </c>
      <c r="C248" s="143" t="s">
        <v>294</v>
      </c>
      <c r="D248" s="143" t="s">
        <v>69</v>
      </c>
      <c r="E248" s="257">
        <v>3681614000</v>
      </c>
      <c r="F248" s="257">
        <v>3681614000</v>
      </c>
      <c r="G248" s="257">
        <v>3681614000</v>
      </c>
      <c r="H248" s="257">
        <v>0</v>
      </c>
      <c r="I248" s="257">
        <v>0</v>
      </c>
      <c r="J248" s="257">
        <v>0</v>
      </c>
      <c r="K248" s="257">
        <v>1218226328.48</v>
      </c>
      <c r="L248" s="257">
        <v>1218226328.48</v>
      </c>
      <c r="M248" s="257">
        <v>2463387671.52</v>
      </c>
      <c r="N248" s="257">
        <v>2463387671.52</v>
      </c>
    </row>
    <row r="249" spans="1:14" s="143" customFormat="1" hidden="1" x14ac:dyDescent="0.25">
      <c r="A249" s="143" t="s">
        <v>707</v>
      </c>
      <c r="B249" s="143" t="s">
        <v>295</v>
      </c>
      <c r="C249" s="143" t="s">
        <v>296</v>
      </c>
      <c r="D249" s="143" t="s">
        <v>69</v>
      </c>
      <c r="E249" s="257">
        <v>8000000</v>
      </c>
      <c r="F249" s="257">
        <v>8000000</v>
      </c>
      <c r="G249" s="257">
        <v>8000000</v>
      </c>
      <c r="H249" s="257">
        <v>0</v>
      </c>
      <c r="I249" s="257">
        <v>0</v>
      </c>
      <c r="J249" s="257">
        <v>0</v>
      </c>
      <c r="K249" s="257">
        <v>3419377.48</v>
      </c>
      <c r="L249" s="257">
        <v>3419377.48</v>
      </c>
      <c r="M249" s="257">
        <v>4580622.5199999996</v>
      </c>
      <c r="N249" s="257">
        <v>4580622.5199999996</v>
      </c>
    </row>
    <row r="250" spans="1:14" s="143" customFormat="1" hidden="1" x14ac:dyDescent="0.25">
      <c r="A250" s="143" t="s">
        <v>707</v>
      </c>
      <c r="B250" s="143" t="s">
        <v>337</v>
      </c>
      <c r="C250" s="143" t="s">
        <v>338</v>
      </c>
      <c r="D250" s="143" t="s">
        <v>69</v>
      </c>
      <c r="E250" s="257">
        <v>25000000</v>
      </c>
      <c r="F250" s="257">
        <v>25000000</v>
      </c>
      <c r="G250" s="257">
        <v>25000000</v>
      </c>
      <c r="H250" s="257">
        <v>0</v>
      </c>
      <c r="I250" s="257">
        <v>0</v>
      </c>
      <c r="J250" s="257">
        <v>0</v>
      </c>
      <c r="K250" s="257">
        <v>1063470</v>
      </c>
      <c r="L250" s="257">
        <v>1063470</v>
      </c>
      <c r="M250" s="257">
        <v>23936530</v>
      </c>
      <c r="N250" s="257">
        <v>23936530</v>
      </c>
    </row>
    <row r="251" spans="1:14" s="143" customFormat="1" hidden="1" x14ac:dyDescent="0.25">
      <c r="A251" s="143" t="s">
        <v>707</v>
      </c>
      <c r="B251" s="143" t="s">
        <v>339</v>
      </c>
      <c r="C251" s="143" t="s">
        <v>340</v>
      </c>
      <c r="D251" s="143" t="s">
        <v>69</v>
      </c>
      <c r="E251" s="257">
        <v>3648614000</v>
      </c>
      <c r="F251" s="257">
        <v>3648614000</v>
      </c>
      <c r="G251" s="257">
        <v>3648614000</v>
      </c>
      <c r="H251" s="257">
        <v>0</v>
      </c>
      <c r="I251" s="257">
        <v>0</v>
      </c>
      <c r="J251" s="257">
        <v>0</v>
      </c>
      <c r="K251" s="257">
        <v>1213743481</v>
      </c>
      <c r="L251" s="257">
        <v>1213743481</v>
      </c>
      <c r="M251" s="257">
        <v>2434870519</v>
      </c>
      <c r="N251" s="257">
        <v>2434870519</v>
      </c>
    </row>
    <row r="252" spans="1:14" s="143" customFormat="1" hidden="1" x14ac:dyDescent="0.25">
      <c r="A252" s="143" t="s">
        <v>707</v>
      </c>
      <c r="B252" s="143" t="s">
        <v>77</v>
      </c>
      <c r="C252" s="143" t="s">
        <v>78</v>
      </c>
      <c r="D252" s="143" t="s">
        <v>69</v>
      </c>
      <c r="E252" s="257">
        <v>20273537632</v>
      </c>
      <c r="F252" s="257">
        <v>20075354521</v>
      </c>
      <c r="G252" s="257">
        <v>18844168170</v>
      </c>
      <c r="H252" s="257">
        <v>0</v>
      </c>
      <c r="I252" s="257">
        <v>0</v>
      </c>
      <c r="J252" s="257">
        <v>0</v>
      </c>
      <c r="K252" s="257">
        <v>7156076583.2299995</v>
      </c>
      <c r="L252" s="257">
        <v>7156076583.2299995</v>
      </c>
      <c r="M252" s="257">
        <v>12919277937.77</v>
      </c>
      <c r="N252" s="257">
        <v>11688091586.77</v>
      </c>
    </row>
    <row r="253" spans="1:14" s="143" customFormat="1" hidden="1" x14ac:dyDescent="0.25">
      <c r="A253" s="143" t="s">
        <v>707</v>
      </c>
      <c r="B253" s="143" t="s">
        <v>79</v>
      </c>
      <c r="C253" s="143" t="s">
        <v>80</v>
      </c>
      <c r="D253" s="143" t="s">
        <v>69</v>
      </c>
      <c r="E253" s="257">
        <v>7240363600</v>
      </c>
      <c r="F253" s="257">
        <v>7240363600</v>
      </c>
      <c r="G253" s="257">
        <v>6903593599</v>
      </c>
      <c r="H253" s="257">
        <v>0</v>
      </c>
      <c r="I253" s="257">
        <v>0</v>
      </c>
      <c r="J253" s="257">
        <v>0</v>
      </c>
      <c r="K253" s="257">
        <v>2242132531.6900001</v>
      </c>
      <c r="L253" s="257">
        <v>2242132531.6900001</v>
      </c>
      <c r="M253" s="257">
        <v>4998231068.3100004</v>
      </c>
      <c r="N253" s="257">
        <v>4661461067.3100004</v>
      </c>
    </row>
    <row r="254" spans="1:14" s="143" customFormat="1" hidden="1" x14ac:dyDescent="0.25">
      <c r="A254" s="143" t="s">
        <v>707</v>
      </c>
      <c r="B254" s="143" t="s">
        <v>81</v>
      </c>
      <c r="C254" s="143" t="s">
        <v>82</v>
      </c>
      <c r="D254" s="143" t="s">
        <v>69</v>
      </c>
      <c r="E254" s="257">
        <v>646663149</v>
      </c>
      <c r="F254" s="257">
        <v>507159410</v>
      </c>
      <c r="G254" s="257">
        <v>507159410</v>
      </c>
      <c r="H254" s="257">
        <v>0</v>
      </c>
      <c r="I254" s="257">
        <v>0</v>
      </c>
      <c r="J254" s="257">
        <v>0</v>
      </c>
      <c r="K254" s="257">
        <v>153993179.00999999</v>
      </c>
      <c r="L254" s="257">
        <v>153993179.00999999</v>
      </c>
      <c r="M254" s="257">
        <v>353166230.99000001</v>
      </c>
      <c r="N254" s="257">
        <v>353166230.99000001</v>
      </c>
    </row>
    <row r="255" spans="1:14" s="143" customFormat="1" hidden="1" x14ac:dyDescent="0.25">
      <c r="A255" s="143" t="s">
        <v>707</v>
      </c>
      <c r="B255" s="143" t="s">
        <v>83</v>
      </c>
      <c r="C255" s="143" t="s">
        <v>84</v>
      </c>
      <c r="D255" s="143" t="s">
        <v>85</v>
      </c>
      <c r="E255" s="257">
        <v>3190897883</v>
      </c>
      <c r="F255" s="257">
        <v>3138377184</v>
      </c>
      <c r="G255" s="257">
        <v>2243960834</v>
      </c>
      <c r="H255" s="257">
        <v>0</v>
      </c>
      <c r="I255" s="257">
        <v>0</v>
      </c>
      <c r="J255" s="257">
        <v>0</v>
      </c>
      <c r="K255" s="257">
        <v>152808.79999999999</v>
      </c>
      <c r="L255" s="257">
        <v>152808.79999999999</v>
      </c>
      <c r="M255" s="257">
        <v>3138224375.1999998</v>
      </c>
      <c r="N255" s="257">
        <v>2243808025.1999998</v>
      </c>
    </row>
    <row r="256" spans="1:14" s="143" customFormat="1" hidden="1" x14ac:dyDescent="0.25">
      <c r="A256" s="143" t="s">
        <v>707</v>
      </c>
      <c r="B256" s="143" t="s">
        <v>86</v>
      </c>
      <c r="C256" s="143" t="s">
        <v>87</v>
      </c>
      <c r="D256" s="143" t="s">
        <v>69</v>
      </c>
      <c r="E256" s="257">
        <v>2924191700</v>
      </c>
      <c r="F256" s="257">
        <v>2924191700</v>
      </c>
      <c r="G256" s="257">
        <v>2924191700</v>
      </c>
      <c r="H256" s="257">
        <v>0</v>
      </c>
      <c r="I256" s="257">
        <v>0</v>
      </c>
      <c r="J256" s="257">
        <v>0</v>
      </c>
      <c r="K256" s="257">
        <v>2864019903.27</v>
      </c>
      <c r="L256" s="257">
        <v>2864019903.27</v>
      </c>
      <c r="M256" s="257">
        <v>60171796.729999997</v>
      </c>
      <c r="N256" s="257">
        <v>60171796.729999997</v>
      </c>
    </row>
    <row r="257" spans="1:14" s="143" customFormat="1" hidden="1" x14ac:dyDescent="0.25">
      <c r="A257" s="143" t="s">
        <v>707</v>
      </c>
      <c r="B257" s="143" t="s">
        <v>88</v>
      </c>
      <c r="C257" s="143" t="s">
        <v>89</v>
      </c>
      <c r="D257" s="143" t="s">
        <v>69</v>
      </c>
      <c r="E257" s="257">
        <v>6271421300</v>
      </c>
      <c r="F257" s="257">
        <v>6265262627</v>
      </c>
      <c r="G257" s="257">
        <v>6265262627</v>
      </c>
      <c r="H257" s="257">
        <v>0</v>
      </c>
      <c r="I257" s="257">
        <v>0</v>
      </c>
      <c r="J257" s="257">
        <v>0</v>
      </c>
      <c r="K257" s="257">
        <v>1895778160.46</v>
      </c>
      <c r="L257" s="257">
        <v>1895778160.46</v>
      </c>
      <c r="M257" s="257">
        <v>4369484466.54</v>
      </c>
      <c r="N257" s="257">
        <v>4369484466.54</v>
      </c>
    </row>
    <row r="258" spans="1:14" s="143" customFormat="1" hidden="1" x14ac:dyDescent="0.25">
      <c r="A258" s="143" t="s">
        <v>707</v>
      </c>
      <c r="B258" s="143" t="s">
        <v>90</v>
      </c>
      <c r="C258" s="143" t="s">
        <v>91</v>
      </c>
      <c r="D258" s="143" t="s">
        <v>69</v>
      </c>
      <c r="E258" s="257">
        <v>3734844376</v>
      </c>
      <c r="F258" s="257">
        <v>3679483060</v>
      </c>
      <c r="G258" s="257">
        <v>3646647985</v>
      </c>
      <c r="H258" s="257">
        <v>0</v>
      </c>
      <c r="I258" s="257">
        <v>2192289417</v>
      </c>
      <c r="J258" s="257">
        <v>0</v>
      </c>
      <c r="K258" s="257">
        <v>1454358568</v>
      </c>
      <c r="L258" s="257">
        <v>1454358568</v>
      </c>
      <c r="M258" s="257">
        <v>32835075</v>
      </c>
      <c r="N258" s="257">
        <v>0</v>
      </c>
    </row>
    <row r="259" spans="1:14" s="143" customFormat="1" hidden="1" x14ac:dyDescent="0.25">
      <c r="A259" s="143" t="s">
        <v>707</v>
      </c>
      <c r="B259" s="143" t="s">
        <v>420</v>
      </c>
      <c r="C259" s="143" t="s">
        <v>697</v>
      </c>
      <c r="D259" s="143" t="s">
        <v>69</v>
      </c>
      <c r="E259" s="257">
        <v>3543313962</v>
      </c>
      <c r="F259" s="257">
        <v>3490791688</v>
      </c>
      <c r="G259" s="257">
        <v>3459640463</v>
      </c>
      <c r="H259" s="257">
        <v>0</v>
      </c>
      <c r="I259" s="257">
        <v>2079857544</v>
      </c>
      <c r="J259" s="257">
        <v>0</v>
      </c>
      <c r="K259" s="257">
        <v>1379782919</v>
      </c>
      <c r="L259" s="257">
        <v>1379782919</v>
      </c>
      <c r="M259" s="257">
        <v>31151225</v>
      </c>
      <c r="N259" s="257">
        <v>0</v>
      </c>
    </row>
    <row r="260" spans="1:14" s="143" customFormat="1" hidden="1" x14ac:dyDescent="0.25">
      <c r="A260" s="143" t="s">
        <v>707</v>
      </c>
      <c r="B260" s="143" t="s">
        <v>437</v>
      </c>
      <c r="C260" s="143" t="s">
        <v>95</v>
      </c>
      <c r="D260" s="143" t="s">
        <v>69</v>
      </c>
      <c r="E260" s="257">
        <v>191530414</v>
      </c>
      <c r="F260" s="257">
        <v>188691372</v>
      </c>
      <c r="G260" s="257">
        <v>187007522</v>
      </c>
      <c r="H260" s="257">
        <v>0</v>
      </c>
      <c r="I260" s="257">
        <v>112431873</v>
      </c>
      <c r="J260" s="257">
        <v>0</v>
      </c>
      <c r="K260" s="257">
        <v>74575649</v>
      </c>
      <c r="L260" s="257">
        <v>74575649</v>
      </c>
      <c r="M260" s="257">
        <v>1683850</v>
      </c>
      <c r="N260" s="257">
        <v>0</v>
      </c>
    </row>
    <row r="261" spans="1:14" s="143" customFormat="1" hidden="1" x14ac:dyDescent="0.25">
      <c r="A261" s="143" t="s">
        <v>707</v>
      </c>
      <c r="B261" s="143" t="s">
        <v>96</v>
      </c>
      <c r="C261" s="143" t="s">
        <v>97</v>
      </c>
      <c r="D261" s="143" t="s">
        <v>69</v>
      </c>
      <c r="E261" s="257">
        <v>3734844374</v>
      </c>
      <c r="F261" s="257">
        <v>3679483060</v>
      </c>
      <c r="G261" s="257">
        <v>3646647984</v>
      </c>
      <c r="H261" s="257">
        <v>0</v>
      </c>
      <c r="I261" s="257">
        <v>2203827005</v>
      </c>
      <c r="J261" s="257">
        <v>0</v>
      </c>
      <c r="K261" s="257">
        <v>1442820979</v>
      </c>
      <c r="L261" s="257">
        <v>1442820979</v>
      </c>
      <c r="M261" s="257">
        <v>32835076</v>
      </c>
      <c r="N261" s="257">
        <v>0</v>
      </c>
    </row>
    <row r="262" spans="1:14" s="143" customFormat="1" hidden="1" x14ac:dyDescent="0.25">
      <c r="A262" s="143" t="s">
        <v>707</v>
      </c>
      <c r="B262" s="143" t="s">
        <v>455</v>
      </c>
      <c r="C262" s="143" t="s">
        <v>698</v>
      </c>
      <c r="D262" s="143" t="s">
        <v>69</v>
      </c>
      <c r="E262" s="257">
        <v>2011070048</v>
      </c>
      <c r="F262" s="257">
        <v>1981260109</v>
      </c>
      <c r="G262" s="257">
        <v>1963579684</v>
      </c>
      <c r="H262" s="257">
        <v>0</v>
      </c>
      <c r="I262" s="257">
        <v>1191939494</v>
      </c>
      <c r="J262" s="257">
        <v>0</v>
      </c>
      <c r="K262" s="257">
        <v>771640190</v>
      </c>
      <c r="L262" s="257">
        <v>771640190</v>
      </c>
      <c r="M262" s="257">
        <v>17680425</v>
      </c>
      <c r="N262" s="257">
        <v>0</v>
      </c>
    </row>
    <row r="263" spans="1:14" s="143" customFormat="1" hidden="1" x14ac:dyDescent="0.25">
      <c r="A263" s="143" t="s">
        <v>707</v>
      </c>
      <c r="B263" s="143" t="s">
        <v>472</v>
      </c>
      <c r="C263" s="143" t="s">
        <v>699</v>
      </c>
      <c r="D263" s="143" t="s">
        <v>69</v>
      </c>
      <c r="E263" s="257">
        <v>574591442</v>
      </c>
      <c r="F263" s="257">
        <v>566074317</v>
      </c>
      <c r="G263" s="257">
        <v>561022767</v>
      </c>
      <c r="H263" s="257">
        <v>0</v>
      </c>
      <c r="I263" s="257">
        <v>337295832</v>
      </c>
      <c r="J263" s="257">
        <v>0</v>
      </c>
      <c r="K263" s="257">
        <v>223726935</v>
      </c>
      <c r="L263" s="257">
        <v>223726935</v>
      </c>
      <c r="M263" s="257">
        <v>5051550</v>
      </c>
      <c r="N263" s="257">
        <v>0</v>
      </c>
    </row>
    <row r="264" spans="1:14" s="143" customFormat="1" hidden="1" x14ac:dyDescent="0.25">
      <c r="A264" s="143" t="s">
        <v>707</v>
      </c>
      <c r="B264" s="143" t="s">
        <v>489</v>
      </c>
      <c r="C264" s="143" t="s">
        <v>700</v>
      </c>
      <c r="D264" s="143" t="s">
        <v>69</v>
      </c>
      <c r="E264" s="257">
        <v>1149182884</v>
      </c>
      <c r="F264" s="257">
        <v>1132148634</v>
      </c>
      <c r="G264" s="257">
        <v>1122045533</v>
      </c>
      <c r="H264" s="257">
        <v>0</v>
      </c>
      <c r="I264" s="257">
        <v>674591679</v>
      </c>
      <c r="J264" s="257">
        <v>0</v>
      </c>
      <c r="K264" s="257">
        <v>447453854</v>
      </c>
      <c r="L264" s="257">
        <v>447453854</v>
      </c>
      <c r="M264" s="257">
        <v>10103101</v>
      </c>
      <c r="N264" s="257">
        <v>0</v>
      </c>
    </row>
    <row r="265" spans="1:14" s="143" customFormat="1" hidden="1" x14ac:dyDescent="0.25">
      <c r="A265" s="143" t="s">
        <v>707</v>
      </c>
      <c r="B265" s="143" t="s">
        <v>104</v>
      </c>
      <c r="C265" s="143" t="s">
        <v>105</v>
      </c>
      <c r="D265" s="143" t="s">
        <v>69</v>
      </c>
      <c r="E265" s="257">
        <v>6509291577</v>
      </c>
      <c r="F265" s="257">
        <v>6506291577</v>
      </c>
      <c r="G265" s="257">
        <v>4134020793</v>
      </c>
      <c r="H265" s="257">
        <v>29825051.100000001</v>
      </c>
      <c r="I265" s="257">
        <v>1162697715.55</v>
      </c>
      <c r="J265" s="257">
        <v>13328956.130000001</v>
      </c>
      <c r="K265" s="257">
        <v>633078686.80999994</v>
      </c>
      <c r="L265" s="257">
        <v>601973055.32000005</v>
      </c>
      <c r="M265" s="257">
        <v>4667361167.4099998</v>
      </c>
      <c r="N265" s="257">
        <v>2295090383.4099998</v>
      </c>
    </row>
    <row r="266" spans="1:14" s="143" customFormat="1" hidden="1" x14ac:dyDescent="0.25">
      <c r="A266" s="143" t="s">
        <v>707</v>
      </c>
      <c r="B266" s="143" t="s">
        <v>106</v>
      </c>
      <c r="C266" s="143" t="s">
        <v>107</v>
      </c>
      <c r="D266" s="143" t="s">
        <v>69</v>
      </c>
      <c r="E266" s="257">
        <v>3002893777</v>
      </c>
      <c r="F266" s="257">
        <v>3002893777</v>
      </c>
      <c r="G266" s="257">
        <v>1654627409</v>
      </c>
      <c r="H266" s="257">
        <v>0</v>
      </c>
      <c r="I266" s="257">
        <v>513293605.08999997</v>
      </c>
      <c r="J266" s="257">
        <v>404862.4</v>
      </c>
      <c r="K266" s="257">
        <v>203202202.71000001</v>
      </c>
      <c r="L266" s="257">
        <v>201453239.31</v>
      </c>
      <c r="M266" s="257">
        <v>2285993106.8000002</v>
      </c>
      <c r="N266" s="257">
        <v>937726738.79999995</v>
      </c>
    </row>
    <row r="267" spans="1:14" s="143" customFormat="1" hidden="1" x14ac:dyDescent="0.25">
      <c r="A267" s="143" t="s">
        <v>707</v>
      </c>
      <c r="B267" s="143" t="s">
        <v>280</v>
      </c>
      <c r="C267" s="143" t="s">
        <v>281</v>
      </c>
      <c r="D267" s="143" t="s">
        <v>69</v>
      </c>
      <c r="E267" s="257">
        <v>540000000</v>
      </c>
      <c r="F267" s="257">
        <v>540000000</v>
      </c>
      <c r="G267" s="257">
        <v>427984396</v>
      </c>
      <c r="H267" s="257">
        <v>0</v>
      </c>
      <c r="I267" s="257">
        <v>2692211.9</v>
      </c>
      <c r="J267" s="257">
        <v>404862.4</v>
      </c>
      <c r="K267" s="257">
        <v>113768824.98</v>
      </c>
      <c r="L267" s="257">
        <v>112991186.58</v>
      </c>
      <c r="M267" s="257">
        <v>423134100.72000003</v>
      </c>
      <c r="N267" s="257">
        <v>311118496.72000003</v>
      </c>
    </row>
    <row r="268" spans="1:14" s="143" customFormat="1" hidden="1" x14ac:dyDescent="0.25">
      <c r="A268" s="143" t="s">
        <v>707</v>
      </c>
      <c r="B268" s="143" t="s">
        <v>108</v>
      </c>
      <c r="C268" s="143" t="s">
        <v>109</v>
      </c>
      <c r="D268" s="143" t="s">
        <v>69</v>
      </c>
      <c r="E268" s="257">
        <v>974595134</v>
      </c>
      <c r="F268" s="257">
        <v>974595134</v>
      </c>
      <c r="G268" s="257">
        <v>487297566</v>
      </c>
      <c r="H268" s="257">
        <v>0</v>
      </c>
      <c r="I268" s="257">
        <v>145729081.13999999</v>
      </c>
      <c r="J268" s="257">
        <v>0</v>
      </c>
      <c r="K268" s="257">
        <v>44698245.189999998</v>
      </c>
      <c r="L268" s="257">
        <v>44698245.189999998</v>
      </c>
      <c r="M268" s="257">
        <v>784167807.66999996</v>
      </c>
      <c r="N268" s="257">
        <v>296870239.67000002</v>
      </c>
    </row>
    <row r="269" spans="1:14" s="143" customFormat="1" hidden="1" x14ac:dyDescent="0.25">
      <c r="A269" s="143" t="s">
        <v>707</v>
      </c>
      <c r="B269" s="143" t="s">
        <v>304</v>
      </c>
      <c r="C269" s="143" t="s">
        <v>305</v>
      </c>
      <c r="D269" s="143" t="s">
        <v>69</v>
      </c>
      <c r="E269" s="257">
        <v>114061860</v>
      </c>
      <c r="F269" s="257">
        <v>114061860</v>
      </c>
      <c r="G269" s="257">
        <v>52227055</v>
      </c>
      <c r="H269" s="257">
        <v>0</v>
      </c>
      <c r="I269" s="257">
        <v>8742059.2300000004</v>
      </c>
      <c r="J269" s="257">
        <v>0</v>
      </c>
      <c r="K269" s="257">
        <v>0</v>
      </c>
      <c r="L269" s="257">
        <v>0</v>
      </c>
      <c r="M269" s="257">
        <v>105319800.77</v>
      </c>
      <c r="N269" s="257">
        <v>43484995.770000003</v>
      </c>
    </row>
    <row r="270" spans="1:14" s="143" customFormat="1" hidden="1" x14ac:dyDescent="0.25">
      <c r="A270" s="143" t="s">
        <v>707</v>
      </c>
      <c r="B270" s="143" t="s">
        <v>110</v>
      </c>
      <c r="C270" s="143" t="s">
        <v>111</v>
      </c>
      <c r="D270" s="143" t="s">
        <v>69</v>
      </c>
      <c r="E270" s="257">
        <v>1374236783</v>
      </c>
      <c r="F270" s="257">
        <v>1374236783</v>
      </c>
      <c r="G270" s="257">
        <v>687118392</v>
      </c>
      <c r="H270" s="257">
        <v>0</v>
      </c>
      <c r="I270" s="257">
        <v>356130252.81999999</v>
      </c>
      <c r="J270" s="257">
        <v>0</v>
      </c>
      <c r="K270" s="257">
        <v>44735132.539999999</v>
      </c>
      <c r="L270" s="257">
        <v>43763807.539999999</v>
      </c>
      <c r="M270" s="257">
        <v>973371397.63999999</v>
      </c>
      <c r="N270" s="257">
        <v>286253006.63999999</v>
      </c>
    </row>
    <row r="271" spans="1:14" s="143" customFormat="1" hidden="1" x14ac:dyDescent="0.25">
      <c r="A271" s="143" t="s">
        <v>707</v>
      </c>
      <c r="B271" s="143" t="s">
        <v>112</v>
      </c>
      <c r="C271" s="143" t="s">
        <v>113</v>
      </c>
      <c r="D271" s="143" t="s">
        <v>69</v>
      </c>
      <c r="E271" s="257">
        <v>758051064</v>
      </c>
      <c r="F271" s="257">
        <v>758051064</v>
      </c>
      <c r="G271" s="257">
        <v>501707948</v>
      </c>
      <c r="H271" s="257">
        <v>0</v>
      </c>
      <c r="I271" s="257">
        <v>160716471.81999999</v>
      </c>
      <c r="J271" s="257">
        <v>0</v>
      </c>
      <c r="K271" s="257">
        <v>185579204.56999999</v>
      </c>
      <c r="L271" s="257">
        <v>183235754.06999999</v>
      </c>
      <c r="M271" s="257">
        <v>411755387.61000001</v>
      </c>
      <c r="N271" s="257">
        <v>155412271.61000001</v>
      </c>
    </row>
    <row r="272" spans="1:14" s="143" customFormat="1" hidden="1" x14ac:dyDescent="0.25">
      <c r="A272" s="143" t="s">
        <v>707</v>
      </c>
      <c r="B272" s="143" t="s">
        <v>114</v>
      </c>
      <c r="C272" s="143" t="s">
        <v>115</v>
      </c>
      <c r="D272" s="143" t="s">
        <v>69</v>
      </c>
      <c r="E272" s="257">
        <v>18001000</v>
      </c>
      <c r="F272" s="257">
        <v>18001000</v>
      </c>
      <c r="G272" s="257">
        <v>9000500</v>
      </c>
      <c r="H272" s="257">
        <v>0</v>
      </c>
      <c r="I272" s="257">
        <v>7719981</v>
      </c>
      <c r="J272" s="257">
        <v>0</v>
      </c>
      <c r="K272" s="257">
        <v>1280519</v>
      </c>
      <c r="L272" s="257">
        <v>1280519</v>
      </c>
      <c r="M272" s="257">
        <v>9000500</v>
      </c>
      <c r="N272" s="257">
        <v>0</v>
      </c>
    </row>
    <row r="273" spans="1:14" s="143" customFormat="1" hidden="1" x14ac:dyDescent="0.25">
      <c r="A273" s="143" t="s">
        <v>707</v>
      </c>
      <c r="B273" s="143" t="s">
        <v>116</v>
      </c>
      <c r="C273" s="143" t="s">
        <v>117</v>
      </c>
      <c r="D273" s="143" t="s">
        <v>69</v>
      </c>
      <c r="E273" s="257">
        <v>244470000</v>
      </c>
      <c r="F273" s="257">
        <v>244470000</v>
      </c>
      <c r="G273" s="257">
        <v>176096573</v>
      </c>
      <c r="H273" s="257">
        <v>0</v>
      </c>
      <c r="I273" s="257">
        <v>6157752</v>
      </c>
      <c r="J273" s="257">
        <v>0</v>
      </c>
      <c r="K273" s="257">
        <v>146404281.31999999</v>
      </c>
      <c r="L273" s="257">
        <v>146404281.31999999</v>
      </c>
      <c r="M273" s="257">
        <v>91907966.680000007</v>
      </c>
      <c r="N273" s="257">
        <v>23534539.68</v>
      </c>
    </row>
    <row r="274" spans="1:14" s="143" customFormat="1" hidden="1" x14ac:dyDescent="0.25">
      <c r="A274" s="143" t="s">
        <v>707</v>
      </c>
      <c r="B274" s="143" t="s">
        <v>118</v>
      </c>
      <c r="C274" s="143" t="s">
        <v>119</v>
      </c>
      <c r="D274" s="143" t="s">
        <v>69</v>
      </c>
      <c r="E274" s="257">
        <v>6000000</v>
      </c>
      <c r="F274" s="257">
        <v>6000000</v>
      </c>
      <c r="G274" s="257">
        <v>3000000</v>
      </c>
      <c r="H274" s="257">
        <v>0</v>
      </c>
      <c r="I274" s="257">
        <v>924876.5</v>
      </c>
      <c r="J274" s="257">
        <v>0</v>
      </c>
      <c r="K274" s="257">
        <v>575123.5</v>
      </c>
      <c r="L274" s="257">
        <v>575123.5</v>
      </c>
      <c r="M274" s="257">
        <v>4500000</v>
      </c>
      <c r="N274" s="257">
        <v>1500000</v>
      </c>
    </row>
    <row r="275" spans="1:14" s="143" customFormat="1" hidden="1" x14ac:dyDescent="0.25">
      <c r="A275" s="143" t="s">
        <v>707</v>
      </c>
      <c r="B275" s="143" t="s">
        <v>120</v>
      </c>
      <c r="C275" s="143" t="s">
        <v>121</v>
      </c>
      <c r="D275" s="143" t="s">
        <v>69</v>
      </c>
      <c r="E275" s="257">
        <v>411938379</v>
      </c>
      <c r="F275" s="257">
        <v>411938379</v>
      </c>
      <c r="G275" s="257">
        <v>235969190</v>
      </c>
      <c r="H275" s="257">
        <v>0</v>
      </c>
      <c r="I275" s="257">
        <v>138222115.91999999</v>
      </c>
      <c r="J275" s="257">
        <v>0</v>
      </c>
      <c r="K275" s="257">
        <v>27059688.469999999</v>
      </c>
      <c r="L275" s="257">
        <v>27059688.469999999</v>
      </c>
      <c r="M275" s="257">
        <v>246656574.61000001</v>
      </c>
      <c r="N275" s="257">
        <v>70687385.609999999</v>
      </c>
    </row>
    <row r="276" spans="1:14" s="143" customFormat="1" hidden="1" x14ac:dyDescent="0.25">
      <c r="A276" s="143" t="s">
        <v>707</v>
      </c>
      <c r="B276" s="143" t="s">
        <v>122</v>
      </c>
      <c r="C276" s="143" t="s">
        <v>123</v>
      </c>
      <c r="D276" s="143" t="s">
        <v>69</v>
      </c>
      <c r="E276" s="257">
        <v>77641685</v>
      </c>
      <c r="F276" s="257">
        <v>77641685</v>
      </c>
      <c r="G276" s="257">
        <v>77641685</v>
      </c>
      <c r="H276" s="257">
        <v>0</v>
      </c>
      <c r="I276" s="257">
        <v>7691746.4000000004</v>
      </c>
      <c r="J276" s="257">
        <v>0</v>
      </c>
      <c r="K276" s="257">
        <v>10259592.279999999</v>
      </c>
      <c r="L276" s="257">
        <v>7916141.7800000003</v>
      </c>
      <c r="M276" s="257">
        <v>59690346.32</v>
      </c>
      <c r="N276" s="257">
        <v>59690346.32</v>
      </c>
    </row>
    <row r="277" spans="1:14" s="143" customFormat="1" hidden="1" x14ac:dyDescent="0.25">
      <c r="A277" s="143" t="s">
        <v>707</v>
      </c>
      <c r="B277" s="143" t="s">
        <v>124</v>
      </c>
      <c r="C277" s="143" t="s">
        <v>125</v>
      </c>
      <c r="D277" s="143" t="s">
        <v>69</v>
      </c>
      <c r="E277" s="257">
        <v>9633760</v>
      </c>
      <c r="F277" s="257">
        <v>9633760</v>
      </c>
      <c r="G277" s="257">
        <v>9633760</v>
      </c>
      <c r="H277" s="257">
        <v>0</v>
      </c>
      <c r="I277" s="257">
        <v>3000000</v>
      </c>
      <c r="J277" s="257">
        <v>0</v>
      </c>
      <c r="K277" s="257">
        <v>0</v>
      </c>
      <c r="L277" s="257">
        <v>0</v>
      </c>
      <c r="M277" s="257">
        <v>6633760</v>
      </c>
      <c r="N277" s="257">
        <v>6633760</v>
      </c>
    </row>
    <row r="278" spans="1:14" s="143" customFormat="1" hidden="1" x14ac:dyDescent="0.25">
      <c r="A278" s="143" t="s">
        <v>707</v>
      </c>
      <c r="B278" s="143" t="s">
        <v>126</v>
      </c>
      <c r="C278" s="143" t="s">
        <v>127</v>
      </c>
      <c r="D278" s="143" t="s">
        <v>69</v>
      </c>
      <c r="E278" s="257">
        <v>5513760</v>
      </c>
      <c r="F278" s="257">
        <v>5513760</v>
      </c>
      <c r="G278" s="257">
        <v>5513760</v>
      </c>
      <c r="H278" s="257">
        <v>0</v>
      </c>
      <c r="I278" s="257">
        <v>3000000</v>
      </c>
      <c r="J278" s="257">
        <v>0</v>
      </c>
      <c r="K278" s="257">
        <v>0</v>
      </c>
      <c r="L278" s="257">
        <v>0</v>
      </c>
      <c r="M278" s="257">
        <v>2513760</v>
      </c>
      <c r="N278" s="257">
        <v>2513760</v>
      </c>
    </row>
    <row r="279" spans="1:14" s="143" customFormat="1" hidden="1" x14ac:dyDescent="0.25">
      <c r="A279" s="143" t="s">
        <v>707</v>
      </c>
      <c r="B279" s="143" t="s">
        <v>128</v>
      </c>
      <c r="C279" s="143" t="s">
        <v>129</v>
      </c>
      <c r="D279" s="143" t="s">
        <v>69</v>
      </c>
      <c r="E279" s="257">
        <v>2620000</v>
      </c>
      <c r="F279" s="257">
        <v>2620000</v>
      </c>
      <c r="G279" s="257">
        <v>2620000</v>
      </c>
      <c r="H279" s="257">
        <v>0</v>
      </c>
      <c r="I279" s="257">
        <v>0</v>
      </c>
      <c r="J279" s="257">
        <v>0</v>
      </c>
      <c r="K279" s="257">
        <v>0</v>
      </c>
      <c r="L279" s="257">
        <v>0</v>
      </c>
      <c r="M279" s="257">
        <v>2620000</v>
      </c>
      <c r="N279" s="257">
        <v>2620000</v>
      </c>
    </row>
    <row r="280" spans="1:14" s="143" customFormat="1" hidden="1" x14ac:dyDescent="0.25">
      <c r="A280" s="143" t="s">
        <v>707</v>
      </c>
      <c r="B280" s="143" t="s">
        <v>132</v>
      </c>
      <c r="C280" s="143" t="s">
        <v>133</v>
      </c>
      <c r="D280" s="143" t="s">
        <v>69</v>
      </c>
      <c r="E280" s="257">
        <v>1500000</v>
      </c>
      <c r="F280" s="257">
        <v>1500000</v>
      </c>
      <c r="G280" s="257">
        <v>1500000</v>
      </c>
      <c r="H280" s="257">
        <v>0</v>
      </c>
      <c r="I280" s="257">
        <v>0</v>
      </c>
      <c r="J280" s="257">
        <v>0</v>
      </c>
      <c r="K280" s="257">
        <v>0</v>
      </c>
      <c r="L280" s="257">
        <v>0</v>
      </c>
      <c r="M280" s="257">
        <v>1500000</v>
      </c>
      <c r="N280" s="257">
        <v>1500000</v>
      </c>
    </row>
    <row r="281" spans="1:14" s="143" customFormat="1" hidden="1" x14ac:dyDescent="0.25">
      <c r="A281" s="143" t="s">
        <v>707</v>
      </c>
      <c r="B281" s="143" t="s">
        <v>134</v>
      </c>
      <c r="C281" s="143" t="s">
        <v>135</v>
      </c>
      <c r="D281" s="143" t="s">
        <v>69</v>
      </c>
      <c r="E281" s="257">
        <v>312558343</v>
      </c>
      <c r="F281" s="257">
        <v>309558343</v>
      </c>
      <c r="G281" s="257">
        <v>309558343</v>
      </c>
      <c r="H281" s="257">
        <v>29666951.100000001</v>
      </c>
      <c r="I281" s="257">
        <v>126898849.56</v>
      </c>
      <c r="J281" s="257">
        <v>0</v>
      </c>
      <c r="K281" s="257">
        <v>54347968.729999997</v>
      </c>
      <c r="L281" s="257">
        <v>47469328.270000003</v>
      </c>
      <c r="M281" s="257">
        <v>98644573.609999999</v>
      </c>
      <c r="N281" s="257">
        <v>98644573.609999999</v>
      </c>
    </row>
    <row r="282" spans="1:14" s="143" customFormat="1" hidden="1" x14ac:dyDescent="0.25">
      <c r="A282" s="143" t="s">
        <v>707</v>
      </c>
      <c r="B282" s="143" t="s">
        <v>346</v>
      </c>
      <c r="C282" s="143" t="s">
        <v>347</v>
      </c>
      <c r="D282" s="143" t="s">
        <v>69</v>
      </c>
      <c r="E282" s="257">
        <v>34001608</v>
      </c>
      <c r="F282" s="257">
        <v>31001608</v>
      </c>
      <c r="G282" s="257">
        <v>31001608</v>
      </c>
      <c r="H282" s="257">
        <v>0</v>
      </c>
      <c r="I282" s="257">
        <v>25194191.850000001</v>
      </c>
      <c r="J282" s="257">
        <v>0</v>
      </c>
      <c r="K282" s="257">
        <v>5765395.9900000002</v>
      </c>
      <c r="L282" s="257">
        <v>5765395.9900000002</v>
      </c>
      <c r="M282" s="257">
        <v>42020.160000000003</v>
      </c>
      <c r="N282" s="257">
        <v>42020.160000000003</v>
      </c>
    </row>
    <row r="283" spans="1:14" s="143" customFormat="1" hidden="1" x14ac:dyDescent="0.25">
      <c r="A283" s="143" t="s">
        <v>707</v>
      </c>
      <c r="B283" s="143" t="s">
        <v>308</v>
      </c>
      <c r="C283" s="143" t="s">
        <v>309</v>
      </c>
      <c r="D283" s="143" t="s">
        <v>69</v>
      </c>
      <c r="E283" s="257">
        <v>95000000</v>
      </c>
      <c r="F283" s="257">
        <v>95000000</v>
      </c>
      <c r="G283" s="257">
        <v>95000000</v>
      </c>
      <c r="H283" s="257">
        <v>2000000</v>
      </c>
      <c r="I283" s="257">
        <v>52138986.979999997</v>
      </c>
      <c r="J283" s="257">
        <v>0</v>
      </c>
      <c r="K283" s="257">
        <v>9415333.3300000001</v>
      </c>
      <c r="L283" s="257">
        <v>9415333.3300000001</v>
      </c>
      <c r="M283" s="257">
        <v>31445679.690000001</v>
      </c>
      <c r="N283" s="257">
        <v>31445679.690000001</v>
      </c>
    </row>
    <row r="284" spans="1:14" s="143" customFormat="1" hidden="1" x14ac:dyDescent="0.25">
      <c r="A284" s="143" t="s">
        <v>707</v>
      </c>
      <c r="B284" s="143" t="s">
        <v>136</v>
      </c>
      <c r="C284" s="143" t="s">
        <v>137</v>
      </c>
      <c r="D284" s="143" t="s">
        <v>69</v>
      </c>
      <c r="E284" s="257">
        <v>131200000</v>
      </c>
      <c r="F284" s="257">
        <v>131200000</v>
      </c>
      <c r="G284" s="257">
        <v>131200000</v>
      </c>
      <c r="H284" s="257">
        <v>27666951.100000001</v>
      </c>
      <c r="I284" s="257">
        <v>46846672.509999998</v>
      </c>
      <c r="J284" s="257">
        <v>0</v>
      </c>
      <c r="K284" s="257">
        <v>29450077.690000001</v>
      </c>
      <c r="L284" s="257">
        <v>23747338.670000002</v>
      </c>
      <c r="M284" s="257">
        <v>27236298.699999999</v>
      </c>
      <c r="N284" s="257">
        <v>27236298.699999999</v>
      </c>
    </row>
    <row r="285" spans="1:14" s="143" customFormat="1" hidden="1" x14ac:dyDescent="0.25">
      <c r="A285" s="143" t="s">
        <v>707</v>
      </c>
      <c r="B285" s="143" t="s">
        <v>138</v>
      </c>
      <c r="C285" s="143" t="s">
        <v>139</v>
      </c>
      <c r="D285" s="143" t="s">
        <v>69</v>
      </c>
      <c r="E285" s="257">
        <v>52356735</v>
      </c>
      <c r="F285" s="257">
        <v>52356735</v>
      </c>
      <c r="G285" s="257">
        <v>52356735</v>
      </c>
      <c r="H285" s="257">
        <v>0</v>
      </c>
      <c r="I285" s="257">
        <v>2718998.22</v>
      </c>
      <c r="J285" s="257">
        <v>0</v>
      </c>
      <c r="K285" s="257">
        <v>9717161.7200000007</v>
      </c>
      <c r="L285" s="257">
        <v>8541260.2799999993</v>
      </c>
      <c r="M285" s="257">
        <v>39920575.060000002</v>
      </c>
      <c r="N285" s="257">
        <v>39920575.060000002</v>
      </c>
    </row>
    <row r="286" spans="1:14" s="143" customFormat="1" hidden="1" x14ac:dyDescent="0.25">
      <c r="A286" s="143" t="s">
        <v>707</v>
      </c>
      <c r="B286" s="143" t="s">
        <v>140</v>
      </c>
      <c r="C286" s="143" t="s">
        <v>141</v>
      </c>
      <c r="D286" s="143" t="s">
        <v>69</v>
      </c>
      <c r="E286" s="257">
        <v>134000000</v>
      </c>
      <c r="F286" s="257">
        <v>134000000</v>
      </c>
      <c r="G286" s="257">
        <v>67000000</v>
      </c>
      <c r="H286" s="257">
        <v>0</v>
      </c>
      <c r="I286" s="257">
        <v>25591078</v>
      </c>
      <c r="J286" s="257">
        <v>0</v>
      </c>
      <c r="K286" s="257">
        <v>20920319</v>
      </c>
      <c r="L286" s="257">
        <v>20891719</v>
      </c>
      <c r="M286" s="257">
        <v>87488603</v>
      </c>
      <c r="N286" s="257">
        <v>20488603</v>
      </c>
    </row>
    <row r="287" spans="1:14" s="143" customFormat="1" hidden="1" x14ac:dyDescent="0.25">
      <c r="A287" s="143" t="s">
        <v>707</v>
      </c>
      <c r="B287" s="143" t="s">
        <v>142</v>
      </c>
      <c r="C287" s="143" t="s">
        <v>143</v>
      </c>
      <c r="D287" s="143" t="s">
        <v>69</v>
      </c>
      <c r="E287" s="257">
        <v>4000000</v>
      </c>
      <c r="F287" s="257">
        <v>4000000</v>
      </c>
      <c r="G287" s="257">
        <v>2000000</v>
      </c>
      <c r="H287" s="257">
        <v>0</v>
      </c>
      <c r="I287" s="257">
        <v>1010060</v>
      </c>
      <c r="J287" s="257">
        <v>0</v>
      </c>
      <c r="K287" s="257">
        <v>559255</v>
      </c>
      <c r="L287" s="257">
        <v>559255</v>
      </c>
      <c r="M287" s="257">
        <v>2430685</v>
      </c>
      <c r="N287" s="257">
        <v>430685</v>
      </c>
    </row>
    <row r="288" spans="1:14" s="143" customFormat="1" hidden="1" x14ac:dyDescent="0.25">
      <c r="A288" s="143" t="s">
        <v>707</v>
      </c>
      <c r="B288" s="143" t="s">
        <v>144</v>
      </c>
      <c r="C288" s="143" t="s">
        <v>145</v>
      </c>
      <c r="D288" s="143" t="s">
        <v>69</v>
      </c>
      <c r="E288" s="257">
        <v>130000000</v>
      </c>
      <c r="F288" s="257">
        <v>130000000</v>
      </c>
      <c r="G288" s="257">
        <v>65000000</v>
      </c>
      <c r="H288" s="257">
        <v>0</v>
      </c>
      <c r="I288" s="257">
        <v>24581018</v>
      </c>
      <c r="J288" s="257">
        <v>0</v>
      </c>
      <c r="K288" s="257">
        <v>20361064</v>
      </c>
      <c r="L288" s="257">
        <v>20332464</v>
      </c>
      <c r="M288" s="257">
        <v>85057918</v>
      </c>
      <c r="N288" s="257">
        <v>20057918</v>
      </c>
    </row>
    <row r="289" spans="1:14" s="143" customFormat="1" hidden="1" x14ac:dyDescent="0.25">
      <c r="A289" s="143" t="s">
        <v>707</v>
      </c>
      <c r="B289" s="143" t="s">
        <v>150</v>
      </c>
      <c r="C289" s="143" t="s">
        <v>151</v>
      </c>
      <c r="D289" s="143" t="s">
        <v>69</v>
      </c>
      <c r="E289" s="257">
        <v>1300000000</v>
      </c>
      <c r="F289" s="257">
        <v>1300000000</v>
      </c>
      <c r="G289" s="257">
        <v>686242189</v>
      </c>
      <c r="H289" s="257">
        <v>0</v>
      </c>
      <c r="I289" s="257">
        <v>4322041.7</v>
      </c>
      <c r="J289" s="257">
        <v>0</v>
      </c>
      <c r="K289" s="257">
        <v>0</v>
      </c>
      <c r="L289" s="257">
        <v>0</v>
      </c>
      <c r="M289" s="257">
        <v>1295677958.3</v>
      </c>
      <c r="N289" s="257">
        <v>681920147.29999995</v>
      </c>
    </row>
    <row r="290" spans="1:14" s="143" customFormat="1" hidden="1" x14ac:dyDescent="0.25">
      <c r="A290" s="143" t="s">
        <v>707</v>
      </c>
      <c r="B290" s="143" t="s">
        <v>152</v>
      </c>
      <c r="C290" s="143" t="s">
        <v>153</v>
      </c>
      <c r="D290" s="143" t="s">
        <v>69</v>
      </c>
      <c r="E290" s="257">
        <v>1300000000</v>
      </c>
      <c r="F290" s="257">
        <v>1300000000</v>
      </c>
      <c r="G290" s="257">
        <v>686242189</v>
      </c>
      <c r="H290" s="257">
        <v>0</v>
      </c>
      <c r="I290" s="257">
        <v>4322041.7</v>
      </c>
      <c r="J290" s="257">
        <v>0</v>
      </c>
      <c r="K290" s="257">
        <v>0</v>
      </c>
      <c r="L290" s="257">
        <v>0</v>
      </c>
      <c r="M290" s="257">
        <v>1295677958.3</v>
      </c>
      <c r="N290" s="257">
        <v>681920147.29999995</v>
      </c>
    </row>
    <row r="291" spans="1:14" s="143" customFormat="1" hidden="1" x14ac:dyDescent="0.25">
      <c r="A291" s="143" t="s">
        <v>707</v>
      </c>
      <c r="B291" s="143" t="s">
        <v>154</v>
      </c>
      <c r="C291" s="143" t="s">
        <v>155</v>
      </c>
      <c r="D291" s="143" t="s">
        <v>69</v>
      </c>
      <c r="E291" s="257">
        <v>5000000</v>
      </c>
      <c r="F291" s="257">
        <v>5000000</v>
      </c>
      <c r="G291" s="257">
        <v>5000000</v>
      </c>
      <c r="H291" s="257">
        <v>158100</v>
      </c>
      <c r="I291" s="257">
        <v>1145000</v>
      </c>
      <c r="J291" s="257">
        <v>0</v>
      </c>
      <c r="K291" s="257">
        <v>0</v>
      </c>
      <c r="L291" s="257">
        <v>0</v>
      </c>
      <c r="M291" s="257">
        <v>3696900</v>
      </c>
      <c r="N291" s="257">
        <v>3696900</v>
      </c>
    </row>
    <row r="292" spans="1:14" s="143" customFormat="1" hidden="1" x14ac:dyDescent="0.25">
      <c r="A292" s="143" t="s">
        <v>707</v>
      </c>
      <c r="B292" s="143" t="s">
        <v>156</v>
      </c>
      <c r="C292" s="143" t="s">
        <v>157</v>
      </c>
      <c r="D292" s="143" t="s">
        <v>69</v>
      </c>
      <c r="E292" s="257">
        <v>5000000</v>
      </c>
      <c r="F292" s="257">
        <v>5000000</v>
      </c>
      <c r="G292" s="257">
        <v>5000000</v>
      </c>
      <c r="H292" s="257">
        <v>158100</v>
      </c>
      <c r="I292" s="257">
        <v>1145000</v>
      </c>
      <c r="J292" s="257">
        <v>0</v>
      </c>
      <c r="K292" s="257">
        <v>0</v>
      </c>
      <c r="L292" s="257">
        <v>0</v>
      </c>
      <c r="M292" s="257">
        <v>3696900</v>
      </c>
      <c r="N292" s="257">
        <v>3696900</v>
      </c>
    </row>
    <row r="293" spans="1:14" s="143" customFormat="1" hidden="1" x14ac:dyDescent="0.25">
      <c r="A293" s="143" t="s">
        <v>707</v>
      </c>
      <c r="B293" s="143" t="s">
        <v>162</v>
      </c>
      <c r="C293" s="143" t="s">
        <v>163</v>
      </c>
      <c r="D293" s="143" t="s">
        <v>69</v>
      </c>
      <c r="E293" s="257">
        <v>932264008</v>
      </c>
      <c r="F293" s="257">
        <v>930264008</v>
      </c>
      <c r="G293" s="257">
        <v>870602675</v>
      </c>
      <c r="H293" s="257">
        <v>0</v>
      </c>
      <c r="I293" s="257">
        <v>319705043.27999997</v>
      </c>
      <c r="J293" s="257">
        <v>12924093.73</v>
      </c>
      <c r="K293" s="257">
        <v>167972521.11000001</v>
      </c>
      <c r="L293" s="257">
        <v>147866543.97999999</v>
      </c>
      <c r="M293" s="257">
        <v>429662349.88</v>
      </c>
      <c r="N293" s="257">
        <v>370001016.88</v>
      </c>
    </row>
    <row r="294" spans="1:14" s="143" customFormat="1" hidden="1" x14ac:dyDescent="0.25">
      <c r="A294" s="143" t="s">
        <v>707</v>
      </c>
      <c r="B294" s="143" t="s">
        <v>310</v>
      </c>
      <c r="C294" s="143" t="s">
        <v>311</v>
      </c>
      <c r="D294" s="143" t="s">
        <v>69</v>
      </c>
      <c r="E294" s="257">
        <v>120656000</v>
      </c>
      <c r="F294" s="257">
        <v>118656000</v>
      </c>
      <c r="G294" s="257">
        <v>58994667</v>
      </c>
      <c r="H294" s="257">
        <v>0</v>
      </c>
      <c r="I294" s="257">
        <v>25662775.879999999</v>
      </c>
      <c r="J294" s="257">
        <v>0</v>
      </c>
      <c r="K294" s="257">
        <v>473545.71</v>
      </c>
      <c r="L294" s="257">
        <v>473545.71</v>
      </c>
      <c r="M294" s="257">
        <v>92519678.409999996</v>
      </c>
      <c r="N294" s="257">
        <v>32858345.41</v>
      </c>
    </row>
    <row r="295" spans="1:14" s="143" customFormat="1" hidden="1" x14ac:dyDescent="0.25">
      <c r="A295" s="143" t="s">
        <v>707</v>
      </c>
      <c r="B295" s="143" t="s">
        <v>164</v>
      </c>
      <c r="C295" s="143" t="s">
        <v>165</v>
      </c>
      <c r="D295" s="143" t="s">
        <v>69</v>
      </c>
      <c r="E295" s="257">
        <v>504520000</v>
      </c>
      <c r="F295" s="257">
        <v>504520000</v>
      </c>
      <c r="G295" s="257">
        <v>504520000</v>
      </c>
      <c r="H295" s="257">
        <v>0</v>
      </c>
      <c r="I295" s="257">
        <v>202112458.30000001</v>
      </c>
      <c r="J295" s="257">
        <v>9334713.1999999993</v>
      </c>
      <c r="K295" s="257">
        <v>111312039.34999999</v>
      </c>
      <c r="L295" s="257">
        <v>93212090.200000003</v>
      </c>
      <c r="M295" s="257">
        <v>181760789.15000001</v>
      </c>
      <c r="N295" s="257">
        <v>181760789.15000001</v>
      </c>
    </row>
    <row r="296" spans="1:14" s="143" customFormat="1" hidden="1" x14ac:dyDescent="0.25">
      <c r="A296" s="143" t="s">
        <v>707</v>
      </c>
      <c r="B296" s="143" t="s">
        <v>164</v>
      </c>
      <c r="C296" s="143" t="s">
        <v>165</v>
      </c>
      <c r="D296" s="143" t="s">
        <v>85</v>
      </c>
      <c r="E296" s="257">
        <v>0</v>
      </c>
      <c r="F296" s="257">
        <v>0</v>
      </c>
      <c r="G296" s="257">
        <v>0</v>
      </c>
      <c r="H296" s="257">
        <v>0</v>
      </c>
      <c r="I296" s="257">
        <v>0</v>
      </c>
      <c r="J296" s="257">
        <v>0</v>
      </c>
      <c r="K296" s="257">
        <v>0</v>
      </c>
      <c r="L296" s="257">
        <v>0</v>
      </c>
      <c r="M296" s="257">
        <v>0</v>
      </c>
      <c r="N296" s="257">
        <v>0</v>
      </c>
    </row>
    <row r="297" spans="1:14" s="143" customFormat="1" hidden="1" x14ac:dyDescent="0.25">
      <c r="A297" s="143" t="s">
        <v>707</v>
      </c>
      <c r="B297" s="143" t="s">
        <v>166</v>
      </c>
      <c r="C297" s="143" t="s">
        <v>167</v>
      </c>
      <c r="D297" s="143" t="s">
        <v>69</v>
      </c>
      <c r="E297" s="257">
        <v>95028648</v>
      </c>
      <c r="F297" s="257">
        <v>95028648</v>
      </c>
      <c r="G297" s="257">
        <v>95028648</v>
      </c>
      <c r="H297" s="257">
        <v>0</v>
      </c>
      <c r="I297" s="257">
        <v>47078453.25</v>
      </c>
      <c r="J297" s="257">
        <v>0</v>
      </c>
      <c r="K297" s="257">
        <v>40632360.899999999</v>
      </c>
      <c r="L297" s="257">
        <v>40632360.899999999</v>
      </c>
      <c r="M297" s="257">
        <v>7317833.8499999996</v>
      </c>
      <c r="N297" s="257">
        <v>7317833.8499999996</v>
      </c>
    </row>
    <row r="298" spans="1:14" s="143" customFormat="1" hidden="1" x14ac:dyDescent="0.25">
      <c r="A298" s="143" t="s">
        <v>707</v>
      </c>
      <c r="B298" s="143" t="s">
        <v>312</v>
      </c>
      <c r="C298" s="143" t="s">
        <v>313</v>
      </c>
      <c r="D298" s="143" t="s">
        <v>69</v>
      </c>
      <c r="E298" s="257">
        <v>3000000</v>
      </c>
      <c r="F298" s="257">
        <v>3000000</v>
      </c>
      <c r="G298" s="257">
        <v>3000000</v>
      </c>
      <c r="H298" s="257">
        <v>0</v>
      </c>
      <c r="I298" s="257">
        <v>0</v>
      </c>
      <c r="J298" s="257">
        <v>0</v>
      </c>
      <c r="K298" s="257">
        <v>0</v>
      </c>
      <c r="L298" s="257">
        <v>0</v>
      </c>
      <c r="M298" s="257">
        <v>3000000</v>
      </c>
      <c r="N298" s="257">
        <v>3000000</v>
      </c>
    </row>
    <row r="299" spans="1:14" s="143" customFormat="1" hidden="1" x14ac:dyDescent="0.25">
      <c r="A299" s="143" t="s">
        <v>707</v>
      </c>
      <c r="B299" s="143" t="s">
        <v>168</v>
      </c>
      <c r="C299" s="143" t="s">
        <v>169</v>
      </c>
      <c r="D299" s="143" t="s">
        <v>69</v>
      </c>
      <c r="E299" s="257">
        <v>16864852</v>
      </c>
      <c r="F299" s="257">
        <v>16864852</v>
      </c>
      <c r="G299" s="257">
        <v>16864852</v>
      </c>
      <c r="H299" s="257">
        <v>0</v>
      </c>
      <c r="I299" s="257">
        <v>3131465</v>
      </c>
      <c r="J299" s="257">
        <v>0</v>
      </c>
      <c r="K299" s="257">
        <v>866710</v>
      </c>
      <c r="L299" s="257">
        <v>866710</v>
      </c>
      <c r="M299" s="257">
        <v>12866677</v>
      </c>
      <c r="N299" s="257">
        <v>12866677</v>
      </c>
    </row>
    <row r="300" spans="1:14" s="143" customFormat="1" hidden="1" x14ac:dyDescent="0.25">
      <c r="A300" s="143" t="s">
        <v>707</v>
      </c>
      <c r="B300" s="143" t="s">
        <v>170</v>
      </c>
      <c r="C300" s="143" t="s">
        <v>171</v>
      </c>
      <c r="D300" s="143" t="s">
        <v>69</v>
      </c>
      <c r="E300" s="257">
        <v>40562000</v>
      </c>
      <c r="F300" s="257">
        <v>40562000</v>
      </c>
      <c r="G300" s="257">
        <v>40562000</v>
      </c>
      <c r="H300" s="257">
        <v>0</v>
      </c>
      <c r="I300" s="257">
        <v>1215134.47</v>
      </c>
      <c r="J300" s="257">
        <v>0</v>
      </c>
      <c r="K300" s="257">
        <v>0</v>
      </c>
      <c r="L300" s="257">
        <v>0</v>
      </c>
      <c r="M300" s="257">
        <v>39346865.530000001</v>
      </c>
      <c r="N300" s="257">
        <v>39346865.530000001</v>
      </c>
    </row>
    <row r="301" spans="1:14" s="143" customFormat="1" hidden="1" x14ac:dyDescent="0.25">
      <c r="A301" s="143" t="s">
        <v>707</v>
      </c>
      <c r="B301" s="143" t="s">
        <v>172</v>
      </c>
      <c r="C301" s="143" t="s">
        <v>173</v>
      </c>
      <c r="D301" s="143" t="s">
        <v>69</v>
      </c>
      <c r="E301" s="257">
        <v>151632508</v>
      </c>
      <c r="F301" s="257">
        <v>151632508</v>
      </c>
      <c r="G301" s="257">
        <v>151632508</v>
      </c>
      <c r="H301" s="257">
        <v>0</v>
      </c>
      <c r="I301" s="257">
        <v>40504756.380000003</v>
      </c>
      <c r="J301" s="257">
        <v>3589380.53</v>
      </c>
      <c r="K301" s="257">
        <v>14687865.15</v>
      </c>
      <c r="L301" s="257">
        <v>12681837.17</v>
      </c>
      <c r="M301" s="257">
        <v>92850505.939999998</v>
      </c>
      <c r="N301" s="257">
        <v>92850505.939999998</v>
      </c>
    </row>
    <row r="302" spans="1:14" s="143" customFormat="1" hidden="1" x14ac:dyDescent="0.25">
      <c r="A302" s="143" t="s">
        <v>707</v>
      </c>
      <c r="B302" s="143" t="s">
        <v>174</v>
      </c>
      <c r="C302" s="143" t="s">
        <v>175</v>
      </c>
      <c r="D302" s="143" t="s">
        <v>69</v>
      </c>
      <c r="E302" s="257">
        <v>18000000</v>
      </c>
      <c r="F302" s="257">
        <v>18000000</v>
      </c>
      <c r="G302" s="257">
        <v>9000000</v>
      </c>
      <c r="H302" s="257">
        <v>0</v>
      </c>
      <c r="I302" s="257">
        <v>1413520</v>
      </c>
      <c r="J302" s="257">
        <v>0</v>
      </c>
      <c r="K302" s="257">
        <v>136480</v>
      </c>
      <c r="L302" s="257">
        <v>136480</v>
      </c>
      <c r="M302" s="257">
        <v>16450000</v>
      </c>
      <c r="N302" s="257">
        <v>7450000</v>
      </c>
    </row>
    <row r="303" spans="1:14" s="143" customFormat="1" hidden="1" x14ac:dyDescent="0.25">
      <c r="A303" s="143" t="s">
        <v>707</v>
      </c>
      <c r="B303" s="143" t="s">
        <v>176</v>
      </c>
      <c r="C303" s="143" t="s">
        <v>177</v>
      </c>
      <c r="D303" s="143" t="s">
        <v>69</v>
      </c>
      <c r="E303" s="257">
        <v>18000000</v>
      </c>
      <c r="F303" s="257">
        <v>18000000</v>
      </c>
      <c r="G303" s="257">
        <v>9000000</v>
      </c>
      <c r="H303" s="257">
        <v>0</v>
      </c>
      <c r="I303" s="257">
        <v>1413520</v>
      </c>
      <c r="J303" s="257">
        <v>0</v>
      </c>
      <c r="K303" s="257">
        <v>136480</v>
      </c>
      <c r="L303" s="257">
        <v>136480</v>
      </c>
      <c r="M303" s="257">
        <v>16450000</v>
      </c>
      <c r="N303" s="257">
        <v>7450000</v>
      </c>
    </row>
    <row r="304" spans="1:14" s="143" customFormat="1" hidden="1" x14ac:dyDescent="0.25">
      <c r="A304" s="143" t="s">
        <v>707</v>
      </c>
      <c r="B304" s="143" t="s">
        <v>178</v>
      </c>
      <c r="C304" s="143" t="s">
        <v>179</v>
      </c>
      <c r="D304" s="143" t="s">
        <v>69</v>
      </c>
      <c r="E304" s="257">
        <v>36890625</v>
      </c>
      <c r="F304" s="257">
        <v>38890625</v>
      </c>
      <c r="G304" s="257">
        <v>20648469</v>
      </c>
      <c r="H304" s="257">
        <v>0</v>
      </c>
      <c r="I304" s="257">
        <v>6612106.0999999996</v>
      </c>
      <c r="J304" s="257">
        <v>0</v>
      </c>
      <c r="K304" s="257">
        <v>919990.69</v>
      </c>
      <c r="L304" s="257">
        <v>919990.69</v>
      </c>
      <c r="M304" s="257">
        <v>31358528.210000001</v>
      </c>
      <c r="N304" s="257">
        <v>13116372.210000001</v>
      </c>
    </row>
    <row r="305" spans="1:14" s="143" customFormat="1" hidden="1" x14ac:dyDescent="0.25">
      <c r="A305" s="143" t="s">
        <v>707</v>
      </c>
      <c r="B305" s="143" t="s">
        <v>348</v>
      </c>
      <c r="C305" s="143" t="s">
        <v>349</v>
      </c>
      <c r="D305" s="143" t="s">
        <v>69</v>
      </c>
      <c r="E305" s="257">
        <v>3000000</v>
      </c>
      <c r="F305" s="257">
        <v>5000000</v>
      </c>
      <c r="G305" s="257">
        <v>3703157</v>
      </c>
      <c r="H305" s="257">
        <v>0</v>
      </c>
      <c r="I305" s="257">
        <v>2000000</v>
      </c>
      <c r="J305" s="257">
        <v>0</v>
      </c>
      <c r="K305" s="257">
        <v>919990.69</v>
      </c>
      <c r="L305" s="257">
        <v>919990.69</v>
      </c>
      <c r="M305" s="257">
        <v>2080009.31</v>
      </c>
      <c r="N305" s="257">
        <v>783166.31</v>
      </c>
    </row>
    <row r="306" spans="1:14" s="143" customFormat="1" hidden="1" x14ac:dyDescent="0.25">
      <c r="A306" s="143" t="s">
        <v>707</v>
      </c>
      <c r="B306" s="143" t="s">
        <v>180</v>
      </c>
      <c r="C306" s="143" t="s">
        <v>181</v>
      </c>
      <c r="D306" s="143" t="s">
        <v>69</v>
      </c>
      <c r="E306" s="257">
        <v>19500000</v>
      </c>
      <c r="F306" s="257">
        <v>19500000</v>
      </c>
      <c r="G306" s="257">
        <v>9750000</v>
      </c>
      <c r="H306" s="257">
        <v>0</v>
      </c>
      <c r="I306" s="257">
        <v>1426615.85</v>
      </c>
      <c r="J306" s="257">
        <v>0</v>
      </c>
      <c r="K306" s="257">
        <v>0</v>
      </c>
      <c r="L306" s="257">
        <v>0</v>
      </c>
      <c r="M306" s="257">
        <v>18073384.149999999</v>
      </c>
      <c r="N306" s="257">
        <v>8323384.1500000004</v>
      </c>
    </row>
    <row r="307" spans="1:14" s="143" customFormat="1" hidden="1" x14ac:dyDescent="0.25">
      <c r="A307" s="143" t="s">
        <v>707</v>
      </c>
      <c r="B307" s="143" t="s">
        <v>182</v>
      </c>
      <c r="C307" s="143" t="s">
        <v>183</v>
      </c>
      <c r="D307" s="143" t="s">
        <v>69</v>
      </c>
      <c r="E307" s="257">
        <v>14390625</v>
      </c>
      <c r="F307" s="257">
        <v>14390625</v>
      </c>
      <c r="G307" s="257">
        <v>7195312</v>
      </c>
      <c r="H307" s="257">
        <v>0</v>
      </c>
      <c r="I307" s="257">
        <v>3185490.25</v>
      </c>
      <c r="J307" s="257">
        <v>0</v>
      </c>
      <c r="K307" s="257">
        <v>0</v>
      </c>
      <c r="L307" s="257">
        <v>0</v>
      </c>
      <c r="M307" s="257">
        <v>11205134.75</v>
      </c>
      <c r="N307" s="257">
        <v>4009821.75</v>
      </c>
    </row>
    <row r="308" spans="1:14" s="143" customFormat="1" hidden="1" x14ac:dyDescent="0.25">
      <c r="A308" s="143" t="s">
        <v>707</v>
      </c>
      <c r="B308" s="143" t="s">
        <v>184</v>
      </c>
      <c r="C308" s="143" t="s">
        <v>185</v>
      </c>
      <c r="D308" s="143" t="s">
        <v>69</v>
      </c>
      <c r="E308" s="257">
        <v>5938711949</v>
      </c>
      <c r="F308" s="257">
        <v>5933217949</v>
      </c>
      <c r="G308" s="257">
        <v>5552373381</v>
      </c>
      <c r="H308" s="257">
        <v>63279844.659999996</v>
      </c>
      <c r="I308" s="257">
        <v>882697841.72000003</v>
      </c>
      <c r="J308" s="257">
        <v>89398469.590000004</v>
      </c>
      <c r="K308" s="257">
        <v>1256439492.51</v>
      </c>
      <c r="L308" s="257">
        <v>1178561748.54</v>
      </c>
      <c r="M308" s="257">
        <v>3641402300.52</v>
      </c>
      <c r="N308" s="257">
        <v>3260557732.52</v>
      </c>
    </row>
    <row r="309" spans="1:14" s="143" customFormat="1" hidden="1" x14ac:dyDescent="0.25">
      <c r="A309" s="143" t="s">
        <v>707</v>
      </c>
      <c r="B309" s="143" t="s">
        <v>186</v>
      </c>
      <c r="C309" s="143" t="s">
        <v>187</v>
      </c>
      <c r="D309" s="143" t="s">
        <v>69</v>
      </c>
      <c r="E309" s="257">
        <v>1018969461</v>
      </c>
      <c r="F309" s="257">
        <v>1016469461</v>
      </c>
      <c r="G309" s="257">
        <v>648580394</v>
      </c>
      <c r="H309" s="257">
        <v>2895540.94</v>
      </c>
      <c r="I309" s="257">
        <v>302583361.13</v>
      </c>
      <c r="J309" s="257">
        <v>0</v>
      </c>
      <c r="K309" s="257">
        <v>206241607.74000001</v>
      </c>
      <c r="L309" s="257">
        <v>206042707.74000001</v>
      </c>
      <c r="M309" s="257">
        <v>504748951.19</v>
      </c>
      <c r="N309" s="257">
        <v>136859884.19</v>
      </c>
    </row>
    <row r="310" spans="1:14" s="143" customFormat="1" hidden="1" x14ac:dyDescent="0.25">
      <c r="A310" s="143" t="s">
        <v>707</v>
      </c>
      <c r="B310" s="143" t="s">
        <v>188</v>
      </c>
      <c r="C310" s="143" t="s">
        <v>189</v>
      </c>
      <c r="D310" s="143" t="s">
        <v>69</v>
      </c>
      <c r="E310" s="257">
        <v>735778133</v>
      </c>
      <c r="F310" s="257">
        <v>735778133</v>
      </c>
      <c r="G310" s="257">
        <v>367889066</v>
      </c>
      <c r="H310" s="257">
        <v>0</v>
      </c>
      <c r="I310" s="257">
        <v>102143948.5</v>
      </c>
      <c r="J310" s="257">
        <v>0</v>
      </c>
      <c r="K310" s="257">
        <v>170157447.74000001</v>
      </c>
      <c r="L310" s="257">
        <v>169958547.74000001</v>
      </c>
      <c r="M310" s="257">
        <v>463476736.75999999</v>
      </c>
      <c r="N310" s="257">
        <v>95587669.760000005</v>
      </c>
    </row>
    <row r="311" spans="1:14" s="143" customFormat="1" hidden="1" x14ac:dyDescent="0.25">
      <c r="A311" s="143" t="s">
        <v>707</v>
      </c>
      <c r="B311" s="143" t="s">
        <v>190</v>
      </c>
      <c r="C311" s="143" t="s">
        <v>191</v>
      </c>
      <c r="D311" s="143" t="s">
        <v>69</v>
      </c>
      <c r="E311" s="257">
        <v>224830540</v>
      </c>
      <c r="F311" s="257">
        <v>222330540</v>
      </c>
      <c r="G311" s="257">
        <v>222330540</v>
      </c>
      <c r="H311" s="257">
        <v>0</v>
      </c>
      <c r="I311" s="257">
        <v>176194096</v>
      </c>
      <c r="J311" s="257">
        <v>0</v>
      </c>
      <c r="K311" s="257">
        <v>34858000</v>
      </c>
      <c r="L311" s="257">
        <v>34858000</v>
      </c>
      <c r="M311" s="257">
        <v>11278444</v>
      </c>
      <c r="N311" s="257">
        <v>11278444</v>
      </c>
    </row>
    <row r="312" spans="1:14" s="143" customFormat="1" hidden="1" x14ac:dyDescent="0.25">
      <c r="A312" s="143" t="s">
        <v>707</v>
      </c>
      <c r="B312" s="143" t="s">
        <v>350</v>
      </c>
      <c r="C312" s="143" t="s">
        <v>351</v>
      </c>
      <c r="D312" s="143" t="s">
        <v>69</v>
      </c>
      <c r="E312" s="257">
        <v>12909188</v>
      </c>
      <c r="F312" s="257">
        <v>12909188</v>
      </c>
      <c r="G312" s="257">
        <v>12909188</v>
      </c>
      <c r="H312" s="257">
        <v>0</v>
      </c>
      <c r="I312" s="257">
        <v>2137089.92</v>
      </c>
      <c r="J312" s="257">
        <v>0</v>
      </c>
      <c r="K312" s="257">
        <v>0</v>
      </c>
      <c r="L312" s="257">
        <v>0</v>
      </c>
      <c r="M312" s="257">
        <v>10772098.08</v>
      </c>
      <c r="N312" s="257">
        <v>10772098.08</v>
      </c>
    </row>
    <row r="313" spans="1:14" s="143" customFormat="1" hidden="1" x14ac:dyDescent="0.25">
      <c r="A313" s="143" t="s">
        <v>707</v>
      </c>
      <c r="B313" s="143" t="s">
        <v>192</v>
      </c>
      <c r="C313" s="143" t="s">
        <v>193</v>
      </c>
      <c r="D313" s="143" t="s">
        <v>69</v>
      </c>
      <c r="E313" s="257">
        <v>40465200</v>
      </c>
      <c r="F313" s="257">
        <v>40465200</v>
      </c>
      <c r="G313" s="257">
        <v>40465200</v>
      </c>
      <c r="H313" s="257">
        <v>2895540.94</v>
      </c>
      <c r="I313" s="257">
        <v>22108226.710000001</v>
      </c>
      <c r="J313" s="257">
        <v>0</v>
      </c>
      <c r="K313" s="257">
        <v>0</v>
      </c>
      <c r="L313" s="257">
        <v>0</v>
      </c>
      <c r="M313" s="257">
        <v>15461432.35</v>
      </c>
      <c r="N313" s="257">
        <v>15461432.35</v>
      </c>
    </row>
    <row r="314" spans="1:14" s="143" customFormat="1" hidden="1" x14ac:dyDescent="0.25">
      <c r="A314" s="143" t="s">
        <v>707</v>
      </c>
      <c r="B314" s="143" t="s">
        <v>194</v>
      </c>
      <c r="C314" s="143" t="s">
        <v>195</v>
      </c>
      <c r="D314" s="143" t="s">
        <v>69</v>
      </c>
      <c r="E314" s="257">
        <v>4986400</v>
      </c>
      <c r="F314" s="257">
        <v>4986400</v>
      </c>
      <c r="G314" s="257">
        <v>4986400</v>
      </c>
      <c r="H314" s="257">
        <v>0</v>
      </c>
      <c r="I314" s="257">
        <v>0</v>
      </c>
      <c r="J314" s="257">
        <v>0</v>
      </c>
      <c r="K314" s="257">
        <v>1226160</v>
      </c>
      <c r="L314" s="257">
        <v>1226160</v>
      </c>
      <c r="M314" s="257">
        <v>3760240</v>
      </c>
      <c r="N314" s="257">
        <v>3760240</v>
      </c>
    </row>
    <row r="315" spans="1:14" s="143" customFormat="1" hidden="1" x14ac:dyDescent="0.25">
      <c r="A315" s="143" t="s">
        <v>707</v>
      </c>
      <c r="B315" s="143" t="s">
        <v>196</v>
      </c>
      <c r="C315" s="143" t="s">
        <v>197</v>
      </c>
      <c r="D315" s="143" t="s">
        <v>69</v>
      </c>
      <c r="E315" s="257">
        <v>1012911000</v>
      </c>
      <c r="F315" s="257">
        <v>1012911000</v>
      </c>
      <c r="G315" s="257">
        <v>999955500</v>
      </c>
      <c r="H315" s="257">
        <v>0</v>
      </c>
      <c r="I315" s="257">
        <v>21591829.789999999</v>
      </c>
      <c r="J315" s="257">
        <v>40204329.079999998</v>
      </c>
      <c r="K315" s="257">
        <v>650775797.58000004</v>
      </c>
      <c r="L315" s="257">
        <v>645361434.77999997</v>
      </c>
      <c r="M315" s="257">
        <v>300339043.55000001</v>
      </c>
      <c r="N315" s="257">
        <v>287383543.55000001</v>
      </c>
    </row>
    <row r="316" spans="1:14" s="143" customFormat="1" hidden="1" x14ac:dyDescent="0.25">
      <c r="A316" s="143" t="s">
        <v>707</v>
      </c>
      <c r="B316" s="143" t="s">
        <v>198</v>
      </c>
      <c r="C316" s="143" t="s">
        <v>199</v>
      </c>
      <c r="D316" s="143" t="s">
        <v>69</v>
      </c>
      <c r="E316" s="257">
        <v>987000000</v>
      </c>
      <c r="F316" s="257">
        <v>987000000</v>
      </c>
      <c r="G316" s="257">
        <v>987000000</v>
      </c>
      <c r="H316" s="257">
        <v>0</v>
      </c>
      <c r="I316" s="257">
        <v>15915679.789999999</v>
      </c>
      <c r="J316" s="257">
        <v>40204329.079999998</v>
      </c>
      <c r="K316" s="257">
        <v>650775797.58000004</v>
      </c>
      <c r="L316" s="257">
        <v>645361434.77999997</v>
      </c>
      <c r="M316" s="257">
        <v>280104193.55000001</v>
      </c>
      <c r="N316" s="257">
        <v>280104193.55000001</v>
      </c>
    </row>
    <row r="317" spans="1:14" s="143" customFormat="1" hidden="1" x14ac:dyDescent="0.25">
      <c r="A317" s="143" t="s">
        <v>707</v>
      </c>
      <c r="B317" s="143" t="s">
        <v>352</v>
      </c>
      <c r="C317" s="143" t="s">
        <v>353</v>
      </c>
      <c r="D317" s="143" t="s">
        <v>69</v>
      </c>
      <c r="E317" s="257">
        <v>25911000</v>
      </c>
      <c r="F317" s="257">
        <v>25911000</v>
      </c>
      <c r="G317" s="257">
        <v>12955500</v>
      </c>
      <c r="H317" s="257">
        <v>0</v>
      </c>
      <c r="I317" s="257">
        <v>5676150</v>
      </c>
      <c r="J317" s="257">
        <v>0</v>
      </c>
      <c r="K317" s="257">
        <v>0</v>
      </c>
      <c r="L317" s="257">
        <v>0</v>
      </c>
      <c r="M317" s="257">
        <v>20234850</v>
      </c>
      <c r="N317" s="257">
        <v>7279350</v>
      </c>
    </row>
    <row r="318" spans="1:14" s="143" customFormat="1" hidden="1" x14ac:dyDescent="0.25">
      <c r="A318" s="143" t="s">
        <v>707</v>
      </c>
      <c r="B318" s="143" t="s">
        <v>200</v>
      </c>
      <c r="C318" s="143" t="s">
        <v>201</v>
      </c>
      <c r="D318" s="143" t="s">
        <v>69</v>
      </c>
      <c r="E318" s="257">
        <v>492133633</v>
      </c>
      <c r="F318" s="257">
        <v>521010644</v>
      </c>
      <c r="G318" s="257">
        <v>521010643</v>
      </c>
      <c r="H318" s="257">
        <v>25034894.870000001</v>
      </c>
      <c r="I318" s="257">
        <v>162711853.61000001</v>
      </c>
      <c r="J318" s="257">
        <v>14501144</v>
      </c>
      <c r="K318" s="257">
        <v>77901289.140000001</v>
      </c>
      <c r="L318" s="257">
        <v>72694249.140000001</v>
      </c>
      <c r="M318" s="257">
        <v>240861462.38</v>
      </c>
      <c r="N318" s="257">
        <v>240861461.38</v>
      </c>
    </row>
    <row r="319" spans="1:14" s="143" customFormat="1" hidden="1" x14ac:dyDescent="0.25">
      <c r="A319" s="143" t="s">
        <v>707</v>
      </c>
      <c r="B319" s="143" t="s">
        <v>314</v>
      </c>
      <c r="C319" s="143" t="s">
        <v>315</v>
      </c>
      <c r="D319" s="143" t="s">
        <v>69</v>
      </c>
      <c r="E319" s="257">
        <v>116502163</v>
      </c>
      <c r="F319" s="257">
        <v>138638873</v>
      </c>
      <c r="G319" s="257">
        <v>138638873</v>
      </c>
      <c r="H319" s="257">
        <v>15813336.470000001</v>
      </c>
      <c r="I319" s="257">
        <v>254836.15</v>
      </c>
      <c r="J319" s="257">
        <v>0</v>
      </c>
      <c r="K319" s="257">
        <v>3034362.5</v>
      </c>
      <c r="L319" s="257">
        <v>3034362.5</v>
      </c>
      <c r="M319" s="257">
        <v>119536337.88</v>
      </c>
      <c r="N319" s="257">
        <v>119536337.88</v>
      </c>
    </row>
    <row r="320" spans="1:14" s="143" customFormat="1" hidden="1" x14ac:dyDescent="0.25">
      <c r="A320" s="143" t="s">
        <v>707</v>
      </c>
      <c r="B320" s="143" t="s">
        <v>316</v>
      </c>
      <c r="C320" s="143" t="s">
        <v>317</v>
      </c>
      <c r="D320" s="143" t="s">
        <v>69</v>
      </c>
      <c r="E320" s="257">
        <v>100168000</v>
      </c>
      <c r="F320" s="257">
        <v>100168000</v>
      </c>
      <c r="G320" s="257">
        <v>100168000</v>
      </c>
      <c r="H320" s="257">
        <v>0</v>
      </c>
      <c r="I320" s="257">
        <v>38410579.399999999</v>
      </c>
      <c r="J320" s="257">
        <v>9720344</v>
      </c>
      <c r="K320" s="257">
        <v>25309570</v>
      </c>
      <c r="L320" s="257">
        <v>20102530</v>
      </c>
      <c r="M320" s="257">
        <v>26727506.600000001</v>
      </c>
      <c r="N320" s="257">
        <v>26727506.600000001</v>
      </c>
    </row>
    <row r="321" spans="1:14" s="143" customFormat="1" hidden="1" x14ac:dyDescent="0.25">
      <c r="A321" s="143" t="s">
        <v>707</v>
      </c>
      <c r="B321" s="143" t="s">
        <v>318</v>
      </c>
      <c r="C321" s="143" t="s">
        <v>319</v>
      </c>
      <c r="D321" s="143" t="s">
        <v>69</v>
      </c>
      <c r="E321" s="257">
        <v>88546837</v>
      </c>
      <c r="F321" s="257">
        <v>106752598</v>
      </c>
      <c r="G321" s="257">
        <v>106752598</v>
      </c>
      <c r="H321" s="257">
        <v>0</v>
      </c>
      <c r="I321" s="257">
        <v>48177230</v>
      </c>
      <c r="J321" s="257">
        <v>4780800</v>
      </c>
      <c r="K321" s="257">
        <v>36440070</v>
      </c>
      <c r="L321" s="257">
        <v>36440070</v>
      </c>
      <c r="M321" s="257">
        <v>17354498</v>
      </c>
      <c r="N321" s="257">
        <v>17354498</v>
      </c>
    </row>
    <row r="322" spans="1:14" s="143" customFormat="1" hidden="1" x14ac:dyDescent="0.25">
      <c r="A322" s="143" t="s">
        <v>707</v>
      </c>
      <c r="B322" s="143" t="s">
        <v>202</v>
      </c>
      <c r="C322" s="143" t="s">
        <v>203</v>
      </c>
      <c r="D322" s="143" t="s">
        <v>69</v>
      </c>
      <c r="E322" s="257">
        <v>110456300</v>
      </c>
      <c r="F322" s="257">
        <v>110456300</v>
      </c>
      <c r="G322" s="257">
        <v>110456299</v>
      </c>
      <c r="H322" s="257">
        <v>0</v>
      </c>
      <c r="I322" s="257">
        <v>53536772.75</v>
      </c>
      <c r="J322" s="257">
        <v>0</v>
      </c>
      <c r="K322" s="257">
        <v>1196024.3</v>
      </c>
      <c r="L322" s="257">
        <v>1196024.3</v>
      </c>
      <c r="M322" s="257">
        <v>55723502.950000003</v>
      </c>
      <c r="N322" s="257">
        <v>55723501.950000003</v>
      </c>
    </row>
    <row r="323" spans="1:14" s="143" customFormat="1" hidden="1" x14ac:dyDescent="0.25">
      <c r="A323" s="143" t="s">
        <v>707</v>
      </c>
      <c r="B323" s="143" t="s">
        <v>320</v>
      </c>
      <c r="C323" s="143" t="s">
        <v>321</v>
      </c>
      <c r="D323" s="143" t="s">
        <v>69</v>
      </c>
      <c r="E323" s="257">
        <v>2261183</v>
      </c>
      <c r="F323" s="257">
        <v>2261183</v>
      </c>
      <c r="G323" s="257">
        <v>2261183</v>
      </c>
      <c r="H323" s="257">
        <v>0</v>
      </c>
      <c r="I323" s="257">
        <v>0</v>
      </c>
      <c r="J323" s="257">
        <v>0</v>
      </c>
      <c r="K323" s="257">
        <v>0</v>
      </c>
      <c r="L323" s="257">
        <v>0</v>
      </c>
      <c r="M323" s="257">
        <v>2261183</v>
      </c>
      <c r="N323" s="257">
        <v>2261183</v>
      </c>
    </row>
    <row r="324" spans="1:14" s="143" customFormat="1" hidden="1" x14ac:dyDescent="0.25">
      <c r="A324" s="143" t="s">
        <v>707</v>
      </c>
      <c r="B324" s="143" t="s">
        <v>204</v>
      </c>
      <c r="C324" s="143" t="s">
        <v>205</v>
      </c>
      <c r="D324" s="143" t="s">
        <v>69</v>
      </c>
      <c r="E324" s="257">
        <v>51120350</v>
      </c>
      <c r="F324" s="257">
        <v>39654890</v>
      </c>
      <c r="G324" s="257">
        <v>39654890</v>
      </c>
      <c r="H324" s="257">
        <v>754000</v>
      </c>
      <c r="I324" s="257">
        <v>21436390.510000002</v>
      </c>
      <c r="J324" s="257">
        <v>0</v>
      </c>
      <c r="K324" s="257">
        <v>2311164.38</v>
      </c>
      <c r="L324" s="257">
        <v>2311164.38</v>
      </c>
      <c r="M324" s="257">
        <v>15153335.109999999</v>
      </c>
      <c r="N324" s="257">
        <v>15153335.109999999</v>
      </c>
    </row>
    <row r="325" spans="1:14" s="143" customFormat="1" hidden="1" x14ac:dyDescent="0.25">
      <c r="A325" s="143" t="s">
        <v>707</v>
      </c>
      <c r="B325" s="143" t="s">
        <v>322</v>
      </c>
      <c r="C325" s="143" t="s">
        <v>323</v>
      </c>
      <c r="D325" s="143" t="s">
        <v>69</v>
      </c>
      <c r="E325" s="257">
        <v>23078800</v>
      </c>
      <c r="F325" s="257">
        <v>23078800</v>
      </c>
      <c r="G325" s="257">
        <v>23078800</v>
      </c>
      <c r="H325" s="257">
        <v>8467558.4000000004</v>
      </c>
      <c r="I325" s="257">
        <v>896044.8</v>
      </c>
      <c r="J325" s="257">
        <v>0</v>
      </c>
      <c r="K325" s="257">
        <v>9610097.9600000009</v>
      </c>
      <c r="L325" s="257">
        <v>9610097.9600000009</v>
      </c>
      <c r="M325" s="257">
        <v>4105098.84</v>
      </c>
      <c r="N325" s="257">
        <v>4105098.84</v>
      </c>
    </row>
    <row r="326" spans="1:14" s="143" customFormat="1" hidden="1" x14ac:dyDescent="0.25">
      <c r="A326" s="143" t="s">
        <v>707</v>
      </c>
      <c r="B326" s="143" t="s">
        <v>206</v>
      </c>
      <c r="C326" s="143" t="s">
        <v>207</v>
      </c>
      <c r="D326" s="143" t="s">
        <v>69</v>
      </c>
      <c r="E326" s="257">
        <v>144803139</v>
      </c>
      <c r="F326" s="257">
        <v>156268599</v>
      </c>
      <c r="G326" s="257">
        <v>156268599</v>
      </c>
      <c r="H326" s="257">
        <v>0</v>
      </c>
      <c r="I326" s="257">
        <v>74133173.189999998</v>
      </c>
      <c r="J326" s="257">
        <v>0</v>
      </c>
      <c r="K326" s="257">
        <v>8536623.1899999995</v>
      </c>
      <c r="L326" s="257">
        <v>8536623.1899999995</v>
      </c>
      <c r="M326" s="257">
        <v>73598802.620000005</v>
      </c>
      <c r="N326" s="257">
        <v>73598802.620000005</v>
      </c>
    </row>
    <row r="327" spans="1:14" s="143" customFormat="1" hidden="1" x14ac:dyDescent="0.25">
      <c r="A327" s="143" t="s">
        <v>707</v>
      </c>
      <c r="B327" s="143" t="s">
        <v>208</v>
      </c>
      <c r="C327" s="143" t="s">
        <v>209</v>
      </c>
      <c r="D327" s="143" t="s">
        <v>69</v>
      </c>
      <c r="E327" s="257">
        <v>17162500</v>
      </c>
      <c r="F327" s="257">
        <v>28627960</v>
      </c>
      <c r="G327" s="257">
        <v>28627960</v>
      </c>
      <c r="H327" s="257">
        <v>0</v>
      </c>
      <c r="I327" s="257">
        <v>15629090.029999999</v>
      </c>
      <c r="J327" s="257">
        <v>0</v>
      </c>
      <c r="K327" s="257">
        <v>223480</v>
      </c>
      <c r="L327" s="257">
        <v>223480</v>
      </c>
      <c r="M327" s="257">
        <v>12775389.970000001</v>
      </c>
      <c r="N327" s="257">
        <v>12775389.970000001</v>
      </c>
    </row>
    <row r="328" spans="1:14" s="143" customFormat="1" hidden="1" x14ac:dyDescent="0.25">
      <c r="A328" s="143" t="s">
        <v>707</v>
      </c>
      <c r="B328" s="143" t="s">
        <v>210</v>
      </c>
      <c r="C328" s="143" t="s">
        <v>211</v>
      </c>
      <c r="D328" s="143" t="s">
        <v>69</v>
      </c>
      <c r="E328" s="257">
        <v>127640639</v>
      </c>
      <c r="F328" s="257">
        <v>127640639</v>
      </c>
      <c r="G328" s="257">
        <v>127640639</v>
      </c>
      <c r="H328" s="257">
        <v>0</v>
      </c>
      <c r="I328" s="257">
        <v>58504083.159999996</v>
      </c>
      <c r="J328" s="257">
        <v>0</v>
      </c>
      <c r="K328" s="257">
        <v>8313143.1900000004</v>
      </c>
      <c r="L328" s="257">
        <v>8313143.1900000004</v>
      </c>
      <c r="M328" s="257">
        <v>60823412.649999999</v>
      </c>
      <c r="N328" s="257">
        <v>60823412.649999999</v>
      </c>
    </row>
    <row r="329" spans="1:14" s="143" customFormat="1" hidden="1" x14ac:dyDescent="0.25">
      <c r="A329" s="143" t="s">
        <v>707</v>
      </c>
      <c r="B329" s="143" t="s">
        <v>212</v>
      </c>
      <c r="C329" s="143" t="s">
        <v>213</v>
      </c>
      <c r="D329" s="143" t="s">
        <v>69</v>
      </c>
      <c r="E329" s="257">
        <v>3269894716</v>
      </c>
      <c r="F329" s="257">
        <v>3226558245</v>
      </c>
      <c r="G329" s="257">
        <v>3226558245</v>
      </c>
      <c r="H329" s="257">
        <v>35349408.850000001</v>
      </c>
      <c r="I329" s="257">
        <v>321677624</v>
      </c>
      <c r="J329" s="257">
        <v>34692996.509999998</v>
      </c>
      <c r="K329" s="257">
        <v>312984174.86000001</v>
      </c>
      <c r="L329" s="257">
        <v>245926733.69</v>
      </c>
      <c r="M329" s="257">
        <v>2521854040.7800002</v>
      </c>
      <c r="N329" s="257">
        <v>2521854040.7800002</v>
      </c>
    </row>
    <row r="330" spans="1:14" s="143" customFormat="1" hidden="1" x14ac:dyDescent="0.25">
      <c r="A330" s="143" t="s">
        <v>707</v>
      </c>
      <c r="B330" s="143" t="s">
        <v>214</v>
      </c>
      <c r="C330" s="143" t="s">
        <v>215</v>
      </c>
      <c r="D330" s="143" t="s">
        <v>69</v>
      </c>
      <c r="E330" s="257">
        <v>34070136</v>
      </c>
      <c r="F330" s="257">
        <v>34070136</v>
      </c>
      <c r="G330" s="257">
        <v>34070136</v>
      </c>
      <c r="H330" s="257">
        <v>2006919.3</v>
      </c>
      <c r="I330" s="257">
        <v>1004707.4</v>
      </c>
      <c r="J330" s="257">
        <v>0</v>
      </c>
      <c r="K330" s="257">
        <v>592475.1</v>
      </c>
      <c r="L330" s="257">
        <v>592475.1</v>
      </c>
      <c r="M330" s="257">
        <v>30466034.199999999</v>
      </c>
      <c r="N330" s="257">
        <v>30466034.199999999</v>
      </c>
    </row>
    <row r="331" spans="1:14" s="143" customFormat="1" hidden="1" x14ac:dyDescent="0.25">
      <c r="A331" s="143" t="s">
        <v>707</v>
      </c>
      <c r="B331" s="143" t="s">
        <v>216</v>
      </c>
      <c r="C331" s="143" t="s">
        <v>217</v>
      </c>
      <c r="D331" s="143" t="s">
        <v>69</v>
      </c>
      <c r="E331" s="257">
        <v>26479307</v>
      </c>
      <c r="F331" s="257">
        <v>26479307</v>
      </c>
      <c r="G331" s="257">
        <v>26479307</v>
      </c>
      <c r="H331" s="257">
        <v>1319840</v>
      </c>
      <c r="I331" s="257">
        <v>9069728.9700000007</v>
      </c>
      <c r="J331" s="257">
        <v>0</v>
      </c>
      <c r="K331" s="257">
        <v>2308012.0099999998</v>
      </c>
      <c r="L331" s="257">
        <v>2308012.0099999998</v>
      </c>
      <c r="M331" s="257">
        <v>13781726.02</v>
      </c>
      <c r="N331" s="257">
        <v>13781726.02</v>
      </c>
    </row>
    <row r="332" spans="1:14" s="143" customFormat="1" hidden="1" x14ac:dyDescent="0.25">
      <c r="A332" s="143" t="s">
        <v>707</v>
      </c>
      <c r="B332" s="143" t="s">
        <v>218</v>
      </c>
      <c r="C332" s="143" t="s">
        <v>219</v>
      </c>
      <c r="D332" s="143" t="s">
        <v>69</v>
      </c>
      <c r="E332" s="257">
        <v>140601000</v>
      </c>
      <c r="F332" s="257">
        <v>137607000</v>
      </c>
      <c r="G332" s="257">
        <v>137607000</v>
      </c>
      <c r="H332" s="257">
        <v>1951346.15</v>
      </c>
      <c r="I332" s="257">
        <v>37270781.32</v>
      </c>
      <c r="J332" s="257">
        <v>0</v>
      </c>
      <c r="K332" s="257">
        <v>35833884</v>
      </c>
      <c r="L332" s="257">
        <v>29992860</v>
      </c>
      <c r="M332" s="257">
        <v>62550988.530000001</v>
      </c>
      <c r="N332" s="257">
        <v>62550988.530000001</v>
      </c>
    </row>
    <row r="333" spans="1:14" s="143" customFormat="1" hidden="1" x14ac:dyDescent="0.25">
      <c r="A333" s="143" t="s">
        <v>707</v>
      </c>
      <c r="B333" s="143" t="s">
        <v>220</v>
      </c>
      <c r="C333" s="143" t="s">
        <v>221</v>
      </c>
      <c r="D333" s="143" t="s">
        <v>69</v>
      </c>
      <c r="E333" s="257">
        <v>1260371675</v>
      </c>
      <c r="F333" s="257">
        <v>1249371675</v>
      </c>
      <c r="G333" s="257">
        <v>1249371675</v>
      </c>
      <c r="H333" s="257">
        <v>10656788</v>
      </c>
      <c r="I333" s="257">
        <v>25935897.32</v>
      </c>
      <c r="J333" s="257">
        <v>0</v>
      </c>
      <c r="K333" s="257">
        <v>17487443.82</v>
      </c>
      <c r="L333" s="257">
        <v>0</v>
      </c>
      <c r="M333" s="257">
        <v>1195291545.8599999</v>
      </c>
      <c r="N333" s="257">
        <v>1195291545.8599999</v>
      </c>
    </row>
    <row r="334" spans="1:14" s="143" customFormat="1" hidden="1" x14ac:dyDescent="0.25">
      <c r="A334" s="143" t="s">
        <v>707</v>
      </c>
      <c r="B334" s="143" t="s">
        <v>222</v>
      </c>
      <c r="C334" s="143" t="s">
        <v>223</v>
      </c>
      <c r="D334" s="143" t="s">
        <v>69</v>
      </c>
      <c r="E334" s="257">
        <v>291010979</v>
      </c>
      <c r="F334" s="257">
        <v>261668508</v>
      </c>
      <c r="G334" s="257">
        <v>261668508</v>
      </c>
      <c r="H334" s="257">
        <v>6562000</v>
      </c>
      <c r="I334" s="257">
        <v>96654574.280000001</v>
      </c>
      <c r="J334" s="257">
        <v>9452628</v>
      </c>
      <c r="K334" s="257">
        <v>72017628.799999997</v>
      </c>
      <c r="L334" s="257">
        <v>39637019.450000003</v>
      </c>
      <c r="M334" s="257">
        <v>76981676.920000002</v>
      </c>
      <c r="N334" s="257">
        <v>76981676.920000002</v>
      </c>
    </row>
    <row r="335" spans="1:14" s="143" customFormat="1" hidden="1" x14ac:dyDescent="0.25">
      <c r="A335" s="143" t="s">
        <v>707</v>
      </c>
      <c r="B335" s="143" t="s">
        <v>224</v>
      </c>
      <c r="C335" s="143" t="s">
        <v>225</v>
      </c>
      <c r="D335" s="143" t="s">
        <v>69</v>
      </c>
      <c r="E335" s="257">
        <v>1243089320</v>
      </c>
      <c r="F335" s="257">
        <v>1243089320</v>
      </c>
      <c r="G335" s="257">
        <v>1243089320</v>
      </c>
      <c r="H335" s="257">
        <v>12852515.4</v>
      </c>
      <c r="I335" s="257">
        <v>34367245.340000004</v>
      </c>
      <c r="J335" s="257">
        <v>357000</v>
      </c>
      <c r="K335" s="257">
        <v>121894230</v>
      </c>
      <c r="L335" s="257">
        <v>121894230</v>
      </c>
      <c r="M335" s="257">
        <v>1073618329.26</v>
      </c>
      <c r="N335" s="257">
        <v>1073618329.26</v>
      </c>
    </row>
    <row r="336" spans="1:14" s="143" customFormat="1" hidden="1" x14ac:dyDescent="0.25">
      <c r="A336" s="143" t="s">
        <v>707</v>
      </c>
      <c r="B336" s="143" t="s">
        <v>226</v>
      </c>
      <c r="C336" s="143" t="s">
        <v>227</v>
      </c>
      <c r="D336" s="143" t="s">
        <v>69</v>
      </c>
      <c r="E336" s="257">
        <v>90632447</v>
      </c>
      <c r="F336" s="257">
        <v>90632447</v>
      </c>
      <c r="G336" s="257">
        <v>90632447</v>
      </c>
      <c r="H336" s="257">
        <v>0</v>
      </c>
      <c r="I336" s="257">
        <v>75569704.939999998</v>
      </c>
      <c r="J336" s="257">
        <v>0</v>
      </c>
      <c r="K336" s="257">
        <v>2072760</v>
      </c>
      <c r="L336" s="257">
        <v>2072760</v>
      </c>
      <c r="M336" s="257">
        <v>12989982.060000001</v>
      </c>
      <c r="N336" s="257">
        <v>12989982.060000001</v>
      </c>
    </row>
    <row r="337" spans="1:14" s="143" customFormat="1" hidden="1" x14ac:dyDescent="0.25">
      <c r="A337" s="143" t="s">
        <v>707</v>
      </c>
      <c r="B337" s="143" t="s">
        <v>228</v>
      </c>
      <c r="C337" s="143" t="s">
        <v>229</v>
      </c>
      <c r="D337" s="143" t="s">
        <v>69</v>
      </c>
      <c r="E337" s="257">
        <v>183639852</v>
      </c>
      <c r="F337" s="257">
        <v>183639852</v>
      </c>
      <c r="G337" s="257">
        <v>183639852</v>
      </c>
      <c r="H337" s="257">
        <v>0</v>
      </c>
      <c r="I337" s="257">
        <v>41804984.43</v>
      </c>
      <c r="J337" s="257">
        <v>24883368.510000002</v>
      </c>
      <c r="K337" s="257">
        <v>60777741.130000003</v>
      </c>
      <c r="L337" s="257">
        <v>49429377.130000003</v>
      </c>
      <c r="M337" s="257">
        <v>56173757.93</v>
      </c>
      <c r="N337" s="257">
        <v>56173757.93</v>
      </c>
    </row>
    <row r="338" spans="1:14" s="143" customFormat="1" hidden="1" x14ac:dyDescent="0.25">
      <c r="A338" s="143" t="s">
        <v>707</v>
      </c>
      <c r="B338" s="143" t="s">
        <v>230</v>
      </c>
      <c r="C338" s="143" t="s">
        <v>231</v>
      </c>
      <c r="D338" s="143" t="s">
        <v>85</v>
      </c>
      <c r="E338" s="257">
        <v>2053989952</v>
      </c>
      <c r="F338" s="257">
        <v>2053289952</v>
      </c>
      <c r="G338" s="257">
        <v>1778697483</v>
      </c>
      <c r="H338" s="257">
        <v>258190844.84</v>
      </c>
      <c r="I338" s="257">
        <v>650143248.15999997</v>
      </c>
      <c r="J338" s="257">
        <v>0</v>
      </c>
      <c r="K338" s="257">
        <v>59905401.329999998</v>
      </c>
      <c r="L338" s="257">
        <v>49057401.329999998</v>
      </c>
      <c r="M338" s="257">
        <v>1085050457.6700001</v>
      </c>
      <c r="N338" s="257">
        <v>810457988.66999996</v>
      </c>
    </row>
    <row r="339" spans="1:14" s="143" customFormat="1" hidden="1" x14ac:dyDescent="0.25">
      <c r="A339" s="143" t="s">
        <v>707</v>
      </c>
      <c r="B339" s="143" t="s">
        <v>232</v>
      </c>
      <c r="C339" s="143" t="s">
        <v>233</v>
      </c>
      <c r="D339" s="143" t="s">
        <v>85</v>
      </c>
      <c r="E339" s="257">
        <v>1511257014</v>
      </c>
      <c r="F339" s="257">
        <v>1464052552</v>
      </c>
      <c r="G339" s="257">
        <v>1464052552</v>
      </c>
      <c r="H339" s="257">
        <v>258190844.84</v>
      </c>
      <c r="I339" s="257">
        <v>649713179.98000002</v>
      </c>
      <c r="J339" s="257">
        <v>0</v>
      </c>
      <c r="K339" s="257">
        <v>59307529.729999997</v>
      </c>
      <c r="L339" s="257">
        <v>48459529.729999997</v>
      </c>
      <c r="M339" s="257">
        <v>496840997.44999999</v>
      </c>
      <c r="N339" s="257">
        <v>496840997.44999999</v>
      </c>
    </row>
    <row r="340" spans="1:14" s="143" customFormat="1" hidden="1" x14ac:dyDescent="0.25">
      <c r="A340" s="143" t="s">
        <v>707</v>
      </c>
      <c r="B340" s="143" t="s">
        <v>234</v>
      </c>
      <c r="C340" s="143" t="s">
        <v>235</v>
      </c>
      <c r="D340" s="143" t="s">
        <v>85</v>
      </c>
      <c r="E340" s="257">
        <v>46000000</v>
      </c>
      <c r="F340" s="257">
        <v>46000000</v>
      </c>
      <c r="G340" s="257">
        <v>46000000</v>
      </c>
      <c r="H340" s="257">
        <v>45369556.840000004</v>
      </c>
      <c r="I340" s="257">
        <v>0</v>
      </c>
      <c r="J340" s="257">
        <v>0</v>
      </c>
      <c r="K340" s="257">
        <v>0</v>
      </c>
      <c r="L340" s="257">
        <v>0</v>
      </c>
      <c r="M340" s="257">
        <v>630443.16</v>
      </c>
      <c r="N340" s="257">
        <v>630443.16</v>
      </c>
    </row>
    <row r="341" spans="1:14" s="143" customFormat="1" hidden="1" x14ac:dyDescent="0.25">
      <c r="A341" s="143" t="s">
        <v>707</v>
      </c>
      <c r="B341" s="143" t="s">
        <v>324</v>
      </c>
      <c r="C341" s="143" t="s">
        <v>325</v>
      </c>
      <c r="D341" s="143" t="s">
        <v>85</v>
      </c>
      <c r="E341" s="257">
        <v>0</v>
      </c>
      <c r="F341" s="257">
        <v>815400</v>
      </c>
      <c r="G341" s="257">
        <v>815400</v>
      </c>
      <c r="H341" s="257">
        <v>0</v>
      </c>
      <c r="I341" s="257">
        <v>815400</v>
      </c>
      <c r="J341" s="257">
        <v>0</v>
      </c>
      <c r="K341" s="257">
        <v>0</v>
      </c>
      <c r="L341" s="257">
        <v>0</v>
      </c>
      <c r="M341" s="257">
        <v>0</v>
      </c>
      <c r="N341" s="257">
        <v>0</v>
      </c>
    </row>
    <row r="342" spans="1:14" s="143" customFormat="1" hidden="1" x14ac:dyDescent="0.25">
      <c r="A342" s="143" t="s">
        <v>707</v>
      </c>
      <c r="B342" s="143" t="s">
        <v>236</v>
      </c>
      <c r="C342" s="143" t="s">
        <v>237</v>
      </c>
      <c r="D342" s="143" t="s">
        <v>85</v>
      </c>
      <c r="E342" s="257">
        <v>302703422</v>
      </c>
      <c r="F342" s="257">
        <v>287003422</v>
      </c>
      <c r="G342" s="257">
        <v>287003422</v>
      </c>
      <c r="H342" s="257">
        <v>0</v>
      </c>
      <c r="I342" s="257">
        <v>211188499.97999999</v>
      </c>
      <c r="J342" s="257">
        <v>0</v>
      </c>
      <c r="K342" s="257">
        <v>0</v>
      </c>
      <c r="L342" s="257">
        <v>0</v>
      </c>
      <c r="M342" s="257">
        <v>75814922.019999996</v>
      </c>
      <c r="N342" s="257">
        <v>75814922.019999996</v>
      </c>
    </row>
    <row r="343" spans="1:14" s="143" customFormat="1" hidden="1" x14ac:dyDescent="0.25">
      <c r="A343" s="143" t="s">
        <v>707</v>
      </c>
      <c r="B343" s="143" t="s">
        <v>238</v>
      </c>
      <c r="C343" s="143" t="s">
        <v>239</v>
      </c>
      <c r="D343" s="143" t="s">
        <v>85</v>
      </c>
      <c r="E343" s="257">
        <v>68995579</v>
      </c>
      <c r="F343" s="257">
        <v>122306079</v>
      </c>
      <c r="G343" s="257">
        <v>122306079</v>
      </c>
      <c r="H343" s="257">
        <v>1836250</v>
      </c>
      <c r="I343" s="257">
        <v>0</v>
      </c>
      <c r="J343" s="257">
        <v>0</v>
      </c>
      <c r="K343" s="257">
        <v>43357170</v>
      </c>
      <c r="L343" s="257">
        <v>43357170</v>
      </c>
      <c r="M343" s="257">
        <v>77112659</v>
      </c>
      <c r="N343" s="257">
        <v>77112659</v>
      </c>
    </row>
    <row r="344" spans="1:14" s="143" customFormat="1" hidden="1" x14ac:dyDescent="0.25">
      <c r="A344" s="143" t="s">
        <v>707</v>
      </c>
      <c r="B344" s="143" t="s">
        <v>282</v>
      </c>
      <c r="C344" s="143" t="s">
        <v>283</v>
      </c>
      <c r="D344" s="143" t="s">
        <v>85</v>
      </c>
      <c r="E344" s="257">
        <v>100000000</v>
      </c>
      <c r="F344" s="257">
        <v>100000000</v>
      </c>
      <c r="G344" s="257">
        <v>100000000</v>
      </c>
      <c r="H344" s="257">
        <v>0</v>
      </c>
      <c r="I344" s="257">
        <v>0</v>
      </c>
      <c r="J344" s="257">
        <v>0</v>
      </c>
      <c r="K344" s="257">
        <v>0</v>
      </c>
      <c r="L344" s="257">
        <v>0</v>
      </c>
      <c r="M344" s="257">
        <v>100000000</v>
      </c>
      <c r="N344" s="257">
        <v>100000000</v>
      </c>
    </row>
    <row r="345" spans="1:14" s="143" customFormat="1" hidden="1" x14ac:dyDescent="0.25">
      <c r="A345" s="143" t="s">
        <v>707</v>
      </c>
      <c r="B345" s="143" t="s">
        <v>326</v>
      </c>
      <c r="C345" s="143" t="s">
        <v>327</v>
      </c>
      <c r="D345" s="143" t="s">
        <v>85</v>
      </c>
      <c r="E345" s="257">
        <v>1200000</v>
      </c>
      <c r="F345" s="257">
        <v>1200000</v>
      </c>
      <c r="G345" s="257">
        <v>1200000</v>
      </c>
      <c r="H345" s="257">
        <v>0</v>
      </c>
      <c r="I345" s="257">
        <v>0</v>
      </c>
      <c r="J345" s="257">
        <v>0</v>
      </c>
      <c r="K345" s="257">
        <v>0</v>
      </c>
      <c r="L345" s="257">
        <v>0</v>
      </c>
      <c r="M345" s="257">
        <v>1200000</v>
      </c>
      <c r="N345" s="257">
        <v>1200000</v>
      </c>
    </row>
    <row r="346" spans="1:14" s="143" customFormat="1" hidden="1" x14ac:dyDescent="0.25">
      <c r="A346" s="143" t="s">
        <v>707</v>
      </c>
      <c r="B346" s="143" t="s">
        <v>240</v>
      </c>
      <c r="C346" s="143" t="s">
        <v>241</v>
      </c>
      <c r="D346" s="143" t="s">
        <v>85</v>
      </c>
      <c r="E346" s="257">
        <v>2700000</v>
      </c>
      <c r="F346" s="257">
        <v>2700000</v>
      </c>
      <c r="G346" s="257">
        <v>2700000</v>
      </c>
      <c r="H346" s="257">
        <v>0</v>
      </c>
      <c r="I346" s="257">
        <v>0</v>
      </c>
      <c r="J346" s="257">
        <v>0</v>
      </c>
      <c r="K346" s="257">
        <v>0</v>
      </c>
      <c r="L346" s="257">
        <v>0</v>
      </c>
      <c r="M346" s="257">
        <v>2700000</v>
      </c>
      <c r="N346" s="257">
        <v>2700000</v>
      </c>
    </row>
    <row r="347" spans="1:14" s="143" customFormat="1" hidden="1" x14ac:dyDescent="0.25">
      <c r="A347" s="143" t="s">
        <v>707</v>
      </c>
      <c r="B347" s="143" t="s">
        <v>242</v>
      </c>
      <c r="C347" s="143" t="s">
        <v>243</v>
      </c>
      <c r="D347" s="143" t="s">
        <v>85</v>
      </c>
      <c r="E347" s="257">
        <v>989658013</v>
      </c>
      <c r="F347" s="257">
        <v>904027651</v>
      </c>
      <c r="G347" s="257">
        <v>904027651</v>
      </c>
      <c r="H347" s="257">
        <v>210985038</v>
      </c>
      <c r="I347" s="257">
        <v>437709280</v>
      </c>
      <c r="J347" s="257">
        <v>0</v>
      </c>
      <c r="K347" s="257">
        <v>15950359.73</v>
      </c>
      <c r="L347" s="257">
        <v>5102359.7300000004</v>
      </c>
      <c r="M347" s="257">
        <v>239382973.27000001</v>
      </c>
      <c r="N347" s="257">
        <v>239382973.27000001</v>
      </c>
    </row>
    <row r="348" spans="1:14" s="143" customFormat="1" hidden="1" x14ac:dyDescent="0.25">
      <c r="A348" s="143" t="s">
        <v>707</v>
      </c>
      <c r="B348" s="143" t="s">
        <v>328</v>
      </c>
      <c r="C348" s="143" t="s">
        <v>329</v>
      </c>
      <c r="D348" s="143" t="s">
        <v>85</v>
      </c>
      <c r="E348" s="257">
        <v>94148000</v>
      </c>
      <c r="F348" s="257">
        <v>94148000</v>
      </c>
      <c r="G348" s="257">
        <v>44148000</v>
      </c>
      <c r="H348" s="257">
        <v>0</v>
      </c>
      <c r="I348" s="257">
        <v>430068.18</v>
      </c>
      <c r="J348" s="257">
        <v>0</v>
      </c>
      <c r="K348" s="257">
        <v>597871.6</v>
      </c>
      <c r="L348" s="257">
        <v>597871.6</v>
      </c>
      <c r="M348" s="257">
        <v>93120060.219999999</v>
      </c>
      <c r="N348" s="257">
        <v>43120060.219999999</v>
      </c>
    </row>
    <row r="349" spans="1:14" s="143" customFormat="1" hidden="1" x14ac:dyDescent="0.25">
      <c r="A349" s="143" t="s">
        <v>707</v>
      </c>
      <c r="B349" s="143" t="s">
        <v>330</v>
      </c>
      <c r="C349" s="143" t="s">
        <v>331</v>
      </c>
      <c r="D349" s="143" t="s">
        <v>85</v>
      </c>
      <c r="E349" s="257">
        <v>92800000</v>
      </c>
      <c r="F349" s="257">
        <v>92800000</v>
      </c>
      <c r="G349" s="257">
        <v>42800000</v>
      </c>
      <c r="H349" s="257">
        <v>0</v>
      </c>
      <c r="I349" s="257">
        <v>0</v>
      </c>
      <c r="J349" s="257">
        <v>0</v>
      </c>
      <c r="K349" s="257">
        <v>597871.6</v>
      </c>
      <c r="L349" s="257">
        <v>597871.6</v>
      </c>
      <c r="M349" s="257">
        <v>92202128.400000006</v>
      </c>
      <c r="N349" s="257">
        <v>42202128.399999999</v>
      </c>
    </row>
    <row r="350" spans="1:14" s="143" customFormat="1" hidden="1" x14ac:dyDescent="0.25">
      <c r="A350" s="143" t="s">
        <v>707</v>
      </c>
      <c r="B350" s="143" t="s">
        <v>358</v>
      </c>
      <c r="C350" s="143" t="s">
        <v>359</v>
      </c>
      <c r="D350" s="143" t="s">
        <v>85</v>
      </c>
      <c r="E350" s="257">
        <v>1348000</v>
      </c>
      <c r="F350" s="257">
        <v>1348000</v>
      </c>
      <c r="G350" s="257">
        <v>1348000</v>
      </c>
      <c r="H350" s="257">
        <v>0</v>
      </c>
      <c r="I350" s="257">
        <v>430068.18</v>
      </c>
      <c r="J350" s="257">
        <v>0</v>
      </c>
      <c r="K350" s="257">
        <v>0</v>
      </c>
      <c r="L350" s="257">
        <v>0</v>
      </c>
      <c r="M350" s="257">
        <v>917931.82</v>
      </c>
      <c r="N350" s="257">
        <v>917931.82</v>
      </c>
    </row>
    <row r="351" spans="1:14" s="143" customFormat="1" hidden="1" x14ac:dyDescent="0.25">
      <c r="A351" s="143" t="s">
        <v>707</v>
      </c>
      <c r="B351" s="143" t="s">
        <v>244</v>
      </c>
      <c r="C351" s="143" t="s">
        <v>245</v>
      </c>
      <c r="D351" s="143" t="s">
        <v>85</v>
      </c>
      <c r="E351" s="257">
        <v>448584938</v>
      </c>
      <c r="F351" s="257">
        <v>495089400</v>
      </c>
      <c r="G351" s="257">
        <v>270496931</v>
      </c>
      <c r="H351" s="257">
        <v>0</v>
      </c>
      <c r="I351" s="257">
        <v>0</v>
      </c>
      <c r="J351" s="257">
        <v>0</v>
      </c>
      <c r="K351" s="257">
        <v>0</v>
      </c>
      <c r="L351" s="257">
        <v>0</v>
      </c>
      <c r="M351" s="257">
        <v>495089400</v>
      </c>
      <c r="N351" s="257">
        <v>270496931</v>
      </c>
    </row>
    <row r="352" spans="1:14" s="143" customFormat="1" hidden="1" x14ac:dyDescent="0.25">
      <c r="A352" s="143" t="s">
        <v>707</v>
      </c>
      <c r="B352" s="143" t="s">
        <v>246</v>
      </c>
      <c r="C352" s="143" t="s">
        <v>247</v>
      </c>
      <c r="D352" s="143" t="s">
        <v>85</v>
      </c>
      <c r="E352" s="257">
        <v>448584938</v>
      </c>
      <c r="F352" s="257">
        <v>495089400</v>
      </c>
      <c r="G352" s="257">
        <v>270496931</v>
      </c>
      <c r="H352" s="257">
        <v>0</v>
      </c>
      <c r="I352" s="257">
        <v>0</v>
      </c>
      <c r="J352" s="257">
        <v>0</v>
      </c>
      <c r="K352" s="257">
        <v>0</v>
      </c>
      <c r="L352" s="257">
        <v>0</v>
      </c>
      <c r="M352" s="257">
        <v>495089400</v>
      </c>
      <c r="N352" s="257">
        <v>270496931</v>
      </c>
    </row>
    <row r="353" spans="1:14" s="143" customFormat="1" hidden="1" x14ac:dyDescent="0.25">
      <c r="A353" s="143" t="s">
        <v>707</v>
      </c>
      <c r="B353" s="143" t="s">
        <v>248</v>
      </c>
      <c r="C353" s="143" t="s">
        <v>249</v>
      </c>
      <c r="D353" s="143" t="s">
        <v>69</v>
      </c>
      <c r="E353" s="257">
        <v>13160774264</v>
      </c>
      <c r="F353" s="257">
        <v>13151348647</v>
      </c>
      <c r="G353" s="257">
        <v>10976621010</v>
      </c>
      <c r="H353" s="257">
        <v>0</v>
      </c>
      <c r="I353" s="257">
        <v>6455775578.8699999</v>
      </c>
      <c r="J353" s="257">
        <v>0</v>
      </c>
      <c r="K353" s="257">
        <v>3873706754.6199999</v>
      </c>
      <c r="L353" s="257">
        <v>3026599792.1300001</v>
      </c>
      <c r="M353" s="257">
        <v>2821866313.5100002</v>
      </c>
      <c r="N353" s="257">
        <v>647138676.50999999</v>
      </c>
    </row>
    <row r="354" spans="1:14" s="143" customFormat="1" hidden="1" x14ac:dyDescent="0.25">
      <c r="A354" s="143" t="s">
        <v>707</v>
      </c>
      <c r="B354" s="143" t="s">
        <v>250</v>
      </c>
      <c r="C354" s="143" t="s">
        <v>251</v>
      </c>
      <c r="D354" s="143" t="s">
        <v>69</v>
      </c>
      <c r="E354" s="257">
        <v>11073271142</v>
      </c>
      <c r="F354" s="257">
        <v>11063845525</v>
      </c>
      <c r="G354" s="257">
        <v>10036863047</v>
      </c>
      <c r="H354" s="257">
        <v>0</v>
      </c>
      <c r="I354" s="257">
        <v>6134142484.8100004</v>
      </c>
      <c r="J354" s="257">
        <v>0</v>
      </c>
      <c r="K354" s="257">
        <v>3628202556.1900001</v>
      </c>
      <c r="L354" s="257">
        <v>2781095593.6999998</v>
      </c>
      <c r="M354" s="257">
        <v>1301500484</v>
      </c>
      <c r="N354" s="257">
        <v>274518006</v>
      </c>
    </row>
    <row r="355" spans="1:14" s="143" customFormat="1" hidden="1" x14ac:dyDescent="0.25">
      <c r="A355" s="143" t="s">
        <v>707</v>
      </c>
      <c r="B355" s="143" t="s">
        <v>621</v>
      </c>
      <c r="C355" s="143" t="s">
        <v>708</v>
      </c>
      <c r="D355" s="143" t="s">
        <v>69</v>
      </c>
      <c r="E355" s="257">
        <v>44000000</v>
      </c>
      <c r="F355" s="257">
        <v>44000000</v>
      </c>
      <c r="G355" s="257">
        <v>22000000</v>
      </c>
      <c r="H355" s="257">
        <v>0</v>
      </c>
      <c r="I355" s="257">
        <v>22000000</v>
      </c>
      <c r="J355" s="257">
        <v>0</v>
      </c>
      <c r="K355" s="257">
        <v>0</v>
      </c>
      <c r="L355" s="257">
        <v>0</v>
      </c>
      <c r="M355" s="257">
        <v>22000000</v>
      </c>
      <c r="N355" s="257">
        <v>0</v>
      </c>
    </row>
    <row r="356" spans="1:14" s="143" customFormat="1" hidden="1" x14ac:dyDescent="0.25">
      <c r="A356" s="143" t="s">
        <v>707</v>
      </c>
      <c r="B356" s="143" t="s">
        <v>629</v>
      </c>
      <c r="C356" s="143" t="s">
        <v>702</v>
      </c>
      <c r="D356" s="143" t="s">
        <v>69</v>
      </c>
      <c r="E356" s="257">
        <v>540115935</v>
      </c>
      <c r="F356" s="257">
        <v>532109838</v>
      </c>
      <c r="G356" s="257">
        <v>527361381</v>
      </c>
      <c r="H356" s="257">
        <v>0</v>
      </c>
      <c r="I356" s="257">
        <v>328390417</v>
      </c>
      <c r="J356" s="257">
        <v>0</v>
      </c>
      <c r="K356" s="257">
        <v>198970964</v>
      </c>
      <c r="L356" s="257">
        <v>198970964</v>
      </c>
      <c r="M356" s="257">
        <v>4748457</v>
      </c>
      <c r="N356" s="257">
        <v>0</v>
      </c>
    </row>
    <row r="357" spans="1:14" s="143" customFormat="1" hidden="1" x14ac:dyDescent="0.25">
      <c r="A357" s="143" t="s">
        <v>707</v>
      </c>
      <c r="B357" s="143" t="s">
        <v>644</v>
      </c>
      <c r="C357" s="143" t="s">
        <v>703</v>
      </c>
      <c r="D357" s="143" t="s">
        <v>69</v>
      </c>
      <c r="E357" s="257">
        <v>95765207</v>
      </c>
      <c r="F357" s="257">
        <v>94345687</v>
      </c>
      <c r="G357" s="257">
        <v>93503762</v>
      </c>
      <c r="H357" s="257">
        <v>0</v>
      </c>
      <c r="I357" s="257">
        <v>56215918</v>
      </c>
      <c r="J357" s="257">
        <v>0</v>
      </c>
      <c r="K357" s="257">
        <v>37287844</v>
      </c>
      <c r="L357" s="257">
        <v>37287844</v>
      </c>
      <c r="M357" s="257">
        <v>841925</v>
      </c>
      <c r="N357" s="257">
        <v>0</v>
      </c>
    </row>
    <row r="358" spans="1:14" s="143" customFormat="1" hidden="1" x14ac:dyDescent="0.25">
      <c r="A358" s="143" t="s">
        <v>707</v>
      </c>
      <c r="B358" s="143" t="s">
        <v>655</v>
      </c>
      <c r="C358" s="143" t="s">
        <v>709</v>
      </c>
      <c r="D358" s="143" t="s">
        <v>69</v>
      </c>
      <c r="E358" s="257">
        <v>10393390000</v>
      </c>
      <c r="F358" s="257">
        <v>10393390000</v>
      </c>
      <c r="G358" s="257">
        <v>9393997904</v>
      </c>
      <c r="H358" s="257">
        <v>0</v>
      </c>
      <c r="I358" s="257">
        <v>5727536149.8100004</v>
      </c>
      <c r="J358" s="257">
        <v>0</v>
      </c>
      <c r="K358" s="257">
        <v>3391943748.1900001</v>
      </c>
      <c r="L358" s="257">
        <v>2544836785.6999998</v>
      </c>
      <c r="M358" s="257">
        <v>1273910102</v>
      </c>
      <c r="N358" s="257">
        <v>274518006</v>
      </c>
    </row>
    <row r="359" spans="1:14" s="143" customFormat="1" hidden="1" x14ac:dyDescent="0.25">
      <c r="A359" s="143" t="s">
        <v>707</v>
      </c>
      <c r="B359" s="143" t="s">
        <v>366</v>
      </c>
      <c r="C359" s="143" t="s">
        <v>367</v>
      </c>
      <c r="D359" s="143" t="s">
        <v>69</v>
      </c>
      <c r="E359" s="257">
        <v>666000000</v>
      </c>
      <c r="F359" s="257">
        <v>666000000</v>
      </c>
      <c r="G359" s="257">
        <v>333000000</v>
      </c>
      <c r="H359" s="257">
        <v>0</v>
      </c>
      <c r="I359" s="257">
        <v>166500000</v>
      </c>
      <c r="J359" s="257">
        <v>0</v>
      </c>
      <c r="K359" s="257">
        <v>166500000</v>
      </c>
      <c r="L359" s="257">
        <v>166500000</v>
      </c>
      <c r="M359" s="257">
        <v>333000000</v>
      </c>
      <c r="N359" s="257">
        <v>0</v>
      </c>
    </row>
    <row r="360" spans="1:14" s="143" customFormat="1" hidden="1" x14ac:dyDescent="0.25">
      <c r="A360" s="143" t="s">
        <v>707</v>
      </c>
      <c r="B360" s="143" t="s">
        <v>368</v>
      </c>
      <c r="C360" s="143" t="s">
        <v>369</v>
      </c>
      <c r="D360" s="143" t="s">
        <v>69</v>
      </c>
      <c r="E360" s="257">
        <v>666000000</v>
      </c>
      <c r="F360" s="257">
        <v>666000000</v>
      </c>
      <c r="G360" s="257">
        <v>333000000</v>
      </c>
      <c r="H360" s="257">
        <v>0</v>
      </c>
      <c r="I360" s="257">
        <v>166500000</v>
      </c>
      <c r="J360" s="257">
        <v>0</v>
      </c>
      <c r="K360" s="257">
        <v>166500000</v>
      </c>
      <c r="L360" s="257">
        <v>166500000</v>
      </c>
      <c r="M360" s="257">
        <v>333000000</v>
      </c>
      <c r="N360" s="257">
        <v>0</v>
      </c>
    </row>
    <row r="361" spans="1:14" s="143" customFormat="1" hidden="1" x14ac:dyDescent="0.25">
      <c r="A361" s="143" t="s">
        <v>707</v>
      </c>
      <c r="B361" s="143" t="s">
        <v>260</v>
      </c>
      <c r="C361" s="143" t="s">
        <v>261</v>
      </c>
      <c r="D361" s="143" t="s">
        <v>69</v>
      </c>
      <c r="E361" s="257">
        <v>1271503122</v>
      </c>
      <c r="F361" s="257">
        <v>1271503122</v>
      </c>
      <c r="G361" s="257">
        <v>521500780</v>
      </c>
      <c r="H361" s="257">
        <v>0</v>
      </c>
      <c r="I361" s="257">
        <v>99324891.959999993</v>
      </c>
      <c r="J361" s="257">
        <v>0</v>
      </c>
      <c r="K361" s="257">
        <v>57055218.210000001</v>
      </c>
      <c r="L361" s="257">
        <v>57055218.210000001</v>
      </c>
      <c r="M361" s="257">
        <v>1115123011.8299999</v>
      </c>
      <c r="N361" s="257">
        <v>365120669.82999998</v>
      </c>
    </row>
    <row r="362" spans="1:14" s="143" customFormat="1" hidden="1" x14ac:dyDescent="0.25">
      <c r="A362" s="143" t="s">
        <v>707</v>
      </c>
      <c r="B362" s="143" t="s">
        <v>262</v>
      </c>
      <c r="C362" s="143" t="s">
        <v>263</v>
      </c>
      <c r="D362" s="143" t="s">
        <v>69</v>
      </c>
      <c r="E362" s="257">
        <v>1000003122</v>
      </c>
      <c r="F362" s="257">
        <v>1000003122</v>
      </c>
      <c r="G362" s="257">
        <v>250000780</v>
      </c>
      <c r="H362" s="257">
        <v>0</v>
      </c>
      <c r="I362" s="257">
        <v>99324891.959999993</v>
      </c>
      <c r="J362" s="257">
        <v>0</v>
      </c>
      <c r="K362" s="257">
        <v>18236299.710000001</v>
      </c>
      <c r="L362" s="257">
        <v>18236299.710000001</v>
      </c>
      <c r="M362" s="257">
        <v>882441930.33000004</v>
      </c>
      <c r="N362" s="257">
        <v>132439588.33</v>
      </c>
    </row>
    <row r="363" spans="1:14" s="143" customFormat="1" hidden="1" x14ac:dyDescent="0.25">
      <c r="A363" s="143" t="s">
        <v>707</v>
      </c>
      <c r="B363" s="143" t="s">
        <v>264</v>
      </c>
      <c r="C363" s="143" t="s">
        <v>265</v>
      </c>
      <c r="D363" s="143" t="s">
        <v>69</v>
      </c>
      <c r="E363" s="257">
        <v>271500000</v>
      </c>
      <c r="F363" s="257">
        <v>271500000</v>
      </c>
      <c r="G363" s="257">
        <v>271500000</v>
      </c>
      <c r="H363" s="257">
        <v>0</v>
      </c>
      <c r="I363" s="257">
        <v>0</v>
      </c>
      <c r="J363" s="257">
        <v>0</v>
      </c>
      <c r="K363" s="257">
        <v>38818918.5</v>
      </c>
      <c r="L363" s="257">
        <v>38818918.5</v>
      </c>
      <c r="M363" s="257">
        <v>232681081.5</v>
      </c>
      <c r="N363" s="257">
        <v>232681081.5</v>
      </c>
    </row>
    <row r="364" spans="1:14" s="143" customFormat="1" hidden="1" x14ac:dyDescent="0.25">
      <c r="A364" s="143" t="s">
        <v>707</v>
      </c>
      <c r="B364" s="143" t="s">
        <v>286</v>
      </c>
      <c r="C364" s="143" t="s">
        <v>287</v>
      </c>
      <c r="D364" s="143" t="s">
        <v>69</v>
      </c>
      <c r="E364" s="257">
        <v>150000000</v>
      </c>
      <c r="F364" s="257">
        <v>150000000</v>
      </c>
      <c r="G364" s="257">
        <v>85257183</v>
      </c>
      <c r="H364" s="257">
        <v>0</v>
      </c>
      <c r="I364" s="257">
        <v>55808202.100000001</v>
      </c>
      <c r="J364" s="257">
        <v>0</v>
      </c>
      <c r="K364" s="257">
        <v>21948980.219999999</v>
      </c>
      <c r="L364" s="257">
        <v>21948980.219999999</v>
      </c>
      <c r="M364" s="257">
        <v>72242817.680000007</v>
      </c>
      <c r="N364" s="257">
        <v>7500000.6799999997</v>
      </c>
    </row>
    <row r="365" spans="1:14" s="143" customFormat="1" hidden="1" x14ac:dyDescent="0.25">
      <c r="A365" s="143" t="s">
        <v>707</v>
      </c>
      <c r="B365" s="143" t="s">
        <v>288</v>
      </c>
      <c r="C365" s="143" t="s">
        <v>289</v>
      </c>
      <c r="D365" s="143" t="s">
        <v>69</v>
      </c>
      <c r="E365" s="257">
        <v>100000000</v>
      </c>
      <c r="F365" s="257">
        <v>100000000</v>
      </c>
      <c r="G365" s="257">
        <v>50257183</v>
      </c>
      <c r="H365" s="257">
        <v>0</v>
      </c>
      <c r="I365" s="257">
        <v>48974836.640000001</v>
      </c>
      <c r="J365" s="257">
        <v>0</v>
      </c>
      <c r="K365" s="257">
        <v>1282345.68</v>
      </c>
      <c r="L365" s="257">
        <v>1282345.68</v>
      </c>
      <c r="M365" s="257">
        <v>49742817.68</v>
      </c>
      <c r="N365" s="257">
        <v>0.68</v>
      </c>
    </row>
    <row r="366" spans="1:14" s="143" customFormat="1" hidden="1" x14ac:dyDescent="0.25">
      <c r="A366" s="143" t="s">
        <v>707</v>
      </c>
      <c r="B366" s="143" t="s">
        <v>370</v>
      </c>
      <c r="C366" s="143" t="s">
        <v>371</v>
      </c>
      <c r="D366" s="143" t="s">
        <v>69</v>
      </c>
      <c r="E366" s="257">
        <v>50000000</v>
      </c>
      <c r="F366" s="257">
        <v>50000000</v>
      </c>
      <c r="G366" s="257">
        <v>35000000</v>
      </c>
      <c r="H366" s="257">
        <v>0</v>
      </c>
      <c r="I366" s="257">
        <v>6833365.46</v>
      </c>
      <c r="J366" s="257">
        <v>0</v>
      </c>
      <c r="K366" s="257">
        <v>20666634.539999999</v>
      </c>
      <c r="L366" s="257">
        <v>20666634.539999999</v>
      </c>
      <c r="M366" s="257">
        <v>22500000</v>
      </c>
      <c r="N366" s="257">
        <v>7500000</v>
      </c>
    </row>
    <row r="367" spans="1:14" s="143" customFormat="1" hidden="1" x14ac:dyDescent="0.25">
      <c r="A367" s="143" t="s">
        <v>707</v>
      </c>
      <c r="B367" s="143" t="s">
        <v>372</v>
      </c>
      <c r="C367" s="143" t="s">
        <v>373</v>
      </c>
      <c r="D367" s="143" t="s">
        <v>85</v>
      </c>
      <c r="E367" s="257">
        <v>581400000</v>
      </c>
      <c r="F367" s="257">
        <v>674866517.41999996</v>
      </c>
      <c r="G367" s="257">
        <v>443021191</v>
      </c>
      <c r="H367" s="257">
        <v>0</v>
      </c>
      <c r="I367" s="257">
        <v>536487703.69</v>
      </c>
      <c r="J367" s="257">
        <v>0</v>
      </c>
      <c r="K367" s="257">
        <v>0</v>
      </c>
      <c r="L367" s="257">
        <v>0</v>
      </c>
      <c r="M367" s="257">
        <v>138378813.72999999</v>
      </c>
      <c r="N367" s="257">
        <v>-93466512.689999998</v>
      </c>
    </row>
    <row r="368" spans="1:14" s="143" customFormat="1" hidden="1" x14ac:dyDescent="0.25">
      <c r="A368" s="143" t="s">
        <v>707</v>
      </c>
      <c r="B368" s="143" t="s">
        <v>374</v>
      </c>
      <c r="C368" s="143" t="s">
        <v>375</v>
      </c>
      <c r="D368" s="143" t="s">
        <v>85</v>
      </c>
      <c r="E368" s="257">
        <v>581400000</v>
      </c>
      <c r="F368" s="257">
        <v>674866517.41999996</v>
      </c>
      <c r="G368" s="257">
        <v>443021191</v>
      </c>
      <c r="H368" s="257">
        <v>0</v>
      </c>
      <c r="I368" s="257">
        <v>536487703.69</v>
      </c>
      <c r="J368" s="257">
        <v>0</v>
      </c>
      <c r="K368" s="257">
        <v>0</v>
      </c>
      <c r="L368" s="257">
        <v>0</v>
      </c>
      <c r="M368" s="257">
        <v>138378813.72999999</v>
      </c>
      <c r="N368" s="257">
        <v>-93466512.689999998</v>
      </c>
    </row>
    <row r="369" spans="1:14" s="143" customFormat="1" hidden="1" x14ac:dyDescent="0.25">
      <c r="A369" s="143" t="s">
        <v>707</v>
      </c>
      <c r="B369" s="143" t="s">
        <v>674</v>
      </c>
      <c r="C369" s="143" t="s">
        <v>710</v>
      </c>
      <c r="D369" s="143" t="s">
        <v>85</v>
      </c>
      <c r="E369" s="257">
        <v>581400000</v>
      </c>
      <c r="F369" s="257">
        <v>581400000</v>
      </c>
      <c r="G369" s="257">
        <v>443021191</v>
      </c>
      <c r="H369" s="257">
        <v>0</v>
      </c>
      <c r="I369" s="257">
        <v>443021191</v>
      </c>
      <c r="J369" s="257">
        <v>0</v>
      </c>
      <c r="K369" s="257">
        <v>0</v>
      </c>
      <c r="L369" s="257">
        <v>0</v>
      </c>
      <c r="M369" s="257">
        <v>138378809</v>
      </c>
      <c r="N369" s="257">
        <v>0</v>
      </c>
    </row>
    <row r="370" spans="1:14" s="143" customFormat="1" hidden="1" x14ac:dyDescent="0.25">
      <c r="A370" s="143" t="s">
        <v>707</v>
      </c>
      <c r="B370" s="143" t="s">
        <v>676</v>
      </c>
      <c r="C370" s="143" t="s">
        <v>776</v>
      </c>
      <c r="D370" s="143" t="s">
        <v>777</v>
      </c>
      <c r="E370" s="257">
        <v>0</v>
      </c>
      <c r="F370" s="257">
        <v>93466517.420000002</v>
      </c>
      <c r="G370" s="257">
        <v>0</v>
      </c>
      <c r="H370" s="257">
        <v>0</v>
      </c>
      <c r="I370" s="257">
        <v>93466512.689999998</v>
      </c>
      <c r="J370" s="257">
        <v>0</v>
      </c>
      <c r="K370" s="257">
        <v>0</v>
      </c>
      <c r="L370" s="257">
        <v>0</v>
      </c>
      <c r="M370" s="257">
        <v>4.7300000000000004</v>
      </c>
      <c r="N370" s="257">
        <v>-93466512.689999998</v>
      </c>
    </row>
    <row r="371" spans="1:14" s="143" customFormat="1" x14ac:dyDescent="0.25">
      <c r="A371" s="44">
        <v>214789001</v>
      </c>
      <c r="D371" s="44" t="s">
        <v>69</v>
      </c>
      <c r="E371" s="257">
        <v>27896892306</v>
      </c>
      <c r="F371" s="50">
        <v>27526891796</v>
      </c>
      <c r="G371" s="257">
        <v>20577074755</v>
      </c>
      <c r="H371" s="50">
        <v>13755023</v>
      </c>
      <c r="I371" s="50">
        <v>3484616451.8200002</v>
      </c>
      <c r="J371" s="50">
        <v>310041697.32999998</v>
      </c>
      <c r="K371" s="50">
        <v>6442257492.9200001</v>
      </c>
      <c r="L371" s="50">
        <v>6436670429.5600004</v>
      </c>
      <c r="M371" s="50">
        <v>17276221130.93</v>
      </c>
      <c r="N371" s="257">
        <v>10326404089.93</v>
      </c>
    </row>
    <row r="372" spans="1:14" s="143" customFormat="1" hidden="1" x14ac:dyDescent="0.25">
      <c r="A372" s="143" t="s">
        <v>711</v>
      </c>
      <c r="B372" s="143" t="s">
        <v>71</v>
      </c>
      <c r="C372" s="143" t="s">
        <v>72</v>
      </c>
      <c r="D372" s="143" t="s">
        <v>69</v>
      </c>
      <c r="E372" s="257">
        <v>13888392480</v>
      </c>
      <c r="F372" s="257">
        <v>13554210603</v>
      </c>
      <c r="G372" s="257">
        <v>13450241509</v>
      </c>
      <c r="H372" s="257">
        <v>0</v>
      </c>
      <c r="I372" s="257">
        <v>1476309907</v>
      </c>
      <c r="J372" s="257">
        <v>0</v>
      </c>
      <c r="K372" s="257">
        <v>4358693364.9899998</v>
      </c>
      <c r="L372" s="257">
        <v>4358693364.9899998</v>
      </c>
      <c r="M372" s="257">
        <v>7719207331.0100002</v>
      </c>
      <c r="N372" s="257">
        <v>7615238237.0100002</v>
      </c>
    </row>
    <row r="373" spans="1:14" s="143" customFormat="1" hidden="1" x14ac:dyDescent="0.25">
      <c r="A373" s="143" t="s">
        <v>711</v>
      </c>
      <c r="B373" s="143" t="s">
        <v>73</v>
      </c>
      <c r="C373" s="143" t="s">
        <v>74</v>
      </c>
      <c r="D373" s="143" t="s">
        <v>69</v>
      </c>
      <c r="E373" s="257">
        <v>5229936552</v>
      </c>
      <c r="F373" s="257">
        <v>5032025148</v>
      </c>
      <c r="G373" s="257">
        <v>5032025148</v>
      </c>
      <c r="H373" s="257">
        <v>0</v>
      </c>
      <c r="I373" s="257">
        <v>0</v>
      </c>
      <c r="J373" s="257">
        <v>0</v>
      </c>
      <c r="K373" s="257">
        <v>1571751386.78</v>
      </c>
      <c r="L373" s="257">
        <v>1571751386.78</v>
      </c>
      <c r="M373" s="257">
        <v>3460273761.2199998</v>
      </c>
      <c r="N373" s="257">
        <v>3460273761.2199998</v>
      </c>
    </row>
    <row r="374" spans="1:14" s="143" customFormat="1" hidden="1" x14ac:dyDescent="0.25">
      <c r="A374" s="143" t="s">
        <v>711</v>
      </c>
      <c r="B374" s="143" t="s">
        <v>75</v>
      </c>
      <c r="C374" s="143" t="s">
        <v>76</v>
      </c>
      <c r="D374" s="143" t="s">
        <v>69</v>
      </c>
      <c r="E374" s="257">
        <v>5229936552</v>
      </c>
      <c r="F374" s="257">
        <v>5032025148</v>
      </c>
      <c r="G374" s="257">
        <v>5032025148</v>
      </c>
      <c r="H374" s="257">
        <v>0</v>
      </c>
      <c r="I374" s="257">
        <v>0</v>
      </c>
      <c r="J374" s="257">
        <v>0</v>
      </c>
      <c r="K374" s="257">
        <v>1571751386.78</v>
      </c>
      <c r="L374" s="257">
        <v>1571751386.78</v>
      </c>
      <c r="M374" s="257">
        <v>3460273761.2199998</v>
      </c>
      <c r="N374" s="257">
        <v>3460273761.2199998</v>
      </c>
    </row>
    <row r="375" spans="1:14" s="143" customFormat="1" hidden="1" x14ac:dyDescent="0.25">
      <c r="A375" s="143" t="s">
        <v>711</v>
      </c>
      <c r="B375" s="143" t="s">
        <v>293</v>
      </c>
      <c r="C375" s="143" t="s">
        <v>294</v>
      </c>
      <c r="D375" s="143" t="s">
        <v>69</v>
      </c>
      <c r="E375" s="257">
        <v>26335200</v>
      </c>
      <c r="F375" s="257">
        <v>26335200</v>
      </c>
      <c r="G375" s="257">
        <v>26335200</v>
      </c>
      <c r="H375" s="257">
        <v>0</v>
      </c>
      <c r="I375" s="257">
        <v>0</v>
      </c>
      <c r="J375" s="257">
        <v>0</v>
      </c>
      <c r="K375" s="257">
        <v>1604643</v>
      </c>
      <c r="L375" s="257">
        <v>1604643</v>
      </c>
      <c r="M375" s="257">
        <v>24730557</v>
      </c>
      <c r="N375" s="257">
        <v>24730557</v>
      </c>
    </row>
    <row r="376" spans="1:14" s="143" customFormat="1" hidden="1" x14ac:dyDescent="0.25">
      <c r="A376" s="143" t="s">
        <v>711</v>
      </c>
      <c r="B376" s="143" t="s">
        <v>339</v>
      </c>
      <c r="C376" s="143" t="s">
        <v>340</v>
      </c>
      <c r="D376" s="143" t="s">
        <v>69</v>
      </c>
      <c r="E376" s="257">
        <v>26335200</v>
      </c>
      <c r="F376" s="257">
        <v>26335200</v>
      </c>
      <c r="G376" s="257">
        <v>26335200</v>
      </c>
      <c r="H376" s="257">
        <v>0</v>
      </c>
      <c r="I376" s="257">
        <v>0</v>
      </c>
      <c r="J376" s="257">
        <v>0</v>
      </c>
      <c r="K376" s="257">
        <v>1604643</v>
      </c>
      <c r="L376" s="257">
        <v>1604643</v>
      </c>
      <c r="M376" s="257">
        <v>24730557</v>
      </c>
      <c r="N376" s="257">
        <v>24730557</v>
      </c>
    </row>
    <row r="377" spans="1:14" s="143" customFormat="1" hidden="1" x14ac:dyDescent="0.25">
      <c r="A377" s="143" t="s">
        <v>711</v>
      </c>
      <c r="B377" s="143" t="s">
        <v>77</v>
      </c>
      <c r="C377" s="143" t="s">
        <v>78</v>
      </c>
      <c r="D377" s="143" t="s">
        <v>69</v>
      </c>
      <c r="E377" s="257">
        <v>6513497315</v>
      </c>
      <c r="F377" s="257">
        <v>6428205068</v>
      </c>
      <c r="G377" s="257">
        <v>6340096078</v>
      </c>
      <c r="H377" s="257">
        <v>0</v>
      </c>
      <c r="I377" s="257">
        <v>0</v>
      </c>
      <c r="J377" s="257">
        <v>0</v>
      </c>
      <c r="K377" s="257">
        <v>2209862159.21</v>
      </c>
      <c r="L377" s="257">
        <v>2209862159.21</v>
      </c>
      <c r="M377" s="257">
        <v>4218342908.79</v>
      </c>
      <c r="N377" s="257">
        <v>4130233918.79</v>
      </c>
    </row>
    <row r="378" spans="1:14" s="143" customFormat="1" hidden="1" x14ac:dyDescent="0.25">
      <c r="A378" s="143" t="s">
        <v>711</v>
      </c>
      <c r="B378" s="143" t="s">
        <v>79</v>
      </c>
      <c r="C378" s="143" t="s">
        <v>80</v>
      </c>
      <c r="D378" s="143" t="s">
        <v>69</v>
      </c>
      <c r="E378" s="257">
        <v>1819317700</v>
      </c>
      <c r="F378" s="257">
        <v>1819317700</v>
      </c>
      <c r="G378" s="257">
        <v>1737983822</v>
      </c>
      <c r="H378" s="257">
        <v>0</v>
      </c>
      <c r="I378" s="257">
        <v>0</v>
      </c>
      <c r="J378" s="257">
        <v>0</v>
      </c>
      <c r="K378" s="257">
        <v>508408473.87</v>
      </c>
      <c r="L378" s="257">
        <v>508408473.87</v>
      </c>
      <c r="M378" s="257">
        <v>1310909226.1300001</v>
      </c>
      <c r="N378" s="257">
        <v>1229575348.1300001</v>
      </c>
    </row>
    <row r="379" spans="1:14" s="143" customFormat="1" hidden="1" x14ac:dyDescent="0.25">
      <c r="A379" s="143" t="s">
        <v>711</v>
      </c>
      <c r="B379" s="143" t="s">
        <v>81</v>
      </c>
      <c r="C379" s="143" t="s">
        <v>82</v>
      </c>
      <c r="D379" s="143" t="s">
        <v>69</v>
      </c>
      <c r="E379" s="257">
        <v>1750176673</v>
      </c>
      <c r="F379" s="257">
        <v>1705397775</v>
      </c>
      <c r="G379" s="257">
        <v>1705397775</v>
      </c>
      <c r="H379" s="257">
        <v>0</v>
      </c>
      <c r="I379" s="257">
        <v>0</v>
      </c>
      <c r="J379" s="257">
        <v>0</v>
      </c>
      <c r="K379" s="257">
        <v>523684304.31</v>
      </c>
      <c r="L379" s="257">
        <v>523684304.31</v>
      </c>
      <c r="M379" s="257">
        <v>1181713470.6900001</v>
      </c>
      <c r="N379" s="257">
        <v>1181713470.6900001</v>
      </c>
    </row>
    <row r="380" spans="1:14" s="143" customFormat="1" hidden="1" x14ac:dyDescent="0.25">
      <c r="A380" s="143" t="s">
        <v>711</v>
      </c>
      <c r="B380" s="143" t="s">
        <v>83</v>
      </c>
      <c r="C380" s="143" t="s">
        <v>84</v>
      </c>
      <c r="D380" s="143" t="s">
        <v>85</v>
      </c>
      <c r="E380" s="257">
        <v>905032542</v>
      </c>
      <c r="F380" s="257">
        <v>883255690</v>
      </c>
      <c r="G380" s="257">
        <v>876480578</v>
      </c>
      <c r="H380" s="257">
        <v>0</v>
      </c>
      <c r="I380" s="257">
        <v>0</v>
      </c>
      <c r="J380" s="257">
        <v>0</v>
      </c>
      <c r="K380" s="257">
        <v>221644.11</v>
      </c>
      <c r="L380" s="257">
        <v>221644.11</v>
      </c>
      <c r="M380" s="257">
        <v>883034045.88999999</v>
      </c>
      <c r="N380" s="257">
        <v>876258933.88999999</v>
      </c>
    </row>
    <row r="381" spans="1:14" s="143" customFormat="1" hidden="1" x14ac:dyDescent="0.25">
      <c r="A381" s="143" t="s">
        <v>711</v>
      </c>
      <c r="B381" s="143" t="s">
        <v>86</v>
      </c>
      <c r="C381" s="143" t="s">
        <v>87</v>
      </c>
      <c r="D381" s="143" t="s">
        <v>69</v>
      </c>
      <c r="E381" s="257">
        <v>831593600</v>
      </c>
      <c r="F381" s="257">
        <v>831593600</v>
      </c>
      <c r="G381" s="257">
        <v>831593600</v>
      </c>
      <c r="H381" s="257">
        <v>0</v>
      </c>
      <c r="I381" s="257">
        <v>0</v>
      </c>
      <c r="J381" s="257">
        <v>0</v>
      </c>
      <c r="K381" s="257">
        <v>804786810.5</v>
      </c>
      <c r="L381" s="257">
        <v>804786810.5</v>
      </c>
      <c r="M381" s="257">
        <v>26806789.5</v>
      </c>
      <c r="N381" s="257">
        <v>26806789.5</v>
      </c>
    </row>
    <row r="382" spans="1:14" s="143" customFormat="1" hidden="1" x14ac:dyDescent="0.25">
      <c r="A382" s="143" t="s">
        <v>711</v>
      </c>
      <c r="B382" s="143" t="s">
        <v>88</v>
      </c>
      <c r="C382" s="143" t="s">
        <v>89</v>
      </c>
      <c r="D382" s="143" t="s">
        <v>69</v>
      </c>
      <c r="E382" s="257">
        <v>1207376800</v>
      </c>
      <c r="F382" s="257">
        <v>1188640303</v>
      </c>
      <c r="G382" s="257">
        <v>1188640303</v>
      </c>
      <c r="H382" s="257">
        <v>0</v>
      </c>
      <c r="I382" s="257">
        <v>0</v>
      </c>
      <c r="J382" s="257">
        <v>0</v>
      </c>
      <c r="K382" s="257">
        <v>372760926.42000002</v>
      </c>
      <c r="L382" s="257">
        <v>372760926.42000002</v>
      </c>
      <c r="M382" s="257">
        <v>815879376.58000004</v>
      </c>
      <c r="N382" s="257">
        <v>815879376.58000004</v>
      </c>
    </row>
    <row r="383" spans="1:14" s="143" customFormat="1" hidden="1" x14ac:dyDescent="0.25">
      <c r="A383" s="143" t="s">
        <v>711</v>
      </c>
      <c r="B383" s="143" t="s">
        <v>90</v>
      </c>
      <c r="C383" s="143" t="s">
        <v>91</v>
      </c>
      <c r="D383" s="143" t="s">
        <v>69</v>
      </c>
      <c r="E383" s="257">
        <v>1059311707</v>
      </c>
      <c r="F383" s="257">
        <v>1033822594</v>
      </c>
      <c r="G383" s="257">
        <v>1025892542</v>
      </c>
      <c r="H383" s="257">
        <v>0</v>
      </c>
      <c r="I383" s="257">
        <v>737529949</v>
      </c>
      <c r="J383" s="257">
        <v>0</v>
      </c>
      <c r="K383" s="257">
        <v>288362593</v>
      </c>
      <c r="L383" s="257">
        <v>288362593</v>
      </c>
      <c r="M383" s="257">
        <v>7930052</v>
      </c>
      <c r="N383" s="257">
        <v>0</v>
      </c>
    </row>
    <row r="384" spans="1:14" s="143" customFormat="1" hidden="1" x14ac:dyDescent="0.25">
      <c r="A384" s="143" t="s">
        <v>711</v>
      </c>
      <c r="B384" s="143" t="s">
        <v>421</v>
      </c>
      <c r="C384" s="143" t="s">
        <v>697</v>
      </c>
      <c r="D384" s="143" t="s">
        <v>69</v>
      </c>
      <c r="E384" s="257">
        <v>1004988079</v>
      </c>
      <c r="F384" s="257">
        <v>980806100</v>
      </c>
      <c r="G384" s="257">
        <v>973282717</v>
      </c>
      <c r="H384" s="257">
        <v>0</v>
      </c>
      <c r="I384" s="257">
        <v>699707949</v>
      </c>
      <c r="J384" s="257">
        <v>0</v>
      </c>
      <c r="K384" s="257">
        <v>273574768</v>
      </c>
      <c r="L384" s="257">
        <v>273574768</v>
      </c>
      <c r="M384" s="257">
        <v>7523383</v>
      </c>
      <c r="N384" s="257">
        <v>0</v>
      </c>
    </row>
    <row r="385" spans="1:14" s="143" customFormat="1" hidden="1" x14ac:dyDescent="0.25">
      <c r="A385" s="143" t="s">
        <v>711</v>
      </c>
      <c r="B385" s="143" t="s">
        <v>438</v>
      </c>
      <c r="C385" s="143" t="s">
        <v>95</v>
      </c>
      <c r="D385" s="143" t="s">
        <v>69</v>
      </c>
      <c r="E385" s="257">
        <v>54323628</v>
      </c>
      <c r="F385" s="257">
        <v>53016494</v>
      </c>
      <c r="G385" s="257">
        <v>52609825</v>
      </c>
      <c r="H385" s="257">
        <v>0</v>
      </c>
      <c r="I385" s="257">
        <v>37822000</v>
      </c>
      <c r="J385" s="257">
        <v>0</v>
      </c>
      <c r="K385" s="257">
        <v>14787825</v>
      </c>
      <c r="L385" s="257">
        <v>14787825</v>
      </c>
      <c r="M385" s="257">
        <v>406669</v>
      </c>
      <c r="N385" s="257">
        <v>0</v>
      </c>
    </row>
    <row r="386" spans="1:14" s="143" customFormat="1" hidden="1" x14ac:dyDescent="0.25">
      <c r="A386" s="143" t="s">
        <v>711</v>
      </c>
      <c r="B386" s="143" t="s">
        <v>96</v>
      </c>
      <c r="C386" s="143" t="s">
        <v>97</v>
      </c>
      <c r="D386" s="143" t="s">
        <v>69</v>
      </c>
      <c r="E386" s="257">
        <v>1059311706</v>
      </c>
      <c r="F386" s="257">
        <v>1033822593</v>
      </c>
      <c r="G386" s="257">
        <v>1025892541</v>
      </c>
      <c r="H386" s="257">
        <v>0</v>
      </c>
      <c r="I386" s="257">
        <v>738779958</v>
      </c>
      <c r="J386" s="257">
        <v>0</v>
      </c>
      <c r="K386" s="257">
        <v>287112583</v>
      </c>
      <c r="L386" s="257">
        <v>287112583</v>
      </c>
      <c r="M386" s="257">
        <v>7930052</v>
      </c>
      <c r="N386" s="257">
        <v>0</v>
      </c>
    </row>
    <row r="387" spans="1:14" s="143" customFormat="1" hidden="1" x14ac:dyDescent="0.25">
      <c r="A387" s="143" t="s">
        <v>711</v>
      </c>
      <c r="B387" s="143" t="s">
        <v>456</v>
      </c>
      <c r="C387" s="143" t="s">
        <v>698</v>
      </c>
      <c r="D387" s="143" t="s">
        <v>69</v>
      </c>
      <c r="E387" s="257">
        <v>570398650</v>
      </c>
      <c r="F387" s="257">
        <v>556673743</v>
      </c>
      <c r="G387" s="257">
        <v>552403715</v>
      </c>
      <c r="H387" s="257">
        <v>0</v>
      </c>
      <c r="I387" s="257">
        <v>398381560</v>
      </c>
      <c r="J387" s="257">
        <v>0</v>
      </c>
      <c r="K387" s="257">
        <v>154022155</v>
      </c>
      <c r="L387" s="257">
        <v>154022155</v>
      </c>
      <c r="M387" s="257">
        <v>4270028</v>
      </c>
      <c r="N387" s="257">
        <v>0</v>
      </c>
    </row>
    <row r="388" spans="1:14" s="143" customFormat="1" hidden="1" x14ac:dyDescent="0.25">
      <c r="A388" s="143" t="s">
        <v>711</v>
      </c>
      <c r="B388" s="143" t="s">
        <v>473</v>
      </c>
      <c r="C388" s="143" t="s">
        <v>699</v>
      </c>
      <c r="D388" s="143" t="s">
        <v>69</v>
      </c>
      <c r="E388" s="257">
        <v>162970985</v>
      </c>
      <c r="F388" s="257">
        <v>159049583</v>
      </c>
      <c r="G388" s="257">
        <v>157829575</v>
      </c>
      <c r="H388" s="257">
        <v>0</v>
      </c>
      <c r="I388" s="257">
        <v>113466099</v>
      </c>
      <c r="J388" s="257">
        <v>0</v>
      </c>
      <c r="K388" s="257">
        <v>44363476</v>
      </c>
      <c r="L388" s="257">
        <v>44363476</v>
      </c>
      <c r="M388" s="257">
        <v>1220008</v>
      </c>
      <c r="N388" s="257">
        <v>0</v>
      </c>
    </row>
    <row r="389" spans="1:14" s="143" customFormat="1" hidden="1" x14ac:dyDescent="0.25">
      <c r="A389" s="143" t="s">
        <v>711</v>
      </c>
      <c r="B389" s="143" t="s">
        <v>490</v>
      </c>
      <c r="C389" s="143" t="s">
        <v>700</v>
      </c>
      <c r="D389" s="143" t="s">
        <v>69</v>
      </c>
      <c r="E389" s="257">
        <v>325942071</v>
      </c>
      <c r="F389" s="257">
        <v>318099267</v>
      </c>
      <c r="G389" s="257">
        <v>315659251</v>
      </c>
      <c r="H389" s="257">
        <v>0</v>
      </c>
      <c r="I389" s="257">
        <v>226932299</v>
      </c>
      <c r="J389" s="257">
        <v>0</v>
      </c>
      <c r="K389" s="257">
        <v>88726952</v>
      </c>
      <c r="L389" s="257">
        <v>88726952</v>
      </c>
      <c r="M389" s="257">
        <v>2440016</v>
      </c>
      <c r="N389" s="257">
        <v>0</v>
      </c>
    </row>
    <row r="390" spans="1:14" s="143" customFormat="1" hidden="1" x14ac:dyDescent="0.25">
      <c r="A390" s="143" t="s">
        <v>711</v>
      </c>
      <c r="B390" s="143" t="s">
        <v>104</v>
      </c>
      <c r="C390" s="143" t="s">
        <v>105</v>
      </c>
      <c r="D390" s="143" t="s">
        <v>69</v>
      </c>
      <c r="E390" s="257">
        <v>3955829992</v>
      </c>
      <c r="F390" s="257">
        <v>3955029992</v>
      </c>
      <c r="G390" s="257">
        <v>2033514996</v>
      </c>
      <c r="H390" s="257">
        <v>0</v>
      </c>
      <c r="I390" s="257">
        <v>1277225762.8699999</v>
      </c>
      <c r="J390" s="257">
        <v>0</v>
      </c>
      <c r="K390" s="257">
        <v>620426038.72000003</v>
      </c>
      <c r="L390" s="257">
        <v>614838975.36000001</v>
      </c>
      <c r="M390" s="257">
        <v>2057378190.4100001</v>
      </c>
      <c r="N390" s="257">
        <v>135863194.41</v>
      </c>
    </row>
    <row r="391" spans="1:14" s="143" customFormat="1" hidden="1" x14ac:dyDescent="0.25">
      <c r="A391" s="143" t="s">
        <v>711</v>
      </c>
      <c r="B391" s="143" t="s">
        <v>112</v>
      </c>
      <c r="C391" s="143" t="s">
        <v>113</v>
      </c>
      <c r="D391" s="143" t="s">
        <v>69</v>
      </c>
      <c r="E391" s="257">
        <v>3954369992</v>
      </c>
      <c r="F391" s="257">
        <v>3954369992</v>
      </c>
      <c r="G391" s="257">
        <v>2032854996</v>
      </c>
      <c r="H391" s="257">
        <v>0</v>
      </c>
      <c r="I391" s="257">
        <v>1277225762.8699999</v>
      </c>
      <c r="J391" s="257">
        <v>0</v>
      </c>
      <c r="K391" s="257">
        <v>620426038.72000003</v>
      </c>
      <c r="L391" s="257">
        <v>614838975.36000001</v>
      </c>
      <c r="M391" s="257">
        <v>2056718190.4100001</v>
      </c>
      <c r="N391" s="257">
        <v>135203194.41</v>
      </c>
    </row>
    <row r="392" spans="1:14" s="143" customFormat="1" hidden="1" x14ac:dyDescent="0.25">
      <c r="A392" s="143" t="s">
        <v>711</v>
      </c>
      <c r="B392" s="143" t="s">
        <v>114</v>
      </c>
      <c r="C392" s="143" t="s">
        <v>115</v>
      </c>
      <c r="D392" s="143" t="s">
        <v>69</v>
      </c>
      <c r="E392" s="257">
        <v>2664489000</v>
      </c>
      <c r="F392" s="257">
        <v>2664489000</v>
      </c>
      <c r="G392" s="257">
        <v>1331514500</v>
      </c>
      <c r="H392" s="257">
        <v>0</v>
      </c>
      <c r="I392" s="257">
        <v>868292001.13</v>
      </c>
      <c r="J392" s="257">
        <v>0</v>
      </c>
      <c r="K392" s="257">
        <v>463222498.87</v>
      </c>
      <c r="L392" s="257">
        <v>463222498.87</v>
      </c>
      <c r="M392" s="257">
        <v>1332974500</v>
      </c>
      <c r="N392" s="257">
        <v>0</v>
      </c>
    </row>
    <row r="393" spans="1:14" s="143" customFormat="1" hidden="1" x14ac:dyDescent="0.25">
      <c r="A393" s="143" t="s">
        <v>711</v>
      </c>
      <c r="B393" s="143" t="s">
        <v>116</v>
      </c>
      <c r="C393" s="143" t="s">
        <v>117</v>
      </c>
      <c r="D393" s="143" t="s">
        <v>69</v>
      </c>
      <c r="E393" s="257">
        <v>1052390992</v>
      </c>
      <c r="F393" s="257">
        <v>1052390992</v>
      </c>
      <c r="G393" s="257">
        <v>526195496</v>
      </c>
      <c r="H393" s="257">
        <v>0</v>
      </c>
      <c r="I393" s="257">
        <v>407614279.36000001</v>
      </c>
      <c r="J393" s="257">
        <v>0</v>
      </c>
      <c r="K393" s="257">
        <v>118581216.64</v>
      </c>
      <c r="L393" s="257">
        <v>118581216.64</v>
      </c>
      <c r="M393" s="257">
        <v>526195496</v>
      </c>
      <c r="N393" s="257">
        <v>0</v>
      </c>
    </row>
    <row r="394" spans="1:14" s="143" customFormat="1" hidden="1" x14ac:dyDescent="0.25">
      <c r="A394" s="143" t="s">
        <v>711</v>
      </c>
      <c r="B394" s="143" t="s">
        <v>120</v>
      </c>
      <c r="C394" s="143" t="s">
        <v>121</v>
      </c>
      <c r="D394" s="143" t="s">
        <v>69</v>
      </c>
      <c r="E394" s="257">
        <v>124690000</v>
      </c>
      <c r="F394" s="257">
        <v>124690000</v>
      </c>
      <c r="G394" s="257">
        <v>62345000</v>
      </c>
      <c r="H394" s="257">
        <v>0</v>
      </c>
      <c r="I394" s="257">
        <v>0</v>
      </c>
      <c r="J394" s="257">
        <v>0</v>
      </c>
      <c r="K394" s="257">
        <v>0</v>
      </c>
      <c r="L394" s="257">
        <v>0</v>
      </c>
      <c r="M394" s="257">
        <v>124690000</v>
      </c>
      <c r="N394" s="257">
        <v>62345000</v>
      </c>
    </row>
    <row r="395" spans="1:14" s="143" customFormat="1" hidden="1" x14ac:dyDescent="0.25">
      <c r="A395" s="143" t="s">
        <v>711</v>
      </c>
      <c r="B395" s="143" t="s">
        <v>122</v>
      </c>
      <c r="C395" s="143" t="s">
        <v>123</v>
      </c>
      <c r="D395" s="143" t="s">
        <v>69</v>
      </c>
      <c r="E395" s="257">
        <v>112800000</v>
      </c>
      <c r="F395" s="257">
        <v>112800000</v>
      </c>
      <c r="G395" s="257">
        <v>112800000</v>
      </c>
      <c r="H395" s="257">
        <v>0</v>
      </c>
      <c r="I395" s="257">
        <v>1319482.3799999999</v>
      </c>
      <c r="J395" s="257">
        <v>0</v>
      </c>
      <c r="K395" s="257">
        <v>38622323.210000001</v>
      </c>
      <c r="L395" s="257">
        <v>33035259.850000001</v>
      </c>
      <c r="M395" s="257">
        <v>72858194.409999996</v>
      </c>
      <c r="N395" s="257">
        <v>72858194.409999996</v>
      </c>
    </row>
    <row r="396" spans="1:14" s="143" customFormat="1" hidden="1" x14ac:dyDescent="0.25">
      <c r="A396" s="143" t="s">
        <v>711</v>
      </c>
      <c r="B396" s="143" t="s">
        <v>134</v>
      </c>
      <c r="C396" s="143" t="s">
        <v>135</v>
      </c>
      <c r="D396" s="143" t="s">
        <v>69</v>
      </c>
      <c r="E396" s="257">
        <v>340000</v>
      </c>
      <c r="F396" s="257">
        <v>340000</v>
      </c>
      <c r="G396" s="257">
        <v>340000</v>
      </c>
      <c r="H396" s="257">
        <v>0</v>
      </c>
      <c r="I396" s="257">
        <v>0</v>
      </c>
      <c r="J396" s="257">
        <v>0</v>
      </c>
      <c r="K396" s="257">
        <v>0</v>
      </c>
      <c r="L396" s="257">
        <v>0</v>
      </c>
      <c r="M396" s="257">
        <v>340000</v>
      </c>
      <c r="N396" s="257">
        <v>340000</v>
      </c>
    </row>
    <row r="397" spans="1:14" s="143" customFormat="1" hidden="1" x14ac:dyDescent="0.25">
      <c r="A397" s="143" t="s">
        <v>711</v>
      </c>
      <c r="B397" s="143" t="s">
        <v>346</v>
      </c>
      <c r="C397" s="143" t="s">
        <v>347</v>
      </c>
      <c r="D397" s="143" t="s">
        <v>69</v>
      </c>
      <c r="E397" s="257">
        <v>180000</v>
      </c>
      <c r="F397" s="257">
        <v>180000</v>
      </c>
      <c r="G397" s="257">
        <v>180000</v>
      </c>
      <c r="H397" s="257">
        <v>0</v>
      </c>
      <c r="I397" s="257">
        <v>0</v>
      </c>
      <c r="J397" s="257">
        <v>0</v>
      </c>
      <c r="K397" s="257">
        <v>0</v>
      </c>
      <c r="L397" s="257">
        <v>0</v>
      </c>
      <c r="M397" s="257">
        <v>180000</v>
      </c>
      <c r="N397" s="257">
        <v>180000</v>
      </c>
    </row>
    <row r="398" spans="1:14" s="143" customFormat="1" hidden="1" x14ac:dyDescent="0.25">
      <c r="A398" s="143" t="s">
        <v>711</v>
      </c>
      <c r="B398" s="143" t="s">
        <v>138</v>
      </c>
      <c r="C398" s="143" t="s">
        <v>139</v>
      </c>
      <c r="D398" s="143" t="s">
        <v>69</v>
      </c>
      <c r="E398" s="257">
        <v>160000</v>
      </c>
      <c r="F398" s="257">
        <v>160000</v>
      </c>
      <c r="G398" s="257">
        <v>160000</v>
      </c>
      <c r="H398" s="257">
        <v>0</v>
      </c>
      <c r="I398" s="257">
        <v>0</v>
      </c>
      <c r="J398" s="257">
        <v>0</v>
      </c>
      <c r="K398" s="257">
        <v>0</v>
      </c>
      <c r="L398" s="257">
        <v>0</v>
      </c>
      <c r="M398" s="257">
        <v>160000</v>
      </c>
      <c r="N398" s="257">
        <v>160000</v>
      </c>
    </row>
    <row r="399" spans="1:14" s="143" customFormat="1" hidden="1" x14ac:dyDescent="0.25">
      <c r="A399" s="143" t="s">
        <v>711</v>
      </c>
      <c r="B399" s="143" t="s">
        <v>162</v>
      </c>
      <c r="C399" s="143" t="s">
        <v>163</v>
      </c>
      <c r="D399" s="143" t="s">
        <v>69</v>
      </c>
      <c r="E399" s="257">
        <v>1120000</v>
      </c>
      <c r="F399" s="257">
        <v>320000</v>
      </c>
      <c r="G399" s="257">
        <v>320000</v>
      </c>
      <c r="H399" s="257">
        <v>0</v>
      </c>
      <c r="I399" s="257">
        <v>0</v>
      </c>
      <c r="J399" s="257">
        <v>0</v>
      </c>
      <c r="K399" s="257">
        <v>0</v>
      </c>
      <c r="L399" s="257">
        <v>0</v>
      </c>
      <c r="M399" s="257">
        <v>320000</v>
      </c>
      <c r="N399" s="257">
        <v>320000</v>
      </c>
    </row>
    <row r="400" spans="1:14" s="143" customFormat="1" hidden="1" x14ac:dyDescent="0.25">
      <c r="A400" s="143" t="s">
        <v>711</v>
      </c>
      <c r="B400" s="143" t="s">
        <v>164</v>
      </c>
      <c r="C400" s="143" t="s">
        <v>165</v>
      </c>
      <c r="D400" s="143" t="s">
        <v>69</v>
      </c>
      <c r="E400" s="257">
        <v>800000</v>
      </c>
      <c r="F400" s="257">
        <v>0</v>
      </c>
      <c r="G400" s="257">
        <v>0</v>
      </c>
      <c r="H400" s="257">
        <v>0</v>
      </c>
      <c r="I400" s="257">
        <v>0</v>
      </c>
      <c r="J400" s="257">
        <v>0</v>
      </c>
      <c r="K400" s="257">
        <v>0</v>
      </c>
      <c r="L400" s="257">
        <v>0</v>
      </c>
      <c r="M400" s="257">
        <v>0</v>
      </c>
      <c r="N400" s="257">
        <v>0</v>
      </c>
    </row>
    <row r="401" spans="1:14" s="143" customFormat="1" hidden="1" x14ac:dyDescent="0.25">
      <c r="A401" s="143" t="s">
        <v>711</v>
      </c>
      <c r="B401" s="143" t="s">
        <v>172</v>
      </c>
      <c r="C401" s="143" t="s">
        <v>173</v>
      </c>
      <c r="D401" s="143" t="s">
        <v>69</v>
      </c>
      <c r="E401" s="257">
        <v>320000</v>
      </c>
      <c r="F401" s="257">
        <v>320000</v>
      </c>
      <c r="G401" s="257">
        <v>320000</v>
      </c>
      <c r="H401" s="257">
        <v>0</v>
      </c>
      <c r="I401" s="257">
        <v>0</v>
      </c>
      <c r="J401" s="257">
        <v>0</v>
      </c>
      <c r="K401" s="257">
        <v>0</v>
      </c>
      <c r="L401" s="257">
        <v>0</v>
      </c>
      <c r="M401" s="257">
        <v>320000</v>
      </c>
      <c r="N401" s="257">
        <v>320000</v>
      </c>
    </row>
    <row r="402" spans="1:14" s="143" customFormat="1" hidden="1" x14ac:dyDescent="0.25">
      <c r="A402" s="143" t="s">
        <v>711</v>
      </c>
      <c r="B402" s="143" t="s">
        <v>184</v>
      </c>
      <c r="C402" s="143" t="s">
        <v>185</v>
      </c>
      <c r="D402" s="143" t="s">
        <v>69</v>
      </c>
      <c r="E402" s="257">
        <v>9762991308</v>
      </c>
      <c r="F402" s="257">
        <v>9732312358</v>
      </c>
      <c r="G402" s="257">
        <v>4809329549</v>
      </c>
      <c r="H402" s="257">
        <v>13755023</v>
      </c>
      <c r="I402" s="257">
        <v>596836648.95000005</v>
      </c>
      <c r="J402" s="257">
        <v>310041697.32999998</v>
      </c>
      <c r="K402" s="257">
        <v>1396445061.21</v>
      </c>
      <c r="L402" s="257">
        <v>1396445061.21</v>
      </c>
      <c r="M402" s="257">
        <v>7415233927.5100002</v>
      </c>
      <c r="N402" s="257">
        <v>2492251118.5100002</v>
      </c>
    </row>
    <row r="403" spans="1:14" s="143" customFormat="1" hidden="1" x14ac:dyDescent="0.25">
      <c r="A403" s="143" t="s">
        <v>711</v>
      </c>
      <c r="B403" s="143" t="s">
        <v>186</v>
      </c>
      <c r="C403" s="143" t="s">
        <v>187</v>
      </c>
      <c r="D403" s="143" t="s">
        <v>69</v>
      </c>
      <c r="E403" s="257">
        <v>20114885</v>
      </c>
      <c r="F403" s="257">
        <v>15114885</v>
      </c>
      <c r="G403" s="257">
        <v>12835685</v>
      </c>
      <c r="H403" s="257">
        <v>0</v>
      </c>
      <c r="I403" s="257">
        <v>1170358.99</v>
      </c>
      <c r="J403" s="257">
        <v>0</v>
      </c>
      <c r="K403" s="257">
        <v>0</v>
      </c>
      <c r="L403" s="257">
        <v>0</v>
      </c>
      <c r="M403" s="257">
        <v>13944526.01</v>
      </c>
      <c r="N403" s="257">
        <v>11665326.01</v>
      </c>
    </row>
    <row r="404" spans="1:14" s="143" customFormat="1" hidden="1" x14ac:dyDescent="0.25">
      <c r="A404" s="143" t="s">
        <v>711</v>
      </c>
      <c r="B404" s="143" t="s">
        <v>188</v>
      </c>
      <c r="C404" s="143" t="s">
        <v>189</v>
      </c>
      <c r="D404" s="143" t="s">
        <v>69</v>
      </c>
      <c r="E404" s="257">
        <v>4558400</v>
      </c>
      <c r="F404" s="257">
        <v>4558400</v>
      </c>
      <c r="G404" s="257">
        <v>2279200</v>
      </c>
      <c r="H404" s="257">
        <v>0</v>
      </c>
      <c r="I404" s="257">
        <v>0</v>
      </c>
      <c r="J404" s="257">
        <v>0</v>
      </c>
      <c r="K404" s="257">
        <v>0</v>
      </c>
      <c r="L404" s="257">
        <v>0</v>
      </c>
      <c r="M404" s="257">
        <v>4558400</v>
      </c>
      <c r="N404" s="257">
        <v>2279200</v>
      </c>
    </row>
    <row r="405" spans="1:14" s="143" customFormat="1" hidden="1" x14ac:dyDescent="0.25">
      <c r="A405" s="143" t="s">
        <v>711</v>
      </c>
      <c r="B405" s="143" t="s">
        <v>190</v>
      </c>
      <c r="C405" s="143" t="s">
        <v>191</v>
      </c>
      <c r="D405" s="143" t="s">
        <v>69</v>
      </c>
      <c r="E405" s="257">
        <v>1998283</v>
      </c>
      <c r="F405" s="257">
        <v>3620553</v>
      </c>
      <c r="G405" s="257">
        <v>3620553</v>
      </c>
      <c r="H405" s="257">
        <v>0</v>
      </c>
      <c r="I405" s="257">
        <v>0</v>
      </c>
      <c r="J405" s="257">
        <v>0</v>
      </c>
      <c r="K405" s="257">
        <v>0</v>
      </c>
      <c r="L405" s="257">
        <v>0</v>
      </c>
      <c r="M405" s="257">
        <v>3620553</v>
      </c>
      <c r="N405" s="257">
        <v>3620553</v>
      </c>
    </row>
    <row r="406" spans="1:14" s="143" customFormat="1" hidden="1" x14ac:dyDescent="0.25">
      <c r="A406" s="143" t="s">
        <v>711</v>
      </c>
      <c r="B406" s="143" t="s">
        <v>350</v>
      </c>
      <c r="C406" s="143" t="s">
        <v>351</v>
      </c>
      <c r="D406" s="143" t="s">
        <v>69</v>
      </c>
      <c r="E406" s="257">
        <v>1432676</v>
      </c>
      <c r="F406" s="257">
        <v>1432676</v>
      </c>
      <c r="G406" s="257">
        <v>1432676</v>
      </c>
      <c r="H406" s="257">
        <v>0</v>
      </c>
      <c r="I406" s="257">
        <v>1170358.99</v>
      </c>
      <c r="J406" s="257">
        <v>0</v>
      </c>
      <c r="K406" s="257">
        <v>0</v>
      </c>
      <c r="L406" s="257">
        <v>0</v>
      </c>
      <c r="M406" s="257">
        <v>262317.01</v>
      </c>
      <c r="N406" s="257">
        <v>262317.01</v>
      </c>
    </row>
    <row r="407" spans="1:14" s="143" customFormat="1" hidden="1" x14ac:dyDescent="0.25">
      <c r="A407" s="143" t="s">
        <v>711</v>
      </c>
      <c r="B407" s="143" t="s">
        <v>194</v>
      </c>
      <c r="C407" s="143" t="s">
        <v>195</v>
      </c>
      <c r="D407" s="143" t="s">
        <v>69</v>
      </c>
      <c r="E407" s="257">
        <v>12125526</v>
      </c>
      <c r="F407" s="257">
        <v>5503256</v>
      </c>
      <c r="G407" s="257">
        <v>5503256</v>
      </c>
      <c r="H407" s="257">
        <v>0</v>
      </c>
      <c r="I407" s="257">
        <v>0</v>
      </c>
      <c r="J407" s="257">
        <v>0</v>
      </c>
      <c r="K407" s="257">
        <v>0</v>
      </c>
      <c r="L407" s="257">
        <v>0</v>
      </c>
      <c r="M407" s="257">
        <v>5503256</v>
      </c>
      <c r="N407" s="257">
        <v>5503256</v>
      </c>
    </row>
    <row r="408" spans="1:14" s="143" customFormat="1" hidden="1" x14ac:dyDescent="0.25">
      <c r="A408" s="143" t="s">
        <v>711</v>
      </c>
      <c r="B408" s="143" t="s">
        <v>196</v>
      </c>
      <c r="C408" s="143" t="s">
        <v>197</v>
      </c>
      <c r="D408" s="143" t="s">
        <v>69</v>
      </c>
      <c r="E408" s="257">
        <v>9704809902</v>
      </c>
      <c r="F408" s="257">
        <v>9684809902</v>
      </c>
      <c r="G408" s="257">
        <v>4764106293</v>
      </c>
      <c r="H408" s="257">
        <v>2191575</v>
      </c>
      <c r="I408" s="257">
        <v>595566356.96000004</v>
      </c>
      <c r="J408" s="257">
        <v>310041697.32999998</v>
      </c>
      <c r="K408" s="257">
        <v>1396445061.21</v>
      </c>
      <c r="L408" s="257">
        <v>1396445061.21</v>
      </c>
      <c r="M408" s="257">
        <v>7380565211.5</v>
      </c>
      <c r="N408" s="257">
        <v>2459861602.5</v>
      </c>
    </row>
    <row r="409" spans="1:14" s="143" customFormat="1" hidden="1" x14ac:dyDescent="0.25">
      <c r="A409" s="143" t="s">
        <v>711</v>
      </c>
      <c r="B409" s="143" t="s">
        <v>579</v>
      </c>
      <c r="C409" s="143" t="s">
        <v>580</v>
      </c>
      <c r="D409" s="143" t="s">
        <v>69</v>
      </c>
      <c r="E409" s="257">
        <v>3494885</v>
      </c>
      <c r="F409" s="257">
        <v>3494885</v>
      </c>
      <c r="G409" s="257">
        <v>3494885</v>
      </c>
      <c r="H409" s="257">
        <v>2191575</v>
      </c>
      <c r="I409" s="257">
        <v>0</v>
      </c>
      <c r="J409" s="257">
        <v>0</v>
      </c>
      <c r="K409" s="257">
        <v>0</v>
      </c>
      <c r="L409" s="257">
        <v>0</v>
      </c>
      <c r="M409" s="257">
        <v>1303310</v>
      </c>
      <c r="N409" s="257">
        <v>1303310</v>
      </c>
    </row>
    <row r="410" spans="1:14" s="143" customFormat="1" hidden="1" x14ac:dyDescent="0.25">
      <c r="A410" s="143" t="s">
        <v>711</v>
      </c>
      <c r="B410" s="143" t="s">
        <v>198</v>
      </c>
      <c r="C410" s="143" t="s">
        <v>199</v>
      </c>
      <c r="D410" s="143" t="s">
        <v>69</v>
      </c>
      <c r="E410" s="257">
        <v>9654391017</v>
      </c>
      <c r="F410" s="257">
        <v>9654391017</v>
      </c>
      <c r="G410" s="257">
        <v>4742191842</v>
      </c>
      <c r="H410" s="257">
        <v>0</v>
      </c>
      <c r="I410" s="257">
        <v>577146791.65999997</v>
      </c>
      <c r="J410" s="257">
        <v>310041697.32999998</v>
      </c>
      <c r="K410" s="257">
        <v>1396445061.21</v>
      </c>
      <c r="L410" s="257">
        <v>1396445061.21</v>
      </c>
      <c r="M410" s="257">
        <v>7370757466.8000002</v>
      </c>
      <c r="N410" s="257">
        <v>2458558291.8000002</v>
      </c>
    </row>
    <row r="411" spans="1:14" s="143" customFormat="1" hidden="1" x14ac:dyDescent="0.25">
      <c r="A411" s="143" t="s">
        <v>711</v>
      </c>
      <c r="B411" s="143" t="s">
        <v>352</v>
      </c>
      <c r="C411" s="143" t="s">
        <v>353</v>
      </c>
      <c r="D411" s="143" t="s">
        <v>69</v>
      </c>
      <c r="E411" s="257">
        <v>46924000</v>
      </c>
      <c r="F411" s="257">
        <v>26924000</v>
      </c>
      <c r="G411" s="257">
        <v>18419566</v>
      </c>
      <c r="H411" s="257">
        <v>0</v>
      </c>
      <c r="I411" s="257">
        <v>18419565.300000001</v>
      </c>
      <c r="J411" s="257">
        <v>0</v>
      </c>
      <c r="K411" s="257">
        <v>0</v>
      </c>
      <c r="L411" s="257">
        <v>0</v>
      </c>
      <c r="M411" s="257">
        <v>8504434.6999999993</v>
      </c>
      <c r="N411" s="257">
        <v>0.7</v>
      </c>
    </row>
    <row r="412" spans="1:14" s="143" customFormat="1" hidden="1" x14ac:dyDescent="0.25">
      <c r="A412" s="143" t="s">
        <v>711</v>
      </c>
      <c r="B412" s="143" t="s">
        <v>200</v>
      </c>
      <c r="C412" s="143" t="s">
        <v>201</v>
      </c>
      <c r="D412" s="143" t="s">
        <v>69</v>
      </c>
      <c r="E412" s="257">
        <v>9701312</v>
      </c>
      <c r="F412" s="257">
        <v>9022362</v>
      </c>
      <c r="G412" s="257">
        <v>9022362</v>
      </c>
      <c r="H412" s="257">
        <v>7581698</v>
      </c>
      <c r="I412" s="257">
        <v>99933</v>
      </c>
      <c r="J412" s="257">
        <v>0</v>
      </c>
      <c r="K412" s="257">
        <v>0</v>
      </c>
      <c r="L412" s="257">
        <v>0</v>
      </c>
      <c r="M412" s="257">
        <v>1340731</v>
      </c>
      <c r="N412" s="257">
        <v>1340731</v>
      </c>
    </row>
    <row r="413" spans="1:14" s="143" customFormat="1" hidden="1" x14ac:dyDescent="0.25">
      <c r="A413" s="143" t="s">
        <v>711</v>
      </c>
      <c r="B413" s="143" t="s">
        <v>314</v>
      </c>
      <c r="C413" s="143" t="s">
        <v>315</v>
      </c>
      <c r="D413" s="143" t="s">
        <v>69</v>
      </c>
      <c r="E413" s="257">
        <v>3440012</v>
      </c>
      <c r="F413" s="257">
        <v>3440012</v>
      </c>
      <c r="G413" s="257">
        <v>3440012</v>
      </c>
      <c r="H413" s="257">
        <v>3309013</v>
      </c>
      <c r="I413" s="257">
        <v>0</v>
      </c>
      <c r="J413" s="257">
        <v>0</v>
      </c>
      <c r="K413" s="257">
        <v>0</v>
      </c>
      <c r="L413" s="257">
        <v>0</v>
      </c>
      <c r="M413" s="257">
        <v>130999</v>
      </c>
      <c r="N413" s="257">
        <v>130999</v>
      </c>
    </row>
    <row r="414" spans="1:14" s="143" customFormat="1" hidden="1" x14ac:dyDescent="0.25">
      <c r="A414" s="143" t="s">
        <v>711</v>
      </c>
      <c r="B414" s="143" t="s">
        <v>316</v>
      </c>
      <c r="C414" s="143" t="s">
        <v>317</v>
      </c>
      <c r="D414" s="143" t="s">
        <v>69</v>
      </c>
      <c r="E414" s="257">
        <v>678950</v>
      </c>
      <c r="F414" s="257">
        <v>0</v>
      </c>
      <c r="G414" s="257">
        <v>0</v>
      </c>
      <c r="H414" s="257">
        <v>0</v>
      </c>
      <c r="I414" s="257">
        <v>0</v>
      </c>
      <c r="J414" s="257">
        <v>0</v>
      </c>
      <c r="K414" s="257">
        <v>0</v>
      </c>
      <c r="L414" s="257">
        <v>0</v>
      </c>
      <c r="M414" s="257">
        <v>0</v>
      </c>
      <c r="N414" s="257">
        <v>0</v>
      </c>
    </row>
    <row r="415" spans="1:14" s="143" customFormat="1" hidden="1" x14ac:dyDescent="0.25">
      <c r="A415" s="143" t="s">
        <v>711</v>
      </c>
      <c r="B415" s="143" t="s">
        <v>318</v>
      </c>
      <c r="C415" s="143" t="s">
        <v>319</v>
      </c>
      <c r="D415" s="143" t="s">
        <v>69</v>
      </c>
      <c r="E415" s="257">
        <v>648835</v>
      </c>
      <c r="F415" s="257">
        <v>648835</v>
      </c>
      <c r="G415" s="257">
        <v>648835</v>
      </c>
      <c r="H415" s="257">
        <v>0</v>
      </c>
      <c r="I415" s="257">
        <v>0</v>
      </c>
      <c r="J415" s="257">
        <v>0</v>
      </c>
      <c r="K415" s="257">
        <v>0</v>
      </c>
      <c r="L415" s="257">
        <v>0</v>
      </c>
      <c r="M415" s="257">
        <v>648835</v>
      </c>
      <c r="N415" s="257">
        <v>648835</v>
      </c>
    </row>
    <row r="416" spans="1:14" s="143" customFormat="1" hidden="1" x14ac:dyDescent="0.25">
      <c r="A416" s="143" t="s">
        <v>711</v>
      </c>
      <c r="B416" s="143" t="s">
        <v>202</v>
      </c>
      <c r="C416" s="143" t="s">
        <v>203</v>
      </c>
      <c r="D416" s="143" t="s">
        <v>69</v>
      </c>
      <c r="E416" s="257">
        <v>274510</v>
      </c>
      <c r="F416" s="257">
        <v>274510</v>
      </c>
      <c r="G416" s="257">
        <v>274510</v>
      </c>
      <c r="H416" s="257">
        <v>0</v>
      </c>
      <c r="I416" s="257">
        <v>99933</v>
      </c>
      <c r="J416" s="257">
        <v>0</v>
      </c>
      <c r="K416" s="257">
        <v>0</v>
      </c>
      <c r="L416" s="257">
        <v>0</v>
      </c>
      <c r="M416" s="257">
        <v>174577</v>
      </c>
      <c r="N416" s="257">
        <v>174577</v>
      </c>
    </row>
    <row r="417" spans="1:14" s="143" customFormat="1" hidden="1" x14ac:dyDescent="0.25">
      <c r="A417" s="143" t="s">
        <v>711</v>
      </c>
      <c r="B417" s="143" t="s">
        <v>204</v>
      </c>
      <c r="C417" s="143" t="s">
        <v>205</v>
      </c>
      <c r="D417" s="143" t="s">
        <v>69</v>
      </c>
      <c r="E417" s="257">
        <v>4524220</v>
      </c>
      <c r="F417" s="257">
        <v>4524220</v>
      </c>
      <c r="G417" s="257">
        <v>4524220</v>
      </c>
      <c r="H417" s="257">
        <v>4272685</v>
      </c>
      <c r="I417" s="257">
        <v>0</v>
      </c>
      <c r="J417" s="257">
        <v>0</v>
      </c>
      <c r="K417" s="257">
        <v>0</v>
      </c>
      <c r="L417" s="257">
        <v>0</v>
      </c>
      <c r="M417" s="257">
        <v>251535</v>
      </c>
      <c r="N417" s="257">
        <v>251535</v>
      </c>
    </row>
    <row r="418" spans="1:14" s="143" customFormat="1" hidden="1" x14ac:dyDescent="0.25">
      <c r="A418" s="143" t="s">
        <v>711</v>
      </c>
      <c r="B418" s="143" t="s">
        <v>322</v>
      </c>
      <c r="C418" s="143" t="s">
        <v>323</v>
      </c>
      <c r="D418" s="143" t="s">
        <v>69</v>
      </c>
      <c r="E418" s="257">
        <v>134785</v>
      </c>
      <c r="F418" s="257">
        <v>134785</v>
      </c>
      <c r="G418" s="257">
        <v>134785</v>
      </c>
      <c r="H418" s="257">
        <v>0</v>
      </c>
      <c r="I418" s="257">
        <v>0</v>
      </c>
      <c r="J418" s="257">
        <v>0</v>
      </c>
      <c r="K418" s="257">
        <v>0</v>
      </c>
      <c r="L418" s="257">
        <v>0</v>
      </c>
      <c r="M418" s="257">
        <v>134785</v>
      </c>
      <c r="N418" s="257">
        <v>134785</v>
      </c>
    </row>
    <row r="419" spans="1:14" s="143" customFormat="1" hidden="1" x14ac:dyDescent="0.25">
      <c r="A419" s="143" t="s">
        <v>711</v>
      </c>
      <c r="B419" s="143" t="s">
        <v>206</v>
      </c>
      <c r="C419" s="143" t="s">
        <v>207</v>
      </c>
      <c r="D419" s="143" t="s">
        <v>69</v>
      </c>
      <c r="E419" s="257">
        <v>4818247</v>
      </c>
      <c r="F419" s="257">
        <v>1818247</v>
      </c>
      <c r="G419" s="257">
        <v>1818247</v>
      </c>
      <c r="H419" s="257">
        <v>0</v>
      </c>
      <c r="I419" s="257">
        <v>0</v>
      </c>
      <c r="J419" s="257">
        <v>0</v>
      </c>
      <c r="K419" s="257">
        <v>0</v>
      </c>
      <c r="L419" s="257">
        <v>0</v>
      </c>
      <c r="M419" s="257">
        <v>1818247</v>
      </c>
      <c r="N419" s="257">
        <v>1818247</v>
      </c>
    </row>
    <row r="420" spans="1:14" s="143" customFormat="1" hidden="1" x14ac:dyDescent="0.25">
      <c r="A420" s="143" t="s">
        <v>711</v>
      </c>
      <c r="B420" s="143" t="s">
        <v>208</v>
      </c>
      <c r="C420" s="143" t="s">
        <v>209</v>
      </c>
      <c r="D420" s="143" t="s">
        <v>69</v>
      </c>
      <c r="E420" s="257">
        <v>4818247</v>
      </c>
      <c r="F420" s="257">
        <v>1818247</v>
      </c>
      <c r="G420" s="257">
        <v>1818247</v>
      </c>
      <c r="H420" s="257">
        <v>0</v>
      </c>
      <c r="I420" s="257">
        <v>0</v>
      </c>
      <c r="J420" s="257">
        <v>0</v>
      </c>
      <c r="K420" s="257">
        <v>0</v>
      </c>
      <c r="L420" s="257">
        <v>0</v>
      </c>
      <c r="M420" s="257">
        <v>1818247</v>
      </c>
      <c r="N420" s="257">
        <v>1818247</v>
      </c>
    </row>
    <row r="421" spans="1:14" s="143" customFormat="1" hidden="1" x14ac:dyDescent="0.25">
      <c r="A421" s="143" t="s">
        <v>711</v>
      </c>
      <c r="B421" s="143" t="s">
        <v>354</v>
      </c>
      <c r="C421" s="143" t="s">
        <v>355</v>
      </c>
      <c r="D421" s="143" t="s">
        <v>69</v>
      </c>
      <c r="E421" s="257">
        <v>2859160</v>
      </c>
      <c r="F421" s="257">
        <v>859160</v>
      </c>
      <c r="G421" s="257">
        <v>859160</v>
      </c>
      <c r="H421" s="257">
        <v>0</v>
      </c>
      <c r="I421" s="257">
        <v>0</v>
      </c>
      <c r="J421" s="257">
        <v>0</v>
      </c>
      <c r="K421" s="257">
        <v>0</v>
      </c>
      <c r="L421" s="257">
        <v>0</v>
      </c>
      <c r="M421" s="257">
        <v>859160</v>
      </c>
      <c r="N421" s="257">
        <v>859160</v>
      </c>
    </row>
    <row r="422" spans="1:14" s="143" customFormat="1" hidden="1" x14ac:dyDescent="0.25">
      <c r="A422" s="143" t="s">
        <v>711</v>
      </c>
      <c r="B422" s="143" t="s">
        <v>356</v>
      </c>
      <c r="C422" s="143" t="s">
        <v>357</v>
      </c>
      <c r="D422" s="143" t="s">
        <v>69</v>
      </c>
      <c r="E422" s="257">
        <v>2859160</v>
      </c>
      <c r="F422" s="257">
        <v>859160</v>
      </c>
      <c r="G422" s="257">
        <v>859160</v>
      </c>
      <c r="H422" s="257">
        <v>0</v>
      </c>
      <c r="I422" s="257">
        <v>0</v>
      </c>
      <c r="J422" s="257">
        <v>0</v>
      </c>
      <c r="K422" s="257">
        <v>0</v>
      </c>
      <c r="L422" s="257">
        <v>0</v>
      </c>
      <c r="M422" s="257">
        <v>859160</v>
      </c>
      <c r="N422" s="257">
        <v>859160</v>
      </c>
    </row>
    <row r="423" spans="1:14" s="143" customFormat="1" hidden="1" x14ac:dyDescent="0.25">
      <c r="A423" s="143" t="s">
        <v>711</v>
      </c>
      <c r="B423" s="143" t="s">
        <v>212</v>
      </c>
      <c r="C423" s="143" t="s">
        <v>213</v>
      </c>
      <c r="D423" s="143" t="s">
        <v>69</v>
      </c>
      <c r="E423" s="257">
        <v>20687802</v>
      </c>
      <c r="F423" s="257">
        <v>20687802</v>
      </c>
      <c r="G423" s="257">
        <v>20687802</v>
      </c>
      <c r="H423" s="257">
        <v>3981750</v>
      </c>
      <c r="I423" s="257">
        <v>0</v>
      </c>
      <c r="J423" s="257">
        <v>0</v>
      </c>
      <c r="K423" s="257">
        <v>0</v>
      </c>
      <c r="L423" s="257">
        <v>0</v>
      </c>
      <c r="M423" s="257">
        <v>16706052</v>
      </c>
      <c r="N423" s="257">
        <v>16706052</v>
      </c>
    </row>
    <row r="424" spans="1:14" s="143" customFormat="1" hidden="1" x14ac:dyDescent="0.25">
      <c r="A424" s="143" t="s">
        <v>711</v>
      </c>
      <c r="B424" s="143" t="s">
        <v>216</v>
      </c>
      <c r="C424" s="143" t="s">
        <v>217</v>
      </c>
      <c r="D424" s="143" t="s">
        <v>69</v>
      </c>
      <c r="E424" s="257">
        <v>9443712</v>
      </c>
      <c r="F424" s="257">
        <v>9443712</v>
      </c>
      <c r="G424" s="257">
        <v>9443712</v>
      </c>
      <c r="H424" s="257">
        <v>0</v>
      </c>
      <c r="I424" s="257">
        <v>0</v>
      </c>
      <c r="J424" s="257">
        <v>0</v>
      </c>
      <c r="K424" s="257">
        <v>0</v>
      </c>
      <c r="L424" s="257">
        <v>0</v>
      </c>
      <c r="M424" s="257">
        <v>9443712</v>
      </c>
      <c r="N424" s="257">
        <v>9443712</v>
      </c>
    </row>
    <row r="425" spans="1:14" s="143" customFormat="1" hidden="1" x14ac:dyDescent="0.25">
      <c r="A425" s="143" t="s">
        <v>711</v>
      </c>
      <c r="B425" s="143" t="s">
        <v>218</v>
      </c>
      <c r="C425" s="143" t="s">
        <v>219</v>
      </c>
      <c r="D425" s="143" t="s">
        <v>69</v>
      </c>
      <c r="E425" s="257">
        <v>4708500</v>
      </c>
      <c r="F425" s="257">
        <v>4708500</v>
      </c>
      <c r="G425" s="257">
        <v>4708500</v>
      </c>
      <c r="H425" s="257">
        <v>0</v>
      </c>
      <c r="I425" s="257">
        <v>0</v>
      </c>
      <c r="J425" s="257">
        <v>0</v>
      </c>
      <c r="K425" s="257">
        <v>0</v>
      </c>
      <c r="L425" s="257">
        <v>0</v>
      </c>
      <c r="M425" s="257">
        <v>4708500</v>
      </c>
      <c r="N425" s="257">
        <v>4708500</v>
      </c>
    </row>
    <row r="426" spans="1:14" s="143" customFormat="1" hidden="1" x14ac:dyDescent="0.25">
      <c r="A426" s="143" t="s">
        <v>711</v>
      </c>
      <c r="B426" s="143" t="s">
        <v>220</v>
      </c>
      <c r="C426" s="143" t="s">
        <v>221</v>
      </c>
      <c r="D426" s="143" t="s">
        <v>69</v>
      </c>
      <c r="E426" s="257">
        <v>4306450</v>
      </c>
      <c r="F426" s="257">
        <v>4306450</v>
      </c>
      <c r="G426" s="257">
        <v>4306450</v>
      </c>
      <c r="H426" s="257">
        <v>3981750</v>
      </c>
      <c r="I426" s="257">
        <v>0</v>
      </c>
      <c r="J426" s="257">
        <v>0</v>
      </c>
      <c r="K426" s="257">
        <v>0</v>
      </c>
      <c r="L426" s="257">
        <v>0</v>
      </c>
      <c r="M426" s="257">
        <v>324700</v>
      </c>
      <c r="N426" s="257">
        <v>324700</v>
      </c>
    </row>
    <row r="427" spans="1:14" s="143" customFormat="1" hidden="1" x14ac:dyDescent="0.25">
      <c r="A427" s="143" t="s">
        <v>711</v>
      </c>
      <c r="B427" s="143" t="s">
        <v>222</v>
      </c>
      <c r="C427" s="143" t="s">
        <v>223</v>
      </c>
      <c r="D427" s="143" t="s">
        <v>69</v>
      </c>
      <c r="E427" s="257">
        <v>842640</v>
      </c>
      <c r="F427" s="257">
        <v>842640</v>
      </c>
      <c r="G427" s="257">
        <v>842640</v>
      </c>
      <c r="H427" s="257">
        <v>0</v>
      </c>
      <c r="I427" s="257">
        <v>0</v>
      </c>
      <c r="J427" s="257">
        <v>0</v>
      </c>
      <c r="K427" s="257">
        <v>0</v>
      </c>
      <c r="L427" s="257">
        <v>0</v>
      </c>
      <c r="M427" s="257">
        <v>842640</v>
      </c>
      <c r="N427" s="257">
        <v>842640</v>
      </c>
    </row>
    <row r="428" spans="1:14" s="143" customFormat="1" hidden="1" x14ac:dyDescent="0.25">
      <c r="A428" s="143" t="s">
        <v>711</v>
      </c>
      <c r="B428" s="143" t="s">
        <v>224</v>
      </c>
      <c r="C428" s="143" t="s">
        <v>225</v>
      </c>
      <c r="D428" s="143" t="s">
        <v>69</v>
      </c>
      <c r="E428" s="257">
        <v>887300</v>
      </c>
      <c r="F428" s="257">
        <v>887300</v>
      </c>
      <c r="G428" s="257">
        <v>887300</v>
      </c>
      <c r="H428" s="257">
        <v>0</v>
      </c>
      <c r="I428" s="257">
        <v>0</v>
      </c>
      <c r="J428" s="257">
        <v>0</v>
      </c>
      <c r="K428" s="257">
        <v>0</v>
      </c>
      <c r="L428" s="257">
        <v>0</v>
      </c>
      <c r="M428" s="257">
        <v>887300</v>
      </c>
      <c r="N428" s="257">
        <v>887300</v>
      </c>
    </row>
    <row r="429" spans="1:14" s="143" customFormat="1" hidden="1" x14ac:dyDescent="0.25">
      <c r="A429" s="143" t="s">
        <v>711</v>
      </c>
      <c r="B429" s="143" t="s">
        <v>228</v>
      </c>
      <c r="C429" s="143" t="s">
        <v>229</v>
      </c>
      <c r="D429" s="143" t="s">
        <v>69</v>
      </c>
      <c r="E429" s="257">
        <v>499200</v>
      </c>
      <c r="F429" s="257">
        <v>499200</v>
      </c>
      <c r="G429" s="257">
        <v>499200</v>
      </c>
      <c r="H429" s="257">
        <v>0</v>
      </c>
      <c r="I429" s="257">
        <v>0</v>
      </c>
      <c r="J429" s="257">
        <v>0</v>
      </c>
      <c r="K429" s="257">
        <v>0</v>
      </c>
      <c r="L429" s="257">
        <v>0</v>
      </c>
      <c r="M429" s="257">
        <v>499200</v>
      </c>
      <c r="N429" s="257">
        <v>499200</v>
      </c>
    </row>
    <row r="430" spans="1:14" s="143" customFormat="1" hidden="1" x14ac:dyDescent="0.25">
      <c r="A430" s="143" t="s">
        <v>711</v>
      </c>
      <c r="B430" s="143" t="s">
        <v>230</v>
      </c>
      <c r="C430" s="143" t="s">
        <v>231</v>
      </c>
      <c r="D430" s="143" t="s">
        <v>85</v>
      </c>
      <c r="E430" s="257">
        <v>53324000</v>
      </c>
      <c r="F430" s="257">
        <v>53324000</v>
      </c>
      <c r="G430" s="257">
        <v>53324000</v>
      </c>
      <c r="H430" s="257">
        <v>0</v>
      </c>
      <c r="I430" s="257">
        <v>7425000</v>
      </c>
      <c r="J430" s="257">
        <v>0</v>
      </c>
      <c r="K430" s="257">
        <v>0</v>
      </c>
      <c r="L430" s="257">
        <v>0</v>
      </c>
      <c r="M430" s="257">
        <v>45899000</v>
      </c>
      <c r="N430" s="257">
        <v>45899000</v>
      </c>
    </row>
    <row r="431" spans="1:14" s="143" customFormat="1" hidden="1" x14ac:dyDescent="0.25">
      <c r="A431" s="143" t="s">
        <v>711</v>
      </c>
      <c r="B431" s="143" t="s">
        <v>232</v>
      </c>
      <c r="C431" s="143" t="s">
        <v>233</v>
      </c>
      <c r="D431" s="143" t="s">
        <v>85</v>
      </c>
      <c r="E431" s="257">
        <v>45824000</v>
      </c>
      <c r="F431" s="257">
        <v>43124000</v>
      </c>
      <c r="G431" s="257">
        <v>43124000</v>
      </c>
      <c r="H431" s="257">
        <v>0</v>
      </c>
      <c r="I431" s="257">
        <v>0</v>
      </c>
      <c r="J431" s="257">
        <v>0</v>
      </c>
      <c r="K431" s="257">
        <v>0</v>
      </c>
      <c r="L431" s="257">
        <v>0</v>
      </c>
      <c r="M431" s="257">
        <v>43124000</v>
      </c>
      <c r="N431" s="257">
        <v>43124000</v>
      </c>
    </row>
    <row r="432" spans="1:14" s="143" customFormat="1" hidden="1" x14ac:dyDescent="0.25">
      <c r="A432" s="143" t="s">
        <v>711</v>
      </c>
      <c r="B432" s="143" t="s">
        <v>234</v>
      </c>
      <c r="C432" s="143" t="s">
        <v>235</v>
      </c>
      <c r="D432" s="143" t="s">
        <v>85</v>
      </c>
      <c r="E432" s="257">
        <v>3490000</v>
      </c>
      <c r="F432" s="257">
        <v>790000</v>
      </c>
      <c r="G432" s="257">
        <v>790000</v>
      </c>
      <c r="H432" s="257">
        <v>0</v>
      </c>
      <c r="I432" s="257">
        <v>0</v>
      </c>
      <c r="J432" s="257">
        <v>0</v>
      </c>
      <c r="K432" s="257">
        <v>0</v>
      </c>
      <c r="L432" s="257">
        <v>0</v>
      </c>
      <c r="M432" s="257">
        <v>790000</v>
      </c>
      <c r="N432" s="257">
        <v>790000</v>
      </c>
    </row>
    <row r="433" spans="1:14" s="143" customFormat="1" hidden="1" x14ac:dyDescent="0.25">
      <c r="A433" s="143" t="s">
        <v>711</v>
      </c>
      <c r="B433" s="143" t="s">
        <v>238</v>
      </c>
      <c r="C433" s="143" t="s">
        <v>239</v>
      </c>
      <c r="D433" s="143" t="s">
        <v>85</v>
      </c>
      <c r="E433" s="257">
        <v>420000</v>
      </c>
      <c r="F433" s="257">
        <v>0</v>
      </c>
      <c r="G433" s="257">
        <v>0</v>
      </c>
      <c r="H433" s="257">
        <v>0</v>
      </c>
      <c r="I433" s="257">
        <v>0</v>
      </c>
      <c r="J433" s="257">
        <v>0</v>
      </c>
      <c r="K433" s="257">
        <v>0</v>
      </c>
      <c r="L433" s="257">
        <v>0</v>
      </c>
      <c r="M433" s="257">
        <v>0</v>
      </c>
      <c r="N433" s="257">
        <v>0</v>
      </c>
    </row>
    <row r="434" spans="1:14" s="143" customFormat="1" hidden="1" x14ac:dyDescent="0.25">
      <c r="A434" s="143" t="s">
        <v>711</v>
      </c>
      <c r="B434" s="143" t="s">
        <v>326</v>
      </c>
      <c r="C434" s="143" t="s">
        <v>327</v>
      </c>
      <c r="D434" s="143" t="s">
        <v>85</v>
      </c>
      <c r="E434" s="257">
        <v>41125000</v>
      </c>
      <c r="F434" s="257">
        <v>41545000</v>
      </c>
      <c r="G434" s="257">
        <v>41545000</v>
      </c>
      <c r="H434" s="257">
        <v>0</v>
      </c>
      <c r="I434" s="257">
        <v>0</v>
      </c>
      <c r="J434" s="257">
        <v>0</v>
      </c>
      <c r="K434" s="257">
        <v>0</v>
      </c>
      <c r="L434" s="257">
        <v>0</v>
      </c>
      <c r="M434" s="257">
        <v>41545000</v>
      </c>
      <c r="N434" s="257">
        <v>41545000</v>
      </c>
    </row>
    <row r="435" spans="1:14" s="143" customFormat="1" hidden="1" x14ac:dyDescent="0.25">
      <c r="A435" s="143" t="s">
        <v>711</v>
      </c>
      <c r="B435" s="143" t="s">
        <v>242</v>
      </c>
      <c r="C435" s="143" t="s">
        <v>243</v>
      </c>
      <c r="D435" s="143" t="s">
        <v>85</v>
      </c>
      <c r="E435" s="257">
        <v>789000</v>
      </c>
      <c r="F435" s="257">
        <v>789000</v>
      </c>
      <c r="G435" s="257">
        <v>789000</v>
      </c>
      <c r="H435" s="257">
        <v>0</v>
      </c>
      <c r="I435" s="257">
        <v>0</v>
      </c>
      <c r="J435" s="257">
        <v>0</v>
      </c>
      <c r="K435" s="257">
        <v>0</v>
      </c>
      <c r="L435" s="257">
        <v>0</v>
      </c>
      <c r="M435" s="257">
        <v>789000</v>
      </c>
      <c r="N435" s="257">
        <v>789000</v>
      </c>
    </row>
    <row r="436" spans="1:14" s="143" customFormat="1" hidden="1" x14ac:dyDescent="0.25">
      <c r="A436" s="143" t="s">
        <v>711</v>
      </c>
      <c r="B436" s="143" t="s">
        <v>244</v>
      </c>
      <c r="C436" s="143" t="s">
        <v>245</v>
      </c>
      <c r="D436" s="143" t="s">
        <v>85</v>
      </c>
      <c r="E436" s="257">
        <v>7500000</v>
      </c>
      <c r="F436" s="257">
        <v>10200000</v>
      </c>
      <c r="G436" s="257">
        <v>10200000</v>
      </c>
      <c r="H436" s="257">
        <v>0</v>
      </c>
      <c r="I436" s="257">
        <v>7425000</v>
      </c>
      <c r="J436" s="257">
        <v>0</v>
      </c>
      <c r="K436" s="257">
        <v>0</v>
      </c>
      <c r="L436" s="257">
        <v>0</v>
      </c>
      <c r="M436" s="257">
        <v>2775000</v>
      </c>
      <c r="N436" s="257">
        <v>2775000</v>
      </c>
    </row>
    <row r="437" spans="1:14" s="143" customFormat="1" hidden="1" x14ac:dyDescent="0.25">
      <c r="A437" s="143" t="s">
        <v>711</v>
      </c>
      <c r="B437" s="143" t="s">
        <v>611</v>
      </c>
      <c r="C437" s="143" t="s">
        <v>612</v>
      </c>
      <c r="D437" s="143" t="s">
        <v>85</v>
      </c>
      <c r="E437" s="257">
        <v>7500000</v>
      </c>
      <c r="F437" s="257">
        <v>10200000</v>
      </c>
      <c r="G437" s="257">
        <v>10200000</v>
      </c>
      <c r="H437" s="257">
        <v>0</v>
      </c>
      <c r="I437" s="257">
        <v>7425000</v>
      </c>
      <c r="J437" s="257">
        <v>0</v>
      </c>
      <c r="K437" s="257">
        <v>0</v>
      </c>
      <c r="L437" s="257">
        <v>0</v>
      </c>
      <c r="M437" s="257">
        <v>2775000</v>
      </c>
      <c r="N437" s="257">
        <v>2775000</v>
      </c>
    </row>
    <row r="438" spans="1:14" s="143" customFormat="1" hidden="1" x14ac:dyDescent="0.25">
      <c r="A438" s="143" t="s">
        <v>711</v>
      </c>
      <c r="B438" s="143" t="s">
        <v>248</v>
      </c>
      <c r="C438" s="143" t="s">
        <v>249</v>
      </c>
      <c r="D438" s="143" t="s">
        <v>69</v>
      </c>
      <c r="E438" s="257">
        <v>236354526</v>
      </c>
      <c r="F438" s="257">
        <v>232014843</v>
      </c>
      <c r="G438" s="257">
        <v>230664701</v>
      </c>
      <c r="H438" s="257">
        <v>0</v>
      </c>
      <c r="I438" s="257">
        <v>126819133</v>
      </c>
      <c r="J438" s="257">
        <v>0</v>
      </c>
      <c r="K438" s="257">
        <v>66693028</v>
      </c>
      <c r="L438" s="257">
        <v>66693028</v>
      </c>
      <c r="M438" s="257">
        <v>38502682</v>
      </c>
      <c r="N438" s="257">
        <v>37152540</v>
      </c>
    </row>
    <row r="439" spans="1:14" s="143" customFormat="1" hidden="1" x14ac:dyDescent="0.25">
      <c r="A439" s="143" t="s">
        <v>711</v>
      </c>
      <c r="B439" s="143" t="s">
        <v>250</v>
      </c>
      <c r="C439" s="143" t="s">
        <v>251</v>
      </c>
      <c r="D439" s="143" t="s">
        <v>69</v>
      </c>
      <c r="E439" s="257">
        <v>180354526</v>
      </c>
      <c r="F439" s="257">
        <v>176014843</v>
      </c>
      <c r="G439" s="257">
        <v>174664701</v>
      </c>
      <c r="H439" s="257">
        <v>0</v>
      </c>
      <c r="I439" s="257">
        <v>126819133</v>
      </c>
      <c r="J439" s="257">
        <v>0</v>
      </c>
      <c r="K439" s="257">
        <v>47845568</v>
      </c>
      <c r="L439" s="257">
        <v>47845568</v>
      </c>
      <c r="M439" s="257">
        <v>1350142</v>
      </c>
      <c r="N439" s="257">
        <v>0</v>
      </c>
    </row>
    <row r="440" spans="1:14" s="143" customFormat="1" hidden="1" x14ac:dyDescent="0.25">
      <c r="A440" s="143" t="s">
        <v>711</v>
      </c>
      <c r="B440" s="143" t="s">
        <v>630</v>
      </c>
      <c r="C440" s="143" t="s">
        <v>702</v>
      </c>
      <c r="D440" s="143" t="s">
        <v>69</v>
      </c>
      <c r="E440" s="257">
        <v>153192762</v>
      </c>
      <c r="F440" s="257">
        <v>149506644</v>
      </c>
      <c r="G440" s="257">
        <v>148359836</v>
      </c>
      <c r="H440" s="257">
        <v>0</v>
      </c>
      <c r="I440" s="257">
        <v>107908180</v>
      </c>
      <c r="J440" s="257">
        <v>0</v>
      </c>
      <c r="K440" s="257">
        <v>40451656</v>
      </c>
      <c r="L440" s="257">
        <v>40451656</v>
      </c>
      <c r="M440" s="257">
        <v>1146808</v>
      </c>
      <c r="N440" s="257">
        <v>0</v>
      </c>
    </row>
    <row r="441" spans="1:14" s="143" customFormat="1" hidden="1" x14ac:dyDescent="0.25">
      <c r="A441" s="143" t="s">
        <v>711</v>
      </c>
      <c r="B441" s="143" t="s">
        <v>645</v>
      </c>
      <c r="C441" s="143" t="s">
        <v>703</v>
      </c>
      <c r="D441" s="143" t="s">
        <v>69</v>
      </c>
      <c r="E441" s="257">
        <v>27161764</v>
      </c>
      <c r="F441" s="257">
        <v>26508199</v>
      </c>
      <c r="G441" s="257">
        <v>26304865</v>
      </c>
      <c r="H441" s="257">
        <v>0</v>
      </c>
      <c r="I441" s="257">
        <v>18910953</v>
      </c>
      <c r="J441" s="257">
        <v>0</v>
      </c>
      <c r="K441" s="257">
        <v>7393912</v>
      </c>
      <c r="L441" s="257">
        <v>7393912</v>
      </c>
      <c r="M441" s="257">
        <v>203334</v>
      </c>
      <c r="N441" s="257">
        <v>0</v>
      </c>
    </row>
    <row r="442" spans="1:14" s="143" customFormat="1" hidden="1" x14ac:dyDescent="0.25">
      <c r="A442" s="143" t="s">
        <v>711</v>
      </c>
      <c r="B442" s="143" t="s">
        <v>260</v>
      </c>
      <c r="C442" s="143" t="s">
        <v>261</v>
      </c>
      <c r="D442" s="143" t="s">
        <v>69</v>
      </c>
      <c r="E442" s="257">
        <v>56000000</v>
      </c>
      <c r="F442" s="257">
        <v>56000000</v>
      </c>
      <c r="G442" s="257">
        <v>56000000</v>
      </c>
      <c r="H442" s="257">
        <v>0</v>
      </c>
      <c r="I442" s="257">
        <v>0</v>
      </c>
      <c r="J442" s="257">
        <v>0</v>
      </c>
      <c r="K442" s="257">
        <v>18847460</v>
      </c>
      <c r="L442" s="257">
        <v>18847460</v>
      </c>
      <c r="M442" s="257">
        <v>37152540</v>
      </c>
      <c r="N442" s="257">
        <v>37152540</v>
      </c>
    </row>
    <row r="443" spans="1:14" s="143" customFormat="1" hidden="1" x14ac:dyDescent="0.25">
      <c r="A443" s="143" t="s">
        <v>711</v>
      </c>
      <c r="B443" s="143" t="s">
        <v>264</v>
      </c>
      <c r="C443" s="143" t="s">
        <v>265</v>
      </c>
      <c r="D443" s="143" t="s">
        <v>69</v>
      </c>
      <c r="E443" s="257">
        <v>56000000</v>
      </c>
      <c r="F443" s="257">
        <v>56000000</v>
      </c>
      <c r="G443" s="257">
        <v>56000000</v>
      </c>
      <c r="H443" s="257">
        <v>0</v>
      </c>
      <c r="I443" s="257">
        <v>0</v>
      </c>
      <c r="J443" s="257">
        <v>0</v>
      </c>
      <c r="K443" s="257">
        <v>18847460</v>
      </c>
      <c r="L443" s="257">
        <v>18847460</v>
      </c>
      <c r="M443" s="257">
        <v>37152540</v>
      </c>
      <c r="N443" s="257">
        <v>37152540</v>
      </c>
    </row>
    <row r="444" spans="1:14" s="143" customFormat="1" x14ac:dyDescent="0.25">
      <c r="A444" s="44">
        <v>214789002</v>
      </c>
      <c r="D444" s="44" t="s">
        <v>69</v>
      </c>
      <c r="E444" s="257">
        <v>2218633702</v>
      </c>
      <c r="F444" s="50">
        <v>2188449876</v>
      </c>
      <c r="G444" s="257">
        <v>1724062199</v>
      </c>
      <c r="H444" s="50">
        <v>5399748</v>
      </c>
      <c r="I444" s="50">
        <v>268646152.70999998</v>
      </c>
      <c r="J444" s="50">
        <v>5878607.9699999997</v>
      </c>
      <c r="K444" s="50">
        <v>520262304.07999998</v>
      </c>
      <c r="L444" s="50">
        <v>493190020.92000002</v>
      </c>
      <c r="M444" s="50">
        <v>1388263063.24</v>
      </c>
      <c r="N444" s="257">
        <v>923875386.24000001</v>
      </c>
    </row>
    <row r="445" spans="1:14" s="143" customFormat="1" hidden="1" x14ac:dyDescent="0.25">
      <c r="A445" s="143" t="s">
        <v>712</v>
      </c>
      <c r="B445" s="143" t="s">
        <v>71</v>
      </c>
      <c r="C445" s="143" t="s">
        <v>72</v>
      </c>
      <c r="D445" s="143" t="s">
        <v>69</v>
      </c>
      <c r="E445" s="257">
        <v>1258145726</v>
      </c>
      <c r="F445" s="257">
        <v>1228348840</v>
      </c>
      <c r="G445" s="257">
        <v>1219624729</v>
      </c>
      <c r="H445" s="257">
        <v>0</v>
      </c>
      <c r="I445" s="257">
        <v>130308218</v>
      </c>
      <c r="J445" s="257">
        <v>0</v>
      </c>
      <c r="K445" s="257">
        <v>406340109.88</v>
      </c>
      <c r="L445" s="257">
        <v>406340109.88</v>
      </c>
      <c r="M445" s="257">
        <v>691700512.12</v>
      </c>
      <c r="N445" s="257">
        <v>682976401.12</v>
      </c>
    </row>
    <row r="446" spans="1:14" s="143" customFormat="1" hidden="1" x14ac:dyDescent="0.25">
      <c r="A446" s="143" t="s">
        <v>712</v>
      </c>
      <c r="B446" s="143" t="s">
        <v>73</v>
      </c>
      <c r="C446" s="143" t="s">
        <v>74</v>
      </c>
      <c r="D446" s="143" t="s">
        <v>69</v>
      </c>
      <c r="E446" s="257">
        <v>493376624</v>
      </c>
      <c r="F446" s="257">
        <v>477092402</v>
      </c>
      <c r="G446" s="257">
        <v>477092402</v>
      </c>
      <c r="H446" s="257">
        <v>0</v>
      </c>
      <c r="I446" s="257">
        <v>0</v>
      </c>
      <c r="J446" s="257">
        <v>0</v>
      </c>
      <c r="K446" s="257">
        <v>152176811.03</v>
      </c>
      <c r="L446" s="257">
        <v>152176811.03</v>
      </c>
      <c r="M446" s="257">
        <v>324915590.97000003</v>
      </c>
      <c r="N446" s="257">
        <v>324915590.97000003</v>
      </c>
    </row>
    <row r="447" spans="1:14" s="143" customFormat="1" hidden="1" x14ac:dyDescent="0.25">
      <c r="A447" s="143" t="s">
        <v>712</v>
      </c>
      <c r="B447" s="143" t="s">
        <v>75</v>
      </c>
      <c r="C447" s="143" t="s">
        <v>76</v>
      </c>
      <c r="D447" s="143" t="s">
        <v>69</v>
      </c>
      <c r="E447" s="257">
        <v>493376624</v>
      </c>
      <c r="F447" s="257">
        <v>477092402</v>
      </c>
      <c r="G447" s="257">
        <v>477092402</v>
      </c>
      <c r="H447" s="257">
        <v>0</v>
      </c>
      <c r="I447" s="257">
        <v>0</v>
      </c>
      <c r="J447" s="257">
        <v>0</v>
      </c>
      <c r="K447" s="257">
        <v>152176811.03</v>
      </c>
      <c r="L447" s="257">
        <v>152176811.03</v>
      </c>
      <c r="M447" s="257">
        <v>324915590.97000003</v>
      </c>
      <c r="N447" s="257">
        <v>324915590.97000003</v>
      </c>
    </row>
    <row r="448" spans="1:14" s="143" customFormat="1" hidden="1" x14ac:dyDescent="0.25">
      <c r="A448" s="143" t="s">
        <v>712</v>
      </c>
      <c r="B448" s="143" t="s">
        <v>77</v>
      </c>
      <c r="C448" s="143" t="s">
        <v>78</v>
      </c>
      <c r="D448" s="143" t="s">
        <v>69</v>
      </c>
      <c r="E448" s="257">
        <v>572843880</v>
      </c>
      <c r="F448" s="257">
        <v>563876622</v>
      </c>
      <c r="G448" s="257">
        <v>556483341</v>
      </c>
      <c r="H448" s="257">
        <v>0</v>
      </c>
      <c r="I448" s="257">
        <v>0</v>
      </c>
      <c r="J448" s="257">
        <v>0</v>
      </c>
      <c r="K448" s="257">
        <v>198422530.84999999</v>
      </c>
      <c r="L448" s="257">
        <v>198422530.84999999</v>
      </c>
      <c r="M448" s="257">
        <v>365454091.14999998</v>
      </c>
      <c r="N448" s="257">
        <v>358060810.14999998</v>
      </c>
    </row>
    <row r="449" spans="1:14" s="143" customFormat="1" hidden="1" x14ac:dyDescent="0.25">
      <c r="A449" s="143" t="s">
        <v>712</v>
      </c>
      <c r="B449" s="143" t="s">
        <v>79</v>
      </c>
      <c r="C449" s="143" t="s">
        <v>80</v>
      </c>
      <c r="D449" s="143" t="s">
        <v>69</v>
      </c>
      <c r="E449" s="257">
        <v>166263500</v>
      </c>
      <c r="F449" s="257">
        <v>166263500</v>
      </c>
      <c r="G449" s="257">
        <v>159438723</v>
      </c>
      <c r="H449" s="257">
        <v>0</v>
      </c>
      <c r="I449" s="257">
        <v>0</v>
      </c>
      <c r="J449" s="257">
        <v>0</v>
      </c>
      <c r="K449" s="257">
        <v>48286497.140000001</v>
      </c>
      <c r="L449" s="257">
        <v>48286497.140000001</v>
      </c>
      <c r="M449" s="257">
        <v>117977002.86</v>
      </c>
      <c r="N449" s="257">
        <v>111152225.86</v>
      </c>
    </row>
    <row r="450" spans="1:14" s="143" customFormat="1" hidden="1" x14ac:dyDescent="0.25">
      <c r="A450" s="143" t="s">
        <v>712</v>
      </c>
      <c r="B450" s="143" t="s">
        <v>81</v>
      </c>
      <c r="C450" s="143" t="s">
        <v>82</v>
      </c>
      <c r="D450" s="143" t="s">
        <v>69</v>
      </c>
      <c r="E450" s="257">
        <v>139725380</v>
      </c>
      <c r="F450" s="257">
        <v>133724590</v>
      </c>
      <c r="G450" s="257">
        <v>133724590</v>
      </c>
      <c r="H450" s="257">
        <v>0</v>
      </c>
      <c r="I450" s="257">
        <v>0</v>
      </c>
      <c r="J450" s="257">
        <v>0</v>
      </c>
      <c r="K450" s="257">
        <v>49286812.439999998</v>
      </c>
      <c r="L450" s="257">
        <v>49286812.439999998</v>
      </c>
      <c r="M450" s="257">
        <v>84437777.560000002</v>
      </c>
      <c r="N450" s="257">
        <v>84437777.560000002</v>
      </c>
    </row>
    <row r="451" spans="1:14" s="143" customFormat="1" hidden="1" x14ac:dyDescent="0.25">
      <c r="A451" s="143" t="s">
        <v>712</v>
      </c>
      <c r="B451" s="143" t="s">
        <v>83</v>
      </c>
      <c r="C451" s="143" t="s">
        <v>84</v>
      </c>
      <c r="D451" s="143" t="s">
        <v>85</v>
      </c>
      <c r="E451" s="257">
        <v>81986600</v>
      </c>
      <c r="F451" s="257">
        <v>80044896</v>
      </c>
      <c r="G451" s="257">
        <v>79476392</v>
      </c>
      <c r="H451" s="257">
        <v>0</v>
      </c>
      <c r="I451" s="257">
        <v>0</v>
      </c>
      <c r="J451" s="257">
        <v>0</v>
      </c>
      <c r="K451" s="257">
        <v>0</v>
      </c>
      <c r="L451" s="257">
        <v>0</v>
      </c>
      <c r="M451" s="257">
        <v>80044896</v>
      </c>
      <c r="N451" s="257">
        <v>79476392</v>
      </c>
    </row>
    <row r="452" spans="1:14" s="143" customFormat="1" hidden="1" x14ac:dyDescent="0.25">
      <c r="A452" s="143" t="s">
        <v>712</v>
      </c>
      <c r="B452" s="143" t="s">
        <v>86</v>
      </c>
      <c r="C452" s="143" t="s">
        <v>87</v>
      </c>
      <c r="D452" s="143" t="s">
        <v>69</v>
      </c>
      <c r="E452" s="257">
        <v>75278800</v>
      </c>
      <c r="F452" s="257">
        <v>75278800</v>
      </c>
      <c r="G452" s="257">
        <v>75278800</v>
      </c>
      <c r="H452" s="257">
        <v>0</v>
      </c>
      <c r="I452" s="257">
        <v>0</v>
      </c>
      <c r="J452" s="257">
        <v>0</v>
      </c>
      <c r="K452" s="257">
        <v>63363055.5</v>
      </c>
      <c r="L452" s="257">
        <v>63363055.5</v>
      </c>
      <c r="M452" s="257">
        <v>11915744.5</v>
      </c>
      <c r="N452" s="257">
        <v>11915744.5</v>
      </c>
    </row>
    <row r="453" spans="1:14" s="143" customFormat="1" hidden="1" x14ac:dyDescent="0.25">
      <c r="A453" s="143" t="s">
        <v>712</v>
      </c>
      <c r="B453" s="143" t="s">
        <v>88</v>
      </c>
      <c r="C453" s="143" t="s">
        <v>89</v>
      </c>
      <c r="D453" s="143" t="s">
        <v>69</v>
      </c>
      <c r="E453" s="257">
        <v>109589600</v>
      </c>
      <c r="F453" s="257">
        <v>108564836</v>
      </c>
      <c r="G453" s="257">
        <v>108564836</v>
      </c>
      <c r="H453" s="257">
        <v>0</v>
      </c>
      <c r="I453" s="257">
        <v>0</v>
      </c>
      <c r="J453" s="257">
        <v>0</v>
      </c>
      <c r="K453" s="257">
        <v>37486165.770000003</v>
      </c>
      <c r="L453" s="257">
        <v>37486165.770000003</v>
      </c>
      <c r="M453" s="257">
        <v>71078670.230000004</v>
      </c>
      <c r="N453" s="257">
        <v>71078670.230000004</v>
      </c>
    </row>
    <row r="454" spans="1:14" s="143" customFormat="1" hidden="1" x14ac:dyDescent="0.25">
      <c r="A454" s="143" t="s">
        <v>712</v>
      </c>
      <c r="B454" s="143" t="s">
        <v>90</v>
      </c>
      <c r="C454" s="143" t="s">
        <v>91</v>
      </c>
      <c r="D454" s="143" t="s">
        <v>69</v>
      </c>
      <c r="E454" s="257">
        <v>95962711</v>
      </c>
      <c r="F454" s="257">
        <v>93690008</v>
      </c>
      <c r="G454" s="257">
        <v>93024593</v>
      </c>
      <c r="H454" s="257">
        <v>0</v>
      </c>
      <c r="I454" s="257">
        <v>65090969</v>
      </c>
      <c r="J454" s="257">
        <v>0</v>
      </c>
      <c r="K454" s="257">
        <v>27933624</v>
      </c>
      <c r="L454" s="257">
        <v>27933624</v>
      </c>
      <c r="M454" s="257">
        <v>665415</v>
      </c>
      <c r="N454" s="257">
        <v>0</v>
      </c>
    </row>
    <row r="455" spans="1:14" s="143" customFormat="1" hidden="1" x14ac:dyDescent="0.25">
      <c r="A455" s="143" t="s">
        <v>712</v>
      </c>
      <c r="B455" s="143" t="s">
        <v>422</v>
      </c>
      <c r="C455" s="143" t="s">
        <v>697</v>
      </c>
      <c r="D455" s="143" t="s">
        <v>69</v>
      </c>
      <c r="E455" s="257">
        <v>91041575</v>
      </c>
      <c r="F455" s="257">
        <v>88885421</v>
      </c>
      <c r="G455" s="257">
        <v>88254129</v>
      </c>
      <c r="H455" s="257">
        <v>0</v>
      </c>
      <c r="I455" s="257">
        <v>61752998</v>
      </c>
      <c r="J455" s="257">
        <v>0</v>
      </c>
      <c r="K455" s="257">
        <v>26501131</v>
      </c>
      <c r="L455" s="257">
        <v>26501131</v>
      </c>
      <c r="M455" s="257">
        <v>631292</v>
      </c>
      <c r="N455" s="257">
        <v>0</v>
      </c>
    </row>
    <row r="456" spans="1:14" s="143" customFormat="1" hidden="1" x14ac:dyDescent="0.25">
      <c r="A456" s="143" t="s">
        <v>712</v>
      </c>
      <c r="B456" s="143" t="s">
        <v>439</v>
      </c>
      <c r="C456" s="143" t="s">
        <v>95</v>
      </c>
      <c r="D456" s="143" t="s">
        <v>69</v>
      </c>
      <c r="E456" s="257">
        <v>4921136</v>
      </c>
      <c r="F456" s="257">
        <v>4804587</v>
      </c>
      <c r="G456" s="257">
        <v>4770464</v>
      </c>
      <c r="H456" s="257">
        <v>0</v>
      </c>
      <c r="I456" s="257">
        <v>3337971</v>
      </c>
      <c r="J456" s="257">
        <v>0</v>
      </c>
      <c r="K456" s="257">
        <v>1432493</v>
      </c>
      <c r="L456" s="257">
        <v>1432493</v>
      </c>
      <c r="M456" s="257">
        <v>34123</v>
      </c>
      <c r="N456" s="257">
        <v>0</v>
      </c>
    </row>
    <row r="457" spans="1:14" s="143" customFormat="1" hidden="1" x14ac:dyDescent="0.25">
      <c r="A457" s="143" t="s">
        <v>712</v>
      </c>
      <c r="B457" s="143" t="s">
        <v>96</v>
      </c>
      <c r="C457" s="143" t="s">
        <v>97</v>
      </c>
      <c r="D457" s="143" t="s">
        <v>69</v>
      </c>
      <c r="E457" s="257">
        <v>95962511</v>
      </c>
      <c r="F457" s="257">
        <v>93689808</v>
      </c>
      <c r="G457" s="257">
        <v>93024393</v>
      </c>
      <c r="H457" s="257">
        <v>0</v>
      </c>
      <c r="I457" s="257">
        <v>65217249</v>
      </c>
      <c r="J457" s="257">
        <v>0</v>
      </c>
      <c r="K457" s="257">
        <v>27807144</v>
      </c>
      <c r="L457" s="257">
        <v>27807144</v>
      </c>
      <c r="M457" s="257">
        <v>665415</v>
      </c>
      <c r="N457" s="257">
        <v>0</v>
      </c>
    </row>
    <row r="458" spans="1:14" s="143" customFormat="1" hidden="1" x14ac:dyDescent="0.25">
      <c r="A458" s="143" t="s">
        <v>712</v>
      </c>
      <c r="B458" s="143" t="s">
        <v>457</v>
      </c>
      <c r="C458" s="143" t="s">
        <v>698</v>
      </c>
      <c r="D458" s="143" t="s">
        <v>69</v>
      </c>
      <c r="E458" s="257">
        <v>51672183</v>
      </c>
      <c r="F458" s="257">
        <v>50448420</v>
      </c>
      <c r="G458" s="257">
        <v>50090119</v>
      </c>
      <c r="H458" s="257">
        <v>0</v>
      </c>
      <c r="I458" s="257">
        <v>35175417</v>
      </c>
      <c r="J458" s="257">
        <v>0</v>
      </c>
      <c r="K458" s="257">
        <v>14914702</v>
      </c>
      <c r="L458" s="257">
        <v>14914702</v>
      </c>
      <c r="M458" s="257">
        <v>358301</v>
      </c>
      <c r="N458" s="257">
        <v>0</v>
      </c>
    </row>
    <row r="459" spans="1:14" s="143" customFormat="1" hidden="1" x14ac:dyDescent="0.25">
      <c r="A459" s="143" t="s">
        <v>712</v>
      </c>
      <c r="B459" s="143" t="s">
        <v>474</v>
      </c>
      <c r="C459" s="143" t="s">
        <v>699</v>
      </c>
      <c r="D459" s="143" t="s">
        <v>69</v>
      </c>
      <c r="E459" s="257">
        <v>14763409</v>
      </c>
      <c r="F459" s="257">
        <v>14413762</v>
      </c>
      <c r="G459" s="257">
        <v>14311391</v>
      </c>
      <c r="H459" s="257">
        <v>0</v>
      </c>
      <c r="I459" s="257">
        <v>10013910</v>
      </c>
      <c r="J459" s="257">
        <v>0</v>
      </c>
      <c r="K459" s="257">
        <v>4297481</v>
      </c>
      <c r="L459" s="257">
        <v>4297481</v>
      </c>
      <c r="M459" s="257">
        <v>102371</v>
      </c>
      <c r="N459" s="257">
        <v>0</v>
      </c>
    </row>
    <row r="460" spans="1:14" s="143" customFormat="1" hidden="1" x14ac:dyDescent="0.25">
      <c r="A460" s="143" t="s">
        <v>712</v>
      </c>
      <c r="B460" s="143" t="s">
        <v>491</v>
      </c>
      <c r="C460" s="143" t="s">
        <v>700</v>
      </c>
      <c r="D460" s="143" t="s">
        <v>69</v>
      </c>
      <c r="E460" s="257">
        <v>29526919</v>
      </c>
      <c r="F460" s="257">
        <v>28827626</v>
      </c>
      <c r="G460" s="257">
        <v>28622883</v>
      </c>
      <c r="H460" s="257">
        <v>0</v>
      </c>
      <c r="I460" s="257">
        <v>20027922</v>
      </c>
      <c r="J460" s="257">
        <v>0</v>
      </c>
      <c r="K460" s="257">
        <v>8594961</v>
      </c>
      <c r="L460" s="257">
        <v>8594961</v>
      </c>
      <c r="M460" s="257">
        <v>204743</v>
      </c>
      <c r="N460" s="257">
        <v>0</v>
      </c>
    </row>
    <row r="461" spans="1:14" s="143" customFormat="1" hidden="1" x14ac:dyDescent="0.25">
      <c r="A461" s="143" t="s">
        <v>712</v>
      </c>
      <c r="B461" s="143" t="s">
        <v>104</v>
      </c>
      <c r="C461" s="143" t="s">
        <v>105</v>
      </c>
      <c r="D461" s="143" t="s">
        <v>69</v>
      </c>
      <c r="E461" s="257">
        <v>306630000</v>
      </c>
      <c r="F461" s="257">
        <v>306630000</v>
      </c>
      <c r="G461" s="257">
        <v>160411875</v>
      </c>
      <c r="H461" s="257">
        <v>0</v>
      </c>
      <c r="I461" s="257">
        <v>101939726.40000001</v>
      </c>
      <c r="J461" s="257">
        <v>0</v>
      </c>
      <c r="K461" s="257">
        <v>32427148.600000001</v>
      </c>
      <c r="L461" s="257">
        <v>32427148.600000001</v>
      </c>
      <c r="M461" s="257">
        <v>172263125</v>
      </c>
      <c r="N461" s="257">
        <v>26045000</v>
      </c>
    </row>
    <row r="462" spans="1:14" s="143" customFormat="1" hidden="1" x14ac:dyDescent="0.25">
      <c r="A462" s="143" t="s">
        <v>712</v>
      </c>
      <c r="B462" s="143" t="s">
        <v>112</v>
      </c>
      <c r="C462" s="143" t="s">
        <v>113</v>
      </c>
      <c r="D462" s="143" t="s">
        <v>69</v>
      </c>
      <c r="E462" s="257">
        <v>291630000</v>
      </c>
      <c r="F462" s="257">
        <v>291630000</v>
      </c>
      <c r="G462" s="257">
        <v>145411875</v>
      </c>
      <c r="H462" s="257">
        <v>0</v>
      </c>
      <c r="I462" s="257">
        <v>101939726.40000001</v>
      </c>
      <c r="J462" s="257">
        <v>0</v>
      </c>
      <c r="K462" s="257">
        <v>32427148.600000001</v>
      </c>
      <c r="L462" s="257">
        <v>32427148.600000001</v>
      </c>
      <c r="M462" s="257">
        <v>157263125</v>
      </c>
      <c r="N462" s="257">
        <v>11045000</v>
      </c>
    </row>
    <row r="463" spans="1:14" s="143" customFormat="1" hidden="1" x14ac:dyDescent="0.25">
      <c r="A463" s="143" t="s">
        <v>712</v>
      </c>
      <c r="B463" s="143" t="s">
        <v>114</v>
      </c>
      <c r="C463" s="143" t="s">
        <v>115</v>
      </c>
      <c r="D463" s="143" t="s">
        <v>69</v>
      </c>
      <c r="E463" s="257">
        <v>221840000</v>
      </c>
      <c r="F463" s="257">
        <v>221840000</v>
      </c>
      <c r="G463" s="257">
        <v>108266875</v>
      </c>
      <c r="H463" s="257">
        <v>0</v>
      </c>
      <c r="I463" s="257">
        <v>81027791</v>
      </c>
      <c r="J463" s="257">
        <v>0</v>
      </c>
      <c r="K463" s="257">
        <v>27239084</v>
      </c>
      <c r="L463" s="257">
        <v>27239084</v>
      </c>
      <c r="M463" s="257">
        <v>113573125</v>
      </c>
      <c r="N463" s="257">
        <v>0</v>
      </c>
    </row>
    <row r="464" spans="1:14" s="143" customFormat="1" hidden="1" x14ac:dyDescent="0.25">
      <c r="A464" s="143" t="s">
        <v>712</v>
      </c>
      <c r="B464" s="143" t="s">
        <v>116</v>
      </c>
      <c r="C464" s="143" t="s">
        <v>117</v>
      </c>
      <c r="D464" s="143" t="s">
        <v>69</v>
      </c>
      <c r="E464" s="257">
        <v>52200000</v>
      </c>
      <c r="F464" s="257">
        <v>52200000</v>
      </c>
      <c r="G464" s="257">
        <v>26100000</v>
      </c>
      <c r="H464" s="257">
        <v>0</v>
      </c>
      <c r="I464" s="257">
        <v>20911935.399999999</v>
      </c>
      <c r="J464" s="257">
        <v>0</v>
      </c>
      <c r="K464" s="257">
        <v>5188064.5999999996</v>
      </c>
      <c r="L464" s="257">
        <v>5188064.5999999996</v>
      </c>
      <c r="M464" s="257">
        <v>26100000</v>
      </c>
      <c r="N464" s="257">
        <v>0</v>
      </c>
    </row>
    <row r="465" spans="1:14" s="143" customFormat="1" hidden="1" x14ac:dyDescent="0.25">
      <c r="A465" s="143" t="s">
        <v>712</v>
      </c>
      <c r="B465" s="143" t="s">
        <v>120</v>
      </c>
      <c r="C465" s="143" t="s">
        <v>121</v>
      </c>
      <c r="D465" s="143" t="s">
        <v>69</v>
      </c>
      <c r="E465" s="257">
        <v>13090000</v>
      </c>
      <c r="F465" s="257">
        <v>13090000</v>
      </c>
      <c r="G465" s="257">
        <v>6545000</v>
      </c>
      <c r="H465" s="257">
        <v>0</v>
      </c>
      <c r="I465" s="257">
        <v>0</v>
      </c>
      <c r="J465" s="257">
        <v>0</v>
      </c>
      <c r="K465" s="257">
        <v>0</v>
      </c>
      <c r="L465" s="257">
        <v>0</v>
      </c>
      <c r="M465" s="257">
        <v>13090000</v>
      </c>
      <c r="N465" s="257">
        <v>6545000</v>
      </c>
    </row>
    <row r="466" spans="1:14" s="143" customFormat="1" hidden="1" x14ac:dyDescent="0.25">
      <c r="A466" s="143" t="s">
        <v>712</v>
      </c>
      <c r="B466" s="143" t="s">
        <v>122</v>
      </c>
      <c r="C466" s="143" t="s">
        <v>123</v>
      </c>
      <c r="D466" s="143" t="s">
        <v>69</v>
      </c>
      <c r="E466" s="257">
        <v>4500000</v>
      </c>
      <c r="F466" s="257">
        <v>4500000</v>
      </c>
      <c r="G466" s="257">
        <v>4500000</v>
      </c>
      <c r="H466" s="257">
        <v>0</v>
      </c>
      <c r="I466" s="257">
        <v>0</v>
      </c>
      <c r="J466" s="257">
        <v>0</v>
      </c>
      <c r="K466" s="257">
        <v>0</v>
      </c>
      <c r="L466" s="257">
        <v>0</v>
      </c>
      <c r="M466" s="257">
        <v>4500000</v>
      </c>
      <c r="N466" s="257">
        <v>4500000</v>
      </c>
    </row>
    <row r="467" spans="1:14" s="143" customFormat="1" hidden="1" x14ac:dyDescent="0.25">
      <c r="A467" s="143" t="s">
        <v>712</v>
      </c>
      <c r="B467" s="143" t="s">
        <v>162</v>
      </c>
      <c r="C467" s="143" t="s">
        <v>163</v>
      </c>
      <c r="D467" s="143" t="s">
        <v>69</v>
      </c>
      <c r="E467" s="257">
        <v>15000000</v>
      </c>
      <c r="F467" s="257">
        <v>15000000</v>
      </c>
      <c r="G467" s="257">
        <v>15000000</v>
      </c>
      <c r="H467" s="257">
        <v>0</v>
      </c>
      <c r="I467" s="257">
        <v>0</v>
      </c>
      <c r="J467" s="257">
        <v>0</v>
      </c>
      <c r="K467" s="257">
        <v>0</v>
      </c>
      <c r="L467" s="257">
        <v>0</v>
      </c>
      <c r="M467" s="257">
        <v>15000000</v>
      </c>
      <c r="N467" s="257">
        <v>15000000</v>
      </c>
    </row>
    <row r="468" spans="1:14" s="143" customFormat="1" hidden="1" x14ac:dyDescent="0.25">
      <c r="A468" s="143" t="s">
        <v>712</v>
      </c>
      <c r="B468" s="143" t="s">
        <v>164</v>
      </c>
      <c r="C468" s="143" t="s">
        <v>165</v>
      </c>
      <c r="D468" s="143" t="s">
        <v>69</v>
      </c>
      <c r="E468" s="257">
        <v>15000000</v>
      </c>
      <c r="F468" s="257">
        <v>15000000</v>
      </c>
      <c r="G468" s="257">
        <v>15000000</v>
      </c>
      <c r="H468" s="257">
        <v>0</v>
      </c>
      <c r="I468" s="257">
        <v>0</v>
      </c>
      <c r="J468" s="257">
        <v>0</v>
      </c>
      <c r="K468" s="257">
        <v>0</v>
      </c>
      <c r="L468" s="257">
        <v>0</v>
      </c>
      <c r="M468" s="257">
        <v>15000000</v>
      </c>
      <c r="N468" s="257">
        <v>15000000</v>
      </c>
    </row>
    <row r="469" spans="1:14" s="143" customFormat="1" hidden="1" x14ac:dyDescent="0.25">
      <c r="A469" s="143" t="s">
        <v>712</v>
      </c>
      <c r="B469" s="143" t="s">
        <v>184</v>
      </c>
      <c r="C469" s="143" t="s">
        <v>185</v>
      </c>
      <c r="D469" s="143" t="s">
        <v>69</v>
      </c>
      <c r="E469" s="257">
        <v>621407272</v>
      </c>
      <c r="F469" s="257">
        <v>621407272</v>
      </c>
      <c r="G469" s="257">
        <v>312075122</v>
      </c>
      <c r="H469" s="257">
        <v>5399748</v>
      </c>
      <c r="I469" s="257">
        <v>20629633.309999999</v>
      </c>
      <c r="J469" s="257">
        <v>5878607.9699999997</v>
      </c>
      <c r="K469" s="257">
        <v>76047756.599999994</v>
      </c>
      <c r="L469" s="257">
        <v>48975473.439999998</v>
      </c>
      <c r="M469" s="257">
        <v>513451526.12</v>
      </c>
      <c r="N469" s="257">
        <v>204119376.12</v>
      </c>
    </row>
    <row r="470" spans="1:14" s="143" customFormat="1" hidden="1" x14ac:dyDescent="0.25">
      <c r="A470" s="143" t="s">
        <v>712</v>
      </c>
      <c r="B470" s="143" t="s">
        <v>186</v>
      </c>
      <c r="C470" s="143" t="s">
        <v>187</v>
      </c>
      <c r="D470" s="143" t="s">
        <v>69</v>
      </c>
      <c r="E470" s="257">
        <v>25251750</v>
      </c>
      <c r="F470" s="257">
        <v>25251750</v>
      </c>
      <c r="G470" s="257">
        <v>7743376</v>
      </c>
      <c r="H470" s="257">
        <v>0</v>
      </c>
      <c r="I470" s="257">
        <v>0</v>
      </c>
      <c r="J470" s="257">
        <v>0</v>
      </c>
      <c r="K470" s="257">
        <v>0</v>
      </c>
      <c r="L470" s="257">
        <v>0</v>
      </c>
      <c r="M470" s="257">
        <v>25251750</v>
      </c>
      <c r="N470" s="257">
        <v>7743376</v>
      </c>
    </row>
    <row r="471" spans="1:14" s="143" customFormat="1" hidden="1" x14ac:dyDescent="0.25">
      <c r="A471" s="143" t="s">
        <v>712</v>
      </c>
      <c r="B471" s="143" t="s">
        <v>188</v>
      </c>
      <c r="C471" s="143" t="s">
        <v>189</v>
      </c>
      <c r="D471" s="143" t="s">
        <v>69</v>
      </c>
      <c r="E471" s="257">
        <v>24819750</v>
      </c>
      <c r="F471" s="257">
        <v>24819750</v>
      </c>
      <c r="G471" s="257">
        <v>7311376</v>
      </c>
      <c r="H471" s="257">
        <v>0</v>
      </c>
      <c r="I471" s="257">
        <v>0</v>
      </c>
      <c r="J471" s="257">
        <v>0</v>
      </c>
      <c r="K471" s="257">
        <v>0</v>
      </c>
      <c r="L471" s="257">
        <v>0</v>
      </c>
      <c r="M471" s="257">
        <v>24819750</v>
      </c>
      <c r="N471" s="257">
        <v>7311376</v>
      </c>
    </row>
    <row r="472" spans="1:14" s="143" customFormat="1" hidden="1" x14ac:dyDescent="0.25">
      <c r="A472" s="143" t="s">
        <v>712</v>
      </c>
      <c r="B472" s="143" t="s">
        <v>190</v>
      </c>
      <c r="C472" s="143" t="s">
        <v>191</v>
      </c>
      <c r="D472" s="143" t="s">
        <v>69</v>
      </c>
      <c r="E472" s="257">
        <v>197000</v>
      </c>
      <c r="F472" s="257">
        <v>432000</v>
      </c>
      <c r="G472" s="257">
        <v>432000</v>
      </c>
      <c r="H472" s="257">
        <v>0</v>
      </c>
      <c r="I472" s="257">
        <v>0</v>
      </c>
      <c r="J472" s="257">
        <v>0</v>
      </c>
      <c r="K472" s="257">
        <v>0</v>
      </c>
      <c r="L472" s="257">
        <v>0</v>
      </c>
      <c r="M472" s="257">
        <v>432000</v>
      </c>
      <c r="N472" s="257">
        <v>432000</v>
      </c>
    </row>
    <row r="473" spans="1:14" s="143" customFormat="1" hidden="1" x14ac:dyDescent="0.25">
      <c r="A473" s="143" t="s">
        <v>712</v>
      </c>
      <c r="B473" s="143" t="s">
        <v>194</v>
      </c>
      <c r="C473" s="143" t="s">
        <v>195</v>
      </c>
      <c r="D473" s="143" t="s">
        <v>69</v>
      </c>
      <c r="E473" s="257">
        <v>235000</v>
      </c>
      <c r="F473" s="257">
        <v>0</v>
      </c>
      <c r="G473" s="257">
        <v>0</v>
      </c>
      <c r="H473" s="257">
        <v>0</v>
      </c>
      <c r="I473" s="257">
        <v>0</v>
      </c>
      <c r="J473" s="257">
        <v>0</v>
      </c>
      <c r="K473" s="257">
        <v>0</v>
      </c>
      <c r="L473" s="257">
        <v>0</v>
      </c>
      <c r="M473" s="257">
        <v>0</v>
      </c>
      <c r="N473" s="257">
        <v>0</v>
      </c>
    </row>
    <row r="474" spans="1:14" s="143" customFormat="1" hidden="1" x14ac:dyDescent="0.25">
      <c r="A474" s="143" t="s">
        <v>712</v>
      </c>
      <c r="B474" s="143" t="s">
        <v>196</v>
      </c>
      <c r="C474" s="143" t="s">
        <v>197</v>
      </c>
      <c r="D474" s="143" t="s">
        <v>69</v>
      </c>
      <c r="E474" s="257">
        <v>582942552</v>
      </c>
      <c r="F474" s="257">
        <v>582942552</v>
      </c>
      <c r="G474" s="257">
        <v>291118776</v>
      </c>
      <c r="H474" s="257">
        <v>0</v>
      </c>
      <c r="I474" s="257">
        <v>20629633.309999999</v>
      </c>
      <c r="J474" s="257">
        <v>5878607.9699999997</v>
      </c>
      <c r="K474" s="257">
        <v>76047756.599999994</v>
      </c>
      <c r="L474" s="257">
        <v>48975473.439999998</v>
      </c>
      <c r="M474" s="257">
        <v>480386554.12</v>
      </c>
      <c r="N474" s="257">
        <v>188562778.12</v>
      </c>
    </row>
    <row r="475" spans="1:14" s="143" customFormat="1" hidden="1" x14ac:dyDescent="0.25">
      <c r="A475" s="143" t="s">
        <v>712</v>
      </c>
      <c r="B475" s="143" t="s">
        <v>198</v>
      </c>
      <c r="C475" s="143" t="s">
        <v>199</v>
      </c>
      <c r="D475" s="143" t="s">
        <v>69</v>
      </c>
      <c r="E475" s="257">
        <v>582942552</v>
      </c>
      <c r="F475" s="257">
        <v>582942552</v>
      </c>
      <c r="G475" s="257">
        <v>291118776</v>
      </c>
      <c r="H475" s="257">
        <v>0</v>
      </c>
      <c r="I475" s="257">
        <v>20629633.309999999</v>
      </c>
      <c r="J475" s="257">
        <v>5878607.9699999997</v>
      </c>
      <c r="K475" s="257">
        <v>76047756.599999994</v>
      </c>
      <c r="L475" s="257">
        <v>48975473.439999998</v>
      </c>
      <c r="M475" s="257">
        <v>480386554.12</v>
      </c>
      <c r="N475" s="257">
        <v>188562778.12</v>
      </c>
    </row>
    <row r="476" spans="1:14" s="143" customFormat="1" hidden="1" x14ac:dyDescent="0.25">
      <c r="A476" s="143" t="s">
        <v>712</v>
      </c>
      <c r="B476" s="143" t="s">
        <v>206</v>
      </c>
      <c r="C476" s="143" t="s">
        <v>207</v>
      </c>
      <c r="D476" s="143" t="s">
        <v>69</v>
      </c>
      <c r="E476" s="257">
        <v>367200</v>
      </c>
      <c r="F476" s="257">
        <v>367200</v>
      </c>
      <c r="G476" s="257">
        <v>367200</v>
      </c>
      <c r="H476" s="257">
        <v>361148</v>
      </c>
      <c r="I476" s="257">
        <v>0</v>
      </c>
      <c r="J476" s="257">
        <v>0</v>
      </c>
      <c r="K476" s="257">
        <v>0</v>
      </c>
      <c r="L476" s="257">
        <v>0</v>
      </c>
      <c r="M476" s="257">
        <v>6052</v>
      </c>
      <c r="N476" s="257">
        <v>6052</v>
      </c>
    </row>
    <row r="477" spans="1:14" s="143" customFormat="1" hidden="1" x14ac:dyDescent="0.25">
      <c r="A477" s="143" t="s">
        <v>712</v>
      </c>
      <c r="B477" s="143" t="s">
        <v>208</v>
      </c>
      <c r="C477" s="143" t="s">
        <v>209</v>
      </c>
      <c r="D477" s="143" t="s">
        <v>69</v>
      </c>
      <c r="E477" s="257">
        <v>367200</v>
      </c>
      <c r="F477" s="257">
        <v>367200</v>
      </c>
      <c r="G477" s="257">
        <v>367200</v>
      </c>
      <c r="H477" s="257">
        <v>361148</v>
      </c>
      <c r="I477" s="257">
        <v>0</v>
      </c>
      <c r="J477" s="257">
        <v>0</v>
      </c>
      <c r="K477" s="257">
        <v>0</v>
      </c>
      <c r="L477" s="257">
        <v>0</v>
      </c>
      <c r="M477" s="257">
        <v>6052</v>
      </c>
      <c r="N477" s="257">
        <v>6052</v>
      </c>
    </row>
    <row r="478" spans="1:14" s="143" customFormat="1" hidden="1" x14ac:dyDescent="0.25">
      <c r="A478" s="143" t="s">
        <v>712</v>
      </c>
      <c r="B478" s="143" t="s">
        <v>354</v>
      </c>
      <c r="C478" s="143" t="s">
        <v>355</v>
      </c>
      <c r="D478" s="143" t="s">
        <v>69</v>
      </c>
      <c r="E478" s="257">
        <v>6280000</v>
      </c>
      <c r="F478" s="257">
        <v>6280000</v>
      </c>
      <c r="G478" s="257">
        <v>6280000</v>
      </c>
      <c r="H478" s="257">
        <v>0</v>
      </c>
      <c r="I478" s="257">
        <v>0</v>
      </c>
      <c r="J478" s="257">
        <v>0</v>
      </c>
      <c r="K478" s="257">
        <v>0</v>
      </c>
      <c r="L478" s="257">
        <v>0</v>
      </c>
      <c r="M478" s="257">
        <v>6280000</v>
      </c>
      <c r="N478" s="257">
        <v>6280000</v>
      </c>
    </row>
    <row r="479" spans="1:14" s="143" customFormat="1" hidden="1" x14ac:dyDescent="0.25">
      <c r="A479" s="143" t="s">
        <v>712</v>
      </c>
      <c r="B479" s="143" t="s">
        <v>356</v>
      </c>
      <c r="C479" s="143" t="s">
        <v>357</v>
      </c>
      <c r="D479" s="143" t="s">
        <v>69</v>
      </c>
      <c r="E479" s="257">
        <v>6280000</v>
      </c>
      <c r="F479" s="257">
        <v>6280000</v>
      </c>
      <c r="G479" s="257">
        <v>6280000</v>
      </c>
      <c r="H479" s="257">
        <v>0</v>
      </c>
      <c r="I479" s="257">
        <v>0</v>
      </c>
      <c r="J479" s="257">
        <v>0</v>
      </c>
      <c r="K479" s="257">
        <v>0</v>
      </c>
      <c r="L479" s="257">
        <v>0</v>
      </c>
      <c r="M479" s="257">
        <v>6280000</v>
      </c>
      <c r="N479" s="257">
        <v>6280000</v>
      </c>
    </row>
    <row r="480" spans="1:14" s="143" customFormat="1" hidden="1" x14ac:dyDescent="0.25">
      <c r="A480" s="143" t="s">
        <v>712</v>
      </c>
      <c r="B480" s="143" t="s">
        <v>212</v>
      </c>
      <c r="C480" s="143" t="s">
        <v>213</v>
      </c>
      <c r="D480" s="143" t="s">
        <v>69</v>
      </c>
      <c r="E480" s="257">
        <v>6565770</v>
      </c>
      <c r="F480" s="257">
        <v>6565770</v>
      </c>
      <c r="G480" s="257">
        <v>6565770</v>
      </c>
      <c r="H480" s="257">
        <v>5038600</v>
      </c>
      <c r="I480" s="257">
        <v>0</v>
      </c>
      <c r="J480" s="257">
        <v>0</v>
      </c>
      <c r="K480" s="257">
        <v>0</v>
      </c>
      <c r="L480" s="257">
        <v>0</v>
      </c>
      <c r="M480" s="257">
        <v>1527170</v>
      </c>
      <c r="N480" s="257">
        <v>1527170</v>
      </c>
    </row>
    <row r="481" spans="1:14" s="143" customFormat="1" hidden="1" x14ac:dyDescent="0.25">
      <c r="A481" s="143" t="s">
        <v>712</v>
      </c>
      <c r="B481" s="143" t="s">
        <v>216</v>
      </c>
      <c r="C481" s="143" t="s">
        <v>217</v>
      </c>
      <c r="D481" s="143" t="s">
        <v>69</v>
      </c>
      <c r="E481" s="257">
        <v>1076170</v>
      </c>
      <c r="F481" s="257">
        <v>1076170</v>
      </c>
      <c r="G481" s="257">
        <v>1076170</v>
      </c>
      <c r="H481" s="257">
        <v>0</v>
      </c>
      <c r="I481" s="257">
        <v>0</v>
      </c>
      <c r="J481" s="257">
        <v>0</v>
      </c>
      <c r="K481" s="257">
        <v>0</v>
      </c>
      <c r="L481" s="257">
        <v>0</v>
      </c>
      <c r="M481" s="257">
        <v>1076170</v>
      </c>
      <c r="N481" s="257">
        <v>1076170</v>
      </c>
    </row>
    <row r="482" spans="1:14" s="143" customFormat="1" hidden="1" x14ac:dyDescent="0.25">
      <c r="A482" s="143" t="s">
        <v>712</v>
      </c>
      <c r="B482" s="143" t="s">
        <v>218</v>
      </c>
      <c r="C482" s="143" t="s">
        <v>219</v>
      </c>
      <c r="D482" s="143" t="s">
        <v>69</v>
      </c>
      <c r="E482" s="257">
        <v>333500</v>
      </c>
      <c r="F482" s="257">
        <v>333500</v>
      </c>
      <c r="G482" s="257">
        <v>333500</v>
      </c>
      <c r="H482" s="257">
        <v>0</v>
      </c>
      <c r="I482" s="257">
        <v>0</v>
      </c>
      <c r="J482" s="257">
        <v>0</v>
      </c>
      <c r="K482" s="257">
        <v>0</v>
      </c>
      <c r="L482" s="257">
        <v>0</v>
      </c>
      <c r="M482" s="257">
        <v>333500</v>
      </c>
      <c r="N482" s="257">
        <v>333500</v>
      </c>
    </row>
    <row r="483" spans="1:14" s="143" customFormat="1" hidden="1" x14ac:dyDescent="0.25">
      <c r="A483" s="143" t="s">
        <v>712</v>
      </c>
      <c r="B483" s="143" t="s">
        <v>220</v>
      </c>
      <c r="C483" s="143" t="s">
        <v>221</v>
      </c>
      <c r="D483" s="143" t="s">
        <v>69</v>
      </c>
      <c r="E483" s="257">
        <v>2531700</v>
      </c>
      <c r="F483" s="257">
        <v>2531700</v>
      </c>
      <c r="G483" s="257">
        <v>2531700</v>
      </c>
      <c r="H483" s="257">
        <v>2530600</v>
      </c>
      <c r="I483" s="257">
        <v>0</v>
      </c>
      <c r="J483" s="257">
        <v>0</v>
      </c>
      <c r="K483" s="257">
        <v>0</v>
      </c>
      <c r="L483" s="257">
        <v>0</v>
      </c>
      <c r="M483" s="257">
        <v>1100</v>
      </c>
      <c r="N483" s="257">
        <v>1100</v>
      </c>
    </row>
    <row r="484" spans="1:14" s="143" customFormat="1" hidden="1" x14ac:dyDescent="0.25">
      <c r="A484" s="143" t="s">
        <v>712</v>
      </c>
      <c r="B484" s="143" t="s">
        <v>224</v>
      </c>
      <c r="C484" s="143" t="s">
        <v>225</v>
      </c>
      <c r="D484" s="143" t="s">
        <v>69</v>
      </c>
      <c r="E484" s="257">
        <v>525000</v>
      </c>
      <c r="F484" s="257">
        <v>525000</v>
      </c>
      <c r="G484" s="257">
        <v>525000</v>
      </c>
      <c r="H484" s="257">
        <v>468000</v>
      </c>
      <c r="I484" s="257">
        <v>0</v>
      </c>
      <c r="J484" s="257">
        <v>0</v>
      </c>
      <c r="K484" s="257">
        <v>0</v>
      </c>
      <c r="L484" s="257">
        <v>0</v>
      </c>
      <c r="M484" s="257">
        <v>57000</v>
      </c>
      <c r="N484" s="257">
        <v>57000</v>
      </c>
    </row>
    <row r="485" spans="1:14" s="143" customFormat="1" hidden="1" x14ac:dyDescent="0.25">
      <c r="A485" s="143" t="s">
        <v>712</v>
      </c>
      <c r="B485" s="143" t="s">
        <v>226</v>
      </c>
      <c r="C485" s="143" t="s">
        <v>227</v>
      </c>
      <c r="D485" s="143" t="s">
        <v>69</v>
      </c>
      <c r="E485" s="257">
        <v>2094900</v>
      </c>
      <c r="F485" s="257">
        <v>2094900</v>
      </c>
      <c r="G485" s="257">
        <v>2094900</v>
      </c>
      <c r="H485" s="257">
        <v>2040000</v>
      </c>
      <c r="I485" s="257">
        <v>0</v>
      </c>
      <c r="J485" s="257">
        <v>0</v>
      </c>
      <c r="K485" s="257">
        <v>0</v>
      </c>
      <c r="L485" s="257">
        <v>0</v>
      </c>
      <c r="M485" s="257">
        <v>54900</v>
      </c>
      <c r="N485" s="257">
        <v>54900</v>
      </c>
    </row>
    <row r="486" spans="1:14" s="143" customFormat="1" hidden="1" x14ac:dyDescent="0.25">
      <c r="A486" s="143" t="s">
        <v>712</v>
      </c>
      <c r="B486" s="143" t="s">
        <v>228</v>
      </c>
      <c r="C486" s="143" t="s">
        <v>229</v>
      </c>
      <c r="D486" s="143" t="s">
        <v>69</v>
      </c>
      <c r="E486" s="257">
        <v>4500</v>
      </c>
      <c r="F486" s="257">
        <v>4500</v>
      </c>
      <c r="G486" s="257">
        <v>4500</v>
      </c>
      <c r="H486" s="257">
        <v>0</v>
      </c>
      <c r="I486" s="257">
        <v>0</v>
      </c>
      <c r="J486" s="257">
        <v>0</v>
      </c>
      <c r="K486" s="257">
        <v>0</v>
      </c>
      <c r="L486" s="257">
        <v>0</v>
      </c>
      <c r="M486" s="257">
        <v>4500</v>
      </c>
      <c r="N486" s="257">
        <v>4500</v>
      </c>
    </row>
    <row r="487" spans="1:14" s="143" customFormat="1" hidden="1" x14ac:dyDescent="0.25">
      <c r="A487" s="143" t="s">
        <v>712</v>
      </c>
      <c r="B487" s="143" t="s">
        <v>230</v>
      </c>
      <c r="C487" s="143" t="s">
        <v>231</v>
      </c>
      <c r="D487" s="143" t="s">
        <v>85</v>
      </c>
      <c r="E487" s="257">
        <v>10612500</v>
      </c>
      <c r="F487" s="257">
        <v>10612500</v>
      </c>
      <c r="G487" s="257">
        <v>10612500</v>
      </c>
      <c r="H487" s="257">
        <v>0</v>
      </c>
      <c r="I487" s="257">
        <v>4560000</v>
      </c>
      <c r="J487" s="257">
        <v>0</v>
      </c>
      <c r="K487" s="257">
        <v>0</v>
      </c>
      <c r="L487" s="257">
        <v>0</v>
      </c>
      <c r="M487" s="257">
        <v>6052500</v>
      </c>
      <c r="N487" s="257">
        <v>6052500</v>
      </c>
    </row>
    <row r="488" spans="1:14" s="143" customFormat="1" hidden="1" x14ac:dyDescent="0.25">
      <c r="A488" s="143" t="s">
        <v>712</v>
      </c>
      <c r="B488" s="143" t="s">
        <v>232</v>
      </c>
      <c r="C488" s="143" t="s">
        <v>233</v>
      </c>
      <c r="D488" s="143" t="s">
        <v>85</v>
      </c>
      <c r="E488" s="257">
        <v>10612500</v>
      </c>
      <c r="F488" s="257">
        <v>10612500</v>
      </c>
      <c r="G488" s="257">
        <v>10612500</v>
      </c>
      <c r="H488" s="257">
        <v>0</v>
      </c>
      <c r="I488" s="257">
        <v>4560000</v>
      </c>
      <c r="J488" s="257">
        <v>0</v>
      </c>
      <c r="K488" s="257">
        <v>0</v>
      </c>
      <c r="L488" s="257">
        <v>0</v>
      </c>
      <c r="M488" s="257">
        <v>6052500</v>
      </c>
      <c r="N488" s="257">
        <v>6052500</v>
      </c>
    </row>
    <row r="489" spans="1:14" s="143" customFormat="1" hidden="1" x14ac:dyDescent="0.25">
      <c r="A489" s="143" t="s">
        <v>712</v>
      </c>
      <c r="B489" s="143" t="s">
        <v>234</v>
      </c>
      <c r="C489" s="143" t="s">
        <v>235</v>
      </c>
      <c r="D489" s="143" t="s">
        <v>85</v>
      </c>
      <c r="E489" s="257">
        <v>6650000</v>
      </c>
      <c r="F489" s="257">
        <v>6650000</v>
      </c>
      <c r="G489" s="257">
        <v>6650000</v>
      </c>
      <c r="H489" s="257">
        <v>0</v>
      </c>
      <c r="I489" s="257">
        <v>4560000</v>
      </c>
      <c r="J489" s="257">
        <v>0</v>
      </c>
      <c r="K489" s="257">
        <v>0</v>
      </c>
      <c r="L489" s="257">
        <v>0</v>
      </c>
      <c r="M489" s="257">
        <v>2090000</v>
      </c>
      <c r="N489" s="257">
        <v>2090000</v>
      </c>
    </row>
    <row r="490" spans="1:14" s="143" customFormat="1" hidden="1" x14ac:dyDescent="0.25">
      <c r="A490" s="143" t="s">
        <v>712</v>
      </c>
      <c r="B490" s="143" t="s">
        <v>326</v>
      </c>
      <c r="C490" s="143" t="s">
        <v>327</v>
      </c>
      <c r="D490" s="143" t="s">
        <v>85</v>
      </c>
      <c r="E490" s="257">
        <v>760000</v>
      </c>
      <c r="F490" s="257">
        <v>760000</v>
      </c>
      <c r="G490" s="257">
        <v>760000</v>
      </c>
      <c r="H490" s="257">
        <v>0</v>
      </c>
      <c r="I490" s="257">
        <v>0</v>
      </c>
      <c r="J490" s="257">
        <v>0</v>
      </c>
      <c r="K490" s="257">
        <v>0</v>
      </c>
      <c r="L490" s="257">
        <v>0</v>
      </c>
      <c r="M490" s="257">
        <v>760000</v>
      </c>
      <c r="N490" s="257">
        <v>760000</v>
      </c>
    </row>
    <row r="491" spans="1:14" s="143" customFormat="1" hidden="1" x14ac:dyDescent="0.25">
      <c r="A491" s="143" t="s">
        <v>712</v>
      </c>
      <c r="B491" s="143" t="s">
        <v>242</v>
      </c>
      <c r="C491" s="143" t="s">
        <v>243</v>
      </c>
      <c r="D491" s="143" t="s">
        <v>85</v>
      </c>
      <c r="E491" s="257">
        <v>3202500</v>
      </c>
      <c r="F491" s="257">
        <v>3202500</v>
      </c>
      <c r="G491" s="257">
        <v>3202500</v>
      </c>
      <c r="H491" s="257">
        <v>0</v>
      </c>
      <c r="I491" s="257">
        <v>0</v>
      </c>
      <c r="J491" s="257">
        <v>0</v>
      </c>
      <c r="K491" s="257">
        <v>0</v>
      </c>
      <c r="L491" s="257">
        <v>0</v>
      </c>
      <c r="M491" s="257">
        <v>3202500</v>
      </c>
      <c r="N491" s="257">
        <v>3202500</v>
      </c>
    </row>
    <row r="492" spans="1:14" s="143" customFormat="1" hidden="1" x14ac:dyDescent="0.25">
      <c r="A492" s="143" t="s">
        <v>712</v>
      </c>
      <c r="B492" s="143" t="s">
        <v>248</v>
      </c>
      <c r="C492" s="143" t="s">
        <v>249</v>
      </c>
      <c r="D492" s="143" t="s">
        <v>69</v>
      </c>
      <c r="E492" s="257">
        <v>21838204</v>
      </c>
      <c r="F492" s="257">
        <v>21451264</v>
      </c>
      <c r="G492" s="257">
        <v>21337973</v>
      </c>
      <c r="H492" s="257">
        <v>0</v>
      </c>
      <c r="I492" s="257">
        <v>11208575</v>
      </c>
      <c r="J492" s="257">
        <v>0</v>
      </c>
      <c r="K492" s="257">
        <v>5447289</v>
      </c>
      <c r="L492" s="257">
        <v>5447289</v>
      </c>
      <c r="M492" s="257">
        <v>4795400</v>
      </c>
      <c r="N492" s="257">
        <v>4682109</v>
      </c>
    </row>
    <row r="493" spans="1:14" s="143" customFormat="1" hidden="1" x14ac:dyDescent="0.25">
      <c r="A493" s="143" t="s">
        <v>712</v>
      </c>
      <c r="B493" s="143" t="s">
        <v>250</v>
      </c>
      <c r="C493" s="143" t="s">
        <v>251</v>
      </c>
      <c r="D493" s="143" t="s">
        <v>69</v>
      </c>
      <c r="E493" s="257">
        <v>16338204</v>
      </c>
      <c r="F493" s="257">
        <v>15951264</v>
      </c>
      <c r="G493" s="257">
        <v>15837973</v>
      </c>
      <c r="H493" s="257">
        <v>0</v>
      </c>
      <c r="I493" s="257">
        <v>11208575</v>
      </c>
      <c r="J493" s="257">
        <v>0</v>
      </c>
      <c r="K493" s="257">
        <v>4629398</v>
      </c>
      <c r="L493" s="257">
        <v>4629398</v>
      </c>
      <c r="M493" s="257">
        <v>113291</v>
      </c>
      <c r="N493" s="257">
        <v>0</v>
      </c>
    </row>
    <row r="494" spans="1:14" s="143" customFormat="1" hidden="1" x14ac:dyDescent="0.25">
      <c r="A494" s="143" t="s">
        <v>712</v>
      </c>
      <c r="B494" s="143" t="s">
        <v>631</v>
      </c>
      <c r="C494" s="143" t="s">
        <v>702</v>
      </c>
      <c r="D494" s="143" t="s">
        <v>69</v>
      </c>
      <c r="E494" s="257">
        <v>13877686</v>
      </c>
      <c r="F494" s="257">
        <v>13549019</v>
      </c>
      <c r="G494" s="257">
        <v>13452790</v>
      </c>
      <c r="H494" s="257">
        <v>0</v>
      </c>
      <c r="I494" s="257">
        <v>9539639</v>
      </c>
      <c r="J494" s="257">
        <v>0</v>
      </c>
      <c r="K494" s="257">
        <v>3913151</v>
      </c>
      <c r="L494" s="257">
        <v>3913151</v>
      </c>
      <c r="M494" s="257">
        <v>96229</v>
      </c>
      <c r="N494" s="257">
        <v>0</v>
      </c>
    </row>
    <row r="495" spans="1:14" s="143" customFormat="1" hidden="1" x14ac:dyDescent="0.25">
      <c r="A495" s="143" t="s">
        <v>712</v>
      </c>
      <c r="B495" s="143" t="s">
        <v>646</v>
      </c>
      <c r="C495" s="143" t="s">
        <v>703</v>
      </c>
      <c r="D495" s="143" t="s">
        <v>69</v>
      </c>
      <c r="E495" s="257">
        <v>2460518</v>
      </c>
      <c r="F495" s="257">
        <v>2402245</v>
      </c>
      <c r="G495" s="257">
        <v>2385183</v>
      </c>
      <c r="H495" s="257">
        <v>0</v>
      </c>
      <c r="I495" s="257">
        <v>1668936</v>
      </c>
      <c r="J495" s="257">
        <v>0</v>
      </c>
      <c r="K495" s="257">
        <v>716247</v>
      </c>
      <c r="L495" s="257">
        <v>716247</v>
      </c>
      <c r="M495" s="257">
        <v>17062</v>
      </c>
      <c r="N495" s="257">
        <v>0</v>
      </c>
    </row>
    <row r="496" spans="1:14" s="143" customFormat="1" hidden="1" x14ac:dyDescent="0.25">
      <c r="A496" s="143" t="s">
        <v>712</v>
      </c>
      <c r="B496" s="143" t="s">
        <v>260</v>
      </c>
      <c r="C496" s="143" t="s">
        <v>261</v>
      </c>
      <c r="D496" s="143" t="s">
        <v>69</v>
      </c>
      <c r="E496" s="257">
        <v>5500000</v>
      </c>
      <c r="F496" s="257">
        <v>5500000</v>
      </c>
      <c r="G496" s="257">
        <v>5500000</v>
      </c>
      <c r="H496" s="257">
        <v>0</v>
      </c>
      <c r="I496" s="257">
        <v>0</v>
      </c>
      <c r="J496" s="257">
        <v>0</v>
      </c>
      <c r="K496" s="257">
        <v>817891</v>
      </c>
      <c r="L496" s="257">
        <v>817891</v>
      </c>
      <c r="M496" s="257">
        <v>4682109</v>
      </c>
      <c r="N496" s="257">
        <v>4682109</v>
      </c>
    </row>
    <row r="497" spans="1:14" s="143" customFormat="1" hidden="1" x14ac:dyDescent="0.25">
      <c r="A497" s="143" t="s">
        <v>712</v>
      </c>
      <c r="B497" s="143" t="s">
        <v>264</v>
      </c>
      <c r="C497" s="143" t="s">
        <v>265</v>
      </c>
      <c r="D497" s="143" t="s">
        <v>69</v>
      </c>
      <c r="E497" s="257">
        <v>5500000</v>
      </c>
      <c r="F497" s="257">
        <v>5500000</v>
      </c>
      <c r="G497" s="257">
        <v>5500000</v>
      </c>
      <c r="H497" s="257">
        <v>0</v>
      </c>
      <c r="I497" s="257">
        <v>0</v>
      </c>
      <c r="J497" s="257">
        <v>0</v>
      </c>
      <c r="K497" s="257">
        <v>817891</v>
      </c>
      <c r="L497" s="257">
        <v>817891</v>
      </c>
      <c r="M497" s="257">
        <v>4682109</v>
      </c>
      <c r="N497" s="257">
        <v>4682109</v>
      </c>
    </row>
    <row r="498" spans="1:14" s="143" customFormat="1" x14ac:dyDescent="0.25">
      <c r="A498" s="44">
        <v>214789003</v>
      </c>
      <c r="D498" s="44" t="s">
        <v>69</v>
      </c>
      <c r="E498" s="257">
        <v>1434240030</v>
      </c>
      <c r="F498" s="50">
        <v>1423727288</v>
      </c>
      <c r="G498" s="257">
        <v>1292553586</v>
      </c>
      <c r="H498" s="50">
        <v>0</v>
      </c>
      <c r="I498" s="50">
        <v>166968543.75</v>
      </c>
      <c r="J498" s="50">
        <v>11553366.869999999</v>
      </c>
      <c r="K498" s="50">
        <v>419868481.33999997</v>
      </c>
      <c r="L498" s="50">
        <v>419868481.33999997</v>
      </c>
      <c r="M498" s="50">
        <v>825336896.03999996</v>
      </c>
      <c r="N498" s="257">
        <v>694163194.03999996</v>
      </c>
    </row>
    <row r="499" spans="1:14" s="143" customFormat="1" hidden="1" x14ac:dyDescent="0.25">
      <c r="A499" s="143" t="s">
        <v>713</v>
      </c>
      <c r="B499" s="143" t="s">
        <v>71</v>
      </c>
      <c r="C499" s="143" t="s">
        <v>72</v>
      </c>
      <c r="D499" s="143" t="s">
        <v>69</v>
      </c>
      <c r="E499" s="257">
        <v>1171265212</v>
      </c>
      <c r="F499" s="257">
        <v>1160887237</v>
      </c>
      <c r="G499" s="257">
        <v>1152605746</v>
      </c>
      <c r="H499" s="257">
        <v>0</v>
      </c>
      <c r="I499" s="257">
        <v>126256278</v>
      </c>
      <c r="J499" s="257">
        <v>0</v>
      </c>
      <c r="K499" s="257">
        <v>367126704.24000001</v>
      </c>
      <c r="L499" s="257">
        <v>367126704.24000001</v>
      </c>
      <c r="M499" s="257">
        <v>667504254.75999999</v>
      </c>
      <c r="N499" s="257">
        <v>659222763.75999999</v>
      </c>
    </row>
    <row r="500" spans="1:14" s="143" customFormat="1" hidden="1" x14ac:dyDescent="0.25">
      <c r="A500" s="143" t="s">
        <v>713</v>
      </c>
      <c r="B500" s="143" t="s">
        <v>73</v>
      </c>
      <c r="C500" s="143" t="s">
        <v>74</v>
      </c>
      <c r="D500" s="143" t="s">
        <v>69</v>
      </c>
      <c r="E500" s="257">
        <v>419650432</v>
      </c>
      <c r="F500" s="257">
        <v>414102244</v>
      </c>
      <c r="G500" s="257">
        <v>414102244</v>
      </c>
      <c r="H500" s="257">
        <v>0</v>
      </c>
      <c r="I500" s="257">
        <v>0</v>
      </c>
      <c r="J500" s="257">
        <v>0</v>
      </c>
      <c r="K500" s="257">
        <v>132140212.34999999</v>
      </c>
      <c r="L500" s="257">
        <v>132140212.34999999</v>
      </c>
      <c r="M500" s="257">
        <v>281962031.64999998</v>
      </c>
      <c r="N500" s="257">
        <v>281962031.64999998</v>
      </c>
    </row>
    <row r="501" spans="1:14" s="143" customFormat="1" hidden="1" x14ac:dyDescent="0.25">
      <c r="A501" s="143" t="s">
        <v>713</v>
      </c>
      <c r="B501" s="143" t="s">
        <v>75</v>
      </c>
      <c r="C501" s="143" t="s">
        <v>76</v>
      </c>
      <c r="D501" s="143" t="s">
        <v>69</v>
      </c>
      <c r="E501" s="257">
        <v>419650432</v>
      </c>
      <c r="F501" s="257">
        <v>414102244</v>
      </c>
      <c r="G501" s="257">
        <v>414102244</v>
      </c>
      <c r="H501" s="257">
        <v>0</v>
      </c>
      <c r="I501" s="257">
        <v>0</v>
      </c>
      <c r="J501" s="257">
        <v>0</v>
      </c>
      <c r="K501" s="257">
        <v>132140212.34999999</v>
      </c>
      <c r="L501" s="257">
        <v>132140212.34999999</v>
      </c>
      <c r="M501" s="257">
        <v>281962031.64999998</v>
      </c>
      <c r="N501" s="257">
        <v>281962031.64999998</v>
      </c>
    </row>
    <row r="502" spans="1:14" s="143" customFormat="1" hidden="1" x14ac:dyDescent="0.25">
      <c r="A502" s="143" t="s">
        <v>713</v>
      </c>
      <c r="B502" s="143" t="s">
        <v>293</v>
      </c>
      <c r="C502" s="143" t="s">
        <v>294</v>
      </c>
      <c r="D502" s="143" t="s">
        <v>69</v>
      </c>
      <c r="E502" s="257">
        <v>5204100</v>
      </c>
      <c r="F502" s="257">
        <v>5204100</v>
      </c>
      <c r="G502" s="257">
        <v>5204100</v>
      </c>
      <c r="H502" s="257">
        <v>0</v>
      </c>
      <c r="I502" s="257">
        <v>0</v>
      </c>
      <c r="J502" s="257">
        <v>0</v>
      </c>
      <c r="K502" s="257">
        <v>0</v>
      </c>
      <c r="L502" s="257">
        <v>0</v>
      </c>
      <c r="M502" s="257">
        <v>5204100</v>
      </c>
      <c r="N502" s="257">
        <v>5204100</v>
      </c>
    </row>
    <row r="503" spans="1:14" s="143" customFormat="1" hidden="1" x14ac:dyDescent="0.25">
      <c r="A503" s="143" t="s">
        <v>713</v>
      </c>
      <c r="B503" s="143" t="s">
        <v>339</v>
      </c>
      <c r="C503" s="143" t="s">
        <v>340</v>
      </c>
      <c r="D503" s="143" t="s">
        <v>69</v>
      </c>
      <c r="E503" s="257">
        <v>5204100</v>
      </c>
      <c r="F503" s="257">
        <v>5204100</v>
      </c>
      <c r="G503" s="257">
        <v>5204100</v>
      </c>
      <c r="H503" s="257">
        <v>0</v>
      </c>
      <c r="I503" s="257">
        <v>0</v>
      </c>
      <c r="J503" s="257">
        <v>0</v>
      </c>
      <c r="K503" s="257">
        <v>0</v>
      </c>
      <c r="L503" s="257">
        <v>0</v>
      </c>
      <c r="M503" s="257">
        <v>5204100</v>
      </c>
      <c r="N503" s="257">
        <v>5204100</v>
      </c>
    </row>
    <row r="504" spans="1:14" s="143" customFormat="1" hidden="1" x14ac:dyDescent="0.25">
      <c r="A504" s="143" t="s">
        <v>713</v>
      </c>
      <c r="B504" s="143" t="s">
        <v>77</v>
      </c>
      <c r="C504" s="143" t="s">
        <v>78</v>
      </c>
      <c r="D504" s="143" t="s">
        <v>69</v>
      </c>
      <c r="E504" s="257">
        <v>567738543</v>
      </c>
      <c r="F504" s="257">
        <v>564491876</v>
      </c>
      <c r="G504" s="257">
        <v>557473696</v>
      </c>
      <c r="H504" s="257">
        <v>0</v>
      </c>
      <c r="I504" s="257">
        <v>0</v>
      </c>
      <c r="J504" s="257">
        <v>0</v>
      </c>
      <c r="K504" s="257">
        <v>185417063.88999999</v>
      </c>
      <c r="L504" s="257">
        <v>185417063.88999999</v>
      </c>
      <c r="M504" s="257">
        <v>379074812.11000001</v>
      </c>
      <c r="N504" s="257">
        <v>372056632.11000001</v>
      </c>
    </row>
    <row r="505" spans="1:14" s="143" customFormat="1" hidden="1" x14ac:dyDescent="0.25">
      <c r="A505" s="143" t="s">
        <v>713</v>
      </c>
      <c r="B505" s="143" t="s">
        <v>79</v>
      </c>
      <c r="C505" s="143" t="s">
        <v>80</v>
      </c>
      <c r="D505" s="143" t="s">
        <v>69</v>
      </c>
      <c r="E505" s="257">
        <v>176537100</v>
      </c>
      <c r="F505" s="257">
        <v>176537100</v>
      </c>
      <c r="G505" s="257">
        <v>170058581</v>
      </c>
      <c r="H505" s="257">
        <v>0</v>
      </c>
      <c r="I505" s="257">
        <v>0</v>
      </c>
      <c r="J505" s="257">
        <v>0</v>
      </c>
      <c r="K505" s="257">
        <v>49989018.280000001</v>
      </c>
      <c r="L505" s="257">
        <v>49989018.280000001</v>
      </c>
      <c r="M505" s="257">
        <v>126548081.72</v>
      </c>
      <c r="N505" s="257">
        <v>120069562.72</v>
      </c>
    </row>
    <row r="506" spans="1:14" s="143" customFormat="1" hidden="1" x14ac:dyDescent="0.25">
      <c r="A506" s="143" t="s">
        <v>713</v>
      </c>
      <c r="B506" s="143" t="s">
        <v>81</v>
      </c>
      <c r="C506" s="143" t="s">
        <v>82</v>
      </c>
      <c r="D506" s="143" t="s">
        <v>69</v>
      </c>
      <c r="E506" s="257">
        <v>145353690</v>
      </c>
      <c r="F506" s="257">
        <v>142783300</v>
      </c>
      <c r="G506" s="257">
        <v>142783300</v>
      </c>
      <c r="H506" s="257">
        <v>0</v>
      </c>
      <c r="I506" s="257">
        <v>0</v>
      </c>
      <c r="J506" s="257">
        <v>0</v>
      </c>
      <c r="K506" s="257">
        <v>41815155.829999998</v>
      </c>
      <c r="L506" s="257">
        <v>41815155.829999998</v>
      </c>
      <c r="M506" s="257">
        <v>100968144.17</v>
      </c>
      <c r="N506" s="257">
        <v>100968144.17</v>
      </c>
    </row>
    <row r="507" spans="1:14" s="143" customFormat="1" hidden="1" x14ac:dyDescent="0.25">
      <c r="A507" s="143" t="s">
        <v>713</v>
      </c>
      <c r="B507" s="143" t="s">
        <v>83</v>
      </c>
      <c r="C507" s="143" t="s">
        <v>84</v>
      </c>
      <c r="D507" s="143" t="s">
        <v>85</v>
      </c>
      <c r="E507" s="257">
        <v>76324653</v>
      </c>
      <c r="F507" s="257">
        <v>75648376</v>
      </c>
      <c r="G507" s="257">
        <v>75108715</v>
      </c>
      <c r="H507" s="257">
        <v>0</v>
      </c>
      <c r="I507" s="257">
        <v>0</v>
      </c>
      <c r="J507" s="257">
        <v>0</v>
      </c>
      <c r="K507" s="257">
        <v>0</v>
      </c>
      <c r="L507" s="257">
        <v>0</v>
      </c>
      <c r="M507" s="257">
        <v>75648376</v>
      </c>
      <c r="N507" s="257">
        <v>75108715</v>
      </c>
    </row>
    <row r="508" spans="1:14" s="143" customFormat="1" hidden="1" x14ac:dyDescent="0.25">
      <c r="A508" s="143" t="s">
        <v>713</v>
      </c>
      <c r="B508" s="143" t="s">
        <v>86</v>
      </c>
      <c r="C508" s="143" t="s">
        <v>87</v>
      </c>
      <c r="D508" s="143" t="s">
        <v>69</v>
      </c>
      <c r="E508" s="257">
        <v>70126000</v>
      </c>
      <c r="F508" s="257">
        <v>70126000</v>
      </c>
      <c r="G508" s="257">
        <v>70126000</v>
      </c>
      <c r="H508" s="257">
        <v>0</v>
      </c>
      <c r="I508" s="257">
        <v>0</v>
      </c>
      <c r="J508" s="257">
        <v>0</v>
      </c>
      <c r="K508" s="257">
        <v>62351269.950000003</v>
      </c>
      <c r="L508" s="257">
        <v>62351269.950000003</v>
      </c>
      <c r="M508" s="257">
        <v>7774730.0499999998</v>
      </c>
      <c r="N508" s="257">
        <v>7774730.0499999998</v>
      </c>
    </row>
    <row r="509" spans="1:14" s="143" customFormat="1" hidden="1" x14ac:dyDescent="0.25">
      <c r="A509" s="143" t="s">
        <v>713</v>
      </c>
      <c r="B509" s="143" t="s">
        <v>88</v>
      </c>
      <c r="C509" s="143" t="s">
        <v>89</v>
      </c>
      <c r="D509" s="143" t="s">
        <v>69</v>
      </c>
      <c r="E509" s="257">
        <v>99397100</v>
      </c>
      <c r="F509" s="257">
        <v>99397100</v>
      </c>
      <c r="G509" s="257">
        <v>99397100</v>
      </c>
      <c r="H509" s="257">
        <v>0</v>
      </c>
      <c r="I509" s="257">
        <v>0</v>
      </c>
      <c r="J509" s="257">
        <v>0</v>
      </c>
      <c r="K509" s="257">
        <v>31261619.829999998</v>
      </c>
      <c r="L509" s="257">
        <v>31261619.829999998</v>
      </c>
      <c r="M509" s="257">
        <v>68135480.170000002</v>
      </c>
      <c r="N509" s="257">
        <v>68135480.170000002</v>
      </c>
    </row>
    <row r="510" spans="1:14" s="143" customFormat="1" hidden="1" x14ac:dyDescent="0.25">
      <c r="A510" s="143" t="s">
        <v>713</v>
      </c>
      <c r="B510" s="143" t="s">
        <v>90</v>
      </c>
      <c r="C510" s="143" t="s">
        <v>91</v>
      </c>
      <c r="D510" s="143" t="s">
        <v>69</v>
      </c>
      <c r="E510" s="257">
        <v>89336069</v>
      </c>
      <c r="F510" s="257">
        <v>88544509</v>
      </c>
      <c r="G510" s="257">
        <v>87912853</v>
      </c>
      <c r="H510" s="257">
        <v>0</v>
      </c>
      <c r="I510" s="257">
        <v>63074297</v>
      </c>
      <c r="J510" s="257">
        <v>0</v>
      </c>
      <c r="K510" s="257">
        <v>24838556</v>
      </c>
      <c r="L510" s="257">
        <v>24838556</v>
      </c>
      <c r="M510" s="257">
        <v>631656</v>
      </c>
      <c r="N510" s="257">
        <v>0</v>
      </c>
    </row>
    <row r="511" spans="1:14" s="143" customFormat="1" hidden="1" x14ac:dyDescent="0.25">
      <c r="A511" s="143" t="s">
        <v>713</v>
      </c>
      <c r="B511" s="143" t="s">
        <v>423</v>
      </c>
      <c r="C511" s="143" t="s">
        <v>697</v>
      </c>
      <c r="D511" s="143" t="s">
        <v>69</v>
      </c>
      <c r="E511" s="257">
        <v>84754804</v>
      </c>
      <c r="F511" s="257">
        <v>84003836</v>
      </c>
      <c r="G511" s="257">
        <v>83404573</v>
      </c>
      <c r="H511" s="257">
        <v>0</v>
      </c>
      <c r="I511" s="257">
        <v>59839789</v>
      </c>
      <c r="J511" s="257">
        <v>0</v>
      </c>
      <c r="K511" s="257">
        <v>23564784</v>
      </c>
      <c r="L511" s="257">
        <v>23564784</v>
      </c>
      <c r="M511" s="257">
        <v>599263</v>
      </c>
      <c r="N511" s="257">
        <v>0</v>
      </c>
    </row>
    <row r="512" spans="1:14" s="143" customFormat="1" hidden="1" x14ac:dyDescent="0.25">
      <c r="A512" s="143" t="s">
        <v>713</v>
      </c>
      <c r="B512" s="143" t="s">
        <v>440</v>
      </c>
      <c r="C512" s="143" t="s">
        <v>95</v>
      </c>
      <c r="D512" s="143" t="s">
        <v>69</v>
      </c>
      <c r="E512" s="257">
        <v>4581265</v>
      </c>
      <c r="F512" s="257">
        <v>4540673</v>
      </c>
      <c r="G512" s="257">
        <v>4508280</v>
      </c>
      <c r="H512" s="257">
        <v>0</v>
      </c>
      <c r="I512" s="257">
        <v>3234508</v>
      </c>
      <c r="J512" s="257">
        <v>0</v>
      </c>
      <c r="K512" s="257">
        <v>1273772</v>
      </c>
      <c r="L512" s="257">
        <v>1273772</v>
      </c>
      <c r="M512" s="257">
        <v>32393</v>
      </c>
      <c r="N512" s="257">
        <v>0</v>
      </c>
    </row>
    <row r="513" spans="1:14" s="143" customFormat="1" hidden="1" x14ac:dyDescent="0.25">
      <c r="A513" s="143" t="s">
        <v>713</v>
      </c>
      <c r="B513" s="143" t="s">
        <v>96</v>
      </c>
      <c r="C513" s="143" t="s">
        <v>97</v>
      </c>
      <c r="D513" s="143" t="s">
        <v>69</v>
      </c>
      <c r="E513" s="257">
        <v>89336068</v>
      </c>
      <c r="F513" s="257">
        <v>88544508</v>
      </c>
      <c r="G513" s="257">
        <v>87912853</v>
      </c>
      <c r="H513" s="257">
        <v>0</v>
      </c>
      <c r="I513" s="257">
        <v>63181981</v>
      </c>
      <c r="J513" s="257">
        <v>0</v>
      </c>
      <c r="K513" s="257">
        <v>24730872</v>
      </c>
      <c r="L513" s="257">
        <v>24730872</v>
      </c>
      <c r="M513" s="257">
        <v>631655</v>
      </c>
      <c r="N513" s="257">
        <v>0</v>
      </c>
    </row>
    <row r="514" spans="1:14" s="143" customFormat="1" hidden="1" x14ac:dyDescent="0.25">
      <c r="A514" s="143" t="s">
        <v>713</v>
      </c>
      <c r="B514" s="143" t="s">
        <v>458</v>
      </c>
      <c r="C514" s="143" t="s">
        <v>698</v>
      </c>
      <c r="D514" s="143" t="s">
        <v>69</v>
      </c>
      <c r="E514" s="257">
        <v>48104083</v>
      </c>
      <c r="F514" s="257">
        <v>47677858</v>
      </c>
      <c r="G514" s="257">
        <v>47337736</v>
      </c>
      <c r="H514" s="257">
        <v>0</v>
      </c>
      <c r="I514" s="257">
        <v>34070813</v>
      </c>
      <c r="J514" s="257">
        <v>0</v>
      </c>
      <c r="K514" s="257">
        <v>13266923</v>
      </c>
      <c r="L514" s="257">
        <v>13266923</v>
      </c>
      <c r="M514" s="257">
        <v>340122</v>
      </c>
      <c r="N514" s="257">
        <v>0</v>
      </c>
    </row>
    <row r="515" spans="1:14" s="143" customFormat="1" hidden="1" x14ac:dyDescent="0.25">
      <c r="A515" s="143" t="s">
        <v>713</v>
      </c>
      <c r="B515" s="143" t="s">
        <v>475</v>
      </c>
      <c r="C515" s="143" t="s">
        <v>699</v>
      </c>
      <c r="D515" s="143" t="s">
        <v>69</v>
      </c>
      <c r="E515" s="257">
        <v>13743995</v>
      </c>
      <c r="F515" s="257">
        <v>13622217</v>
      </c>
      <c r="G515" s="257">
        <v>13525039</v>
      </c>
      <c r="H515" s="257">
        <v>0</v>
      </c>
      <c r="I515" s="257">
        <v>9703723</v>
      </c>
      <c r="J515" s="257">
        <v>0</v>
      </c>
      <c r="K515" s="257">
        <v>3821316</v>
      </c>
      <c r="L515" s="257">
        <v>3821316</v>
      </c>
      <c r="M515" s="257">
        <v>97178</v>
      </c>
      <c r="N515" s="257">
        <v>0</v>
      </c>
    </row>
    <row r="516" spans="1:14" s="143" customFormat="1" hidden="1" x14ac:dyDescent="0.25">
      <c r="A516" s="143" t="s">
        <v>713</v>
      </c>
      <c r="B516" s="143" t="s">
        <v>492</v>
      </c>
      <c r="C516" s="143" t="s">
        <v>700</v>
      </c>
      <c r="D516" s="143" t="s">
        <v>69</v>
      </c>
      <c r="E516" s="257">
        <v>27487990</v>
      </c>
      <c r="F516" s="257">
        <v>27244433</v>
      </c>
      <c r="G516" s="257">
        <v>27050078</v>
      </c>
      <c r="H516" s="257">
        <v>0</v>
      </c>
      <c r="I516" s="257">
        <v>19407445</v>
      </c>
      <c r="J516" s="257">
        <v>0</v>
      </c>
      <c r="K516" s="257">
        <v>7642633</v>
      </c>
      <c r="L516" s="257">
        <v>7642633</v>
      </c>
      <c r="M516" s="257">
        <v>194355</v>
      </c>
      <c r="N516" s="257">
        <v>0</v>
      </c>
    </row>
    <row r="517" spans="1:14" s="143" customFormat="1" hidden="1" x14ac:dyDescent="0.25">
      <c r="A517" s="143" t="s">
        <v>713</v>
      </c>
      <c r="B517" s="143" t="s">
        <v>104</v>
      </c>
      <c r="C517" s="143" t="s">
        <v>105</v>
      </c>
      <c r="D517" s="143" t="s">
        <v>69</v>
      </c>
      <c r="E517" s="257">
        <v>92630000</v>
      </c>
      <c r="F517" s="257">
        <v>92630000</v>
      </c>
      <c r="G517" s="257">
        <v>46815000</v>
      </c>
      <c r="H517" s="257">
        <v>0</v>
      </c>
      <c r="I517" s="257">
        <v>25248683.699999999</v>
      </c>
      <c r="J517" s="257">
        <v>0</v>
      </c>
      <c r="K517" s="257">
        <v>19898406.300000001</v>
      </c>
      <c r="L517" s="257">
        <v>19898406.300000001</v>
      </c>
      <c r="M517" s="257">
        <v>47482910</v>
      </c>
      <c r="N517" s="257">
        <v>1667910</v>
      </c>
    </row>
    <row r="518" spans="1:14" s="143" customFormat="1" hidden="1" x14ac:dyDescent="0.25">
      <c r="A518" s="143" t="s">
        <v>713</v>
      </c>
      <c r="B518" s="143" t="s">
        <v>112</v>
      </c>
      <c r="C518" s="143" t="s">
        <v>113</v>
      </c>
      <c r="D518" s="143" t="s">
        <v>69</v>
      </c>
      <c r="E518" s="257">
        <v>92630000</v>
      </c>
      <c r="F518" s="257">
        <v>92630000</v>
      </c>
      <c r="G518" s="257">
        <v>46815000</v>
      </c>
      <c r="H518" s="257">
        <v>0</v>
      </c>
      <c r="I518" s="257">
        <v>25248683.699999999</v>
      </c>
      <c r="J518" s="257">
        <v>0</v>
      </c>
      <c r="K518" s="257">
        <v>19898406.300000001</v>
      </c>
      <c r="L518" s="257">
        <v>19898406.300000001</v>
      </c>
      <c r="M518" s="257">
        <v>47482910</v>
      </c>
      <c r="N518" s="257">
        <v>1667910</v>
      </c>
    </row>
    <row r="519" spans="1:14" s="143" customFormat="1" hidden="1" x14ac:dyDescent="0.25">
      <c r="A519" s="143" t="s">
        <v>713</v>
      </c>
      <c r="B519" s="143" t="s">
        <v>114</v>
      </c>
      <c r="C519" s="143" t="s">
        <v>115</v>
      </c>
      <c r="D519" s="143" t="s">
        <v>69</v>
      </c>
      <c r="E519" s="257">
        <v>54520000</v>
      </c>
      <c r="F519" s="257">
        <v>54520000</v>
      </c>
      <c r="G519" s="257">
        <v>27260000</v>
      </c>
      <c r="H519" s="257">
        <v>0</v>
      </c>
      <c r="I519" s="257">
        <v>10135069</v>
      </c>
      <c r="J519" s="257">
        <v>0</v>
      </c>
      <c r="K519" s="257">
        <v>17124931</v>
      </c>
      <c r="L519" s="257">
        <v>17124931</v>
      </c>
      <c r="M519" s="257">
        <v>27260000</v>
      </c>
      <c r="N519" s="257">
        <v>0</v>
      </c>
    </row>
    <row r="520" spans="1:14" s="143" customFormat="1" hidden="1" x14ac:dyDescent="0.25">
      <c r="A520" s="143" t="s">
        <v>713</v>
      </c>
      <c r="B520" s="143" t="s">
        <v>116</v>
      </c>
      <c r="C520" s="143" t="s">
        <v>117</v>
      </c>
      <c r="D520" s="143" t="s">
        <v>69</v>
      </c>
      <c r="E520" s="257">
        <v>34800000</v>
      </c>
      <c r="F520" s="257">
        <v>34800000</v>
      </c>
      <c r="G520" s="257">
        <v>17400000</v>
      </c>
      <c r="H520" s="257">
        <v>0</v>
      </c>
      <c r="I520" s="257">
        <v>14626524.699999999</v>
      </c>
      <c r="J520" s="257">
        <v>0</v>
      </c>
      <c r="K520" s="257">
        <v>2773475.3</v>
      </c>
      <c r="L520" s="257">
        <v>2773475.3</v>
      </c>
      <c r="M520" s="257">
        <v>17400000</v>
      </c>
      <c r="N520" s="257">
        <v>0</v>
      </c>
    </row>
    <row r="521" spans="1:14" s="143" customFormat="1" hidden="1" x14ac:dyDescent="0.25">
      <c r="A521" s="143" t="s">
        <v>713</v>
      </c>
      <c r="B521" s="143" t="s">
        <v>120</v>
      </c>
      <c r="C521" s="143" t="s">
        <v>121</v>
      </c>
      <c r="D521" s="143" t="s">
        <v>69</v>
      </c>
      <c r="E521" s="257">
        <v>2310000</v>
      </c>
      <c r="F521" s="257">
        <v>2310000</v>
      </c>
      <c r="G521" s="257">
        <v>1155000</v>
      </c>
      <c r="H521" s="257">
        <v>0</v>
      </c>
      <c r="I521" s="257">
        <v>0</v>
      </c>
      <c r="J521" s="257">
        <v>0</v>
      </c>
      <c r="K521" s="257">
        <v>0</v>
      </c>
      <c r="L521" s="257">
        <v>0</v>
      </c>
      <c r="M521" s="257">
        <v>2310000</v>
      </c>
      <c r="N521" s="257">
        <v>1155000</v>
      </c>
    </row>
    <row r="522" spans="1:14" s="143" customFormat="1" hidden="1" x14ac:dyDescent="0.25">
      <c r="A522" s="143" t="s">
        <v>713</v>
      </c>
      <c r="B522" s="143" t="s">
        <v>122</v>
      </c>
      <c r="C522" s="143" t="s">
        <v>123</v>
      </c>
      <c r="D522" s="143" t="s">
        <v>69</v>
      </c>
      <c r="E522" s="257">
        <v>1000000</v>
      </c>
      <c r="F522" s="257">
        <v>1000000</v>
      </c>
      <c r="G522" s="257">
        <v>1000000</v>
      </c>
      <c r="H522" s="257">
        <v>0</v>
      </c>
      <c r="I522" s="257">
        <v>487090</v>
      </c>
      <c r="J522" s="257">
        <v>0</v>
      </c>
      <c r="K522" s="257">
        <v>0</v>
      </c>
      <c r="L522" s="257">
        <v>0</v>
      </c>
      <c r="M522" s="257">
        <v>512910</v>
      </c>
      <c r="N522" s="257">
        <v>512910</v>
      </c>
    </row>
    <row r="523" spans="1:14" s="143" customFormat="1" hidden="1" x14ac:dyDescent="0.25">
      <c r="A523" s="143" t="s">
        <v>713</v>
      </c>
      <c r="B523" s="143" t="s">
        <v>184</v>
      </c>
      <c r="C523" s="143" t="s">
        <v>185</v>
      </c>
      <c r="D523" s="143" t="s">
        <v>69</v>
      </c>
      <c r="E523" s="257">
        <v>150099855</v>
      </c>
      <c r="F523" s="257">
        <v>150099855</v>
      </c>
      <c r="G523" s="257">
        <v>73130188</v>
      </c>
      <c r="H523" s="257">
        <v>0</v>
      </c>
      <c r="I523" s="257">
        <v>4617170.05</v>
      </c>
      <c r="J523" s="257">
        <v>11553366.869999999</v>
      </c>
      <c r="K523" s="257">
        <v>27077298.800000001</v>
      </c>
      <c r="L523" s="257">
        <v>27077298.800000001</v>
      </c>
      <c r="M523" s="257">
        <v>106852019.28</v>
      </c>
      <c r="N523" s="257">
        <v>29882352.280000001</v>
      </c>
    </row>
    <row r="524" spans="1:14" s="143" customFormat="1" hidden="1" x14ac:dyDescent="0.25">
      <c r="A524" s="143" t="s">
        <v>713</v>
      </c>
      <c r="B524" s="143" t="s">
        <v>186</v>
      </c>
      <c r="C524" s="143" t="s">
        <v>187</v>
      </c>
      <c r="D524" s="143" t="s">
        <v>69</v>
      </c>
      <c r="E524" s="257">
        <v>568000</v>
      </c>
      <c r="F524" s="257">
        <v>568000</v>
      </c>
      <c r="G524" s="257">
        <v>568000</v>
      </c>
      <c r="H524" s="257">
        <v>0</v>
      </c>
      <c r="I524" s="257">
        <v>0</v>
      </c>
      <c r="J524" s="257">
        <v>0</v>
      </c>
      <c r="K524" s="257">
        <v>0</v>
      </c>
      <c r="L524" s="257">
        <v>0</v>
      </c>
      <c r="M524" s="257">
        <v>568000</v>
      </c>
      <c r="N524" s="257">
        <v>568000</v>
      </c>
    </row>
    <row r="525" spans="1:14" s="143" customFormat="1" hidden="1" x14ac:dyDescent="0.25">
      <c r="A525" s="143" t="s">
        <v>713</v>
      </c>
      <c r="B525" s="143" t="s">
        <v>188</v>
      </c>
      <c r="C525" s="143" t="s">
        <v>189</v>
      </c>
      <c r="D525" s="143" t="s">
        <v>69</v>
      </c>
      <c r="E525" s="257">
        <v>5500</v>
      </c>
      <c r="F525" s="257">
        <v>5500</v>
      </c>
      <c r="G525" s="257">
        <v>5500</v>
      </c>
      <c r="H525" s="257">
        <v>0</v>
      </c>
      <c r="I525" s="257">
        <v>0</v>
      </c>
      <c r="J525" s="257">
        <v>0</v>
      </c>
      <c r="K525" s="257">
        <v>0</v>
      </c>
      <c r="L525" s="257">
        <v>0</v>
      </c>
      <c r="M525" s="257">
        <v>5500</v>
      </c>
      <c r="N525" s="257">
        <v>5500</v>
      </c>
    </row>
    <row r="526" spans="1:14" s="143" customFormat="1" hidden="1" x14ac:dyDescent="0.25">
      <c r="A526" s="143" t="s">
        <v>713</v>
      </c>
      <c r="B526" s="143" t="s">
        <v>190</v>
      </c>
      <c r="C526" s="143" t="s">
        <v>191</v>
      </c>
      <c r="D526" s="143" t="s">
        <v>69</v>
      </c>
      <c r="E526" s="257">
        <v>147500</v>
      </c>
      <c r="F526" s="257">
        <v>562500</v>
      </c>
      <c r="G526" s="257">
        <v>562500</v>
      </c>
      <c r="H526" s="257">
        <v>0</v>
      </c>
      <c r="I526" s="257">
        <v>0</v>
      </c>
      <c r="J526" s="257">
        <v>0</v>
      </c>
      <c r="K526" s="257">
        <v>0</v>
      </c>
      <c r="L526" s="257">
        <v>0</v>
      </c>
      <c r="M526" s="257">
        <v>562500</v>
      </c>
      <c r="N526" s="257">
        <v>562500</v>
      </c>
    </row>
    <row r="527" spans="1:14" s="143" customFormat="1" hidden="1" x14ac:dyDescent="0.25">
      <c r="A527" s="143" t="s">
        <v>713</v>
      </c>
      <c r="B527" s="143" t="s">
        <v>194</v>
      </c>
      <c r="C527" s="143" t="s">
        <v>195</v>
      </c>
      <c r="D527" s="143" t="s">
        <v>69</v>
      </c>
      <c r="E527" s="257">
        <v>415000</v>
      </c>
      <c r="F527" s="257">
        <v>0</v>
      </c>
      <c r="G527" s="257">
        <v>0</v>
      </c>
      <c r="H527" s="257">
        <v>0</v>
      </c>
      <c r="I527" s="257">
        <v>0</v>
      </c>
      <c r="J527" s="257">
        <v>0</v>
      </c>
      <c r="K527" s="257">
        <v>0</v>
      </c>
      <c r="L527" s="257">
        <v>0</v>
      </c>
      <c r="M527" s="257">
        <v>0</v>
      </c>
      <c r="N527" s="257">
        <v>0</v>
      </c>
    </row>
    <row r="528" spans="1:14" s="143" customFormat="1" hidden="1" x14ac:dyDescent="0.25">
      <c r="A528" s="143" t="s">
        <v>713</v>
      </c>
      <c r="B528" s="143" t="s">
        <v>196</v>
      </c>
      <c r="C528" s="143" t="s">
        <v>197</v>
      </c>
      <c r="D528" s="143" t="s">
        <v>69</v>
      </c>
      <c r="E528" s="257">
        <v>148180115</v>
      </c>
      <c r="F528" s="257">
        <v>148180115</v>
      </c>
      <c r="G528" s="257">
        <v>71210448</v>
      </c>
      <c r="H528" s="257">
        <v>0</v>
      </c>
      <c r="I528" s="257">
        <v>4617170.05</v>
      </c>
      <c r="J528" s="257">
        <v>11553366.869999999</v>
      </c>
      <c r="K528" s="257">
        <v>27077298.800000001</v>
      </c>
      <c r="L528" s="257">
        <v>27077298.800000001</v>
      </c>
      <c r="M528" s="257">
        <v>104932279.28</v>
      </c>
      <c r="N528" s="257">
        <v>27962612.280000001</v>
      </c>
    </row>
    <row r="529" spans="1:14" s="143" customFormat="1" hidden="1" x14ac:dyDescent="0.25">
      <c r="A529" s="143" t="s">
        <v>713</v>
      </c>
      <c r="B529" s="143" t="s">
        <v>198</v>
      </c>
      <c r="C529" s="143" t="s">
        <v>199</v>
      </c>
      <c r="D529" s="143" t="s">
        <v>69</v>
      </c>
      <c r="E529" s="257">
        <v>148180115</v>
      </c>
      <c r="F529" s="257">
        <v>148180115</v>
      </c>
      <c r="G529" s="257">
        <v>71210448</v>
      </c>
      <c r="H529" s="257">
        <v>0</v>
      </c>
      <c r="I529" s="257">
        <v>4617170.05</v>
      </c>
      <c r="J529" s="257">
        <v>11553366.869999999</v>
      </c>
      <c r="K529" s="257">
        <v>27077298.800000001</v>
      </c>
      <c r="L529" s="257">
        <v>27077298.800000001</v>
      </c>
      <c r="M529" s="257">
        <v>104932279.28</v>
      </c>
      <c r="N529" s="257">
        <v>27962612.280000001</v>
      </c>
    </row>
    <row r="530" spans="1:14" s="143" customFormat="1" hidden="1" x14ac:dyDescent="0.25">
      <c r="A530" s="143" t="s">
        <v>713</v>
      </c>
      <c r="B530" s="143" t="s">
        <v>212</v>
      </c>
      <c r="C530" s="143" t="s">
        <v>213</v>
      </c>
      <c r="D530" s="143" t="s">
        <v>69</v>
      </c>
      <c r="E530" s="257">
        <v>1351740</v>
      </c>
      <c r="F530" s="257">
        <v>1351740</v>
      </c>
      <c r="G530" s="257">
        <v>1351740</v>
      </c>
      <c r="H530" s="257">
        <v>0</v>
      </c>
      <c r="I530" s="257">
        <v>0</v>
      </c>
      <c r="J530" s="257">
        <v>0</v>
      </c>
      <c r="K530" s="257">
        <v>0</v>
      </c>
      <c r="L530" s="257">
        <v>0</v>
      </c>
      <c r="M530" s="257">
        <v>1351740</v>
      </c>
      <c r="N530" s="257">
        <v>1351740</v>
      </c>
    </row>
    <row r="531" spans="1:14" s="143" customFormat="1" hidden="1" x14ac:dyDescent="0.25">
      <c r="A531" s="143" t="s">
        <v>713</v>
      </c>
      <c r="B531" s="143" t="s">
        <v>216</v>
      </c>
      <c r="C531" s="143" t="s">
        <v>217</v>
      </c>
      <c r="D531" s="143" t="s">
        <v>69</v>
      </c>
      <c r="E531" s="257">
        <v>708740</v>
      </c>
      <c r="F531" s="257">
        <v>708740</v>
      </c>
      <c r="G531" s="257">
        <v>708740</v>
      </c>
      <c r="H531" s="257">
        <v>0</v>
      </c>
      <c r="I531" s="257">
        <v>0</v>
      </c>
      <c r="J531" s="257">
        <v>0</v>
      </c>
      <c r="K531" s="257">
        <v>0</v>
      </c>
      <c r="L531" s="257">
        <v>0</v>
      </c>
      <c r="M531" s="257">
        <v>708740</v>
      </c>
      <c r="N531" s="257">
        <v>708740</v>
      </c>
    </row>
    <row r="532" spans="1:14" s="143" customFormat="1" hidden="1" x14ac:dyDescent="0.25">
      <c r="A532" s="143" t="s">
        <v>713</v>
      </c>
      <c r="B532" s="143" t="s">
        <v>218</v>
      </c>
      <c r="C532" s="143" t="s">
        <v>219</v>
      </c>
      <c r="D532" s="143" t="s">
        <v>69</v>
      </c>
      <c r="E532" s="257">
        <v>616000</v>
      </c>
      <c r="F532" s="257">
        <v>616000</v>
      </c>
      <c r="G532" s="257">
        <v>616000</v>
      </c>
      <c r="H532" s="257">
        <v>0</v>
      </c>
      <c r="I532" s="257">
        <v>0</v>
      </c>
      <c r="J532" s="257">
        <v>0</v>
      </c>
      <c r="K532" s="257">
        <v>0</v>
      </c>
      <c r="L532" s="257">
        <v>0</v>
      </c>
      <c r="M532" s="257">
        <v>616000</v>
      </c>
      <c r="N532" s="257">
        <v>616000</v>
      </c>
    </row>
    <row r="533" spans="1:14" s="143" customFormat="1" hidden="1" x14ac:dyDescent="0.25">
      <c r="A533" s="143" t="s">
        <v>713</v>
      </c>
      <c r="B533" s="143" t="s">
        <v>224</v>
      </c>
      <c r="C533" s="143" t="s">
        <v>225</v>
      </c>
      <c r="D533" s="143" t="s">
        <v>69</v>
      </c>
      <c r="E533" s="257">
        <v>27000</v>
      </c>
      <c r="F533" s="257">
        <v>27000</v>
      </c>
      <c r="G533" s="257">
        <v>27000</v>
      </c>
      <c r="H533" s="257">
        <v>0</v>
      </c>
      <c r="I533" s="257">
        <v>0</v>
      </c>
      <c r="J533" s="257">
        <v>0</v>
      </c>
      <c r="K533" s="257">
        <v>0</v>
      </c>
      <c r="L533" s="257">
        <v>0</v>
      </c>
      <c r="M533" s="257">
        <v>27000</v>
      </c>
      <c r="N533" s="257">
        <v>27000</v>
      </c>
    </row>
    <row r="534" spans="1:14" s="143" customFormat="1" hidden="1" x14ac:dyDescent="0.25">
      <c r="A534" s="143" t="s">
        <v>713</v>
      </c>
      <c r="B534" s="143" t="s">
        <v>230</v>
      </c>
      <c r="C534" s="143" t="s">
        <v>231</v>
      </c>
      <c r="D534" s="143" t="s">
        <v>85</v>
      </c>
      <c r="E534" s="257">
        <v>535000</v>
      </c>
      <c r="F534" s="257">
        <v>535000</v>
      </c>
      <c r="G534" s="257">
        <v>535000</v>
      </c>
      <c r="H534" s="257">
        <v>0</v>
      </c>
      <c r="I534" s="257">
        <v>0</v>
      </c>
      <c r="J534" s="257">
        <v>0</v>
      </c>
      <c r="K534" s="257">
        <v>0</v>
      </c>
      <c r="L534" s="257">
        <v>0</v>
      </c>
      <c r="M534" s="257">
        <v>535000</v>
      </c>
      <c r="N534" s="257">
        <v>535000</v>
      </c>
    </row>
    <row r="535" spans="1:14" s="143" customFormat="1" hidden="1" x14ac:dyDescent="0.25">
      <c r="A535" s="143" t="s">
        <v>713</v>
      </c>
      <c r="B535" s="143" t="s">
        <v>232</v>
      </c>
      <c r="C535" s="143" t="s">
        <v>233</v>
      </c>
      <c r="D535" s="143" t="s">
        <v>85</v>
      </c>
      <c r="E535" s="257">
        <v>535000</v>
      </c>
      <c r="F535" s="257">
        <v>535000</v>
      </c>
      <c r="G535" s="257">
        <v>535000</v>
      </c>
      <c r="H535" s="257">
        <v>0</v>
      </c>
      <c r="I535" s="257">
        <v>0</v>
      </c>
      <c r="J535" s="257">
        <v>0</v>
      </c>
      <c r="K535" s="257">
        <v>0</v>
      </c>
      <c r="L535" s="257">
        <v>0</v>
      </c>
      <c r="M535" s="257">
        <v>535000</v>
      </c>
      <c r="N535" s="257">
        <v>535000</v>
      </c>
    </row>
    <row r="536" spans="1:14" s="143" customFormat="1" hidden="1" x14ac:dyDescent="0.25">
      <c r="A536" s="143" t="s">
        <v>713</v>
      </c>
      <c r="B536" s="143" t="s">
        <v>326</v>
      </c>
      <c r="C536" s="143" t="s">
        <v>327</v>
      </c>
      <c r="D536" s="143" t="s">
        <v>85</v>
      </c>
      <c r="E536" s="257">
        <v>535000</v>
      </c>
      <c r="F536" s="257">
        <v>535000</v>
      </c>
      <c r="G536" s="257">
        <v>535000</v>
      </c>
      <c r="H536" s="257">
        <v>0</v>
      </c>
      <c r="I536" s="257">
        <v>0</v>
      </c>
      <c r="J536" s="257">
        <v>0</v>
      </c>
      <c r="K536" s="257">
        <v>0</v>
      </c>
      <c r="L536" s="257">
        <v>0</v>
      </c>
      <c r="M536" s="257">
        <v>535000</v>
      </c>
      <c r="N536" s="257">
        <v>535000</v>
      </c>
    </row>
    <row r="537" spans="1:14" s="143" customFormat="1" hidden="1" x14ac:dyDescent="0.25">
      <c r="A537" s="143" t="s">
        <v>713</v>
      </c>
      <c r="B537" s="143" t="s">
        <v>248</v>
      </c>
      <c r="C537" s="143" t="s">
        <v>249</v>
      </c>
      <c r="D537" s="143" t="s">
        <v>69</v>
      </c>
      <c r="E537" s="257">
        <v>19709963</v>
      </c>
      <c r="F537" s="257">
        <v>19575196</v>
      </c>
      <c r="G537" s="257">
        <v>19467652</v>
      </c>
      <c r="H537" s="257">
        <v>0</v>
      </c>
      <c r="I537" s="257">
        <v>10846412</v>
      </c>
      <c r="J537" s="257">
        <v>0</v>
      </c>
      <c r="K537" s="257">
        <v>5766072</v>
      </c>
      <c r="L537" s="257">
        <v>5766072</v>
      </c>
      <c r="M537" s="257">
        <v>2962712</v>
      </c>
      <c r="N537" s="257">
        <v>2855168</v>
      </c>
    </row>
    <row r="538" spans="1:14" s="143" customFormat="1" hidden="1" x14ac:dyDescent="0.25">
      <c r="A538" s="143" t="s">
        <v>713</v>
      </c>
      <c r="B538" s="143" t="s">
        <v>250</v>
      </c>
      <c r="C538" s="143" t="s">
        <v>251</v>
      </c>
      <c r="D538" s="143" t="s">
        <v>69</v>
      </c>
      <c r="E538" s="257">
        <v>15209963</v>
      </c>
      <c r="F538" s="257">
        <v>15075196</v>
      </c>
      <c r="G538" s="257">
        <v>14967652</v>
      </c>
      <c r="H538" s="257">
        <v>0</v>
      </c>
      <c r="I538" s="257">
        <v>10846412</v>
      </c>
      <c r="J538" s="257">
        <v>0</v>
      </c>
      <c r="K538" s="257">
        <v>4121240</v>
      </c>
      <c r="L538" s="257">
        <v>4121240</v>
      </c>
      <c r="M538" s="257">
        <v>107544</v>
      </c>
      <c r="N538" s="257">
        <v>0</v>
      </c>
    </row>
    <row r="539" spans="1:14" s="143" customFormat="1" hidden="1" x14ac:dyDescent="0.25">
      <c r="A539" s="143" t="s">
        <v>713</v>
      </c>
      <c r="B539" s="143" t="s">
        <v>632</v>
      </c>
      <c r="C539" s="143" t="s">
        <v>702</v>
      </c>
      <c r="D539" s="143" t="s">
        <v>69</v>
      </c>
      <c r="E539" s="257">
        <v>12919331</v>
      </c>
      <c r="F539" s="257">
        <v>12804860</v>
      </c>
      <c r="G539" s="257">
        <v>12713512</v>
      </c>
      <c r="H539" s="257">
        <v>0</v>
      </c>
      <c r="I539" s="257">
        <v>9229158</v>
      </c>
      <c r="J539" s="257">
        <v>0</v>
      </c>
      <c r="K539" s="257">
        <v>3484354</v>
      </c>
      <c r="L539" s="257">
        <v>3484354</v>
      </c>
      <c r="M539" s="257">
        <v>91348</v>
      </c>
      <c r="N539" s="257">
        <v>0</v>
      </c>
    </row>
    <row r="540" spans="1:14" s="143" customFormat="1" hidden="1" x14ac:dyDescent="0.25">
      <c r="A540" s="143" t="s">
        <v>713</v>
      </c>
      <c r="B540" s="143" t="s">
        <v>647</v>
      </c>
      <c r="C540" s="143" t="s">
        <v>703</v>
      </c>
      <c r="D540" s="143" t="s">
        <v>69</v>
      </c>
      <c r="E540" s="257">
        <v>2290632</v>
      </c>
      <c r="F540" s="257">
        <v>2270336</v>
      </c>
      <c r="G540" s="257">
        <v>2254140</v>
      </c>
      <c r="H540" s="257">
        <v>0</v>
      </c>
      <c r="I540" s="257">
        <v>1617254</v>
      </c>
      <c r="J540" s="257">
        <v>0</v>
      </c>
      <c r="K540" s="257">
        <v>636886</v>
      </c>
      <c r="L540" s="257">
        <v>636886</v>
      </c>
      <c r="M540" s="257">
        <v>16196</v>
      </c>
      <c r="N540" s="257">
        <v>0</v>
      </c>
    </row>
    <row r="541" spans="1:14" s="143" customFormat="1" hidden="1" x14ac:dyDescent="0.25">
      <c r="A541" s="143" t="s">
        <v>713</v>
      </c>
      <c r="B541" s="143" t="s">
        <v>260</v>
      </c>
      <c r="C541" s="143" t="s">
        <v>261</v>
      </c>
      <c r="D541" s="143" t="s">
        <v>69</v>
      </c>
      <c r="E541" s="257">
        <v>4500000</v>
      </c>
      <c r="F541" s="257">
        <v>4500000</v>
      </c>
      <c r="G541" s="257">
        <v>4500000</v>
      </c>
      <c r="H541" s="257">
        <v>0</v>
      </c>
      <c r="I541" s="257">
        <v>0</v>
      </c>
      <c r="J541" s="257">
        <v>0</v>
      </c>
      <c r="K541" s="257">
        <v>1644832</v>
      </c>
      <c r="L541" s="257">
        <v>1644832</v>
      </c>
      <c r="M541" s="257">
        <v>2855168</v>
      </c>
      <c r="N541" s="257">
        <v>2855168</v>
      </c>
    </row>
    <row r="542" spans="1:14" s="143" customFormat="1" hidden="1" x14ac:dyDescent="0.25">
      <c r="A542" s="143" t="s">
        <v>713</v>
      </c>
      <c r="B542" s="143" t="s">
        <v>264</v>
      </c>
      <c r="C542" s="143" t="s">
        <v>265</v>
      </c>
      <c r="D542" s="143" t="s">
        <v>69</v>
      </c>
      <c r="E542" s="257">
        <v>4500000</v>
      </c>
      <c r="F542" s="257">
        <v>4500000</v>
      </c>
      <c r="G542" s="257">
        <v>4500000</v>
      </c>
      <c r="H542" s="257">
        <v>0</v>
      </c>
      <c r="I542" s="257">
        <v>0</v>
      </c>
      <c r="J542" s="257">
        <v>0</v>
      </c>
      <c r="K542" s="257">
        <v>1644832</v>
      </c>
      <c r="L542" s="257">
        <v>1644832</v>
      </c>
      <c r="M542" s="257">
        <v>2855168</v>
      </c>
      <c r="N542" s="257">
        <v>2855168</v>
      </c>
    </row>
    <row r="543" spans="1:14" s="143" customFormat="1" x14ac:dyDescent="0.25">
      <c r="A543" s="44">
        <v>214789004</v>
      </c>
      <c r="D543" s="44" t="s">
        <v>69</v>
      </c>
      <c r="E543" s="257">
        <v>2343912564</v>
      </c>
      <c r="F543" s="50">
        <v>2290819963</v>
      </c>
      <c r="G543" s="257">
        <v>2070417647</v>
      </c>
      <c r="H543" s="50">
        <v>3243685</v>
      </c>
      <c r="I543" s="50">
        <v>251577903.97999999</v>
      </c>
      <c r="J543" s="50">
        <v>3880220.21</v>
      </c>
      <c r="K543" s="50">
        <v>673418547.73000002</v>
      </c>
      <c r="L543" s="50">
        <v>667703343.64999998</v>
      </c>
      <c r="M543" s="50">
        <v>1358699606.0799999</v>
      </c>
      <c r="N543" s="257">
        <v>1138297290.0799999</v>
      </c>
    </row>
    <row r="544" spans="1:14" s="143" customFormat="1" hidden="1" x14ac:dyDescent="0.25">
      <c r="A544" s="143" t="s">
        <v>714</v>
      </c>
      <c r="B544" s="143" t="s">
        <v>71</v>
      </c>
      <c r="C544" s="143" t="s">
        <v>72</v>
      </c>
      <c r="D544" s="143" t="s">
        <v>69</v>
      </c>
      <c r="E544" s="257">
        <v>1911246104</v>
      </c>
      <c r="F544" s="257">
        <v>1874431575</v>
      </c>
      <c r="G544" s="257">
        <v>1860273235</v>
      </c>
      <c r="H544" s="257">
        <v>0</v>
      </c>
      <c r="I544" s="257">
        <v>199202701</v>
      </c>
      <c r="J544" s="257">
        <v>0</v>
      </c>
      <c r="K544" s="257">
        <v>615946761.75</v>
      </c>
      <c r="L544" s="257">
        <v>615946761.75</v>
      </c>
      <c r="M544" s="257">
        <v>1059282112.25</v>
      </c>
      <c r="N544" s="257">
        <v>1045123772.25</v>
      </c>
    </row>
    <row r="545" spans="1:14" s="143" customFormat="1" hidden="1" x14ac:dyDescent="0.25">
      <c r="A545" s="143" t="s">
        <v>714</v>
      </c>
      <c r="B545" s="143" t="s">
        <v>73</v>
      </c>
      <c r="C545" s="143" t="s">
        <v>74</v>
      </c>
      <c r="D545" s="143" t="s">
        <v>69</v>
      </c>
      <c r="E545" s="257">
        <v>693088616</v>
      </c>
      <c r="F545" s="257">
        <v>672914792</v>
      </c>
      <c r="G545" s="257">
        <v>672914792</v>
      </c>
      <c r="H545" s="257">
        <v>0</v>
      </c>
      <c r="I545" s="257">
        <v>0</v>
      </c>
      <c r="J545" s="257">
        <v>0</v>
      </c>
      <c r="K545" s="257">
        <v>217173917.52000001</v>
      </c>
      <c r="L545" s="257">
        <v>217173917.52000001</v>
      </c>
      <c r="M545" s="257">
        <v>455740874.48000002</v>
      </c>
      <c r="N545" s="257">
        <v>455740874.48000002</v>
      </c>
    </row>
    <row r="546" spans="1:14" s="143" customFormat="1" hidden="1" x14ac:dyDescent="0.25">
      <c r="A546" s="143" t="s">
        <v>714</v>
      </c>
      <c r="B546" s="143" t="s">
        <v>75</v>
      </c>
      <c r="C546" s="143" t="s">
        <v>76</v>
      </c>
      <c r="D546" s="143" t="s">
        <v>69</v>
      </c>
      <c r="E546" s="257">
        <v>693088616</v>
      </c>
      <c r="F546" s="257">
        <v>672914792</v>
      </c>
      <c r="G546" s="257">
        <v>672914792</v>
      </c>
      <c r="H546" s="257">
        <v>0</v>
      </c>
      <c r="I546" s="257">
        <v>0</v>
      </c>
      <c r="J546" s="257">
        <v>0</v>
      </c>
      <c r="K546" s="257">
        <v>217173917.52000001</v>
      </c>
      <c r="L546" s="257">
        <v>217173917.52000001</v>
      </c>
      <c r="M546" s="257">
        <v>455740874.48000002</v>
      </c>
      <c r="N546" s="257">
        <v>455740874.48000002</v>
      </c>
    </row>
    <row r="547" spans="1:14" s="143" customFormat="1" hidden="1" x14ac:dyDescent="0.25">
      <c r="A547" s="143" t="s">
        <v>714</v>
      </c>
      <c r="B547" s="143" t="s">
        <v>293</v>
      </c>
      <c r="C547" s="143" t="s">
        <v>294</v>
      </c>
      <c r="D547" s="143" t="s">
        <v>69</v>
      </c>
      <c r="E547" s="257">
        <v>2572600</v>
      </c>
      <c r="F547" s="257">
        <v>2572600</v>
      </c>
      <c r="G547" s="257">
        <v>2572600</v>
      </c>
      <c r="H547" s="257">
        <v>0</v>
      </c>
      <c r="I547" s="257">
        <v>0</v>
      </c>
      <c r="J547" s="257">
        <v>0</v>
      </c>
      <c r="K547" s="257">
        <v>646830</v>
      </c>
      <c r="L547" s="257">
        <v>646830</v>
      </c>
      <c r="M547" s="257">
        <v>1925770</v>
      </c>
      <c r="N547" s="257">
        <v>1925770</v>
      </c>
    </row>
    <row r="548" spans="1:14" s="143" customFormat="1" hidden="1" x14ac:dyDescent="0.25">
      <c r="A548" s="143" t="s">
        <v>714</v>
      </c>
      <c r="B548" s="143" t="s">
        <v>339</v>
      </c>
      <c r="C548" s="143" t="s">
        <v>340</v>
      </c>
      <c r="D548" s="143" t="s">
        <v>69</v>
      </c>
      <c r="E548" s="257">
        <v>2572600</v>
      </c>
      <c r="F548" s="257">
        <v>2572600</v>
      </c>
      <c r="G548" s="257">
        <v>2572600</v>
      </c>
      <c r="H548" s="257">
        <v>0</v>
      </c>
      <c r="I548" s="257">
        <v>0</v>
      </c>
      <c r="J548" s="257">
        <v>0</v>
      </c>
      <c r="K548" s="257">
        <v>646830</v>
      </c>
      <c r="L548" s="257">
        <v>646830</v>
      </c>
      <c r="M548" s="257">
        <v>1925770</v>
      </c>
      <c r="N548" s="257">
        <v>1925770</v>
      </c>
    </row>
    <row r="549" spans="1:14" s="143" customFormat="1" hidden="1" x14ac:dyDescent="0.25">
      <c r="A549" s="143" t="s">
        <v>714</v>
      </c>
      <c r="B549" s="143" t="s">
        <v>77</v>
      </c>
      <c r="C549" s="143" t="s">
        <v>78</v>
      </c>
      <c r="D549" s="143" t="s">
        <v>69</v>
      </c>
      <c r="E549" s="257">
        <v>924031359</v>
      </c>
      <c r="F549" s="257">
        <v>913006573</v>
      </c>
      <c r="G549" s="257">
        <v>901008037</v>
      </c>
      <c r="H549" s="257">
        <v>0</v>
      </c>
      <c r="I549" s="257">
        <v>0</v>
      </c>
      <c r="J549" s="257">
        <v>0</v>
      </c>
      <c r="K549" s="257">
        <v>313550909.23000002</v>
      </c>
      <c r="L549" s="257">
        <v>313550909.23000002</v>
      </c>
      <c r="M549" s="257">
        <v>599455663.76999998</v>
      </c>
      <c r="N549" s="257">
        <v>587457127.76999998</v>
      </c>
    </row>
    <row r="550" spans="1:14" s="143" customFormat="1" hidden="1" x14ac:dyDescent="0.25">
      <c r="A550" s="143" t="s">
        <v>714</v>
      </c>
      <c r="B550" s="143" t="s">
        <v>79</v>
      </c>
      <c r="C550" s="143" t="s">
        <v>80</v>
      </c>
      <c r="D550" s="143" t="s">
        <v>69</v>
      </c>
      <c r="E550" s="257">
        <v>322806400</v>
      </c>
      <c r="F550" s="257">
        <v>322806400</v>
      </c>
      <c r="G550" s="257">
        <v>311730487</v>
      </c>
      <c r="H550" s="257">
        <v>0</v>
      </c>
      <c r="I550" s="257">
        <v>0</v>
      </c>
      <c r="J550" s="257">
        <v>0</v>
      </c>
      <c r="K550" s="257">
        <v>93687608.590000004</v>
      </c>
      <c r="L550" s="257">
        <v>93687608.590000004</v>
      </c>
      <c r="M550" s="257">
        <v>229118791.41</v>
      </c>
      <c r="N550" s="257">
        <v>218042878.41</v>
      </c>
    </row>
    <row r="551" spans="1:14" s="143" customFormat="1" hidden="1" x14ac:dyDescent="0.25">
      <c r="A551" s="143" t="s">
        <v>714</v>
      </c>
      <c r="B551" s="143" t="s">
        <v>81</v>
      </c>
      <c r="C551" s="143" t="s">
        <v>82</v>
      </c>
      <c r="D551" s="143" t="s">
        <v>69</v>
      </c>
      <c r="E551" s="257">
        <v>234712205</v>
      </c>
      <c r="F551" s="257">
        <v>227111190</v>
      </c>
      <c r="G551" s="257">
        <v>227111190</v>
      </c>
      <c r="H551" s="257">
        <v>0</v>
      </c>
      <c r="I551" s="257">
        <v>0</v>
      </c>
      <c r="J551" s="257">
        <v>0</v>
      </c>
      <c r="K551" s="257">
        <v>77853344.159999996</v>
      </c>
      <c r="L551" s="257">
        <v>77853344.159999996</v>
      </c>
      <c r="M551" s="257">
        <v>149257845.84</v>
      </c>
      <c r="N551" s="257">
        <v>149257845.84</v>
      </c>
    </row>
    <row r="552" spans="1:14" s="143" customFormat="1" hidden="1" x14ac:dyDescent="0.25">
      <c r="A552" s="143" t="s">
        <v>714</v>
      </c>
      <c r="B552" s="143" t="s">
        <v>83</v>
      </c>
      <c r="C552" s="143" t="s">
        <v>84</v>
      </c>
      <c r="D552" s="143" t="s">
        <v>85</v>
      </c>
      <c r="E552" s="257">
        <v>124545654</v>
      </c>
      <c r="F552" s="257">
        <v>122146647</v>
      </c>
      <c r="G552" s="257">
        <v>121224024</v>
      </c>
      <c r="H552" s="257">
        <v>0</v>
      </c>
      <c r="I552" s="257">
        <v>0</v>
      </c>
      <c r="J552" s="257">
        <v>0</v>
      </c>
      <c r="K552" s="257">
        <v>0</v>
      </c>
      <c r="L552" s="257">
        <v>0</v>
      </c>
      <c r="M552" s="257">
        <v>122146647</v>
      </c>
      <c r="N552" s="257">
        <v>121224024</v>
      </c>
    </row>
    <row r="553" spans="1:14" s="143" customFormat="1" hidden="1" x14ac:dyDescent="0.25">
      <c r="A553" s="143" t="s">
        <v>714</v>
      </c>
      <c r="B553" s="143" t="s">
        <v>86</v>
      </c>
      <c r="C553" s="143" t="s">
        <v>87</v>
      </c>
      <c r="D553" s="143" t="s">
        <v>69</v>
      </c>
      <c r="E553" s="257">
        <v>114340800</v>
      </c>
      <c r="F553" s="257">
        <v>114340800</v>
      </c>
      <c r="G553" s="257">
        <v>114340800</v>
      </c>
      <c r="H553" s="257">
        <v>0</v>
      </c>
      <c r="I553" s="257">
        <v>0</v>
      </c>
      <c r="J553" s="257">
        <v>0</v>
      </c>
      <c r="K553" s="257">
        <v>100891549.97</v>
      </c>
      <c r="L553" s="257">
        <v>100891549.97</v>
      </c>
      <c r="M553" s="257">
        <v>13449250.029999999</v>
      </c>
      <c r="N553" s="257">
        <v>13449250.029999999</v>
      </c>
    </row>
    <row r="554" spans="1:14" s="143" customFormat="1" hidden="1" x14ac:dyDescent="0.25">
      <c r="A554" s="143" t="s">
        <v>714</v>
      </c>
      <c r="B554" s="143" t="s">
        <v>88</v>
      </c>
      <c r="C554" s="143" t="s">
        <v>89</v>
      </c>
      <c r="D554" s="143" t="s">
        <v>69</v>
      </c>
      <c r="E554" s="257">
        <v>127626300</v>
      </c>
      <c r="F554" s="257">
        <v>126601536</v>
      </c>
      <c r="G554" s="257">
        <v>126601536</v>
      </c>
      <c r="H554" s="257">
        <v>0</v>
      </c>
      <c r="I554" s="257">
        <v>0</v>
      </c>
      <c r="J554" s="257">
        <v>0</v>
      </c>
      <c r="K554" s="257">
        <v>41118406.509999998</v>
      </c>
      <c r="L554" s="257">
        <v>41118406.509999998</v>
      </c>
      <c r="M554" s="257">
        <v>85483129.489999995</v>
      </c>
      <c r="N554" s="257">
        <v>85483129.489999995</v>
      </c>
    </row>
    <row r="555" spans="1:14" s="143" customFormat="1" hidden="1" x14ac:dyDescent="0.25">
      <c r="A555" s="143" t="s">
        <v>714</v>
      </c>
      <c r="B555" s="143" t="s">
        <v>90</v>
      </c>
      <c r="C555" s="143" t="s">
        <v>91</v>
      </c>
      <c r="D555" s="143" t="s">
        <v>69</v>
      </c>
      <c r="E555" s="257">
        <v>145776815</v>
      </c>
      <c r="F555" s="257">
        <v>142968855</v>
      </c>
      <c r="G555" s="257">
        <v>141888953</v>
      </c>
      <c r="H555" s="257">
        <v>0</v>
      </c>
      <c r="I555" s="257">
        <v>99507849</v>
      </c>
      <c r="J555" s="257">
        <v>0</v>
      </c>
      <c r="K555" s="257">
        <v>42381104</v>
      </c>
      <c r="L555" s="257">
        <v>42381104</v>
      </c>
      <c r="M555" s="257">
        <v>1079902</v>
      </c>
      <c r="N555" s="257">
        <v>0</v>
      </c>
    </row>
    <row r="556" spans="1:14" s="143" customFormat="1" hidden="1" x14ac:dyDescent="0.25">
      <c r="A556" s="143" t="s">
        <v>714</v>
      </c>
      <c r="B556" s="143" t="s">
        <v>424</v>
      </c>
      <c r="C556" s="143" t="s">
        <v>697</v>
      </c>
      <c r="D556" s="143" t="s">
        <v>69</v>
      </c>
      <c r="E556" s="257">
        <v>138301084</v>
      </c>
      <c r="F556" s="257">
        <v>135637121</v>
      </c>
      <c r="G556" s="257">
        <v>134612599</v>
      </c>
      <c r="H556" s="257">
        <v>0</v>
      </c>
      <c r="I556" s="257">
        <v>94404886</v>
      </c>
      <c r="J556" s="257">
        <v>0</v>
      </c>
      <c r="K556" s="257">
        <v>40207713</v>
      </c>
      <c r="L556" s="257">
        <v>40207713</v>
      </c>
      <c r="M556" s="257">
        <v>1024522</v>
      </c>
      <c r="N556" s="257">
        <v>0</v>
      </c>
    </row>
    <row r="557" spans="1:14" s="143" customFormat="1" hidden="1" x14ac:dyDescent="0.25">
      <c r="A557" s="143" t="s">
        <v>714</v>
      </c>
      <c r="B557" s="143" t="s">
        <v>441</v>
      </c>
      <c r="C557" s="143" t="s">
        <v>95</v>
      </c>
      <c r="D557" s="143" t="s">
        <v>69</v>
      </c>
      <c r="E557" s="257">
        <v>7475731</v>
      </c>
      <c r="F557" s="257">
        <v>7331734</v>
      </c>
      <c r="G557" s="257">
        <v>7276354</v>
      </c>
      <c r="H557" s="257">
        <v>0</v>
      </c>
      <c r="I557" s="257">
        <v>5102963</v>
      </c>
      <c r="J557" s="257">
        <v>0</v>
      </c>
      <c r="K557" s="257">
        <v>2173391</v>
      </c>
      <c r="L557" s="257">
        <v>2173391</v>
      </c>
      <c r="M557" s="257">
        <v>55380</v>
      </c>
      <c r="N557" s="257">
        <v>0</v>
      </c>
    </row>
    <row r="558" spans="1:14" s="143" customFormat="1" hidden="1" x14ac:dyDescent="0.25">
      <c r="A558" s="143" t="s">
        <v>714</v>
      </c>
      <c r="B558" s="143" t="s">
        <v>96</v>
      </c>
      <c r="C558" s="143" t="s">
        <v>97</v>
      </c>
      <c r="D558" s="143" t="s">
        <v>69</v>
      </c>
      <c r="E558" s="257">
        <v>145776714</v>
      </c>
      <c r="F558" s="257">
        <v>142968755</v>
      </c>
      <c r="G558" s="257">
        <v>141888853</v>
      </c>
      <c r="H558" s="257">
        <v>0</v>
      </c>
      <c r="I558" s="257">
        <v>99694852</v>
      </c>
      <c r="J558" s="257">
        <v>0</v>
      </c>
      <c r="K558" s="257">
        <v>42194001</v>
      </c>
      <c r="L558" s="257">
        <v>42194001</v>
      </c>
      <c r="M558" s="257">
        <v>1079902</v>
      </c>
      <c r="N558" s="257">
        <v>0</v>
      </c>
    </row>
    <row r="559" spans="1:14" s="143" customFormat="1" hidden="1" x14ac:dyDescent="0.25">
      <c r="A559" s="143" t="s">
        <v>714</v>
      </c>
      <c r="B559" s="143" t="s">
        <v>459</v>
      </c>
      <c r="C559" s="143" t="s">
        <v>698</v>
      </c>
      <c r="D559" s="143" t="s">
        <v>69</v>
      </c>
      <c r="E559" s="257">
        <v>78495131</v>
      </c>
      <c r="F559" s="257">
        <v>76983152</v>
      </c>
      <c r="G559" s="257">
        <v>76401667</v>
      </c>
      <c r="H559" s="257">
        <v>0</v>
      </c>
      <c r="I559" s="257">
        <v>53768175</v>
      </c>
      <c r="J559" s="257">
        <v>0</v>
      </c>
      <c r="K559" s="257">
        <v>22633492</v>
      </c>
      <c r="L559" s="257">
        <v>22633492</v>
      </c>
      <c r="M559" s="257">
        <v>581485</v>
      </c>
      <c r="N559" s="257">
        <v>0</v>
      </c>
    </row>
    <row r="560" spans="1:14" s="143" customFormat="1" hidden="1" x14ac:dyDescent="0.25">
      <c r="A560" s="143" t="s">
        <v>714</v>
      </c>
      <c r="B560" s="143" t="s">
        <v>476</v>
      </c>
      <c r="C560" s="143" t="s">
        <v>699</v>
      </c>
      <c r="D560" s="143" t="s">
        <v>69</v>
      </c>
      <c r="E560" s="257">
        <v>22427194</v>
      </c>
      <c r="F560" s="257">
        <v>21995201</v>
      </c>
      <c r="G560" s="257">
        <v>21829062</v>
      </c>
      <c r="H560" s="257">
        <v>0</v>
      </c>
      <c r="I560" s="257">
        <v>15308892</v>
      </c>
      <c r="J560" s="257">
        <v>0</v>
      </c>
      <c r="K560" s="257">
        <v>6520170</v>
      </c>
      <c r="L560" s="257">
        <v>6520170</v>
      </c>
      <c r="M560" s="257">
        <v>166139</v>
      </c>
      <c r="N560" s="257">
        <v>0</v>
      </c>
    </row>
    <row r="561" spans="1:14" s="143" customFormat="1" hidden="1" x14ac:dyDescent="0.25">
      <c r="A561" s="143" t="s">
        <v>714</v>
      </c>
      <c r="B561" s="143" t="s">
        <v>493</v>
      </c>
      <c r="C561" s="143" t="s">
        <v>700</v>
      </c>
      <c r="D561" s="143" t="s">
        <v>69</v>
      </c>
      <c r="E561" s="257">
        <v>44854389</v>
      </c>
      <c r="F561" s="257">
        <v>43990402</v>
      </c>
      <c r="G561" s="257">
        <v>43658124</v>
      </c>
      <c r="H561" s="257">
        <v>0</v>
      </c>
      <c r="I561" s="257">
        <v>30617785</v>
      </c>
      <c r="J561" s="257">
        <v>0</v>
      </c>
      <c r="K561" s="257">
        <v>13040339</v>
      </c>
      <c r="L561" s="257">
        <v>13040339</v>
      </c>
      <c r="M561" s="257">
        <v>332278</v>
      </c>
      <c r="N561" s="257">
        <v>0</v>
      </c>
    </row>
    <row r="562" spans="1:14" s="143" customFormat="1" hidden="1" x14ac:dyDescent="0.25">
      <c r="A562" s="143" t="s">
        <v>714</v>
      </c>
      <c r="B562" s="143" t="s">
        <v>104</v>
      </c>
      <c r="C562" s="143" t="s">
        <v>105</v>
      </c>
      <c r="D562" s="143" t="s">
        <v>69</v>
      </c>
      <c r="E562" s="257">
        <v>93714000</v>
      </c>
      <c r="F562" s="257">
        <v>93714000</v>
      </c>
      <c r="G562" s="257">
        <v>43859500</v>
      </c>
      <c r="H562" s="257">
        <v>0</v>
      </c>
      <c r="I562" s="257">
        <v>24588988.27</v>
      </c>
      <c r="J562" s="257">
        <v>0</v>
      </c>
      <c r="K562" s="257">
        <v>11877824.34</v>
      </c>
      <c r="L562" s="257">
        <v>11816278.26</v>
      </c>
      <c r="M562" s="257">
        <v>57247187.390000001</v>
      </c>
      <c r="N562" s="257">
        <v>7392687.3899999997</v>
      </c>
    </row>
    <row r="563" spans="1:14" s="143" customFormat="1" hidden="1" x14ac:dyDescent="0.25">
      <c r="A563" s="143" t="s">
        <v>714</v>
      </c>
      <c r="B563" s="143" t="s">
        <v>112</v>
      </c>
      <c r="C563" s="143" t="s">
        <v>113</v>
      </c>
      <c r="D563" s="143" t="s">
        <v>69</v>
      </c>
      <c r="E563" s="257">
        <v>92804000</v>
      </c>
      <c r="F563" s="257">
        <v>92804000</v>
      </c>
      <c r="G563" s="257">
        <v>42949500</v>
      </c>
      <c r="H563" s="257">
        <v>0</v>
      </c>
      <c r="I563" s="257">
        <v>24588988.27</v>
      </c>
      <c r="J563" s="257">
        <v>0</v>
      </c>
      <c r="K563" s="257">
        <v>11877824.34</v>
      </c>
      <c r="L563" s="257">
        <v>11816278.26</v>
      </c>
      <c r="M563" s="257">
        <v>56337187.390000001</v>
      </c>
      <c r="N563" s="257">
        <v>6482687.3899999997</v>
      </c>
    </row>
    <row r="564" spans="1:14" s="143" customFormat="1" hidden="1" x14ac:dyDescent="0.25">
      <c r="A564" s="143" t="s">
        <v>714</v>
      </c>
      <c r="B564" s="143" t="s">
        <v>114</v>
      </c>
      <c r="C564" s="143" t="s">
        <v>115</v>
      </c>
      <c r="D564" s="143" t="s">
        <v>69</v>
      </c>
      <c r="E564" s="257">
        <v>36754000</v>
      </c>
      <c r="F564" s="257">
        <v>36754000</v>
      </c>
      <c r="G564" s="257">
        <v>17627000</v>
      </c>
      <c r="H564" s="257">
        <v>0</v>
      </c>
      <c r="I564" s="257">
        <v>10960243.25</v>
      </c>
      <c r="J564" s="257">
        <v>0</v>
      </c>
      <c r="K564" s="257">
        <v>6666756.75</v>
      </c>
      <c r="L564" s="257">
        <v>6666756.75</v>
      </c>
      <c r="M564" s="257">
        <v>19127000</v>
      </c>
      <c r="N564" s="257">
        <v>0</v>
      </c>
    </row>
    <row r="565" spans="1:14" s="143" customFormat="1" hidden="1" x14ac:dyDescent="0.25">
      <c r="A565" s="143" t="s">
        <v>714</v>
      </c>
      <c r="B565" s="143" t="s">
        <v>116</v>
      </c>
      <c r="C565" s="143" t="s">
        <v>117</v>
      </c>
      <c r="D565" s="143" t="s">
        <v>69</v>
      </c>
      <c r="E565" s="257">
        <v>43500000</v>
      </c>
      <c r="F565" s="257">
        <v>43500000</v>
      </c>
      <c r="G565" s="257">
        <v>18557500</v>
      </c>
      <c r="H565" s="257">
        <v>0</v>
      </c>
      <c r="I565" s="257">
        <v>13628745.02</v>
      </c>
      <c r="J565" s="257">
        <v>0</v>
      </c>
      <c r="K565" s="257">
        <v>4928754.9800000004</v>
      </c>
      <c r="L565" s="257">
        <v>4928754.9800000004</v>
      </c>
      <c r="M565" s="257">
        <v>24942500</v>
      </c>
      <c r="N565" s="257">
        <v>0</v>
      </c>
    </row>
    <row r="566" spans="1:14" s="143" customFormat="1" hidden="1" x14ac:dyDescent="0.25">
      <c r="A566" s="143" t="s">
        <v>714</v>
      </c>
      <c r="B566" s="143" t="s">
        <v>120</v>
      </c>
      <c r="C566" s="143" t="s">
        <v>121</v>
      </c>
      <c r="D566" s="143" t="s">
        <v>69</v>
      </c>
      <c r="E566" s="257">
        <v>11550000</v>
      </c>
      <c r="F566" s="257">
        <v>11550000</v>
      </c>
      <c r="G566" s="257">
        <v>5775000</v>
      </c>
      <c r="H566" s="257">
        <v>0</v>
      </c>
      <c r="I566" s="257">
        <v>0</v>
      </c>
      <c r="J566" s="257">
        <v>0</v>
      </c>
      <c r="K566" s="257">
        <v>0</v>
      </c>
      <c r="L566" s="257">
        <v>0</v>
      </c>
      <c r="M566" s="257">
        <v>11550000</v>
      </c>
      <c r="N566" s="257">
        <v>5775000</v>
      </c>
    </row>
    <row r="567" spans="1:14" s="143" customFormat="1" hidden="1" x14ac:dyDescent="0.25">
      <c r="A567" s="143" t="s">
        <v>714</v>
      </c>
      <c r="B567" s="143" t="s">
        <v>122</v>
      </c>
      <c r="C567" s="143" t="s">
        <v>123</v>
      </c>
      <c r="D567" s="143" t="s">
        <v>69</v>
      </c>
      <c r="E567" s="257">
        <v>1000000</v>
      </c>
      <c r="F567" s="257">
        <v>1000000</v>
      </c>
      <c r="G567" s="257">
        <v>990000</v>
      </c>
      <c r="H567" s="257">
        <v>0</v>
      </c>
      <c r="I567" s="257">
        <v>0</v>
      </c>
      <c r="J567" s="257">
        <v>0</v>
      </c>
      <c r="K567" s="257">
        <v>282312.61</v>
      </c>
      <c r="L567" s="257">
        <v>220766.53</v>
      </c>
      <c r="M567" s="257">
        <v>717687.39</v>
      </c>
      <c r="N567" s="257">
        <v>707687.39</v>
      </c>
    </row>
    <row r="568" spans="1:14" s="143" customFormat="1" hidden="1" x14ac:dyDescent="0.25">
      <c r="A568" s="143" t="s">
        <v>714</v>
      </c>
      <c r="B568" s="143" t="s">
        <v>134</v>
      </c>
      <c r="C568" s="143" t="s">
        <v>135</v>
      </c>
      <c r="D568" s="143" t="s">
        <v>69</v>
      </c>
      <c r="E568" s="257">
        <v>410000</v>
      </c>
      <c r="F568" s="257">
        <v>410000</v>
      </c>
      <c r="G568" s="257">
        <v>410000</v>
      </c>
      <c r="H568" s="257">
        <v>0</v>
      </c>
      <c r="I568" s="257">
        <v>0</v>
      </c>
      <c r="J568" s="257">
        <v>0</v>
      </c>
      <c r="K568" s="257">
        <v>0</v>
      </c>
      <c r="L568" s="257">
        <v>0</v>
      </c>
      <c r="M568" s="257">
        <v>410000</v>
      </c>
      <c r="N568" s="257">
        <v>410000</v>
      </c>
    </row>
    <row r="569" spans="1:14" s="143" customFormat="1" hidden="1" x14ac:dyDescent="0.25">
      <c r="A569" s="143" t="s">
        <v>714</v>
      </c>
      <c r="B569" s="143" t="s">
        <v>346</v>
      </c>
      <c r="C569" s="143" t="s">
        <v>347</v>
      </c>
      <c r="D569" s="143" t="s">
        <v>69</v>
      </c>
      <c r="E569" s="257">
        <v>20000</v>
      </c>
      <c r="F569" s="257">
        <v>20000</v>
      </c>
      <c r="G569" s="257">
        <v>20000</v>
      </c>
      <c r="H569" s="257">
        <v>0</v>
      </c>
      <c r="I569" s="257">
        <v>0</v>
      </c>
      <c r="J569" s="257">
        <v>0</v>
      </c>
      <c r="K569" s="257">
        <v>0</v>
      </c>
      <c r="L569" s="257">
        <v>0</v>
      </c>
      <c r="M569" s="257">
        <v>20000</v>
      </c>
      <c r="N569" s="257">
        <v>20000</v>
      </c>
    </row>
    <row r="570" spans="1:14" s="143" customFormat="1" hidden="1" x14ac:dyDescent="0.25">
      <c r="A570" s="143" t="s">
        <v>714</v>
      </c>
      <c r="B570" s="143" t="s">
        <v>136</v>
      </c>
      <c r="C570" s="143" t="s">
        <v>137</v>
      </c>
      <c r="D570" s="143" t="s">
        <v>69</v>
      </c>
      <c r="E570" s="257">
        <v>350000</v>
      </c>
      <c r="F570" s="257">
        <v>350000</v>
      </c>
      <c r="G570" s="257">
        <v>350000</v>
      </c>
      <c r="H570" s="257">
        <v>0</v>
      </c>
      <c r="I570" s="257">
        <v>0</v>
      </c>
      <c r="J570" s="257">
        <v>0</v>
      </c>
      <c r="K570" s="257">
        <v>0</v>
      </c>
      <c r="L570" s="257">
        <v>0</v>
      </c>
      <c r="M570" s="257">
        <v>350000</v>
      </c>
      <c r="N570" s="257">
        <v>350000</v>
      </c>
    </row>
    <row r="571" spans="1:14" s="143" customFormat="1" hidden="1" x14ac:dyDescent="0.25">
      <c r="A571" s="143" t="s">
        <v>714</v>
      </c>
      <c r="B571" s="143" t="s">
        <v>138</v>
      </c>
      <c r="C571" s="143" t="s">
        <v>139</v>
      </c>
      <c r="D571" s="143" t="s">
        <v>69</v>
      </c>
      <c r="E571" s="257">
        <v>40000</v>
      </c>
      <c r="F571" s="257">
        <v>40000</v>
      </c>
      <c r="G571" s="257">
        <v>40000</v>
      </c>
      <c r="H571" s="257">
        <v>0</v>
      </c>
      <c r="I571" s="257">
        <v>0</v>
      </c>
      <c r="J571" s="257">
        <v>0</v>
      </c>
      <c r="K571" s="257">
        <v>0</v>
      </c>
      <c r="L571" s="257">
        <v>0</v>
      </c>
      <c r="M571" s="257">
        <v>40000</v>
      </c>
      <c r="N571" s="257">
        <v>40000</v>
      </c>
    </row>
    <row r="572" spans="1:14" s="143" customFormat="1" hidden="1" x14ac:dyDescent="0.25">
      <c r="A572" s="143" t="s">
        <v>714</v>
      </c>
      <c r="B572" s="143" t="s">
        <v>162</v>
      </c>
      <c r="C572" s="143" t="s">
        <v>163</v>
      </c>
      <c r="D572" s="143" t="s">
        <v>69</v>
      </c>
      <c r="E572" s="257">
        <v>500000</v>
      </c>
      <c r="F572" s="257">
        <v>500000</v>
      </c>
      <c r="G572" s="257">
        <v>500000</v>
      </c>
      <c r="H572" s="257">
        <v>0</v>
      </c>
      <c r="I572" s="257">
        <v>0</v>
      </c>
      <c r="J572" s="257">
        <v>0</v>
      </c>
      <c r="K572" s="257">
        <v>0</v>
      </c>
      <c r="L572" s="257">
        <v>0</v>
      </c>
      <c r="M572" s="257">
        <v>500000</v>
      </c>
      <c r="N572" s="257">
        <v>500000</v>
      </c>
    </row>
    <row r="573" spans="1:14" s="143" customFormat="1" hidden="1" x14ac:dyDescent="0.25">
      <c r="A573" s="143" t="s">
        <v>714</v>
      </c>
      <c r="B573" s="143" t="s">
        <v>164</v>
      </c>
      <c r="C573" s="143" t="s">
        <v>165</v>
      </c>
      <c r="D573" s="143" t="s">
        <v>69</v>
      </c>
      <c r="E573" s="257">
        <v>100000</v>
      </c>
      <c r="F573" s="257">
        <v>100000</v>
      </c>
      <c r="G573" s="257">
        <v>100000</v>
      </c>
      <c r="H573" s="257">
        <v>0</v>
      </c>
      <c r="I573" s="257">
        <v>0</v>
      </c>
      <c r="J573" s="257">
        <v>0</v>
      </c>
      <c r="K573" s="257">
        <v>0</v>
      </c>
      <c r="L573" s="257">
        <v>0</v>
      </c>
      <c r="M573" s="257">
        <v>100000</v>
      </c>
      <c r="N573" s="257">
        <v>100000</v>
      </c>
    </row>
    <row r="574" spans="1:14" s="143" customFormat="1" hidden="1" x14ac:dyDescent="0.25">
      <c r="A574" s="143" t="s">
        <v>714</v>
      </c>
      <c r="B574" s="143" t="s">
        <v>172</v>
      </c>
      <c r="C574" s="143" t="s">
        <v>173</v>
      </c>
      <c r="D574" s="143" t="s">
        <v>69</v>
      </c>
      <c r="E574" s="257">
        <v>400000</v>
      </c>
      <c r="F574" s="257">
        <v>400000</v>
      </c>
      <c r="G574" s="257">
        <v>400000</v>
      </c>
      <c r="H574" s="257">
        <v>0</v>
      </c>
      <c r="I574" s="257">
        <v>0</v>
      </c>
      <c r="J574" s="257">
        <v>0</v>
      </c>
      <c r="K574" s="257">
        <v>0</v>
      </c>
      <c r="L574" s="257">
        <v>0</v>
      </c>
      <c r="M574" s="257">
        <v>400000</v>
      </c>
      <c r="N574" s="257">
        <v>400000</v>
      </c>
    </row>
    <row r="575" spans="1:14" s="143" customFormat="1" hidden="1" x14ac:dyDescent="0.25">
      <c r="A575" s="143" t="s">
        <v>714</v>
      </c>
      <c r="B575" s="143" t="s">
        <v>184</v>
      </c>
      <c r="C575" s="143" t="s">
        <v>185</v>
      </c>
      <c r="D575" s="143" t="s">
        <v>69</v>
      </c>
      <c r="E575" s="257">
        <v>301595100</v>
      </c>
      <c r="F575" s="257">
        <v>290095100</v>
      </c>
      <c r="G575" s="257">
        <v>133889485</v>
      </c>
      <c r="H575" s="257">
        <v>3243685</v>
      </c>
      <c r="I575" s="257">
        <v>10582340.710000001</v>
      </c>
      <c r="J575" s="257">
        <v>3880220.21</v>
      </c>
      <c r="K575" s="257">
        <v>37668614.640000001</v>
      </c>
      <c r="L575" s="257">
        <v>32014956.640000001</v>
      </c>
      <c r="M575" s="257">
        <v>234720239.44</v>
      </c>
      <c r="N575" s="257">
        <v>78514624.439999998</v>
      </c>
    </row>
    <row r="576" spans="1:14" s="143" customFormat="1" hidden="1" x14ac:dyDescent="0.25">
      <c r="A576" s="143" t="s">
        <v>714</v>
      </c>
      <c r="B576" s="143" t="s">
        <v>186</v>
      </c>
      <c r="C576" s="143" t="s">
        <v>187</v>
      </c>
      <c r="D576" s="143" t="s">
        <v>69</v>
      </c>
      <c r="E576" s="257">
        <v>6620568</v>
      </c>
      <c r="F576" s="257">
        <v>4620568</v>
      </c>
      <c r="G576" s="257">
        <v>3382426</v>
      </c>
      <c r="H576" s="257">
        <v>0</v>
      </c>
      <c r="I576" s="257">
        <v>0</v>
      </c>
      <c r="J576" s="257">
        <v>0</v>
      </c>
      <c r="K576" s="257">
        <v>0</v>
      </c>
      <c r="L576" s="257">
        <v>0</v>
      </c>
      <c r="M576" s="257">
        <v>4620568</v>
      </c>
      <c r="N576" s="257">
        <v>3382426</v>
      </c>
    </row>
    <row r="577" spans="1:14" s="143" customFormat="1" hidden="1" x14ac:dyDescent="0.25">
      <c r="A577" s="143" t="s">
        <v>714</v>
      </c>
      <c r="B577" s="143" t="s">
        <v>188</v>
      </c>
      <c r="C577" s="143" t="s">
        <v>189</v>
      </c>
      <c r="D577" s="143" t="s">
        <v>69</v>
      </c>
      <c r="E577" s="257">
        <v>2413000</v>
      </c>
      <c r="F577" s="257">
        <v>2413000</v>
      </c>
      <c r="G577" s="257">
        <v>1174858</v>
      </c>
      <c r="H577" s="257">
        <v>0</v>
      </c>
      <c r="I577" s="257">
        <v>0</v>
      </c>
      <c r="J577" s="257">
        <v>0</v>
      </c>
      <c r="K577" s="257">
        <v>0</v>
      </c>
      <c r="L577" s="257">
        <v>0</v>
      </c>
      <c r="M577" s="257">
        <v>2413000</v>
      </c>
      <c r="N577" s="257">
        <v>1174858</v>
      </c>
    </row>
    <row r="578" spans="1:14" s="143" customFormat="1" hidden="1" x14ac:dyDescent="0.25">
      <c r="A578" s="143" t="s">
        <v>714</v>
      </c>
      <c r="B578" s="143" t="s">
        <v>350</v>
      </c>
      <c r="C578" s="143" t="s">
        <v>351</v>
      </c>
      <c r="D578" s="143" t="s">
        <v>69</v>
      </c>
      <c r="E578" s="257">
        <v>63287</v>
      </c>
      <c r="F578" s="257">
        <v>63287</v>
      </c>
      <c r="G578" s="257">
        <v>63287</v>
      </c>
      <c r="H578" s="257">
        <v>0</v>
      </c>
      <c r="I578" s="257">
        <v>0</v>
      </c>
      <c r="J578" s="257">
        <v>0</v>
      </c>
      <c r="K578" s="257">
        <v>0</v>
      </c>
      <c r="L578" s="257">
        <v>0</v>
      </c>
      <c r="M578" s="257">
        <v>63287</v>
      </c>
      <c r="N578" s="257">
        <v>63287</v>
      </c>
    </row>
    <row r="579" spans="1:14" s="143" customFormat="1" hidden="1" x14ac:dyDescent="0.25">
      <c r="A579" s="143" t="s">
        <v>714</v>
      </c>
      <c r="B579" s="143" t="s">
        <v>194</v>
      </c>
      <c r="C579" s="143" t="s">
        <v>195</v>
      </c>
      <c r="D579" s="143" t="s">
        <v>69</v>
      </c>
      <c r="E579" s="257">
        <v>4144281</v>
      </c>
      <c r="F579" s="257">
        <v>2144281</v>
      </c>
      <c r="G579" s="257">
        <v>2144281</v>
      </c>
      <c r="H579" s="257">
        <v>0</v>
      </c>
      <c r="I579" s="257">
        <v>0</v>
      </c>
      <c r="J579" s="257">
        <v>0</v>
      </c>
      <c r="K579" s="257">
        <v>0</v>
      </c>
      <c r="L579" s="257">
        <v>0</v>
      </c>
      <c r="M579" s="257">
        <v>2144281</v>
      </c>
      <c r="N579" s="257">
        <v>2144281</v>
      </c>
    </row>
    <row r="580" spans="1:14" s="143" customFormat="1" hidden="1" x14ac:dyDescent="0.25">
      <c r="A580" s="143" t="s">
        <v>714</v>
      </c>
      <c r="B580" s="143" t="s">
        <v>196</v>
      </c>
      <c r="C580" s="143" t="s">
        <v>197</v>
      </c>
      <c r="D580" s="143" t="s">
        <v>69</v>
      </c>
      <c r="E580" s="257">
        <v>280709986</v>
      </c>
      <c r="F580" s="257">
        <v>280709986</v>
      </c>
      <c r="G580" s="257">
        <v>125742513</v>
      </c>
      <c r="H580" s="257">
        <v>899840</v>
      </c>
      <c r="I580" s="257">
        <v>10582340.710000001</v>
      </c>
      <c r="J580" s="257">
        <v>3880220.21</v>
      </c>
      <c r="K580" s="257">
        <v>37668614.640000001</v>
      </c>
      <c r="L580" s="257">
        <v>32014956.640000001</v>
      </c>
      <c r="M580" s="257">
        <v>227678970.44</v>
      </c>
      <c r="N580" s="257">
        <v>72711497.439999998</v>
      </c>
    </row>
    <row r="581" spans="1:14" s="143" customFormat="1" hidden="1" x14ac:dyDescent="0.25">
      <c r="A581" s="143" t="s">
        <v>714</v>
      </c>
      <c r="B581" s="143" t="s">
        <v>579</v>
      </c>
      <c r="C581" s="143" t="s">
        <v>580</v>
      </c>
      <c r="D581" s="143" t="s">
        <v>69</v>
      </c>
      <c r="E581" s="257">
        <v>1988520</v>
      </c>
      <c r="F581" s="257">
        <v>1988520</v>
      </c>
      <c r="G581" s="257">
        <v>1988520</v>
      </c>
      <c r="H581" s="257">
        <v>899840</v>
      </c>
      <c r="I581" s="257">
        <v>0</v>
      </c>
      <c r="J581" s="257">
        <v>0</v>
      </c>
      <c r="K581" s="257">
        <v>0</v>
      </c>
      <c r="L581" s="257">
        <v>0</v>
      </c>
      <c r="M581" s="257">
        <v>1088680</v>
      </c>
      <c r="N581" s="257">
        <v>1088680</v>
      </c>
    </row>
    <row r="582" spans="1:14" s="143" customFormat="1" hidden="1" x14ac:dyDescent="0.25">
      <c r="A582" s="143" t="s">
        <v>714</v>
      </c>
      <c r="B582" s="143" t="s">
        <v>198</v>
      </c>
      <c r="C582" s="143" t="s">
        <v>199</v>
      </c>
      <c r="D582" s="143" t="s">
        <v>69</v>
      </c>
      <c r="E582" s="257">
        <v>278273098</v>
      </c>
      <c r="F582" s="257">
        <v>278273098</v>
      </c>
      <c r="G582" s="257">
        <v>123305625</v>
      </c>
      <c r="H582" s="257">
        <v>0</v>
      </c>
      <c r="I582" s="257">
        <v>10582340.710000001</v>
      </c>
      <c r="J582" s="257">
        <v>3880220.21</v>
      </c>
      <c r="K582" s="257">
        <v>37668614.640000001</v>
      </c>
      <c r="L582" s="257">
        <v>32014956.640000001</v>
      </c>
      <c r="M582" s="257">
        <v>226141922.44</v>
      </c>
      <c r="N582" s="257">
        <v>71174449.439999998</v>
      </c>
    </row>
    <row r="583" spans="1:14" s="143" customFormat="1" hidden="1" x14ac:dyDescent="0.25">
      <c r="A583" s="143" t="s">
        <v>714</v>
      </c>
      <c r="B583" s="143" t="s">
        <v>352</v>
      </c>
      <c r="C583" s="143" t="s">
        <v>353</v>
      </c>
      <c r="D583" s="143" t="s">
        <v>69</v>
      </c>
      <c r="E583" s="257">
        <v>448368</v>
      </c>
      <c r="F583" s="257">
        <v>448368</v>
      </c>
      <c r="G583" s="257">
        <v>448368</v>
      </c>
      <c r="H583" s="257">
        <v>0</v>
      </c>
      <c r="I583" s="257">
        <v>0</v>
      </c>
      <c r="J583" s="257">
        <v>0</v>
      </c>
      <c r="K583" s="257">
        <v>0</v>
      </c>
      <c r="L583" s="257">
        <v>0</v>
      </c>
      <c r="M583" s="257">
        <v>448368</v>
      </c>
      <c r="N583" s="257">
        <v>448368</v>
      </c>
    </row>
    <row r="584" spans="1:14" s="143" customFormat="1" hidden="1" x14ac:dyDescent="0.25">
      <c r="A584" s="143" t="s">
        <v>714</v>
      </c>
      <c r="B584" s="143" t="s">
        <v>200</v>
      </c>
      <c r="C584" s="143" t="s">
        <v>201</v>
      </c>
      <c r="D584" s="143" t="s">
        <v>69</v>
      </c>
      <c r="E584" s="257">
        <v>8117062</v>
      </c>
      <c r="F584" s="257">
        <v>1817062</v>
      </c>
      <c r="G584" s="257">
        <v>1817062</v>
      </c>
      <c r="H584" s="257">
        <v>1417655</v>
      </c>
      <c r="I584" s="257">
        <v>0</v>
      </c>
      <c r="J584" s="257">
        <v>0</v>
      </c>
      <c r="K584" s="257">
        <v>0</v>
      </c>
      <c r="L584" s="257">
        <v>0</v>
      </c>
      <c r="M584" s="257">
        <v>399407</v>
      </c>
      <c r="N584" s="257">
        <v>399407</v>
      </c>
    </row>
    <row r="585" spans="1:14" s="143" customFormat="1" hidden="1" x14ac:dyDescent="0.25">
      <c r="A585" s="143" t="s">
        <v>714</v>
      </c>
      <c r="B585" s="143" t="s">
        <v>314</v>
      </c>
      <c r="C585" s="143" t="s">
        <v>315</v>
      </c>
      <c r="D585" s="143" t="s">
        <v>69</v>
      </c>
      <c r="E585" s="257">
        <v>2959825</v>
      </c>
      <c r="F585" s="257">
        <v>159825</v>
      </c>
      <c r="G585" s="257">
        <v>159825</v>
      </c>
      <c r="H585" s="257">
        <v>0</v>
      </c>
      <c r="I585" s="257">
        <v>0</v>
      </c>
      <c r="J585" s="257">
        <v>0</v>
      </c>
      <c r="K585" s="257">
        <v>0</v>
      </c>
      <c r="L585" s="257">
        <v>0</v>
      </c>
      <c r="M585" s="257">
        <v>159825</v>
      </c>
      <c r="N585" s="257">
        <v>159825</v>
      </c>
    </row>
    <row r="586" spans="1:14" s="143" customFormat="1" hidden="1" x14ac:dyDescent="0.25">
      <c r="A586" s="143" t="s">
        <v>714</v>
      </c>
      <c r="B586" s="143" t="s">
        <v>202</v>
      </c>
      <c r="C586" s="143" t="s">
        <v>203</v>
      </c>
      <c r="D586" s="143" t="s">
        <v>69</v>
      </c>
      <c r="E586" s="257">
        <v>1322500</v>
      </c>
      <c r="F586" s="257">
        <v>22500</v>
      </c>
      <c r="G586" s="257">
        <v>22500</v>
      </c>
      <c r="H586" s="257">
        <v>0</v>
      </c>
      <c r="I586" s="257">
        <v>0</v>
      </c>
      <c r="J586" s="257">
        <v>0</v>
      </c>
      <c r="K586" s="257">
        <v>0</v>
      </c>
      <c r="L586" s="257">
        <v>0</v>
      </c>
      <c r="M586" s="257">
        <v>22500</v>
      </c>
      <c r="N586" s="257">
        <v>22500</v>
      </c>
    </row>
    <row r="587" spans="1:14" s="143" customFormat="1" hidden="1" x14ac:dyDescent="0.25">
      <c r="A587" s="143" t="s">
        <v>714</v>
      </c>
      <c r="B587" s="143" t="s">
        <v>320</v>
      </c>
      <c r="C587" s="143" t="s">
        <v>321</v>
      </c>
      <c r="D587" s="143" t="s">
        <v>69</v>
      </c>
      <c r="E587" s="257">
        <v>220000</v>
      </c>
      <c r="F587" s="257">
        <v>20000</v>
      </c>
      <c r="G587" s="257">
        <v>20000</v>
      </c>
      <c r="H587" s="257">
        <v>0</v>
      </c>
      <c r="I587" s="257">
        <v>0</v>
      </c>
      <c r="J587" s="257">
        <v>0</v>
      </c>
      <c r="K587" s="257">
        <v>0</v>
      </c>
      <c r="L587" s="257">
        <v>0</v>
      </c>
      <c r="M587" s="257">
        <v>20000</v>
      </c>
      <c r="N587" s="257">
        <v>20000</v>
      </c>
    </row>
    <row r="588" spans="1:14" s="143" customFormat="1" hidden="1" x14ac:dyDescent="0.25">
      <c r="A588" s="143" t="s">
        <v>714</v>
      </c>
      <c r="B588" s="143" t="s">
        <v>204</v>
      </c>
      <c r="C588" s="143" t="s">
        <v>205</v>
      </c>
      <c r="D588" s="143" t="s">
        <v>69</v>
      </c>
      <c r="E588" s="257">
        <v>1532505</v>
      </c>
      <c r="F588" s="257">
        <v>1532505</v>
      </c>
      <c r="G588" s="257">
        <v>1532505</v>
      </c>
      <c r="H588" s="257">
        <v>1417655</v>
      </c>
      <c r="I588" s="257">
        <v>0</v>
      </c>
      <c r="J588" s="257">
        <v>0</v>
      </c>
      <c r="K588" s="257">
        <v>0</v>
      </c>
      <c r="L588" s="257">
        <v>0</v>
      </c>
      <c r="M588" s="257">
        <v>114850</v>
      </c>
      <c r="N588" s="257">
        <v>114850</v>
      </c>
    </row>
    <row r="589" spans="1:14" s="143" customFormat="1" hidden="1" x14ac:dyDescent="0.25">
      <c r="A589" s="143" t="s">
        <v>714</v>
      </c>
      <c r="B589" s="143" t="s">
        <v>322</v>
      </c>
      <c r="C589" s="143" t="s">
        <v>323</v>
      </c>
      <c r="D589" s="143" t="s">
        <v>69</v>
      </c>
      <c r="E589" s="257">
        <v>2082232</v>
      </c>
      <c r="F589" s="257">
        <v>82232</v>
      </c>
      <c r="G589" s="257">
        <v>82232</v>
      </c>
      <c r="H589" s="257">
        <v>0</v>
      </c>
      <c r="I589" s="257">
        <v>0</v>
      </c>
      <c r="J589" s="257">
        <v>0</v>
      </c>
      <c r="K589" s="257">
        <v>0</v>
      </c>
      <c r="L589" s="257">
        <v>0</v>
      </c>
      <c r="M589" s="257">
        <v>82232</v>
      </c>
      <c r="N589" s="257">
        <v>82232</v>
      </c>
    </row>
    <row r="590" spans="1:14" s="143" customFormat="1" hidden="1" x14ac:dyDescent="0.25">
      <c r="A590" s="143" t="s">
        <v>714</v>
      </c>
      <c r="B590" s="143" t="s">
        <v>206</v>
      </c>
      <c r="C590" s="143" t="s">
        <v>207</v>
      </c>
      <c r="D590" s="143" t="s">
        <v>69</v>
      </c>
      <c r="E590" s="257">
        <v>1362914</v>
      </c>
      <c r="F590" s="257">
        <v>662914</v>
      </c>
      <c r="G590" s="257">
        <v>662914</v>
      </c>
      <c r="H590" s="257">
        <v>0</v>
      </c>
      <c r="I590" s="257">
        <v>0</v>
      </c>
      <c r="J590" s="257">
        <v>0</v>
      </c>
      <c r="K590" s="257">
        <v>0</v>
      </c>
      <c r="L590" s="257">
        <v>0</v>
      </c>
      <c r="M590" s="257">
        <v>662914</v>
      </c>
      <c r="N590" s="257">
        <v>662914</v>
      </c>
    </row>
    <row r="591" spans="1:14" s="143" customFormat="1" hidden="1" x14ac:dyDescent="0.25">
      <c r="A591" s="143" t="s">
        <v>714</v>
      </c>
      <c r="B591" s="143" t="s">
        <v>208</v>
      </c>
      <c r="C591" s="143" t="s">
        <v>209</v>
      </c>
      <c r="D591" s="143" t="s">
        <v>69</v>
      </c>
      <c r="E591" s="257">
        <v>571414</v>
      </c>
      <c r="F591" s="257">
        <v>571414</v>
      </c>
      <c r="G591" s="257">
        <v>571414</v>
      </c>
      <c r="H591" s="257">
        <v>0</v>
      </c>
      <c r="I591" s="257">
        <v>0</v>
      </c>
      <c r="J591" s="257">
        <v>0</v>
      </c>
      <c r="K591" s="257">
        <v>0</v>
      </c>
      <c r="L591" s="257">
        <v>0</v>
      </c>
      <c r="M591" s="257">
        <v>571414</v>
      </c>
      <c r="N591" s="257">
        <v>571414</v>
      </c>
    </row>
    <row r="592" spans="1:14" s="143" customFormat="1" hidden="1" x14ac:dyDescent="0.25">
      <c r="A592" s="143" t="s">
        <v>714</v>
      </c>
      <c r="B592" s="143" t="s">
        <v>210</v>
      </c>
      <c r="C592" s="143" t="s">
        <v>211</v>
      </c>
      <c r="D592" s="143" t="s">
        <v>69</v>
      </c>
      <c r="E592" s="257">
        <v>791500</v>
      </c>
      <c r="F592" s="257">
        <v>91500</v>
      </c>
      <c r="G592" s="257">
        <v>91500</v>
      </c>
      <c r="H592" s="257">
        <v>0</v>
      </c>
      <c r="I592" s="257">
        <v>0</v>
      </c>
      <c r="J592" s="257">
        <v>0</v>
      </c>
      <c r="K592" s="257">
        <v>0</v>
      </c>
      <c r="L592" s="257">
        <v>0</v>
      </c>
      <c r="M592" s="257">
        <v>91500</v>
      </c>
      <c r="N592" s="257">
        <v>91500</v>
      </c>
    </row>
    <row r="593" spans="1:14" s="143" customFormat="1" hidden="1" x14ac:dyDescent="0.25">
      <c r="A593" s="143" t="s">
        <v>714</v>
      </c>
      <c r="B593" s="143" t="s">
        <v>354</v>
      </c>
      <c r="C593" s="143" t="s">
        <v>355</v>
      </c>
      <c r="D593" s="143" t="s">
        <v>69</v>
      </c>
      <c r="E593" s="257">
        <v>585840</v>
      </c>
      <c r="F593" s="257">
        <v>585840</v>
      </c>
      <c r="G593" s="257">
        <v>585840</v>
      </c>
      <c r="H593" s="257">
        <v>0</v>
      </c>
      <c r="I593" s="257">
        <v>0</v>
      </c>
      <c r="J593" s="257">
        <v>0</v>
      </c>
      <c r="K593" s="257">
        <v>0</v>
      </c>
      <c r="L593" s="257">
        <v>0</v>
      </c>
      <c r="M593" s="257">
        <v>585840</v>
      </c>
      <c r="N593" s="257">
        <v>585840</v>
      </c>
    </row>
    <row r="594" spans="1:14" s="143" customFormat="1" hidden="1" x14ac:dyDescent="0.25">
      <c r="A594" s="143" t="s">
        <v>714</v>
      </c>
      <c r="B594" s="143" t="s">
        <v>356</v>
      </c>
      <c r="C594" s="143" t="s">
        <v>357</v>
      </c>
      <c r="D594" s="143" t="s">
        <v>69</v>
      </c>
      <c r="E594" s="257">
        <v>585840</v>
      </c>
      <c r="F594" s="257">
        <v>585840</v>
      </c>
      <c r="G594" s="257">
        <v>585840</v>
      </c>
      <c r="H594" s="257">
        <v>0</v>
      </c>
      <c r="I594" s="257">
        <v>0</v>
      </c>
      <c r="J594" s="257">
        <v>0</v>
      </c>
      <c r="K594" s="257">
        <v>0</v>
      </c>
      <c r="L594" s="257">
        <v>0</v>
      </c>
      <c r="M594" s="257">
        <v>585840</v>
      </c>
      <c r="N594" s="257">
        <v>585840</v>
      </c>
    </row>
    <row r="595" spans="1:14" s="143" customFormat="1" hidden="1" x14ac:dyDescent="0.25">
      <c r="A595" s="143" t="s">
        <v>714</v>
      </c>
      <c r="B595" s="143" t="s">
        <v>212</v>
      </c>
      <c r="C595" s="143" t="s">
        <v>213</v>
      </c>
      <c r="D595" s="143" t="s">
        <v>69</v>
      </c>
      <c r="E595" s="257">
        <v>4198730</v>
      </c>
      <c r="F595" s="257">
        <v>1698730</v>
      </c>
      <c r="G595" s="257">
        <v>1698730</v>
      </c>
      <c r="H595" s="257">
        <v>926190</v>
      </c>
      <c r="I595" s="257">
        <v>0</v>
      </c>
      <c r="J595" s="257">
        <v>0</v>
      </c>
      <c r="K595" s="257">
        <v>0</v>
      </c>
      <c r="L595" s="257">
        <v>0</v>
      </c>
      <c r="M595" s="257">
        <v>772540</v>
      </c>
      <c r="N595" s="257">
        <v>772540</v>
      </c>
    </row>
    <row r="596" spans="1:14" s="143" customFormat="1" hidden="1" x14ac:dyDescent="0.25">
      <c r="A596" s="143" t="s">
        <v>714</v>
      </c>
      <c r="B596" s="143" t="s">
        <v>220</v>
      </c>
      <c r="C596" s="143" t="s">
        <v>221</v>
      </c>
      <c r="D596" s="143" t="s">
        <v>69</v>
      </c>
      <c r="E596" s="257">
        <v>1076090</v>
      </c>
      <c r="F596" s="257">
        <v>1076090</v>
      </c>
      <c r="G596" s="257">
        <v>1076090</v>
      </c>
      <c r="H596" s="257">
        <v>926190</v>
      </c>
      <c r="I596" s="257">
        <v>0</v>
      </c>
      <c r="J596" s="257">
        <v>0</v>
      </c>
      <c r="K596" s="257">
        <v>0</v>
      </c>
      <c r="L596" s="257">
        <v>0</v>
      </c>
      <c r="M596" s="257">
        <v>149900</v>
      </c>
      <c r="N596" s="257">
        <v>149900</v>
      </c>
    </row>
    <row r="597" spans="1:14" s="143" customFormat="1" hidden="1" x14ac:dyDescent="0.25">
      <c r="A597" s="143" t="s">
        <v>714</v>
      </c>
      <c r="B597" s="143" t="s">
        <v>222</v>
      </c>
      <c r="C597" s="143" t="s">
        <v>223</v>
      </c>
      <c r="D597" s="143" t="s">
        <v>69</v>
      </c>
      <c r="E597" s="257">
        <v>35760</v>
      </c>
      <c r="F597" s="257">
        <v>35760</v>
      </c>
      <c r="G597" s="257">
        <v>35760</v>
      </c>
      <c r="H597" s="257">
        <v>0</v>
      </c>
      <c r="I597" s="257">
        <v>0</v>
      </c>
      <c r="J597" s="257">
        <v>0</v>
      </c>
      <c r="K597" s="257">
        <v>0</v>
      </c>
      <c r="L597" s="257">
        <v>0</v>
      </c>
      <c r="M597" s="257">
        <v>35760</v>
      </c>
      <c r="N597" s="257">
        <v>35760</v>
      </c>
    </row>
    <row r="598" spans="1:14" s="143" customFormat="1" hidden="1" x14ac:dyDescent="0.25">
      <c r="A598" s="143" t="s">
        <v>714</v>
      </c>
      <c r="B598" s="143" t="s">
        <v>224</v>
      </c>
      <c r="C598" s="143" t="s">
        <v>225</v>
      </c>
      <c r="D598" s="143" t="s">
        <v>69</v>
      </c>
      <c r="E598" s="257">
        <v>2587400</v>
      </c>
      <c r="F598" s="257">
        <v>87400</v>
      </c>
      <c r="G598" s="257">
        <v>87400</v>
      </c>
      <c r="H598" s="257">
        <v>0</v>
      </c>
      <c r="I598" s="257">
        <v>0</v>
      </c>
      <c r="J598" s="257">
        <v>0</v>
      </c>
      <c r="K598" s="257">
        <v>0</v>
      </c>
      <c r="L598" s="257">
        <v>0</v>
      </c>
      <c r="M598" s="257">
        <v>87400</v>
      </c>
      <c r="N598" s="257">
        <v>87400</v>
      </c>
    </row>
    <row r="599" spans="1:14" s="143" customFormat="1" hidden="1" x14ac:dyDescent="0.25">
      <c r="A599" s="143" t="s">
        <v>714</v>
      </c>
      <c r="B599" s="143" t="s">
        <v>228</v>
      </c>
      <c r="C599" s="143" t="s">
        <v>229</v>
      </c>
      <c r="D599" s="143" t="s">
        <v>69</v>
      </c>
      <c r="E599" s="257">
        <v>499480</v>
      </c>
      <c r="F599" s="257">
        <v>499480</v>
      </c>
      <c r="G599" s="257">
        <v>499480</v>
      </c>
      <c r="H599" s="257">
        <v>0</v>
      </c>
      <c r="I599" s="257">
        <v>0</v>
      </c>
      <c r="J599" s="257">
        <v>0</v>
      </c>
      <c r="K599" s="257">
        <v>0</v>
      </c>
      <c r="L599" s="257">
        <v>0</v>
      </c>
      <c r="M599" s="257">
        <v>499480</v>
      </c>
      <c r="N599" s="257">
        <v>499480</v>
      </c>
    </row>
    <row r="600" spans="1:14" s="143" customFormat="1" hidden="1" x14ac:dyDescent="0.25">
      <c r="A600" s="143" t="s">
        <v>714</v>
      </c>
      <c r="B600" s="143" t="s">
        <v>230</v>
      </c>
      <c r="C600" s="143" t="s">
        <v>231</v>
      </c>
      <c r="D600" s="143" t="s">
        <v>85</v>
      </c>
      <c r="E600" s="257">
        <v>5038000</v>
      </c>
      <c r="F600" s="257">
        <v>738000</v>
      </c>
      <c r="G600" s="257">
        <v>738000</v>
      </c>
      <c r="H600" s="257">
        <v>0</v>
      </c>
      <c r="I600" s="257">
        <v>75000</v>
      </c>
      <c r="J600" s="257">
        <v>0</v>
      </c>
      <c r="K600" s="257">
        <v>0</v>
      </c>
      <c r="L600" s="257">
        <v>0</v>
      </c>
      <c r="M600" s="257">
        <v>663000</v>
      </c>
      <c r="N600" s="257">
        <v>663000</v>
      </c>
    </row>
    <row r="601" spans="1:14" s="143" customFormat="1" hidden="1" x14ac:dyDescent="0.25">
      <c r="A601" s="143" t="s">
        <v>714</v>
      </c>
      <c r="B601" s="143" t="s">
        <v>232</v>
      </c>
      <c r="C601" s="143" t="s">
        <v>233</v>
      </c>
      <c r="D601" s="143" t="s">
        <v>85</v>
      </c>
      <c r="E601" s="257">
        <v>4954000</v>
      </c>
      <c r="F601" s="257">
        <v>654000</v>
      </c>
      <c r="G601" s="257">
        <v>654000</v>
      </c>
      <c r="H601" s="257">
        <v>0</v>
      </c>
      <c r="I601" s="257">
        <v>0</v>
      </c>
      <c r="J601" s="257">
        <v>0</v>
      </c>
      <c r="K601" s="257">
        <v>0</v>
      </c>
      <c r="L601" s="257">
        <v>0</v>
      </c>
      <c r="M601" s="257">
        <v>654000</v>
      </c>
      <c r="N601" s="257">
        <v>654000</v>
      </c>
    </row>
    <row r="602" spans="1:14" s="143" customFormat="1" hidden="1" x14ac:dyDescent="0.25">
      <c r="A602" s="143" t="s">
        <v>714</v>
      </c>
      <c r="B602" s="143" t="s">
        <v>234</v>
      </c>
      <c r="C602" s="143" t="s">
        <v>235</v>
      </c>
      <c r="D602" s="143" t="s">
        <v>85</v>
      </c>
      <c r="E602" s="257">
        <v>3565000</v>
      </c>
      <c r="F602" s="257">
        <v>565000</v>
      </c>
      <c r="G602" s="257">
        <v>565000</v>
      </c>
      <c r="H602" s="257">
        <v>0</v>
      </c>
      <c r="I602" s="257">
        <v>0</v>
      </c>
      <c r="J602" s="257">
        <v>0</v>
      </c>
      <c r="K602" s="257">
        <v>0</v>
      </c>
      <c r="L602" s="257">
        <v>0</v>
      </c>
      <c r="M602" s="257">
        <v>565000</v>
      </c>
      <c r="N602" s="257">
        <v>565000</v>
      </c>
    </row>
    <row r="603" spans="1:14" s="143" customFormat="1" hidden="1" x14ac:dyDescent="0.25">
      <c r="A603" s="143" t="s">
        <v>714</v>
      </c>
      <c r="B603" s="143" t="s">
        <v>242</v>
      </c>
      <c r="C603" s="143" t="s">
        <v>243</v>
      </c>
      <c r="D603" s="143" t="s">
        <v>85</v>
      </c>
      <c r="E603" s="257">
        <v>1389000</v>
      </c>
      <c r="F603" s="257">
        <v>89000</v>
      </c>
      <c r="G603" s="257">
        <v>89000</v>
      </c>
      <c r="H603" s="257">
        <v>0</v>
      </c>
      <c r="I603" s="257">
        <v>0</v>
      </c>
      <c r="J603" s="257">
        <v>0</v>
      </c>
      <c r="K603" s="257">
        <v>0</v>
      </c>
      <c r="L603" s="257">
        <v>0</v>
      </c>
      <c r="M603" s="257">
        <v>89000</v>
      </c>
      <c r="N603" s="257">
        <v>89000</v>
      </c>
    </row>
    <row r="604" spans="1:14" s="143" customFormat="1" hidden="1" x14ac:dyDescent="0.25">
      <c r="A604" s="143" t="s">
        <v>714</v>
      </c>
      <c r="B604" s="143" t="s">
        <v>244</v>
      </c>
      <c r="C604" s="143" t="s">
        <v>245</v>
      </c>
      <c r="D604" s="143" t="s">
        <v>85</v>
      </c>
      <c r="E604" s="257">
        <v>84000</v>
      </c>
      <c r="F604" s="257">
        <v>84000</v>
      </c>
      <c r="G604" s="257">
        <v>84000</v>
      </c>
      <c r="H604" s="257">
        <v>0</v>
      </c>
      <c r="I604" s="257">
        <v>75000</v>
      </c>
      <c r="J604" s="257">
        <v>0</v>
      </c>
      <c r="K604" s="257">
        <v>0</v>
      </c>
      <c r="L604" s="257">
        <v>0</v>
      </c>
      <c r="M604" s="257">
        <v>9000</v>
      </c>
      <c r="N604" s="257">
        <v>9000</v>
      </c>
    </row>
    <row r="605" spans="1:14" s="143" customFormat="1" hidden="1" x14ac:dyDescent="0.25">
      <c r="A605" s="143" t="s">
        <v>714</v>
      </c>
      <c r="B605" s="143" t="s">
        <v>611</v>
      </c>
      <c r="C605" s="143" t="s">
        <v>612</v>
      </c>
      <c r="D605" s="143" t="s">
        <v>85</v>
      </c>
      <c r="E605" s="257">
        <v>84000</v>
      </c>
      <c r="F605" s="257">
        <v>84000</v>
      </c>
      <c r="G605" s="257">
        <v>84000</v>
      </c>
      <c r="H605" s="257">
        <v>0</v>
      </c>
      <c r="I605" s="257">
        <v>75000</v>
      </c>
      <c r="J605" s="257">
        <v>0</v>
      </c>
      <c r="K605" s="257">
        <v>0</v>
      </c>
      <c r="L605" s="257">
        <v>0</v>
      </c>
      <c r="M605" s="257">
        <v>9000</v>
      </c>
      <c r="N605" s="257">
        <v>9000</v>
      </c>
    </row>
    <row r="606" spans="1:14" s="143" customFormat="1" hidden="1" x14ac:dyDescent="0.25">
      <c r="A606" s="143" t="s">
        <v>714</v>
      </c>
      <c r="B606" s="143" t="s">
        <v>248</v>
      </c>
      <c r="C606" s="143" t="s">
        <v>249</v>
      </c>
      <c r="D606" s="143" t="s">
        <v>69</v>
      </c>
      <c r="E606" s="257">
        <v>32319360</v>
      </c>
      <c r="F606" s="257">
        <v>31841288</v>
      </c>
      <c r="G606" s="257">
        <v>31657427</v>
      </c>
      <c r="H606" s="257">
        <v>0</v>
      </c>
      <c r="I606" s="257">
        <v>17128874</v>
      </c>
      <c r="J606" s="257">
        <v>0</v>
      </c>
      <c r="K606" s="257">
        <v>7925347</v>
      </c>
      <c r="L606" s="257">
        <v>7925347</v>
      </c>
      <c r="M606" s="257">
        <v>6787067</v>
      </c>
      <c r="N606" s="257">
        <v>6603206</v>
      </c>
    </row>
    <row r="607" spans="1:14" s="143" customFormat="1" hidden="1" x14ac:dyDescent="0.25">
      <c r="A607" s="143" t="s">
        <v>714</v>
      </c>
      <c r="B607" s="143" t="s">
        <v>250</v>
      </c>
      <c r="C607" s="143" t="s">
        <v>251</v>
      </c>
      <c r="D607" s="143" t="s">
        <v>69</v>
      </c>
      <c r="E607" s="257">
        <v>24819360</v>
      </c>
      <c r="F607" s="257">
        <v>24341288</v>
      </c>
      <c r="G607" s="257">
        <v>24157427</v>
      </c>
      <c r="H607" s="257">
        <v>0</v>
      </c>
      <c r="I607" s="257">
        <v>17128874</v>
      </c>
      <c r="J607" s="257">
        <v>0</v>
      </c>
      <c r="K607" s="257">
        <v>7028553</v>
      </c>
      <c r="L607" s="257">
        <v>7028553</v>
      </c>
      <c r="M607" s="257">
        <v>183861</v>
      </c>
      <c r="N607" s="257">
        <v>0</v>
      </c>
    </row>
    <row r="608" spans="1:14" s="143" customFormat="1" hidden="1" x14ac:dyDescent="0.25">
      <c r="A608" s="143" t="s">
        <v>714</v>
      </c>
      <c r="B608" s="143" t="s">
        <v>633</v>
      </c>
      <c r="C608" s="143" t="s">
        <v>702</v>
      </c>
      <c r="D608" s="143" t="s">
        <v>69</v>
      </c>
      <c r="E608" s="257">
        <v>21081545</v>
      </c>
      <c r="F608" s="257">
        <v>20675471</v>
      </c>
      <c r="G608" s="257">
        <v>20519300</v>
      </c>
      <c r="H608" s="257">
        <v>0</v>
      </c>
      <c r="I608" s="257">
        <v>14577441</v>
      </c>
      <c r="J608" s="257">
        <v>0</v>
      </c>
      <c r="K608" s="257">
        <v>5941859</v>
      </c>
      <c r="L608" s="257">
        <v>5941859</v>
      </c>
      <c r="M608" s="257">
        <v>156171</v>
      </c>
      <c r="N608" s="257">
        <v>0</v>
      </c>
    </row>
    <row r="609" spans="1:14" s="143" customFormat="1" hidden="1" x14ac:dyDescent="0.25">
      <c r="A609" s="143" t="s">
        <v>714</v>
      </c>
      <c r="B609" s="143" t="s">
        <v>648</v>
      </c>
      <c r="C609" s="143" t="s">
        <v>703</v>
      </c>
      <c r="D609" s="143" t="s">
        <v>69</v>
      </c>
      <c r="E609" s="257">
        <v>3737815</v>
      </c>
      <c r="F609" s="257">
        <v>3665817</v>
      </c>
      <c r="G609" s="257">
        <v>3638127</v>
      </c>
      <c r="H609" s="257">
        <v>0</v>
      </c>
      <c r="I609" s="257">
        <v>2551433</v>
      </c>
      <c r="J609" s="257">
        <v>0</v>
      </c>
      <c r="K609" s="257">
        <v>1086694</v>
      </c>
      <c r="L609" s="257">
        <v>1086694</v>
      </c>
      <c r="M609" s="257">
        <v>27690</v>
      </c>
      <c r="N609" s="257">
        <v>0</v>
      </c>
    </row>
    <row r="610" spans="1:14" s="143" customFormat="1" hidden="1" x14ac:dyDescent="0.25">
      <c r="A610" s="143" t="s">
        <v>714</v>
      </c>
      <c r="B610" s="143" t="s">
        <v>260</v>
      </c>
      <c r="C610" s="143" t="s">
        <v>261</v>
      </c>
      <c r="D610" s="143" t="s">
        <v>69</v>
      </c>
      <c r="E610" s="257">
        <v>7500000</v>
      </c>
      <c r="F610" s="257">
        <v>7500000</v>
      </c>
      <c r="G610" s="257">
        <v>7500000</v>
      </c>
      <c r="H610" s="257">
        <v>0</v>
      </c>
      <c r="I610" s="257">
        <v>0</v>
      </c>
      <c r="J610" s="257">
        <v>0</v>
      </c>
      <c r="K610" s="257">
        <v>896794</v>
      </c>
      <c r="L610" s="257">
        <v>896794</v>
      </c>
      <c r="M610" s="257">
        <v>6603206</v>
      </c>
      <c r="N610" s="257">
        <v>6603206</v>
      </c>
    </row>
    <row r="611" spans="1:14" s="143" customFormat="1" hidden="1" x14ac:dyDescent="0.25">
      <c r="A611" s="143" t="s">
        <v>714</v>
      </c>
      <c r="B611" s="143" t="s">
        <v>264</v>
      </c>
      <c r="C611" s="143" t="s">
        <v>265</v>
      </c>
      <c r="D611" s="143" t="s">
        <v>69</v>
      </c>
      <c r="E611" s="257">
        <v>7500000</v>
      </c>
      <c r="F611" s="257">
        <v>7500000</v>
      </c>
      <c r="G611" s="257">
        <v>7500000</v>
      </c>
      <c r="H611" s="257">
        <v>0</v>
      </c>
      <c r="I611" s="257">
        <v>0</v>
      </c>
      <c r="J611" s="257">
        <v>0</v>
      </c>
      <c r="K611" s="257">
        <v>896794</v>
      </c>
      <c r="L611" s="257">
        <v>896794</v>
      </c>
      <c r="M611" s="257">
        <v>6603206</v>
      </c>
      <c r="N611" s="257">
        <v>6603206</v>
      </c>
    </row>
    <row r="612" spans="1:14" s="143" customFormat="1" x14ac:dyDescent="0.25">
      <c r="A612" s="44">
        <v>214789005</v>
      </c>
      <c r="D612" s="44" t="s">
        <v>69</v>
      </c>
      <c r="E612" s="257">
        <v>1188120522</v>
      </c>
      <c r="F612" s="50">
        <v>1164075462</v>
      </c>
      <c r="G612" s="257">
        <v>1136705142</v>
      </c>
      <c r="H612" s="50">
        <v>0</v>
      </c>
      <c r="I612" s="50">
        <v>138886261.22</v>
      </c>
      <c r="J612" s="50">
        <v>0</v>
      </c>
      <c r="K612" s="50">
        <v>355361486.91000003</v>
      </c>
      <c r="L612" s="50">
        <v>355361486.91000003</v>
      </c>
      <c r="M612" s="50">
        <v>669827713.87</v>
      </c>
      <c r="N612" s="257">
        <v>642457393.87</v>
      </c>
    </row>
    <row r="613" spans="1:14" s="143" customFormat="1" hidden="1" x14ac:dyDescent="0.25">
      <c r="A613" s="143" t="s">
        <v>715</v>
      </c>
      <c r="B613" s="143" t="s">
        <v>71</v>
      </c>
      <c r="C613" s="143" t="s">
        <v>72</v>
      </c>
      <c r="D613" s="143" t="s">
        <v>69</v>
      </c>
      <c r="E613" s="257">
        <v>1139557000</v>
      </c>
      <c r="F613" s="257">
        <v>1115820185</v>
      </c>
      <c r="G613" s="257">
        <v>1107863284</v>
      </c>
      <c r="H613" s="257">
        <v>0</v>
      </c>
      <c r="I613" s="257">
        <v>121763746</v>
      </c>
      <c r="J613" s="257">
        <v>0</v>
      </c>
      <c r="K613" s="257">
        <v>348483284.13</v>
      </c>
      <c r="L613" s="257">
        <v>348483284.13</v>
      </c>
      <c r="M613" s="257">
        <v>645573154.87</v>
      </c>
      <c r="N613" s="257">
        <v>637616253.87</v>
      </c>
    </row>
    <row r="614" spans="1:14" s="143" customFormat="1" hidden="1" x14ac:dyDescent="0.25">
      <c r="A614" s="143" t="s">
        <v>715</v>
      </c>
      <c r="B614" s="143" t="s">
        <v>73</v>
      </c>
      <c r="C614" s="143" t="s">
        <v>74</v>
      </c>
      <c r="D614" s="143" t="s">
        <v>69</v>
      </c>
      <c r="E614" s="257">
        <v>400867000</v>
      </c>
      <c r="F614" s="257">
        <v>388692700</v>
      </c>
      <c r="G614" s="257">
        <v>388692700</v>
      </c>
      <c r="H614" s="257">
        <v>0</v>
      </c>
      <c r="I614" s="257">
        <v>0</v>
      </c>
      <c r="J614" s="257">
        <v>0</v>
      </c>
      <c r="K614" s="257">
        <v>121311637.86</v>
      </c>
      <c r="L614" s="257">
        <v>121311637.86</v>
      </c>
      <c r="M614" s="257">
        <v>267381062.13999999</v>
      </c>
      <c r="N614" s="257">
        <v>267381062.13999999</v>
      </c>
    </row>
    <row r="615" spans="1:14" s="143" customFormat="1" hidden="1" x14ac:dyDescent="0.25">
      <c r="A615" s="143" t="s">
        <v>715</v>
      </c>
      <c r="B615" s="143" t="s">
        <v>75</v>
      </c>
      <c r="C615" s="143" t="s">
        <v>76</v>
      </c>
      <c r="D615" s="143" t="s">
        <v>69</v>
      </c>
      <c r="E615" s="257">
        <v>400867000</v>
      </c>
      <c r="F615" s="257">
        <v>388692700</v>
      </c>
      <c r="G615" s="257">
        <v>388692700</v>
      </c>
      <c r="H615" s="257">
        <v>0</v>
      </c>
      <c r="I615" s="257">
        <v>0</v>
      </c>
      <c r="J615" s="257">
        <v>0</v>
      </c>
      <c r="K615" s="257">
        <v>121311637.86</v>
      </c>
      <c r="L615" s="257">
        <v>121311637.86</v>
      </c>
      <c r="M615" s="257">
        <v>267381062.13999999</v>
      </c>
      <c r="N615" s="257">
        <v>267381062.13999999</v>
      </c>
    </row>
    <row r="616" spans="1:14" s="143" customFormat="1" hidden="1" x14ac:dyDescent="0.25">
      <c r="A616" s="143" t="s">
        <v>715</v>
      </c>
      <c r="B616" s="143" t="s">
        <v>77</v>
      </c>
      <c r="C616" s="143" t="s">
        <v>78</v>
      </c>
      <c r="D616" s="143" t="s">
        <v>69</v>
      </c>
      <c r="E616" s="257">
        <v>564855020</v>
      </c>
      <c r="F616" s="257">
        <v>556913468</v>
      </c>
      <c r="G616" s="257">
        <v>550170363</v>
      </c>
      <c r="H616" s="257">
        <v>0</v>
      </c>
      <c r="I616" s="257">
        <v>0</v>
      </c>
      <c r="J616" s="257">
        <v>0</v>
      </c>
      <c r="K616" s="257">
        <v>179935171.27000001</v>
      </c>
      <c r="L616" s="257">
        <v>179935171.27000001</v>
      </c>
      <c r="M616" s="257">
        <v>376978296.73000002</v>
      </c>
      <c r="N616" s="257">
        <v>370235191.73000002</v>
      </c>
    </row>
    <row r="617" spans="1:14" s="143" customFormat="1" hidden="1" x14ac:dyDescent="0.25">
      <c r="A617" s="143" t="s">
        <v>715</v>
      </c>
      <c r="B617" s="143" t="s">
        <v>79</v>
      </c>
      <c r="C617" s="143" t="s">
        <v>80</v>
      </c>
      <c r="D617" s="143" t="s">
        <v>69</v>
      </c>
      <c r="E617" s="257">
        <v>153608900</v>
      </c>
      <c r="F617" s="257">
        <v>153608900</v>
      </c>
      <c r="G617" s="257">
        <v>147384303</v>
      </c>
      <c r="H617" s="257">
        <v>0</v>
      </c>
      <c r="I617" s="257">
        <v>0</v>
      </c>
      <c r="J617" s="257">
        <v>0</v>
      </c>
      <c r="K617" s="257">
        <v>39721520.310000002</v>
      </c>
      <c r="L617" s="257">
        <v>39721520.310000002</v>
      </c>
      <c r="M617" s="257">
        <v>113887379.69</v>
      </c>
      <c r="N617" s="257">
        <v>107662782.69</v>
      </c>
    </row>
    <row r="618" spans="1:14" s="143" customFormat="1" hidden="1" x14ac:dyDescent="0.25">
      <c r="A618" s="143" t="s">
        <v>715</v>
      </c>
      <c r="B618" s="143" t="s">
        <v>81</v>
      </c>
      <c r="C618" s="143" t="s">
        <v>82</v>
      </c>
      <c r="D618" s="143" t="s">
        <v>69</v>
      </c>
      <c r="E618" s="257">
        <v>194052109</v>
      </c>
      <c r="F618" s="257">
        <v>188799681</v>
      </c>
      <c r="G618" s="257">
        <v>188799681</v>
      </c>
      <c r="H618" s="257">
        <v>0</v>
      </c>
      <c r="I618" s="257">
        <v>0</v>
      </c>
      <c r="J618" s="257">
        <v>0</v>
      </c>
      <c r="K618" s="257">
        <v>57757530.969999999</v>
      </c>
      <c r="L618" s="257">
        <v>57757530.969999999</v>
      </c>
      <c r="M618" s="257">
        <v>131042150.03</v>
      </c>
      <c r="N618" s="257">
        <v>131042150.03</v>
      </c>
    </row>
    <row r="619" spans="1:14" s="143" customFormat="1" hidden="1" x14ac:dyDescent="0.25">
      <c r="A619" s="143" t="s">
        <v>715</v>
      </c>
      <c r="B619" s="143" t="s">
        <v>83</v>
      </c>
      <c r="C619" s="143" t="s">
        <v>84</v>
      </c>
      <c r="D619" s="143" t="s">
        <v>85</v>
      </c>
      <c r="E619" s="257">
        <v>74258811</v>
      </c>
      <c r="F619" s="257">
        <v>72712009</v>
      </c>
      <c r="G619" s="257">
        <v>72193501</v>
      </c>
      <c r="H619" s="257">
        <v>0</v>
      </c>
      <c r="I619" s="257">
        <v>0</v>
      </c>
      <c r="J619" s="257">
        <v>0</v>
      </c>
      <c r="K619" s="257">
        <v>0</v>
      </c>
      <c r="L619" s="257">
        <v>0</v>
      </c>
      <c r="M619" s="257">
        <v>72712009</v>
      </c>
      <c r="N619" s="257">
        <v>72193501</v>
      </c>
    </row>
    <row r="620" spans="1:14" s="143" customFormat="1" hidden="1" x14ac:dyDescent="0.25">
      <c r="A620" s="143" t="s">
        <v>715</v>
      </c>
      <c r="B620" s="143" t="s">
        <v>86</v>
      </c>
      <c r="C620" s="143" t="s">
        <v>87</v>
      </c>
      <c r="D620" s="143" t="s">
        <v>69</v>
      </c>
      <c r="E620" s="257">
        <v>68267000</v>
      </c>
      <c r="F620" s="257">
        <v>68267000</v>
      </c>
      <c r="G620" s="257">
        <v>68267000</v>
      </c>
      <c r="H620" s="257">
        <v>0</v>
      </c>
      <c r="I620" s="257">
        <v>0</v>
      </c>
      <c r="J620" s="257">
        <v>0</v>
      </c>
      <c r="K620" s="257">
        <v>61310698.509999998</v>
      </c>
      <c r="L620" s="257">
        <v>61310698.509999998</v>
      </c>
      <c r="M620" s="257">
        <v>6956301.4900000002</v>
      </c>
      <c r="N620" s="257">
        <v>6956301.4900000002</v>
      </c>
    </row>
    <row r="621" spans="1:14" s="143" customFormat="1" hidden="1" x14ac:dyDescent="0.25">
      <c r="A621" s="143" t="s">
        <v>715</v>
      </c>
      <c r="B621" s="143" t="s">
        <v>88</v>
      </c>
      <c r="C621" s="143" t="s">
        <v>89</v>
      </c>
      <c r="D621" s="143" t="s">
        <v>69</v>
      </c>
      <c r="E621" s="257">
        <v>74668200</v>
      </c>
      <c r="F621" s="257">
        <v>73525878</v>
      </c>
      <c r="G621" s="257">
        <v>73525878</v>
      </c>
      <c r="H621" s="257">
        <v>0</v>
      </c>
      <c r="I621" s="257">
        <v>0</v>
      </c>
      <c r="J621" s="257">
        <v>0</v>
      </c>
      <c r="K621" s="257">
        <v>21145421.48</v>
      </c>
      <c r="L621" s="257">
        <v>21145421.48</v>
      </c>
      <c r="M621" s="257">
        <v>52380456.520000003</v>
      </c>
      <c r="N621" s="257">
        <v>52380456.520000003</v>
      </c>
    </row>
    <row r="622" spans="1:14" s="143" customFormat="1" hidden="1" x14ac:dyDescent="0.25">
      <c r="A622" s="143" t="s">
        <v>715</v>
      </c>
      <c r="B622" s="143" t="s">
        <v>90</v>
      </c>
      <c r="C622" s="143" t="s">
        <v>91</v>
      </c>
      <c r="D622" s="143" t="s">
        <v>69</v>
      </c>
      <c r="E622" s="257">
        <v>86917540</v>
      </c>
      <c r="F622" s="257">
        <v>85107058</v>
      </c>
      <c r="G622" s="257">
        <v>84500160</v>
      </c>
      <c r="H622" s="257">
        <v>0</v>
      </c>
      <c r="I622" s="257">
        <v>60826571</v>
      </c>
      <c r="J622" s="257">
        <v>0</v>
      </c>
      <c r="K622" s="257">
        <v>23673589</v>
      </c>
      <c r="L622" s="257">
        <v>23673589</v>
      </c>
      <c r="M622" s="257">
        <v>606898</v>
      </c>
      <c r="N622" s="257">
        <v>0</v>
      </c>
    </row>
    <row r="623" spans="1:14" s="143" customFormat="1" hidden="1" x14ac:dyDescent="0.25">
      <c r="A623" s="143" t="s">
        <v>715</v>
      </c>
      <c r="B623" s="143" t="s">
        <v>425</v>
      </c>
      <c r="C623" s="143" t="s">
        <v>697</v>
      </c>
      <c r="D623" s="143" t="s">
        <v>69</v>
      </c>
      <c r="E623" s="257">
        <v>82460320</v>
      </c>
      <c r="F623" s="257">
        <v>80742683</v>
      </c>
      <c r="G623" s="257">
        <v>80166908</v>
      </c>
      <c r="H623" s="257">
        <v>0</v>
      </c>
      <c r="I623" s="257">
        <v>57707350</v>
      </c>
      <c r="J623" s="257">
        <v>0</v>
      </c>
      <c r="K623" s="257">
        <v>22459558</v>
      </c>
      <c r="L623" s="257">
        <v>22459558</v>
      </c>
      <c r="M623" s="257">
        <v>575775</v>
      </c>
      <c r="N623" s="257">
        <v>0</v>
      </c>
    </row>
    <row r="624" spans="1:14" s="143" customFormat="1" hidden="1" x14ac:dyDescent="0.25">
      <c r="A624" s="143" t="s">
        <v>715</v>
      </c>
      <c r="B624" s="143" t="s">
        <v>442</v>
      </c>
      <c r="C624" s="143" t="s">
        <v>95</v>
      </c>
      <c r="D624" s="143" t="s">
        <v>69</v>
      </c>
      <c r="E624" s="257">
        <v>4457220</v>
      </c>
      <c r="F624" s="257">
        <v>4364375</v>
      </c>
      <c r="G624" s="257">
        <v>4333252</v>
      </c>
      <c r="H624" s="257">
        <v>0</v>
      </c>
      <c r="I624" s="257">
        <v>3119221</v>
      </c>
      <c r="J624" s="257">
        <v>0</v>
      </c>
      <c r="K624" s="257">
        <v>1214031</v>
      </c>
      <c r="L624" s="257">
        <v>1214031</v>
      </c>
      <c r="M624" s="257">
        <v>31123</v>
      </c>
      <c r="N624" s="257">
        <v>0</v>
      </c>
    </row>
    <row r="625" spans="1:14" s="143" customFormat="1" hidden="1" x14ac:dyDescent="0.25">
      <c r="A625" s="143" t="s">
        <v>715</v>
      </c>
      <c r="B625" s="143" t="s">
        <v>96</v>
      </c>
      <c r="C625" s="143" t="s">
        <v>97</v>
      </c>
      <c r="D625" s="143" t="s">
        <v>69</v>
      </c>
      <c r="E625" s="257">
        <v>86917440</v>
      </c>
      <c r="F625" s="257">
        <v>85106959</v>
      </c>
      <c r="G625" s="257">
        <v>84500061</v>
      </c>
      <c r="H625" s="257">
        <v>0</v>
      </c>
      <c r="I625" s="257">
        <v>60937175</v>
      </c>
      <c r="J625" s="257">
        <v>0</v>
      </c>
      <c r="K625" s="257">
        <v>23562886</v>
      </c>
      <c r="L625" s="257">
        <v>23562886</v>
      </c>
      <c r="M625" s="257">
        <v>606898</v>
      </c>
      <c r="N625" s="257">
        <v>0</v>
      </c>
    </row>
    <row r="626" spans="1:14" s="143" customFormat="1" hidden="1" x14ac:dyDescent="0.25">
      <c r="A626" s="143" t="s">
        <v>715</v>
      </c>
      <c r="B626" s="143" t="s">
        <v>460</v>
      </c>
      <c r="C626" s="143" t="s">
        <v>698</v>
      </c>
      <c r="D626" s="143" t="s">
        <v>69</v>
      </c>
      <c r="E626" s="257">
        <v>46801760</v>
      </c>
      <c r="F626" s="257">
        <v>45826885</v>
      </c>
      <c r="G626" s="257">
        <v>45500094</v>
      </c>
      <c r="H626" s="257">
        <v>0</v>
      </c>
      <c r="I626" s="257">
        <v>32863480</v>
      </c>
      <c r="J626" s="257">
        <v>0</v>
      </c>
      <c r="K626" s="257">
        <v>12636614</v>
      </c>
      <c r="L626" s="257">
        <v>12636614</v>
      </c>
      <c r="M626" s="257">
        <v>326791</v>
      </c>
      <c r="N626" s="257">
        <v>0</v>
      </c>
    </row>
    <row r="627" spans="1:14" s="143" customFormat="1" hidden="1" x14ac:dyDescent="0.25">
      <c r="A627" s="143" t="s">
        <v>715</v>
      </c>
      <c r="B627" s="143" t="s">
        <v>477</v>
      </c>
      <c r="C627" s="143" t="s">
        <v>699</v>
      </c>
      <c r="D627" s="143" t="s">
        <v>69</v>
      </c>
      <c r="E627" s="257">
        <v>13371860</v>
      </c>
      <c r="F627" s="257">
        <v>13093325</v>
      </c>
      <c r="G627" s="257">
        <v>12999956</v>
      </c>
      <c r="H627" s="257">
        <v>0</v>
      </c>
      <c r="I627" s="257">
        <v>9357865</v>
      </c>
      <c r="J627" s="257">
        <v>0</v>
      </c>
      <c r="K627" s="257">
        <v>3642091</v>
      </c>
      <c r="L627" s="257">
        <v>3642091</v>
      </c>
      <c r="M627" s="257">
        <v>93369</v>
      </c>
      <c r="N627" s="257">
        <v>0</v>
      </c>
    </row>
    <row r="628" spans="1:14" s="143" customFormat="1" hidden="1" x14ac:dyDescent="0.25">
      <c r="A628" s="143" t="s">
        <v>715</v>
      </c>
      <c r="B628" s="143" t="s">
        <v>494</v>
      </c>
      <c r="C628" s="143" t="s">
        <v>700</v>
      </c>
      <c r="D628" s="143" t="s">
        <v>69</v>
      </c>
      <c r="E628" s="257">
        <v>26743820</v>
      </c>
      <c r="F628" s="257">
        <v>26186749</v>
      </c>
      <c r="G628" s="257">
        <v>26000011</v>
      </c>
      <c r="H628" s="257">
        <v>0</v>
      </c>
      <c r="I628" s="257">
        <v>18715830</v>
      </c>
      <c r="J628" s="257">
        <v>0</v>
      </c>
      <c r="K628" s="257">
        <v>7284181</v>
      </c>
      <c r="L628" s="257">
        <v>7284181</v>
      </c>
      <c r="M628" s="257">
        <v>186738</v>
      </c>
      <c r="N628" s="257">
        <v>0</v>
      </c>
    </row>
    <row r="629" spans="1:14" s="143" customFormat="1" hidden="1" x14ac:dyDescent="0.25">
      <c r="A629" s="143" t="s">
        <v>715</v>
      </c>
      <c r="B629" s="143" t="s">
        <v>104</v>
      </c>
      <c r="C629" s="143" t="s">
        <v>105</v>
      </c>
      <c r="D629" s="143" t="s">
        <v>69</v>
      </c>
      <c r="E629" s="257">
        <v>30265400</v>
      </c>
      <c r="F629" s="257">
        <v>30265400</v>
      </c>
      <c r="G629" s="257">
        <v>10955310</v>
      </c>
      <c r="H629" s="257">
        <v>0</v>
      </c>
      <c r="I629" s="257">
        <v>6655844.2199999997</v>
      </c>
      <c r="J629" s="257">
        <v>0</v>
      </c>
      <c r="K629" s="257">
        <v>1555075.78</v>
      </c>
      <c r="L629" s="257">
        <v>1555075.78</v>
      </c>
      <c r="M629" s="257">
        <v>22054480</v>
      </c>
      <c r="N629" s="257">
        <v>2744390</v>
      </c>
    </row>
    <row r="630" spans="1:14" s="143" customFormat="1" hidden="1" x14ac:dyDescent="0.25">
      <c r="A630" s="143" t="s">
        <v>715</v>
      </c>
      <c r="B630" s="143" t="s">
        <v>112</v>
      </c>
      <c r="C630" s="143" t="s">
        <v>113</v>
      </c>
      <c r="D630" s="143" t="s">
        <v>69</v>
      </c>
      <c r="E630" s="257">
        <v>30265400</v>
      </c>
      <c r="F630" s="257">
        <v>30265400</v>
      </c>
      <c r="G630" s="257">
        <v>10955310</v>
      </c>
      <c r="H630" s="257">
        <v>0</v>
      </c>
      <c r="I630" s="257">
        <v>6655844.2199999997</v>
      </c>
      <c r="J630" s="257">
        <v>0</v>
      </c>
      <c r="K630" s="257">
        <v>1555075.78</v>
      </c>
      <c r="L630" s="257">
        <v>1555075.78</v>
      </c>
      <c r="M630" s="257">
        <v>22054480</v>
      </c>
      <c r="N630" s="257">
        <v>2744390</v>
      </c>
    </row>
    <row r="631" spans="1:14" s="143" customFormat="1" hidden="1" x14ac:dyDescent="0.25">
      <c r="A631" s="143" t="s">
        <v>715</v>
      </c>
      <c r="B631" s="143" t="s">
        <v>114</v>
      </c>
      <c r="C631" s="143" t="s">
        <v>115</v>
      </c>
      <c r="D631" s="143" t="s">
        <v>69</v>
      </c>
      <c r="E631" s="257">
        <v>3196000</v>
      </c>
      <c r="F631" s="257">
        <v>3196000</v>
      </c>
      <c r="G631" s="257">
        <v>1598000</v>
      </c>
      <c r="H631" s="257">
        <v>0</v>
      </c>
      <c r="I631" s="257">
        <v>1297484</v>
      </c>
      <c r="J631" s="257">
        <v>0</v>
      </c>
      <c r="K631" s="257">
        <v>300516</v>
      </c>
      <c r="L631" s="257">
        <v>300516</v>
      </c>
      <c r="M631" s="257">
        <v>1598000</v>
      </c>
      <c r="N631" s="257">
        <v>0</v>
      </c>
    </row>
    <row r="632" spans="1:14" s="143" customFormat="1" hidden="1" x14ac:dyDescent="0.25">
      <c r="A632" s="143" t="s">
        <v>715</v>
      </c>
      <c r="B632" s="143" t="s">
        <v>116</v>
      </c>
      <c r="C632" s="143" t="s">
        <v>117</v>
      </c>
      <c r="D632" s="143" t="s">
        <v>69</v>
      </c>
      <c r="E632" s="257">
        <v>21749400</v>
      </c>
      <c r="F632" s="257">
        <v>21749400</v>
      </c>
      <c r="G632" s="257">
        <v>6347310</v>
      </c>
      <c r="H632" s="257">
        <v>0</v>
      </c>
      <c r="I632" s="257">
        <v>5053822.4400000004</v>
      </c>
      <c r="J632" s="257">
        <v>0</v>
      </c>
      <c r="K632" s="257">
        <v>1168487.56</v>
      </c>
      <c r="L632" s="257">
        <v>1168487.56</v>
      </c>
      <c r="M632" s="257">
        <v>15527090</v>
      </c>
      <c r="N632" s="257">
        <v>125000</v>
      </c>
    </row>
    <row r="633" spans="1:14" s="143" customFormat="1" hidden="1" x14ac:dyDescent="0.25">
      <c r="A633" s="143" t="s">
        <v>715</v>
      </c>
      <c r="B633" s="143" t="s">
        <v>120</v>
      </c>
      <c r="C633" s="143" t="s">
        <v>121</v>
      </c>
      <c r="D633" s="143" t="s">
        <v>69</v>
      </c>
      <c r="E633" s="257">
        <v>4620000</v>
      </c>
      <c r="F633" s="257">
        <v>4620000</v>
      </c>
      <c r="G633" s="257">
        <v>2310000</v>
      </c>
      <c r="H633" s="257">
        <v>0</v>
      </c>
      <c r="I633" s="257">
        <v>0</v>
      </c>
      <c r="J633" s="257">
        <v>0</v>
      </c>
      <c r="K633" s="257">
        <v>0</v>
      </c>
      <c r="L633" s="257">
        <v>0</v>
      </c>
      <c r="M633" s="257">
        <v>4620000</v>
      </c>
      <c r="N633" s="257">
        <v>2310000</v>
      </c>
    </row>
    <row r="634" spans="1:14" s="143" customFormat="1" hidden="1" x14ac:dyDescent="0.25">
      <c r="A634" s="143" t="s">
        <v>715</v>
      </c>
      <c r="B634" s="143" t="s">
        <v>122</v>
      </c>
      <c r="C634" s="143" t="s">
        <v>123</v>
      </c>
      <c r="D634" s="143" t="s">
        <v>69</v>
      </c>
      <c r="E634" s="257">
        <v>700000</v>
      </c>
      <c r="F634" s="257">
        <v>700000</v>
      </c>
      <c r="G634" s="257">
        <v>700000</v>
      </c>
      <c r="H634" s="257">
        <v>0</v>
      </c>
      <c r="I634" s="257">
        <v>304537.78000000003</v>
      </c>
      <c r="J634" s="257">
        <v>0</v>
      </c>
      <c r="K634" s="257">
        <v>86072.22</v>
      </c>
      <c r="L634" s="257">
        <v>86072.22</v>
      </c>
      <c r="M634" s="257">
        <v>309390</v>
      </c>
      <c r="N634" s="257">
        <v>309390</v>
      </c>
    </row>
    <row r="635" spans="1:14" s="143" customFormat="1" hidden="1" x14ac:dyDescent="0.25">
      <c r="A635" s="143" t="s">
        <v>715</v>
      </c>
      <c r="B635" s="143" t="s">
        <v>248</v>
      </c>
      <c r="C635" s="143" t="s">
        <v>249</v>
      </c>
      <c r="D635" s="143" t="s">
        <v>69</v>
      </c>
      <c r="E635" s="257">
        <v>18298122</v>
      </c>
      <c r="F635" s="257">
        <v>17989877</v>
      </c>
      <c r="G635" s="257">
        <v>17886548</v>
      </c>
      <c r="H635" s="257">
        <v>0</v>
      </c>
      <c r="I635" s="257">
        <v>10466671</v>
      </c>
      <c r="J635" s="257">
        <v>0</v>
      </c>
      <c r="K635" s="257">
        <v>5323127</v>
      </c>
      <c r="L635" s="257">
        <v>5323127</v>
      </c>
      <c r="M635" s="257">
        <v>2200079</v>
      </c>
      <c r="N635" s="257">
        <v>2096750</v>
      </c>
    </row>
    <row r="636" spans="1:14" s="143" customFormat="1" hidden="1" x14ac:dyDescent="0.25">
      <c r="A636" s="143" t="s">
        <v>715</v>
      </c>
      <c r="B636" s="143" t="s">
        <v>250</v>
      </c>
      <c r="C636" s="143" t="s">
        <v>251</v>
      </c>
      <c r="D636" s="143" t="s">
        <v>69</v>
      </c>
      <c r="E636" s="257">
        <v>14798122</v>
      </c>
      <c r="F636" s="257">
        <v>14489877</v>
      </c>
      <c r="G636" s="257">
        <v>14386548</v>
      </c>
      <c r="H636" s="257">
        <v>0</v>
      </c>
      <c r="I636" s="257">
        <v>10466671</v>
      </c>
      <c r="J636" s="257">
        <v>0</v>
      </c>
      <c r="K636" s="257">
        <v>3919877</v>
      </c>
      <c r="L636" s="257">
        <v>3919877</v>
      </c>
      <c r="M636" s="257">
        <v>103329</v>
      </c>
      <c r="N636" s="257">
        <v>0</v>
      </c>
    </row>
    <row r="637" spans="1:14" s="143" customFormat="1" hidden="1" x14ac:dyDescent="0.25">
      <c r="A637" s="143" t="s">
        <v>715</v>
      </c>
      <c r="B637" s="143" t="s">
        <v>634</v>
      </c>
      <c r="C637" s="143" t="s">
        <v>702</v>
      </c>
      <c r="D637" s="143" t="s">
        <v>69</v>
      </c>
      <c r="E637" s="257">
        <v>12569562</v>
      </c>
      <c r="F637" s="257">
        <v>12307739</v>
      </c>
      <c r="G637" s="257">
        <v>12219972</v>
      </c>
      <c r="H637" s="257">
        <v>0</v>
      </c>
      <c r="I637" s="257">
        <v>8907109</v>
      </c>
      <c r="J637" s="257">
        <v>0</v>
      </c>
      <c r="K637" s="257">
        <v>3312863</v>
      </c>
      <c r="L637" s="257">
        <v>3312863</v>
      </c>
      <c r="M637" s="257">
        <v>87767</v>
      </c>
      <c r="N637" s="257">
        <v>0</v>
      </c>
    </row>
    <row r="638" spans="1:14" s="143" customFormat="1" hidden="1" x14ac:dyDescent="0.25">
      <c r="A638" s="143" t="s">
        <v>715</v>
      </c>
      <c r="B638" s="143" t="s">
        <v>649</v>
      </c>
      <c r="C638" s="143" t="s">
        <v>703</v>
      </c>
      <c r="D638" s="143" t="s">
        <v>69</v>
      </c>
      <c r="E638" s="257">
        <v>2228560</v>
      </c>
      <c r="F638" s="257">
        <v>2182138</v>
      </c>
      <c r="G638" s="257">
        <v>2166576</v>
      </c>
      <c r="H638" s="257">
        <v>0</v>
      </c>
      <c r="I638" s="257">
        <v>1559562</v>
      </c>
      <c r="J638" s="257">
        <v>0</v>
      </c>
      <c r="K638" s="257">
        <v>607014</v>
      </c>
      <c r="L638" s="257">
        <v>607014</v>
      </c>
      <c r="M638" s="257">
        <v>15562</v>
      </c>
      <c r="N638" s="257">
        <v>0</v>
      </c>
    </row>
    <row r="639" spans="1:14" s="143" customFormat="1" hidden="1" x14ac:dyDescent="0.25">
      <c r="A639" s="143" t="s">
        <v>715</v>
      </c>
      <c r="B639" s="143" t="s">
        <v>260</v>
      </c>
      <c r="C639" s="143" t="s">
        <v>261</v>
      </c>
      <c r="D639" s="143" t="s">
        <v>69</v>
      </c>
      <c r="E639" s="257">
        <v>3500000</v>
      </c>
      <c r="F639" s="257">
        <v>3500000</v>
      </c>
      <c r="G639" s="257">
        <v>3500000</v>
      </c>
      <c r="H639" s="257">
        <v>0</v>
      </c>
      <c r="I639" s="257">
        <v>0</v>
      </c>
      <c r="J639" s="257">
        <v>0</v>
      </c>
      <c r="K639" s="257">
        <v>1403250</v>
      </c>
      <c r="L639" s="257">
        <v>1403250</v>
      </c>
      <c r="M639" s="257">
        <v>2096750</v>
      </c>
      <c r="N639" s="257">
        <v>2096750</v>
      </c>
    </row>
    <row r="640" spans="1:14" s="143" customFormat="1" hidden="1" x14ac:dyDescent="0.25">
      <c r="A640" s="143" t="s">
        <v>715</v>
      </c>
      <c r="B640" s="143" t="s">
        <v>264</v>
      </c>
      <c r="C640" s="143" t="s">
        <v>265</v>
      </c>
      <c r="D640" s="143" t="s">
        <v>69</v>
      </c>
      <c r="E640" s="257">
        <v>3500000</v>
      </c>
      <c r="F640" s="257">
        <v>3500000</v>
      </c>
      <c r="G640" s="257">
        <v>3500000</v>
      </c>
      <c r="H640" s="257">
        <v>0</v>
      </c>
      <c r="I640" s="257">
        <v>0</v>
      </c>
      <c r="J640" s="257">
        <v>0</v>
      </c>
      <c r="K640" s="257">
        <v>1403250</v>
      </c>
      <c r="L640" s="257">
        <v>1403250</v>
      </c>
      <c r="M640" s="257">
        <v>2096750</v>
      </c>
      <c r="N640" s="257">
        <v>2096750</v>
      </c>
    </row>
    <row r="641" spans="1:14" s="143" customFormat="1" x14ac:dyDescent="0.25">
      <c r="A641" s="44">
        <v>214789006</v>
      </c>
      <c r="D641" s="44" t="s">
        <v>69</v>
      </c>
      <c r="E641" s="257">
        <v>7207746597</v>
      </c>
      <c r="F641" s="50">
        <v>7206011789</v>
      </c>
      <c r="G641" s="257">
        <v>3739550939</v>
      </c>
      <c r="H641" s="50">
        <v>0</v>
      </c>
      <c r="I641" s="50">
        <v>31474065</v>
      </c>
      <c r="J641" s="50">
        <v>0</v>
      </c>
      <c r="K641" s="50">
        <v>1471814949.22</v>
      </c>
      <c r="L641" s="50">
        <v>1471814949.22</v>
      </c>
      <c r="M641" s="50">
        <v>5702722774.7799997</v>
      </c>
      <c r="N641" s="257">
        <v>2236261924.7800002</v>
      </c>
    </row>
    <row r="642" spans="1:14" s="143" customFormat="1" hidden="1" x14ac:dyDescent="0.25">
      <c r="A642" s="143" t="s">
        <v>716</v>
      </c>
      <c r="B642" s="143" t="s">
        <v>71</v>
      </c>
      <c r="C642" s="143" t="s">
        <v>72</v>
      </c>
      <c r="D642" s="143" t="s">
        <v>69</v>
      </c>
      <c r="E642" s="257">
        <v>273249937</v>
      </c>
      <c r="F642" s="257">
        <v>271537368</v>
      </c>
      <c r="G642" s="257">
        <v>269822981</v>
      </c>
      <c r="H642" s="257">
        <v>0</v>
      </c>
      <c r="I642" s="257">
        <v>28982440</v>
      </c>
      <c r="J642" s="257">
        <v>0</v>
      </c>
      <c r="K642" s="257">
        <v>84041525.359999999</v>
      </c>
      <c r="L642" s="257">
        <v>84041525.359999999</v>
      </c>
      <c r="M642" s="257">
        <v>158513402.63999999</v>
      </c>
      <c r="N642" s="257">
        <v>156799015.63999999</v>
      </c>
    </row>
    <row r="643" spans="1:14" s="143" customFormat="1" hidden="1" x14ac:dyDescent="0.25">
      <c r="A643" s="143" t="s">
        <v>716</v>
      </c>
      <c r="B643" s="143" t="s">
        <v>73</v>
      </c>
      <c r="C643" s="143" t="s">
        <v>74</v>
      </c>
      <c r="D643" s="143" t="s">
        <v>69</v>
      </c>
      <c r="E643" s="257">
        <v>97637632</v>
      </c>
      <c r="F643" s="257">
        <v>96661384</v>
      </c>
      <c r="G643" s="257">
        <v>96661384</v>
      </c>
      <c r="H643" s="257">
        <v>0</v>
      </c>
      <c r="I643" s="257">
        <v>0</v>
      </c>
      <c r="J643" s="257">
        <v>0</v>
      </c>
      <c r="K643" s="257">
        <v>31095918.690000001</v>
      </c>
      <c r="L643" s="257">
        <v>31095918.690000001</v>
      </c>
      <c r="M643" s="257">
        <v>65565465.310000002</v>
      </c>
      <c r="N643" s="257">
        <v>65565465.310000002</v>
      </c>
    </row>
    <row r="644" spans="1:14" s="143" customFormat="1" hidden="1" x14ac:dyDescent="0.25">
      <c r="A644" s="143" t="s">
        <v>716</v>
      </c>
      <c r="B644" s="143" t="s">
        <v>75</v>
      </c>
      <c r="C644" s="143" t="s">
        <v>76</v>
      </c>
      <c r="D644" s="143" t="s">
        <v>69</v>
      </c>
      <c r="E644" s="257">
        <v>97637632</v>
      </c>
      <c r="F644" s="257">
        <v>96661384</v>
      </c>
      <c r="G644" s="257">
        <v>96661384</v>
      </c>
      <c r="H644" s="257">
        <v>0</v>
      </c>
      <c r="I644" s="257">
        <v>0</v>
      </c>
      <c r="J644" s="257">
        <v>0</v>
      </c>
      <c r="K644" s="257">
        <v>31095918.690000001</v>
      </c>
      <c r="L644" s="257">
        <v>31095918.690000001</v>
      </c>
      <c r="M644" s="257">
        <v>65565465.310000002</v>
      </c>
      <c r="N644" s="257">
        <v>65565465.310000002</v>
      </c>
    </row>
    <row r="645" spans="1:14" s="143" customFormat="1" hidden="1" x14ac:dyDescent="0.25">
      <c r="A645" s="143" t="s">
        <v>716</v>
      </c>
      <c r="B645" s="143" t="s">
        <v>77</v>
      </c>
      <c r="C645" s="143" t="s">
        <v>78</v>
      </c>
      <c r="D645" s="143" t="s">
        <v>69</v>
      </c>
      <c r="E645" s="257">
        <v>133929275</v>
      </c>
      <c r="F645" s="257">
        <v>133454197</v>
      </c>
      <c r="G645" s="257">
        <v>132001335</v>
      </c>
      <c r="H645" s="257">
        <v>0</v>
      </c>
      <c r="I645" s="257">
        <v>0</v>
      </c>
      <c r="J645" s="257">
        <v>0</v>
      </c>
      <c r="K645" s="257">
        <v>40767784.670000002</v>
      </c>
      <c r="L645" s="257">
        <v>40767784.670000002</v>
      </c>
      <c r="M645" s="257">
        <v>92686412.329999998</v>
      </c>
      <c r="N645" s="257">
        <v>91233550.329999998</v>
      </c>
    </row>
    <row r="646" spans="1:14" s="143" customFormat="1" hidden="1" x14ac:dyDescent="0.25">
      <c r="A646" s="143" t="s">
        <v>716</v>
      </c>
      <c r="B646" s="143" t="s">
        <v>79</v>
      </c>
      <c r="C646" s="143" t="s">
        <v>80</v>
      </c>
      <c r="D646" s="143" t="s">
        <v>69</v>
      </c>
      <c r="E646" s="257">
        <v>34862400</v>
      </c>
      <c r="F646" s="257">
        <v>34862400</v>
      </c>
      <c r="G646" s="257">
        <v>33521255</v>
      </c>
      <c r="H646" s="257">
        <v>0</v>
      </c>
      <c r="I646" s="257">
        <v>0</v>
      </c>
      <c r="J646" s="257">
        <v>0</v>
      </c>
      <c r="K646" s="257">
        <v>10892602.26</v>
      </c>
      <c r="L646" s="257">
        <v>10892602.26</v>
      </c>
      <c r="M646" s="257">
        <v>23969797.739999998</v>
      </c>
      <c r="N646" s="257">
        <v>22628652.739999998</v>
      </c>
    </row>
    <row r="647" spans="1:14" s="143" customFormat="1" hidden="1" x14ac:dyDescent="0.25">
      <c r="A647" s="143" t="s">
        <v>716</v>
      </c>
      <c r="B647" s="143" t="s">
        <v>81</v>
      </c>
      <c r="C647" s="143" t="s">
        <v>82</v>
      </c>
      <c r="D647" s="143" t="s">
        <v>69</v>
      </c>
      <c r="E647" s="257">
        <v>32733979</v>
      </c>
      <c r="F647" s="257">
        <v>32370500</v>
      </c>
      <c r="G647" s="257">
        <v>32370500</v>
      </c>
      <c r="H647" s="257">
        <v>0</v>
      </c>
      <c r="I647" s="257">
        <v>0</v>
      </c>
      <c r="J647" s="257">
        <v>0</v>
      </c>
      <c r="K647" s="257">
        <v>9965784.3699999992</v>
      </c>
      <c r="L647" s="257">
        <v>9965784.3699999992</v>
      </c>
      <c r="M647" s="257">
        <v>22404715.629999999</v>
      </c>
      <c r="N647" s="257">
        <v>22404715.629999999</v>
      </c>
    </row>
    <row r="648" spans="1:14" s="143" customFormat="1" hidden="1" x14ac:dyDescent="0.25">
      <c r="A648" s="143" t="s">
        <v>716</v>
      </c>
      <c r="B648" s="143" t="s">
        <v>83</v>
      </c>
      <c r="C648" s="143" t="s">
        <v>84</v>
      </c>
      <c r="D648" s="143" t="s">
        <v>85</v>
      </c>
      <c r="E648" s="257">
        <v>17806196</v>
      </c>
      <c r="F648" s="257">
        <v>17694597</v>
      </c>
      <c r="G648" s="257">
        <v>17582880</v>
      </c>
      <c r="H648" s="257">
        <v>0</v>
      </c>
      <c r="I648" s="257">
        <v>0</v>
      </c>
      <c r="J648" s="257">
        <v>0</v>
      </c>
      <c r="K648" s="257">
        <v>0</v>
      </c>
      <c r="L648" s="257">
        <v>0</v>
      </c>
      <c r="M648" s="257">
        <v>17694597</v>
      </c>
      <c r="N648" s="257">
        <v>17582880</v>
      </c>
    </row>
    <row r="649" spans="1:14" s="143" customFormat="1" hidden="1" x14ac:dyDescent="0.25">
      <c r="A649" s="143" t="s">
        <v>716</v>
      </c>
      <c r="B649" s="143" t="s">
        <v>86</v>
      </c>
      <c r="C649" s="143" t="s">
        <v>87</v>
      </c>
      <c r="D649" s="143" t="s">
        <v>69</v>
      </c>
      <c r="E649" s="257">
        <v>16387600</v>
      </c>
      <c r="F649" s="257">
        <v>16387600</v>
      </c>
      <c r="G649" s="257">
        <v>16387600</v>
      </c>
      <c r="H649" s="257">
        <v>0</v>
      </c>
      <c r="I649" s="257">
        <v>0</v>
      </c>
      <c r="J649" s="257">
        <v>0</v>
      </c>
      <c r="K649" s="257">
        <v>9494365.5</v>
      </c>
      <c r="L649" s="257">
        <v>9494365.5</v>
      </c>
      <c r="M649" s="257">
        <v>6893234.5</v>
      </c>
      <c r="N649" s="257">
        <v>6893234.5</v>
      </c>
    </row>
    <row r="650" spans="1:14" s="143" customFormat="1" hidden="1" x14ac:dyDescent="0.25">
      <c r="A650" s="143" t="s">
        <v>716</v>
      </c>
      <c r="B650" s="143" t="s">
        <v>88</v>
      </c>
      <c r="C650" s="143" t="s">
        <v>89</v>
      </c>
      <c r="D650" s="143" t="s">
        <v>69</v>
      </c>
      <c r="E650" s="257">
        <v>32139100</v>
      </c>
      <c r="F650" s="257">
        <v>32139100</v>
      </c>
      <c r="G650" s="257">
        <v>32139100</v>
      </c>
      <c r="H650" s="257">
        <v>0</v>
      </c>
      <c r="I650" s="257">
        <v>0</v>
      </c>
      <c r="J650" s="257">
        <v>0</v>
      </c>
      <c r="K650" s="257">
        <v>10415032.539999999</v>
      </c>
      <c r="L650" s="257">
        <v>10415032.539999999</v>
      </c>
      <c r="M650" s="257">
        <v>21724067.460000001</v>
      </c>
      <c r="N650" s="257">
        <v>21724067.460000001</v>
      </c>
    </row>
    <row r="651" spans="1:14" s="143" customFormat="1" hidden="1" x14ac:dyDescent="0.25">
      <c r="A651" s="143" t="s">
        <v>716</v>
      </c>
      <c r="B651" s="143" t="s">
        <v>90</v>
      </c>
      <c r="C651" s="143" t="s">
        <v>91</v>
      </c>
      <c r="D651" s="143" t="s">
        <v>69</v>
      </c>
      <c r="E651" s="257">
        <v>20841515</v>
      </c>
      <c r="F651" s="257">
        <v>20710893</v>
      </c>
      <c r="G651" s="257">
        <v>20580131</v>
      </c>
      <c r="H651" s="257">
        <v>0</v>
      </c>
      <c r="I651" s="257">
        <v>14477808</v>
      </c>
      <c r="J651" s="257">
        <v>0</v>
      </c>
      <c r="K651" s="257">
        <v>6102323</v>
      </c>
      <c r="L651" s="257">
        <v>6102323</v>
      </c>
      <c r="M651" s="257">
        <v>130762</v>
      </c>
      <c r="N651" s="257">
        <v>0</v>
      </c>
    </row>
    <row r="652" spans="1:14" s="143" customFormat="1" hidden="1" x14ac:dyDescent="0.25">
      <c r="A652" s="143" t="s">
        <v>716</v>
      </c>
      <c r="B652" s="143" t="s">
        <v>426</v>
      </c>
      <c r="C652" s="143" t="s">
        <v>697</v>
      </c>
      <c r="D652" s="143" t="s">
        <v>69</v>
      </c>
      <c r="E652" s="257">
        <v>19772804</v>
      </c>
      <c r="F652" s="257">
        <v>19648880</v>
      </c>
      <c r="G652" s="257">
        <v>19524824</v>
      </c>
      <c r="H652" s="257">
        <v>0</v>
      </c>
      <c r="I652" s="257">
        <v>13735440</v>
      </c>
      <c r="J652" s="257">
        <v>0</v>
      </c>
      <c r="K652" s="257">
        <v>5789384</v>
      </c>
      <c r="L652" s="257">
        <v>5789384</v>
      </c>
      <c r="M652" s="257">
        <v>124056</v>
      </c>
      <c r="N652" s="257">
        <v>0</v>
      </c>
    </row>
    <row r="653" spans="1:14" s="143" customFormat="1" hidden="1" x14ac:dyDescent="0.25">
      <c r="A653" s="143" t="s">
        <v>716</v>
      </c>
      <c r="B653" s="143" t="s">
        <v>443</v>
      </c>
      <c r="C653" s="143" t="s">
        <v>95</v>
      </c>
      <c r="D653" s="143" t="s">
        <v>69</v>
      </c>
      <c r="E653" s="257">
        <v>1068711</v>
      </c>
      <c r="F653" s="257">
        <v>1062013</v>
      </c>
      <c r="G653" s="257">
        <v>1055307</v>
      </c>
      <c r="H653" s="257">
        <v>0</v>
      </c>
      <c r="I653" s="257">
        <v>742368</v>
      </c>
      <c r="J653" s="257">
        <v>0</v>
      </c>
      <c r="K653" s="257">
        <v>312939</v>
      </c>
      <c r="L653" s="257">
        <v>312939</v>
      </c>
      <c r="M653" s="257">
        <v>6706</v>
      </c>
      <c r="N653" s="257">
        <v>0</v>
      </c>
    </row>
    <row r="654" spans="1:14" s="143" customFormat="1" hidden="1" x14ac:dyDescent="0.25">
      <c r="A654" s="143" t="s">
        <v>716</v>
      </c>
      <c r="B654" s="143" t="s">
        <v>96</v>
      </c>
      <c r="C654" s="143" t="s">
        <v>97</v>
      </c>
      <c r="D654" s="143" t="s">
        <v>69</v>
      </c>
      <c r="E654" s="257">
        <v>20841515</v>
      </c>
      <c r="F654" s="257">
        <v>20710894</v>
      </c>
      <c r="G654" s="257">
        <v>20580131</v>
      </c>
      <c r="H654" s="257">
        <v>0</v>
      </c>
      <c r="I654" s="257">
        <v>14504632</v>
      </c>
      <c r="J654" s="257">
        <v>0</v>
      </c>
      <c r="K654" s="257">
        <v>6075499</v>
      </c>
      <c r="L654" s="257">
        <v>6075499</v>
      </c>
      <c r="M654" s="257">
        <v>130763</v>
      </c>
      <c r="N654" s="257">
        <v>0</v>
      </c>
    </row>
    <row r="655" spans="1:14" s="143" customFormat="1" hidden="1" x14ac:dyDescent="0.25">
      <c r="A655" s="143" t="s">
        <v>716</v>
      </c>
      <c r="B655" s="143" t="s">
        <v>461</v>
      </c>
      <c r="C655" s="143" t="s">
        <v>698</v>
      </c>
      <c r="D655" s="143" t="s">
        <v>69</v>
      </c>
      <c r="E655" s="257">
        <v>11222416</v>
      </c>
      <c r="F655" s="257">
        <v>11152081</v>
      </c>
      <c r="G655" s="257">
        <v>11081671</v>
      </c>
      <c r="H655" s="257">
        <v>0</v>
      </c>
      <c r="I655" s="257">
        <v>7822630</v>
      </c>
      <c r="J655" s="257">
        <v>0</v>
      </c>
      <c r="K655" s="257">
        <v>3259041</v>
      </c>
      <c r="L655" s="257">
        <v>3259041</v>
      </c>
      <c r="M655" s="257">
        <v>70410</v>
      </c>
      <c r="N655" s="257">
        <v>0</v>
      </c>
    </row>
    <row r="656" spans="1:14" s="143" customFormat="1" hidden="1" x14ac:dyDescent="0.25">
      <c r="A656" s="143" t="s">
        <v>716</v>
      </c>
      <c r="B656" s="143" t="s">
        <v>478</v>
      </c>
      <c r="C656" s="143" t="s">
        <v>699</v>
      </c>
      <c r="D656" s="143" t="s">
        <v>69</v>
      </c>
      <c r="E656" s="257">
        <v>3206333</v>
      </c>
      <c r="F656" s="257">
        <v>3186238</v>
      </c>
      <c r="G656" s="257">
        <v>3166120</v>
      </c>
      <c r="H656" s="257">
        <v>0</v>
      </c>
      <c r="I656" s="257">
        <v>2227301</v>
      </c>
      <c r="J656" s="257">
        <v>0</v>
      </c>
      <c r="K656" s="257">
        <v>938819</v>
      </c>
      <c r="L656" s="257">
        <v>938819</v>
      </c>
      <c r="M656" s="257">
        <v>20118</v>
      </c>
      <c r="N656" s="257">
        <v>0</v>
      </c>
    </row>
    <row r="657" spans="1:14" s="143" customFormat="1" hidden="1" x14ac:dyDescent="0.25">
      <c r="A657" s="143" t="s">
        <v>716</v>
      </c>
      <c r="B657" s="143" t="s">
        <v>495</v>
      </c>
      <c r="C657" s="143" t="s">
        <v>700</v>
      </c>
      <c r="D657" s="143" t="s">
        <v>69</v>
      </c>
      <c r="E657" s="257">
        <v>6412766</v>
      </c>
      <c r="F657" s="257">
        <v>6372575</v>
      </c>
      <c r="G657" s="257">
        <v>6332340</v>
      </c>
      <c r="H657" s="257">
        <v>0</v>
      </c>
      <c r="I657" s="257">
        <v>4454701</v>
      </c>
      <c r="J657" s="257">
        <v>0</v>
      </c>
      <c r="K657" s="257">
        <v>1877639</v>
      </c>
      <c r="L657" s="257">
        <v>1877639</v>
      </c>
      <c r="M657" s="257">
        <v>40235</v>
      </c>
      <c r="N657" s="257">
        <v>0</v>
      </c>
    </row>
    <row r="658" spans="1:14" s="143" customFormat="1" hidden="1" x14ac:dyDescent="0.25">
      <c r="A658" s="143" t="s">
        <v>716</v>
      </c>
      <c r="B658" s="143" t="s">
        <v>104</v>
      </c>
      <c r="C658" s="143" t="s">
        <v>105</v>
      </c>
      <c r="D658" s="143" t="s">
        <v>69</v>
      </c>
      <c r="E658" s="257">
        <v>6929448400</v>
      </c>
      <c r="F658" s="257">
        <v>6929448400</v>
      </c>
      <c r="G658" s="257">
        <v>3464724200</v>
      </c>
      <c r="H658" s="257">
        <v>0</v>
      </c>
      <c r="I658" s="257">
        <v>0</v>
      </c>
      <c r="J658" s="257">
        <v>0</v>
      </c>
      <c r="K658" s="257">
        <v>1386761290.8599999</v>
      </c>
      <c r="L658" s="257">
        <v>1386761290.8599999</v>
      </c>
      <c r="M658" s="257">
        <v>5542687109.1400003</v>
      </c>
      <c r="N658" s="257">
        <v>2077962909.1400001</v>
      </c>
    </row>
    <row r="659" spans="1:14" s="143" customFormat="1" hidden="1" x14ac:dyDescent="0.25">
      <c r="A659" s="143" t="s">
        <v>716</v>
      </c>
      <c r="B659" s="143" t="s">
        <v>106</v>
      </c>
      <c r="C659" s="143" t="s">
        <v>107</v>
      </c>
      <c r="D659" s="143" t="s">
        <v>69</v>
      </c>
      <c r="E659" s="257">
        <v>6927908871</v>
      </c>
      <c r="F659" s="257">
        <v>6927908871</v>
      </c>
      <c r="G659" s="257">
        <v>3463954436</v>
      </c>
      <c r="H659" s="257">
        <v>0</v>
      </c>
      <c r="I659" s="257">
        <v>0</v>
      </c>
      <c r="J659" s="257">
        <v>0</v>
      </c>
      <c r="K659" s="257">
        <v>1386761290.8599999</v>
      </c>
      <c r="L659" s="257">
        <v>1386761290.8599999</v>
      </c>
      <c r="M659" s="257">
        <v>5541147580.1400003</v>
      </c>
      <c r="N659" s="257">
        <v>2077193145.1400001</v>
      </c>
    </row>
    <row r="660" spans="1:14" s="143" customFormat="1" hidden="1" x14ac:dyDescent="0.25">
      <c r="A660" s="143" t="s">
        <v>716</v>
      </c>
      <c r="B660" s="143" t="s">
        <v>110</v>
      </c>
      <c r="C660" s="143" t="s">
        <v>111</v>
      </c>
      <c r="D660" s="143" t="s">
        <v>69</v>
      </c>
      <c r="E660" s="257">
        <v>6927908871</v>
      </c>
      <c r="F660" s="257">
        <v>6927908871</v>
      </c>
      <c r="G660" s="257">
        <v>3463954436</v>
      </c>
      <c r="H660" s="257">
        <v>0</v>
      </c>
      <c r="I660" s="257">
        <v>0</v>
      </c>
      <c r="J660" s="257">
        <v>0</v>
      </c>
      <c r="K660" s="257">
        <v>1386761290.8599999</v>
      </c>
      <c r="L660" s="257">
        <v>1386761290.8599999</v>
      </c>
      <c r="M660" s="257">
        <v>5541147580.1400003</v>
      </c>
      <c r="N660" s="257">
        <v>2077193145.1400001</v>
      </c>
    </row>
    <row r="661" spans="1:14" s="143" customFormat="1" hidden="1" x14ac:dyDescent="0.25">
      <c r="A661" s="143" t="s">
        <v>716</v>
      </c>
      <c r="B661" s="143" t="s">
        <v>112</v>
      </c>
      <c r="C661" s="143" t="s">
        <v>113</v>
      </c>
      <c r="D661" s="143" t="s">
        <v>69</v>
      </c>
      <c r="E661" s="257">
        <v>1539529</v>
      </c>
      <c r="F661" s="257">
        <v>1539529</v>
      </c>
      <c r="G661" s="257">
        <v>769764</v>
      </c>
      <c r="H661" s="257">
        <v>0</v>
      </c>
      <c r="I661" s="257">
        <v>0</v>
      </c>
      <c r="J661" s="257">
        <v>0</v>
      </c>
      <c r="K661" s="257">
        <v>0</v>
      </c>
      <c r="L661" s="257">
        <v>0</v>
      </c>
      <c r="M661" s="257">
        <v>1539529</v>
      </c>
      <c r="N661" s="257">
        <v>769764</v>
      </c>
    </row>
    <row r="662" spans="1:14" s="143" customFormat="1" hidden="1" x14ac:dyDescent="0.25">
      <c r="A662" s="143" t="s">
        <v>716</v>
      </c>
      <c r="B662" s="143" t="s">
        <v>120</v>
      </c>
      <c r="C662" s="143" t="s">
        <v>121</v>
      </c>
      <c r="D662" s="143" t="s">
        <v>69</v>
      </c>
      <c r="E662" s="257">
        <v>1539529</v>
      </c>
      <c r="F662" s="257">
        <v>1539529</v>
      </c>
      <c r="G662" s="257">
        <v>769764</v>
      </c>
      <c r="H662" s="257">
        <v>0</v>
      </c>
      <c r="I662" s="257">
        <v>0</v>
      </c>
      <c r="J662" s="257">
        <v>0</v>
      </c>
      <c r="K662" s="257">
        <v>0</v>
      </c>
      <c r="L662" s="257">
        <v>0</v>
      </c>
      <c r="M662" s="257">
        <v>1539529</v>
      </c>
      <c r="N662" s="257">
        <v>769764</v>
      </c>
    </row>
    <row r="663" spans="1:14" s="143" customFormat="1" hidden="1" x14ac:dyDescent="0.25">
      <c r="A663" s="143" t="s">
        <v>716</v>
      </c>
      <c r="B663" s="143" t="s">
        <v>248</v>
      </c>
      <c r="C663" s="143" t="s">
        <v>249</v>
      </c>
      <c r="D663" s="143" t="s">
        <v>69</v>
      </c>
      <c r="E663" s="257">
        <v>5048260</v>
      </c>
      <c r="F663" s="257">
        <v>5026021</v>
      </c>
      <c r="G663" s="257">
        <v>5003758</v>
      </c>
      <c r="H663" s="257">
        <v>0</v>
      </c>
      <c r="I663" s="257">
        <v>2491625</v>
      </c>
      <c r="J663" s="257">
        <v>0</v>
      </c>
      <c r="K663" s="257">
        <v>1012133</v>
      </c>
      <c r="L663" s="257">
        <v>1012133</v>
      </c>
      <c r="M663" s="257">
        <v>1522263</v>
      </c>
      <c r="N663" s="257">
        <v>1500000</v>
      </c>
    </row>
    <row r="664" spans="1:14" s="143" customFormat="1" hidden="1" x14ac:dyDescent="0.25">
      <c r="A664" s="143" t="s">
        <v>716</v>
      </c>
      <c r="B664" s="143" t="s">
        <v>250</v>
      </c>
      <c r="C664" s="143" t="s">
        <v>251</v>
      </c>
      <c r="D664" s="143" t="s">
        <v>69</v>
      </c>
      <c r="E664" s="257">
        <v>3548260</v>
      </c>
      <c r="F664" s="257">
        <v>3526021</v>
      </c>
      <c r="G664" s="257">
        <v>3503758</v>
      </c>
      <c r="H664" s="257">
        <v>0</v>
      </c>
      <c r="I664" s="257">
        <v>2491625</v>
      </c>
      <c r="J664" s="257">
        <v>0</v>
      </c>
      <c r="K664" s="257">
        <v>1012133</v>
      </c>
      <c r="L664" s="257">
        <v>1012133</v>
      </c>
      <c r="M664" s="257">
        <v>22263</v>
      </c>
      <c r="N664" s="257">
        <v>0</v>
      </c>
    </row>
    <row r="665" spans="1:14" s="143" customFormat="1" hidden="1" x14ac:dyDescent="0.25">
      <c r="A665" s="143" t="s">
        <v>716</v>
      </c>
      <c r="B665" s="143" t="s">
        <v>635</v>
      </c>
      <c r="C665" s="143" t="s">
        <v>702</v>
      </c>
      <c r="D665" s="143" t="s">
        <v>69</v>
      </c>
      <c r="E665" s="257">
        <v>3013955</v>
      </c>
      <c r="F665" s="257">
        <v>2995065</v>
      </c>
      <c r="G665" s="257">
        <v>2976155</v>
      </c>
      <c r="H665" s="257">
        <v>0</v>
      </c>
      <c r="I665" s="257">
        <v>2120491</v>
      </c>
      <c r="J665" s="257">
        <v>0</v>
      </c>
      <c r="K665" s="257">
        <v>855664</v>
      </c>
      <c r="L665" s="257">
        <v>855664</v>
      </c>
      <c r="M665" s="257">
        <v>18910</v>
      </c>
      <c r="N665" s="257">
        <v>0</v>
      </c>
    </row>
    <row r="666" spans="1:14" s="143" customFormat="1" hidden="1" x14ac:dyDescent="0.25">
      <c r="A666" s="143" t="s">
        <v>716</v>
      </c>
      <c r="B666" s="143" t="s">
        <v>650</v>
      </c>
      <c r="C666" s="143" t="s">
        <v>703</v>
      </c>
      <c r="D666" s="143" t="s">
        <v>69</v>
      </c>
      <c r="E666" s="257">
        <v>534305</v>
      </c>
      <c r="F666" s="257">
        <v>530956</v>
      </c>
      <c r="G666" s="257">
        <v>527603</v>
      </c>
      <c r="H666" s="257">
        <v>0</v>
      </c>
      <c r="I666" s="257">
        <v>371134</v>
      </c>
      <c r="J666" s="257">
        <v>0</v>
      </c>
      <c r="K666" s="257">
        <v>156469</v>
      </c>
      <c r="L666" s="257">
        <v>156469</v>
      </c>
      <c r="M666" s="257">
        <v>3353</v>
      </c>
      <c r="N666" s="257">
        <v>0</v>
      </c>
    </row>
    <row r="667" spans="1:14" s="143" customFormat="1" hidden="1" x14ac:dyDescent="0.25">
      <c r="A667" s="143" t="s">
        <v>716</v>
      </c>
      <c r="B667" s="143" t="s">
        <v>260</v>
      </c>
      <c r="C667" s="143" t="s">
        <v>261</v>
      </c>
      <c r="D667" s="143" t="s">
        <v>69</v>
      </c>
      <c r="E667" s="257">
        <v>1500000</v>
      </c>
      <c r="F667" s="257">
        <v>1500000</v>
      </c>
      <c r="G667" s="257">
        <v>1500000</v>
      </c>
      <c r="H667" s="257">
        <v>0</v>
      </c>
      <c r="I667" s="257">
        <v>0</v>
      </c>
      <c r="J667" s="257">
        <v>0</v>
      </c>
      <c r="K667" s="257">
        <v>0</v>
      </c>
      <c r="L667" s="257">
        <v>0</v>
      </c>
      <c r="M667" s="257">
        <v>1500000</v>
      </c>
      <c r="N667" s="257">
        <v>1500000</v>
      </c>
    </row>
    <row r="668" spans="1:14" s="143" customFormat="1" hidden="1" x14ac:dyDescent="0.25">
      <c r="A668" s="143" t="s">
        <v>716</v>
      </c>
      <c r="B668" s="143" t="s">
        <v>264</v>
      </c>
      <c r="C668" s="143" t="s">
        <v>265</v>
      </c>
      <c r="D668" s="143" t="s">
        <v>69</v>
      </c>
      <c r="E668" s="257">
        <v>1500000</v>
      </c>
      <c r="F668" s="257">
        <v>1500000</v>
      </c>
      <c r="G668" s="257">
        <v>1500000</v>
      </c>
      <c r="H668" s="257">
        <v>0</v>
      </c>
      <c r="I668" s="257">
        <v>0</v>
      </c>
      <c r="J668" s="257">
        <v>0</v>
      </c>
      <c r="K668" s="257">
        <v>0</v>
      </c>
      <c r="L668" s="257">
        <v>0</v>
      </c>
      <c r="M668" s="257">
        <v>1500000</v>
      </c>
      <c r="N668" s="257">
        <v>1500000</v>
      </c>
    </row>
    <row r="669" spans="1:14" s="143" customFormat="1" x14ac:dyDescent="0.25">
      <c r="A669" s="44">
        <v>214790</v>
      </c>
      <c r="D669" s="44" t="s">
        <v>69</v>
      </c>
      <c r="E669" s="257">
        <v>1417740073</v>
      </c>
      <c r="F669" s="50">
        <v>1321552517</v>
      </c>
      <c r="G669" s="257">
        <v>1177747871.0799999</v>
      </c>
      <c r="H669" s="50">
        <v>3378845.4</v>
      </c>
      <c r="I669" s="50">
        <v>152164045.72</v>
      </c>
      <c r="J669" s="50">
        <v>43640.11</v>
      </c>
      <c r="K669" s="50">
        <v>368863608.13999999</v>
      </c>
      <c r="L669" s="50">
        <v>368828578.13999999</v>
      </c>
      <c r="M669" s="50">
        <v>797102377.63</v>
      </c>
      <c r="N669" s="257">
        <v>653297731.71000004</v>
      </c>
    </row>
    <row r="670" spans="1:14" s="143" customFormat="1" hidden="1" x14ac:dyDescent="0.25">
      <c r="A670" s="143" t="s">
        <v>717</v>
      </c>
      <c r="B670" s="143" t="s">
        <v>71</v>
      </c>
      <c r="C670" s="143" t="s">
        <v>72</v>
      </c>
      <c r="D670" s="143" t="s">
        <v>69</v>
      </c>
      <c r="E670" s="257">
        <v>1125132721</v>
      </c>
      <c r="F670" s="257">
        <v>1096513206</v>
      </c>
      <c r="G670" s="257">
        <v>1089706735</v>
      </c>
      <c r="H670" s="257">
        <v>0</v>
      </c>
      <c r="I670" s="257">
        <v>109722543</v>
      </c>
      <c r="J670" s="257">
        <v>0</v>
      </c>
      <c r="K670" s="257">
        <v>348812644.56999999</v>
      </c>
      <c r="L670" s="257">
        <v>348812644.56999999</v>
      </c>
      <c r="M670" s="257">
        <v>637978018.42999995</v>
      </c>
      <c r="N670" s="257">
        <v>631171547.42999995</v>
      </c>
    </row>
    <row r="671" spans="1:14" s="143" customFormat="1" hidden="1" x14ac:dyDescent="0.25">
      <c r="A671" s="143" t="s">
        <v>717</v>
      </c>
      <c r="B671" s="143" t="s">
        <v>73</v>
      </c>
      <c r="C671" s="143" t="s">
        <v>74</v>
      </c>
      <c r="D671" s="143" t="s">
        <v>69</v>
      </c>
      <c r="E671" s="257">
        <v>456307400</v>
      </c>
      <c r="F671" s="257">
        <v>441766100</v>
      </c>
      <c r="G671" s="257">
        <v>441766100</v>
      </c>
      <c r="H671" s="257">
        <v>0</v>
      </c>
      <c r="I671" s="257">
        <v>0</v>
      </c>
      <c r="J671" s="257">
        <v>0</v>
      </c>
      <c r="K671" s="257">
        <v>137562814.22</v>
      </c>
      <c r="L671" s="257">
        <v>137562814.22</v>
      </c>
      <c r="M671" s="257">
        <v>304203285.77999997</v>
      </c>
      <c r="N671" s="257">
        <v>304203285.77999997</v>
      </c>
    </row>
    <row r="672" spans="1:14" s="143" customFormat="1" hidden="1" x14ac:dyDescent="0.25">
      <c r="A672" s="143" t="s">
        <v>717</v>
      </c>
      <c r="B672" s="143" t="s">
        <v>75</v>
      </c>
      <c r="C672" s="143" t="s">
        <v>76</v>
      </c>
      <c r="D672" s="143" t="s">
        <v>69</v>
      </c>
      <c r="E672" s="257">
        <v>456307400</v>
      </c>
      <c r="F672" s="257">
        <v>441766100</v>
      </c>
      <c r="G672" s="257">
        <v>441766100</v>
      </c>
      <c r="H672" s="257">
        <v>0</v>
      </c>
      <c r="I672" s="257">
        <v>0</v>
      </c>
      <c r="J672" s="257">
        <v>0</v>
      </c>
      <c r="K672" s="257">
        <v>137562814.22</v>
      </c>
      <c r="L672" s="257">
        <v>137562814.22</v>
      </c>
      <c r="M672" s="257">
        <v>304203285.77999997</v>
      </c>
      <c r="N672" s="257">
        <v>304203285.77999997</v>
      </c>
    </row>
    <row r="673" spans="1:14" s="143" customFormat="1" hidden="1" x14ac:dyDescent="0.25">
      <c r="A673" s="143" t="s">
        <v>717</v>
      </c>
      <c r="B673" s="143" t="s">
        <v>77</v>
      </c>
      <c r="C673" s="143" t="s">
        <v>78</v>
      </c>
      <c r="D673" s="143" t="s">
        <v>69</v>
      </c>
      <c r="E673" s="257">
        <v>497190642</v>
      </c>
      <c r="F673" s="257">
        <v>488516531</v>
      </c>
      <c r="G673" s="257">
        <v>481710060</v>
      </c>
      <c r="H673" s="257">
        <v>0</v>
      </c>
      <c r="I673" s="257">
        <v>0</v>
      </c>
      <c r="J673" s="257">
        <v>0</v>
      </c>
      <c r="K673" s="257">
        <v>154741798.34999999</v>
      </c>
      <c r="L673" s="257">
        <v>154741798.34999999</v>
      </c>
      <c r="M673" s="257">
        <v>333774732.64999998</v>
      </c>
      <c r="N673" s="257">
        <v>326968261.64999998</v>
      </c>
    </row>
    <row r="674" spans="1:14" s="143" customFormat="1" hidden="1" x14ac:dyDescent="0.25">
      <c r="A674" s="143" t="s">
        <v>717</v>
      </c>
      <c r="B674" s="143" t="s">
        <v>79</v>
      </c>
      <c r="C674" s="143" t="s">
        <v>80</v>
      </c>
      <c r="D674" s="143" t="s">
        <v>69</v>
      </c>
      <c r="E674" s="257">
        <v>91313600</v>
      </c>
      <c r="F674" s="257">
        <v>91313600</v>
      </c>
      <c r="G674" s="257">
        <v>84507129</v>
      </c>
      <c r="H674" s="257">
        <v>0</v>
      </c>
      <c r="I674" s="257">
        <v>0</v>
      </c>
      <c r="J674" s="257">
        <v>0</v>
      </c>
      <c r="K674" s="257">
        <v>27965436.609999999</v>
      </c>
      <c r="L674" s="257">
        <v>27965436.609999999</v>
      </c>
      <c r="M674" s="257">
        <v>63348163.390000001</v>
      </c>
      <c r="N674" s="257">
        <v>56541692.390000001</v>
      </c>
    </row>
    <row r="675" spans="1:14" s="143" customFormat="1" hidden="1" x14ac:dyDescent="0.25">
      <c r="A675" s="143" t="s">
        <v>717</v>
      </c>
      <c r="B675" s="143" t="s">
        <v>81</v>
      </c>
      <c r="C675" s="143" t="s">
        <v>82</v>
      </c>
      <c r="D675" s="143" t="s">
        <v>69</v>
      </c>
      <c r="E675" s="257">
        <v>214869984</v>
      </c>
      <c r="F675" s="257">
        <v>209049915</v>
      </c>
      <c r="G675" s="257">
        <v>209049915</v>
      </c>
      <c r="H675" s="257">
        <v>0</v>
      </c>
      <c r="I675" s="257">
        <v>0</v>
      </c>
      <c r="J675" s="257">
        <v>0</v>
      </c>
      <c r="K675" s="257">
        <v>63254755.18</v>
      </c>
      <c r="L675" s="257">
        <v>63254755.18</v>
      </c>
      <c r="M675" s="257">
        <v>145795159.81999999</v>
      </c>
      <c r="N675" s="257">
        <v>145795159.81999999</v>
      </c>
    </row>
    <row r="676" spans="1:14" s="143" customFormat="1" hidden="1" x14ac:dyDescent="0.25">
      <c r="A676" s="143" t="s">
        <v>717</v>
      </c>
      <c r="B676" s="143" t="s">
        <v>83</v>
      </c>
      <c r="C676" s="143" t="s">
        <v>84</v>
      </c>
      <c r="D676" s="143" t="s">
        <v>85</v>
      </c>
      <c r="E676" s="257">
        <v>73318858</v>
      </c>
      <c r="F676" s="257">
        <v>71010336</v>
      </c>
      <c r="G676" s="257">
        <v>71010336</v>
      </c>
      <c r="H676" s="257">
        <v>0</v>
      </c>
      <c r="I676" s="257">
        <v>0</v>
      </c>
      <c r="J676" s="257">
        <v>0</v>
      </c>
      <c r="K676" s="257">
        <v>33397.65</v>
      </c>
      <c r="L676" s="257">
        <v>33397.65</v>
      </c>
      <c r="M676" s="257">
        <v>70976938.349999994</v>
      </c>
      <c r="N676" s="257">
        <v>70976938.349999994</v>
      </c>
    </row>
    <row r="677" spans="1:14" s="143" customFormat="1" hidden="1" x14ac:dyDescent="0.25">
      <c r="A677" s="143" t="s">
        <v>717</v>
      </c>
      <c r="B677" s="143" t="s">
        <v>86</v>
      </c>
      <c r="C677" s="143" t="s">
        <v>87</v>
      </c>
      <c r="D677" s="143" t="s">
        <v>69</v>
      </c>
      <c r="E677" s="257">
        <v>67452900</v>
      </c>
      <c r="F677" s="257">
        <v>67452900</v>
      </c>
      <c r="G677" s="257">
        <v>67452900</v>
      </c>
      <c r="H677" s="257">
        <v>0</v>
      </c>
      <c r="I677" s="257">
        <v>0</v>
      </c>
      <c r="J677" s="257">
        <v>0</v>
      </c>
      <c r="K677" s="257">
        <v>49770797.770000003</v>
      </c>
      <c r="L677" s="257">
        <v>49770797.770000003</v>
      </c>
      <c r="M677" s="257">
        <v>17682102.23</v>
      </c>
      <c r="N677" s="257">
        <v>17682102.23</v>
      </c>
    </row>
    <row r="678" spans="1:14" s="143" customFormat="1" hidden="1" x14ac:dyDescent="0.25">
      <c r="A678" s="143" t="s">
        <v>717</v>
      </c>
      <c r="B678" s="143" t="s">
        <v>88</v>
      </c>
      <c r="C678" s="143" t="s">
        <v>89</v>
      </c>
      <c r="D678" s="143" t="s">
        <v>69</v>
      </c>
      <c r="E678" s="257">
        <v>50235300</v>
      </c>
      <c r="F678" s="257">
        <v>49689780</v>
      </c>
      <c r="G678" s="257">
        <v>49689780</v>
      </c>
      <c r="H678" s="257">
        <v>0</v>
      </c>
      <c r="I678" s="257">
        <v>0</v>
      </c>
      <c r="J678" s="257">
        <v>0</v>
      </c>
      <c r="K678" s="257">
        <v>13717411.140000001</v>
      </c>
      <c r="L678" s="257">
        <v>13717411.140000001</v>
      </c>
      <c r="M678" s="257">
        <v>35972368.859999999</v>
      </c>
      <c r="N678" s="257">
        <v>35972368.859999999</v>
      </c>
    </row>
    <row r="679" spans="1:14" s="143" customFormat="1" hidden="1" x14ac:dyDescent="0.25">
      <c r="A679" s="143" t="s">
        <v>717</v>
      </c>
      <c r="B679" s="143" t="s">
        <v>90</v>
      </c>
      <c r="C679" s="143" t="s">
        <v>91</v>
      </c>
      <c r="D679" s="143" t="s">
        <v>69</v>
      </c>
      <c r="E679" s="257">
        <v>85817390</v>
      </c>
      <c r="F679" s="257">
        <v>83115337</v>
      </c>
      <c r="G679" s="257">
        <v>83115337</v>
      </c>
      <c r="H679" s="257">
        <v>0</v>
      </c>
      <c r="I679" s="257">
        <v>54768872</v>
      </c>
      <c r="J679" s="257">
        <v>0</v>
      </c>
      <c r="K679" s="257">
        <v>28346465</v>
      </c>
      <c r="L679" s="257">
        <v>28346465</v>
      </c>
      <c r="M679" s="257">
        <v>0</v>
      </c>
      <c r="N679" s="257">
        <v>0</v>
      </c>
    </row>
    <row r="680" spans="1:14" s="143" customFormat="1" hidden="1" x14ac:dyDescent="0.25">
      <c r="A680" s="143" t="s">
        <v>717</v>
      </c>
      <c r="B680" s="143" t="s">
        <v>427</v>
      </c>
      <c r="C680" s="143" t="s">
        <v>697</v>
      </c>
      <c r="D680" s="143" t="s">
        <v>69</v>
      </c>
      <c r="E680" s="257">
        <v>81416555</v>
      </c>
      <c r="F680" s="257">
        <v>78853069</v>
      </c>
      <c r="G680" s="257">
        <v>78853069</v>
      </c>
      <c r="H680" s="257">
        <v>0</v>
      </c>
      <c r="I680" s="257">
        <v>51960283</v>
      </c>
      <c r="J680" s="257">
        <v>0</v>
      </c>
      <c r="K680" s="257">
        <v>26892786</v>
      </c>
      <c r="L680" s="257">
        <v>26892786</v>
      </c>
      <c r="M680" s="257">
        <v>0</v>
      </c>
      <c r="N680" s="257">
        <v>0</v>
      </c>
    </row>
    <row r="681" spans="1:14" s="143" customFormat="1" hidden="1" x14ac:dyDescent="0.25">
      <c r="A681" s="143" t="s">
        <v>717</v>
      </c>
      <c r="B681" s="143" t="s">
        <v>444</v>
      </c>
      <c r="C681" s="143" t="s">
        <v>95</v>
      </c>
      <c r="D681" s="143" t="s">
        <v>69</v>
      </c>
      <c r="E681" s="257">
        <v>4400835</v>
      </c>
      <c r="F681" s="257">
        <v>4262268</v>
      </c>
      <c r="G681" s="257">
        <v>4262268</v>
      </c>
      <c r="H681" s="257">
        <v>0</v>
      </c>
      <c r="I681" s="257">
        <v>2808589</v>
      </c>
      <c r="J681" s="257">
        <v>0</v>
      </c>
      <c r="K681" s="257">
        <v>1453679</v>
      </c>
      <c r="L681" s="257">
        <v>1453679</v>
      </c>
      <c r="M681" s="257">
        <v>0</v>
      </c>
      <c r="N681" s="257">
        <v>0</v>
      </c>
    </row>
    <row r="682" spans="1:14" s="143" customFormat="1" hidden="1" x14ac:dyDescent="0.25">
      <c r="A682" s="143" t="s">
        <v>717</v>
      </c>
      <c r="B682" s="143" t="s">
        <v>96</v>
      </c>
      <c r="C682" s="143" t="s">
        <v>97</v>
      </c>
      <c r="D682" s="143" t="s">
        <v>69</v>
      </c>
      <c r="E682" s="257">
        <v>85817289</v>
      </c>
      <c r="F682" s="257">
        <v>83115238</v>
      </c>
      <c r="G682" s="257">
        <v>83115238</v>
      </c>
      <c r="H682" s="257">
        <v>0</v>
      </c>
      <c r="I682" s="257">
        <v>54953671</v>
      </c>
      <c r="J682" s="257">
        <v>0</v>
      </c>
      <c r="K682" s="257">
        <v>28161567</v>
      </c>
      <c r="L682" s="257">
        <v>28161567</v>
      </c>
      <c r="M682" s="257">
        <v>0</v>
      </c>
      <c r="N682" s="257">
        <v>0</v>
      </c>
    </row>
    <row r="683" spans="1:14" s="143" customFormat="1" hidden="1" x14ac:dyDescent="0.25">
      <c r="A683" s="143" t="s">
        <v>717</v>
      </c>
      <c r="B683" s="143" t="s">
        <v>462</v>
      </c>
      <c r="C683" s="143" t="s">
        <v>698</v>
      </c>
      <c r="D683" s="143" t="s">
        <v>69</v>
      </c>
      <c r="E683" s="257">
        <v>46209371</v>
      </c>
      <c r="F683" s="257">
        <v>44754420</v>
      </c>
      <c r="G683" s="257">
        <v>44754420</v>
      </c>
      <c r="H683" s="257">
        <v>0</v>
      </c>
      <c r="I683" s="257">
        <v>29675823</v>
      </c>
      <c r="J683" s="257">
        <v>0</v>
      </c>
      <c r="K683" s="257">
        <v>15078597</v>
      </c>
      <c r="L683" s="257">
        <v>15078597</v>
      </c>
      <c r="M683" s="257">
        <v>0</v>
      </c>
      <c r="N683" s="257">
        <v>0</v>
      </c>
    </row>
    <row r="684" spans="1:14" s="143" customFormat="1" hidden="1" x14ac:dyDescent="0.25">
      <c r="A684" s="143" t="s">
        <v>717</v>
      </c>
      <c r="B684" s="143" t="s">
        <v>479</v>
      </c>
      <c r="C684" s="143" t="s">
        <v>699</v>
      </c>
      <c r="D684" s="143" t="s">
        <v>69</v>
      </c>
      <c r="E684" s="257">
        <v>13202606</v>
      </c>
      <c r="F684" s="257">
        <v>12786906</v>
      </c>
      <c r="G684" s="257">
        <v>12786906</v>
      </c>
      <c r="H684" s="257">
        <v>0</v>
      </c>
      <c r="I684" s="257">
        <v>8425922</v>
      </c>
      <c r="J684" s="257">
        <v>0</v>
      </c>
      <c r="K684" s="257">
        <v>4360984</v>
      </c>
      <c r="L684" s="257">
        <v>4360984</v>
      </c>
      <c r="M684" s="257">
        <v>0</v>
      </c>
      <c r="N684" s="257">
        <v>0</v>
      </c>
    </row>
    <row r="685" spans="1:14" s="143" customFormat="1" hidden="1" x14ac:dyDescent="0.25">
      <c r="A685" s="143" t="s">
        <v>717</v>
      </c>
      <c r="B685" s="143" t="s">
        <v>496</v>
      </c>
      <c r="C685" s="143" t="s">
        <v>700</v>
      </c>
      <c r="D685" s="143" t="s">
        <v>69</v>
      </c>
      <c r="E685" s="257">
        <v>26405312</v>
      </c>
      <c r="F685" s="257">
        <v>25573912</v>
      </c>
      <c r="G685" s="257">
        <v>25573912</v>
      </c>
      <c r="H685" s="257">
        <v>0</v>
      </c>
      <c r="I685" s="257">
        <v>16851926</v>
      </c>
      <c r="J685" s="257">
        <v>0</v>
      </c>
      <c r="K685" s="257">
        <v>8721986</v>
      </c>
      <c r="L685" s="257">
        <v>8721986</v>
      </c>
      <c r="M685" s="257">
        <v>0</v>
      </c>
      <c r="N685" s="257">
        <v>0</v>
      </c>
    </row>
    <row r="686" spans="1:14" s="143" customFormat="1" hidden="1" x14ac:dyDescent="0.25">
      <c r="A686" s="143" t="s">
        <v>717</v>
      </c>
      <c r="B686" s="143" t="s">
        <v>104</v>
      </c>
      <c r="C686" s="143" t="s">
        <v>105</v>
      </c>
      <c r="D686" s="143" t="s">
        <v>69</v>
      </c>
      <c r="E686" s="257">
        <v>143937951</v>
      </c>
      <c r="F686" s="257">
        <v>120283951</v>
      </c>
      <c r="G686" s="257">
        <v>50910556</v>
      </c>
      <c r="H686" s="257">
        <v>3378845.4</v>
      </c>
      <c r="I686" s="257">
        <v>26835679.699999999</v>
      </c>
      <c r="J686" s="257">
        <v>43640.11</v>
      </c>
      <c r="K686" s="257">
        <v>7113100.7699999996</v>
      </c>
      <c r="L686" s="257">
        <v>7078070.7699999996</v>
      </c>
      <c r="M686" s="257">
        <v>82912685.019999996</v>
      </c>
      <c r="N686" s="257">
        <v>13539290.02</v>
      </c>
    </row>
    <row r="687" spans="1:14" s="143" customFormat="1" hidden="1" x14ac:dyDescent="0.25">
      <c r="A687" s="143" t="s">
        <v>717</v>
      </c>
      <c r="B687" s="143" t="s">
        <v>106</v>
      </c>
      <c r="C687" s="143" t="s">
        <v>107</v>
      </c>
      <c r="D687" s="143" t="s">
        <v>69</v>
      </c>
      <c r="E687" s="257">
        <v>60469231</v>
      </c>
      <c r="F687" s="257">
        <v>50315823</v>
      </c>
      <c r="G687" s="257">
        <v>21412467</v>
      </c>
      <c r="H687" s="257">
        <v>2075165.4</v>
      </c>
      <c r="I687" s="257">
        <v>11030843.390000001</v>
      </c>
      <c r="J687" s="257">
        <v>43640.11</v>
      </c>
      <c r="K687" s="257">
        <v>2820116.36</v>
      </c>
      <c r="L687" s="257">
        <v>2820116.36</v>
      </c>
      <c r="M687" s="257">
        <v>34346057.740000002</v>
      </c>
      <c r="N687" s="257">
        <v>5442701.7400000002</v>
      </c>
    </row>
    <row r="688" spans="1:14" s="143" customFormat="1" hidden="1" x14ac:dyDescent="0.25">
      <c r="A688" s="143" t="s">
        <v>717</v>
      </c>
      <c r="B688" s="143" t="s">
        <v>108</v>
      </c>
      <c r="C688" s="143" t="s">
        <v>109</v>
      </c>
      <c r="D688" s="143" t="s">
        <v>69</v>
      </c>
      <c r="E688" s="257">
        <v>60469231</v>
      </c>
      <c r="F688" s="257">
        <v>50315823</v>
      </c>
      <c r="G688" s="257">
        <v>21412467</v>
      </c>
      <c r="H688" s="257">
        <v>2075165.4</v>
      </c>
      <c r="I688" s="257">
        <v>11030843.390000001</v>
      </c>
      <c r="J688" s="257">
        <v>43640.11</v>
      </c>
      <c r="K688" s="257">
        <v>2820116.36</v>
      </c>
      <c r="L688" s="257">
        <v>2820116.36</v>
      </c>
      <c r="M688" s="257">
        <v>34346057.740000002</v>
      </c>
      <c r="N688" s="257">
        <v>5442701.7400000002</v>
      </c>
    </row>
    <row r="689" spans="1:14" s="143" customFormat="1" hidden="1" x14ac:dyDescent="0.25">
      <c r="A689" s="143" t="s">
        <v>717</v>
      </c>
      <c r="B689" s="143" t="s">
        <v>112</v>
      </c>
      <c r="C689" s="143" t="s">
        <v>113</v>
      </c>
      <c r="D689" s="143" t="s">
        <v>69</v>
      </c>
      <c r="E689" s="257">
        <v>12862800</v>
      </c>
      <c r="F689" s="257">
        <v>13016208</v>
      </c>
      <c r="G689" s="257">
        <v>7171108</v>
      </c>
      <c r="H689" s="257">
        <v>0</v>
      </c>
      <c r="I689" s="257">
        <v>3358938.31</v>
      </c>
      <c r="J689" s="257">
        <v>0</v>
      </c>
      <c r="K689" s="257">
        <v>1649027.41</v>
      </c>
      <c r="L689" s="257">
        <v>1649027.41</v>
      </c>
      <c r="M689" s="257">
        <v>8008242.2800000003</v>
      </c>
      <c r="N689" s="257">
        <v>2163142.2799999998</v>
      </c>
    </row>
    <row r="690" spans="1:14" s="143" customFormat="1" hidden="1" x14ac:dyDescent="0.25">
      <c r="A690" s="143" t="s">
        <v>717</v>
      </c>
      <c r="B690" s="143" t="s">
        <v>114</v>
      </c>
      <c r="C690" s="143" t="s">
        <v>115</v>
      </c>
      <c r="D690" s="143" t="s">
        <v>69</v>
      </c>
      <c r="E690" s="257">
        <v>0</v>
      </c>
      <c r="F690" s="257">
        <v>153408</v>
      </c>
      <c r="G690" s="257">
        <v>153408</v>
      </c>
      <c r="H690" s="257">
        <v>0</v>
      </c>
      <c r="I690" s="257">
        <v>64262</v>
      </c>
      <c r="J690" s="257">
        <v>0</v>
      </c>
      <c r="K690" s="257">
        <v>89146</v>
      </c>
      <c r="L690" s="257">
        <v>89146</v>
      </c>
      <c r="M690" s="257">
        <v>0</v>
      </c>
      <c r="N690" s="257">
        <v>0</v>
      </c>
    </row>
    <row r="691" spans="1:14" s="143" customFormat="1" hidden="1" x14ac:dyDescent="0.25">
      <c r="A691" s="143" t="s">
        <v>717</v>
      </c>
      <c r="B691" s="143" t="s">
        <v>116</v>
      </c>
      <c r="C691" s="143" t="s">
        <v>117</v>
      </c>
      <c r="D691" s="143" t="s">
        <v>69</v>
      </c>
      <c r="E691" s="257">
        <v>500000</v>
      </c>
      <c r="F691" s="257">
        <v>500000</v>
      </c>
      <c r="G691" s="257">
        <v>427000</v>
      </c>
      <c r="H691" s="257">
        <v>0</v>
      </c>
      <c r="I691" s="257">
        <v>68799.25</v>
      </c>
      <c r="J691" s="257">
        <v>0</v>
      </c>
      <c r="K691" s="257">
        <v>357932.75</v>
      </c>
      <c r="L691" s="257">
        <v>357932.75</v>
      </c>
      <c r="M691" s="257">
        <v>73268</v>
      </c>
      <c r="N691" s="257">
        <v>268</v>
      </c>
    </row>
    <row r="692" spans="1:14" s="143" customFormat="1" hidden="1" x14ac:dyDescent="0.25">
      <c r="A692" s="143" t="s">
        <v>717</v>
      </c>
      <c r="B692" s="143" t="s">
        <v>120</v>
      </c>
      <c r="C692" s="143" t="s">
        <v>121</v>
      </c>
      <c r="D692" s="143" t="s">
        <v>69</v>
      </c>
      <c r="E692" s="257">
        <v>12362800</v>
      </c>
      <c r="F692" s="257">
        <v>12362800</v>
      </c>
      <c r="G692" s="257">
        <v>6590700</v>
      </c>
      <c r="H692" s="257">
        <v>0</v>
      </c>
      <c r="I692" s="257">
        <v>3225877.06</v>
      </c>
      <c r="J692" s="257">
        <v>0</v>
      </c>
      <c r="K692" s="257">
        <v>1201948.6599999999</v>
      </c>
      <c r="L692" s="257">
        <v>1201948.6599999999</v>
      </c>
      <c r="M692" s="257">
        <v>7934974.2800000003</v>
      </c>
      <c r="N692" s="257">
        <v>2162874.2799999998</v>
      </c>
    </row>
    <row r="693" spans="1:14" s="143" customFormat="1" hidden="1" x14ac:dyDescent="0.25">
      <c r="A693" s="143" t="s">
        <v>717</v>
      </c>
      <c r="B693" s="143" t="s">
        <v>124</v>
      </c>
      <c r="C693" s="143" t="s">
        <v>125</v>
      </c>
      <c r="D693" s="143" t="s">
        <v>69</v>
      </c>
      <c r="E693" s="257">
        <v>4286000</v>
      </c>
      <c r="F693" s="257">
        <v>2002000</v>
      </c>
      <c r="G693" s="257">
        <v>1507500</v>
      </c>
      <c r="H693" s="257">
        <v>1303680</v>
      </c>
      <c r="I693" s="257">
        <v>178600</v>
      </c>
      <c r="J693" s="257">
        <v>0</v>
      </c>
      <c r="K693" s="257">
        <v>0</v>
      </c>
      <c r="L693" s="257">
        <v>0</v>
      </c>
      <c r="M693" s="257">
        <v>519720</v>
      </c>
      <c r="N693" s="257">
        <v>25220</v>
      </c>
    </row>
    <row r="694" spans="1:14" s="143" customFormat="1" hidden="1" x14ac:dyDescent="0.25">
      <c r="A694" s="143" t="s">
        <v>717</v>
      </c>
      <c r="B694" s="143" t="s">
        <v>126</v>
      </c>
      <c r="C694" s="143" t="s">
        <v>127</v>
      </c>
      <c r="D694" s="143" t="s">
        <v>69</v>
      </c>
      <c r="E694" s="257">
        <v>450000</v>
      </c>
      <c r="F694" s="257">
        <v>350000</v>
      </c>
      <c r="G694" s="257">
        <v>182500</v>
      </c>
      <c r="H694" s="257">
        <v>0</v>
      </c>
      <c r="I694" s="257">
        <v>178600</v>
      </c>
      <c r="J694" s="257">
        <v>0</v>
      </c>
      <c r="K694" s="257">
        <v>0</v>
      </c>
      <c r="L694" s="257">
        <v>0</v>
      </c>
      <c r="M694" s="257">
        <v>171400</v>
      </c>
      <c r="N694" s="257">
        <v>3900</v>
      </c>
    </row>
    <row r="695" spans="1:14" s="143" customFormat="1" hidden="1" x14ac:dyDescent="0.25">
      <c r="A695" s="143" t="s">
        <v>717</v>
      </c>
      <c r="B695" s="143" t="s">
        <v>532</v>
      </c>
      <c r="C695" s="143" t="s">
        <v>718</v>
      </c>
      <c r="D695" s="143" t="s">
        <v>69</v>
      </c>
      <c r="E695" s="257">
        <v>1336000</v>
      </c>
      <c r="F695" s="257">
        <v>652000</v>
      </c>
      <c r="G695" s="257">
        <v>400000</v>
      </c>
      <c r="H695" s="257">
        <v>379680</v>
      </c>
      <c r="I695" s="257">
        <v>0</v>
      </c>
      <c r="J695" s="257">
        <v>0</v>
      </c>
      <c r="K695" s="257">
        <v>0</v>
      </c>
      <c r="L695" s="257">
        <v>0</v>
      </c>
      <c r="M695" s="257">
        <v>272320</v>
      </c>
      <c r="N695" s="257">
        <v>20320</v>
      </c>
    </row>
    <row r="696" spans="1:14" s="143" customFormat="1" hidden="1" x14ac:dyDescent="0.25">
      <c r="A696" s="143" t="s">
        <v>717</v>
      </c>
      <c r="B696" s="143" t="s">
        <v>128</v>
      </c>
      <c r="C696" s="143" t="s">
        <v>129</v>
      </c>
      <c r="D696" s="143" t="s">
        <v>69</v>
      </c>
      <c r="E696" s="257">
        <v>2500000</v>
      </c>
      <c r="F696" s="257">
        <v>1000000</v>
      </c>
      <c r="G696" s="257">
        <v>925000</v>
      </c>
      <c r="H696" s="257">
        <v>924000</v>
      </c>
      <c r="I696" s="257">
        <v>0</v>
      </c>
      <c r="J696" s="257">
        <v>0</v>
      </c>
      <c r="K696" s="257">
        <v>0</v>
      </c>
      <c r="L696" s="257">
        <v>0</v>
      </c>
      <c r="M696" s="257">
        <v>76000</v>
      </c>
      <c r="N696" s="257">
        <v>1000</v>
      </c>
    </row>
    <row r="697" spans="1:14" s="143" customFormat="1" hidden="1" x14ac:dyDescent="0.25">
      <c r="A697" s="143" t="s">
        <v>717</v>
      </c>
      <c r="B697" s="143" t="s">
        <v>134</v>
      </c>
      <c r="C697" s="143" t="s">
        <v>135</v>
      </c>
      <c r="D697" s="143" t="s">
        <v>69</v>
      </c>
      <c r="E697" s="257">
        <v>3625200</v>
      </c>
      <c r="F697" s="257">
        <v>625200</v>
      </c>
      <c r="G697" s="257">
        <v>66300</v>
      </c>
      <c r="H697" s="257">
        <v>0</v>
      </c>
      <c r="I697" s="257">
        <v>0</v>
      </c>
      <c r="J697" s="257">
        <v>0</v>
      </c>
      <c r="K697" s="257">
        <v>0</v>
      </c>
      <c r="L697" s="257">
        <v>0</v>
      </c>
      <c r="M697" s="257">
        <v>625200</v>
      </c>
      <c r="N697" s="257">
        <v>66300</v>
      </c>
    </row>
    <row r="698" spans="1:14" s="143" customFormat="1" hidden="1" x14ac:dyDescent="0.25">
      <c r="A698" s="143" t="s">
        <v>717</v>
      </c>
      <c r="B698" s="143" t="s">
        <v>138</v>
      </c>
      <c r="C698" s="143" t="s">
        <v>139</v>
      </c>
      <c r="D698" s="143" t="s">
        <v>69</v>
      </c>
      <c r="E698" s="257">
        <v>3625200</v>
      </c>
      <c r="F698" s="257">
        <v>625200</v>
      </c>
      <c r="G698" s="257">
        <v>66300</v>
      </c>
      <c r="H698" s="257">
        <v>0</v>
      </c>
      <c r="I698" s="257">
        <v>0</v>
      </c>
      <c r="J698" s="257">
        <v>0</v>
      </c>
      <c r="K698" s="257">
        <v>0</v>
      </c>
      <c r="L698" s="257">
        <v>0</v>
      </c>
      <c r="M698" s="257">
        <v>625200</v>
      </c>
      <c r="N698" s="257">
        <v>66300</v>
      </c>
    </row>
    <row r="699" spans="1:14" s="143" customFormat="1" hidden="1" x14ac:dyDescent="0.25">
      <c r="A699" s="143" t="s">
        <v>717</v>
      </c>
      <c r="B699" s="143" t="s">
        <v>140</v>
      </c>
      <c r="C699" s="143" t="s">
        <v>141</v>
      </c>
      <c r="D699" s="143" t="s">
        <v>69</v>
      </c>
      <c r="E699" s="257">
        <v>18004720</v>
      </c>
      <c r="F699" s="257">
        <v>13554720</v>
      </c>
      <c r="G699" s="257">
        <v>4451180</v>
      </c>
      <c r="H699" s="257">
        <v>0</v>
      </c>
      <c r="I699" s="257">
        <v>2457470</v>
      </c>
      <c r="J699" s="257">
        <v>0</v>
      </c>
      <c r="K699" s="257">
        <v>1765750</v>
      </c>
      <c r="L699" s="257">
        <v>1765750</v>
      </c>
      <c r="M699" s="257">
        <v>9331500</v>
      </c>
      <c r="N699" s="257">
        <v>227960</v>
      </c>
    </row>
    <row r="700" spans="1:14" s="143" customFormat="1" hidden="1" x14ac:dyDescent="0.25">
      <c r="A700" s="143" t="s">
        <v>717</v>
      </c>
      <c r="B700" s="143" t="s">
        <v>142</v>
      </c>
      <c r="C700" s="143" t="s">
        <v>143</v>
      </c>
      <c r="D700" s="143" t="s">
        <v>69</v>
      </c>
      <c r="E700" s="257">
        <v>1560220</v>
      </c>
      <c r="F700" s="257">
        <v>1110220</v>
      </c>
      <c r="G700" s="257">
        <v>340055</v>
      </c>
      <c r="H700" s="257">
        <v>0</v>
      </c>
      <c r="I700" s="257">
        <v>155670</v>
      </c>
      <c r="J700" s="257">
        <v>0</v>
      </c>
      <c r="K700" s="257">
        <v>155850</v>
      </c>
      <c r="L700" s="257">
        <v>155850</v>
      </c>
      <c r="M700" s="257">
        <v>798700</v>
      </c>
      <c r="N700" s="257">
        <v>28535</v>
      </c>
    </row>
    <row r="701" spans="1:14" s="143" customFormat="1" hidden="1" x14ac:dyDescent="0.25">
      <c r="A701" s="143" t="s">
        <v>717</v>
      </c>
      <c r="B701" s="143" t="s">
        <v>144</v>
      </c>
      <c r="C701" s="143" t="s">
        <v>145</v>
      </c>
      <c r="D701" s="143" t="s">
        <v>69</v>
      </c>
      <c r="E701" s="257">
        <v>16444500</v>
      </c>
      <c r="F701" s="257">
        <v>12444500</v>
      </c>
      <c r="G701" s="257">
        <v>4111125</v>
      </c>
      <c r="H701" s="257">
        <v>0</v>
      </c>
      <c r="I701" s="257">
        <v>2301800</v>
      </c>
      <c r="J701" s="257">
        <v>0</v>
      </c>
      <c r="K701" s="257">
        <v>1609900</v>
      </c>
      <c r="L701" s="257">
        <v>1609900</v>
      </c>
      <c r="M701" s="257">
        <v>8532800</v>
      </c>
      <c r="N701" s="257">
        <v>199425</v>
      </c>
    </row>
    <row r="702" spans="1:14" s="143" customFormat="1" hidden="1" x14ac:dyDescent="0.25">
      <c r="A702" s="143" t="s">
        <v>717</v>
      </c>
      <c r="B702" s="143" t="s">
        <v>150</v>
      </c>
      <c r="C702" s="143" t="s">
        <v>151</v>
      </c>
      <c r="D702" s="143" t="s">
        <v>69</v>
      </c>
      <c r="E702" s="257">
        <v>6000000</v>
      </c>
      <c r="F702" s="257">
        <v>5900000</v>
      </c>
      <c r="G702" s="257">
        <v>3400000</v>
      </c>
      <c r="H702" s="257">
        <v>0</v>
      </c>
      <c r="I702" s="257">
        <v>2218178</v>
      </c>
      <c r="J702" s="257">
        <v>0</v>
      </c>
      <c r="K702" s="257">
        <v>481822</v>
      </c>
      <c r="L702" s="257">
        <v>481822</v>
      </c>
      <c r="M702" s="257">
        <v>3200000</v>
      </c>
      <c r="N702" s="257">
        <v>700000</v>
      </c>
    </row>
    <row r="703" spans="1:14" s="143" customFormat="1" hidden="1" x14ac:dyDescent="0.25">
      <c r="A703" s="143" t="s">
        <v>717</v>
      </c>
      <c r="B703" s="143" t="s">
        <v>152</v>
      </c>
      <c r="C703" s="143" t="s">
        <v>153</v>
      </c>
      <c r="D703" s="143" t="s">
        <v>69</v>
      </c>
      <c r="E703" s="257">
        <v>6000000</v>
      </c>
      <c r="F703" s="257">
        <v>5900000</v>
      </c>
      <c r="G703" s="257">
        <v>3400000</v>
      </c>
      <c r="H703" s="257">
        <v>0</v>
      </c>
      <c r="I703" s="257">
        <v>2218178</v>
      </c>
      <c r="J703" s="257">
        <v>0</v>
      </c>
      <c r="K703" s="257">
        <v>481822</v>
      </c>
      <c r="L703" s="257">
        <v>481822</v>
      </c>
      <c r="M703" s="257">
        <v>3200000</v>
      </c>
      <c r="N703" s="257">
        <v>700000</v>
      </c>
    </row>
    <row r="704" spans="1:14" s="143" customFormat="1" hidden="1" x14ac:dyDescent="0.25">
      <c r="A704" s="143" t="s">
        <v>717</v>
      </c>
      <c r="B704" s="143" t="s">
        <v>154</v>
      </c>
      <c r="C704" s="143" t="s">
        <v>155</v>
      </c>
      <c r="D704" s="143" t="s">
        <v>69</v>
      </c>
      <c r="E704" s="257">
        <v>27190000</v>
      </c>
      <c r="F704" s="257">
        <v>25490000</v>
      </c>
      <c r="G704" s="257">
        <v>7097500</v>
      </c>
      <c r="H704" s="257">
        <v>0</v>
      </c>
      <c r="I704" s="257">
        <v>6379700</v>
      </c>
      <c r="J704" s="257">
        <v>0</v>
      </c>
      <c r="K704" s="257">
        <v>350300</v>
      </c>
      <c r="L704" s="257">
        <v>315270</v>
      </c>
      <c r="M704" s="257">
        <v>18760000</v>
      </c>
      <c r="N704" s="257">
        <v>367500</v>
      </c>
    </row>
    <row r="705" spans="1:14" s="143" customFormat="1" hidden="1" x14ac:dyDescent="0.25">
      <c r="A705" s="143" t="s">
        <v>717</v>
      </c>
      <c r="B705" s="143" t="s">
        <v>156</v>
      </c>
      <c r="C705" s="143" t="s">
        <v>157</v>
      </c>
      <c r="D705" s="143" t="s">
        <v>69</v>
      </c>
      <c r="E705" s="257">
        <v>27190000</v>
      </c>
      <c r="F705" s="257">
        <v>25490000</v>
      </c>
      <c r="G705" s="257">
        <v>7097500</v>
      </c>
      <c r="H705" s="257">
        <v>0</v>
      </c>
      <c r="I705" s="257">
        <v>6379700</v>
      </c>
      <c r="J705" s="257">
        <v>0</v>
      </c>
      <c r="K705" s="257">
        <v>350300</v>
      </c>
      <c r="L705" s="257">
        <v>315270</v>
      </c>
      <c r="M705" s="257">
        <v>18760000</v>
      </c>
      <c r="N705" s="257">
        <v>367500</v>
      </c>
    </row>
    <row r="706" spans="1:14" s="143" customFormat="1" hidden="1" x14ac:dyDescent="0.25">
      <c r="A706" s="143" t="s">
        <v>717</v>
      </c>
      <c r="B706" s="143" t="s">
        <v>162</v>
      </c>
      <c r="C706" s="143" t="s">
        <v>163</v>
      </c>
      <c r="D706" s="143" t="s">
        <v>69</v>
      </c>
      <c r="E706" s="257">
        <v>9500000</v>
      </c>
      <c r="F706" s="257">
        <v>8000000</v>
      </c>
      <c r="G706" s="257">
        <v>5724501</v>
      </c>
      <c r="H706" s="257">
        <v>0</v>
      </c>
      <c r="I706" s="257">
        <v>1211950</v>
      </c>
      <c r="J706" s="257">
        <v>0</v>
      </c>
      <c r="K706" s="257">
        <v>0</v>
      </c>
      <c r="L706" s="257">
        <v>0</v>
      </c>
      <c r="M706" s="257">
        <v>6788050</v>
      </c>
      <c r="N706" s="257">
        <v>4512551</v>
      </c>
    </row>
    <row r="707" spans="1:14" s="143" customFormat="1" hidden="1" x14ac:dyDescent="0.25">
      <c r="A707" s="143" t="s">
        <v>717</v>
      </c>
      <c r="B707" s="143" t="s">
        <v>166</v>
      </c>
      <c r="C707" s="143" t="s">
        <v>167</v>
      </c>
      <c r="D707" s="143" t="s">
        <v>69</v>
      </c>
      <c r="E707" s="257">
        <v>4500000</v>
      </c>
      <c r="F707" s="257">
        <v>3000000</v>
      </c>
      <c r="G707" s="257">
        <v>2329501</v>
      </c>
      <c r="H707" s="257">
        <v>0</v>
      </c>
      <c r="I707" s="257">
        <v>0</v>
      </c>
      <c r="J707" s="257">
        <v>0</v>
      </c>
      <c r="K707" s="257">
        <v>0</v>
      </c>
      <c r="L707" s="257">
        <v>0</v>
      </c>
      <c r="M707" s="257">
        <v>3000000</v>
      </c>
      <c r="N707" s="257">
        <v>2329501</v>
      </c>
    </row>
    <row r="708" spans="1:14" s="143" customFormat="1" hidden="1" x14ac:dyDescent="0.25">
      <c r="A708" s="143" t="s">
        <v>717</v>
      </c>
      <c r="B708" s="143" t="s">
        <v>170</v>
      </c>
      <c r="C708" s="143" t="s">
        <v>171</v>
      </c>
      <c r="D708" s="143" t="s">
        <v>69</v>
      </c>
      <c r="E708" s="257">
        <v>5000000</v>
      </c>
      <c r="F708" s="257">
        <v>5000000</v>
      </c>
      <c r="G708" s="257">
        <v>3395000</v>
      </c>
      <c r="H708" s="257">
        <v>0</v>
      </c>
      <c r="I708" s="257">
        <v>1211950</v>
      </c>
      <c r="J708" s="257">
        <v>0</v>
      </c>
      <c r="K708" s="257">
        <v>0</v>
      </c>
      <c r="L708" s="257">
        <v>0</v>
      </c>
      <c r="M708" s="257">
        <v>3788050</v>
      </c>
      <c r="N708" s="257">
        <v>2183050</v>
      </c>
    </row>
    <row r="709" spans="1:14" s="143" customFormat="1" hidden="1" x14ac:dyDescent="0.25">
      <c r="A709" s="143" t="s">
        <v>717</v>
      </c>
      <c r="B709" s="143" t="s">
        <v>174</v>
      </c>
      <c r="C709" s="143" t="s">
        <v>175</v>
      </c>
      <c r="D709" s="143" t="s">
        <v>69</v>
      </c>
      <c r="E709" s="257">
        <v>500000</v>
      </c>
      <c r="F709" s="257">
        <v>380000</v>
      </c>
      <c r="G709" s="257">
        <v>55000</v>
      </c>
      <c r="H709" s="257">
        <v>0</v>
      </c>
      <c r="I709" s="257">
        <v>0</v>
      </c>
      <c r="J709" s="257">
        <v>0</v>
      </c>
      <c r="K709" s="257">
        <v>46085</v>
      </c>
      <c r="L709" s="257">
        <v>46085</v>
      </c>
      <c r="M709" s="257">
        <v>333915</v>
      </c>
      <c r="N709" s="257">
        <v>8915</v>
      </c>
    </row>
    <row r="710" spans="1:14" s="143" customFormat="1" hidden="1" x14ac:dyDescent="0.25">
      <c r="A710" s="143" t="s">
        <v>717</v>
      </c>
      <c r="B710" s="143" t="s">
        <v>176</v>
      </c>
      <c r="C710" s="143" t="s">
        <v>177</v>
      </c>
      <c r="D710" s="143" t="s">
        <v>69</v>
      </c>
      <c r="E710" s="257">
        <v>500000</v>
      </c>
      <c r="F710" s="257">
        <v>380000</v>
      </c>
      <c r="G710" s="257">
        <v>55000</v>
      </c>
      <c r="H710" s="257">
        <v>0</v>
      </c>
      <c r="I710" s="257">
        <v>0</v>
      </c>
      <c r="J710" s="257">
        <v>0</v>
      </c>
      <c r="K710" s="257">
        <v>46085</v>
      </c>
      <c r="L710" s="257">
        <v>46085</v>
      </c>
      <c r="M710" s="257">
        <v>333915</v>
      </c>
      <c r="N710" s="257">
        <v>8915</v>
      </c>
    </row>
    <row r="711" spans="1:14" s="143" customFormat="1" hidden="1" x14ac:dyDescent="0.25">
      <c r="A711" s="143" t="s">
        <v>717</v>
      </c>
      <c r="B711" s="143" t="s">
        <v>178</v>
      </c>
      <c r="C711" s="143" t="s">
        <v>179</v>
      </c>
      <c r="D711" s="143" t="s">
        <v>69</v>
      </c>
      <c r="E711" s="257">
        <v>1500000</v>
      </c>
      <c r="F711" s="257">
        <v>1000000</v>
      </c>
      <c r="G711" s="257">
        <v>25000</v>
      </c>
      <c r="H711" s="257">
        <v>0</v>
      </c>
      <c r="I711" s="257">
        <v>0</v>
      </c>
      <c r="J711" s="257">
        <v>0</v>
      </c>
      <c r="K711" s="257">
        <v>0</v>
      </c>
      <c r="L711" s="257">
        <v>0</v>
      </c>
      <c r="M711" s="257">
        <v>1000000</v>
      </c>
      <c r="N711" s="257">
        <v>25000</v>
      </c>
    </row>
    <row r="712" spans="1:14" s="143" customFormat="1" hidden="1" x14ac:dyDescent="0.25">
      <c r="A712" s="143" t="s">
        <v>717</v>
      </c>
      <c r="B712" s="143" t="s">
        <v>182</v>
      </c>
      <c r="C712" s="143" t="s">
        <v>183</v>
      </c>
      <c r="D712" s="143" t="s">
        <v>69</v>
      </c>
      <c r="E712" s="257">
        <v>1500000</v>
      </c>
      <c r="F712" s="257">
        <v>1000000</v>
      </c>
      <c r="G712" s="257">
        <v>25000</v>
      </c>
      <c r="H712" s="257">
        <v>0</v>
      </c>
      <c r="I712" s="257">
        <v>0</v>
      </c>
      <c r="J712" s="257">
        <v>0</v>
      </c>
      <c r="K712" s="257">
        <v>0</v>
      </c>
      <c r="L712" s="257">
        <v>0</v>
      </c>
      <c r="M712" s="257">
        <v>1000000</v>
      </c>
      <c r="N712" s="257">
        <v>25000</v>
      </c>
    </row>
    <row r="713" spans="1:14" s="143" customFormat="1" hidden="1" x14ac:dyDescent="0.25">
      <c r="A713" s="143" t="s">
        <v>717</v>
      </c>
      <c r="B713" s="143" t="s">
        <v>184</v>
      </c>
      <c r="C713" s="143" t="s">
        <v>185</v>
      </c>
      <c r="D713" s="143" t="s">
        <v>69</v>
      </c>
      <c r="E713" s="257">
        <v>52884335</v>
      </c>
      <c r="F713" s="257">
        <v>36944335</v>
      </c>
      <c r="G713" s="257">
        <v>12906661.08</v>
      </c>
      <c r="H713" s="257">
        <v>0</v>
      </c>
      <c r="I713" s="257">
        <v>6033824.0199999996</v>
      </c>
      <c r="J713" s="257">
        <v>0</v>
      </c>
      <c r="K713" s="257">
        <v>5545971.4000000004</v>
      </c>
      <c r="L713" s="257">
        <v>5545971.4000000004</v>
      </c>
      <c r="M713" s="257">
        <v>25364539.579999998</v>
      </c>
      <c r="N713" s="257">
        <v>1326865.6599999999</v>
      </c>
    </row>
    <row r="714" spans="1:14" s="143" customFormat="1" hidden="1" x14ac:dyDescent="0.25">
      <c r="A714" s="143" t="s">
        <v>717</v>
      </c>
      <c r="B714" s="143" t="s">
        <v>186</v>
      </c>
      <c r="C714" s="143" t="s">
        <v>187</v>
      </c>
      <c r="D714" s="143" t="s">
        <v>69</v>
      </c>
      <c r="E714" s="257">
        <v>21308004</v>
      </c>
      <c r="F714" s="257">
        <v>15308004</v>
      </c>
      <c r="G714" s="257">
        <v>5637970</v>
      </c>
      <c r="H714" s="257">
        <v>0</v>
      </c>
      <c r="I714" s="257">
        <v>2325341.1</v>
      </c>
      <c r="J714" s="257">
        <v>0</v>
      </c>
      <c r="K714" s="257">
        <v>3310997.3</v>
      </c>
      <c r="L714" s="257">
        <v>3310997.3</v>
      </c>
      <c r="M714" s="257">
        <v>9671665.5999999996</v>
      </c>
      <c r="N714" s="257">
        <v>1631.6</v>
      </c>
    </row>
    <row r="715" spans="1:14" s="143" customFormat="1" hidden="1" x14ac:dyDescent="0.25">
      <c r="A715" s="143" t="s">
        <v>717</v>
      </c>
      <c r="B715" s="143" t="s">
        <v>188</v>
      </c>
      <c r="C715" s="143" t="s">
        <v>189</v>
      </c>
      <c r="D715" s="143" t="s">
        <v>69</v>
      </c>
      <c r="E715" s="257">
        <v>9500000</v>
      </c>
      <c r="F715" s="257">
        <v>8500000</v>
      </c>
      <c r="G715" s="257">
        <v>1701631</v>
      </c>
      <c r="H715" s="257">
        <v>0</v>
      </c>
      <c r="I715" s="257">
        <v>683095.98</v>
      </c>
      <c r="J715" s="257">
        <v>0</v>
      </c>
      <c r="K715" s="257">
        <v>1016904.02</v>
      </c>
      <c r="L715" s="257">
        <v>1016904.02</v>
      </c>
      <c r="M715" s="257">
        <v>6800000</v>
      </c>
      <c r="N715" s="257">
        <v>1631</v>
      </c>
    </row>
    <row r="716" spans="1:14" s="143" customFormat="1" hidden="1" x14ac:dyDescent="0.25">
      <c r="A716" s="143" t="s">
        <v>717</v>
      </c>
      <c r="B716" s="143" t="s">
        <v>192</v>
      </c>
      <c r="C716" s="143" t="s">
        <v>193</v>
      </c>
      <c r="D716" s="143" t="s">
        <v>69</v>
      </c>
      <c r="E716" s="257">
        <v>11808004</v>
      </c>
      <c r="F716" s="257">
        <v>6808004</v>
      </c>
      <c r="G716" s="257">
        <v>3936339</v>
      </c>
      <c r="H716" s="257">
        <v>0</v>
      </c>
      <c r="I716" s="257">
        <v>1642245.1200000001</v>
      </c>
      <c r="J716" s="257">
        <v>0</v>
      </c>
      <c r="K716" s="257">
        <v>2294093.2799999998</v>
      </c>
      <c r="L716" s="257">
        <v>2294093.2799999998</v>
      </c>
      <c r="M716" s="257">
        <v>2871665.6</v>
      </c>
      <c r="N716" s="257">
        <v>0.60000000000000009</v>
      </c>
    </row>
    <row r="717" spans="1:14" s="143" customFormat="1" hidden="1" x14ac:dyDescent="0.25">
      <c r="A717" s="143" t="s">
        <v>717</v>
      </c>
      <c r="B717" s="143" t="s">
        <v>196</v>
      </c>
      <c r="C717" s="143" t="s">
        <v>197</v>
      </c>
      <c r="D717" s="143" t="s">
        <v>69</v>
      </c>
      <c r="E717" s="257">
        <v>7008325</v>
      </c>
      <c r="F717" s="257">
        <v>6008325</v>
      </c>
      <c r="G717" s="257">
        <v>2502082</v>
      </c>
      <c r="H717" s="257">
        <v>0</v>
      </c>
      <c r="I717" s="257">
        <v>2320401.7000000002</v>
      </c>
      <c r="J717" s="257">
        <v>0</v>
      </c>
      <c r="K717" s="257">
        <v>0</v>
      </c>
      <c r="L717" s="257">
        <v>0</v>
      </c>
      <c r="M717" s="257">
        <v>3687923.3</v>
      </c>
      <c r="N717" s="257">
        <v>181680.3</v>
      </c>
    </row>
    <row r="718" spans="1:14" s="143" customFormat="1" hidden="1" x14ac:dyDescent="0.25">
      <c r="A718" s="143" t="s">
        <v>717</v>
      </c>
      <c r="B718" s="143" t="s">
        <v>198</v>
      </c>
      <c r="C718" s="143" t="s">
        <v>199</v>
      </c>
      <c r="D718" s="143" t="s">
        <v>69</v>
      </c>
      <c r="E718" s="257">
        <v>7008325</v>
      </c>
      <c r="F718" s="257">
        <v>6008325</v>
      </c>
      <c r="G718" s="257">
        <v>2502082</v>
      </c>
      <c r="H718" s="257">
        <v>0</v>
      </c>
      <c r="I718" s="257">
        <v>2320401.7000000002</v>
      </c>
      <c r="J718" s="257">
        <v>0</v>
      </c>
      <c r="K718" s="257">
        <v>0</v>
      </c>
      <c r="L718" s="257">
        <v>0</v>
      </c>
      <c r="M718" s="257">
        <v>3687923.3</v>
      </c>
      <c r="N718" s="257">
        <v>181680.3</v>
      </c>
    </row>
    <row r="719" spans="1:14" s="143" customFormat="1" hidden="1" x14ac:dyDescent="0.25">
      <c r="A719" s="143" t="s">
        <v>717</v>
      </c>
      <c r="B719" s="143" t="s">
        <v>200</v>
      </c>
      <c r="C719" s="143" t="s">
        <v>201</v>
      </c>
      <c r="D719" s="143" t="s">
        <v>69</v>
      </c>
      <c r="E719" s="257">
        <v>900000</v>
      </c>
      <c r="F719" s="257">
        <v>160000</v>
      </c>
      <c r="G719" s="257">
        <v>159000.01</v>
      </c>
      <c r="H719" s="257">
        <v>0</v>
      </c>
      <c r="I719" s="257">
        <v>132953.99</v>
      </c>
      <c r="J719" s="257">
        <v>0</v>
      </c>
      <c r="K719" s="257">
        <v>0</v>
      </c>
      <c r="L719" s="257">
        <v>0</v>
      </c>
      <c r="M719" s="257">
        <v>27046.01</v>
      </c>
      <c r="N719" s="257">
        <v>26046.02</v>
      </c>
    </row>
    <row r="720" spans="1:14" s="143" customFormat="1" hidden="1" x14ac:dyDescent="0.25">
      <c r="A720" s="143" t="s">
        <v>717</v>
      </c>
      <c r="B720" s="143" t="s">
        <v>316</v>
      </c>
      <c r="C720" s="143" t="s">
        <v>317</v>
      </c>
      <c r="D720" s="143" t="s">
        <v>69</v>
      </c>
      <c r="E720" s="257">
        <v>420000</v>
      </c>
      <c r="F720" s="257">
        <v>20000</v>
      </c>
      <c r="G720" s="257">
        <v>19046.009999999998</v>
      </c>
      <c r="H720" s="257">
        <v>0</v>
      </c>
      <c r="I720" s="257">
        <v>0</v>
      </c>
      <c r="J720" s="257">
        <v>0</v>
      </c>
      <c r="K720" s="257">
        <v>0</v>
      </c>
      <c r="L720" s="257">
        <v>0</v>
      </c>
      <c r="M720" s="257">
        <v>20000</v>
      </c>
      <c r="N720" s="257">
        <v>19046.009999999998</v>
      </c>
    </row>
    <row r="721" spans="1:14" s="143" customFormat="1" hidden="1" x14ac:dyDescent="0.25">
      <c r="A721" s="143" t="s">
        <v>717</v>
      </c>
      <c r="B721" s="143" t="s">
        <v>202</v>
      </c>
      <c r="C721" s="143" t="s">
        <v>203</v>
      </c>
      <c r="D721" s="143" t="s">
        <v>69</v>
      </c>
      <c r="E721" s="257">
        <v>480000</v>
      </c>
      <c r="F721" s="257">
        <v>140000</v>
      </c>
      <c r="G721" s="257">
        <v>139954</v>
      </c>
      <c r="H721" s="257">
        <v>0</v>
      </c>
      <c r="I721" s="257">
        <v>132953.99</v>
      </c>
      <c r="J721" s="257">
        <v>0</v>
      </c>
      <c r="K721" s="257">
        <v>0</v>
      </c>
      <c r="L721" s="257">
        <v>0</v>
      </c>
      <c r="M721" s="257">
        <v>7046.01</v>
      </c>
      <c r="N721" s="257">
        <v>7000.01</v>
      </c>
    </row>
    <row r="722" spans="1:14" s="143" customFormat="1" hidden="1" x14ac:dyDescent="0.25">
      <c r="A722" s="143" t="s">
        <v>717</v>
      </c>
      <c r="B722" s="143" t="s">
        <v>206</v>
      </c>
      <c r="C722" s="143" t="s">
        <v>207</v>
      </c>
      <c r="D722" s="143" t="s">
        <v>69</v>
      </c>
      <c r="E722" s="257">
        <v>3052196</v>
      </c>
      <c r="F722" s="257">
        <v>1752196</v>
      </c>
      <c r="G722" s="257">
        <v>3052</v>
      </c>
      <c r="H722" s="257">
        <v>0</v>
      </c>
      <c r="I722" s="257">
        <v>0</v>
      </c>
      <c r="J722" s="257">
        <v>0</v>
      </c>
      <c r="K722" s="257">
        <v>0</v>
      </c>
      <c r="L722" s="257">
        <v>0</v>
      </c>
      <c r="M722" s="257">
        <v>1752196</v>
      </c>
      <c r="N722" s="257">
        <v>3052</v>
      </c>
    </row>
    <row r="723" spans="1:14" s="143" customFormat="1" hidden="1" x14ac:dyDescent="0.25">
      <c r="A723" s="143" t="s">
        <v>717</v>
      </c>
      <c r="B723" s="143" t="s">
        <v>208</v>
      </c>
      <c r="C723" s="143" t="s">
        <v>209</v>
      </c>
      <c r="D723" s="143" t="s">
        <v>69</v>
      </c>
      <c r="E723" s="257">
        <v>885321</v>
      </c>
      <c r="F723" s="257">
        <v>85321</v>
      </c>
      <c r="G723" s="257">
        <v>1331</v>
      </c>
      <c r="H723" s="257">
        <v>0</v>
      </c>
      <c r="I723" s="257">
        <v>0</v>
      </c>
      <c r="J723" s="257">
        <v>0</v>
      </c>
      <c r="K723" s="257">
        <v>0</v>
      </c>
      <c r="L723" s="257">
        <v>0</v>
      </c>
      <c r="M723" s="257">
        <v>85321</v>
      </c>
      <c r="N723" s="257">
        <v>1331</v>
      </c>
    </row>
    <row r="724" spans="1:14" s="143" customFormat="1" hidden="1" x14ac:dyDescent="0.25">
      <c r="A724" s="143" t="s">
        <v>717</v>
      </c>
      <c r="B724" s="143" t="s">
        <v>210</v>
      </c>
      <c r="C724" s="143" t="s">
        <v>211</v>
      </c>
      <c r="D724" s="143" t="s">
        <v>69</v>
      </c>
      <c r="E724" s="257">
        <v>2166875</v>
      </c>
      <c r="F724" s="257">
        <v>1666875</v>
      </c>
      <c r="G724" s="257">
        <v>1721</v>
      </c>
      <c r="H724" s="257">
        <v>0</v>
      </c>
      <c r="I724" s="257">
        <v>0</v>
      </c>
      <c r="J724" s="257">
        <v>0</v>
      </c>
      <c r="K724" s="257">
        <v>0</v>
      </c>
      <c r="L724" s="257">
        <v>0</v>
      </c>
      <c r="M724" s="257">
        <v>1666875</v>
      </c>
      <c r="N724" s="257">
        <v>1721</v>
      </c>
    </row>
    <row r="725" spans="1:14" s="143" customFormat="1" hidden="1" x14ac:dyDescent="0.25">
      <c r="A725" s="143" t="s">
        <v>717</v>
      </c>
      <c r="B725" s="143" t="s">
        <v>212</v>
      </c>
      <c r="C725" s="143" t="s">
        <v>213</v>
      </c>
      <c r="D725" s="143" t="s">
        <v>69</v>
      </c>
      <c r="E725" s="257">
        <v>20615810</v>
      </c>
      <c r="F725" s="257">
        <v>13715810</v>
      </c>
      <c r="G725" s="257">
        <v>4604557.07</v>
      </c>
      <c r="H725" s="257">
        <v>0</v>
      </c>
      <c r="I725" s="257">
        <v>1255127.23</v>
      </c>
      <c r="J725" s="257">
        <v>0</v>
      </c>
      <c r="K725" s="257">
        <v>2234974.1</v>
      </c>
      <c r="L725" s="257">
        <v>2234974.1</v>
      </c>
      <c r="M725" s="257">
        <v>10225708.67</v>
      </c>
      <c r="N725" s="257">
        <v>1114455.74</v>
      </c>
    </row>
    <row r="726" spans="1:14" s="143" customFormat="1" hidden="1" x14ac:dyDescent="0.25">
      <c r="A726" s="143" t="s">
        <v>717</v>
      </c>
      <c r="B726" s="143" t="s">
        <v>214</v>
      </c>
      <c r="C726" s="143" t="s">
        <v>215</v>
      </c>
      <c r="D726" s="143" t="s">
        <v>69</v>
      </c>
      <c r="E726" s="257">
        <v>8014742</v>
      </c>
      <c r="F726" s="257">
        <v>5514742</v>
      </c>
      <c r="G726" s="257">
        <v>993687</v>
      </c>
      <c r="H726" s="257">
        <v>0</v>
      </c>
      <c r="I726" s="257">
        <v>94789</v>
      </c>
      <c r="J726" s="257">
        <v>0</v>
      </c>
      <c r="K726" s="257">
        <v>493107</v>
      </c>
      <c r="L726" s="257">
        <v>493107</v>
      </c>
      <c r="M726" s="257">
        <v>4926846</v>
      </c>
      <c r="N726" s="257">
        <v>405791</v>
      </c>
    </row>
    <row r="727" spans="1:14" s="143" customFormat="1" hidden="1" x14ac:dyDescent="0.25">
      <c r="A727" s="143" t="s">
        <v>717</v>
      </c>
      <c r="B727" s="143" t="s">
        <v>218</v>
      </c>
      <c r="C727" s="143" t="s">
        <v>219</v>
      </c>
      <c r="D727" s="143" t="s">
        <v>69</v>
      </c>
      <c r="E727" s="257">
        <v>5268045</v>
      </c>
      <c r="F727" s="257">
        <v>3768045</v>
      </c>
      <c r="G727" s="257">
        <v>887866.47</v>
      </c>
      <c r="H727" s="257">
        <v>0</v>
      </c>
      <c r="I727" s="257">
        <v>163143.35</v>
      </c>
      <c r="J727" s="257">
        <v>0</v>
      </c>
      <c r="K727" s="257">
        <v>259408.45</v>
      </c>
      <c r="L727" s="257">
        <v>259408.45</v>
      </c>
      <c r="M727" s="257">
        <v>3345493.2</v>
      </c>
      <c r="N727" s="257">
        <v>465314.67</v>
      </c>
    </row>
    <row r="728" spans="1:14" s="143" customFormat="1" hidden="1" x14ac:dyDescent="0.25">
      <c r="A728" s="143" t="s">
        <v>717</v>
      </c>
      <c r="B728" s="143" t="s">
        <v>220</v>
      </c>
      <c r="C728" s="143" t="s">
        <v>221</v>
      </c>
      <c r="D728" s="143" t="s">
        <v>69</v>
      </c>
      <c r="E728" s="257">
        <v>3038980</v>
      </c>
      <c r="F728" s="257">
        <v>788980</v>
      </c>
      <c r="G728" s="257">
        <v>407.6</v>
      </c>
      <c r="H728" s="257">
        <v>0</v>
      </c>
      <c r="I728" s="257">
        <v>0</v>
      </c>
      <c r="J728" s="257">
        <v>0</v>
      </c>
      <c r="K728" s="257">
        <v>0</v>
      </c>
      <c r="L728" s="257">
        <v>0</v>
      </c>
      <c r="M728" s="257">
        <v>788980</v>
      </c>
      <c r="N728" s="257">
        <v>407.6</v>
      </c>
    </row>
    <row r="729" spans="1:14" s="143" customFormat="1" hidden="1" x14ac:dyDescent="0.25">
      <c r="A729" s="143" t="s">
        <v>717</v>
      </c>
      <c r="B729" s="143" t="s">
        <v>222</v>
      </c>
      <c r="C729" s="143" t="s">
        <v>223</v>
      </c>
      <c r="D729" s="143" t="s">
        <v>69</v>
      </c>
      <c r="E729" s="257">
        <v>2590023</v>
      </c>
      <c r="F729" s="257">
        <v>2590023</v>
      </c>
      <c r="G729" s="257">
        <v>2590023</v>
      </c>
      <c r="H729" s="257">
        <v>0</v>
      </c>
      <c r="I729" s="257">
        <v>997194.88</v>
      </c>
      <c r="J729" s="257">
        <v>0</v>
      </c>
      <c r="K729" s="257">
        <v>1482458.65</v>
      </c>
      <c r="L729" s="257">
        <v>1482458.65</v>
      </c>
      <c r="M729" s="257">
        <v>110369.47</v>
      </c>
      <c r="N729" s="257">
        <v>110369.47</v>
      </c>
    </row>
    <row r="730" spans="1:14" s="143" customFormat="1" hidden="1" x14ac:dyDescent="0.25">
      <c r="A730" s="143" t="s">
        <v>717</v>
      </c>
      <c r="B730" s="143" t="s">
        <v>226</v>
      </c>
      <c r="C730" s="143" t="s">
        <v>227</v>
      </c>
      <c r="D730" s="143" t="s">
        <v>69</v>
      </c>
      <c r="E730" s="257">
        <v>774300</v>
      </c>
      <c r="F730" s="257">
        <v>424300</v>
      </c>
      <c r="G730" s="257">
        <v>128143</v>
      </c>
      <c r="H730" s="257">
        <v>0</v>
      </c>
      <c r="I730" s="257">
        <v>0</v>
      </c>
      <c r="J730" s="257">
        <v>0</v>
      </c>
      <c r="K730" s="257">
        <v>0</v>
      </c>
      <c r="L730" s="257">
        <v>0</v>
      </c>
      <c r="M730" s="257">
        <v>424300</v>
      </c>
      <c r="N730" s="257">
        <v>128143</v>
      </c>
    </row>
    <row r="731" spans="1:14" s="143" customFormat="1" hidden="1" x14ac:dyDescent="0.25">
      <c r="A731" s="143" t="s">
        <v>717</v>
      </c>
      <c r="B731" s="143" t="s">
        <v>228</v>
      </c>
      <c r="C731" s="143" t="s">
        <v>229</v>
      </c>
      <c r="D731" s="143" t="s">
        <v>69</v>
      </c>
      <c r="E731" s="257">
        <v>929720</v>
      </c>
      <c r="F731" s="257">
        <v>629720</v>
      </c>
      <c r="G731" s="257">
        <v>4430</v>
      </c>
      <c r="H731" s="257">
        <v>0</v>
      </c>
      <c r="I731" s="257">
        <v>0</v>
      </c>
      <c r="J731" s="257">
        <v>0</v>
      </c>
      <c r="K731" s="257">
        <v>0</v>
      </c>
      <c r="L731" s="257">
        <v>0</v>
      </c>
      <c r="M731" s="257">
        <v>629720</v>
      </c>
      <c r="N731" s="257">
        <v>4430</v>
      </c>
    </row>
    <row r="732" spans="1:14" s="143" customFormat="1" hidden="1" x14ac:dyDescent="0.25">
      <c r="A732" s="143" t="s">
        <v>717</v>
      </c>
      <c r="B732" s="143" t="s">
        <v>230</v>
      </c>
      <c r="C732" s="143" t="s">
        <v>231</v>
      </c>
      <c r="D732" s="143" t="s">
        <v>85</v>
      </c>
      <c r="E732" s="257">
        <v>45174214</v>
      </c>
      <c r="F732" s="257">
        <v>24660214</v>
      </c>
      <c r="G732" s="257">
        <v>2073108</v>
      </c>
      <c r="H732" s="257">
        <v>0</v>
      </c>
      <c r="I732" s="257">
        <v>62400</v>
      </c>
      <c r="J732" s="257">
        <v>0</v>
      </c>
      <c r="K732" s="257">
        <v>1010183.4</v>
      </c>
      <c r="L732" s="257">
        <v>1010183.4</v>
      </c>
      <c r="M732" s="257">
        <v>23587630.600000001</v>
      </c>
      <c r="N732" s="257">
        <v>1000524.6</v>
      </c>
    </row>
    <row r="733" spans="1:14" s="143" customFormat="1" hidden="1" x14ac:dyDescent="0.25">
      <c r="A733" s="143" t="s">
        <v>717</v>
      </c>
      <c r="B733" s="143" t="s">
        <v>232</v>
      </c>
      <c r="C733" s="143" t="s">
        <v>233</v>
      </c>
      <c r="D733" s="143" t="s">
        <v>85</v>
      </c>
      <c r="E733" s="257">
        <v>45174214</v>
      </c>
      <c r="F733" s="257">
        <v>24660214</v>
      </c>
      <c r="G733" s="257">
        <v>2073108</v>
      </c>
      <c r="H733" s="257">
        <v>0</v>
      </c>
      <c r="I733" s="257">
        <v>62400</v>
      </c>
      <c r="J733" s="257">
        <v>0</v>
      </c>
      <c r="K733" s="257">
        <v>1010183.4</v>
      </c>
      <c r="L733" s="257">
        <v>1010183.4</v>
      </c>
      <c r="M733" s="257">
        <v>23587630.600000001</v>
      </c>
      <c r="N733" s="257">
        <v>1000524.6</v>
      </c>
    </row>
    <row r="734" spans="1:14" s="143" customFormat="1" hidden="1" x14ac:dyDescent="0.25">
      <c r="A734" s="143" t="s">
        <v>717</v>
      </c>
      <c r="B734" s="143" t="s">
        <v>324</v>
      </c>
      <c r="C734" s="143" t="s">
        <v>325</v>
      </c>
      <c r="D734" s="143" t="s">
        <v>85</v>
      </c>
      <c r="E734" s="257">
        <v>400000</v>
      </c>
      <c r="F734" s="257">
        <v>200000</v>
      </c>
      <c r="G734" s="257">
        <v>200000</v>
      </c>
      <c r="H734" s="257">
        <v>0</v>
      </c>
      <c r="I734" s="257">
        <v>0</v>
      </c>
      <c r="J734" s="257">
        <v>0</v>
      </c>
      <c r="K734" s="257">
        <v>0</v>
      </c>
      <c r="L734" s="257">
        <v>0</v>
      </c>
      <c r="M734" s="257">
        <v>200000</v>
      </c>
      <c r="N734" s="257">
        <v>200000</v>
      </c>
    </row>
    <row r="735" spans="1:14" s="143" customFormat="1" hidden="1" x14ac:dyDescent="0.25">
      <c r="A735" s="143" t="s">
        <v>717</v>
      </c>
      <c r="B735" s="143" t="s">
        <v>236</v>
      </c>
      <c r="C735" s="143" t="s">
        <v>237</v>
      </c>
      <c r="D735" s="143" t="s">
        <v>85</v>
      </c>
      <c r="E735" s="257">
        <v>10235014</v>
      </c>
      <c r="F735" s="257">
        <v>3235014</v>
      </c>
      <c r="G735" s="257">
        <v>1058755</v>
      </c>
      <c r="H735" s="257">
        <v>0</v>
      </c>
      <c r="I735" s="257">
        <v>0</v>
      </c>
      <c r="J735" s="257">
        <v>0</v>
      </c>
      <c r="K735" s="257">
        <v>1010183.4</v>
      </c>
      <c r="L735" s="257">
        <v>1010183.4</v>
      </c>
      <c r="M735" s="257">
        <v>2224830.6</v>
      </c>
      <c r="N735" s="257">
        <v>48571.6</v>
      </c>
    </row>
    <row r="736" spans="1:14" s="143" customFormat="1" hidden="1" x14ac:dyDescent="0.25">
      <c r="A736" s="143" t="s">
        <v>717</v>
      </c>
      <c r="B736" s="143" t="s">
        <v>238</v>
      </c>
      <c r="C736" s="143" t="s">
        <v>239</v>
      </c>
      <c r="D736" s="143" t="s">
        <v>85</v>
      </c>
      <c r="E736" s="257">
        <v>3243620</v>
      </c>
      <c r="F736" s="257">
        <v>243620</v>
      </c>
      <c r="G736" s="257">
        <v>243620</v>
      </c>
      <c r="H736" s="257">
        <v>0</v>
      </c>
      <c r="I736" s="257">
        <v>0</v>
      </c>
      <c r="J736" s="257">
        <v>0</v>
      </c>
      <c r="K736" s="257">
        <v>0</v>
      </c>
      <c r="L736" s="257">
        <v>0</v>
      </c>
      <c r="M736" s="257">
        <v>243620</v>
      </c>
      <c r="N736" s="257">
        <v>243620</v>
      </c>
    </row>
    <row r="737" spans="1:14" s="143" customFormat="1" hidden="1" x14ac:dyDescent="0.25">
      <c r="A737" s="143" t="s">
        <v>717</v>
      </c>
      <c r="B737" s="143" t="s">
        <v>282</v>
      </c>
      <c r="C737" s="143" t="s">
        <v>283</v>
      </c>
      <c r="D737" s="143" t="s">
        <v>85</v>
      </c>
      <c r="E737" s="257">
        <v>414480</v>
      </c>
      <c r="F737" s="257">
        <v>480</v>
      </c>
      <c r="G737" s="257">
        <v>480</v>
      </c>
      <c r="H737" s="257">
        <v>0</v>
      </c>
      <c r="I737" s="257">
        <v>0</v>
      </c>
      <c r="J737" s="257">
        <v>0</v>
      </c>
      <c r="K737" s="257">
        <v>0</v>
      </c>
      <c r="L737" s="257">
        <v>0</v>
      </c>
      <c r="M737" s="257">
        <v>480</v>
      </c>
      <c r="N737" s="257">
        <v>480</v>
      </c>
    </row>
    <row r="738" spans="1:14" s="143" customFormat="1" hidden="1" x14ac:dyDescent="0.25">
      <c r="A738" s="143" t="s">
        <v>717</v>
      </c>
      <c r="B738" s="143" t="s">
        <v>240</v>
      </c>
      <c r="C738" s="143" t="s">
        <v>241</v>
      </c>
      <c r="D738" s="143" t="s">
        <v>85</v>
      </c>
      <c r="E738" s="257">
        <v>27531100</v>
      </c>
      <c r="F738" s="257">
        <v>20531100</v>
      </c>
      <c r="G738" s="257">
        <v>467753</v>
      </c>
      <c r="H738" s="257">
        <v>0</v>
      </c>
      <c r="I738" s="257">
        <v>0</v>
      </c>
      <c r="J738" s="257">
        <v>0</v>
      </c>
      <c r="K738" s="257">
        <v>0</v>
      </c>
      <c r="L738" s="257">
        <v>0</v>
      </c>
      <c r="M738" s="257">
        <v>20531100</v>
      </c>
      <c r="N738" s="257">
        <v>467753</v>
      </c>
    </row>
    <row r="739" spans="1:14" s="143" customFormat="1" hidden="1" x14ac:dyDescent="0.25">
      <c r="A739" s="143" t="s">
        <v>717</v>
      </c>
      <c r="B739" s="143" t="s">
        <v>242</v>
      </c>
      <c r="C739" s="143" t="s">
        <v>243</v>
      </c>
      <c r="D739" s="143" t="s">
        <v>85</v>
      </c>
      <c r="E739" s="257">
        <v>3350000</v>
      </c>
      <c r="F739" s="257">
        <v>450000</v>
      </c>
      <c r="G739" s="257">
        <v>102500</v>
      </c>
      <c r="H739" s="257">
        <v>0</v>
      </c>
      <c r="I739" s="257">
        <v>62400</v>
      </c>
      <c r="J739" s="257">
        <v>0</v>
      </c>
      <c r="K739" s="257">
        <v>0</v>
      </c>
      <c r="L739" s="257">
        <v>0</v>
      </c>
      <c r="M739" s="257">
        <v>387600</v>
      </c>
      <c r="N739" s="257">
        <v>40100</v>
      </c>
    </row>
    <row r="740" spans="1:14" s="143" customFormat="1" hidden="1" x14ac:dyDescent="0.25">
      <c r="A740" s="143" t="s">
        <v>717</v>
      </c>
      <c r="B740" s="143" t="s">
        <v>248</v>
      </c>
      <c r="C740" s="143" t="s">
        <v>249</v>
      </c>
      <c r="D740" s="143" t="s">
        <v>69</v>
      </c>
      <c r="E740" s="257">
        <v>50610852</v>
      </c>
      <c r="F740" s="257">
        <v>43150811</v>
      </c>
      <c r="G740" s="257">
        <v>22150811</v>
      </c>
      <c r="H740" s="257">
        <v>0</v>
      </c>
      <c r="I740" s="257">
        <v>9509599</v>
      </c>
      <c r="J740" s="257">
        <v>0</v>
      </c>
      <c r="K740" s="257">
        <v>6381708</v>
      </c>
      <c r="L740" s="257">
        <v>6381708</v>
      </c>
      <c r="M740" s="257">
        <v>27259504</v>
      </c>
      <c r="N740" s="257">
        <v>6259504</v>
      </c>
    </row>
    <row r="741" spans="1:14" s="143" customFormat="1" hidden="1" x14ac:dyDescent="0.25">
      <c r="A741" s="143" t="s">
        <v>717</v>
      </c>
      <c r="B741" s="143" t="s">
        <v>250</v>
      </c>
      <c r="C741" s="143" t="s">
        <v>251</v>
      </c>
      <c r="D741" s="143" t="s">
        <v>69</v>
      </c>
      <c r="E741" s="257">
        <v>14610852</v>
      </c>
      <c r="F741" s="257">
        <v>14150811</v>
      </c>
      <c r="G741" s="257">
        <v>14150811</v>
      </c>
      <c r="H741" s="257">
        <v>0</v>
      </c>
      <c r="I741" s="257">
        <v>9509599</v>
      </c>
      <c r="J741" s="257">
        <v>0</v>
      </c>
      <c r="K741" s="257">
        <v>4641212</v>
      </c>
      <c r="L741" s="257">
        <v>4641212</v>
      </c>
      <c r="M741" s="257">
        <v>0</v>
      </c>
      <c r="N741" s="257">
        <v>0</v>
      </c>
    </row>
    <row r="742" spans="1:14" s="143" customFormat="1" hidden="1" x14ac:dyDescent="0.25">
      <c r="A742" s="143" t="s">
        <v>717</v>
      </c>
      <c r="B742" s="143" t="s">
        <v>636</v>
      </c>
      <c r="C742" s="143" t="s">
        <v>702</v>
      </c>
      <c r="D742" s="143" t="s">
        <v>69</v>
      </c>
      <c r="E742" s="257">
        <v>12410435</v>
      </c>
      <c r="F742" s="257">
        <v>12019677</v>
      </c>
      <c r="G742" s="257">
        <v>12019677</v>
      </c>
      <c r="H742" s="257">
        <v>0</v>
      </c>
      <c r="I742" s="257">
        <v>8105299</v>
      </c>
      <c r="J742" s="257">
        <v>0</v>
      </c>
      <c r="K742" s="257">
        <v>3914378</v>
      </c>
      <c r="L742" s="257">
        <v>3914378</v>
      </c>
      <c r="M742" s="257">
        <v>0</v>
      </c>
      <c r="N742" s="257">
        <v>0</v>
      </c>
    </row>
    <row r="743" spans="1:14" s="143" customFormat="1" hidden="1" x14ac:dyDescent="0.25">
      <c r="A743" s="143" t="s">
        <v>717</v>
      </c>
      <c r="B743" s="143" t="s">
        <v>651</v>
      </c>
      <c r="C743" s="143" t="s">
        <v>703</v>
      </c>
      <c r="D743" s="143" t="s">
        <v>69</v>
      </c>
      <c r="E743" s="257">
        <v>2200417</v>
      </c>
      <c r="F743" s="257">
        <v>2131134</v>
      </c>
      <c r="G743" s="257">
        <v>2131134</v>
      </c>
      <c r="H743" s="257">
        <v>0</v>
      </c>
      <c r="I743" s="257">
        <v>1404300</v>
      </c>
      <c r="J743" s="257">
        <v>0</v>
      </c>
      <c r="K743" s="257">
        <v>726834</v>
      </c>
      <c r="L743" s="257">
        <v>726834</v>
      </c>
      <c r="M743" s="257">
        <v>0</v>
      </c>
      <c r="N743" s="257">
        <v>0</v>
      </c>
    </row>
    <row r="744" spans="1:14" s="143" customFormat="1" hidden="1" x14ac:dyDescent="0.25">
      <c r="A744" s="143" t="s">
        <v>717</v>
      </c>
      <c r="B744" s="143" t="s">
        <v>260</v>
      </c>
      <c r="C744" s="143" t="s">
        <v>261</v>
      </c>
      <c r="D744" s="143" t="s">
        <v>69</v>
      </c>
      <c r="E744" s="257">
        <v>26000000</v>
      </c>
      <c r="F744" s="257">
        <v>21500000</v>
      </c>
      <c r="G744" s="257">
        <v>8000000</v>
      </c>
      <c r="H744" s="257">
        <v>0</v>
      </c>
      <c r="I744" s="257">
        <v>0</v>
      </c>
      <c r="J744" s="257">
        <v>0</v>
      </c>
      <c r="K744" s="257">
        <v>1740496</v>
      </c>
      <c r="L744" s="257">
        <v>1740496</v>
      </c>
      <c r="M744" s="257">
        <v>19759504</v>
      </c>
      <c r="N744" s="257">
        <v>6259504</v>
      </c>
    </row>
    <row r="745" spans="1:14" s="143" customFormat="1" hidden="1" x14ac:dyDescent="0.25">
      <c r="A745" s="143" t="s">
        <v>717</v>
      </c>
      <c r="B745" s="143" t="s">
        <v>262</v>
      </c>
      <c r="C745" s="143" t="s">
        <v>263</v>
      </c>
      <c r="D745" s="143" t="s">
        <v>69</v>
      </c>
      <c r="E745" s="257">
        <v>18000000</v>
      </c>
      <c r="F745" s="257">
        <v>13500000</v>
      </c>
      <c r="G745" s="257">
        <v>0</v>
      </c>
      <c r="H745" s="257">
        <v>0</v>
      </c>
      <c r="I745" s="257">
        <v>0</v>
      </c>
      <c r="J745" s="257">
        <v>0</v>
      </c>
      <c r="K745" s="257">
        <v>0</v>
      </c>
      <c r="L745" s="257">
        <v>0</v>
      </c>
      <c r="M745" s="257">
        <v>13500000</v>
      </c>
      <c r="N745" s="257">
        <v>0</v>
      </c>
    </row>
    <row r="746" spans="1:14" s="143" customFormat="1" hidden="1" x14ac:dyDescent="0.25">
      <c r="A746" s="143" t="s">
        <v>717</v>
      </c>
      <c r="B746" s="143" t="s">
        <v>264</v>
      </c>
      <c r="C746" s="143" t="s">
        <v>265</v>
      </c>
      <c r="D746" s="143" t="s">
        <v>69</v>
      </c>
      <c r="E746" s="257">
        <v>8000000</v>
      </c>
      <c r="F746" s="257">
        <v>8000000</v>
      </c>
      <c r="G746" s="257">
        <v>8000000</v>
      </c>
      <c r="H746" s="257">
        <v>0</v>
      </c>
      <c r="I746" s="257">
        <v>0</v>
      </c>
      <c r="J746" s="257">
        <v>0</v>
      </c>
      <c r="K746" s="257">
        <v>1740496</v>
      </c>
      <c r="L746" s="257">
        <v>1740496</v>
      </c>
      <c r="M746" s="257">
        <v>6259504</v>
      </c>
      <c r="N746" s="257">
        <v>6259504</v>
      </c>
    </row>
    <row r="747" spans="1:14" s="143" customFormat="1" hidden="1" x14ac:dyDescent="0.25">
      <c r="A747" s="143" t="s">
        <v>717</v>
      </c>
      <c r="B747" s="143" t="s">
        <v>286</v>
      </c>
      <c r="C747" s="143" t="s">
        <v>287</v>
      </c>
      <c r="D747" s="143" t="s">
        <v>69</v>
      </c>
      <c r="E747" s="257">
        <v>10000000</v>
      </c>
      <c r="F747" s="257">
        <v>7500000</v>
      </c>
      <c r="G747" s="257">
        <v>0</v>
      </c>
      <c r="H747" s="257">
        <v>0</v>
      </c>
      <c r="I747" s="257">
        <v>0</v>
      </c>
      <c r="J747" s="257">
        <v>0</v>
      </c>
      <c r="K747" s="257">
        <v>0</v>
      </c>
      <c r="L747" s="257">
        <v>0</v>
      </c>
      <c r="M747" s="257">
        <v>7500000</v>
      </c>
      <c r="N747" s="257">
        <v>0</v>
      </c>
    </row>
    <row r="748" spans="1:14" s="143" customFormat="1" hidden="1" x14ac:dyDescent="0.25">
      <c r="A748" s="143" t="s">
        <v>717</v>
      </c>
      <c r="B748" s="143" t="s">
        <v>288</v>
      </c>
      <c r="C748" s="143" t="s">
        <v>289</v>
      </c>
      <c r="D748" s="143" t="s">
        <v>69</v>
      </c>
      <c r="E748" s="257">
        <v>10000000</v>
      </c>
      <c r="F748" s="257">
        <v>7500000</v>
      </c>
      <c r="G748" s="257">
        <v>0</v>
      </c>
      <c r="H748" s="257">
        <v>0</v>
      </c>
      <c r="I748" s="257">
        <v>0</v>
      </c>
      <c r="J748" s="257">
        <v>0</v>
      </c>
      <c r="K748" s="257">
        <v>0</v>
      </c>
      <c r="L748" s="257">
        <v>0</v>
      </c>
      <c r="M748" s="257">
        <v>7500000</v>
      </c>
      <c r="N748" s="257">
        <v>0</v>
      </c>
    </row>
    <row r="749" spans="1:14" s="143" customFormat="1" x14ac:dyDescent="0.25">
      <c r="A749" s="44">
        <v>214791</v>
      </c>
      <c r="D749" s="44" t="s">
        <v>69</v>
      </c>
      <c r="E749" s="257">
        <v>7826709762</v>
      </c>
      <c r="F749" s="50">
        <v>7636694426</v>
      </c>
      <c r="G749" s="257">
        <v>7609676047</v>
      </c>
      <c r="H749" s="50">
        <v>0</v>
      </c>
      <c r="I749" s="50">
        <v>803421750.40999997</v>
      </c>
      <c r="J749" s="50">
        <v>0</v>
      </c>
      <c r="K749" s="50">
        <v>2548873771.7399998</v>
      </c>
      <c r="L749" s="50">
        <v>2548873771.7399998</v>
      </c>
      <c r="M749" s="50">
        <v>4284398903.8499999</v>
      </c>
      <c r="N749" s="257">
        <v>4257380524.8499999</v>
      </c>
    </row>
    <row r="750" spans="1:14" s="143" customFormat="1" hidden="1" x14ac:dyDescent="0.25">
      <c r="A750" s="143" t="s">
        <v>719</v>
      </c>
      <c r="B750" s="143" t="s">
        <v>71</v>
      </c>
      <c r="C750" s="143" t="s">
        <v>72</v>
      </c>
      <c r="D750" s="143" t="s">
        <v>69</v>
      </c>
      <c r="E750" s="257">
        <v>7726375169</v>
      </c>
      <c r="F750" s="257">
        <v>7514142101</v>
      </c>
      <c r="G750" s="257">
        <v>7487123722</v>
      </c>
      <c r="H750" s="257">
        <v>0</v>
      </c>
      <c r="I750" s="257">
        <v>739407403.11000001</v>
      </c>
      <c r="J750" s="257">
        <v>0</v>
      </c>
      <c r="K750" s="257">
        <v>2511434543.04</v>
      </c>
      <c r="L750" s="257">
        <v>2511434543.04</v>
      </c>
      <c r="M750" s="257">
        <v>4263300154.8499999</v>
      </c>
      <c r="N750" s="257">
        <v>4236281775.8499999</v>
      </c>
    </row>
    <row r="751" spans="1:14" s="143" customFormat="1" hidden="1" x14ac:dyDescent="0.25">
      <c r="A751" s="143" t="s">
        <v>719</v>
      </c>
      <c r="B751" s="143" t="s">
        <v>73</v>
      </c>
      <c r="C751" s="143" t="s">
        <v>74</v>
      </c>
      <c r="D751" s="143" t="s">
        <v>69</v>
      </c>
      <c r="E751" s="257">
        <v>2598911346</v>
      </c>
      <c r="F751" s="257">
        <v>2517033928</v>
      </c>
      <c r="G751" s="257">
        <v>2517033928</v>
      </c>
      <c r="H751" s="257">
        <v>0</v>
      </c>
      <c r="I751" s="257">
        <v>0</v>
      </c>
      <c r="J751" s="257">
        <v>0</v>
      </c>
      <c r="K751" s="257">
        <v>803805091.63999999</v>
      </c>
      <c r="L751" s="257">
        <v>803805091.63999999</v>
      </c>
      <c r="M751" s="257">
        <v>1713228836.3599999</v>
      </c>
      <c r="N751" s="257">
        <v>1713228836.3599999</v>
      </c>
    </row>
    <row r="752" spans="1:14" s="143" customFormat="1" hidden="1" x14ac:dyDescent="0.25">
      <c r="A752" s="143" t="s">
        <v>719</v>
      </c>
      <c r="B752" s="143" t="s">
        <v>75</v>
      </c>
      <c r="C752" s="143" t="s">
        <v>76</v>
      </c>
      <c r="D752" s="143" t="s">
        <v>69</v>
      </c>
      <c r="E752" s="257">
        <v>2598911346</v>
      </c>
      <c r="F752" s="257">
        <v>2513033928</v>
      </c>
      <c r="G752" s="257">
        <v>2513033928</v>
      </c>
      <c r="H752" s="257">
        <v>0</v>
      </c>
      <c r="I752" s="257">
        <v>0</v>
      </c>
      <c r="J752" s="257">
        <v>0</v>
      </c>
      <c r="K752" s="257">
        <v>803805091.63999999</v>
      </c>
      <c r="L752" s="257">
        <v>803805091.63999999</v>
      </c>
      <c r="M752" s="257">
        <v>1709228836.3599999</v>
      </c>
      <c r="N752" s="257">
        <v>1709228836.3599999</v>
      </c>
    </row>
    <row r="753" spans="1:14" s="143" customFormat="1" hidden="1" x14ac:dyDescent="0.25">
      <c r="A753" s="143" t="s">
        <v>719</v>
      </c>
      <c r="B753" s="143" t="s">
        <v>291</v>
      </c>
      <c r="C753" s="143" t="s">
        <v>292</v>
      </c>
      <c r="D753" s="143" t="s">
        <v>69</v>
      </c>
      <c r="E753" s="257">
        <v>0</v>
      </c>
      <c r="F753" s="257">
        <v>4000000</v>
      </c>
      <c r="G753" s="257">
        <v>4000000</v>
      </c>
      <c r="H753" s="257">
        <v>0</v>
      </c>
      <c r="I753" s="257">
        <v>0</v>
      </c>
      <c r="J753" s="257">
        <v>0</v>
      </c>
      <c r="K753" s="257">
        <v>0</v>
      </c>
      <c r="L753" s="257">
        <v>0</v>
      </c>
      <c r="M753" s="257">
        <v>4000000</v>
      </c>
      <c r="N753" s="257">
        <v>4000000</v>
      </c>
    </row>
    <row r="754" spans="1:14" s="143" customFormat="1" hidden="1" x14ac:dyDescent="0.25">
      <c r="A754" s="143" t="s">
        <v>719</v>
      </c>
      <c r="B754" s="143" t="s">
        <v>77</v>
      </c>
      <c r="C754" s="143" t="s">
        <v>78</v>
      </c>
      <c r="D754" s="143" t="s">
        <v>69</v>
      </c>
      <c r="E754" s="257">
        <v>3948833757</v>
      </c>
      <c r="F754" s="257">
        <v>3851161380</v>
      </c>
      <c r="G754" s="257">
        <v>3824143001</v>
      </c>
      <c r="H754" s="257">
        <v>0</v>
      </c>
      <c r="I754" s="257">
        <v>0</v>
      </c>
      <c r="J754" s="257">
        <v>0</v>
      </c>
      <c r="K754" s="257">
        <v>1301090061.51</v>
      </c>
      <c r="L754" s="257">
        <v>1301090061.51</v>
      </c>
      <c r="M754" s="257">
        <v>2550071318.4899998</v>
      </c>
      <c r="N754" s="257">
        <v>2523052939.4899998</v>
      </c>
    </row>
    <row r="755" spans="1:14" s="143" customFormat="1" hidden="1" x14ac:dyDescent="0.25">
      <c r="A755" s="143" t="s">
        <v>719</v>
      </c>
      <c r="B755" s="143" t="s">
        <v>79</v>
      </c>
      <c r="C755" s="143" t="s">
        <v>80</v>
      </c>
      <c r="D755" s="143" t="s">
        <v>69</v>
      </c>
      <c r="E755" s="257">
        <v>655368000</v>
      </c>
      <c r="F755" s="257">
        <v>655368000</v>
      </c>
      <c r="G755" s="257">
        <v>628349621</v>
      </c>
      <c r="H755" s="257">
        <v>0</v>
      </c>
      <c r="I755" s="257">
        <v>0</v>
      </c>
      <c r="J755" s="257">
        <v>0</v>
      </c>
      <c r="K755" s="257">
        <v>191869967.75</v>
      </c>
      <c r="L755" s="257">
        <v>191869967.75</v>
      </c>
      <c r="M755" s="257">
        <v>463498032.25</v>
      </c>
      <c r="N755" s="257">
        <v>436479653.25</v>
      </c>
    </row>
    <row r="756" spans="1:14" s="143" customFormat="1" hidden="1" x14ac:dyDescent="0.25">
      <c r="A756" s="143" t="s">
        <v>719</v>
      </c>
      <c r="B756" s="143" t="s">
        <v>81</v>
      </c>
      <c r="C756" s="143" t="s">
        <v>82</v>
      </c>
      <c r="D756" s="143" t="s">
        <v>69</v>
      </c>
      <c r="E756" s="257">
        <v>1818533000</v>
      </c>
      <c r="F756" s="257">
        <v>1771965067</v>
      </c>
      <c r="G756" s="257">
        <v>1771965067</v>
      </c>
      <c r="H756" s="257">
        <v>0</v>
      </c>
      <c r="I756" s="257">
        <v>0</v>
      </c>
      <c r="J756" s="257">
        <v>0</v>
      </c>
      <c r="K756" s="257">
        <v>548777823.65999997</v>
      </c>
      <c r="L756" s="257">
        <v>548777823.65999997</v>
      </c>
      <c r="M756" s="257">
        <v>1223187243.3399999</v>
      </c>
      <c r="N756" s="257">
        <v>1223187243.3399999</v>
      </c>
    </row>
    <row r="757" spans="1:14" s="143" customFormat="1" hidden="1" x14ac:dyDescent="0.25">
      <c r="A757" s="143" t="s">
        <v>719</v>
      </c>
      <c r="B757" s="143" t="s">
        <v>83</v>
      </c>
      <c r="C757" s="143" t="s">
        <v>84</v>
      </c>
      <c r="D757" s="143" t="s">
        <v>85</v>
      </c>
      <c r="E757" s="257">
        <v>503486357</v>
      </c>
      <c r="F757" s="257">
        <v>489524732</v>
      </c>
      <c r="G757" s="257">
        <v>489524732</v>
      </c>
      <c r="H757" s="257">
        <v>0</v>
      </c>
      <c r="I757" s="257">
        <v>0</v>
      </c>
      <c r="J757" s="257">
        <v>0</v>
      </c>
      <c r="K757" s="257">
        <v>0</v>
      </c>
      <c r="L757" s="257">
        <v>0</v>
      </c>
      <c r="M757" s="257">
        <v>489524732</v>
      </c>
      <c r="N757" s="257">
        <v>489524732</v>
      </c>
    </row>
    <row r="758" spans="1:14" s="143" customFormat="1" hidden="1" x14ac:dyDescent="0.25">
      <c r="A758" s="143" t="s">
        <v>719</v>
      </c>
      <c r="B758" s="143" t="s">
        <v>86</v>
      </c>
      <c r="C758" s="143" t="s">
        <v>87</v>
      </c>
      <c r="D758" s="143" t="s">
        <v>69</v>
      </c>
      <c r="E758" s="257">
        <v>463338500</v>
      </c>
      <c r="F758" s="257">
        <v>434338500</v>
      </c>
      <c r="G758" s="257">
        <v>434338500</v>
      </c>
      <c r="H758" s="257">
        <v>0</v>
      </c>
      <c r="I758" s="257">
        <v>0</v>
      </c>
      <c r="J758" s="257">
        <v>0</v>
      </c>
      <c r="K758" s="257">
        <v>407415356.12</v>
      </c>
      <c r="L758" s="257">
        <v>407415356.12</v>
      </c>
      <c r="M758" s="257">
        <v>26923143.879999999</v>
      </c>
      <c r="N758" s="257">
        <v>26923143.879999999</v>
      </c>
    </row>
    <row r="759" spans="1:14" s="143" customFormat="1" hidden="1" x14ac:dyDescent="0.25">
      <c r="A759" s="143" t="s">
        <v>719</v>
      </c>
      <c r="B759" s="143" t="s">
        <v>88</v>
      </c>
      <c r="C759" s="143" t="s">
        <v>89</v>
      </c>
      <c r="D759" s="143" t="s">
        <v>69</v>
      </c>
      <c r="E759" s="257">
        <v>508107900</v>
      </c>
      <c r="F759" s="257">
        <v>499965081</v>
      </c>
      <c r="G759" s="257">
        <v>499965081</v>
      </c>
      <c r="H759" s="257">
        <v>0</v>
      </c>
      <c r="I759" s="257">
        <v>0</v>
      </c>
      <c r="J759" s="257">
        <v>0</v>
      </c>
      <c r="K759" s="257">
        <v>153026913.97999999</v>
      </c>
      <c r="L759" s="257">
        <v>153026913.97999999</v>
      </c>
      <c r="M759" s="257">
        <v>346938167.01999998</v>
      </c>
      <c r="N759" s="257">
        <v>346938167.01999998</v>
      </c>
    </row>
    <row r="760" spans="1:14" s="143" customFormat="1" hidden="1" x14ac:dyDescent="0.25">
      <c r="A760" s="143" t="s">
        <v>719</v>
      </c>
      <c r="B760" s="143" t="s">
        <v>90</v>
      </c>
      <c r="C760" s="143" t="s">
        <v>91</v>
      </c>
      <c r="D760" s="143" t="s">
        <v>69</v>
      </c>
      <c r="E760" s="257">
        <v>589315133</v>
      </c>
      <c r="F760" s="257">
        <v>572973497</v>
      </c>
      <c r="G760" s="257">
        <v>572973497</v>
      </c>
      <c r="H760" s="257">
        <v>0</v>
      </c>
      <c r="I760" s="257">
        <v>367699903.45999998</v>
      </c>
      <c r="J760" s="257">
        <v>0</v>
      </c>
      <c r="K760" s="257">
        <v>205273593.53999999</v>
      </c>
      <c r="L760" s="257">
        <v>205273593.53999999</v>
      </c>
      <c r="M760" s="257">
        <v>0</v>
      </c>
      <c r="N760" s="257">
        <v>0</v>
      </c>
    </row>
    <row r="761" spans="1:14" s="143" customFormat="1" hidden="1" x14ac:dyDescent="0.25">
      <c r="A761" s="143" t="s">
        <v>719</v>
      </c>
      <c r="B761" s="143" t="s">
        <v>428</v>
      </c>
      <c r="C761" s="143" t="s">
        <v>697</v>
      </c>
      <c r="D761" s="143" t="s">
        <v>69</v>
      </c>
      <c r="E761" s="257">
        <v>559093873</v>
      </c>
      <c r="F761" s="257">
        <v>543590268</v>
      </c>
      <c r="G761" s="257">
        <v>543590268</v>
      </c>
      <c r="H761" s="257">
        <v>0</v>
      </c>
      <c r="I761" s="257">
        <v>348842973.89999998</v>
      </c>
      <c r="J761" s="257">
        <v>0</v>
      </c>
      <c r="K761" s="257">
        <v>194747294.09999999</v>
      </c>
      <c r="L761" s="257">
        <v>194747294.09999999</v>
      </c>
      <c r="M761" s="257">
        <v>0</v>
      </c>
      <c r="N761" s="257">
        <v>0</v>
      </c>
    </row>
    <row r="762" spans="1:14" s="143" customFormat="1" hidden="1" x14ac:dyDescent="0.25">
      <c r="A762" s="143" t="s">
        <v>719</v>
      </c>
      <c r="B762" s="143" t="s">
        <v>445</v>
      </c>
      <c r="C762" s="143" t="s">
        <v>95</v>
      </c>
      <c r="D762" s="143" t="s">
        <v>69</v>
      </c>
      <c r="E762" s="257">
        <v>30221260</v>
      </c>
      <c r="F762" s="257">
        <v>29383229</v>
      </c>
      <c r="G762" s="257">
        <v>29383229</v>
      </c>
      <c r="H762" s="257">
        <v>0</v>
      </c>
      <c r="I762" s="257">
        <v>18856929.559999999</v>
      </c>
      <c r="J762" s="257">
        <v>0</v>
      </c>
      <c r="K762" s="257">
        <v>10526299.439999999</v>
      </c>
      <c r="L762" s="257">
        <v>10526299.439999999</v>
      </c>
      <c r="M762" s="257">
        <v>0</v>
      </c>
      <c r="N762" s="257">
        <v>0</v>
      </c>
    </row>
    <row r="763" spans="1:14" s="143" customFormat="1" hidden="1" x14ac:dyDescent="0.25">
      <c r="A763" s="143" t="s">
        <v>719</v>
      </c>
      <c r="B763" s="143" t="s">
        <v>96</v>
      </c>
      <c r="C763" s="143" t="s">
        <v>97</v>
      </c>
      <c r="D763" s="143" t="s">
        <v>69</v>
      </c>
      <c r="E763" s="257">
        <v>589314933</v>
      </c>
      <c r="F763" s="257">
        <v>572973296</v>
      </c>
      <c r="G763" s="257">
        <v>572973296</v>
      </c>
      <c r="H763" s="257">
        <v>0</v>
      </c>
      <c r="I763" s="257">
        <v>371707499.64999998</v>
      </c>
      <c r="J763" s="257">
        <v>0</v>
      </c>
      <c r="K763" s="257">
        <v>201265796.34999999</v>
      </c>
      <c r="L763" s="257">
        <v>201265796.34999999</v>
      </c>
      <c r="M763" s="257">
        <v>0</v>
      </c>
      <c r="N763" s="257">
        <v>0</v>
      </c>
    </row>
    <row r="764" spans="1:14" s="143" customFormat="1" hidden="1" x14ac:dyDescent="0.25">
      <c r="A764" s="143" t="s">
        <v>719</v>
      </c>
      <c r="B764" s="143" t="s">
        <v>463</v>
      </c>
      <c r="C764" s="143" t="s">
        <v>698</v>
      </c>
      <c r="D764" s="143" t="s">
        <v>69</v>
      </c>
      <c r="E764" s="257">
        <v>317323487</v>
      </c>
      <c r="F764" s="257">
        <v>308524144</v>
      </c>
      <c r="G764" s="257">
        <v>308524144</v>
      </c>
      <c r="H764" s="257">
        <v>0</v>
      </c>
      <c r="I764" s="257">
        <v>201995247.91</v>
      </c>
      <c r="J764" s="257">
        <v>0</v>
      </c>
      <c r="K764" s="257">
        <v>106528896.09</v>
      </c>
      <c r="L764" s="257">
        <v>106528896.09</v>
      </c>
      <c r="M764" s="257">
        <v>0</v>
      </c>
      <c r="N764" s="257">
        <v>0</v>
      </c>
    </row>
    <row r="765" spans="1:14" s="143" customFormat="1" hidden="1" x14ac:dyDescent="0.25">
      <c r="A765" s="143" t="s">
        <v>719</v>
      </c>
      <c r="B765" s="143" t="s">
        <v>480</v>
      </c>
      <c r="C765" s="143" t="s">
        <v>699</v>
      </c>
      <c r="D765" s="143" t="s">
        <v>69</v>
      </c>
      <c r="E765" s="257">
        <v>90663782</v>
      </c>
      <c r="F765" s="257">
        <v>88149684</v>
      </c>
      <c r="G765" s="257">
        <v>88149684</v>
      </c>
      <c r="H765" s="257">
        <v>0</v>
      </c>
      <c r="I765" s="257">
        <v>56570689.670000002</v>
      </c>
      <c r="J765" s="257">
        <v>0</v>
      </c>
      <c r="K765" s="257">
        <v>31578994.329999998</v>
      </c>
      <c r="L765" s="257">
        <v>31578994.329999998</v>
      </c>
      <c r="M765" s="257">
        <v>0</v>
      </c>
      <c r="N765" s="257">
        <v>0</v>
      </c>
    </row>
    <row r="766" spans="1:14" s="143" customFormat="1" hidden="1" x14ac:dyDescent="0.25">
      <c r="A766" s="143" t="s">
        <v>719</v>
      </c>
      <c r="B766" s="143" t="s">
        <v>497</v>
      </c>
      <c r="C766" s="143" t="s">
        <v>700</v>
      </c>
      <c r="D766" s="143" t="s">
        <v>69</v>
      </c>
      <c r="E766" s="257">
        <v>181327664</v>
      </c>
      <c r="F766" s="257">
        <v>176299468</v>
      </c>
      <c r="G766" s="257">
        <v>176299468</v>
      </c>
      <c r="H766" s="257">
        <v>0</v>
      </c>
      <c r="I766" s="257">
        <v>113141562.06999999</v>
      </c>
      <c r="J766" s="257">
        <v>0</v>
      </c>
      <c r="K766" s="257">
        <v>63157905.93</v>
      </c>
      <c r="L766" s="257">
        <v>63157905.93</v>
      </c>
      <c r="M766" s="257">
        <v>0</v>
      </c>
      <c r="N766" s="257">
        <v>0</v>
      </c>
    </row>
    <row r="767" spans="1:14" s="143" customFormat="1" hidden="1" x14ac:dyDescent="0.25">
      <c r="A767" s="143" t="s">
        <v>719</v>
      </c>
      <c r="B767" s="143" t="s">
        <v>248</v>
      </c>
      <c r="C767" s="143" t="s">
        <v>249</v>
      </c>
      <c r="D767" s="143" t="s">
        <v>69</v>
      </c>
      <c r="E767" s="257">
        <v>100334593</v>
      </c>
      <c r="F767" s="257">
        <v>122552325</v>
      </c>
      <c r="G767" s="257">
        <v>122552325</v>
      </c>
      <c r="H767" s="257">
        <v>0</v>
      </c>
      <c r="I767" s="257">
        <v>64014347.299999997</v>
      </c>
      <c r="J767" s="257">
        <v>0</v>
      </c>
      <c r="K767" s="257">
        <v>37439228.700000003</v>
      </c>
      <c r="L767" s="257">
        <v>37439228.700000003</v>
      </c>
      <c r="M767" s="257">
        <v>21098749</v>
      </c>
      <c r="N767" s="257">
        <v>21098749</v>
      </c>
    </row>
    <row r="768" spans="1:14" s="143" customFormat="1" hidden="1" x14ac:dyDescent="0.25">
      <c r="A768" s="143" t="s">
        <v>719</v>
      </c>
      <c r="B768" s="143" t="s">
        <v>250</v>
      </c>
      <c r="C768" s="143" t="s">
        <v>251</v>
      </c>
      <c r="D768" s="143" t="s">
        <v>69</v>
      </c>
      <c r="E768" s="257">
        <v>100334593</v>
      </c>
      <c r="F768" s="257">
        <v>97552325</v>
      </c>
      <c r="G768" s="257">
        <v>97552325</v>
      </c>
      <c r="H768" s="257">
        <v>0</v>
      </c>
      <c r="I768" s="257">
        <v>64014347.299999997</v>
      </c>
      <c r="J768" s="257">
        <v>0</v>
      </c>
      <c r="K768" s="257">
        <v>33537977.699999999</v>
      </c>
      <c r="L768" s="257">
        <v>33537977.699999999</v>
      </c>
      <c r="M768" s="257">
        <v>0</v>
      </c>
      <c r="N768" s="257">
        <v>0</v>
      </c>
    </row>
    <row r="769" spans="1:14" s="143" customFormat="1" hidden="1" x14ac:dyDescent="0.25">
      <c r="A769" s="143" t="s">
        <v>719</v>
      </c>
      <c r="B769" s="143" t="s">
        <v>637</v>
      </c>
      <c r="C769" s="143" t="s">
        <v>702</v>
      </c>
      <c r="D769" s="143" t="s">
        <v>69</v>
      </c>
      <c r="E769" s="257">
        <v>85224013</v>
      </c>
      <c r="F769" s="257">
        <v>82860761</v>
      </c>
      <c r="G769" s="257">
        <v>82860761</v>
      </c>
      <c r="H769" s="257">
        <v>0</v>
      </c>
      <c r="I769" s="257">
        <v>54585983.340000004</v>
      </c>
      <c r="J769" s="257">
        <v>0</v>
      </c>
      <c r="K769" s="257">
        <v>28274777.66</v>
      </c>
      <c r="L769" s="257">
        <v>28274777.66</v>
      </c>
      <c r="M769" s="257">
        <v>0</v>
      </c>
      <c r="N769" s="257">
        <v>0</v>
      </c>
    </row>
    <row r="770" spans="1:14" s="143" customFormat="1" hidden="1" x14ac:dyDescent="0.25">
      <c r="A770" s="143" t="s">
        <v>719</v>
      </c>
      <c r="B770" s="143" t="s">
        <v>652</v>
      </c>
      <c r="C770" s="143" t="s">
        <v>703</v>
      </c>
      <c r="D770" s="143" t="s">
        <v>69</v>
      </c>
      <c r="E770" s="257">
        <v>15110580</v>
      </c>
      <c r="F770" s="257">
        <v>14691564</v>
      </c>
      <c r="G770" s="257">
        <v>14691564</v>
      </c>
      <c r="H770" s="257">
        <v>0</v>
      </c>
      <c r="I770" s="257">
        <v>9428363.9600000009</v>
      </c>
      <c r="J770" s="257">
        <v>0</v>
      </c>
      <c r="K770" s="257">
        <v>5263200.04</v>
      </c>
      <c r="L770" s="257">
        <v>5263200.04</v>
      </c>
      <c r="M770" s="257">
        <v>0</v>
      </c>
      <c r="N770" s="257">
        <v>0</v>
      </c>
    </row>
    <row r="771" spans="1:14" s="143" customFormat="1" hidden="1" x14ac:dyDescent="0.25">
      <c r="A771" s="143" t="s">
        <v>719</v>
      </c>
      <c r="B771" s="143" t="s">
        <v>260</v>
      </c>
      <c r="C771" s="143" t="s">
        <v>261</v>
      </c>
      <c r="D771" s="143" t="s">
        <v>69</v>
      </c>
      <c r="E771" s="257">
        <v>0</v>
      </c>
      <c r="F771" s="257">
        <v>25000000</v>
      </c>
      <c r="G771" s="257">
        <v>25000000</v>
      </c>
      <c r="H771" s="257">
        <v>0</v>
      </c>
      <c r="I771" s="257">
        <v>0</v>
      </c>
      <c r="J771" s="257">
        <v>0</v>
      </c>
      <c r="K771" s="257">
        <v>3901251</v>
      </c>
      <c r="L771" s="257">
        <v>3901251</v>
      </c>
      <c r="M771" s="257">
        <v>21098749</v>
      </c>
      <c r="N771" s="257">
        <v>21098749</v>
      </c>
    </row>
    <row r="772" spans="1:14" s="143" customFormat="1" hidden="1" x14ac:dyDescent="0.25">
      <c r="A772" s="143" t="s">
        <v>719</v>
      </c>
      <c r="B772" s="143" t="s">
        <v>264</v>
      </c>
      <c r="C772" s="143" t="s">
        <v>265</v>
      </c>
      <c r="D772" s="143" t="s">
        <v>69</v>
      </c>
      <c r="E772" s="257">
        <v>0</v>
      </c>
      <c r="F772" s="257">
        <v>25000000</v>
      </c>
      <c r="G772" s="257">
        <v>25000000</v>
      </c>
      <c r="H772" s="257">
        <v>0</v>
      </c>
      <c r="I772" s="257">
        <v>0</v>
      </c>
      <c r="J772" s="257">
        <v>0</v>
      </c>
      <c r="K772" s="257">
        <v>3901251</v>
      </c>
      <c r="L772" s="257">
        <v>3901251</v>
      </c>
      <c r="M772" s="257">
        <v>21098749</v>
      </c>
      <c r="N772" s="257">
        <v>21098749</v>
      </c>
    </row>
    <row r="773" spans="1:14" s="143" customFormat="1" x14ac:dyDescent="0.25">
      <c r="A773" s="44">
        <v>214793</v>
      </c>
      <c r="D773" s="44" t="s">
        <v>69</v>
      </c>
      <c r="E773" s="257">
        <v>918243709</v>
      </c>
      <c r="F773" s="50">
        <v>898206525</v>
      </c>
      <c r="G773" s="257">
        <v>894712768</v>
      </c>
      <c r="H773" s="50">
        <v>0</v>
      </c>
      <c r="I773" s="50">
        <v>90097071.609999999</v>
      </c>
      <c r="J773" s="50">
        <v>0</v>
      </c>
      <c r="K773" s="50">
        <v>314483428.80000001</v>
      </c>
      <c r="L773" s="50">
        <v>314483428.80000001</v>
      </c>
      <c r="M773" s="50">
        <v>493626024.58999997</v>
      </c>
      <c r="N773" s="257">
        <v>490132267.58999997</v>
      </c>
    </row>
    <row r="774" spans="1:14" s="143" customFormat="1" hidden="1" x14ac:dyDescent="0.25">
      <c r="A774" s="143" t="s">
        <v>720</v>
      </c>
      <c r="B774" s="143" t="s">
        <v>71</v>
      </c>
      <c r="C774" s="143" t="s">
        <v>72</v>
      </c>
      <c r="D774" s="143" t="s">
        <v>69</v>
      </c>
      <c r="E774" s="257">
        <v>899027714</v>
      </c>
      <c r="F774" s="257">
        <v>880542675</v>
      </c>
      <c r="G774" s="257">
        <v>877048918</v>
      </c>
      <c r="H774" s="257">
        <v>0</v>
      </c>
      <c r="I774" s="257">
        <v>82849131.959999993</v>
      </c>
      <c r="J774" s="257">
        <v>0</v>
      </c>
      <c r="K774" s="257">
        <v>308506060.73000002</v>
      </c>
      <c r="L774" s="257">
        <v>308506060.73000002</v>
      </c>
      <c r="M774" s="257">
        <v>489187482.31</v>
      </c>
      <c r="N774" s="257">
        <v>485693725.31</v>
      </c>
    </row>
    <row r="775" spans="1:14" s="143" customFormat="1" hidden="1" x14ac:dyDescent="0.25">
      <c r="A775" s="143" t="s">
        <v>720</v>
      </c>
      <c r="B775" s="143" t="s">
        <v>73</v>
      </c>
      <c r="C775" s="143" t="s">
        <v>74</v>
      </c>
      <c r="D775" s="143" t="s">
        <v>69</v>
      </c>
      <c r="E775" s="257">
        <v>305726500</v>
      </c>
      <c r="F775" s="257">
        <v>300395500</v>
      </c>
      <c r="G775" s="257">
        <v>300395500</v>
      </c>
      <c r="H775" s="257">
        <v>0</v>
      </c>
      <c r="I775" s="257">
        <v>0</v>
      </c>
      <c r="J775" s="257">
        <v>0</v>
      </c>
      <c r="K775" s="257">
        <v>98776115.319999993</v>
      </c>
      <c r="L775" s="257">
        <v>98776115.319999993</v>
      </c>
      <c r="M775" s="257">
        <v>201619384.68000001</v>
      </c>
      <c r="N775" s="257">
        <v>201619384.68000001</v>
      </c>
    </row>
    <row r="776" spans="1:14" s="143" customFormat="1" hidden="1" x14ac:dyDescent="0.25">
      <c r="A776" s="143" t="s">
        <v>720</v>
      </c>
      <c r="B776" s="143" t="s">
        <v>75</v>
      </c>
      <c r="C776" s="143" t="s">
        <v>76</v>
      </c>
      <c r="D776" s="143" t="s">
        <v>69</v>
      </c>
      <c r="E776" s="257">
        <v>305726500</v>
      </c>
      <c r="F776" s="257">
        <v>298895500</v>
      </c>
      <c r="G776" s="257">
        <v>298895500</v>
      </c>
      <c r="H776" s="257">
        <v>0</v>
      </c>
      <c r="I776" s="257">
        <v>0</v>
      </c>
      <c r="J776" s="257">
        <v>0</v>
      </c>
      <c r="K776" s="257">
        <v>98776115.319999993</v>
      </c>
      <c r="L776" s="257">
        <v>98776115.319999993</v>
      </c>
      <c r="M776" s="257">
        <v>200119384.68000001</v>
      </c>
      <c r="N776" s="257">
        <v>200119384.68000001</v>
      </c>
    </row>
    <row r="777" spans="1:14" s="143" customFormat="1" hidden="1" x14ac:dyDescent="0.25">
      <c r="A777" s="143" t="s">
        <v>720</v>
      </c>
      <c r="B777" s="143" t="s">
        <v>291</v>
      </c>
      <c r="C777" s="143" t="s">
        <v>292</v>
      </c>
      <c r="D777" s="143" t="s">
        <v>69</v>
      </c>
      <c r="E777" s="257">
        <v>0</v>
      </c>
      <c r="F777" s="257">
        <v>1500000</v>
      </c>
      <c r="G777" s="257">
        <v>1500000</v>
      </c>
      <c r="H777" s="257">
        <v>0</v>
      </c>
      <c r="I777" s="257">
        <v>0</v>
      </c>
      <c r="J777" s="257">
        <v>0</v>
      </c>
      <c r="K777" s="257">
        <v>0</v>
      </c>
      <c r="L777" s="257">
        <v>0</v>
      </c>
      <c r="M777" s="257">
        <v>1500000</v>
      </c>
      <c r="N777" s="257">
        <v>1500000</v>
      </c>
    </row>
    <row r="778" spans="1:14" s="143" customFormat="1" hidden="1" x14ac:dyDescent="0.25">
      <c r="A778" s="143" t="s">
        <v>720</v>
      </c>
      <c r="B778" s="143" t="s">
        <v>77</v>
      </c>
      <c r="C778" s="143" t="s">
        <v>78</v>
      </c>
      <c r="D778" s="143" t="s">
        <v>69</v>
      </c>
      <c r="E778" s="257">
        <v>456157950</v>
      </c>
      <c r="F778" s="257">
        <v>445746506</v>
      </c>
      <c r="G778" s="257">
        <v>442252749</v>
      </c>
      <c r="H778" s="257">
        <v>0</v>
      </c>
      <c r="I778" s="257">
        <v>0</v>
      </c>
      <c r="J778" s="257">
        <v>0</v>
      </c>
      <c r="K778" s="257">
        <v>158178408.37</v>
      </c>
      <c r="L778" s="257">
        <v>158178408.37</v>
      </c>
      <c r="M778" s="257">
        <v>287568097.63</v>
      </c>
      <c r="N778" s="257">
        <v>284074340.63</v>
      </c>
    </row>
    <row r="779" spans="1:14" s="143" customFormat="1" hidden="1" x14ac:dyDescent="0.25">
      <c r="A779" s="143" t="s">
        <v>720</v>
      </c>
      <c r="B779" s="143" t="s">
        <v>79</v>
      </c>
      <c r="C779" s="143" t="s">
        <v>80</v>
      </c>
      <c r="D779" s="143" t="s">
        <v>69</v>
      </c>
      <c r="E779" s="257">
        <v>79360300</v>
      </c>
      <c r="F779" s="257">
        <v>79360300</v>
      </c>
      <c r="G779" s="257">
        <v>75866543</v>
      </c>
      <c r="H779" s="257">
        <v>0</v>
      </c>
      <c r="I779" s="257">
        <v>0</v>
      </c>
      <c r="J779" s="257">
        <v>0</v>
      </c>
      <c r="K779" s="257">
        <v>24276550.420000002</v>
      </c>
      <c r="L779" s="257">
        <v>24276550.420000002</v>
      </c>
      <c r="M779" s="257">
        <v>55083749.579999998</v>
      </c>
      <c r="N779" s="257">
        <v>51589992.579999998</v>
      </c>
    </row>
    <row r="780" spans="1:14" s="143" customFormat="1" hidden="1" x14ac:dyDescent="0.25">
      <c r="A780" s="143" t="s">
        <v>720</v>
      </c>
      <c r="B780" s="143" t="s">
        <v>81</v>
      </c>
      <c r="C780" s="143" t="s">
        <v>82</v>
      </c>
      <c r="D780" s="143" t="s">
        <v>69</v>
      </c>
      <c r="E780" s="257">
        <v>203715000</v>
      </c>
      <c r="F780" s="257">
        <v>200338818</v>
      </c>
      <c r="G780" s="257">
        <v>200338818</v>
      </c>
      <c r="H780" s="257">
        <v>0</v>
      </c>
      <c r="I780" s="257">
        <v>0</v>
      </c>
      <c r="J780" s="257">
        <v>0</v>
      </c>
      <c r="K780" s="257">
        <v>67031930.359999999</v>
      </c>
      <c r="L780" s="257">
        <v>67031930.359999999</v>
      </c>
      <c r="M780" s="257">
        <v>133306887.64</v>
      </c>
      <c r="N780" s="257">
        <v>133306887.64</v>
      </c>
    </row>
    <row r="781" spans="1:14" s="143" customFormat="1" hidden="1" x14ac:dyDescent="0.25">
      <c r="A781" s="143" t="s">
        <v>720</v>
      </c>
      <c r="B781" s="143" t="s">
        <v>83</v>
      </c>
      <c r="C781" s="143" t="s">
        <v>84</v>
      </c>
      <c r="D781" s="143" t="s">
        <v>85</v>
      </c>
      <c r="E781" s="257">
        <v>58584550</v>
      </c>
      <c r="F781" s="257">
        <v>57412968</v>
      </c>
      <c r="G781" s="257">
        <v>57412968</v>
      </c>
      <c r="H781" s="257">
        <v>0</v>
      </c>
      <c r="I781" s="257">
        <v>0</v>
      </c>
      <c r="J781" s="257">
        <v>0</v>
      </c>
      <c r="K781" s="257">
        <v>0</v>
      </c>
      <c r="L781" s="257">
        <v>0</v>
      </c>
      <c r="M781" s="257">
        <v>57412968</v>
      </c>
      <c r="N781" s="257">
        <v>57412968</v>
      </c>
    </row>
    <row r="782" spans="1:14" s="143" customFormat="1" hidden="1" x14ac:dyDescent="0.25">
      <c r="A782" s="143" t="s">
        <v>720</v>
      </c>
      <c r="B782" s="143" t="s">
        <v>86</v>
      </c>
      <c r="C782" s="143" t="s">
        <v>87</v>
      </c>
      <c r="D782" s="143" t="s">
        <v>69</v>
      </c>
      <c r="E782" s="257">
        <v>53908100</v>
      </c>
      <c r="F782" s="257">
        <v>48408100</v>
      </c>
      <c r="G782" s="257">
        <v>48408100</v>
      </c>
      <c r="H782" s="257">
        <v>0</v>
      </c>
      <c r="I782" s="257">
        <v>0</v>
      </c>
      <c r="J782" s="257">
        <v>0</v>
      </c>
      <c r="K782" s="257">
        <v>47507997.909999996</v>
      </c>
      <c r="L782" s="257">
        <v>47507997.909999996</v>
      </c>
      <c r="M782" s="257">
        <v>900102.09</v>
      </c>
      <c r="N782" s="257">
        <v>900102.09</v>
      </c>
    </row>
    <row r="783" spans="1:14" s="143" customFormat="1" hidden="1" x14ac:dyDescent="0.25">
      <c r="A783" s="143" t="s">
        <v>720</v>
      </c>
      <c r="B783" s="143" t="s">
        <v>88</v>
      </c>
      <c r="C783" s="143" t="s">
        <v>89</v>
      </c>
      <c r="D783" s="143" t="s">
        <v>69</v>
      </c>
      <c r="E783" s="257">
        <v>60590000</v>
      </c>
      <c r="F783" s="257">
        <v>60226320</v>
      </c>
      <c r="G783" s="257">
        <v>60226320</v>
      </c>
      <c r="H783" s="257">
        <v>0</v>
      </c>
      <c r="I783" s="257">
        <v>0</v>
      </c>
      <c r="J783" s="257">
        <v>0</v>
      </c>
      <c r="K783" s="257">
        <v>19361929.68</v>
      </c>
      <c r="L783" s="257">
        <v>19361929.68</v>
      </c>
      <c r="M783" s="257">
        <v>40864390.32</v>
      </c>
      <c r="N783" s="257">
        <v>40864390.32</v>
      </c>
    </row>
    <row r="784" spans="1:14" s="143" customFormat="1" hidden="1" x14ac:dyDescent="0.25">
      <c r="A784" s="143" t="s">
        <v>720</v>
      </c>
      <c r="B784" s="143" t="s">
        <v>90</v>
      </c>
      <c r="C784" s="143" t="s">
        <v>91</v>
      </c>
      <c r="D784" s="143" t="s">
        <v>69</v>
      </c>
      <c r="E784" s="257">
        <v>68571682</v>
      </c>
      <c r="F784" s="257">
        <v>67200384</v>
      </c>
      <c r="G784" s="257">
        <v>67200384</v>
      </c>
      <c r="H784" s="257">
        <v>0</v>
      </c>
      <c r="I784" s="257">
        <v>41170014.530000001</v>
      </c>
      <c r="J784" s="257">
        <v>0</v>
      </c>
      <c r="K784" s="257">
        <v>26030369.469999999</v>
      </c>
      <c r="L784" s="257">
        <v>26030369.469999999</v>
      </c>
      <c r="M784" s="257">
        <v>0</v>
      </c>
      <c r="N784" s="257">
        <v>0</v>
      </c>
    </row>
    <row r="785" spans="1:14" s="143" customFormat="1" hidden="1" x14ac:dyDescent="0.25">
      <c r="A785" s="143" t="s">
        <v>720</v>
      </c>
      <c r="B785" s="143" t="s">
        <v>429</v>
      </c>
      <c r="C785" s="143" t="s">
        <v>697</v>
      </c>
      <c r="D785" s="143" t="s">
        <v>69</v>
      </c>
      <c r="E785" s="257">
        <v>65055209</v>
      </c>
      <c r="F785" s="257">
        <v>63754233</v>
      </c>
      <c r="G785" s="257">
        <v>63754233</v>
      </c>
      <c r="H785" s="257">
        <v>0</v>
      </c>
      <c r="I785" s="257">
        <v>39059633.060000002</v>
      </c>
      <c r="J785" s="257">
        <v>0</v>
      </c>
      <c r="K785" s="257">
        <v>24694599.940000001</v>
      </c>
      <c r="L785" s="257">
        <v>24694599.940000001</v>
      </c>
      <c r="M785" s="257">
        <v>0</v>
      </c>
      <c r="N785" s="257">
        <v>0</v>
      </c>
    </row>
    <row r="786" spans="1:14" s="143" customFormat="1" hidden="1" x14ac:dyDescent="0.25">
      <c r="A786" s="143" t="s">
        <v>720</v>
      </c>
      <c r="B786" s="143" t="s">
        <v>446</v>
      </c>
      <c r="C786" s="143" t="s">
        <v>95</v>
      </c>
      <c r="D786" s="143" t="s">
        <v>69</v>
      </c>
      <c r="E786" s="257">
        <v>3516473</v>
      </c>
      <c r="F786" s="257">
        <v>3446151</v>
      </c>
      <c r="G786" s="257">
        <v>3446151</v>
      </c>
      <c r="H786" s="257">
        <v>0</v>
      </c>
      <c r="I786" s="257">
        <v>2110381.4700000002</v>
      </c>
      <c r="J786" s="257">
        <v>0</v>
      </c>
      <c r="K786" s="257">
        <v>1335769.53</v>
      </c>
      <c r="L786" s="257">
        <v>1335769.53</v>
      </c>
      <c r="M786" s="257">
        <v>0</v>
      </c>
      <c r="N786" s="257">
        <v>0</v>
      </c>
    </row>
    <row r="787" spans="1:14" s="143" customFormat="1" hidden="1" x14ac:dyDescent="0.25">
      <c r="A787" s="143" t="s">
        <v>720</v>
      </c>
      <c r="B787" s="143" t="s">
        <v>96</v>
      </c>
      <c r="C787" s="143" t="s">
        <v>97</v>
      </c>
      <c r="D787" s="143" t="s">
        <v>69</v>
      </c>
      <c r="E787" s="257">
        <v>68571582</v>
      </c>
      <c r="F787" s="257">
        <v>67200285</v>
      </c>
      <c r="G787" s="257">
        <v>67200285</v>
      </c>
      <c r="H787" s="257">
        <v>0</v>
      </c>
      <c r="I787" s="257">
        <v>41679117.43</v>
      </c>
      <c r="J787" s="257">
        <v>0</v>
      </c>
      <c r="K787" s="257">
        <v>25521167.57</v>
      </c>
      <c r="L787" s="257">
        <v>25521167.57</v>
      </c>
      <c r="M787" s="257">
        <v>0</v>
      </c>
      <c r="N787" s="257">
        <v>0</v>
      </c>
    </row>
    <row r="788" spans="1:14" s="143" customFormat="1" hidden="1" x14ac:dyDescent="0.25">
      <c r="A788" s="143" t="s">
        <v>720</v>
      </c>
      <c r="B788" s="143" t="s">
        <v>464</v>
      </c>
      <c r="C788" s="143" t="s">
        <v>698</v>
      </c>
      <c r="D788" s="143" t="s">
        <v>69</v>
      </c>
      <c r="E788" s="257">
        <v>36923221</v>
      </c>
      <c r="F788" s="257">
        <v>36184829</v>
      </c>
      <c r="G788" s="257">
        <v>36184829</v>
      </c>
      <c r="H788" s="257">
        <v>0</v>
      </c>
      <c r="I788" s="257">
        <v>22676613.210000001</v>
      </c>
      <c r="J788" s="257">
        <v>0</v>
      </c>
      <c r="K788" s="257">
        <v>13508215.789999999</v>
      </c>
      <c r="L788" s="257">
        <v>13508215.789999999</v>
      </c>
      <c r="M788" s="257">
        <v>0</v>
      </c>
      <c r="N788" s="257">
        <v>0</v>
      </c>
    </row>
    <row r="789" spans="1:14" s="143" customFormat="1" hidden="1" x14ac:dyDescent="0.25">
      <c r="A789" s="143" t="s">
        <v>720</v>
      </c>
      <c r="B789" s="143" t="s">
        <v>481</v>
      </c>
      <c r="C789" s="143" t="s">
        <v>699</v>
      </c>
      <c r="D789" s="143" t="s">
        <v>69</v>
      </c>
      <c r="E789" s="257">
        <v>10549420</v>
      </c>
      <c r="F789" s="257">
        <v>10338452</v>
      </c>
      <c r="G789" s="257">
        <v>10338452</v>
      </c>
      <c r="H789" s="257">
        <v>0</v>
      </c>
      <c r="I789" s="257">
        <v>6334131.25</v>
      </c>
      <c r="J789" s="257">
        <v>0</v>
      </c>
      <c r="K789" s="257">
        <v>4004320.75</v>
      </c>
      <c r="L789" s="257">
        <v>4004320.75</v>
      </c>
      <c r="M789" s="257">
        <v>0</v>
      </c>
      <c r="N789" s="257">
        <v>0</v>
      </c>
    </row>
    <row r="790" spans="1:14" s="143" customFormat="1" hidden="1" x14ac:dyDescent="0.25">
      <c r="A790" s="143" t="s">
        <v>720</v>
      </c>
      <c r="B790" s="143" t="s">
        <v>498</v>
      </c>
      <c r="C790" s="143" t="s">
        <v>700</v>
      </c>
      <c r="D790" s="143" t="s">
        <v>69</v>
      </c>
      <c r="E790" s="257">
        <v>21098941</v>
      </c>
      <c r="F790" s="257">
        <v>20677004</v>
      </c>
      <c r="G790" s="257">
        <v>20677004</v>
      </c>
      <c r="H790" s="257">
        <v>0</v>
      </c>
      <c r="I790" s="257">
        <v>12668372.970000001</v>
      </c>
      <c r="J790" s="257">
        <v>0</v>
      </c>
      <c r="K790" s="257">
        <v>8008631.0300000003</v>
      </c>
      <c r="L790" s="257">
        <v>8008631.0300000003</v>
      </c>
      <c r="M790" s="257">
        <v>0</v>
      </c>
      <c r="N790" s="257">
        <v>0</v>
      </c>
    </row>
    <row r="791" spans="1:14" s="143" customFormat="1" hidden="1" x14ac:dyDescent="0.25">
      <c r="A791" s="143" t="s">
        <v>720</v>
      </c>
      <c r="B791" s="143" t="s">
        <v>104</v>
      </c>
      <c r="C791" s="143" t="s">
        <v>105</v>
      </c>
      <c r="D791" s="143" t="s">
        <v>69</v>
      </c>
      <c r="E791" s="257">
        <v>7541300</v>
      </c>
      <c r="F791" s="257">
        <v>2222626</v>
      </c>
      <c r="G791" s="257">
        <v>2222626</v>
      </c>
      <c r="H791" s="257">
        <v>0</v>
      </c>
      <c r="I791" s="257">
        <v>0</v>
      </c>
      <c r="J791" s="257">
        <v>0</v>
      </c>
      <c r="K791" s="257">
        <v>1342926.72</v>
      </c>
      <c r="L791" s="257">
        <v>1342926.72</v>
      </c>
      <c r="M791" s="257">
        <v>879699.28</v>
      </c>
      <c r="N791" s="257">
        <v>879699.28</v>
      </c>
    </row>
    <row r="792" spans="1:14" s="143" customFormat="1" hidden="1" x14ac:dyDescent="0.25">
      <c r="A792" s="143" t="s">
        <v>720</v>
      </c>
      <c r="B792" s="143" t="s">
        <v>140</v>
      </c>
      <c r="C792" s="143" t="s">
        <v>141</v>
      </c>
      <c r="D792" s="143" t="s">
        <v>69</v>
      </c>
      <c r="E792" s="257">
        <v>7541300</v>
      </c>
      <c r="F792" s="257">
        <v>2222626</v>
      </c>
      <c r="G792" s="257">
        <v>2222626</v>
      </c>
      <c r="H792" s="257">
        <v>0</v>
      </c>
      <c r="I792" s="257">
        <v>0</v>
      </c>
      <c r="J792" s="257">
        <v>0</v>
      </c>
      <c r="K792" s="257">
        <v>1342926.72</v>
      </c>
      <c r="L792" s="257">
        <v>1342926.72</v>
      </c>
      <c r="M792" s="257">
        <v>879699.28</v>
      </c>
      <c r="N792" s="257">
        <v>879699.28</v>
      </c>
    </row>
    <row r="793" spans="1:14" s="143" customFormat="1" hidden="1" x14ac:dyDescent="0.25">
      <c r="A793" s="143" t="s">
        <v>720</v>
      </c>
      <c r="B793" s="143" t="s">
        <v>146</v>
      </c>
      <c r="C793" s="143" t="s">
        <v>147</v>
      </c>
      <c r="D793" s="143" t="s">
        <v>69</v>
      </c>
      <c r="E793" s="257">
        <v>2513800</v>
      </c>
      <c r="F793" s="257">
        <v>434386</v>
      </c>
      <c r="G793" s="257">
        <v>434386</v>
      </c>
      <c r="H793" s="257">
        <v>0</v>
      </c>
      <c r="I793" s="257">
        <v>0</v>
      </c>
      <c r="J793" s="257">
        <v>0</v>
      </c>
      <c r="K793" s="257">
        <v>434385.63</v>
      </c>
      <c r="L793" s="257">
        <v>434385.63</v>
      </c>
      <c r="M793" s="257">
        <v>0.37</v>
      </c>
      <c r="N793" s="257">
        <v>0.37</v>
      </c>
    </row>
    <row r="794" spans="1:14" s="143" customFormat="1" hidden="1" x14ac:dyDescent="0.25">
      <c r="A794" s="143" t="s">
        <v>720</v>
      </c>
      <c r="B794" s="143" t="s">
        <v>148</v>
      </c>
      <c r="C794" s="143" t="s">
        <v>149</v>
      </c>
      <c r="D794" s="143" t="s">
        <v>69</v>
      </c>
      <c r="E794" s="257">
        <v>5027500</v>
      </c>
      <c r="F794" s="257">
        <v>1788240</v>
      </c>
      <c r="G794" s="257">
        <v>1788240</v>
      </c>
      <c r="H794" s="257">
        <v>0</v>
      </c>
      <c r="I794" s="257">
        <v>0</v>
      </c>
      <c r="J794" s="257">
        <v>0</v>
      </c>
      <c r="K794" s="257">
        <v>908541.09</v>
      </c>
      <c r="L794" s="257">
        <v>908541.09</v>
      </c>
      <c r="M794" s="257">
        <v>879698.91</v>
      </c>
      <c r="N794" s="257">
        <v>879698.91</v>
      </c>
    </row>
    <row r="795" spans="1:14" s="143" customFormat="1" hidden="1" x14ac:dyDescent="0.25">
      <c r="A795" s="143" t="s">
        <v>720</v>
      </c>
      <c r="B795" s="143" t="s">
        <v>248</v>
      </c>
      <c r="C795" s="143" t="s">
        <v>249</v>
      </c>
      <c r="D795" s="143" t="s">
        <v>69</v>
      </c>
      <c r="E795" s="257">
        <v>11674695</v>
      </c>
      <c r="F795" s="257">
        <v>15441224</v>
      </c>
      <c r="G795" s="257">
        <v>15441224</v>
      </c>
      <c r="H795" s="257">
        <v>0</v>
      </c>
      <c r="I795" s="257">
        <v>7247939.6500000004</v>
      </c>
      <c r="J795" s="257">
        <v>0</v>
      </c>
      <c r="K795" s="257">
        <v>4634441.3499999996</v>
      </c>
      <c r="L795" s="257">
        <v>4634441.3499999996</v>
      </c>
      <c r="M795" s="257">
        <v>3558843</v>
      </c>
      <c r="N795" s="257">
        <v>3558843</v>
      </c>
    </row>
    <row r="796" spans="1:14" s="143" customFormat="1" hidden="1" x14ac:dyDescent="0.25">
      <c r="A796" s="143" t="s">
        <v>720</v>
      </c>
      <c r="B796" s="143" t="s">
        <v>250</v>
      </c>
      <c r="C796" s="143" t="s">
        <v>251</v>
      </c>
      <c r="D796" s="143" t="s">
        <v>69</v>
      </c>
      <c r="E796" s="257">
        <v>11674695</v>
      </c>
      <c r="F796" s="257">
        <v>11441224</v>
      </c>
      <c r="G796" s="257">
        <v>11441224</v>
      </c>
      <c r="H796" s="257">
        <v>0</v>
      </c>
      <c r="I796" s="257">
        <v>7247939.6500000004</v>
      </c>
      <c r="J796" s="257">
        <v>0</v>
      </c>
      <c r="K796" s="257">
        <v>4193284.35</v>
      </c>
      <c r="L796" s="257">
        <v>4193284.35</v>
      </c>
      <c r="M796" s="257">
        <v>0</v>
      </c>
      <c r="N796" s="257">
        <v>0</v>
      </c>
    </row>
    <row r="797" spans="1:14" s="143" customFormat="1" hidden="1" x14ac:dyDescent="0.25">
      <c r="A797" s="143" t="s">
        <v>720</v>
      </c>
      <c r="B797" s="143" t="s">
        <v>638</v>
      </c>
      <c r="C797" s="143" t="s">
        <v>702</v>
      </c>
      <c r="D797" s="143" t="s">
        <v>69</v>
      </c>
      <c r="E797" s="257">
        <v>9916509</v>
      </c>
      <c r="F797" s="257">
        <v>9718198</v>
      </c>
      <c r="G797" s="257">
        <v>9718198</v>
      </c>
      <c r="H797" s="257">
        <v>0</v>
      </c>
      <c r="I797" s="257">
        <v>6183352.7599999998</v>
      </c>
      <c r="J797" s="257">
        <v>0</v>
      </c>
      <c r="K797" s="257">
        <v>3534845.24</v>
      </c>
      <c r="L797" s="257">
        <v>3534845.24</v>
      </c>
      <c r="M797" s="257">
        <v>0</v>
      </c>
      <c r="N797" s="257">
        <v>0</v>
      </c>
    </row>
    <row r="798" spans="1:14" s="143" customFormat="1" hidden="1" x14ac:dyDescent="0.25">
      <c r="A798" s="143" t="s">
        <v>720</v>
      </c>
      <c r="B798" s="143" t="s">
        <v>653</v>
      </c>
      <c r="C798" s="143" t="s">
        <v>703</v>
      </c>
      <c r="D798" s="143" t="s">
        <v>69</v>
      </c>
      <c r="E798" s="257">
        <v>1758186</v>
      </c>
      <c r="F798" s="257">
        <v>1723026</v>
      </c>
      <c r="G798" s="257">
        <v>1723026</v>
      </c>
      <c r="H798" s="257">
        <v>0</v>
      </c>
      <c r="I798" s="257">
        <v>1064586.8899999999</v>
      </c>
      <c r="J798" s="257">
        <v>0</v>
      </c>
      <c r="K798" s="257">
        <v>658439.11</v>
      </c>
      <c r="L798" s="257">
        <v>658439.11</v>
      </c>
      <c r="M798" s="257">
        <v>0</v>
      </c>
      <c r="N798" s="257">
        <v>0</v>
      </c>
    </row>
    <row r="799" spans="1:14" s="143" customFormat="1" hidden="1" x14ac:dyDescent="0.25">
      <c r="A799" s="143" t="s">
        <v>720</v>
      </c>
      <c r="B799" s="143" t="s">
        <v>260</v>
      </c>
      <c r="C799" s="143" t="s">
        <v>261</v>
      </c>
      <c r="D799" s="143" t="s">
        <v>69</v>
      </c>
      <c r="E799" s="257">
        <v>0</v>
      </c>
      <c r="F799" s="257">
        <v>4000000</v>
      </c>
      <c r="G799" s="257">
        <v>4000000</v>
      </c>
      <c r="H799" s="257">
        <v>0</v>
      </c>
      <c r="I799" s="257">
        <v>0</v>
      </c>
      <c r="J799" s="257">
        <v>0</v>
      </c>
      <c r="K799" s="257">
        <v>441157</v>
      </c>
      <c r="L799" s="257">
        <v>441157</v>
      </c>
      <c r="M799" s="257">
        <v>3558843</v>
      </c>
      <c r="N799" s="257">
        <v>3558843</v>
      </c>
    </row>
    <row r="800" spans="1:14" s="143" customFormat="1" hidden="1" x14ac:dyDescent="0.25">
      <c r="A800" s="143" t="s">
        <v>720</v>
      </c>
      <c r="B800" s="143" t="s">
        <v>264</v>
      </c>
      <c r="C800" s="143" t="s">
        <v>265</v>
      </c>
      <c r="D800" s="143" t="s">
        <v>69</v>
      </c>
      <c r="E800" s="257">
        <v>0</v>
      </c>
      <c r="F800" s="257">
        <v>4000000</v>
      </c>
      <c r="G800" s="257">
        <v>4000000</v>
      </c>
      <c r="H800" s="257">
        <v>0</v>
      </c>
      <c r="I800" s="257">
        <v>0</v>
      </c>
      <c r="J800" s="257">
        <v>0</v>
      </c>
      <c r="K800" s="257">
        <v>441157</v>
      </c>
      <c r="L800" s="257">
        <v>441157</v>
      </c>
      <c r="M800" s="257">
        <v>3558843</v>
      </c>
      <c r="N800" s="257">
        <v>3558843</v>
      </c>
    </row>
    <row r="801" spans="1:14" s="143" customFormat="1" x14ac:dyDescent="0.25">
      <c r="A801" s="44">
        <v>214794</v>
      </c>
      <c r="D801" s="44" t="s">
        <v>69</v>
      </c>
      <c r="E801" s="257">
        <v>13895221022</v>
      </c>
      <c r="F801" s="50">
        <v>13453908259</v>
      </c>
      <c r="G801" s="257">
        <v>13144973179</v>
      </c>
      <c r="H801" s="50">
        <v>0</v>
      </c>
      <c r="I801" s="50">
        <v>1459839160.6700001</v>
      </c>
      <c r="J801" s="50">
        <v>0</v>
      </c>
      <c r="K801" s="50">
        <v>4322577032.0600004</v>
      </c>
      <c r="L801" s="50">
        <v>4278597653.0599999</v>
      </c>
      <c r="M801" s="50">
        <v>7671492066.2700005</v>
      </c>
      <c r="N801" s="257">
        <v>7362556986.2700005</v>
      </c>
    </row>
    <row r="802" spans="1:14" s="143" customFormat="1" hidden="1" x14ac:dyDescent="0.25">
      <c r="A802" s="143" t="s">
        <v>721</v>
      </c>
      <c r="B802" s="143" t="s">
        <v>71</v>
      </c>
      <c r="C802" s="143" t="s">
        <v>72</v>
      </c>
      <c r="D802" s="143" t="s">
        <v>69</v>
      </c>
      <c r="E802" s="257">
        <v>13427888280</v>
      </c>
      <c r="F802" s="257">
        <v>12993531157</v>
      </c>
      <c r="G802" s="257">
        <v>12796348017</v>
      </c>
      <c r="H802" s="257">
        <v>0</v>
      </c>
      <c r="I802" s="257">
        <v>1342241826.3499999</v>
      </c>
      <c r="J802" s="257">
        <v>0</v>
      </c>
      <c r="K802" s="257">
        <v>4137026435.3800001</v>
      </c>
      <c r="L802" s="257">
        <v>4137026435.3800001</v>
      </c>
      <c r="M802" s="257">
        <v>7514262895.2700005</v>
      </c>
      <c r="N802" s="257">
        <v>7317079755.2700005</v>
      </c>
    </row>
    <row r="803" spans="1:14" s="143" customFormat="1" hidden="1" x14ac:dyDescent="0.25">
      <c r="A803" s="143" t="s">
        <v>721</v>
      </c>
      <c r="B803" s="143" t="s">
        <v>73</v>
      </c>
      <c r="C803" s="143" t="s">
        <v>74</v>
      </c>
      <c r="D803" s="143" t="s">
        <v>69</v>
      </c>
      <c r="E803" s="257">
        <v>4501527400</v>
      </c>
      <c r="F803" s="257">
        <v>4282102200</v>
      </c>
      <c r="G803" s="257">
        <v>4221913200</v>
      </c>
      <c r="H803" s="257">
        <v>0</v>
      </c>
      <c r="I803" s="257">
        <v>0</v>
      </c>
      <c r="J803" s="257">
        <v>0</v>
      </c>
      <c r="K803" s="257">
        <v>1248898861.45</v>
      </c>
      <c r="L803" s="257">
        <v>1248898861.45</v>
      </c>
      <c r="M803" s="257">
        <v>3033203338.5500002</v>
      </c>
      <c r="N803" s="257">
        <v>2973014338.5500002</v>
      </c>
    </row>
    <row r="804" spans="1:14" s="143" customFormat="1" hidden="1" x14ac:dyDescent="0.25">
      <c r="A804" s="143" t="s">
        <v>721</v>
      </c>
      <c r="B804" s="143" t="s">
        <v>75</v>
      </c>
      <c r="C804" s="143" t="s">
        <v>76</v>
      </c>
      <c r="D804" s="143" t="s">
        <v>69</v>
      </c>
      <c r="E804" s="257">
        <v>4501527400</v>
      </c>
      <c r="F804" s="257">
        <v>4282102200</v>
      </c>
      <c r="G804" s="257">
        <v>4221913200</v>
      </c>
      <c r="H804" s="257">
        <v>0</v>
      </c>
      <c r="I804" s="257">
        <v>0</v>
      </c>
      <c r="J804" s="257">
        <v>0</v>
      </c>
      <c r="K804" s="257">
        <v>1248898861.45</v>
      </c>
      <c r="L804" s="257">
        <v>1248898861.45</v>
      </c>
      <c r="M804" s="257">
        <v>3033203338.5500002</v>
      </c>
      <c r="N804" s="257">
        <v>2973014338.5500002</v>
      </c>
    </row>
    <row r="805" spans="1:14" s="143" customFormat="1" hidden="1" x14ac:dyDescent="0.25">
      <c r="A805" s="143" t="s">
        <v>721</v>
      </c>
      <c r="B805" s="143" t="s">
        <v>77</v>
      </c>
      <c r="C805" s="143" t="s">
        <v>78</v>
      </c>
      <c r="D805" s="143" t="s">
        <v>69</v>
      </c>
      <c r="E805" s="257">
        <v>6803353044</v>
      </c>
      <c r="F805" s="257">
        <v>6662683454</v>
      </c>
      <c r="G805" s="257">
        <v>6542076334</v>
      </c>
      <c r="H805" s="257">
        <v>0</v>
      </c>
      <c r="I805" s="257">
        <v>0</v>
      </c>
      <c r="J805" s="257">
        <v>0</v>
      </c>
      <c r="K805" s="257">
        <v>2198729267.2800002</v>
      </c>
      <c r="L805" s="257">
        <v>2198729267.2800002</v>
      </c>
      <c r="M805" s="257">
        <v>4463954186.7200003</v>
      </c>
      <c r="N805" s="257">
        <v>4343347066.7200003</v>
      </c>
    </row>
    <row r="806" spans="1:14" s="143" customFormat="1" hidden="1" x14ac:dyDescent="0.25">
      <c r="A806" s="143" t="s">
        <v>721</v>
      </c>
      <c r="B806" s="143" t="s">
        <v>79</v>
      </c>
      <c r="C806" s="143" t="s">
        <v>80</v>
      </c>
      <c r="D806" s="143" t="s">
        <v>69</v>
      </c>
      <c r="E806" s="257">
        <v>1381150100</v>
      </c>
      <c r="F806" s="257">
        <v>1381150100</v>
      </c>
      <c r="G806" s="257">
        <v>1306223380</v>
      </c>
      <c r="H806" s="257">
        <v>0</v>
      </c>
      <c r="I806" s="257">
        <v>0</v>
      </c>
      <c r="J806" s="257">
        <v>0</v>
      </c>
      <c r="K806" s="257">
        <v>402250885.48000002</v>
      </c>
      <c r="L806" s="257">
        <v>402250885.48000002</v>
      </c>
      <c r="M806" s="257">
        <v>978899214.51999998</v>
      </c>
      <c r="N806" s="257">
        <v>903972494.51999998</v>
      </c>
    </row>
    <row r="807" spans="1:14" s="143" customFormat="1" hidden="1" x14ac:dyDescent="0.25">
      <c r="A807" s="143" t="s">
        <v>721</v>
      </c>
      <c r="B807" s="143" t="s">
        <v>81</v>
      </c>
      <c r="C807" s="143" t="s">
        <v>82</v>
      </c>
      <c r="D807" s="143" t="s">
        <v>69</v>
      </c>
      <c r="E807" s="257">
        <v>2537511300</v>
      </c>
      <c r="F807" s="257">
        <v>2461272475</v>
      </c>
      <c r="G807" s="257">
        <v>2430403475</v>
      </c>
      <c r="H807" s="257">
        <v>0</v>
      </c>
      <c r="I807" s="257">
        <v>0</v>
      </c>
      <c r="J807" s="257">
        <v>0</v>
      </c>
      <c r="K807" s="257">
        <v>728177415.23000002</v>
      </c>
      <c r="L807" s="257">
        <v>728177415.23000002</v>
      </c>
      <c r="M807" s="257">
        <v>1733095059.77</v>
      </c>
      <c r="N807" s="257">
        <v>1702226059.77</v>
      </c>
    </row>
    <row r="808" spans="1:14" s="143" customFormat="1" hidden="1" x14ac:dyDescent="0.25">
      <c r="A808" s="143" t="s">
        <v>721</v>
      </c>
      <c r="B808" s="143" t="s">
        <v>83</v>
      </c>
      <c r="C808" s="143" t="s">
        <v>84</v>
      </c>
      <c r="D808" s="143" t="s">
        <v>85</v>
      </c>
      <c r="E808" s="257">
        <v>869285044</v>
      </c>
      <c r="F808" s="257">
        <v>832667096</v>
      </c>
      <c r="G808" s="257">
        <v>826833696</v>
      </c>
      <c r="H808" s="257">
        <v>0</v>
      </c>
      <c r="I808" s="257">
        <v>0</v>
      </c>
      <c r="J808" s="257">
        <v>0</v>
      </c>
      <c r="K808" s="257">
        <v>0</v>
      </c>
      <c r="L808" s="257">
        <v>0</v>
      </c>
      <c r="M808" s="257">
        <v>832667096</v>
      </c>
      <c r="N808" s="257">
        <v>826833696</v>
      </c>
    </row>
    <row r="809" spans="1:14" s="143" customFormat="1" hidden="1" x14ac:dyDescent="0.25">
      <c r="A809" s="143" t="s">
        <v>721</v>
      </c>
      <c r="B809" s="143" t="s">
        <v>86</v>
      </c>
      <c r="C809" s="143" t="s">
        <v>87</v>
      </c>
      <c r="D809" s="143" t="s">
        <v>69</v>
      </c>
      <c r="E809" s="257">
        <v>799025700</v>
      </c>
      <c r="F809" s="257">
        <v>799025700</v>
      </c>
      <c r="G809" s="257">
        <v>799025700</v>
      </c>
      <c r="H809" s="257">
        <v>0</v>
      </c>
      <c r="I809" s="257">
        <v>0</v>
      </c>
      <c r="J809" s="257">
        <v>0</v>
      </c>
      <c r="K809" s="257">
        <v>720602684.51999998</v>
      </c>
      <c r="L809" s="257">
        <v>720602684.51999998</v>
      </c>
      <c r="M809" s="257">
        <v>78423015.480000004</v>
      </c>
      <c r="N809" s="257">
        <v>78423015.480000004</v>
      </c>
    </row>
    <row r="810" spans="1:14" s="143" customFormat="1" hidden="1" x14ac:dyDescent="0.25">
      <c r="A810" s="143" t="s">
        <v>721</v>
      </c>
      <c r="B810" s="143" t="s">
        <v>88</v>
      </c>
      <c r="C810" s="143" t="s">
        <v>89</v>
      </c>
      <c r="D810" s="143" t="s">
        <v>69</v>
      </c>
      <c r="E810" s="257">
        <v>1216380900</v>
      </c>
      <c r="F810" s="257">
        <v>1188568083</v>
      </c>
      <c r="G810" s="257">
        <v>1179590083</v>
      </c>
      <c r="H810" s="257">
        <v>0</v>
      </c>
      <c r="I810" s="257">
        <v>0</v>
      </c>
      <c r="J810" s="257">
        <v>0</v>
      </c>
      <c r="K810" s="257">
        <v>347698282.05000001</v>
      </c>
      <c r="L810" s="257">
        <v>347698282.05000001</v>
      </c>
      <c r="M810" s="257">
        <v>840869800.95000005</v>
      </c>
      <c r="N810" s="257">
        <v>831891800.95000005</v>
      </c>
    </row>
    <row r="811" spans="1:14" s="143" customFormat="1" hidden="1" x14ac:dyDescent="0.25">
      <c r="A811" s="143" t="s">
        <v>721</v>
      </c>
      <c r="B811" s="143" t="s">
        <v>90</v>
      </c>
      <c r="C811" s="143" t="s">
        <v>91</v>
      </c>
      <c r="D811" s="143" t="s">
        <v>69</v>
      </c>
      <c r="E811" s="257">
        <v>1017470468</v>
      </c>
      <c r="F811" s="257">
        <v>980339301</v>
      </c>
      <c r="G811" s="257">
        <v>972145791</v>
      </c>
      <c r="H811" s="257">
        <v>0</v>
      </c>
      <c r="I811" s="257">
        <v>633824376</v>
      </c>
      <c r="J811" s="257">
        <v>0</v>
      </c>
      <c r="K811" s="257">
        <v>338321415</v>
      </c>
      <c r="L811" s="257">
        <v>338321415</v>
      </c>
      <c r="M811" s="257">
        <v>8193510</v>
      </c>
      <c r="N811" s="257">
        <v>0</v>
      </c>
    </row>
    <row r="812" spans="1:14" s="143" customFormat="1" hidden="1" x14ac:dyDescent="0.25">
      <c r="A812" s="143" t="s">
        <v>721</v>
      </c>
      <c r="B812" s="143" t="s">
        <v>430</v>
      </c>
      <c r="C812" s="143" t="s">
        <v>697</v>
      </c>
      <c r="D812" s="143" t="s">
        <v>69</v>
      </c>
      <c r="E812" s="257">
        <v>965292547</v>
      </c>
      <c r="F812" s="257">
        <v>930065542</v>
      </c>
      <c r="G812" s="257">
        <v>922292212</v>
      </c>
      <c r="H812" s="257">
        <v>0</v>
      </c>
      <c r="I812" s="257">
        <v>601320619</v>
      </c>
      <c r="J812" s="257">
        <v>0</v>
      </c>
      <c r="K812" s="257">
        <v>320971593</v>
      </c>
      <c r="L812" s="257">
        <v>320971593</v>
      </c>
      <c r="M812" s="257">
        <v>7773330</v>
      </c>
      <c r="N812" s="257">
        <v>0</v>
      </c>
    </row>
    <row r="813" spans="1:14" s="143" customFormat="1" hidden="1" x14ac:dyDescent="0.25">
      <c r="A813" s="143" t="s">
        <v>721</v>
      </c>
      <c r="B813" s="143" t="s">
        <v>447</v>
      </c>
      <c r="C813" s="143" t="s">
        <v>95</v>
      </c>
      <c r="D813" s="143" t="s">
        <v>69</v>
      </c>
      <c r="E813" s="257">
        <v>52177921</v>
      </c>
      <c r="F813" s="257">
        <v>50273759</v>
      </c>
      <c r="G813" s="257">
        <v>49853579</v>
      </c>
      <c r="H813" s="257">
        <v>0</v>
      </c>
      <c r="I813" s="257">
        <v>32503757</v>
      </c>
      <c r="J813" s="257">
        <v>0</v>
      </c>
      <c r="K813" s="257">
        <v>17349822</v>
      </c>
      <c r="L813" s="257">
        <v>17349822</v>
      </c>
      <c r="M813" s="257">
        <v>420180</v>
      </c>
      <c r="N813" s="257">
        <v>0</v>
      </c>
    </row>
    <row r="814" spans="1:14" s="143" customFormat="1" hidden="1" x14ac:dyDescent="0.25">
      <c r="A814" s="143" t="s">
        <v>721</v>
      </c>
      <c r="B814" s="143" t="s">
        <v>96</v>
      </c>
      <c r="C814" s="143" t="s">
        <v>97</v>
      </c>
      <c r="D814" s="143" t="s">
        <v>69</v>
      </c>
      <c r="E814" s="257">
        <v>1105537368</v>
      </c>
      <c r="F814" s="257">
        <v>1068406202</v>
      </c>
      <c r="G814" s="257">
        <v>1060212692</v>
      </c>
      <c r="H814" s="257">
        <v>0</v>
      </c>
      <c r="I814" s="257">
        <v>708417450.35000002</v>
      </c>
      <c r="J814" s="257">
        <v>0</v>
      </c>
      <c r="K814" s="257">
        <v>351076891.64999998</v>
      </c>
      <c r="L814" s="257">
        <v>351076891.64999998</v>
      </c>
      <c r="M814" s="257">
        <v>8911860</v>
      </c>
      <c r="N814" s="257">
        <v>718350</v>
      </c>
    </row>
    <row r="815" spans="1:14" s="143" customFormat="1" hidden="1" x14ac:dyDescent="0.25">
      <c r="A815" s="143" t="s">
        <v>721</v>
      </c>
      <c r="B815" s="143" t="s">
        <v>465</v>
      </c>
      <c r="C815" s="143" t="s">
        <v>698</v>
      </c>
      <c r="D815" s="143" t="s">
        <v>69</v>
      </c>
      <c r="E815" s="257">
        <v>547868675</v>
      </c>
      <c r="F815" s="257">
        <v>527874970</v>
      </c>
      <c r="G815" s="257">
        <v>523463080</v>
      </c>
      <c r="H815" s="257">
        <v>0</v>
      </c>
      <c r="I815" s="257">
        <v>359325686</v>
      </c>
      <c r="J815" s="257">
        <v>0</v>
      </c>
      <c r="K815" s="257">
        <v>164137394</v>
      </c>
      <c r="L815" s="257">
        <v>164137394</v>
      </c>
      <c r="M815" s="257">
        <v>4411890</v>
      </c>
      <c r="N815" s="257">
        <v>0</v>
      </c>
    </row>
    <row r="816" spans="1:14" s="143" customFormat="1" hidden="1" x14ac:dyDescent="0.25">
      <c r="A816" s="143" t="s">
        <v>721</v>
      </c>
      <c r="B816" s="143" t="s">
        <v>482</v>
      </c>
      <c r="C816" s="143" t="s">
        <v>699</v>
      </c>
      <c r="D816" s="143" t="s">
        <v>69</v>
      </c>
      <c r="E816" s="257">
        <v>156533864</v>
      </c>
      <c r="F816" s="257">
        <v>150821377</v>
      </c>
      <c r="G816" s="257">
        <v>149560837</v>
      </c>
      <c r="H816" s="257">
        <v>0</v>
      </c>
      <c r="I816" s="257">
        <v>97511392</v>
      </c>
      <c r="J816" s="257">
        <v>0</v>
      </c>
      <c r="K816" s="257">
        <v>52049445</v>
      </c>
      <c r="L816" s="257">
        <v>52049445</v>
      </c>
      <c r="M816" s="257">
        <v>1260540</v>
      </c>
      <c r="N816" s="257">
        <v>0</v>
      </c>
    </row>
    <row r="817" spans="1:14" s="143" customFormat="1" hidden="1" x14ac:dyDescent="0.25">
      <c r="A817" s="143" t="s">
        <v>721</v>
      </c>
      <c r="B817" s="143" t="s">
        <v>499</v>
      </c>
      <c r="C817" s="143" t="s">
        <v>700</v>
      </c>
      <c r="D817" s="143" t="s">
        <v>69</v>
      </c>
      <c r="E817" s="257">
        <v>313067829</v>
      </c>
      <c r="F817" s="257">
        <v>301642855</v>
      </c>
      <c r="G817" s="257">
        <v>299121775</v>
      </c>
      <c r="H817" s="257">
        <v>0</v>
      </c>
      <c r="I817" s="257">
        <v>195022849</v>
      </c>
      <c r="J817" s="257">
        <v>0</v>
      </c>
      <c r="K817" s="257">
        <v>104098926</v>
      </c>
      <c r="L817" s="257">
        <v>104098926</v>
      </c>
      <c r="M817" s="257">
        <v>2521080</v>
      </c>
      <c r="N817" s="257">
        <v>0</v>
      </c>
    </row>
    <row r="818" spans="1:14" s="143" customFormat="1" hidden="1" x14ac:dyDescent="0.25">
      <c r="A818" s="143" t="s">
        <v>721</v>
      </c>
      <c r="B818" s="143" t="s">
        <v>516</v>
      </c>
      <c r="C818" s="143" t="s">
        <v>722</v>
      </c>
      <c r="D818" s="143" t="s">
        <v>69</v>
      </c>
      <c r="E818" s="257">
        <v>88067000</v>
      </c>
      <c r="F818" s="257">
        <v>88067000</v>
      </c>
      <c r="G818" s="257">
        <v>88067000</v>
      </c>
      <c r="H818" s="257">
        <v>0</v>
      </c>
      <c r="I818" s="257">
        <v>56557523.350000001</v>
      </c>
      <c r="J818" s="257">
        <v>0</v>
      </c>
      <c r="K818" s="257">
        <v>30791126.649999999</v>
      </c>
      <c r="L818" s="257">
        <v>30791126.649999999</v>
      </c>
      <c r="M818" s="257">
        <v>718350</v>
      </c>
      <c r="N818" s="257">
        <v>718350</v>
      </c>
    </row>
    <row r="819" spans="1:14" s="143" customFormat="1" hidden="1" x14ac:dyDescent="0.25">
      <c r="A819" s="143" t="s">
        <v>721</v>
      </c>
      <c r="B819" s="143" t="s">
        <v>104</v>
      </c>
      <c r="C819" s="143" t="s">
        <v>105</v>
      </c>
      <c r="D819" s="143" t="s">
        <v>69</v>
      </c>
      <c r="E819" s="257">
        <v>45500000</v>
      </c>
      <c r="F819" s="257">
        <v>44866179</v>
      </c>
      <c r="G819" s="257">
        <v>44866179</v>
      </c>
      <c r="H819" s="257">
        <v>0</v>
      </c>
      <c r="I819" s="257">
        <v>886800</v>
      </c>
      <c r="J819" s="257">
        <v>0</v>
      </c>
      <c r="K819" s="257">
        <v>43979379</v>
      </c>
      <c r="L819" s="257">
        <v>0</v>
      </c>
      <c r="M819" s="257">
        <v>0</v>
      </c>
      <c r="N819" s="257">
        <v>0</v>
      </c>
    </row>
    <row r="820" spans="1:14" s="143" customFormat="1" hidden="1" x14ac:dyDescent="0.25">
      <c r="A820" s="143" t="s">
        <v>721</v>
      </c>
      <c r="B820" s="143" t="s">
        <v>150</v>
      </c>
      <c r="C820" s="143" t="s">
        <v>151</v>
      </c>
      <c r="D820" s="143" t="s">
        <v>69</v>
      </c>
      <c r="E820" s="257">
        <v>45500000</v>
      </c>
      <c r="F820" s="257">
        <v>44866179</v>
      </c>
      <c r="G820" s="257">
        <v>44866179</v>
      </c>
      <c r="H820" s="257">
        <v>0</v>
      </c>
      <c r="I820" s="257">
        <v>886800</v>
      </c>
      <c r="J820" s="257">
        <v>0</v>
      </c>
      <c r="K820" s="257">
        <v>43979379</v>
      </c>
      <c r="L820" s="257">
        <v>0</v>
      </c>
      <c r="M820" s="257">
        <v>0</v>
      </c>
      <c r="N820" s="257">
        <v>0</v>
      </c>
    </row>
    <row r="821" spans="1:14" s="143" customFormat="1" hidden="1" x14ac:dyDescent="0.25">
      <c r="A821" s="143" t="s">
        <v>721</v>
      </c>
      <c r="B821" s="143" t="s">
        <v>152</v>
      </c>
      <c r="C821" s="143" t="s">
        <v>153</v>
      </c>
      <c r="D821" s="143" t="s">
        <v>69</v>
      </c>
      <c r="E821" s="257">
        <v>45500000</v>
      </c>
      <c r="F821" s="257">
        <v>44866179</v>
      </c>
      <c r="G821" s="257">
        <v>44866179</v>
      </c>
      <c r="H821" s="257">
        <v>0</v>
      </c>
      <c r="I821" s="257">
        <v>886800</v>
      </c>
      <c r="J821" s="257">
        <v>0</v>
      </c>
      <c r="K821" s="257">
        <v>43979379</v>
      </c>
      <c r="L821" s="257">
        <v>0</v>
      </c>
      <c r="M821" s="257">
        <v>0</v>
      </c>
      <c r="N821" s="257">
        <v>0</v>
      </c>
    </row>
    <row r="822" spans="1:14" s="143" customFormat="1" hidden="1" x14ac:dyDescent="0.25">
      <c r="A822" s="143" t="s">
        <v>721</v>
      </c>
      <c r="B822" s="143" t="s">
        <v>248</v>
      </c>
      <c r="C822" s="143" t="s">
        <v>249</v>
      </c>
      <c r="D822" s="143" t="s">
        <v>69</v>
      </c>
      <c r="E822" s="257">
        <v>421832742</v>
      </c>
      <c r="F822" s="257">
        <v>415510923</v>
      </c>
      <c r="G822" s="257">
        <v>303758983</v>
      </c>
      <c r="H822" s="257">
        <v>0</v>
      </c>
      <c r="I822" s="257">
        <v>116710534.31999999</v>
      </c>
      <c r="J822" s="257">
        <v>0</v>
      </c>
      <c r="K822" s="257">
        <v>141571217.68000001</v>
      </c>
      <c r="L822" s="257">
        <v>141571217.68000001</v>
      </c>
      <c r="M822" s="257">
        <v>157229171</v>
      </c>
      <c r="N822" s="257">
        <v>45477231</v>
      </c>
    </row>
    <row r="823" spans="1:14" s="143" customFormat="1" hidden="1" x14ac:dyDescent="0.25">
      <c r="A823" s="143" t="s">
        <v>721</v>
      </c>
      <c r="B823" s="143" t="s">
        <v>250</v>
      </c>
      <c r="C823" s="143" t="s">
        <v>251</v>
      </c>
      <c r="D823" s="143" t="s">
        <v>69</v>
      </c>
      <c r="E823" s="257">
        <v>173230842</v>
      </c>
      <c r="F823" s="257">
        <v>166909023</v>
      </c>
      <c r="G823" s="257">
        <v>165514033</v>
      </c>
      <c r="H823" s="257">
        <v>0</v>
      </c>
      <c r="I823" s="257">
        <v>110335064.38</v>
      </c>
      <c r="J823" s="257">
        <v>0</v>
      </c>
      <c r="K823" s="257">
        <v>55178968.619999997</v>
      </c>
      <c r="L823" s="257">
        <v>55178968.619999997</v>
      </c>
      <c r="M823" s="257">
        <v>1394990</v>
      </c>
      <c r="N823" s="257">
        <v>0</v>
      </c>
    </row>
    <row r="824" spans="1:14" s="143" customFormat="1" hidden="1" x14ac:dyDescent="0.25">
      <c r="A824" s="143" t="s">
        <v>721</v>
      </c>
      <c r="B824" s="143" t="s">
        <v>639</v>
      </c>
      <c r="C824" s="143" t="s">
        <v>702</v>
      </c>
      <c r="D824" s="143" t="s">
        <v>69</v>
      </c>
      <c r="E824" s="257">
        <v>147141882</v>
      </c>
      <c r="F824" s="257">
        <v>141772144</v>
      </c>
      <c r="G824" s="257">
        <v>140587244</v>
      </c>
      <c r="H824" s="257">
        <v>0</v>
      </c>
      <c r="I824" s="257">
        <v>94083183.290000007</v>
      </c>
      <c r="J824" s="257">
        <v>0</v>
      </c>
      <c r="K824" s="257">
        <v>46504060.710000001</v>
      </c>
      <c r="L824" s="257">
        <v>46504060.710000001</v>
      </c>
      <c r="M824" s="257">
        <v>1184900</v>
      </c>
      <c r="N824" s="257">
        <v>0</v>
      </c>
    </row>
    <row r="825" spans="1:14" s="143" customFormat="1" hidden="1" x14ac:dyDescent="0.25">
      <c r="A825" s="143" t="s">
        <v>721</v>
      </c>
      <c r="B825" s="143" t="s">
        <v>654</v>
      </c>
      <c r="C825" s="143" t="s">
        <v>703</v>
      </c>
      <c r="D825" s="143" t="s">
        <v>69</v>
      </c>
      <c r="E825" s="257">
        <v>26088960</v>
      </c>
      <c r="F825" s="257">
        <v>25136879</v>
      </c>
      <c r="G825" s="257">
        <v>24926789</v>
      </c>
      <c r="H825" s="257">
        <v>0</v>
      </c>
      <c r="I825" s="257">
        <v>16251881.09</v>
      </c>
      <c r="J825" s="257">
        <v>0</v>
      </c>
      <c r="K825" s="257">
        <v>8674907.9100000001</v>
      </c>
      <c r="L825" s="257">
        <v>8674907.9100000001</v>
      </c>
      <c r="M825" s="257">
        <v>210090</v>
      </c>
      <c r="N825" s="257">
        <v>0</v>
      </c>
    </row>
    <row r="826" spans="1:14" s="143" customFormat="1" hidden="1" x14ac:dyDescent="0.25">
      <c r="A826" s="143" t="s">
        <v>721</v>
      </c>
      <c r="B826" s="143" t="s">
        <v>260</v>
      </c>
      <c r="C826" s="143" t="s">
        <v>261</v>
      </c>
      <c r="D826" s="143" t="s">
        <v>69</v>
      </c>
      <c r="E826" s="257">
        <v>223601900</v>
      </c>
      <c r="F826" s="257">
        <v>223601900</v>
      </c>
      <c r="G826" s="257">
        <v>134244950</v>
      </c>
      <c r="H826" s="257">
        <v>0</v>
      </c>
      <c r="I826" s="257">
        <v>6220661.0099999998</v>
      </c>
      <c r="J826" s="257">
        <v>0</v>
      </c>
      <c r="K826" s="257">
        <v>82547057.989999995</v>
      </c>
      <c r="L826" s="257">
        <v>82547057.989999995</v>
      </c>
      <c r="M826" s="257">
        <v>134834181</v>
      </c>
      <c r="N826" s="257">
        <v>45477231</v>
      </c>
    </row>
    <row r="827" spans="1:14" s="143" customFormat="1" hidden="1" x14ac:dyDescent="0.25">
      <c r="A827" s="143" t="s">
        <v>721</v>
      </c>
      <c r="B827" s="143" t="s">
        <v>262</v>
      </c>
      <c r="C827" s="143" t="s">
        <v>263</v>
      </c>
      <c r="D827" s="143" t="s">
        <v>69</v>
      </c>
      <c r="E827" s="257">
        <v>150213900</v>
      </c>
      <c r="F827" s="257">
        <v>150213900</v>
      </c>
      <c r="G827" s="257">
        <v>60856950</v>
      </c>
      <c r="H827" s="257">
        <v>0</v>
      </c>
      <c r="I827" s="257">
        <v>6220661.0099999998</v>
      </c>
      <c r="J827" s="257">
        <v>0</v>
      </c>
      <c r="K827" s="257">
        <v>54636288.990000002</v>
      </c>
      <c r="L827" s="257">
        <v>54636288.990000002</v>
      </c>
      <c r="M827" s="257">
        <v>89356950</v>
      </c>
      <c r="N827" s="257">
        <v>0</v>
      </c>
    </row>
    <row r="828" spans="1:14" s="143" customFormat="1" hidden="1" x14ac:dyDescent="0.25">
      <c r="A828" s="143" t="s">
        <v>721</v>
      </c>
      <c r="B828" s="143" t="s">
        <v>264</v>
      </c>
      <c r="C828" s="143" t="s">
        <v>265</v>
      </c>
      <c r="D828" s="143" t="s">
        <v>69</v>
      </c>
      <c r="E828" s="257">
        <v>73388000</v>
      </c>
      <c r="F828" s="257">
        <v>73388000</v>
      </c>
      <c r="G828" s="257">
        <v>73388000</v>
      </c>
      <c r="H828" s="257">
        <v>0</v>
      </c>
      <c r="I828" s="257">
        <v>0</v>
      </c>
      <c r="J828" s="257">
        <v>0</v>
      </c>
      <c r="K828" s="257">
        <v>27910769</v>
      </c>
      <c r="L828" s="257">
        <v>27910769</v>
      </c>
      <c r="M828" s="257">
        <v>45477231</v>
      </c>
      <c r="N828" s="257">
        <v>45477231</v>
      </c>
    </row>
    <row r="829" spans="1:14" s="143" customFormat="1" hidden="1" x14ac:dyDescent="0.25">
      <c r="A829" s="143" t="s">
        <v>721</v>
      </c>
      <c r="B829" s="143" t="s">
        <v>286</v>
      </c>
      <c r="C829" s="143" t="s">
        <v>287</v>
      </c>
      <c r="D829" s="143" t="s">
        <v>69</v>
      </c>
      <c r="E829" s="257">
        <v>25000000</v>
      </c>
      <c r="F829" s="257">
        <v>25000000</v>
      </c>
      <c r="G829" s="257">
        <v>4000000</v>
      </c>
      <c r="H829" s="257">
        <v>0</v>
      </c>
      <c r="I829" s="257">
        <v>154808.93</v>
      </c>
      <c r="J829" s="257">
        <v>0</v>
      </c>
      <c r="K829" s="257">
        <v>3845191.07</v>
      </c>
      <c r="L829" s="257">
        <v>3845191.07</v>
      </c>
      <c r="M829" s="257">
        <v>21000000</v>
      </c>
      <c r="N829" s="257">
        <v>0</v>
      </c>
    </row>
    <row r="830" spans="1:14" s="143" customFormat="1" hidden="1" x14ac:dyDescent="0.25">
      <c r="A830" s="143" t="s">
        <v>721</v>
      </c>
      <c r="B830" s="143" t="s">
        <v>288</v>
      </c>
      <c r="C830" s="143" t="s">
        <v>289</v>
      </c>
      <c r="D830" s="143" t="s">
        <v>69</v>
      </c>
      <c r="E830" s="257">
        <v>10000000</v>
      </c>
      <c r="F830" s="257">
        <v>10000000</v>
      </c>
      <c r="G830" s="257">
        <v>4000000</v>
      </c>
      <c r="H830" s="257">
        <v>0</v>
      </c>
      <c r="I830" s="257">
        <v>154808.93</v>
      </c>
      <c r="J830" s="257">
        <v>0</v>
      </c>
      <c r="K830" s="257">
        <v>3845191.07</v>
      </c>
      <c r="L830" s="257">
        <v>3845191.07</v>
      </c>
      <c r="M830" s="257">
        <v>6000000</v>
      </c>
      <c r="N830" s="257">
        <v>0</v>
      </c>
    </row>
    <row r="831" spans="1:14" s="143" customFormat="1" hidden="1" x14ac:dyDescent="0.25">
      <c r="A831" s="143" t="s">
        <v>721</v>
      </c>
      <c r="B831" s="143" t="s">
        <v>370</v>
      </c>
      <c r="C831" s="143" t="s">
        <v>371</v>
      </c>
      <c r="D831" s="143" t="s">
        <v>69</v>
      </c>
      <c r="E831" s="257">
        <v>15000000</v>
      </c>
      <c r="F831" s="257">
        <v>15000000</v>
      </c>
      <c r="G831" s="257">
        <v>0</v>
      </c>
      <c r="H831" s="257">
        <v>0</v>
      </c>
      <c r="I831" s="257">
        <v>0</v>
      </c>
      <c r="J831" s="257">
        <v>0</v>
      </c>
      <c r="K831" s="257">
        <v>0</v>
      </c>
      <c r="L831" s="257">
        <v>0</v>
      </c>
      <c r="M831" s="257">
        <v>15000000</v>
      </c>
      <c r="N831" s="257">
        <v>0</v>
      </c>
    </row>
    <row r="832" spans="1:14" s="143" customFormat="1" hidden="1" x14ac:dyDescent="0.25">
      <c r="A832" s="53"/>
      <c r="B832" s="53"/>
      <c r="C832" s="53"/>
      <c r="D832" s="53"/>
      <c r="E832" s="54">
        <v>765104920000</v>
      </c>
      <c r="F832" s="54">
        <v>753010382417.09998</v>
      </c>
      <c r="G832" s="54">
        <v>641913351448.40002</v>
      </c>
      <c r="H832" s="54">
        <v>2186422798</v>
      </c>
      <c r="I832" s="54">
        <v>110283220261.45</v>
      </c>
      <c r="J832" s="54">
        <v>2462858263.1999998</v>
      </c>
      <c r="K832" s="54">
        <v>210723151539.89999</v>
      </c>
      <c r="L832" s="54">
        <v>205378334170.5</v>
      </c>
      <c r="M832" s="54">
        <v>427354729554.54999</v>
      </c>
      <c r="N832" s="54">
        <v>316257698585.84998</v>
      </c>
    </row>
    <row r="833" s="143" customFormat="1" x14ac:dyDescent="0.25"/>
  </sheetData>
  <sheetProtection selectLockedCells="1" selectUnlockedCells="1"/>
  <autoFilter ref="A1:M832"/>
  <conditionalFormatting sqref="K2:K451">
    <cfRule type="cellIs" dxfId="9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topLeftCell="B1" zoomScaleNormal="100" workbookViewId="0"/>
  </sheetViews>
  <sheetFormatPr baseColWidth="10" defaultColWidth="17.5703125" defaultRowHeight="15" x14ac:dyDescent="0.25"/>
  <cols>
    <col min="1" max="1" width="25.140625" style="23" hidden="1" customWidth="1"/>
    <col min="2" max="2" width="14.5703125" style="23" customWidth="1"/>
    <col min="3" max="3" width="20.140625" style="23" customWidth="1"/>
    <col min="4" max="4" width="5" style="23" customWidth="1"/>
    <col min="5" max="5" width="17.42578125" style="23" customWidth="1"/>
    <col min="6" max="6" width="12" style="23" customWidth="1"/>
    <col min="7" max="7" width="19.140625" style="23" customWidth="1"/>
    <col min="8" max="8" width="12" style="23" hidden="1" customWidth="1"/>
    <col min="9" max="9" width="12" style="23" customWidth="1"/>
    <col min="10" max="10" width="14.5703125" style="23" customWidth="1"/>
    <col min="11" max="11" width="8.5703125" style="23" customWidth="1"/>
    <col min="12" max="12" width="20.140625" style="23" customWidth="1"/>
    <col min="13" max="14" width="13.85546875" style="23" customWidth="1"/>
    <col min="15" max="15" width="23.42578125" style="23" customWidth="1"/>
    <col min="16" max="16" width="11.28515625" style="23" customWidth="1"/>
    <col min="17" max="17" width="7.85546875" style="23" customWidth="1"/>
    <col min="18" max="16384" width="17.5703125" style="23"/>
  </cols>
  <sheetData>
    <row r="1" spans="1:18" ht="15.75" x14ac:dyDescent="0.25">
      <c r="B1" s="600" t="s">
        <v>32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</row>
    <row r="2" spans="1:18" ht="15.75" x14ac:dyDescent="0.25">
      <c r="B2" s="600" t="str">
        <f>+"[35]estado!a4"</f>
        <v>[35]estado!a4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</row>
    <row r="3" spans="1:18" ht="15.75" x14ac:dyDescent="0.25">
      <c r="B3" s="600" t="s">
        <v>33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</row>
    <row r="4" spans="1:18" x14ac:dyDescent="0.25">
      <c r="L4" s="24"/>
    </row>
    <row r="5" spans="1:18" ht="24.75" customHeight="1" x14ac:dyDescent="0.25">
      <c r="A5" s="25"/>
      <c r="B5" s="26" t="s">
        <v>34</v>
      </c>
      <c r="C5" s="27" t="s">
        <v>3</v>
      </c>
      <c r="D5" s="27" t="s">
        <v>35</v>
      </c>
      <c r="E5" s="27" t="s">
        <v>5</v>
      </c>
      <c r="F5" s="27"/>
      <c r="G5" s="27" t="s">
        <v>10</v>
      </c>
      <c r="H5" s="27" t="s">
        <v>36</v>
      </c>
      <c r="I5" s="27"/>
      <c r="J5" s="27" t="s">
        <v>11</v>
      </c>
      <c r="K5" s="27" t="s">
        <v>35</v>
      </c>
      <c r="L5" s="27" t="s">
        <v>12</v>
      </c>
      <c r="M5" s="27" t="s">
        <v>775</v>
      </c>
      <c r="N5" s="27"/>
      <c r="O5" s="27" t="s">
        <v>7</v>
      </c>
      <c r="P5" s="27" t="s">
        <v>689</v>
      </c>
    </row>
    <row r="6" spans="1:18" ht="24.75" customHeight="1" x14ac:dyDescent="0.25">
      <c r="B6" s="28" t="s">
        <v>38</v>
      </c>
      <c r="C6" s="29" t="str">
        <f>+"[35]sigaf!f3"</f>
        <v>[35]sigaf!f3</v>
      </c>
      <c r="D6" s="30">
        <f t="shared" ref="D6:D9" si="0">IFERROR(C6/$C$20,0)</f>
        <v>0</v>
      </c>
      <c r="E6" s="29" t="str">
        <f>+"[35]sigaf!h3"</f>
        <v>[35]sigaf!h3</v>
      </c>
      <c r="F6" s="31" t="e">
        <f t="shared" ref="F6:F20" si="1">+E6/C6</f>
        <v>#VALUE!</v>
      </c>
      <c r="G6" s="29" t="str">
        <f>+"[35]sigaf!i3"</f>
        <v>[35]sigaf!i3</v>
      </c>
      <c r="H6" s="32">
        <f t="shared" ref="H6:H19" si="2">IFERROR(G6/C6,0)</f>
        <v>0</v>
      </c>
      <c r="I6" s="32" t="e">
        <f t="shared" ref="I6:I20" si="3">+G6/C6</f>
        <v>#VALUE!</v>
      </c>
      <c r="J6" s="29" t="str">
        <f>+"[35]sigaf!j3"</f>
        <v>[35]sigaf!j3</v>
      </c>
      <c r="K6" s="32">
        <f t="shared" ref="K6:K19" si="4">IFERROR(J6/C6,0)</f>
        <v>0</v>
      </c>
      <c r="L6" s="29" t="str">
        <f>+"[35]sigaf!k3"</f>
        <v>[35]sigaf!k3</v>
      </c>
      <c r="M6" s="30">
        <f t="shared" ref="M6:M19" si="5">IFERROR(L6/C6,0)</f>
        <v>0</v>
      </c>
      <c r="N6" s="30">
        <v>7.0000000000000007E-2</v>
      </c>
      <c r="O6" s="29" t="str">
        <f>+"[35]sigaf!m3"</f>
        <v>[35]sigaf!m3</v>
      </c>
      <c r="P6" s="30">
        <f t="shared" ref="P6:P19" si="6">IFERROR(O6/C6,0)</f>
        <v>0</v>
      </c>
      <c r="Q6" s="43"/>
      <c r="R6" s="20" t="e">
        <f>(+E20+G20+J20+L20)/C20</f>
        <v>#DIV/0!</v>
      </c>
    </row>
    <row r="7" spans="1:18" ht="24.75" customHeight="1" x14ac:dyDescent="0.25">
      <c r="B7" s="28" t="s">
        <v>39</v>
      </c>
      <c r="C7" s="29" t="str">
        <f>+"[35]sigaf!f62"</f>
        <v>[35]sigaf!f62</v>
      </c>
      <c r="D7" s="30">
        <f t="shared" si="0"/>
        <v>0</v>
      </c>
      <c r="E7" s="29" t="str">
        <f>+"[35]sigaf!h62"</f>
        <v>[35]sigaf!h62</v>
      </c>
      <c r="F7" s="31" t="e">
        <f t="shared" si="1"/>
        <v>#VALUE!</v>
      </c>
      <c r="G7" s="29" t="str">
        <f>+"[35]sigaf!i62"</f>
        <v>[35]sigaf!i62</v>
      </c>
      <c r="H7" s="32">
        <f t="shared" si="2"/>
        <v>0</v>
      </c>
      <c r="I7" s="32" t="e">
        <f t="shared" si="3"/>
        <v>#VALUE!</v>
      </c>
      <c r="J7" s="29" t="str">
        <f>+"[35]sigaf!j62"</f>
        <v>[35]sigaf!j62</v>
      </c>
      <c r="K7" s="32">
        <f t="shared" si="4"/>
        <v>0</v>
      </c>
      <c r="L7" s="29" t="str">
        <f>+"[35]sigaf!k62"</f>
        <v>[35]sigaf!k62</v>
      </c>
      <c r="M7" s="30">
        <f t="shared" si="5"/>
        <v>0</v>
      </c>
      <c r="N7" s="30">
        <v>7.0000000000000007E-2</v>
      </c>
      <c r="O7" s="29" t="str">
        <f>+"[35]sigaf!m62"</f>
        <v>[35]sigaf!m62</v>
      </c>
      <c r="P7" s="30">
        <f t="shared" si="6"/>
        <v>0</v>
      </c>
      <c r="Q7" s="43"/>
    </row>
    <row r="8" spans="1:18" ht="24.75" customHeight="1" x14ac:dyDescent="0.25">
      <c r="B8" s="28" t="s">
        <v>40</v>
      </c>
      <c r="C8" s="29" t="str">
        <f>+"[35]sigaf!f144"</f>
        <v>[35]sigaf!f144</v>
      </c>
      <c r="D8" s="30">
        <f t="shared" si="0"/>
        <v>0</v>
      </c>
      <c r="E8" s="29" t="str">
        <f>+"[35]sigaf!h144"</f>
        <v>[35]sigaf!h144</v>
      </c>
      <c r="F8" s="31" t="e">
        <f t="shared" si="1"/>
        <v>#VALUE!</v>
      </c>
      <c r="G8" s="29" t="str">
        <f>+"[35]sigaf!i144"</f>
        <v>[35]sigaf!i144</v>
      </c>
      <c r="H8" s="32">
        <f t="shared" si="2"/>
        <v>0</v>
      </c>
      <c r="I8" s="32" t="e">
        <f t="shared" si="3"/>
        <v>#VALUE!</v>
      </c>
      <c r="J8" s="29" t="str">
        <f>+"[35]sigaf!j144"</f>
        <v>[35]sigaf!j144</v>
      </c>
      <c r="K8" s="32">
        <f t="shared" si="4"/>
        <v>0</v>
      </c>
      <c r="L8" s="29" t="str">
        <f>+"[35]sigaf!k144"</f>
        <v>[35]sigaf!k144</v>
      </c>
      <c r="M8" s="30">
        <f t="shared" si="5"/>
        <v>0</v>
      </c>
      <c r="N8" s="30">
        <v>0.04</v>
      </c>
      <c r="O8" s="29" t="str">
        <f>+"[35]sigaf!m144"</f>
        <v>[35]sigaf!m144</v>
      </c>
      <c r="P8" s="30">
        <f t="shared" si="6"/>
        <v>0</v>
      </c>
    </row>
    <row r="9" spans="1:18" ht="24.75" customHeight="1" x14ac:dyDescent="0.25">
      <c r="B9" s="28" t="s">
        <v>41</v>
      </c>
      <c r="C9" s="29" t="str">
        <f>+"[35]sigaf!f244"</f>
        <v>[35]sigaf!f244</v>
      </c>
      <c r="D9" s="30">
        <f t="shared" si="0"/>
        <v>0</v>
      </c>
      <c r="E9" s="29" t="str">
        <f>+"[35]sigaf!h244"</f>
        <v>[35]sigaf!h244</v>
      </c>
      <c r="F9" s="31" t="e">
        <f t="shared" si="1"/>
        <v>#VALUE!</v>
      </c>
      <c r="G9" s="29" t="str">
        <f>+"[35]sigaf!i244"</f>
        <v>[35]sigaf!i244</v>
      </c>
      <c r="H9" s="32">
        <f t="shared" si="2"/>
        <v>0</v>
      </c>
      <c r="I9" s="32" t="e">
        <f t="shared" si="3"/>
        <v>#VALUE!</v>
      </c>
      <c r="J9" s="29" t="str">
        <f>+"[35]sigaf!j244"</f>
        <v>[35]sigaf!j244</v>
      </c>
      <c r="K9" s="32">
        <f t="shared" si="4"/>
        <v>0</v>
      </c>
      <c r="L9" s="29" t="str">
        <f>+"[35]sigaf!k244"</f>
        <v>[35]sigaf!k244</v>
      </c>
      <c r="M9" s="30">
        <f t="shared" si="5"/>
        <v>0</v>
      </c>
      <c r="N9" s="30">
        <v>0.1</v>
      </c>
      <c r="O9" s="29" t="str">
        <f>+"[35]sigaf!m244"</f>
        <v>[35]sigaf!m244</v>
      </c>
      <c r="P9" s="30">
        <f t="shared" si="6"/>
        <v>0</v>
      </c>
    </row>
    <row r="10" spans="1:18" ht="24.75" customHeight="1" x14ac:dyDescent="0.25">
      <c r="B10" s="28" t="s">
        <v>42</v>
      </c>
      <c r="C10" s="29" t="str">
        <f>+"[35]sigaf!f370"</f>
        <v>[35]sigaf!f370</v>
      </c>
      <c r="D10" s="30"/>
      <c r="E10" s="29" t="str">
        <f>+"[35]sigaf!h370"</f>
        <v>[35]sigaf!h370</v>
      </c>
      <c r="F10" s="31" t="e">
        <f t="shared" si="1"/>
        <v>#VALUE!</v>
      </c>
      <c r="G10" s="29" t="str">
        <f>+"[35]sigaf!i370"</f>
        <v>[35]sigaf!i370</v>
      </c>
      <c r="H10" s="32">
        <f t="shared" si="2"/>
        <v>0</v>
      </c>
      <c r="I10" s="32" t="e">
        <f t="shared" si="3"/>
        <v>#VALUE!</v>
      </c>
      <c r="J10" s="29" t="str">
        <f>+"[35]sigaf!j370"</f>
        <v>[35]sigaf!j370</v>
      </c>
      <c r="K10" s="32">
        <f t="shared" si="4"/>
        <v>0</v>
      </c>
      <c r="L10" s="29" t="str">
        <f>+"[35]sigaf!k370"</f>
        <v>[35]sigaf!k370</v>
      </c>
      <c r="M10" s="30">
        <f t="shared" si="5"/>
        <v>0</v>
      </c>
      <c r="N10" s="30">
        <v>0.06</v>
      </c>
      <c r="O10" s="29" t="str">
        <f>+"[35]sigaf!m370"</f>
        <v>[35]sigaf!m370</v>
      </c>
      <c r="P10" s="30">
        <f t="shared" si="6"/>
        <v>0</v>
      </c>
    </row>
    <row r="11" spans="1:18" ht="24.75" customHeight="1" x14ac:dyDescent="0.25">
      <c r="B11" s="28" t="s">
        <v>43</v>
      </c>
      <c r="C11" s="29" t="str">
        <f>+"[35]sigaf!f443"</f>
        <v>[35]sigaf!f443</v>
      </c>
      <c r="D11" s="30"/>
      <c r="E11" s="29" t="str">
        <f>+"[35]sigaf!h443"</f>
        <v>[35]sigaf!h443</v>
      </c>
      <c r="F11" s="31" t="e">
        <f t="shared" si="1"/>
        <v>#VALUE!</v>
      </c>
      <c r="G11" s="29" t="str">
        <f>+"[35]sigaf!i443"</f>
        <v>[35]sigaf!i443</v>
      </c>
      <c r="H11" s="32">
        <f t="shared" si="2"/>
        <v>0</v>
      </c>
      <c r="I11" s="32" t="e">
        <f t="shared" si="3"/>
        <v>#VALUE!</v>
      </c>
      <c r="J11" s="29" t="str">
        <f>+"[35]sigaf!j443"</f>
        <v>[35]sigaf!j443</v>
      </c>
      <c r="K11" s="32">
        <f t="shared" si="4"/>
        <v>0</v>
      </c>
      <c r="L11" s="29" t="str">
        <f>+"[35]sigaf!k443"</f>
        <v>[35]sigaf!k443</v>
      </c>
      <c r="M11" s="30">
        <f t="shared" si="5"/>
        <v>0</v>
      </c>
      <c r="N11" s="30">
        <v>0.06</v>
      </c>
      <c r="O11" s="29" t="str">
        <f>+"[35]sigaf!m443"</f>
        <v>[35]sigaf!m443</v>
      </c>
      <c r="P11" s="30">
        <f t="shared" si="6"/>
        <v>0</v>
      </c>
    </row>
    <row r="12" spans="1:18" ht="24.75" customHeight="1" x14ac:dyDescent="0.25">
      <c r="B12" s="28" t="s">
        <v>44</v>
      </c>
      <c r="C12" s="29" t="str">
        <f>+"[35]sigaf!f497"</f>
        <v>[35]sigaf!f497</v>
      </c>
      <c r="D12" s="30"/>
      <c r="E12" s="29" t="str">
        <f>+"[35]sigaf!h497"</f>
        <v>[35]sigaf!h497</v>
      </c>
      <c r="F12" s="31" t="e">
        <f t="shared" si="1"/>
        <v>#VALUE!</v>
      </c>
      <c r="G12" s="29" t="str">
        <f>+"[35]sigaf!i497"</f>
        <v>[35]sigaf!i497</v>
      </c>
      <c r="H12" s="32">
        <f t="shared" si="2"/>
        <v>0</v>
      </c>
      <c r="I12" s="32" t="e">
        <f t="shared" si="3"/>
        <v>#VALUE!</v>
      </c>
      <c r="J12" s="29" t="str">
        <f>+"[35]sigaf!j497"</f>
        <v>[35]sigaf!j497</v>
      </c>
      <c r="K12" s="32">
        <f t="shared" si="4"/>
        <v>0</v>
      </c>
      <c r="L12" s="29" t="str">
        <f>+"[35]sigaf!k497"</f>
        <v>[35]sigaf!k497</v>
      </c>
      <c r="M12" s="30">
        <f t="shared" si="5"/>
        <v>0</v>
      </c>
      <c r="N12" s="30">
        <v>0.09</v>
      </c>
      <c r="O12" s="29" t="str">
        <f>+"[35]sigaf!m497"</f>
        <v>[35]sigaf!m497</v>
      </c>
      <c r="P12" s="30">
        <f t="shared" si="6"/>
        <v>0</v>
      </c>
    </row>
    <row r="13" spans="1:18" ht="24.75" customHeight="1" x14ac:dyDescent="0.25">
      <c r="B13" s="28" t="s">
        <v>45</v>
      </c>
      <c r="C13" s="29" t="str">
        <f>+"[35]sigaf!f542"</f>
        <v>[35]sigaf!f542</v>
      </c>
      <c r="D13" s="30"/>
      <c r="E13" s="29" t="str">
        <f>+"[35]sigaf!h542"</f>
        <v>[35]sigaf!h542</v>
      </c>
      <c r="F13" s="31" t="e">
        <f t="shared" si="1"/>
        <v>#VALUE!</v>
      </c>
      <c r="G13" s="29" t="str">
        <f>+"[35]sigaf!i542"</f>
        <v>[35]sigaf!i542</v>
      </c>
      <c r="H13" s="32">
        <f t="shared" si="2"/>
        <v>0</v>
      </c>
      <c r="I13" s="32" t="e">
        <f t="shared" si="3"/>
        <v>#VALUE!</v>
      </c>
      <c r="J13" s="29" t="str">
        <f>+"[35]sigaf!j542"</f>
        <v>[35]sigaf!j542</v>
      </c>
      <c r="K13" s="32">
        <f t="shared" si="4"/>
        <v>0</v>
      </c>
      <c r="L13" s="29" t="str">
        <f>+"[35]sigaf!k542"</f>
        <v>[35]sigaf!k542</v>
      </c>
      <c r="M13" s="30">
        <f t="shared" si="5"/>
        <v>0</v>
      </c>
      <c r="N13" s="30">
        <v>0.09</v>
      </c>
      <c r="O13" s="29" t="str">
        <f>+"[35]sigaf!m542"</f>
        <v>[35]sigaf!m542</v>
      </c>
      <c r="P13" s="30">
        <f t="shared" si="6"/>
        <v>0</v>
      </c>
    </row>
    <row r="14" spans="1:18" ht="24.75" customHeight="1" x14ac:dyDescent="0.25">
      <c r="B14" s="28" t="s">
        <v>46</v>
      </c>
      <c r="C14" s="29" t="str">
        <f>+"[35]sigaf!f611"</f>
        <v>[35]sigaf!f611</v>
      </c>
      <c r="D14" s="30"/>
      <c r="E14" s="29" t="str">
        <f>+"[35]sigaf!h611"</f>
        <v>[35]sigaf!h611</v>
      </c>
      <c r="F14" s="31" t="e">
        <f t="shared" si="1"/>
        <v>#VALUE!</v>
      </c>
      <c r="G14" s="29" t="str">
        <f>+"[35]sigaf!i611"</f>
        <v>[35]sigaf!i611</v>
      </c>
      <c r="H14" s="32">
        <f t="shared" si="2"/>
        <v>0</v>
      </c>
      <c r="I14" s="32" t="e">
        <f t="shared" si="3"/>
        <v>#VALUE!</v>
      </c>
      <c r="J14" s="29" t="str">
        <f>+"[35]sigaf!j611"</f>
        <v>[35]sigaf!j611</v>
      </c>
      <c r="K14" s="32">
        <f t="shared" si="4"/>
        <v>0</v>
      </c>
      <c r="L14" s="29" t="str">
        <f>+"[35]sigaf!k611"</f>
        <v>[35]sigaf!k611</v>
      </c>
      <c r="M14" s="30">
        <f t="shared" si="5"/>
        <v>0</v>
      </c>
      <c r="N14" s="30">
        <v>0.1</v>
      </c>
      <c r="O14" s="29" t="str">
        <f>+"[35]sigaf!m611"</f>
        <v>[35]sigaf!m611</v>
      </c>
      <c r="P14" s="30">
        <f t="shared" si="6"/>
        <v>0</v>
      </c>
    </row>
    <row r="15" spans="1:18" ht="24.75" customHeight="1" x14ac:dyDescent="0.25">
      <c r="B15" s="28" t="s">
        <v>47</v>
      </c>
      <c r="C15" s="29" t="str">
        <f>+"[35]sigaf!f640"</f>
        <v>[35]sigaf!f640</v>
      </c>
      <c r="D15" s="30"/>
      <c r="E15" s="29" t="str">
        <f>+"[35]sigaf!h640"</f>
        <v>[35]sigaf!h640</v>
      </c>
      <c r="F15" s="31" t="e">
        <f t="shared" si="1"/>
        <v>#VALUE!</v>
      </c>
      <c r="G15" s="29" t="str">
        <f>+"[35]sigaf!i640"</f>
        <v>[35]sigaf!i640</v>
      </c>
      <c r="H15" s="32">
        <f t="shared" si="2"/>
        <v>0</v>
      </c>
      <c r="I15" s="32" t="e">
        <f t="shared" si="3"/>
        <v>#VALUE!</v>
      </c>
      <c r="J15" s="29" t="str">
        <f>+"[35]sigaf!j640"</f>
        <v>[35]sigaf!j640</v>
      </c>
      <c r="K15" s="32">
        <f t="shared" si="4"/>
        <v>0</v>
      </c>
      <c r="L15" s="29" t="str">
        <f>+"[35]sigaf!k640"</f>
        <v>[35]sigaf!k640</v>
      </c>
      <c r="M15" s="30">
        <f t="shared" si="5"/>
        <v>0</v>
      </c>
      <c r="N15" s="30">
        <v>0</v>
      </c>
      <c r="O15" s="29" t="str">
        <f>+"[35]sigaf!m640"</f>
        <v>[35]sigaf!m640</v>
      </c>
      <c r="P15" s="30">
        <f t="shared" si="6"/>
        <v>0</v>
      </c>
    </row>
    <row r="16" spans="1:18" ht="24.75" customHeight="1" x14ac:dyDescent="0.25">
      <c r="B16" s="28" t="s">
        <v>48</v>
      </c>
      <c r="C16" s="29" t="str">
        <f>+"[35]sigaf!f668"</f>
        <v>[35]sigaf!f668</v>
      </c>
      <c r="D16" s="30"/>
      <c r="E16" s="29" t="str">
        <f>+"[35]sigaf!h668"</f>
        <v>[35]sigaf!h668</v>
      </c>
      <c r="F16" s="31" t="e">
        <f t="shared" si="1"/>
        <v>#VALUE!</v>
      </c>
      <c r="G16" s="29" t="str">
        <f>+"[35]sigaf!i668"</f>
        <v>[35]sigaf!i668</v>
      </c>
      <c r="H16" s="32">
        <f t="shared" si="2"/>
        <v>0</v>
      </c>
      <c r="I16" s="32" t="e">
        <f t="shared" si="3"/>
        <v>#VALUE!</v>
      </c>
      <c r="J16" s="29" t="str">
        <f>+"[35]sigaf!j668"</f>
        <v>[35]sigaf!j668</v>
      </c>
      <c r="K16" s="32">
        <f t="shared" si="4"/>
        <v>0</v>
      </c>
      <c r="L16" s="29" t="str">
        <f>+"[35]sigaf!k668"</f>
        <v>[35]sigaf!k668</v>
      </c>
      <c r="M16" s="30">
        <f t="shared" si="5"/>
        <v>0</v>
      </c>
      <c r="N16" s="30">
        <v>0.09</v>
      </c>
      <c r="O16" s="29" t="str">
        <f>+"[35]sigaf!m668"</f>
        <v>[35]sigaf!m668</v>
      </c>
      <c r="P16" s="30">
        <f t="shared" si="6"/>
        <v>0</v>
      </c>
    </row>
    <row r="17" spans="1:16" ht="24.75" customHeight="1" x14ac:dyDescent="0.25">
      <c r="B17" s="28" t="s">
        <v>49</v>
      </c>
      <c r="C17" s="29" t="str">
        <f>+"[35]sigaf!f748"</f>
        <v>[35]sigaf!f748</v>
      </c>
      <c r="D17" s="30"/>
      <c r="E17" s="29" t="str">
        <f>+"[35]sigaf!h748"</f>
        <v>[35]sigaf!h748</v>
      </c>
      <c r="F17" s="31" t="e">
        <f t="shared" si="1"/>
        <v>#VALUE!</v>
      </c>
      <c r="G17" s="29" t="str">
        <f>+"[35]sigaf!i748"</f>
        <v>[35]sigaf!i748</v>
      </c>
      <c r="H17" s="32">
        <f t="shared" si="2"/>
        <v>0</v>
      </c>
      <c r="I17" s="32" t="e">
        <f t="shared" si="3"/>
        <v>#VALUE!</v>
      </c>
      <c r="J17" s="29" t="str">
        <f>+"[35]sigaf!j748"</f>
        <v>[35]sigaf!j748</v>
      </c>
      <c r="K17" s="32">
        <f t="shared" si="4"/>
        <v>0</v>
      </c>
      <c r="L17" s="29" t="str">
        <f>+"[35]sigaf!k748"</f>
        <v>[35]sigaf!k748</v>
      </c>
      <c r="M17" s="30">
        <f t="shared" si="5"/>
        <v>0</v>
      </c>
      <c r="N17" s="30">
        <v>0.12</v>
      </c>
      <c r="O17" s="29" t="str">
        <f>+"[35]sigaf!m748"</f>
        <v>[35]sigaf!m748</v>
      </c>
      <c r="P17" s="30">
        <f t="shared" si="6"/>
        <v>0</v>
      </c>
    </row>
    <row r="18" spans="1:16" ht="24.75" customHeight="1" x14ac:dyDescent="0.25">
      <c r="B18" s="28" t="s">
        <v>50</v>
      </c>
      <c r="C18" s="29" t="str">
        <f>+"[35]sigaf!f769"</f>
        <v>[35]sigaf!f769</v>
      </c>
      <c r="D18" s="30"/>
      <c r="E18" s="29" t="str">
        <f>+"[35]sigaf!h769"</f>
        <v>[35]sigaf!h769</v>
      </c>
      <c r="F18" s="31" t="e">
        <f t="shared" si="1"/>
        <v>#VALUE!</v>
      </c>
      <c r="G18" s="29" t="str">
        <f>+"[35]sigaf!i769"</f>
        <v>[35]sigaf!i769</v>
      </c>
      <c r="H18" s="32">
        <f t="shared" si="2"/>
        <v>0</v>
      </c>
      <c r="I18" s="32" t="e">
        <f t="shared" si="3"/>
        <v>#VALUE!</v>
      </c>
      <c r="J18" s="29" t="str">
        <f>+"[35]sigaf!j769"</f>
        <v>[35]sigaf!j769</v>
      </c>
      <c r="K18" s="32">
        <f t="shared" si="4"/>
        <v>0</v>
      </c>
      <c r="L18" s="29" t="str">
        <f>+"[35]sigaf!k769"</f>
        <v>[35]sigaf!k769</v>
      </c>
      <c r="M18" s="30">
        <f t="shared" si="5"/>
        <v>0</v>
      </c>
      <c r="N18" s="30">
        <v>0.12</v>
      </c>
      <c r="O18" s="29" t="str">
        <f>+"[35]sigaf!m769"</f>
        <v>[35]sigaf!m769</v>
      </c>
      <c r="P18" s="30">
        <f t="shared" si="6"/>
        <v>0</v>
      </c>
    </row>
    <row r="19" spans="1:16" ht="24.75" customHeight="1" x14ac:dyDescent="0.25">
      <c r="B19" s="28" t="s">
        <v>768</v>
      </c>
      <c r="C19" s="29" t="str">
        <f>+"[35]sigaf!f794"</f>
        <v>[35]sigaf!f794</v>
      </c>
      <c r="D19" s="30">
        <f>IFERROR(C19/$C$20,0)</f>
        <v>0</v>
      </c>
      <c r="E19" s="29" t="str">
        <f>+"[35]sigaf!h794"</f>
        <v>[35]sigaf!h794</v>
      </c>
      <c r="F19" s="31" t="e">
        <f t="shared" si="1"/>
        <v>#VALUE!</v>
      </c>
      <c r="G19" s="29" t="str">
        <f>+"[35]sigaf!i794"</f>
        <v>[35]sigaf!i794</v>
      </c>
      <c r="H19" s="32">
        <f t="shared" si="2"/>
        <v>0</v>
      </c>
      <c r="I19" s="32" t="e">
        <f t="shared" si="3"/>
        <v>#VALUE!</v>
      </c>
      <c r="J19" s="29" t="str">
        <f>+"[35]sigaf!j794"</f>
        <v>[35]sigaf!j794</v>
      </c>
      <c r="K19" s="32">
        <f t="shared" si="4"/>
        <v>0</v>
      </c>
      <c r="L19" s="29" t="str">
        <f>+"[35]sigaf!k794"</f>
        <v>[35]sigaf!k794</v>
      </c>
      <c r="M19" s="30">
        <f t="shared" si="5"/>
        <v>0</v>
      </c>
      <c r="N19" s="30">
        <v>0.12</v>
      </c>
      <c r="O19" s="29" t="str">
        <f>+"[35]sigaf!m794"</f>
        <v>[35]sigaf!m794</v>
      </c>
      <c r="P19" s="30">
        <f t="shared" si="6"/>
        <v>0</v>
      </c>
    </row>
    <row r="20" spans="1:16" ht="24.75" customHeight="1" x14ac:dyDescent="0.25">
      <c r="A20" s="25"/>
      <c r="B20" s="35" t="s">
        <v>23</v>
      </c>
      <c r="C20" s="36">
        <f>SUM(C6:C19)</f>
        <v>0</v>
      </c>
      <c r="D20" s="37"/>
      <c r="E20" s="36">
        <f>SUM(E6:E19)</f>
        <v>0</v>
      </c>
      <c r="F20" s="37" t="e">
        <f t="shared" si="1"/>
        <v>#DIV/0!</v>
      </c>
      <c r="G20" s="36">
        <f>SUM(G6:G19)</f>
        <v>0</v>
      </c>
      <c r="H20" s="37" t="e">
        <f>+G20/C20</f>
        <v>#DIV/0!</v>
      </c>
      <c r="I20" s="239" t="e">
        <f t="shared" si="3"/>
        <v>#DIV/0!</v>
      </c>
      <c r="J20" s="36">
        <f>SUM(J6:J19)</f>
        <v>0</v>
      </c>
      <c r="K20" s="37" t="e">
        <f>+J20/C20</f>
        <v>#DIV/0!</v>
      </c>
      <c r="L20" s="36">
        <f>SUM(L6:L19)</f>
        <v>0</v>
      </c>
      <c r="M20" s="38" t="e">
        <f>+L20/C20</f>
        <v>#DIV/0!</v>
      </c>
      <c r="N20" s="38">
        <v>8.7000000000000008E-2</v>
      </c>
      <c r="O20" s="36">
        <f>SUM(O6:O19)</f>
        <v>0</v>
      </c>
      <c r="P20" s="38" t="e">
        <f>+O20/C20</f>
        <v>#DIV/0!</v>
      </c>
    </row>
    <row r="21" spans="1:16" x14ac:dyDescent="0.25">
      <c r="B21" s="39"/>
      <c r="C21" s="40" t="e">
        <f>+C20-"[35]estado!c10"</f>
        <v>#VALUE!</v>
      </c>
      <c r="D21" s="40"/>
      <c r="E21" s="40" t="e">
        <f>+E20-"[35]estado!e10"</f>
        <v>#VALUE!</v>
      </c>
      <c r="F21" s="40"/>
      <c r="G21" s="40" t="e">
        <f>+G20-"[35]estado!g10"</f>
        <v>#VALUE!</v>
      </c>
      <c r="H21" s="40"/>
      <c r="I21" s="40"/>
      <c r="J21" s="40"/>
      <c r="K21" s="40"/>
      <c r="L21" s="40" t="e">
        <f>+L20-"[35]estado!k10"</f>
        <v>#VALUE!</v>
      </c>
      <c r="M21" s="40"/>
      <c r="N21" s="40"/>
      <c r="O21" s="40" t="e">
        <f>+O20-"[35]estado!o10"</f>
        <v>#VALUE!</v>
      </c>
      <c r="P21" s="41"/>
    </row>
    <row r="22" spans="1:16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42"/>
      <c r="P22" s="39"/>
    </row>
    <row r="26" spans="1:16" x14ac:dyDescent="0.25">
      <c r="B26" s="43"/>
      <c r="C26" s="43"/>
      <c r="D26" s="43"/>
    </row>
    <row r="27" spans="1:16" x14ac:dyDescent="0.25">
      <c r="B27" s="43"/>
      <c r="C27" s="43"/>
      <c r="D27" s="43"/>
    </row>
    <row r="28" spans="1:16" x14ac:dyDescent="0.25">
      <c r="B28" s="43"/>
      <c r="C28" s="43"/>
      <c r="D28" s="43"/>
    </row>
    <row r="29" spans="1:16" x14ac:dyDescent="0.25">
      <c r="B29" s="43"/>
      <c r="C29" s="43"/>
      <c r="D29" s="43"/>
    </row>
  </sheetData>
  <sheetProtection selectLockedCells="1" selectUnlockedCells="1"/>
  <mergeCells count="3">
    <mergeCell ref="B1:P1"/>
    <mergeCell ref="B2:P2"/>
    <mergeCell ref="B3:P3"/>
  </mergeCells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topLeftCell="B1" zoomScaleNormal="100" workbookViewId="0"/>
  </sheetViews>
  <sheetFormatPr baseColWidth="10" defaultColWidth="17.5703125" defaultRowHeight="15" x14ac:dyDescent="0.25"/>
  <cols>
    <col min="1" max="1" width="25.140625" style="23" hidden="1" customWidth="1"/>
    <col min="2" max="2" width="14.5703125" style="23" customWidth="1"/>
    <col min="3" max="3" width="20.140625" style="23" customWidth="1"/>
    <col min="4" max="4" width="5" style="23" customWidth="1"/>
    <col min="5" max="5" width="17.42578125" style="23" customWidth="1"/>
    <col min="6" max="6" width="12" style="23" customWidth="1"/>
    <col min="7" max="7" width="19.140625" style="23" customWidth="1"/>
    <col min="8" max="8" width="12" style="23" hidden="1" customWidth="1"/>
    <col min="9" max="9" width="12" style="23" customWidth="1"/>
    <col min="10" max="10" width="14.5703125" style="23" customWidth="1"/>
    <col min="11" max="11" width="8.5703125" style="23" customWidth="1"/>
    <col min="12" max="12" width="20.140625" style="23" customWidth="1"/>
    <col min="13" max="14" width="13.85546875" style="23" customWidth="1"/>
    <col min="15" max="15" width="23.42578125" style="23" customWidth="1"/>
    <col min="16" max="16" width="11.28515625" style="23" customWidth="1"/>
    <col min="17" max="17" width="7.85546875" style="23" customWidth="1"/>
    <col min="18" max="16384" width="17.5703125" style="23"/>
  </cols>
  <sheetData>
    <row r="1" spans="1:18" ht="15.75" x14ac:dyDescent="0.25">
      <c r="B1" s="600" t="s">
        <v>32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</row>
    <row r="2" spans="1:18" ht="15.75" x14ac:dyDescent="0.25">
      <c r="B2" s="600" t="e">
        <f>#N/A</f>
        <v>#N/A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</row>
    <row r="3" spans="1:18" ht="15.75" x14ac:dyDescent="0.25">
      <c r="B3" s="600" t="s">
        <v>33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</row>
    <row r="4" spans="1:18" x14ac:dyDescent="0.25">
      <c r="L4" s="24"/>
    </row>
    <row r="5" spans="1:18" ht="24.75" customHeight="1" x14ac:dyDescent="0.25">
      <c r="A5" s="25"/>
      <c r="B5" s="26" t="s">
        <v>34</v>
      </c>
      <c r="C5" s="27" t="s">
        <v>3</v>
      </c>
      <c r="D5" s="27" t="s">
        <v>35</v>
      </c>
      <c r="E5" s="27" t="s">
        <v>5</v>
      </c>
      <c r="F5" s="27"/>
      <c r="G5" s="27" t="s">
        <v>10</v>
      </c>
      <c r="H5" s="27" t="s">
        <v>36</v>
      </c>
      <c r="I5" s="27"/>
      <c r="J5" s="27" t="s">
        <v>11</v>
      </c>
      <c r="K5" s="27" t="s">
        <v>35</v>
      </c>
      <c r="L5" s="27" t="s">
        <v>12</v>
      </c>
      <c r="M5" s="27" t="s">
        <v>775</v>
      </c>
      <c r="N5" s="27"/>
      <c r="O5" s="27" t="s">
        <v>7</v>
      </c>
      <c r="P5" s="27" t="s">
        <v>689</v>
      </c>
    </row>
    <row r="6" spans="1:18" ht="24.75" customHeight="1" x14ac:dyDescent="0.25">
      <c r="B6" s="28" t="s">
        <v>38</v>
      </c>
      <c r="C6" s="29" t="e">
        <f t="shared" ref="C6:C19" si="0">#N/A</f>
        <v>#N/A</v>
      </c>
      <c r="D6" s="30">
        <f t="shared" ref="D6:D9" si="1">IFERROR(C6/$C$20,0)</f>
        <v>0</v>
      </c>
      <c r="E6" s="29" t="e">
        <f t="shared" ref="E6:E19" si="2">#N/A</f>
        <v>#N/A</v>
      </c>
      <c r="F6" s="31" t="e">
        <f t="shared" ref="F6:F20" si="3">+E6/C6</f>
        <v>#N/A</v>
      </c>
      <c r="G6" s="29" t="e">
        <f t="shared" ref="G6:G19" si="4">#N/A</f>
        <v>#N/A</v>
      </c>
      <c r="H6" s="32">
        <f t="shared" ref="H6:H19" si="5">IFERROR(G6/C6,0)</f>
        <v>0</v>
      </c>
      <c r="I6" s="32" t="e">
        <f t="shared" ref="I6:I20" si="6">+G6/C6</f>
        <v>#N/A</v>
      </c>
      <c r="J6" s="29" t="e">
        <f t="shared" ref="J6:J19" si="7">#N/A</f>
        <v>#N/A</v>
      </c>
      <c r="K6" s="32">
        <f t="shared" ref="K6:K19" si="8">IFERROR(J6/C6,0)</f>
        <v>0</v>
      </c>
      <c r="L6" s="29" t="e">
        <f t="shared" ref="L6:L19" si="9">#N/A</f>
        <v>#N/A</v>
      </c>
      <c r="M6" s="30">
        <f t="shared" ref="M6:M19" si="10">IFERROR(L6/C6,0)</f>
        <v>0</v>
      </c>
      <c r="N6" s="30">
        <v>0.14000000000000001</v>
      </c>
      <c r="O6" s="29" t="e">
        <f t="shared" ref="O6:O19" si="11">#N/A</f>
        <v>#N/A</v>
      </c>
      <c r="P6" s="30">
        <f t="shared" ref="P6:P19" si="12">IFERROR(O6/C6,0)</f>
        <v>0</v>
      </c>
      <c r="Q6" s="43"/>
      <c r="R6" s="20" t="e">
        <f>(+E20+G20+J20+L20)/C20</f>
        <v>#N/A</v>
      </c>
    </row>
    <row r="7" spans="1:18" ht="24.75" customHeight="1" x14ac:dyDescent="0.25">
      <c r="B7" s="28" t="s">
        <v>39</v>
      </c>
      <c r="C7" s="29" t="e">
        <f t="shared" si="0"/>
        <v>#N/A</v>
      </c>
      <c r="D7" s="30">
        <f t="shared" si="1"/>
        <v>0</v>
      </c>
      <c r="E7" s="29" t="e">
        <f t="shared" si="2"/>
        <v>#N/A</v>
      </c>
      <c r="F7" s="31" t="e">
        <f t="shared" si="3"/>
        <v>#N/A</v>
      </c>
      <c r="G7" s="29" t="e">
        <f t="shared" si="4"/>
        <v>#N/A</v>
      </c>
      <c r="H7" s="32">
        <f t="shared" si="5"/>
        <v>0</v>
      </c>
      <c r="I7" s="32" t="e">
        <f t="shared" si="6"/>
        <v>#N/A</v>
      </c>
      <c r="J7" s="29" t="e">
        <f t="shared" si="7"/>
        <v>#N/A</v>
      </c>
      <c r="K7" s="32">
        <f t="shared" si="8"/>
        <v>0</v>
      </c>
      <c r="L7" s="29" t="e">
        <f t="shared" si="9"/>
        <v>#N/A</v>
      </c>
      <c r="M7" s="30">
        <f t="shared" si="10"/>
        <v>0</v>
      </c>
      <c r="N7" s="30">
        <v>0.14000000000000001</v>
      </c>
      <c r="O7" s="29" t="e">
        <f t="shared" si="11"/>
        <v>#N/A</v>
      </c>
      <c r="P7" s="30">
        <f t="shared" si="12"/>
        <v>0</v>
      </c>
      <c r="Q7" s="43"/>
    </row>
    <row r="8" spans="1:18" ht="24.75" customHeight="1" x14ac:dyDescent="0.25">
      <c r="B8" s="28" t="s">
        <v>40</v>
      </c>
      <c r="C8" s="29" t="e">
        <f t="shared" si="0"/>
        <v>#N/A</v>
      </c>
      <c r="D8" s="30">
        <f t="shared" si="1"/>
        <v>0</v>
      </c>
      <c r="E8" s="29" t="e">
        <f t="shared" si="2"/>
        <v>#N/A</v>
      </c>
      <c r="F8" s="31" t="e">
        <f t="shared" si="3"/>
        <v>#N/A</v>
      </c>
      <c r="G8" s="29" t="e">
        <f t="shared" si="4"/>
        <v>#N/A</v>
      </c>
      <c r="H8" s="32">
        <f t="shared" si="5"/>
        <v>0</v>
      </c>
      <c r="I8" s="32" t="e">
        <f t="shared" si="6"/>
        <v>#N/A</v>
      </c>
      <c r="J8" s="29" t="e">
        <f t="shared" si="7"/>
        <v>#N/A</v>
      </c>
      <c r="K8" s="32">
        <f t="shared" si="8"/>
        <v>0</v>
      </c>
      <c r="L8" s="29" t="e">
        <f t="shared" si="9"/>
        <v>#N/A</v>
      </c>
      <c r="M8" s="30">
        <f t="shared" si="10"/>
        <v>0</v>
      </c>
      <c r="N8" s="30">
        <v>7.0000000000000007E-2</v>
      </c>
      <c r="O8" s="29" t="e">
        <f t="shared" si="11"/>
        <v>#N/A</v>
      </c>
      <c r="P8" s="30">
        <f t="shared" si="12"/>
        <v>0</v>
      </c>
    </row>
    <row r="9" spans="1:18" ht="24.75" customHeight="1" x14ac:dyDescent="0.25">
      <c r="B9" s="28" t="s">
        <v>41</v>
      </c>
      <c r="C9" s="29" t="e">
        <f t="shared" si="0"/>
        <v>#N/A</v>
      </c>
      <c r="D9" s="30">
        <f t="shared" si="1"/>
        <v>0</v>
      </c>
      <c r="E9" s="29" t="e">
        <f t="shared" si="2"/>
        <v>#N/A</v>
      </c>
      <c r="F9" s="31" t="e">
        <f t="shared" si="3"/>
        <v>#N/A</v>
      </c>
      <c r="G9" s="29" t="e">
        <f t="shared" si="4"/>
        <v>#N/A</v>
      </c>
      <c r="H9" s="32">
        <f t="shared" si="5"/>
        <v>0</v>
      </c>
      <c r="I9" s="32" t="e">
        <f t="shared" si="6"/>
        <v>#N/A</v>
      </c>
      <c r="J9" s="29" t="e">
        <f t="shared" si="7"/>
        <v>#N/A</v>
      </c>
      <c r="K9" s="32">
        <f t="shared" si="8"/>
        <v>0</v>
      </c>
      <c r="L9" s="29" t="e">
        <f t="shared" si="9"/>
        <v>#N/A</v>
      </c>
      <c r="M9" s="30">
        <f t="shared" si="10"/>
        <v>0</v>
      </c>
      <c r="N9" s="30">
        <v>0.16</v>
      </c>
      <c r="O9" s="29" t="e">
        <f t="shared" si="11"/>
        <v>#N/A</v>
      </c>
      <c r="P9" s="30">
        <f t="shared" si="12"/>
        <v>0</v>
      </c>
    </row>
    <row r="10" spans="1:18" ht="24.75" customHeight="1" x14ac:dyDescent="0.25">
      <c r="B10" s="28" t="s">
        <v>42</v>
      </c>
      <c r="C10" s="29" t="e">
        <f t="shared" si="0"/>
        <v>#N/A</v>
      </c>
      <c r="D10" s="30"/>
      <c r="E10" s="29" t="e">
        <f t="shared" si="2"/>
        <v>#N/A</v>
      </c>
      <c r="F10" s="31" t="e">
        <f t="shared" si="3"/>
        <v>#N/A</v>
      </c>
      <c r="G10" s="29" t="e">
        <f t="shared" si="4"/>
        <v>#N/A</v>
      </c>
      <c r="H10" s="32">
        <f t="shared" si="5"/>
        <v>0</v>
      </c>
      <c r="I10" s="32" t="e">
        <f t="shared" si="6"/>
        <v>#N/A</v>
      </c>
      <c r="J10" s="29" t="e">
        <f t="shared" si="7"/>
        <v>#N/A</v>
      </c>
      <c r="K10" s="32">
        <f t="shared" si="8"/>
        <v>0</v>
      </c>
      <c r="L10" s="29" t="e">
        <f t="shared" si="9"/>
        <v>#N/A</v>
      </c>
      <c r="M10" s="30">
        <f t="shared" si="10"/>
        <v>0</v>
      </c>
      <c r="N10" s="30">
        <v>0.1</v>
      </c>
      <c r="O10" s="29" t="e">
        <f t="shared" si="11"/>
        <v>#N/A</v>
      </c>
      <c r="P10" s="30">
        <f t="shared" si="12"/>
        <v>0</v>
      </c>
    </row>
    <row r="11" spans="1:18" ht="24.75" customHeight="1" x14ac:dyDescent="0.25">
      <c r="B11" s="28" t="s">
        <v>43</v>
      </c>
      <c r="C11" s="29" t="e">
        <f t="shared" si="0"/>
        <v>#N/A</v>
      </c>
      <c r="D11" s="30"/>
      <c r="E11" s="29" t="e">
        <f t="shared" si="2"/>
        <v>#N/A</v>
      </c>
      <c r="F11" s="31" t="e">
        <f t="shared" si="3"/>
        <v>#N/A</v>
      </c>
      <c r="G11" s="29" t="e">
        <f t="shared" si="4"/>
        <v>#N/A</v>
      </c>
      <c r="H11" s="32">
        <f t="shared" si="5"/>
        <v>0</v>
      </c>
      <c r="I11" s="32" t="e">
        <f t="shared" si="6"/>
        <v>#N/A</v>
      </c>
      <c r="J11" s="29" t="e">
        <f t="shared" si="7"/>
        <v>#N/A</v>
      </c>
      <c r="K11" s="32">
        <f t="shared" si="8"/>
        <v>0</v>
      </c>
      <c r="L11" s="29" t="e">
        <f t="shared" si="9"/>
        <v>#N/A</v>
      </c>
      <c r="M11" s="30">
        <f t="shared" si="10"/>
        <v>0</v>
      </c>
      <c r="N11" s="30">
        <v>0.11</v>
      </c>
      <c r="O11" s="29" t="e">
        <f t="shared" si="11"/>
        <v>#N/A</v>
      </c>
      <c r="P11" s="30">
        <f t="shared" si="12"/>
        <v>0</v>
      </c>
    </row>
    <row r="12" spans="1:18" ht="24.75" customHeight="1" x14ac:dyDescent="0.25">
      <c r="B12" s="28" t="s">
        <v>44</v>
      </c>
      <c r="C12" s="29" t="e">
        <f t="shared" si="0"/>
        <v>#N/A</v>
      </c>
      <c r="D12" s="30"/>
      <c r="E12" s="29" t="e">
        <f t="shared" si="2"/>
        <v>#N/A</v>
      </c>
      <c r="F12" s="31" t="e">
        <f t="shared" si="3"/>
        <v>#N/A</v>
      </c>
      <c r="G12" s="29" t="e">
        <f t="shared" si="4"/>
        <v>#N/A</v>
      </c>
      <c r="H12" s="32">
        <f t="shared" si="5"/>
        <v>0</v>
      </c>
      <c r="I12" s="32" t="e">
        <f t="shared" si="6"/>
        <v>#N/A</v>
      </c>
      <c r="J12" s="29" t="e">
        <f t="shared" si="7"/>
        <v>#N/A</v>
      </c>
      <c r="K12" s="32">
        <f t="shared" si="8"/>
        <v>0</v>
      </c>
      <c r="L12" s="29" t="e">
        <f t="shared" si="9"/>
        <v>#N/A</v>
      </c>
      <c r="M12" s="30">
        <f t="shared" si="10"/>
        <v>0</v>
      </c>
      <c r="N12" s="30">
        <v>0.15</v>
      </c>
      <c r="O12" s="29" t="e">
        <f t="shared" si="11"/>
        <v>#N/A</v>
      </c>
      <c r="P12" s="30">
        <f t="shared" si="12"/>
        <v>0</v>
      </c>
    </row>
    <row r="13" spans="1:18" ht="24.75" customHeight="1" x14ac:dyDescent="0.25">
      <c r="B13" s="28" t="s">
        <v>45</v>
      </c>
      <c r="C13" s="29" t="e">
        <f t="shared" si="0"/>
        <v>#N/A</v>
      </c>
      <c r="D13" s="30"/>
      <c r="E13" s="29" t="e">
        <f t="shared" si="2"/>
        <v>#N/A</v>
      </c>
      <c r="F13" s="31" t="e">
        <f t="shared" si="3"/>
        <v>#N/A</v>
      </c>
      <c r="G13" s="29" t="e">
        <f t="shared" si="4"/>
        <v>#N/A</v>
      </c>
      <c r="H13" s="32">
        <f t="shared" si="5"/>
        <v>0</v>
      </c>
      <c r="I13" s="32" t="e">
        <f t="shared" si="6"/>
        <v>#N/A</v>
      </c>
      <c r="J13" s="29" t="e">
        <f t="shared" si="7"/>
        <v>#N/A</v>
      </c>
      <c r="K13" s="32">
        <f t="shared" si="8"/>
        <v>0</v>
      </c>
      <c r="L13" s="29" t="e">
        <f t="shared" si="9"/>
        <v>#N/A</v>
      </c>
      <c r="M13" s="30">
        <f t="shared" si="10"/>
        <v>0</v>
      </c>
      <c r="N13" s="30">
        <v>0.16</v>
      </c>
      <c r="O13" s="29" t="e">
        <f t="shared" si="11"/>
        <v>#N/A</v>
      </c>
      <c r="P13" s="30">
        <f t="shared" si="12"/>
        <v>0</v>
      </c>
    </row>
    <row r="14" spans="1:18" ht="24.75" customHeight="1" x14ac:dyDescent="0.25">
      <c r="B14" s="28" t="s">
        <v>46</v>
      </c>
      <c r="C14" s="29" t="e">
        <f t="shared" si="0"/>
        <v>#N/A</v>
      </c>
      <c r="D14" s="30"/>
      <c r="E14" s="29" t="e">
        <f t="shared" si="2"/>
        <v>#N/A</v>
      </c>
      <c r="F14" s="31" t="e">
        <f t="shared" si="3"/>
        <v>#N/A</v>
      </c>
      <c r="G14" s="29" t="e">
        <f t="shared" si="4"/>
        <v>#N/A</v>
      </c>
      <c r="H14" s="32">
        <f t="shared" si="5"/>
        <v>0</v>
      </c>
      <c r="I14" s="32" t="e">
        <f t="shared" si="6"/>
        <v>#N/A</v>
      </c>
      <c r="J14" s="29" t="e">
        <f t="shared" si="7"/>
        <v>#N/A</v>
      </c>
      <c r="K14" s="32">
        <f t="shared" si="8"/>
        <v>0</v>
      </c>
      <c r="L14" s="29" t="e">
        <f t="shared" si="9"/>
        <v>#N/A</v>
      </c>
      <c r="M14" s="30">
        <f t="shared" si="10"/>
        <v>0</v>
      </c>
      <c r="N14" s="30">
        <v>0.18</v>
      </c>
      <c r="O14" s="29" t="e">
        <f t="shared" si="11"/>
        <v>#N/A</v>
      </c>
      <c r="P14" s="30">
        <f t="shared" si="12"/>
        <v>0</v>
      </c>
    </row>
    <row r="15" spans="1:18" ht="24.75" customHeight="1" x14ac:dyDescent="0.25">
      <c r="B15" s="28" t="s">
        <v>47</v>
      </c>
      <c r="C15" s="29" t="e">
        <f t="shared" si="0"/>
        <v>#N/A</v>
      </c>
      <c r="D15" s="30"/>
      <c r="E15" s="29" t="e">
        <f t="shared" si="2"/>
        <v>#N/A</v>
      </c>
      <c r="F15" s="31" t="e">
        <f t="shared" si="3"/>
        <v>#N/A</v>
      </c>
      <c r="G15" s="29" t="e">
        <f t="shared" si="4"/>
        <v>#N/A</v>
      </c>
      <c r="H15" s="32">
        <f t="shared" si="5"/>
        <v>0</v>
      </c>
      <c r="I15" s="32" t="e">
        <f t="shared" si="6"/>
        <v>#N/A</v>
      </c>
      <c r="J15" s="29" t="e">
        <f t="shared" si="7"/>
        <v>#N/A</v>
      </c>
      <c r="K15" s="32">
        <f t="shared" si="8"/>
        <v>0</v>
      </c>
      <c r="L15" s="29" t="e">
        <f t="shared" si="9"/>
        <v>#N/A</v>
      </c>
      <c r="M15" s="30">
        <f t="shared" si="10"/>
        <v>0</v>
      </c>
      <c r="N15" s="30">
        <v>0.01</v>
      </c>
      <c r="O15" s="29" t="e">
        <f t="shared" si="11"/>
        <v>#N/A</v>
      </c>
      <c r="P15" s="30">
        <f t="shared" si="12"/>
        <v>0</v>
      </c>
    </row>
    <row r="16" spans="1:18" ht="24.75" customHeight="1" x14ac:dyDescent="0.25">
      <c r="B16" s="28" t="s">
        <v>48</v>
      </c>
      <c r="C16" s="29" t="e">
        <f t="shared" si="0"/>
        <v>#N/A</v>
      </c>
      <c r="D16" s="30"/>
      <c r="E16" s="29" t="e">
        <f t="shared" si="2"/>
        <v>#N/A</v>
      </c>
      <c r="F16" s="31" t="e">
        <f t="shared" si="3"/>
        <v>#N/A</v>
      </c>
      <c r="G16" s="29" t="e">
        <f t="shared" si="4"/>
        <v>#N/A</v>
      </c>
      <c r="H16" s="32">
        <f t="shared" si="5"/>
        <v>0</v>
      </c>
      <c r="I16" s="32" t="e">
        <f t="shared" si="6"/>
        <v>#N/A</v>
      </c>
      <c r="J16" s="29" t="e">
        <f t="shared" si="7"/>
        <v>#N/A</v>
      </c>
      <c r="K16" s="32">
        <f t="shared" si="8"/>
        <v>0</v>
      </c>
      <c r="L16" s="29" t="e">
        <f t="shared" si="9"/>
        <v>#N/A</v>
      </c>
      <c r="M16" s="30">
        <f t="shared" si="10"/>
        <v>0</v>
      </c>
      <c r="N16" s="30">
        <v>0.15</v>
      </c>
      <c r="O16" s="29" t="e">
        <f t="shared" si="11"/>
        <v>#N/A</v>
      </c>
      <c r="P16" s="30">
        <f t="shared" si="12"/>
        <v>0</v>
      </c>
    </row>
    <row r="17" spans="1:16" ht="24.75" customHeight="1" x14ac:dyDescent="0.25">
      <c r="B17" s="28" t="s">
        <v>49</v>
      </c>
      <c r="C17" s="29" t="e">
        <f t="shared" si="0"/>
        <v>#N/A</v>
      </c>
      <c r="D17" s="30"/>
      <c r="E17" s="29" t="e">
        <f t="shared" si="2"/>
        <v>#N/A</v>
      </c>
      <c r="F17" s="31" t="e">
        <f t="shared" si="3"/>
        <v>#N/A</v>
      </c>
      <c r="G17" s="29" t="e">
        <f t="shared" si="4"/>
        <v>#N/A</v>
      </c>
      <c r="H17" s="32">
        <f t="shared" si="5"/>
        <v>0</v>
      </c>
      <c r="I17" s="32" t="e">
        <f t="shared" si="6"/>
        <v>#N/A</v>
      </c>
      <c r="J17" s="29" t="e">
        <f t="shared" si="7"/>
        <v>#N/A</v>
      </c>
      <c r="K17" s="32">
        <f t="shared" si="8"/>
        <v>0</v>
      </c>
      <c r="L17" s="29" t="e">
        <f t="shared" si="9"/>
        <v>#N/A</v>
      </c>
      <c r="M17" s="30">
        <f t="shared" si="10"/>
        <v>0</v>
      </c>
      <c r="N17" s="30">
        <v>0.19</v>
      </c>
      <c r="O17" s="29" t="e">
        <f t="shared" si="11"/>
        <v>#N/A</v>
      </c>
      <c r="P17" s="30">
        <f t="shared" si="12"/>
        <v>0</v>
      </c>
    </row>
    <row r="18" spans="1:16" ht="24.75" customHeight="1" x14ac:dyDescent="0.25">
      <c r="B18" s="28" t="s">
        <v>50</v>
      </c>
      <c r="C18" s="29" t="e">
        <f t="shared" si="0"/>
        <v>#N/A</v>
      </c>
      <c r="D18" s="30"/>
      <c r="E18" s="29" t="e">
        <f t="shared" si="2"/>
        <v>#N/A</v>
      </c>
      <c r="F18" s="31" t="e">
        <f t="shared" si="3"/>
        <v>#N/A</v>
      </c>
      <c r="G18" s="29" t="e">
        <f t="shared" si="4"/>
        <v>#N/A</v>
      </c>
      <c r="H18" s="32">
        <f t="shared" si="5"/>
        <v>0</v>
      </c>
      <c r="I18" s="32" t="e">
        <f t="shared" si="6"/>
        <v>#N/A</v>
      </c>
      <c r="J18" s="29" t="e">
        <f t="shared" si="7"/>
        <v>#N/A</v>
      </c>
      <c r="K18" s="32">
        <f t="shared" si="8"/>
        <v>0</v>
      </c>
      <c r="L18" s="29" t="e">
        <f t="shared" si="9"/>
        <v>#N/A</v>
      </c>
      <c r="M18" s="30">
        <f t="shared" si="10"/>
        <v>0</v>
      </c>
      <c r="N18" s="30">
        <v>0.2</v>
      </c>
      <c r="O18" s="29" t="e">
        <f t="shared" si="11"/>
        <v>#N/A</v>
      </c>
      <c r="P18" s="30">
        <f t="shared" si="12"/>
        <v>0</v>
      </c>
    </row>
    <row r="19" spans="1:16" ht="24.75" customHeight="1" x14ac:dyDescent="0.25">
      <c r="B19" s="28" t="s">
        <v>51</v>
      </c>
      <c r="C19" s="29" t="e">
        <f t="shared" si="0"/>
        <v>#N/A</v>
      </c>
      <c r="D19" s="30">
        <f>IFERROR(C19/$C$20,0)</f>
        <v>0</v>
      </c>
      <c r="E19" s="29" t="e">
        <f t="shared" si="2"/>
        <v>#N/A</v>
      </c>
      <c r="F19" s="31" t="e">
        <f t="shared" si="3"/>
        <v>#N/A</v>
      </c>
      <c r="G19" s="29" t="e">
        <f t="shared" si="4"/>
        <v>#N/A</v>
      </c>
      <c r="H19" s="32">
        <f t="shared" si="5"/>
        <v>0</v>
      </c>
      <c r="I19" s="32" t="e">
        <f t="shared" si="6"/>
        <v>#N/A</v>
      </c>
      <c r="J19" s="29" t="e">
        <f t="shared" si="7"/>
        <v>#N/A</v>
      </c>
      <c r="K19" s="32">
        <f t="shared" si="8"/>
        <v>0</v>
      </c>
      <c r="L19" s="29" t="e">
        <f t="shared" si="9"/>
        <v>#N/A</v>
      </c>
      <c r="M19" s="30">
        <f t="shared" si="10"/>
        <v>0</v>
      </c>
      <c r="N19" s="30">
        <v>0.19</v>
      </c>
      <c r="O19" s="29" t="e">
        <f t="shared" si="11"/>
        <v>#N/A</v>
      </c>
      <c r="P19" s="30">
        <f t="shared" si="12"/>
        <v>0</v>
      </c>
    </row>
    <row r="20" spans="1:16" ht="24.75" customHeight="1" x14ac:dyDescent="0.25">
      <c r="A20" s="25"/>
      <c r="B20" s="35" t="s">
        <v>23</v>
      </c>
      <c r="C20" s="36" t="e">
        <f>SUM(C6:C19)</f>
        <v>#N/A</v>
      </c>
      <c r="D20" s="37"/>
      <c r="E20" s="36" t="e">
        <f>SUM(E6:E19)</f>
        <v>#N/A</v>
      </c>
      <c r="F20" s="37" t="e">
        <f t="shared" si="3"/>
        <v>#N/A</v>
      </c>
      <c r="G20" s="36" t="e">
        <f>SUM(G6:G19)</f>
        <v>#N/A</v>
      </c>
      <c r="H20" s="37" t="e">
        <f>+G20/C20</f>
        <v>#N/A</v>
      </c>
      <c r="I20" s="239" t="e">
        <f t="shared" si="6"/>
        <v>#N/A</v>
      </c>
      <c r="J20" s="36" t="e">
        <f>SUM(J6:J19)</f>
        <v>#N/A</v>
      </c>
      <c r="K20" s="37" t="e">
        <f>+J20/C20</f>
        <v>#N/A</v>
      </c>
      <c r="L20" s="36" t="e">
        <f>SUM(L6:L19)</f>
        <v>#N/A</v>
      </c>
      <c r="M20" s="38" t="e">
        <f>+L20/C20</f>
        <v>#N/A</v>
      </c>
      <c r="N20" s="38">
        <v>0.14300000000000002</v>
      </c>
      <c r="O20" s="36" t="e">
        <f>SUM(O6:O19)</f>
        <v>#N/A</v>
      </c>
      <c r="P20" s="38" t="e">
        <f>+O20/C20</f>
        <v>#N/A</v>
      </c>
    </row>
    <row r="21" spans="1:16" x14ac:dyDescent="0.25">
      <c r="B21" s="39"/>
      <c r="C21" s="40" t="e">
        <f>#N/A</f>
        <v>#N/A</v>
      </c>
      <c r="D21" s="40"/>
      <c r="E21" s="40" t="e">
        <f>#N/A</f>
        <v>#N/A</v>
      </c>
      <c r="F21" s="40"/>
      <c r="G21" s="40" t="e">
        <f>#N/A</f>
        <v>#N/A</v>
      </c>
      <c r="H21" s="40"/>
      <c r="I21" s="40"/>
      <c r="J21" s="40"/>
      <c r="K21" s="40"/>
      <c r="L21" s="40" t="e">
        <f>#N/A</f>
        <v>#N/A</v>
      </c>
      <c r="M21" s="40"/>
      <c r="N21" s="40"/>
      <c r="O21" s="40" t="e">
        <f>#N/A</f>
        <v>#N/A</v>
      </c>
      <c r="P21" s="41"/>
    </row>
    <row r="22" spans="1:16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42"/>
      <c r="P22" s="39"/>
    </row>
    <row r="26" spans="1:16" x14ac:dyDescent="0.25">
      <c r="B26" s="43"/>
      <c r="C26" s="43"/>
      <c r="D26" s="43"/>
    </row>
    <row r="27" spans="1:16" x14ac:dyDescent="0.25">
      <c r="B27" s="43"/>
      <c r="C27" s="43"/>
      <c r="D27" s="43"/>
    </row>
    <row r="28" spans="1:16" x14ac:dyDescent="0.25">
      <c r="B28" s="43"/>
      <c r="C28" s="43"/>
      <c r="D28" s="43"/>
    </row>
    <row r="29" spans="1:16" x14ac:dyDescent="0.25">
      <c r="B29" s="43"/>
      <c r="C29" s="43"/>
      <c r="D29" s="43"/>
    </row>
  </sheetData>
  <sheetProtection selectLockedCells="1" selectUnlockedCells="1"/>
  <mergeCells count="3">
    <mergeCell ref="B1:P1"/>
    <mergeCell ref="B2:P2"/>
    <mergeCell ref="B3:P3"/>
  </mergeCells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topLeftCell="B1" zoomScaleNormal="100" workbookViewId="0"/>
  </sheetViews>
  <sheetFormatPr baseColWidth="10" defaultColWidth="17.5703125" defaultRowHeight="15" x14ac:dyDescent="0.25"/>
  <cols>
    <col min="1" max="1" width="25.140625" style="23" hidden="1" customWidth="1"/>
    <col min="2" max="2" width="14.5703125" style="23" customWidth="1"/>
    <col min="3" max="3" width="20.140625" style="23" customWidth="1"/>
    <col min="4" max="4" width="5" style="23" customWidth="1"/>
    <col min="5" max="5" width="17.42578125" style="23" customWidth="1"/>
    <col min="6" max="6" width="12" style="23" customWidth="1"/>
    <col min="7" max="7" width="19.140625" style="23" customWidth="1"/>
    <col min="8" max="9" width="12" style="23" customWidth="1"/>
    <col min="10" max="10" width="14.5703125" style="23" customWidth="1"/>
    <col min="11" max="11" width="8.5703125" style="23" customWidth="1"/>
    <col min="12" max="12" width="20.140625" style="23" customWidth="1"/>
    <col min="13" max="14" width="13.85546875" style="23" customWidth="1"/>
    <col min="15" max="15" width="23.42578125" style="23" customWidth="1"/>
    <col min="16" max="16" width="11.28515625" style="23" customWidth="1"/>
    <col min="17" max="17" width="7.85546875" style="23" customWidth="1"/>
    <col min="18" max="16384" width="17.5703125" style="23"/>
  </cols>
  <sheetData>
    <row r="1" spans="1:18" ht="15.75" x14ac:dyDescent="0.25">
      <c r="B1" s="600" t="s">
        <v>32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</row>
    <row r="2" spans="1:18" ht="15.75" x14ac:dyDescent="0.25">
      <c r="B2" s="600" t="e">
        <f>#N/A</f>
        <v>#N/A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</row>
    <row r="3" spans="1:18" ht="15.75" x14ac:dyDescent="0.25">
      <c r="B3" s="600" t="s">
        <v>33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</row>
    <row r="4" spans="1:18" x14ac:dyDescent="0.25">
      <c r="L4" s="24"/>
    </row>
    <row r="5" spans="1:18" ht="24.75" customHeight="1" x14ac:dyDescent="0.25">
      <c r="A5" s="25"/>
      <c r="B5" s="26" t="s">
        <v>34</v>
      </c>
      <c r="C5" s="27" t="s">
        <v>3</v>
      </c>
      <c r="D5" s="27" t="s">
        <v>35</v>
      </c>
      <c r="E5" s="27" t="s">
        <v>5</v>
      </c>
      <c r="F5" s="27"/>
      <c r="G5" s="27" t="s">
        <v>10</v>
      </c>
      <c r="H5" s="27" t="s">
        <v>36</v>
      </c>
      <c r="I5" s="27"/>
      <c r="J5" s="27" t="s">
        <v>11</v>
      </c>
      <c r="K5" s="27" t="s">
        <v>35</v>
      </c>
      <c r="L5" s="27" t="s">
        <v>12</v>
      </c>
      <c r="M5" s="27" t="s">
        <v>775</v>
      </c>
      <c r="N5" s="27"/>
      <c r="O5" s="27" t="s">
        <v>7</v>
      </c>
      <c r="P5" s="27" t="s">
        <v>689</v>
      </c>
    </row>
    <row r="6" spans="1:18" ht="24.75" customHeight="1" x14ac:dyDescent="0.25">
      <c r="B6" s="28" t="s">
        <v>38</v>
      </c>
      <c r="C6" s="29" t="e">
        <f t="shared" ref="C6:C19" si="0">#N/A</f>
        <v>#N/A</v>
      </c>
      <c r="D6" s="30">
        <f t="shared" ref="D6:D19" si="1">IFERROR(C6/$C$20,0)</f>
        <v>0</v>
      </c>
      <c r="E6" s="29" t="e">
        <f t="shared" ref="E6:E19" si="2">#N/A</f>
        <v>#N/A</v>
      </c>
      <c r="F6" s="31" t="e">
        <f t="shared" ref="F6:F20" si="3">+E6/C6</f>
        <v>#N/A</v>
      </c>
      <c r="G6" s="29" t="e">
        <f t="shared" ref="G6:G19" si="4">#N/A</f>
        <v>#N/A</v>
      </c>
      <c r="H6" s="32">
        <f t="shared" ref="H6:H19" si="5">IFERROR(G6/C6,0)</f>
        <v>0</v>
      </c>
      <c r="I6" s="32" t="e">
        <f t="shared" ref="I6:I20" si="6">+G6/C6</f>
        <v>#N/A</v>
      </c>
      <c r="J6" s="29" t="e">
        <f t="shared" ref="J6:J19" si="7">#N/A</f>
        <v>#N/A</v>
      </c>
      <c r="K6" s="32">
        <f t="shared" ref="K6:K19" si="8">IFERROR(J6/C6,0)</f>
        <v>0</v>
      </c>
      <c r="L6" s="29" t="e">
        <f t="shared" ref="L6:L19" si="9">#N/A</f>
        <v>#N/A</v>
      </c>
      <c r="M6" s="30">
        <f t="shared" ref="M6:M19" si="10">IFERROR(L6/C6,0)</f>
        <v>0</v>
      </c>
      <c r="N6" s="30">
        <v>0.21</v>
      </c>
      <c r="O6" s="29" t="e">
        <f t="shared" ref="O6:O19" si="11">#N/A</f>
        <v>#N/A</v>
      </c>
      <c r="P6" s="30">
        <f t="shared" ref="P6:P19" si="12">IFERROR(O6/C6,0)</f>
        <v>0</v>
      </c>
      <c r="Q6" s="43"/>
      <c r="R6" s="20" t="e">
        <f>(+E20+G20+J20+L20)/C20</f>
        <v>#N/A</v>
      </c>
    </row>
    <row r="7" spans="1:18" ht="24.75" customHeight="1" x14ac:dyDescent="0.25">
      <c r="B7" s="28" t="s">
        <v>39</v>
      </c>
      <c r="C7" s="29" t="e">
        <f t="shared" si="0"/>
        <v>#N/A</v>
      </c>
      <c r="D7" s="30">
        <f t="shared" si="1"/>
        <v>0</v>
      </c>
      <c r="E7" s="29" t="e">
        <f t="shared" si="2"/>
        <v>#N/A</v>
      </c>
      <c r="F7" s="31" t="e">
        <f t="shared" si="3"/>
        <v>#N/A</v>
      </c>
      <c r="G7" s="29" t="e">
        <f t="shared" si="4"/>
        <v>#N/A</v>
      </c>
      <c r="H7" s="32">
        <f t="shared" si="5"/>
        <v>0</v>
      </c>
      <c r="I7" s="32" t="e">
        <f t="shared" si="6"/>
        <v>#N/A</v>
      </c>
      <c r="J7" s="29" t="e">
        <f t="shared" si="7"/>
        <v>#N/A</v>
      </c>
      <c r="K7" s="32">
        <f t="shared" si="8"/>
        <v>0</v>
      </c>
      <c r="L7" s="29" t="e">
        <f t="shared" si="9"/>
        <v>#N/A</v>
      </c>
      <c r="M7" s="30">
        <f t="shared" si="10"/>
        <v>0</v>
      </c>
      <c r="N7" s="30">
        <v>0.21</v>
      </c>
      <c r="O7" s="29" t="e">
        <f t="shared" si="11"/>
        <v>#N/A</v>
      </c>
      <c r="P7" s="30">
        <f t="shared" si="12"/>
        <v>0</v>
      </c>
      <c r="Q7" s="43"/>
    </row>
    <row r="8" spans="1:18" ht="24.75" customHeight="1" x14ac:dyDescent="0.25">
      <c r="B8" s="28" t="s">
        <v>40</v>
      </c>
      <c r="C8" s="29" t="e">
        <f t="shared" si="0"/>
        <v>#N/A</v>
      </c>
      <c r="D8" s="30">
        <f t="shared" si="1"/>
        <v>0</v>
      </c>
      <c r="E8" s="29" t="e">
        <f t="shared" si="2"/>
        <v>#N/A</v>
      </c>
      <c r="F8" s="31" t="e">
        <f t="shared" si="3"/>
        <v>#N/A</v>
      </c>
      <c r="G8" s="29" t="e">
        <f t="shared" si="4"/>
        <v>#N/A</v>
      </c>
      <c r="H8" s="32">
        <f t="shared" si="5"/>
        <v>0</v>
      </c>
      <c r="I8" s="32" t="e">
        <f t="shared" si="6"/>
        <v>#N/A</v>
      </c>
      <c r="J8" s="29" t="e">
        <f t="shared" si="7"/>
        <v>#N/A</v>
      </c>
      <c r="K8" s="32">
        <f t="shared" si="8"/>
        <v>0</v>
      </c>
      <c r="L8" s="29" t="e">
        <f t="shared" si="9"/>
        <v>#N/A</v>
      </c>
      <c r="M8" s="30">
        <f t="shared" si="10"/>
        <v>0</v>
      </c>
      <c r="N8" s="30">
        <v>0.13</v>
      </c>
      <c r="O8" s="29" t="e">
        <f t="shared" si="11"/>
        <v>#N/A</v>
      </c>
      <c r="P8" s="30">
        <f t="shared" si="12"/>
        <v>0</v>
      </c>
    </row>
    <row r="9" spans="1:18" ht="24.75" customHeight="1" x14ac:dyDescent="0.25">
      <c r="B9" s="28" t="s">
        <v>41</v>
      </c>
      <c r="C9" s="29" t="e">
        <f t="shared" si="0"/>
        <v>#N/A</v>
      </c>
      <c r="D9" s="30">
        <f t="shared" si="1"/>
        <v>0</v>
      </c>
      <c r="E9" s="29" t="e">
        <f t="shared" si="2"/>
        <v>#N/A</v>
      </c>
      <c r="F9" s="31" t="e">
        <f t="shared" si="3"/>
        <v>#N/A</v>
      </c>
      <c r="G9" s="29" t="e">
        <f t="shared" si="4"/>
        <v>#N/A</v>
      </c>
      <c r="H9" s="32">
        <f t="shared" si="5"/>
        <v>0</v>
      </c>
      <c r="I9" s="32" t="e">
        <f t="shared" si="6"/>
        <v>#N/A</v>
      </c>
      <c r="J9" s="29" t="e">
        <f t="shared" si="7"/>
        <v>#N/A</v>
      </c>
      <c r="K9" s="32">
        <f t="shared" si="8"/>
        <v>0</v>
      </c>
      <c r="L9" s="29" t="e">
        <f t="shared" si="9"/>
        <v>#N/A</v>
      </c>
      <c r="M9" s="30">
        <f t="shared" si="10"/>
        <v>0</v>
      </c>
      <c r="N9" s="30">
        <v>0.23</v>
      </c>
      <c r="O9" s="29" t="e">
        <f t="shared" si="11"/>
        <v>#N/A</v>
      </c>
      <c r="P9" s="30">
        <f t="shared" si="12"/>
        <v>0</v>
      </c>
    </row>
    <row r="10" spans="1:18" ht="24.75" customHeight="1" x14ac:dyDescent="0.25">
      <c r="B10" s="28" t="s">
        <v>42</v>
      </c>
      <c r="C10" s="29" t="e">
        <f t="shared" si="0"/>
        <v>#N/A</v>
      </c>
      <c r="D10" s="30">
        <f t="shared" si="1"/>
        <v>0</v>
      </c>
      <c r="E10" s="29" t="e">
        <f t="shared" si="2"/>
        <v>#N/A</v>
      </c>
      <c r="F10" s="31" t="e">
        <f t="shared" si="3"/>
        <v>#N/A</v>
      </c>
      <c r="G10" s="29" t="e">
        <f t="shared" si="4"/>
        <v>#N/A</v>
      </c>
      <c r="H10" s="32">
        <f t="shared" si="5"/>
        <v>0</v>
      </c>
      <c r="I10" s="32" t="e">
        <f t="shared" si="6"/>
        <v>#N/A</v>
      </c>
      <c r="J10" s="29" t="e">
        <f t="shared" si="7"/>
        <v>#N/A</v>
      </c>
      <c r="K10" s="32">
        <f t="shared" si="8"/>
        <v>0</v>
      </c>
      <c r="L10" s="29" t="e">
        <f t="shared" si="9"/>
        <v>#N/A</v>
      </c>
      <c r="M10" s="30">
        <f t="shared" si="10"/>
        <v>0</v>
      </c>
      <c r="N10" s="30">
        <v>0.19</v>
      </c>
      <c r="O10" s="29" t="e">
        <f t="shared" si="11"/>
        <v>#N/A</v>
      </c>
      <c r="P10" s="30">
        <f t="shared" si="12"/>
        <v>0</v>
      </c>
    </row>
    <row r="11" spans="1:18" ht="24.75" customHeight="1" x14ac:dyDescent="0.25">
      <c r="B11" s="28" t="s">
        <v>43</v>
      </c>
      <c r="C11" s="29" t="e">
        <f t="shared" si="0"/>
        <v>#N/A</v>
      </c>
      <c r="D11" s="30">
        <f t="shared" si="1"/>
        <v>0</v>
      </c>
      <c r="E11" s="29" t="e">
        <f t="shared" si="2"/>
        <v>#N/A</v>
      </c>
      <c r="F11" s="31" t="e">
        <f t="shared" si="3"/>
        <v>#N/A</v>
      </c>
      <c r="G11" s="29" t="e">
        <f t="shared" si="4"/>
        <v>#N/A</v>
      </c>
      <c r="H11" s="32">
        <f t="shared" si="5"/>
        <v>0</v>
      </c>
      <c r="I11" s="32" t="e">
        <f t="shared" si="6"/>
        <v>#N/A</v>
      </c>
      <c r="J11" s="29" t="e">
        <f t="shared" si="7"/>
        <v>#N/A</v>
      </c>
      <c r="K11" s="32">
        <f t="shared" si="8"/>
        <v>0</v>
      </c>
      <c r="L11" s="29" t="e">
        <f t="shared" si="9"/>
        <v>#N/A</v>
      </c>
      <c r="M11" s="30">
        <f t="shared" si="10"/>
        <v>0</v>
      </c>
      <c r="N11" s="30">
        <v>0.18</v>
      </c>
      <c r="O11" s="29" t="e">
        <f t="shared" si="11"/>
        <v>#N/A</v>
      </c>
      <c r="P11" s="30">
        <f t="shared" si="12"/>
        <v>0</v>
      </c>
    </row>
    <row r="12" spans="1:18" ht="24.75" customHeight="1" x14ac:dyDescent="0.25">
      <c r="B12" s="28" t="s">
        <v>44</v>
      </c>
      <c r="C12" s="29" t="e">
        <f t="shared" si="0"/>
        <v>#N/A</v>
      </c>
      <c r="D12" s="30">
        <f t="shared" si="1"/>
        <v>0</v>
      </c>
      <c r="E12" s="29" t="e">
        <f t="shared" si="2"/>
        <v>#N/A</v>
      </c>
      <c r="F12" s="31" t="e">
        <f t="shared" si="3"/>
        <v>#N/A</v>
      </c>
      <c r="G12" s="29" t="e">
        <f t="shared" si="4"/>
        <v>#N/A</v>
      </c>
      <c r="H12" s="32">
        <f t="shared" si="5"/>
        <v>0</v>
      </c>
      <c r="I12" s="32" t="e">
        <f t="shared" si="6"/>
        <v>#N/A</v>
      </c>
      <c r="J12" s="29" t="e">
        <f t="shared" si="7"/>
        <v>#N/A</v>
      </c>
      <c r="K12" s="32">
        <f t="shared" si="8"/>
        <v>0</v>
      </c>
      <c r="L12" s="29" t="e">
        <f t="shared" si="9"/>
        <v>#N/A</v>
      </c>
      <c r="M12" s="30">
        <f t="shared" si="10"/>
        <v>0</v>
      </c>
      <c r="N12" s="30">
        <v>0.23</v>
      </c>
      <c r="O12" s="29" t="e">
        <f t="shared" si="11"/>
        <v>#N/A</v>
      </c>
      <c r="P12" s="30">
        <f t="shared" si="12"/>
        <v>0</v>
      </c>
    </row>
    <row r="13" spans="1:18" ht="24.75" customHeight="1" x14ac:dyDescent="0.25">
      <c r="B13" s="28" t="s">
        <v>45</v>
      </c>
      <c r="C13" s="29" t="e">
        <f t="shared" si="0"/>
        <v>#N/A</v>
      </c>
      <c r="D13" s="30">
        <f t="shared" si="1"/>
        <v>0</v>
      </c>
      <c r="E13" s="29" t="e">
        <f t="shared" si="2"/>
        <v>#N/A</v>
      </c>
      <c r="F13" s="31" t="e">
        <f t="shared" si="3"/>
        <v>#N/A</v>
      </c>
      <c r="G13" s="29" t="e">
        <f t="shared" si="4"/>
        <v>#N/A</v>
      </c>
      <c r="H13" s="32">
        <f t="shared" si="5"/>
        <v>0</v>
      </c>
      <c r="I13" s="32" t="e">
        <f t="shared" si="6"/>
        <v>#N/A</v>
      </c>
      <c r="J13" s="29" t="e">
        <f t="shared" si="7"/>
        <v>#N/A</v>
      </c>
      <c r="K13" s="32">
        <f t="shared" si="8"/>
        <v>0</v>
      </c>
      <c r="L13" s="29" t="e">
        <f t="shared" si="9"/>
        <v>#N/A</v>
      </c>
      <c r="M13" s="30">
        <f t="shared" si="10"/>
        <v>0</v>
      </c>
      <c r="N13" s="30">
        <v>0.22</v>
      </c>
      <c r="O13" s="29" t="e">
        <f t="shared" si="11"/>
        <v>#N/A</v>
      </c>
      <c r="P13" s="30">
        <f t="shared" si="12"/>
        <v>0</v>
      </c>
    </row>
    <row r="14" spans="1:18" ht="24.75" customHeight="1" x14ac:dyDescent="0.25">
      <c r="B14" s="28" t="s">
        <v>46</v>
      </c>
      <c r="C14" s="29" t="e">
        <f t="shared" si="0"/>
        <v>#N/A</v>
      </c>
      <c r="D14" s="30">
        <f t="shared" si="1"/>
        <v>0</v>
      </c>
      <c r="E14" s="29" t="e">
        <f t="shared" si="2"/>
        <v>#N/A</v>
      </c>
      <c r="F14" s="31" t="e">
        <f t="shared" si="3"/>
        <v>#N/A</v>
      </c>
      <c r="G14" s="29" t="e">
        <f t="shared" si="4"/>
        <v>#N/A</v>
      </c>
      <c r="H14" s="32">
        <f t="shared" si="5"/>
        <v>0</v>
      </c>
      <c r="I14" s="32" t="e">
        <f t="shared" si="6"/>
        <v>#N/A</v>
      </c>
      <c r="J14" s="29" t="e">
        <f t="shared" si="7"/>
        <v>#N/A</v>
      </c>
      <c r="K14" s="32">
        <f t="shared" si="8"/>
        <v>0</v>
      </c>
      <c r="L14" s="29" t="e">
        <f t="shared" si="9"/>
        <v>#N/A</v>
      </c>
      <c r="M14" s="30">
        <f t="shared" si="10"/>
        <v>0</v>
      </c>
      <c r="N14" s="30">
        <v>0.24</v>
      </c>
      <c r="O14" s="29" t="e">
        <f t="shared" si="11"/>
        <v>#N/A</v>
      </c>
      <c r="P14" s="30">
        <f t="shared" si="12"/>
        <v>0</v>
      </c>
    </row>
    <row r="15" spans="1:18" ht="24.75" customHeight="1" x14ac:dyDescent="0.25">
      <c r="B15" s="28" t="s">
        <v>47</v>
      </c>
      <c r="C15" s="29" t="e">
        <f t="shared" si="0"/>
        <v>#N/A</v>
      </c>
      <c r="D15" s="30">
        <f t="shared" si="1"/>
        <v>0</v>
      </c>
      <c r="E15" s="29" t="e">
        <f t="shared" si="2"/>
        <v>#N/A</v>
      </c>
      <c r="F15" s="31" t="e">
        <f t="shared" si="3"/>
        <v>#N/A</v>
      </c>
      <c r="G15" s="29" t="e">
        <f t="shared" si="4"/>
        <v>#N/A</v>
      </c>
      <c r="H15" s="32">
        <f t="shared" si="5"/>
        <v>0</v>
      </c>
      <c r="I15" s="32" t="e">
        <f t="shared" si="6"/>
        <v>#N/A</v>
      </c>
      <c r="J15" s="29" t="e">
        <f t="shared" si="7"/>
        <v>#N/A</v>
      </c>
      <c r="K15" s="32">
        <f t="shared" si="8"/>
        <v>0</v>
      </c>
      <c r="L15" s="29" t="e">
        <f t="shared" si="9"/>
        <v>#N/A</v>
      </c>
      <c r="M15" s="30">
        <f t="shared" si="10"/>
        <v>0</v>
      </c>
      <c r="N15" s="30">
        <v>0.01</v>
      </c>
      <c r="O15" s="29" t="e">
        <f t="shared" si="11"/>
        <v>#N/A</v>
      </c>
      <c r="P15" s="30">
        <f t="shared" si="12"/>
        <v>0</v>
      </c>
    </row>
    <row r="16" spans="1:18" ht="24.75" customHeight="1" x14ac:dyDescent="0.25">
      <c r="B16" s="28" t="s">
        <v>48</v>
      </c>
      <c r="C16" s="29" t="e">
        <f t="shared" si="0"/>
        <v>#N/A</v>
      </c>
      <c r="D16" s="30">
        <f t="shared" si="1"/>
        <v>0</v>
      </c>
      <c r="E16" s="29" t="e">
        <f t="shared" si="2"/>
        <v>#N/A</v>
      </c>
      <c r="F16" s="31" t="e">
        <f t="shared" si="3"/>
        <v>#N/A</v>
      </c>
      <c r="G16" s="29" t="e">
        <f t="shared" si="4"/>
        <v>#N/A</v>
      </c>
      <c r="H16" s="32">
        <f t="shared" si="5"/>
        <v>0</v>
      </c>
      <c r="I16" s="32" t="e">
        <f t="shared" si="6"/>
        <v>#N/A</v>
      </c>
      <c r="J16" s="29" t="e">
        <f t="shared" si="7"/>
        <v>#N/A</v>
      </c>
      <c r="K16" s="32">
        <f t="shared" si="8"/>
        <v>0</v>
      </c>
      <c r="L16" s="29" t="e">
        <f t="shared" si="9"/>
        <v>#N/A</v>
      </c>
      <c r="M16" s="30">
        <f t="shared" si="10"/>
        <v>0</v>
      </c>
      <c r="N16" s="30">
        <v>0.21</v>
      </c>
      <c r="O16" s="29" t="e">
        <f t="shared" si="11"/>
        <v>#N/A</v>
      </c>
      <c r="P16" s="30">
        <f t="shared" si="12"/>
        <v>0</v>
      </c>
    </row>
    <row r="17" spans="1:16" ht="24.75" customHeight="1" x14ac:dyDescent="0.25">
      <c r="B17" s="28" t="s">
        <v>49</v>
      </c>
      <c r="C17" s="29" t="e">
        <f t="shared" si="0"/>
        <v>#N/A</v>
      </c>
      <c r="D17" s="30">
        <f t="shared" si="1"/>
        <v>0</v>
      </c>
      <c r="E17" s="29" t="e">
        <f t="shared" si="2"/>
        <v>#N/A</v>
      </c>
      <c r="F17" s="31" t="e">
        <f t="shared" si="3"/>
        <v>#N/A</v>
      </c>
      <c r="G17" s="29" t="e">
        <f t="shared" si="4"/>
        <v>#N/A</v>
      </c>
      <c r="H17" s="32">
        <f t="shared" si="5"/>
        <v>0</v>
      </c>
      <c r="I17" s="32" t="e">
        <f t="shared" si="6"/>
        <v>#N/A</v>
      </c>
      <c r="J17" s="29" t="e">
        <f t="shared" si="7"/>
        <v>#N/A</v>
      </c>
      <c r="K17" s="32">
        <f t="shared" si="8"/>
        <v>0</v>
      </c>
      <c r="L17" s="29" t="e">
        <f t="shared" si="9"/>
        <v>#N/A</v>
      </c>
      <c r="M17" s="30">
        <f t="shared" si="10"/>
        <v>0</v>
      </c>
      <c r="N17" s="30">
        <v>0.26</v>
      </c>
      <c r="O17" s="29" t="e">
        <f t="shared" si="11"/>
        <v>#N/A</v>
      </c>
      <c r="P17" s="30">
        <f t="shared" si="12"/>
        <v>0</v>
      </c>
    </row>
    <row r="18" spans="1:16" ht="24.75" customHeight="1" x14ac:dyDescent="0.25">
      <c r="B18" s="28" t="s">
        <v>50</v>
      </c>
      <c r="C18" s="29" t="e">
        <f t="shared" si="0"/>
        <v>#N/A</v>
      </c>
      <c r="D18" s="30">
        <f t="shared" si="1"/>
        <v>0</v>
      </c>
      <c r="E18" s="29" t="e">
        <f t="shared" si="2"/>
        <v>#N/A</v>
      </c>
      <c r="F18" s="31" t="e">
        <f t="shared" si="3"/>
        <v>#N/A</v>
      </c>
      <c r="G18" s="29" t="e">
        <f t="shared" si="4"/>
        <v>#N/A</v>
      </c>
      <c r="H18" s="32">
        <f t="shared" si="5"/>
        <v>0</v>
      </c>
      <c r="I18" s="32" t="e">
        <f t="shared" si="6"/>
        <v>#N/A</v>
      </c>
      <c r="J18" s="29" t="e">
        <f t="shared" si="7"/>
        <v>#N/A</v>
      </c>
      <c r="K18" s="32">
        <f t="shared" si="8"/>
        <v>0</v>
      </c>
      <c r="L18" s="29" t="e">
        <f t="shared" si="9"/>
        <v>#N/A</v>
      </c>
      <c r="M18" s="30">
        <f t="shared" si="10"/>
        <v>0</v>
      </c>
      <c r="N18" s="30">
        <v>0.27</v>
      </c>
      <c r="O18" s="29" t="e">
        <f t="shared" si="11"/>
        <v>#N/A</v>
      </c>
      <c r="P18" s="30">
        <f t="shared" si="12"/>
        <v>0</v>
      </c>
    </row>
    <row r="19" spans="1:16" ht="24.75" customHeight="1" x14ac:dyDescent="0.25">
      <c r="B19" s="28" t="s">
        <v>51</v>
      </c>
      <c r="C19" s="29" t="e">
        <f t="shared" si="0"/>
        <v>#N/A</v>
      </c>
      <c r="D19" s="30">
        <f t="shared" si="1"/>
        <v>0</v>
      </c>
      <c r="E19" s="29" t="e">
        <f t="shared" si="2"/>
        <v>#N/A</v>
      </c>
      <c r="F19" s="31" t="e">
        <f t="shared" si="3"/>
        <v>#N/A</v>
      </c>
      <c r="G19" s="29" t="e">
        <f t="shared" si="4"/>
        <v>#N/A</v>
      </c>
      <c r="H19" s="32">
        <f t="shared" si="5"/>
        <v>0</v>
      </c>
      <c r="I19" s="32" t="e">
        <f t="shared" si="6"/>
        <v>#N/A</v>
      </c>
      <c r="J19" s="29" t="e">
        <f t="shared" si="7"/>
        <v>#N/A</v>
      </c>
      <c r="K19" s="32">
        <f t="shared" si="8"/>
        <v>0</v>
      </c>
      <c r="L19" s="29" t="e">
        <f t="shared" si="9"/>
        <v>#N/A</v>
      </c>
      <c r="M19" s="30">
        <f t="shared" si="10"/>
        <v>0</v>
      </c>
      <c r="N19" s="30">
        <v>0.25</v>
      </c>
      <c r="O19" s="29" t="e">
        <f t="shared" si="11"/>
        <v>#N/A</v>
      </c>
      <c r="P19" s="30">
        <f t="shared" si="12"/>
        <v>0</v>
      </c>
    </row>
    <row r="20" spans="1:16" ht="24.75" customHeight="1" x14ac:dyDescent="0.25">
      <c r="A20" s="25"/>
      <c r="B20" s="35" t="s">
        <v>23</v>
      </c>
      <c r="C20" s="36" t="e">
        <f>SUM(C6:C19)</f>
        <v>#N/A</v>
      </c>
      <c r="D20" s="37"/>
      <c r="E20" s="36" t="e">
        <f>SUM(E6:E19)</f>
        <v>#N/A</v>
      </c>
      <c r="F20" s="37" t="e">
        <f t="shared" si="3"/>
        <v>#N/A</v>
      </c>
      <c r="G20" s="36" t="e">
        <f>SUM(G6:G19)</f>
        <v>#N/A</v>
      </c>
      <c r="H20" s="37" t="e">
        <f>+G20/C20</f>
        <v>#N/A</v>
      </c>
      <c r="I20" s="239" t="e">
        <f t="shared" si="6"/>
        <v>#N/A</v>
      </c>
      <c r="J20" s="36" t="e">
        <f>SUM(J6:J19)</f>
        <v>#N/A</v>
      </c>
      <c r="K20" s="37" t="e">
        <f>+J20/C20</f>
        <v>#N/A</v>
      </c>
      <c r="L20" s="36" t="e">
        <f>SUM(L6:L19)</f>
        <v>#N/A</v>
      </c>
      <c r="M20" s="237" t="e">
        <f>+L20/C20</f>
        <v>#N/A</v>
      </c>
      <c r="N20" s="237">
        <v>0.21</v>
      </c>
      <c r="O20" s="36" t="e">
        <f>SUM(O6:O19)</f>
        <v>#N/A</v>
      </c>
      <c r="P20" s="237" t="e">
        <f>+O20/C20</f>
        <v>#N/A</v>
      </c>
    </row>
    <row r="21" spans="1:16" x14ac:dyDescent="0.25">
      <c r="B21" s="39"/>
      <c r="C21" s="40" t="e">
        <f>#N/A</f>
        <v>#N/A</v>
      </c>
      <c r="D21" s="40"/>
      <c r="E21" s="40" t="e">
        <f>#N/A</f>
        <v>#N/A</v>
      </c>
      <c r="F21" s="40"/>
      <c r="G21" s="40" t="e">
        <f>#N/A</f>
        <v>#N/A</v>
      </c>
      <c r="H21" s="40"/>
      <c r="I21" s="40"/>
      <c r="J21" s="40"/>
      <c r="K21" s="40"/>
      <c r="L21" s="40" t="e">
        <f>#N/A</f>
        <v>#N/A</v>
      </c>
      <c r="M21" s="40"/>
      <c r="N21" s="40"/>
      <c r="O21" s="40" t="e">
        <f>#N/A</f>
        <v>#N/A</v>
      </c>
      <c r="P21" s="41"/>
    </row>
    <row r="22" spans="1:16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42"/>
      <c r="P22" s="39"/>
    </row>
    <row r="26" spans="1:16" x14ac:dyDescent="0.25">
      <c r="B26" s="43"/>
      <c r="C26" s="43"/>
      <c r="D26" s="43"/>
    </row>
    <row r="27" spans="1:16" x14ac:dyDescent="0.25">
      <c r="B27" s="43"/>
      <c r="C27" s="43"/>
      <c r="D27" s="43"/>
    </row>
    <row r="28" spans="1:16" x14ac:dyDescent="0.25">
      <c r="B28" s="43"/>
      <c r="C28" s="43"/>
      <c r="D28" s="43"/>
    </row>
    <row r="29" spans="1:16" x14ac:dyDescent="0.25">
      <c r="B29" s="43"/>
      <c r="C29" s="43"/>
      <c r="D29" s="43"/>
    </row>
  </sheetData>
  <sheetProtection selectLockedCells="1" selectUnlockedCells="1"/>
  <mergeCells count="3">
    <mergeCell ref="B1:P1"/>
    <mergeCell ref="B2:P2"/>
    <mergeCell ref="B3:P3"/>
  </mergeCells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topLeftCell="B1" zoomScaleNormal="100" workbookViewId="0"/>
  </sheetViews>
  <sheetFormatPr baseColWidth="10" defaultColWidth="17.5703125" defaultRowHeight="15" x14ac:dyDescent="0.25"/>
  <cols>
    <col min="1" max="1" width="25.140625" style="23" hidden="1" customWidth="1"/>
    <col min="2" max="2" width="14.5703125" style="23" customWidth="1"/>
    <col min="3" max="3" width="20.140625" style="23" customWidth="1"/>
    <col min="4" max="4" width="5" style="23" customWidth="1"/>
    <col min="5" max="5" width="17.42578125" style="23" customWidth="1"/>
    <col min="6" max="6" width="12" style="23" customWidth="1"/>
    <col min="7" max="7" width="19.140625" style="23" customWidth="1"/>
    <col min="8" max="8" width="12" style="23" hidden="1" customWidth="1"/>
    <col min="9" max="9" width="12" style="23" customWidth="1"/>
    <col min="10" max="10" width="14.5703125" style="23" customWidth="1"/>
    <col min="11" max="11" width="8.5703125" style="23" customWidth="1"/>
    <col min="12" max="12" width="20.140625" style="23" customWidth="1"/>
    <col min="13" max="14" width="13.85546875" style="23" customWidth="1"/>
    <col min="15" max="15" width="23.42578125" style="23" customWidth="1"/>
    <col min="16" max="16" width="11.28515625" style="23" customWidth="1"/>
    <col min="17" max="17" width="7.85546875" style="23" customWidth="1"/>
    <col min="18" max="16384" width="17.5703125" style="23"/>
  </cols>
  <sheetData>
    <row r="1" spans="1:18" ht="15.75" x14ac:dyDescent="0.25">
      <c r="B1" s="600" t="s">
        <v>32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</row>
    <row r="2" spans="1:18" ht="15.75" x14ac:dyDescent="0.25">
      <c r="B2" s="600" t="e">
        <f>#N/A</f>
        <v>#N/A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</row>
    <row r="3" spans="1:18" ht="15.75" x14ac:dyDescent="0.25">
      <c r="B3" s="600" t="s">
        <v>33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</row>
    <row r="4" spans="1:18" x14ac:dyDescent="0.25">
      <c r="J4" s="23" t="s">
        <v>799</v>
      </c>
      <c r="L4" s="24"/>
    </row>
    <row r="5" spans="1:18" ht="24.75" customHeight="1" x14ac:dyDescent="0.25">
      <c r="A5" s="25"/>
      <c r="B5" s="26" t="s">
        <v>34</v>
      </c>
      <c r="C5" s="27" t="s">
        <v>3</v>
      </c>
      <c r="D5" s="27" t="s">
        <v>35</v>
      </c>
      <c r="E5" s="27" t="s">
        <v>5</v>
      </c>
      <c r="F5" s="27"/>
      <c r="G5" s="27" t="s">
        <v>10</v>
      </c>
      <c r="H5" s="27" t="s">
        <v>36</v>
      </c>
      <c r="I5" s="27"/>
      <c r="J5" s="27" t="s">
        <v>11</v>
      </c>
      <c r="K5" s="27" t="s">
        <v>35</v>
      </c>
      <c r="L5" s="27" t="s">
        <v>12</v>
      </c>
      <c r="M5" s="27" t="s">
        <v>775</v>
      </c>
      <c r="N5" s="27"/>
      <c r="O5" s="27" t="s">
        <v>7</v>
      </c>
      <c r="P5" s="27" t="s">
        <v>689</v>
      </c>
    </row>
    <row r="6" spans="1:18" ht="24.75" customHeight="1" x14ac:dyDescent="0.25">
      <c r="B6" s="28" t="s">
        <v>38</v>
      </c>
      <c r="C6" s="29" t="e">
        <f t="shared" ref="C6:C19" si="0">#N/A</f>
        <v>#N/A</v>
      </c>
      <c r="D6" s="30">
        <f t="shared" ref="D6:D9" si="1">IFERROR(C6/$C$20,0)</f>
        <v>0</v>
      </c>
      <c r="E6" s="29" t="e">
        <f t="shared" ref="E6:E19" si="2">#N/A</f>
        <v>#N/A</v>
      </c>
      <c r="F6" s="31" t="e">
        <f t="shared" ref="F6:F20" si="3">+E6/C6</f>
        <v>#N/A</v>
      </c>
      <c r="G6" s="29" t="e">
        <f t="shared" ref="G6:G19" si="4">#N/A</f>
        <v>#N/A</v>
      </c>
      <c r="H6" s="32">
        <f t="shared" ref="H6:H19" si="5">IFERROR(G6/C6,0)</f>
        <v>0</v>
      </c>
      <c r="I6" s="32" t="e">
        <f t="shared" ref="I6:I20" si="6">+G6/C6</f>
        <v>#N/A</v>
      </c>
      <c r="J6" s="29" t="e">
        <f t="shared" ref="J6:J19" si="7">#N/A</f>
        <v>#N/A</v>
      </c>
      <c r="K6" s="32">
        <f t="shared" ref="K6:K19" si="8">IFERROR(J6/C6,0)</f>
        <v>0</v>
      </c>
      <c r="L6" s="29" t="e">
        <f t="shared" ref="L6:L19" si="9">#N/A</f>
        <v>#N/A</v>
      </c>
      <c r="M6" s="30">
        <f t="shared" ref="M6:M19" si="10">IFERROR(L6/C6,0)</f>
        <v>0</v>
      </c>
      <c r="N6" s="30">
        <v>0.28000000000000003</v>
      </c>
      <c r="O6" s="29" t="e">
        <f t="shared" ref="O6:O19" si="11">#N/A</f>
        <v>#N/A</v>
      </c>
      <c r="P6" s="30">
        <f t="shared" ref="P6:P19" si="12">IFERROR(O6/C6,0)</f>
        <v>0</v>
      </c>
      <c r="Q6" s="43"/>
      <c r="R6" s="20" t="e">
        <f>(+E20+G20+J20+L20)/C20</f>
        <v>#N/A</v>
      </c>
    </row>
    <row r="7" spans="1:18" ht="24.75" customHeight="1" x14ac:dyDescent="0.25">
      <c r="B7" s="28" t="s">
        <v>39</v>
      </c>
      <c r="C7" s="29" t="e">
        <f t="shared" si="0"/>
        <v>#N/A</v>
      </c>
      <c r="D7" s="30">
        <f t="shared" si="1"/>
        <v>0</v>
      </c>
      <c r="E7" s="29" t="e">
        <f t="shared" si="2"/>
        <v>#N/A</v>
      </c>
      <c r="F7" s="31" t="e">
        <f t="shared" si="3"/>
        <v>#N/A</v>
      </c>
      <c r="G7" s="29" t="e">
        <f t="shared" si="4"/>
        <v>#N/A</v>
      </c>
      <c r="H7" s="32">
        <f t="shared" si="5"/>
        <v>0</v>
      </c>
      <c r="I7" s="32" t="e">
        <f t="shared" si="6"/>
        <v>#N/A</v>
      </c>
      <c r="J7" s="29" t="e">
        <f t="shared" si="7"/>
        <v>#N/A</v>
      </c>
      <c r="K7" s="32">
        <f t="shared" si="8"/>
        <v>0</v>
      </c>
      <c r="L7" s="29" t="e">
        <f t="shared" si="9"/>
        <v>#N/A</v>
      </c>
      <c r="M7" s="30">
        <f t="shared" si="10"/>
        <v>0</v>
      </c>
      <c r="N7" s="30">
        <v>0.28999999999999998</v>
      </c>
      <c r="O7" s="29" t="e">
        <f t="shared" si="11"/>
        <v>#N/A</v>
      </c>
      <c r="P7" s="30">
        <f t="shared" si="12"/>
        <v>0</v>
      </c>
      <c r="Q7" s="43"/>
    </row>
    <row r="8" spans="1:18" ht="24.75" customHeight="1" x14ac:dyDescent="0.25">
      <c r="B8" s="28" t="s">
        <v>40</v>
      </c>
      <c r="C8" s="29" t="e">
        <f t="shared" si="0"/>
        <v>#N/A</v>
      </c>
      <c r="D8" s="30">
        <f t="shared" si="1"/>
        <v>0</v>
      </c>
      <c r="E8" s="29" t="e">
        <f t="shared" si="2"/>
        <v>#N/A</v>
      </c>
      <c r="F8" s="31" t="e">
        <f t="shared" si="3"/>
        <v>#N/A</v>
      </c>
      <c r="G8" s="29" t="e">
        <f t="shared" si="4"/>
        <v>#N/A</v>
      </c>
      <c r="H8" s="32">
        <f t="shared" si="5"/>
        <v>0</v>
      </c>
      <c r="I8" s="32" t="e">
        <f t="shared" si="6"/>
        <v>#N/A</v>
      </c>
      <c r="J8" s="29" t="e">
        <f t="shared" si="7"/>
        <v>#N/A</v>
      </c>
      <c r="K8" s="32">
        <f t="shared" si="8"/>
        <v>0</v>
      </c>
      <c r="L8" s="29" t="e">
        <f t="shared" si="9"/>
        <v>#N/A</v>
      </c>
      <c r="M8" s="30">
        <f t="shared" si="10"/>
        <v>0</v>
      </c>
      <c r="N8" s="30">
        <v>0.18</v>
      </c>
      <c r="O8" s="29" t="e">
        <f t="shared" si="11"/>
        <v>#N/A</v>
      </c>
      <c r="P8" s="30">
        <f t="shared" si="12"/>
        <v>0</v>
      </c>
    </row>
    <row r="9" spans="1:18" ht="24.75" customHeight="1" x14ac:dyDescent="0.25">
      <c r="B9" s="28" t="s">
        <v>41</v>
      </c>
      <c r="C9" s="29" t="e">
        <f t="shared" si="0"/>
        <v>#N/A</v>
      </c>
      <c r="D9" s="30">
        <f t="shared" si="1"/>
        <v>0</v>
      </c>
      <c r="E9" s="29" t="e">
        <f t="shared" si="2"/>
        <v>#N/A</v>
      </c>
      <c r="F9" s="31" t="e">
        <f t="shared" si="3"/>
        <v>#N/A</v>
      </c>
      <c r="G9" s="29" t="e">
        <f t="shared" si="4"/>
        <v>#N/A</v>
      </c>
      <c r="H9" s="32">
        <f t="shared" si="5"/>
        <v>0</v>
      </c>
      <c r="I9" s="32" t="e">
        <f t="shared" si="6"/>
        <v>#N/A</v>
      </c>
      <c r="J9" s="29" t="e">
        <f t="shared" si="7"/>
        <v>#N/A</v>
      </c>
      <c r="K9" s="32">
        <f t="shared" si="8"/>
        <v>0</v>
      </c>
      <c r="L9" s="29" t="e">
        <f t="shared" si="9"/>
        <v>#N/A</v>
      </c>
      <c r="M9" s="30">
        <f t="shared" si="10"/>
        <v>0</v>
      </c>
      <c r="N9" s="30">
        <v>0.28999999999999998</v>
      </c>
      <c r="O9" s="29" t="e">
        <f t="shared" si="11"/>
        <v>#N/A</v>
      </c>
      <c r="P9" s="30">
        <f t="shared" si="12"/>
        <v>0</v>
      </c>
    </row>
    <row r="10" spans="1:18" ht="24.75" customHeight="1" x14ac:dyDescent="0.25">
      <c r="B10" s="28" t="s">
        <v>42</v>
      </c>
      <c r="C10" s="29" t="e">
        <f t="shared" si="0"/>
        <v>#N/A</v>
      </c>
      <c r="D10" s="30"/>
      <c r="E10" s="29" t="e">
        <f t="shared" si="2"/>
        <v>#N/A</v>
      </c>
      <c r="F10" s="31" t="e">
        <f t="shared" si="3"/>
        <v>#N/A</v>
      </c>
      <c r="G10" s="29" t="e">
        <f t="shared" si="4"/>
        <v>#N/A</v>
      </c>
      <c r="H10" s="32">
        <f t="shared" si="5"/>
        <v>0</v>
      </c>
      <c r="I10" s="32" t="e">
        <f t="shared" si="6"/>
        <v>#N/A</v>
      </c>
      <c r="J10" s="29" t="e">
        <f t="shared" si="7"/>
        <v>#N/A</v>
      </c>
      <c r="K10" s="32">
        <f t="shared" si="8"/>
        <v>0</v>
      </c>
      <c r="L10" s="29" t="e">
        <f t="shared" si="9"/>
        <v>#N/A</v>
      </c>
      <c r="M10" s="30">
        <f t="shared" si="10"/>
        <v>0</v>
      </c>
      <c r="N10" s="30">
        <v>0.23</v>
      </c>
      <c r="O10" s="29" t="e">
        <f t="shared" si="11"/>
        <v>#N/A</v>
      </c>
      <c r="P10" s="30">
        <f t="shared" si="12"/>
        <v>0</v>
      </c>
    </row>
    <row r="11" spans="1:18" ht="24.75" customHeight="1" x14ac:dyDescent="0.25">
      <c r="B11" s="28" t="s">
        <v>43</v>
      </c>
      <c r="C11" s="29" t="e">
        <f t="shared" si="0"/>
        <v>#N/A</v>
      </c>
      <c r="D11" s="30"/>
      <c r="E11" s="29" t="e">
        <f t="shared" si="2"/>
        <v>#N/A</v>
      </c>
      <c r="F11" s="31" t="e">
        <f t="shared" si="3"/>
        <v>#N/A</v>
      </c>
      <c r="G11" s="29" t="e">
        <f t="shared" si="4"/>
        <v>#N/A</v>
      </c>
      <c r="H11" s="32">
        <f t="shared" si="5"/>
        <v>0</v>
      </c>
      <c r="I11" s="32" t="e">
        <f t="shared" si="6"/>
        <v>#N/A</v>
      </c>
      <c r="J11" s="29" t="e">
        <f t="shared" si="7"/>
        <v>#N/A</v>
      </c>
      <c r="K11" s="32">
        <f t="shared" si="8"/>
        <v>0</v>
      </c>
      <c r="L11" s="29" t="e">
        <f t="shared" si="9"/>
        <v>#N/A</v>
      </c>
      <c r="M11" s="30">
        <f t="shared" si="10"/>
        <v>0</v>
      </c>
      <c r="N11" s="30">
        <v>0.24</v>
      </c>
      <c r="O11" s="29" t="e">
        <f t="shared" si="11"/>
        <v>#N/A</v>
      </c>
      <c r="P11" s="30">
        <f t="shared" si="12"/>
        <v>0</v>
      </c>
    </row>
    <row r="12" spans="1:18" ht="24.75" customHeight="1" x14ac:dyDescent="0.25">
      <c r="B12" s="28" t="s">
        <v>44</v>
      </c>
      <c r="C12" s="29" t="e">
        <f t="shared" si="0"/>
        <v>#N/A</v>
      </c>
      <c r="D12" s="30"/>
      <c r="E12" s="29" t="e">
        <f t="shared" si="2"/>
        <v>#N/A</v>
      </c>
      <c r="F12" s="31" t="e">
        <f t="shared" si="3"/>
        <v>#N/A</v>
      </c>
      <c r="G12" s="29" t="e">
        <f t="shared" si="4"/>
        <v>#N/A</v>
      </c>
      <c r="H12" s="32">
        <f t="shared" si="5"/>
        <v>0</v>
      </c>
      <c r="I12" s="32" t="e">
        <f t="shared" si="6"/>
        <v>#N/A</v>
      </c>
      <c r="J12" s="29" t="e">
        <f t="shared" si="7"/>
        <v>#N/A</v>
      </c>
      <c r="K12" s="32">
        <f t="shared" si="8"/>
        <v>0</v>
      </c>
      <c r="L12" s="29" t="e">
        <f t="shared" si="9"/>
        <v>#N/A</v>
      </c>
      <c r="M12" s="30">
        <f t="shared" si="10"/>
        <v>0</v>
      </c>
      <c r="N12" s="30">
        <v>0.28999999999999998</v>
      </c>
      <c r="O12" s="29" t="e">
        <f t="shared" si="11"/>
        <v>#N/A</v>
      </c>
      <c r="P12" s="30">
        <f t="shared" si="12"/>
        <v>0</v>
      </c>
    </row>
    <row r="13" spans="1:18" ht="24.75" customHeight="1" x14ac:dyDescent="0.25">
      <c r="B13" s="28" t="s">
        <v>45</v>
      </c>
      <c r="C13" s="29" t="e">
        <f t="shared" si="0"/>
        <v>#N/A</v>
      </c>
      <c r="D13" s="30"/>
      <c r="E13" s="29" t="e">
        <f t="shared" si="2"/>
        <v>#N/A</v>
      </c>
      <c r="F13" s="31" t="e">
        <f t="shared" si="3"/>
        <v>#N/A</v>
      </c>
      <c r="G13" s="29" t="e">
        <f t="shared" si="4"/>
        <v>#N/A</v>
      </c>
      <c r="H13" s="32">
        <f t="shared" si="5"/>
        <v>0</v>
      </c>
      <c r="I13" s="32" t="e">
        <f t="shared" si="6"/>
        <v>#N/A</v>
      </c>
      <c r="J13" s="29" t="e">
        <f t="shared" si="7"/>
        <v>#N/A</v>
      </c>
      <c r="K13" s="32">
        <f t="shared" si="8"/>
        <v>0</v>
      </c>
      <c r="L13" s="29" t="e">
        <f t="shared" si="9"/>
        <v>#N/A</v>
      </c>
      <c r="M13" s="30">
        <f t="shared" si="10"/>
        <v>0</v>
      </c>
      <c r="N13" s="30">
        <v>0.28999999999999998</v>
      </c>
      <c r="O13" s="29" t="e">
        <f t="shared" si="11"/>
        <v>#N/A</v>
      </c>
      <c r="P13" s="30">
        <f t="shared" si="12"/>
        <v>0</v>
      </c>
    </row>
    <row r="14" spans="1:18" ht="24.75" customHeight="1" x14ac:dyDescent="0.25">
      <c r="B14" s="28" t="s">
        <v>46</v>
      </c>
      <c r="C14" s="29" t="e">
        <f t="shared" si="0"/>
        <v>#N/A</v>
      </c>
      <c r="D14" s="30"/>
      <c r="E14" s="29" t="e">
        <f t="shared" si="2"/>
        <v>#N/A</v>
      </c>
      <c r="F14" s="31" t="e">
        <f t="shared" si="3"/>
        <v>#N/A</v>
      </c>
      <c r="G14" s="29" t="e">
        <f t="shared" si="4"/>
        <v>#N/A</v>
      </c>
      <c r="H14" s="32">
        <f t="shared" si="5"/>
        <v>0</v>
      </c>
      <c r="I14" s="32" t="e">
        <f t="shared" si="6"/>
        <v>#N/A</v>
      </c>
      <c r="J14" s="29" t="e">
        <f t="shared" si="7"/>
        <v>#N/A</v>
      </c>
      <c r="K14" s="32">
        <f t="shared" si="8"/>
        <v>0</v>
      </c>
      <c r="L14" s="29" t="e">
        <f t="shared" si="9"/>
        <v>#N/A</v>
      </c>
      <c r="M14" s="30">
        <f t="shared" si="10"/>
        <v>0</v>
      </c>
      <c r="N14" s="30">
        <v>0.31</v>
      </c>
      <c r="O14" s="29" t="e">
        <f t="shared" si="11"/>
        <v>#N/A</v>
      </c>
      <c r="P14" s="30">
        <f t="shared" si="12"/>
        <v>0</v>
      </c>
    </row>
    <row r="15" spans="1:18" ht="24.75" customHeight="1" x14ac:dyDescent="0.25">
      <c r="B15" s="28" t="s">
        <v>47</v>
      </c>
      <c r="C15" s="29" t="e">
        <f t="shared" si="0"/>
        <v>#N/A</v>
      </c>
      <c r="D15" s="30"/>
      <c r="E15" s="29" t="e">
        <f t="shared" si="2"/>
        <v>#N/A</v>
      </c>
      <c r="F15" s="31" t="e">
        <f t="shared" si="3"/>
        <v>#N/A</v>
      </c>
      <c r="G15" s="29" t="e">
        <f t="shared" si="4"/>
        <v>#N/A</v>
      </c>
      <c r="H15" s="32">
        <f t="shared" si="5"/>
        <v>0</v>
      </c>
      <c r="I15" s="32" t="e">
        <f t="shared" si="6"/>
        <v>#N/A</v>
      </c>
      <c r="J15" s="29" t="e">
        <f t="shared" si="7"/>
        <v>#N/A</v>
      </c>
      <c r="K15" s="32">
        <f t="shared" si="8"/>
        <v>0</v>
      </c>
      <c r="L15" s="29" t="e">
        <f t="shared" si="9"/>
        <v>#N/A</v>
      </c>
      <c r="M15" s="30">
        <f t="shared" si="10"/>
        <v>0</v>
      </c>
      <c r="N15" s="30">
        <v>0.2</v>
      </c>
      <c r="O15" s="29" t="e">
        <f t="shared" si="11"/>
        <v>#N/A</v>
      </c>
      <c r="P15" s="30">
        <f t="shared" si="12"/>
        <v>0</v>
      </c>
    </row>
    <row r="16" spans="1:18" ht="24.75" customHeight="1" x14ac:dyDescent="0.25">
      <c r="B16" s="28" t="s">
        <v>48</v>
      </c>
      <c r="C16" s="29" t="e">
        <f t="shared" si="0"/>
        <v>#N/A</v>
      </c>
      <c r="D16" s="30"/>
      <c r="E16" s="29" t="e">
        <f t="shared" si="2"/>
        <v>#N/A</v>
      </c>
      <c r="F16" s="31" t="e">
        <f t="shared" si="3"/>
        <v>#N/A</v>
      </c>
      <c r="G16" s="29" t="e">
        <f t="shared" si="4"/>
        <v>#N/A</v>
      </c>
      <c r="H16" s="32">
        <f t="shared" si="5"/>
        <v>0</v>
      </c>
      <c r="I16" s="32" t="e">
        <f t="shared" si="6"/>
        <v>#N/A</v>
      </c>
      <c r="J16" s="29" t="e">
        <f t="shared" si="7"/>
        <v>#N/A</v>
      </c>
      <c r="K16" s="32">
        <f t="shared" si="8"/>
        <v>0</v>
      </c>
      <c r="L16" s="29" t="e">
        <f t="shared" si="9"/>
        <v>#N/A</v>
      </c>
      <c r="M16" s="30">
        <f t="shared" si="10"/>
        <v>0</v>
      </c>
      <c r="N16" s="30">
        <v>0.28000000000000003</v>
      </c>
      <c r="O16" s="29" t="e">
        <f t="shared" si="11"/>
        <v>#N/A</v>
      </c>
      <c r="P16" s="30">
        <f t="shared" si="12"/>
        <v>0</v>
      </c>
    </row>
    <row r="17" spans="1:16" ht="24.75" customHeight="1" x14ac:dyDescent="0.25">
      <c r="B17" s="28" t="s">
        <v>49</v>
      </c>
      <c r="C17" s="29" t="e">
        <f t="shared" si="0"/>
        <v>#N/A</v>
      </c>
      <c r="D17" s="30"/>
      <c r="E17" s="29" t="e">
        <f t="shared" si="2"/>
        <v>#N/A</v>
      </c>
      <c r="F17" s="31" t="e">
        <f t="shared" si="3"/>
        <v>#N/A</v>
      </c>
      <c r="G17" s="29" t="e">
        <f t="shared" si="4"/>
        <v>#N/A</v>
      </c>
      <c r="H17" s="32">
        <f t="shared" si="5"/>
        <v>0</v>
      </c>
      <c r="I17" s="32" t="e">
        <f t="shared" si="6"/>
        <v>#N/A</v>
      </c>
      <c r="J17" s="29" t="e">
        <f t="shared" si="7"/>
        <v>#N/A</v>
      </c>
      <c r="K17" s="32">
        <f t="shared" si="8"/>
        <v>0</v>
      </c>
      <c r="L17" s="29" t="e">
        <f t="shared" si="9"/>
        <v>#N/A</v>
      </c>
      <c r="M17" s="30">
        <f t="shared" si="10"/>
        <v>0</v>
      </c>
      <c r="N17" s="30">
        <v>0.33</v>
      </c>
      <c r="O17" s="29" t="e">
        <f t="shared" si="11"/>
        <v>#N/A</v>
      </c>
      <c r="P17" s="30">
        <f t="shared" si="12"/>
        <v>0</v>
      </c>
    </row>
    <row r="18" spans="1:16" ht="24.75" customHeight="1" x14ac:dyDescent="0.25">
      <c r="B18" s="28" t="s">
        <v>50</v>
      </c>
      <c r="C18" s="29" t="e">
        <f t="shared" si="0"/>
        <v>#N/A</v>
      </c>
      <c r="D18" s="30"/>
      <c r="E18" s="29" t="e">
        <f t="shared" si="2"/>
        <v>#N/A</v>
      </c>
      <c r="F18" s="31" t="e">
        <f t="shared" si="3"/>
        <v>#N/A</v>
      </c>
      <c r="G18" s="29" t="e">
        <f t="shared" si="4"/>
        <v>#N/A</v>
      </c>
      <c r="H18" s="32">
        <f t="shared" si="5"/>
        <v>0</v>
      </c>
      <c r="I18" s="32" t="e">
        <f t="shared" si="6"/>
        <v>#N/A</v>
      </c>
      <c r="J18" s="29" t="e">
        <f t="shared" si="7"/>
        <v>#N/A</v>
      </c>
      <c r="K18" s="32">
        <f t="shared" si="8"/>
        <v>0</v>
      </c>
      <c r="L18" s="29" t="e">
        <f t="shared" si="9"/>
        <v>#N/A</v>
      </c>
      <c r="M18" s="30">
        <f t="shared" si="10"/>
        <v>0</v>
      </c>
      <c r="N18" s="30">
        <v>0.35</v>
      </c>
      <c r="O18" s="29" t="e">
        <f t="shared" si="11"/>
        <v>#N/A</v>
      </c>
      <c r="P18" s="30">
        <f t="shared" si="12"/>
        <v>0</v>
      </c>
    </row>
    <row r="19" spans="1:16" ht="24.75" customHeight="1" x14ac:dyDescent="0.25">
      <c r="B19" s="28" t="s">
        <v>51</v>
      </c>
      <c r="C19" s="29" t="e">
        <f t="shared" si="0"/>
        <v>#N/A</v>
      </c>
      <c r="D19" s="30">
        <f>IFERROR(C19/$C$20,0)</f>
        <v>0</v>
      </c>
      <c r="E19" s="29" t="e">
        <f t="shared" si="2"/>
        <v>#N/A</v>
      </c>
      <c r="F19" s="31" t="e">
        <f t="shared" si="3"/>
        <v>#N/A</v>
      </c>
      <c r="G19" s="29" t="e">
        <f t="shared" si="4"/>
        <v>#N/A</v>
      </c>
      <c r="H19" s="32">
        <f t="shared" si="5"/>
        <v>0</v>
      </c>
      <c r="I19" s="32" t="e">
        <f t="shared" si="6"/>
        <v>#N/A</v>
      </c>
      <c r="J19" s="29" t="e">
        <f t="shared" si="7"/>
        <v>#N/A</v>
      </c>
      <c r="K19" s="32">
        <f t="shared" si="8"/>
        <v>0</v>
      </c>
      <c r="L19" s="29" t="e">
        <f t="shared" si="9"/>
        <v>#N/A</v>
      </c>
      <c r="M19" s="30">
        <f t="shared" si="10"/>
        <v>0</v>
      </c>
      <c r="N19" s="30">
        <v>0.32</v>
      </c>
      <c r="O19" s="29" t="e">
        <f t="shared" si="11"/>
        <v>#N/A</v>
      </c>
      <c r="P19" s="30">
        <f t="shared" si="12"/>
        <v>0</v>
      </c>
    </row>
    <row r="20" spans="1:16" ht="24.75" customHeight="1" x14ac:dyDescent="0.25">
      <c r="A20" s="25"/>
      <c r="B20" s="35" t="s">
        <v>23</v>
      </c>
      <c r="C20" s="36" t="e">
        <f>SUM(C6:C19)</f>
        <v>#N/A</v>
      </c>
      <c r="D20" s="37"/>
      <c r="E20" s="36" t="e">
        <f>SUM(E6:E19)</f>
        <v>#N/A</v>
      </c>
      <c r="F20" s="37" t="e">
        <f t="shared" si="3"/>
        <v>#N/A</v>
      </c>
      <c r="G20" s="36" t="e">
        <f>SUM(G6:G19)</f>
        <v>#N/A</v>
      </c>
      <c r="H20" s="37" t="e">
        <f>+G20/C20</f>
        <v>#N/A</v>
      </c>
      <c r="I20" s="239" t="e">
        <f t="shared" si="6"/>
        <v>#N/A</v>
      </c>
      <c r="J20" s="36" t="e">
        <f>SUM(J6:J19)</f>
        <v>#N/A</v>
      </c>
      <c r="K20" s="37" t="e">
        <f>+J20/C20</f>
        <v>#N/A</v>
      </c>
      <c r="L20" s="36" t="e">
        <f>SUM(L6:L19)</f>
        <v>#N/A</v>
      </c>
      <c r="M20" s="38" t="e">
        <f>+L20/C20</f>
        <v>#N/A</v>
      </c>
      <c r="N20" s="38">
        <v>0.28000000000000003</v>
      </c>
      <c r="O20" s="36" t="e">
        <f>SUM(O6:O19)</f>
        <v>#N/A</v>
      </c>
      <c r="P20" s="38" t="e">
        <f>+O20/C20</f>
        <v>#N/A</v>
      </c>
    </row>
    <row r="21" spans="1:16" x14ac:dyDescent="0.25">
      <c r="B21" s="39"/>
      <c r="C21" s="40" t="e">
        <f>#N/A</f>
        <v>#N/A</v>
      </c>
      <c r="D21" s="40"/>
      <c r="E21" s="40" t="e">
        <f>#N/A</f>
        <v>#N/A</v>
      </c>
      <c r="F21" s="40"/>
      <c r="G21" s="40" t="e">
        <f>#N/A</f>
        <v>#N/A</v>
      </c>
      <c r="H21" s="40"/>
      <c r="I21" s="40"/>
      <c r="J21" s="40"/>
      <c r="K21" s="40"/>
      <c r="L21" s="40" t="e">
        <f>#N/A</f>
        <v>#N/A</v>
      </c>
      <c r="M21" s="40"/>
      <c r="N21" s="40"/>
      <c r="O21" s="40" t="e">
        <f>#N/A</f>
        <v>#N/A</v>
      </c>
      <c r="P21" s="41"/>
    </row>
    <row r="22" spans="1:16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42"/>
      <c r="P22" s="39"/>
    </row>
    <row r="26" spans="1:16" x14ac:dyDescent="0.25">
      <c r="B26" s="43"/>
      <c r="C26" s="43"/>
      <c r="D26" s="43"/>
    </row>
    <row r="27" spans="1:16" x14ac:dyDescent="0.25">
      <c r="B27" s="43"/>
      <c r="C27" s="43"/>
      <c r="D27" s="43"/>
    </row>
    <row r="28" spans="1:16" x14ac:dyDescent="0.25">
      <c r="B28" s="43"/>
      <c r="C28" s="43"/>
      <c r="D28" s="43"/>
    </row>
    <row r="29" spans="1:16" x14ac:dyDescent="0.25">
      <c r="B29" s="43"/>
      <c r="C29" s="43"/>
      <c r="D29" s="43"/>
    </row>
  </sheetData>
  <sheetProtection selectLockedCells="1" selectUnlockedCells="1"/>
  <mergeCells count="3">
    <mergeCell ref="B1:P1"/>
    <mergeCell ref="B2:P2"/>
    <mergeCell ref="B3:P3"/>
  </mergeCells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topLeftCell="B1" zoomScaleNormal="100" workbookViewId="0"/>
  </sheetViews>
  <sheetFormatPr baseColWidth="10" defaultColWidth="17.5703125" defaultRowHeight="15" x14ac:dyDescent="0.25"/>
  <cols>
    <col min="1" max="1" width="25.140625" style="23" hidden="1" customWidth="1"/>
    <col min="2" max="2" width="14.5703125" style="23" customWidth="1"/>
    <col min="3" max="3" width="20.140625" style="23" customWidth="1"/>
    <col min="4" max="4" width="5" style="23" customWidth="1"/>
    <col min="5" max="5" width="17.42578125" style="23" customWidth="1"/>
    <col min="6" max="6" width="12" style="23" customWidth="1"/>
    <col min="7" max="7" width="19.140625" style="23" customWidth="1"/>
    <col min="8" max="8" width="12" style="23" hidden="1" customWidth="1"/>
    <col min="9" max="9" width="12" style="23" customWidth="1"/>
    <col min="10" max="10" width="14.5703125" style="23" customWidth="1"/>
    <col min="11" max="11" width="8.5703125" style="23" customWidth="1"/>
    <col min="12" max="12" width="20.140625" style="23" customWidth="1"/>
    <col min="13" max="14" width="13.85546875" style="23" customWidth="1"/>
    <col min="15" max="15" width="23.42578125" style="23" customWidth="1"/>
    <col min="16" max="16" width="11.28515625" style="23" customWidth="1"/>
    <col min="17" max="17" width="7.85546875" style="23" customWidth="1"/>
    <col min="18" max="16384" width="17.5703125" style="23"/>
  </cols>
  <sheetData>
    <row r="1" spans="1:18" ht="15.75" x14ac:dyDescent="0.25">
      <c r="B1" s="600" t="s">
        <v>32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</row>
    <row r="2" spans="1:18" ht="15.75" x14ac:dyDescent="0.25">
      <c r="B2" s="600" t="e">
        <f>#N/A</f>
        <v>#N/A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</row>
    <row r="3" spans="1:18" ht="15.75" x14ac:dyDescent="0.25">
      <c r="B3" s="600" t="s">
        <v>33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</row>
    <row r="4" spans="1:18" x14ac:dyDescent="0.25">
      <c r="L4" s="24"/>
    </row>
    <row r="5" spans="1:18" ht="24.75" customHeight="1" x14ac:dyDescent="0.25">
      <c r="A5" s="25"/>
      <c r="B5" s="26" t="s">
        <v>34</v>
      </c>
      <c r="C5" s="27" t="s">
        <v>3</v>
      </c>
      <c r="D5" s="27" t="s">
        <v>35</v>
      </c>
      <c r="E5" s="27" t="s">
        <v>5</v>
      </c>
      <c r="F5" s="27"/>
      <c r="G5" s="27" t="s">
        <v>10</v>
      </c>
      <c r="H5" s="27" t="s">
        <v>36</v>
      </c>
      <c r="I5" s="27"/>
      <c r="J5" s="27" t="s">
        <v>11</v>
      </c>
      <c r="K5" s="27" t="s">
        <v>35</v>
      </c>
      <c r="L5" s="27" t="s">
        <v>12</v>
      </c>
      <c r="M5" s="27" t="s">
        <v>775</v>
      </c>
      <c r="N5" s="27"/>
      <c r="O5" s="27" t="s">
        <v>7</v>
      </c>
      <c r="P5" s="27" t="s">
        <v>689</v>
      </c>
    </row>
    <row r="6" spans="1:18" ht="24.75" customHeight="1" x14ac:dyDescent="0.25">
      <c r="B6" s="28" t="s">
        <v>38</v>
      </c>
      <c r="C6" s="29" t="e">
        <f t="shared" ref="C6:C19" si="0">#N/A</f>
        <v>#N/A</v>
      </c>
      <c r="D6" s="30">
        <f t="shared" ref="D6:D9" si="1">IFERROR(C6/$C$20,0)</f>
        <v>0</v>
      </c>
      <c r="E6" s="29" t="e">
        <f t="shared" ref="E6:E19" si="2">#N/A</f>
        <v>#N/A</v>
      </c>
      <c r="F6" s="31" t="e">
        <f t="shared" ref="F6:F20" si="3">+E6/C6</f>
        <v>#N/A</v>
      </c>
      <c r="G6" s="29" t="e">
        <f t="shared" ref="G6:G19" si="4">#N/A</f>
        <v>#N/A</v>
      </c>
      <c r="H6" s="32">
        <f t="shared" ref="H6:H19" si="5">IFERROR(G6/C6,0)</f>
        <v>0</v>
      </c>
      <c r="I6" s="32" t="e">
        <f t="shared" ref="I6:I20" si="6">+G6/C6</f>
        <v>#N/A</v>
      </c>
      <c r="J6" s="29" t="e">
        <f t="shared" ref="J6:J19" si="7">#N/A</f>
        <v>#N/A</v>
      </c>
      <c r="K6" s="32">
        <f t="shared" ref="K6:K19" si="8">IFERROR(J6/C6,0)</f>
        <v>0</v>
      </c>
      <c r="L6" s="29" t="e">
        <f t="shared" ref="L6:L19" si="9">#N/A</f>
        <v>#N/A</v>
      </c>
      <c r="M6" s="30">
        <f t="shared" ref="M6:M19" si="10">IFERROR(L6/C6,0)</f>
        <v>0</v>
      </c>
      <c r="N6" s="30">
        <v>0.34</v>
      </c>
      <c r="O6" s="29" t="e">
        <f t="shared" ref="O6:O19" si="11">#N/A</f>
        <v>#N/A</v>
      </c>
      <c r="P6" s="30">
        <f t="shared" ref="P6:P19" si="12">IFERROR(O6/C6,0)</f>
        <v>0</v>
      </c>
      <c r="Q6" s="43"/>
      <c r="R6" s="20" t="e">
        <f>(+E20+G20+J20+L20)/C20</f>
        <v>#N/A</v>
      </c>
    </row>
    <row r="7" spans="1:18" ht="24.75" customHeight="1" x14ac:dyDescent="0.25">
      <c r="B7" s="28" t="s">
        <v>39</v>
      </c>
      <c r="C7" s="29" t="e">
        <f t="shared" si="0"/>
        <v>#N/A</v>
      </c>
      <c r="D7" s="30">
        <f t="shared" si="1"/>
        <v>0</v>
      </c>
      <c r="E7" s="29" t="e">
        <f t="shared" si="2"/>
        <v>#N/A</v>
      </c>
      <c r="F7" s="31" t="e">
        <f t="shared" si="3"/>
        <v>#N/A</v>
      </c>
      <c r="G7" s="29" t="e">
        <f t="shared" si="4"/>
        <v>#N/A</v>
      </c>
      <c r="H7" s="32">
        <f t="shared" si="5"/>
        <v>0</v>
      </c>
      <c r="I7" s="32" t="e">
        <f t="shared" si="6"/>
        <v>#N/A</v>
      </c>
      <c r="J7" s="29" t="e">
        <f t="shared" si="7"/>
        <v>#N/A</v>
      </c>
      <c r="K7" s="32">
        <f t="shared" si="8"/>
        <v>0</v>
      </c>
      <c r="L7" s="29" t="e">
        <f t="shared" si="9"/>
        <v>#N/A</v>
      </c>
      <c r="M7" s="30">
        <f t="shared" si="10"/>
        <v>0</v>
      </c>
      <c r="N7" s="30">
        <v>0.36</v>
      </c>
      <c r="O7" s="29" t="e">
        <f t="shared" si="11"/>
        <v>#N/A</v>
      </c>
      <c r="P7" s="30">
        <f t="shared" si="12"/>
        <v>0</v>
      </c>
      <c r="Q7" s="43"/>
    </row>
    <row r="8" spans="1:18" ht="24.75" customHeight="1" x14ac:dyDescent="0.25">
      <c r="B8" s="28" t="s">
        <v>40</v>
      </c>
      <c r="C8" s="29" t="e">
        <f t="shared" si="0"/>
        <v>#N/A</v>
      </c>
      <c r="D8" s="30">
        <f t="shared" si="1"/>
        <v>0</v>
      </c>
      <c r="E8" s="29" t="e">
        <f t="shared" si="2"/>
        <v>#N/A</v>
      </c>
      <c r="F8" s="31" t="e">
        <f t="shared" si="3"/>
        <v>#N/A</v>
      </c>
      <c r="G8" s="29" t="e">
        <f t="shared" si="4"/>
        <v>#N/A</v>
      </c>
      <c r="H8" s="32">
        <f t="shared" si="5"/>
        <v>0</v>
      </c>
      <c r="I8" s="32" t="e">
        <f t="shared" si="6"/>
        <v>#N/A</v>
      </c>
      <c r="J8" s="29" t="e">
        <f t="shared" si="7"/>
        <v>#N/A</v>
      </c>
      <c r="K8" s="32">
        <f t="shared" si="8"/>
        <v>0</v>
      </c>
      <c r="L8" s="29" t="e">
        <f t="shared" si="9"/>
        <v>#N/A</v>
      </c>
      <c r="M8" s="30">
        <f t="shared" si="10"/>
        <v>0</v>
      </c>
      <c r="N8" s="30">
        <v>0.25</v>
      </c>
      <c r="O8" s="29" t="e">
        <f t="shared" si="11"/>
        <v>#N/A</v>
      </c>
      <c r="P8" s="30">
        <f t="shared" si="12"/>
        <v>0</v>
      </c>
    </row>
    <row r="9" spans="1:18" ht="24.75" customHeight="1" x14ac:dyDescent="0.25">
      <c r="B9" s="28" t="s">
        <v>41</v>
      </c>
      <c r="C9" s="29" t="e">
        <f t="shared" si="0"/>
        <v>#N/A</v>
      </c>
      <c r="D9" s="30">
        <f t="shared" si="1"/>
        <v>0</v>
      </c>
      <c r="E9" s="29" t="e">
        <f t="shared" si="2"/>
        <v>#N/A</v>
      </c>
      <c r="F9" s="31" t="e">
        <f t="shared" si="3"/>
        <v>#N/A</v>
      </c>
      <c r="G9" s="29" t="e">
        <f t="shared" si="4"/>
        <v>#N/A</v>
      </c>
      <c r="H9" s="32">
        <f t="shared" si="5"/>
        <v>0</v>
      </c>
      <c r="I9" s="32" t="e">
        <f t="shared" si="6"/>
        <v>#N/A</v>
      </c>
      <c r="J9" s="29" t="e">
        <f t="shared" si="7"/>
        <v>#N/A</v>
      </c>
      <c r="K9" s="32">
        <f t="shared" si="8"/>
        <v>0</v>
      </c>
      <c r="L9" s="29" t="e">
        <f t="shared" si="9"/>
        <v>#N/A</v>
      </c>
      <c r="M9" s="30">
        <f t="shared" si="10"/>
        <v>0</v>
      </c>
      <c r="N9" s="30">
        <v>0.35</v>
      </c>
      <c r="O9" s="29" t="e">
        <f t="shared" si="11"/>
        <v>#N/A</v>
      </c>
      <c r="P9" s="30">
        <f t="shared" si="12"/>
        <v>0</v>
      </c>
    </row>
    <row r="10" spans="1:18" ht="24.75" customHeight="1" x14ac:dyDescent="0.25">
      <c r="B10" s="28" t="s">
        <v>42</v>
      </c>
      <c r="C10" s="29" t="e">
        <f t="shared" si="0"/>
        <v>#N/A</v>
      </c>
      <c r="D10" s="30"/>
      <c r="E10" s="29" t="e">
        <f t="shared" si="2"/>
        <v>#N/A</v>
      </c>
      <c r="F10" s="31" t="e">
        <f t="shared" si="3"/>
        <v>#N/A</v>
      </c>
      <c r="G10" s="29" t="e">
        <f t="shared" si="4"/>
        <v>#N/A</v>
      </c>
      <c r="H10" s="32">
        <f t="shared" si="5"/>
        <v>0</v>
      </c>
      <c r="I10" s="32" t="e">
        <f t="shared" si="6"/>
        <v>#N/A</v>
      </c>
      <c r="J10" s="29" t="e">
        <f t="shared" si="7"/>
        <v>#N/A</v>
      </c>
      <c r="K10" s="32">
        <f t="shared" si="8"/>
        <v>0</v>
      </c>
      <c r="L10" s="29" t="e">
        <f t="shared" si="9"/>
        <v>#N/A</v>
      </c>
      <c r="M10" s="30">
        <f t="shared" si="10"/>
        <v>0</v>
      </c>
      <c r="N10" s="30">
        <v>0.33</v>
      </c>
      <c r="O10" s="29" t="e">
        <f t="shared" si="11"/>
        <v>#N/A</v>
      </c>
      <c r="P10" s="30">
        <f t="shared" si="12"/>
        <v>0</v>
      </c>
    </row>
    <row r="11" spans="1:18" ht="24.75" customHeight="1" x14ac:dyDescent="0.25">
      <c r="B11" s="28" t="s">
        <v>43</v>
      </c>
      <c r="C11" s="29" t="e">
        <f t="shared" si="0"/>
        <v>#N/A</v>
      </c>
      <c r="D11" s="30"/>
      <c r="E11" s="29" t="e">
        <f t="shared" si="2"/>
        <v>#N/A</v>
      </c>
      <c r="F11" s="31" t="e">
        <f t="shared" si="3"/>
        <v>#N/A</v>
      </c>
      <c r="G11" s="29" t="e">
        <f t="shared" si="4"/>
        <v>#N/A</v>
      </c>
      <c r="H11" s="32">
        <f t="shared" si="5"/>
        <v>0</v>
      </c>
      <c r="I11" s="32" t="e">
        <f t="shared" si="6"/>
        <v>#N/A</v>
      </c>
      <c r="J11" s="29" t="e">
        <f t="shared" si="7"/>
        <v>#N/A</v>
      </c>
      <c r="K11" s="32">
        <f t="shared" si="8"/>
        <v>0</v>
      </c>
      <c r="L11" s="29" t="e">
        <f t="shared" si="9"/>
        <v>#N/A</v>
      </c>
      <c r="M11" s="30">
        <f t="shared" si="10"/>
        <v>0</v>
      </c>
      <c r="N11" s="30">
        <v>0.31</v>
      </c>
      <c r="O11" s="29" t="e">
        <f t="shared" si="11"/>
        <v>#N/A</v>
      </c>
      <c r="P11" s="30">
        <f t="shared" si="12"/>
        <v>0</v>
      </c>
    </row>
    <row r="12" spans="1:18" ht="24.75" customHeight="1" x14ac:dyDescent="0.25">
      <c r="B12" s="28" t="s">
        <v>44</v>
      </c>
      <c r="C12" s="29" t="e">
        <f t="shared" si="0"/>
        <v>#N/A</v>
      </c>
      <c r="D12" s="30"/>
      <c r="E12" s="29" t="e">
        <f t="shared" si="2"/>
        <v>#N/A</v>
      </c>
      <c r="F12" s="31" t="e">
        <f t="shared" si="3"/>
        <v>#N/A</v>
      </c>
      <c r="G12" s="29" t="e">
        <f t="shared" si="4"/>
        <v>#N/A</v>
      </c>
      <c r="H12" s="32">
        <f t="shared" si="5"/>
        <v>0</v>
      </c>
      <c r="I12" s="32" t="e">
        <f t="shared" si="6"/>
        <v>#N/A</v>
      </c>
      <c r="J12" s="29" t="e">
        <f t="shared" si="7"/>
        <v>#N/A</v>
      </c>
      <c r="K12" s="32">
        <f t="shared" si="8"/>
        <v>0</v>
      </c>
      <c r="L12" s="29" t="e">
        <f t="shared" si="9"/>
        <v>#N/A</v>
      </c>
      <c r="M12" s="30">
        <f t="shared" si="10"/>
        <v>0</v>
      </c>
      <c r="N12" s="30">
        <v>0.37</v>
      </c>
      <c r="O12" s="29" t="e">
        <f t="shared" si="11"/>
        <v>#N/A</v>
      </c>
      <c r="P12" s="30">
        <f t="shared" si="12"/>
        <v>0</v>
      </c>
    </row>
    <row r="13" spans="1:18" ht="24.75" customHeight="1" x14ac:dyDescent="0.25">
      <c r="B13" s="28" t="s">
        <v>45</v>
      </c>
      <c r="C13" s="29" t="e">
        <f t="shared" si="0"/>
        <v>#N/A</v>
      </c>
      <c r="D13" s="30"/>
      <c r="E13" s="29" t="e">
        <f t="shared" si="2"/>
        <v>#N/A</v>
      </c>
      <c r="F13" s="31" t="e">
        <f t="shared" si="3"/>
        <v>#N/A</v>
      </c>
      <c r="G13" s="29" t="e">
        <f t="shared" si="4"/>
        <v>#N/A</v>
      </c>
      <c r="H13" s="32">
        <f t="shared" si="5"/>
        <v>0</v>
      </c>
      <c r="I13" s="32" t="e">
        <f t="shared" si="6"/>
        <v>#N/A</v>
      </c>
      <c r="J13" s="29" t="e">
        <f t="shared" si="7"/>
        <v>#N/A</v>
      </c>
      <c r="K13" s="32">
        <f t="shared" si="8"/>
        <v>0</v>
      </c>
      <c r="L13" s="29" t="e">
        <f t="shared" si="9"/>
        <v>#N/A</v>
      </c>
      <c r="M13" s="30">
        <f t="shared" si="10"/>
        <v>0</v>
      </c>
      <c r="N13" s="30">
        <v>0.37</v>
      </c>
      <c r="O13" s="29" t="e">
        <f t="shared" si="11"/>
        <v>#N/A</v>
      </c>
      <c r="P13" s="30">
        <f t="shared" si="12"/>
        <v>0</v>
      </c>
    </row>
    <row r="14" spans="1:18" ht="24.75" customHeight="1" x14ac:dyDescent="0.25">
      <c r="B14" s="28" t="s">
        <v>46</v>
      </c>
      <c r="C14" s="29" t="e">
        <f t="shared" si="0"/>
        <v>#N/A</v>
      </c>
      <c r="D14" s="30"/>
      <c r="E14" s="29" t="e">
        <f t="shared" si="2"/>
        <v>#N/A</v>
      </c>
      <c r="F14" s="31" t="e">
        <f t="shared" si="3"/>
        <v>#N/A</v>
      </c>
      <c r="G14" s="29" t="e">
        <f t="shared" si="4"/>
        <v>#N/A</v>
      </c>
      <c r="H14" s="32">
        <f t="shared" si="5"/>
        <v>0</v>
      </c>
      <c r="I14" s="32" t="e">
        <f t="shared" si="6"/>
        <v>#N/A</v>
      </c>
      <c r="J14" s="29" t="e">
        <f t="shared" si="7"/>
        <v>#N/A</v>
      </c>
      <c r="K14" s="32">
        <f t="shared" si="8"/>
        <v>0</v>
      </c>
      <c r="L14" s="29" t="e">
        <f t="shared" si="9"/>
        <v>#N/A</v>
      </c>
      <c r="M14" s="30">
        <f t="shared" si="10"/>
        <v>0</v>
      </c>
      <c r="N14" s="30">
        <v>0.37</v>
      </c>
      <c r="O14" s="29" t="e">
        <f t="shared" si="11"/>
        <v>#N/A</v>
      </c>
      <c r="P14" s="30">
        <f t="shared" si="12"/>
        <v>0</v>
      </c>
    </row>
    <row r="15" spans="1:18" ht="24.75" customHeight="1" x14ac:dyDescent="0.25">
      <c r="B15" s="28" t="s">
        <v>47</v>
      </c>
      <c r="C15" s="29" t="e">
        <f t="shared" si="0"/>
        <v>#N/A</v>
      </c>
      <c r="D15" s="30"/>
      <c r="E15" s="29" t="e">
        <f t="shared" si="2"/>
        <v>#N/A</v>
      </c>
      <c r="F15" s="31" t="e">
        <f t="shared" si="3"/>
        <v>#N/A</v>
      </c>
      <c r="G15" s="29" t="e">
        <f t="shared" si="4"/>
        <v>#N/A</v>
      </c>
      <c r="H15" s="32">
        <f t="shared" si="5"/>
        <v>0</v>
      </c>
      <c r="I15" s="32" t="e">
        <f t="shared" si="6"/>
        <v>#N/A</v>
      </c>
      <c r="J15" s="29" t="e">
        <f t="shared" si="7"/>
        <v>#N/A</v>
      </c>
      <c r="K15" s="32">
        <f t="shared" si="8"/>
        <v>0</v>
      </c>
      <c r="L15" s="29" t="e">
        <f t="shared" si="9"/>
        <v>#N/A</v>
      </c>
      <c r="M15" s="30">
        <f t="shared" si="10"/>
        <v>0</v>
      </c>
      <c r="N15" s="30">
        <v>0.28000000000000003</v>
      </c>
      <c r="O15" s="29" t="e">
        <f t="shared" si="11"/>
        <v>#N/A</v>
      </c>
      <c r="P15" s="30">
        <f t="shared" si="12"/>
        <v>0</v>
      </c>
    </row>
    <row r="16" spans="1:18" ht="24.75" customHeight="1" x14ac:dyDescent="0.25">
      <c r="B16" s="28" t="s">
        <v>48</v>
      </c>
      <c r="C16" s="29" t="e">
        <f t="shared" si="0"/>
        <v>#N/A</v>
      </c>
      <c r="D16" s="30"/>
      <c r="E16" s="29" t="e">
        <f t="shared" si="2"/>
        <v>#N/A</v>
      </c>
      <c r="F16" s="31" t="e">
        <f t="shared" si="3"/>
        <v>#N/A</v>
      </c>
      <c r="G16" s="29" t="e">
        <f t="shared" si="4"/>
        <v>#N/A</v>
      </c>
      <c r="H16" s="32">
        <f t="shared" si="5"/>
        <v>0</v>
      </c>
      <c r="I16" s="32" t="e">
        <f t="shared" si="6"/>
        <v>#N/A</v>
      </c>
      <c r="J16" s="29" t="e">
        <f t="shared" si="7"/>
        <v>#N/A</v>
      </c>
      <c r="K16" s="32">
        <f t="shared" si="8"/>
        <v>0</v>
      </c>
      <c r="L16" s="29" t="e">
        <f t="shared" si="9"/>
        <v>#N/A</v>
      </c>
      <c r="M16" s="30">
        <f t="shared" si="10"/>
        <v>0</v>
      </c>
      <c r="N16" s="30">
        <v>0.34</v>
      </c>
      <c r="O16" s="29" t="e">
        <f t="shared" si="11"/>
        <v>#N/A</v>
      </c>
      <c r="P16" s="30">
        <f t="shared" si="12"/>
        <v>0</v>
      </c>
    </row>
    <row r="17" spans="1:16" ht="24.75" customHeight="1" x14ac:dyDescent="0.25">
      <c r="B17" s="28" t="s">
        <v>49</v>
      </c>
      <c r="C17" s="29" t="e">
        <f t="shared" si="0"/>
        <v>#N/A</v>
      </c>
      <c r="D17" s="30"/>
      <c r="E17" s="29" t="e">
        <f t="shared" si="2"/>
        <v>#N/A</v>
      </c>
      <c r="F17" s="31" t="e">
        <f t="shared" si="3"/>
        <v>#N/A</v>
      </c>
      <c r="G17" s="29" t="e">
        <f t="shared" si="4"/>
        <v>#N/A</v>
      </c>
      <c r="H17" s="32">
        <f t="shared" si="5"/>
        <v>0</v>
      </c>
      <c r="I17" s="32" t="e">
        <f t="shared" si="6"/>
        <v>#N/A</v>
      </c>
      <c r="J17" s="29" t="e">
        <f t="shared" si="7"/>
        <v>#N/A</v>
      </c>
      <c r="K17" s="32">
        <f t="shared" si="8"/>
        <v>0</v>
      </c>
      <c r="L17" s="29" t="e">
        <f t="shared" si="9"/>
        <v>#N/A</v>
      </c>
      <c r="M17" s="30">
        <f t="shared" si="10"/>
        <v>0</v>
      </c>
      <c r="N17" s="30">
        <v>0.4</v>
      </c>
      <c r="O17" s="29" t="e">
        <f t="shared" si="11"/>
        <v>#N/A</v>
      </c>
      <c r="P17" s="30">
        <f t="shared" si="12"/>
        <v>0</v>
      </c>
    </row>
    <row r="18" spans="1:16" ht="24.75" customHeight="1" x14ac:dyDescent="0.25">
      <c r="B18" s="28" t="s">
        <v>50</v>
      </c>
      <c r="C18" s="29" t="e">
        <f t="shared" si="0"/>
        <v>#N/A</v>
      </c>
      <c r="D18" s="30"/>
      <c r="E18" s="29" t="e">
        <f t="shared" si="2"/>
        <v>#N/A</v>
      </c>
      <c r="F18" s="31" t="e">
        <f t="shared" si="3"/>
        <v>#N/A</v>
      </c>
      <c r="G18" s="29" t="e">
        <f t="shared" si="4"/>
        <v>#N/A</v>
      </c>
      <c r="H18" s="32">
        <f t="shared" si="5"/>
        <v>0</v>
      </c>
      <c r="I18" s="32" t="e">
        <f t="shared" si="6"/>
        <v>#N/A</v>
      </c>
      <c r="J18" s="29" t="e">
        <f t="shared" si="7"/>
        <v>#N/A</v>
      </c>
      <c r="K18" s="32">
        <f t="shared" si="8"/>
        <v>0</v>
      </c>
      <c r="L18" s="29" t="e">
        <f t="shared" si="9"/>
        <v>#N/A</v>
      </c>
      <c r="M18" s="30">
        <f t="shared" si="10"/>
        <v>0</v>
      </c>
      <c r="N18" s="30">
        <v>0.42</v>
      </c>
      <c r="O18" s="29" t="e">
        <f t="shared" si="11"/>
        <v>#N/A</v>
      </c>
      <c r="P18" s="30">
        <f t="shared" si="12"/>
        <v>0</v>
      </c>
    </row>
    <row r="19" spans="1:16" ht="24.75" customHeight="1" x14ac:dyDescent="0.25">
      <c r="B19" s="28" t="s">
        <v>51</v>
      </c>
      <c r="C19" s="29" t="e">
        <f t="shared" si="0"/>
        <v>#N/A</v>
      </c>
      <c r="D19" s="30">
        <f>IFERROR(C19/$C$20,0)</f>
        <v>0</v>
      </c>
      <c r="E19" s="29" t="e">
        <f t="shared" si="2"/>
        <v>#N/A</v>
      </c>
      <c r="F19" s="31" t="e">
        <f t="shared" si="3"/>
        <v>#N/A</v>
      </c>
      <c r="G19" s="29" t="e">
        <f t="shared" si="4"/>
        <v>#N/A</v>
      </c>
      <c r="H19" s="32">
        <f t="shared" si="5"/>
        <v>0</v>
      </c>
      <c r="I19" s="32" t="e">
        <f t="shared" si="6"/>
        <v>#N/A</v>
      </c>
      <c r="J19" s="29" t="e">
        <f t="shared" si="7"/>
        <v>#N/A</v>
      </c>
      <c r="K19" s="32">
        <f t="shared" si="8"/>
        <v>0</v>
      </c>
      <c r="L19" s="29" t="e">
        <f t="shared" si="9"/>
        <v>#N/A</v>
      </c>
      <c r="M19" s="30">
        <f t="shared" si="10"/>
        <v>0</v>
      </c>
      <c r="N19" s="30">
        <v>0.38</v>
      </c>
      <c r="O19" s="29" t="e">
        <f t="shared" si="11"/>
        <v>#N/A</v>
      </c>
      <c r="P19" s="30">
        <f t="shared" si="12"/>
        <v>0</v>
      </c>
    </row>
    <row r="20" spans="1:16" ht="24.75" customHeight="1" x14ac:dyDescent="0.25">
      <c r="A20" s="25"/>
      <c r="B20" s="35" t="s">
        <v>23</v>
      </c>
      <c r="C20" s="36" t="e">
        <f>SUM(C6:C19)</f>
        <v>#N/A</v>
      </c>
      <c r="D20" s="37"/>
      <c r="E20" s="36" t="e">
        <f>SUM(E6:E19)</f>
        <v>#N/A</v>
      </c>
      <c r="F20" s="37" t="e">
        <f t="shared" si="3"/>
        <v>#N/A</v>
      </c>
      <c r="G20" s="36" t="e">
        <f>SUM(G6:G19)</f>
        <v>#N/A</v>
      </c>
      <c r="H20" s="37" t="e">
        <f>+G20/C20</f>
        <v>#N/A</v>
      </c>
      <c r="I20" s="239" t="e">
        <f t="shared" si="6"/>
        <v>#N/A</v>
      </c>
      <c r="J20" s="36" t="e">
        <f>SUM(J6:J19)</f>
        <v>#N/A</v>
      </c>
      <c r="K20" s="37" t="e">
        <f>+J20/C20</f>
        <v>#N/A</v>
      </c>
      <c r="L20" s="36" t="e">
        <f>SUM(L6:L19)</f>
        <v>#N/A</v>
      </c>
      <c r="M20" s="38" t="e">
        <f>+L20/C20</f>
        <v>#N/A</v>
      </c>
      <c r="N20" s="38">
        <v>0.34800000000000003</v>
      </c>
      <c r="O20" s="36" t="e">
        <f>SUM(O6:O19)</f>
        <v>#N/A</v>
      </c>
      <c r="P20" s="38" t="e">
        <f>+O20/C20</f>
        <v>#N/A</v>
      </c>
    </row>
    <row r="21" spans="1:16" x14ac:dyDescent="0.25">
      <c r="B21" s="39"/>
      <c r="C21" s="40" t="e">
        <f>#N/A</f>
        <v>#N/A</v>
      </c>
      <c r="D21" s="40"/>
      <c r="E21" s="40" t="e">
        <f>#N/A</f>
        <v>#N/A</v>
      </c>
      <c r="F21" s="40"/>
      <c r="G21" s="40" t="e">
        <f>#N/A</f>
        <v>#N/A</v>
      </c>
      <c r="H21" s="40"/>
      <c r="I21" s="40"/>
      <c r="J21" s="40"/>
      <c r="K21" s="40"/>
      <c r="L21" s="40" t="e">
        <f>#N/A</f>
        <v>#N/A</v>
      </c>
      <c r="M21" s="40"/>
      <c r="N21" s="40"/>
      <c r="O21" s="40" t="e">
        <f>#N/A</f>
        <v>#N/A</v>
      </c>
      <c r="P21" s="41"/>
    </row>
    <row r="22" spans="1:16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42"/>
      <c r="P22" s="39"/>
    </row>
    <row r="26" spans="1:16" x14ac:dyDescent="0.25">
      <c r="B26" s="43"/>
      <c r="C26" s="43"/>
      <c r="D26" s="43"/>
    </row>
    <row r="27" spans="1:16" x14ac:dyDescent="0.25">
      <c r="B27" s="43"/>
      <c r="C27" s="43"/>
      <c r="D27" s="43"/>
    </row>
    <row r="28" spans="1:16" x14ac:dyDescent="0.25">
      <c r="B28" s="43"/>
      <c r="C28" s="43"/>
      <c r="D28" s="43"/>
    </row>
    <row r="29" spans="1:16" x14ac:dyDescent="0.25">
      <c r="B29" s="43"/>
      <c r="C29" s="43"/>
      <c r="D29" s="43"/>
    </row>
  </sheetData>
  <sheetProtection selectLockedCells="1" selectUnlockedCells="1"/>
  <mergeCells count="3">
    <mergeCell ref="B1:P1"/>
    <mergeCell ref="B2:P2"/>
    <mergeCell ref="B3:P3"/>
  </mergeCells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topLeftCell="B1" zoomScaleNormal="100" workbookViewId="0"/>
  </sheetViews>
  <sheetFormatPr baseColWidth="10" defaultColWidth="17.5703125" defaultRowHeight="15" x14ac:dyDescent="0.25"/>
  <cols>
    <col min="1" max="1" width="25.140625" style="23" hidden="1" customWidth="1"/>
    <col min="2" max="2" width="14.5703125" style="23" customWidth="1"/>
    <col min="3" max="3" width="20.140625" style="23" customWidth="1"/>
    <col min="4" max="4" width="5" style="23" customWidth="1"/>
    <col min="5" max="5" width="17.42578125" style="23" customWidth="1"/>
    <col min="6" max="6" width="12" style="23" customWidth="1"/>
    <col min="7" max="7" width="19.140625" style="23" customWidth="1"/>
    <col min="8" max="9" width="12" style="23" customWidth="1"/>
    <col min="10" max="10" width="14.5703125" style="23" customWidth="1"/>
    <col min="11" max="11" width="8.5703125" style="23" customWidth="1"/>
    <col min="12" max="12" width="20.140625" style="23" customWidth="1"/>
    <col min="13" max="14" width="10.140625" style="23" customWidth="1"/>
    <col min="15" max="15" width="18.42578125" style="23" customWidth="1"/>
    <col min="16" max="16" width="11.28515625" style="23" customWidth="1"/>
    <col min="17" max="17" width="7.85546875" style="23" customWidth="1"/>
    <col min="18" max="16384" width="17.5703125" style="23"/>
  </cols>
  <sheetData>
    <row r="1" spans="1:18" ht="15.75" x14ac:dyDescent="0.25">
      <c r="B1" s="600" t="s">
        <v>32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</row>
    <row r="2" spans="1:18" ht="15.75" x14ac:dyDescent="0.25">
      <c r="B2" s="600" t="e">
        <f>#N/A</f>
        <v>#N/A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</row>
    <row r="3" spans="1:18" ht="15.75" x14ac:dyDescent="0.25">
      <c r="B3" s="600" t="s">
        <v>33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</row>
    <row r="4" spans="1:18" x14ac:dyDescent="0.25">
      <c r="L4" s="24"/>
    </row>
    <row r="5" spans="1:18" ht="29.25" customHeight="1" x14ac:dyDescent="0.25">
      <c r="A5" s="25"/>
      <c r="B5" s="26" t="s">
        <v>34</v>
      </c>
      <c r="C5" s="27" t="s">
        <v>3</v>
      </c>
      <c r="D5" s="27" t="s">
        <v>35</v>
      </c>
      <c r="E5" s="27" t="s">
        <v>5</v>
      </c>
      <c r="F5" s="27"/>
      <c r="G5" s="27" t="s">
        <v>10</v>
      </c>
      <c r="H5" s="27" t="s">
        <v>36</v>
      </c>
      <c r="I5" s="27"/>
      <c r="J5" s="27" t="s">
        <v>11</v>
      </c>
      <c r="K5" s="27" t="s">
        <v>35</v>
      </c>
      <c r="L5" s="27" t="s">
        <v>12</v>
      </c>
      <c r="M5" s="27" t="s">
        <v>37</v>
      </c>
      <c r="N5" s="27"/>
      <c r="O5" s="27" t="s">
        <v>7</v>
      </c>
      <c r="P5" s="27" t="s">
        <v>9</v>
      </c>
    </row>
    <row r="6" spans="1:18" ht="24.75" customHeight="1" x14ac:dyDescent="0.25">
      <c r="B6" s="28" t="s">
        <v>38</v>
      </c>
      <c r="C6" s="29" t="e">
        <f t="shared" ref="C6:C19" si="0">#N/A</f>
        <v>#N/A</v>
      </c>
      <c r="D6" s="30">
        <f t="shared" ref="D6:D19" si="1">IFERROR(C6/$C$20,0)</f>
        <v>0</v>
      </c>
      <c r="E6" s="29" t="e">
        <f t="shared" ref="E6:E19" si="2">#N/A</f>
        <v>#N/A</v>
      </c>
      <c r="F6" s="31" t="e">
        <f t="shared" ref="F6:F20" si="3">+E6/C6</f>
        <v>#N/A</v>
      </c>
      <c r="G6" s="29" t="e">
        <f t="shared" ref="G6:G19" si="4">#N/A</f>
        <v>#N/A</v>
      </c>
      <c r="H6" s="32">
        <f t="shared" ref="H6:H19" si="5">IFERROR(G6/C6,0)</f>
        <v>0</v>
      </c>
      <c r="I6" s="32" t="e">
        <f t="shared" ref="I6:I20" si="6">+G6/C6</f>
        <v>#N/A</v>
      </c>
      <c r="J6" s="29" t="e">
        <f t="shared" ref="J6:J19" si="7">#N/A</f>
        <v>#N/A</v>
      </c>
      <c r="K6" s="32">
        <f t="shared" ref="K6:K19" si="8">IFERROR(J6/C6,0)</f>
        <v>0</v>
      </c>
      <c r="L6" s="29" t="e">
        <f t="shared" ref="L6:L19" si="9">#N/A</f>
        <v>#N/A</v>
      </c>
      <c r="M6" s="30">
        <f t="shared" ref="M6:M19" si="10">IFERROR(L6/C6,0)</f>
        <v>0</v>
      </c>
      <c r="N6" s="30">
        <v>0.4</v>
      </c>
      <c r="O6" s="29" t="e">
        <f t="shared" ref="O6:O19" si="11">#N/A</f>
        <v>#N/A</v>
      </c>
      <c r="P6" s="30">
        <f t="shared" ref="P6:P19" si="12">IFERROR(O6/C6,0)</f>
        <v>0</v>
      </c>
      <c r="Q6" s="43"/>
      <c r="R6" s="20" t="e">
        <f>(+E20+G20+J20+L20)/C20</f>
        <v>#N/A</v>
      </c>
    </row>
    <row r="7" spans="1:18" ht="24.75" customHeight="1" x14ac:dyDescent="0.25">
      <c r="B7" s="28" t="s">
        <v>39</v>
      </c>
      <c r="C7" s="29" t="e">
        <f t="shared" si="0"/>
        <v>#N/A</v>
      </c>
      <c r="D7" s="30">
        <f t="shared" si="1"/>
        <v>0</v>
      </c>
      <c r="E7" s="29" t="e">
        <f t="shared" si="2"/>
        <v>#N/A</v>
      </c>
      <c r="F7" s="31" t="e">
        <f t="shared" si="3"/>
        <v>#N/A</v>
      </c>
      <c r="G7" s="29" t="e">
        <f t="shared" si="4"/>
        <v>#N/A</v>
      </c>
      <c r="H7" s="32">
        <f t="shared" si="5"/>
        <v>0</v>
      </c>
      <c r="I7" s="32" t="e">
        <f t="shared" si="6"/>
        <v>#N/A</v>
      </c>
      <c r="J7" s="29" t="e">
        <f t="shared" si="7"/>
        <v>#N/A</v>
      </c>
      <c r="K7" s="32">
        <f t="shared" si="8"/>
        <v>0</v>
      </c>
      <c r="L7" s="29" t="e">
        <f t="shared" si="9"/>
        <v>#N/A</v>
      </c>
      <c r="M7" s="30">
        <f t="shared" si="10"/>
        <v>0</v>
      </c>
      <c r="N7" s="30">
        <v>0.42</v>
      </c>
      <c r="O7" s="29" t="e">
        <f t="shared" si="11"/>
        <v>#N/A</v>
      </c>
      <c r="P7" s="30">
        <f t="shared" si="12"/>
        <v>0</v>
      </c>
      <c r="Q7" s="43"/>
    </row>
    <row r="8" spans="1:18" ht="24.75" customHeight="1" x14ac:dyDescent="0.25">
      <c r="B8" s="28" t="s">
        <v>40</v>
      </c>
      <c r="C8" s="29" t="e">
        <f t="shared" si="0"/>
        <v>#N/A</v>
      </c>
      <c r="D8" s="30">
        <f t="shared" si="1"/>
        <v>0</v>
      </c>
      <c r="E8" s="29" t="e">
        <f t="shared" si="2"/>
        <v>#N/A</v>
      </c>
      <c r="F8" s="31" t="e">
        <f t="shared" si="3"/>
        <v>#N/A</v>
      </c>
      <c r="G8" s="29" t="e">
        <f t="shared" si="4"/>
        <v>#N/A</v>
      </c>
      <c r="H8" s="32">
        <f t="shared" si="5"/>
        <v>0</v>
      </c>
      <c r="I8" s="32" t="e">
        <f t="shared" si="6"/>
        <v>#N/A</v>
      </c>
      <c r="J8" s="29" t="e">
        <f t="shared" si="7"/>
        <v>#N/A</v>
      </c>
      <c r="K8" s="32">
        <f t="shared" si="8"/>
        <v>0</v>
      </c>
      <c r="L8" s="29" t="e">
        <f t="shared" si="9"/>
        <v>#N/A</v>
      </c>
      <c r="M8" s="30">
        <f t="shared" si="10"/>
        <v>0</v>
      </c>
      <c r="N8" s="30">
        <v>0.28999999999999998</v>
      </c>
      <c r="O8" s="29" t="e">
        <f t="shared" si="11"/>
        <v>#N/A</v>
      </c>
      <c r="P8" s="30">
        <f t="shared" si="12"/>
        <v>0</v>
      </c>
    </row>
    <row r="9" spans="1:18" ht="24.75" customHeight="1" x14ac:dyDescent="0.25">
      <c r="B9" s="28" t="s">
        <v>41</v>
      </c>
      <c r="C9" s="29" t="e">
        <f t="shared" si="0"/>
        <v>#N/A</v>
      </c>
      <c r="D9" s="30">
        <f t="shared" si="1"/>
        <v>0</v>
      </c>
      <c r="E9" s="29" t="e">
        <f t="shared" si="2"/>
        <v>#N/A</v>
      </c>
      <c r="F9" s="31" t="e">
        <f t="shared" si="3"/>
        <v>#N/A</v>
      </c>
      <c r="G9" s="29" t="e">
        <f t="shared" si="4"/>
        <v>#N/A</v>
      </c>
      <c r="H9" s="32">
        <f t="shared" si="5"/>
        <v>0</v>
      </c>
      <c r="I9" s="32" t="e">
        <f t="shared" si="6"/>
        <v>#N/A</v>
      </c>
      <c r="J9" s="29" t="e">
        <f t="shared" si="7"/>
        <v>#N/A</v>
      </c>
      <c r="K9" s="32">
        <f t="shared" si="8"/>
        <v>0</v>
      </c>
      <c r="L9" s="29" t="e">
        <f t="shared" si="9"/>
        <v>#N/A</v>
      </c>
      <c r="M9" s="30">
        <f t="shared" si="10"/>
        <v>0</v>
      </c>
      <c r="N9" s="30">
        <v>0.43</v>
      </c>
      <c r="O9" s="29" t="e">
        <f t="shared" si="11"/>
        <v>#N/A</v>
      </c>
      <c r="P9" s="30">
        <f t="shared" si="12"/>
        <v>0</v>
      </c>
    </row>
    <row r="10" spans="1:18" ht="24.75" customHeight="1" x14ac:dyDescent="0.25">
      <c r="B10" s="28" t="s">
        <v>42</v>
      </c>
      <c r="C10" s="29" t="e">
        <f t="shared" si="0"/>
        <v>#N/A</v>
      </c>
      <c r="D10" s="30">
        <f t="shared" si="1"/>
        <v>0</v>
      </c>
      <c r="E10" s="29" t="e">
        <f t="shared" si="2"/>
        <v>#N/A</v>
      </c>
      <c r="F10" s="31" t="e">
        <f t="shared" si="3"/>
        <v>#N/A</v>
      </c>
      <c r="G10" s="29" t="e">
        <f t="shared" si="4"/>
        <v>#N/A</v>
      </c>
      <c r="H10" s="32">
        <f t="shared" si="5"/>
        <v>0</v>
      </c>
      <c r="I10" s="32" t="e">
        <f t="shared" si="6"/>
        <v>#N/A</v>
      </c>
      <c r="J10" s="29" t="e">
        <f t="shared" si="7"/>
        <v>#N/A</v>
      </c>
      <c r="K10" s="32">
        <f t="shared" si="8"/>
        <v>0</v>
      </c>
      <c r="L10" s="29" t="e">
        <f t="shared" si="9"/>
        <v>#N/A</v>
      </c>
      <c r="M10" s="30">
        <f t="shared" si="10"/>
        <v>0</v>
      </c>
      <c r="N10" s="30">
        <v>0.41</v>
      </c>
      <c r="O10" s="29" t="e">
        <f t="shared" si="11"/>
        <v>#N/A</v>
      </c>
      <c r="P10" s="30">
        <f t="shared" si="12"/>
        <v>0</v>
      </c>
    </row>
    <row r="11" spans="1:18" ht="24.75" customHeight="1" x14ac:dyDescent="0.25">
      <c r="B11" s="28" t="s">
        <v>43</v>
      </c>
      <c r="C11" s="29" t="e">
        <f t="shared" si="0"/>
        <v>#N/A</v>
      </c>
      <c r="D11" s="30">
        <f t="shared" si="1"/>
        <v>0</v>
      </c>
      <c r="E11" s="29" t="e">
        <f t="shared" si="2"/>
        <v>#N/A</v>
      </c>
      <c r="F11" s="31" t="e">
        <f t="shared" si="3"/>
        <v>#N/A</v>
      </c>
      <c r="G11" s="29" t="e">
        <f t="shared" si="4"/>
        <v>#N/A</v>
      </c>
      <c r="H11" s="32">
        <f t="shared" si="5"/>
        <v>0</v>
      </c>
      <c r="I11" s="32" t="e">
        <f t="shared" si="6"/>
        <v>#N/A</v>
      </c>
      <c r="J11" s="29" t="e">
        <f t="shared" si="7"/>
        <v>#N/A</v>
      </c>
      <c r="K11" s="32">
        <f t="shared" si="8"/>
        <v>0</v>
      </c>
      <c r="L11" s="29" t="e">
        <f t="shared" si="9"/>
        <v>#N/A</v>
      </c>
      <c r="M11" s="30">
        <f t="shared" si="10"/>
        <v>0</v>
      </c>
      <c r="N11" s="30">
        <v>0.38</v>
      </c>
      <c r="O11" s="29" t="e">
        <f t="shared" si="11"/>
        <v>#N/A</v>
      </c>
      <c r="P11" s="30">
        <f t="shared" si="12"/>
        <v>0</v>
      </c>
    </row>
    <row r="12" spans="1:18" ht="24.75" customHeight="1" x14ac:dyDescent="0.25">
      <c r="B12" s="28" t="s">
        <v>44</v>
      </c>
      <c r="C12" s="29" t="e">
        <f t="shared" si="0"/>
        <v>#N/A</v>
      </c>
      <c r="D12" s="30">
        <f t="shared" si="1"/>
        <v>0</v>
      </c>
      <c r="E12" s="29" t="e">
        <f t="shared" si="2"/>
        <v>#N/A</v>
      </c>
      <c r="F12" s="31" t="e">
        <f t="shared" si="3"/>
        <v>#N/A</v>
      </c>
      <c r="G12" s="29" t="e">
        <f t="shared" si="4"/>
        <v>#N/A</v>
      </c>
      <c r="H12" s="32">
        <f t="shared" si="5"/>
        <v>0</v>
      </c>
      <c r="I12" s="32" t="e">
        <f t="shared" si="6"/>
        <v>#N/A</v>
      </c>
      <c r="J12" s="29" t="e">
        <f t="shared" si="7"/>
        <v>#N/A</v>
      </c>
      <c r="K12" s="32">
        <f t="shared" si="8"/>
        <v>0</v>
      </c>
      <c r="L12" s="29" t="e">
        <f t="shared" si="9"/>
        <v>#N/A</v>
      </c>
      <c r="M12" s="30">
        <f t="shared" si="10"/>
        <v>0</v>
      </c>
      <c r="N12" s="30">
        <v>0.44</v>
      </c>
      <c r="O12" s="29" t="e">
        <f t="shared" si="11"/>
        <v>#N/A</v>
      </c>
      <c r="P12" s="30">
        <f t="shared" si="12"/>
        <v>0</v>
      </c>
    </row>
    <row r="13" spans="1:18" ht="24.75" customHeight="1" x14ac:dyDescent="0.25">
      <c r="B13" s="28" t="s">
        <v>45</v>
      </c>
      <c r="C13" s="29" t="e">
        <f t="shared" si="0"/>
        <v>#N/A</v>
      </c>
      <c r="D13" s="30">
        <f t="shared" si="1"/>
        <v>0</v>
      </c>
      <c r="E13" s="29" t="e">
        <f t="shared" si="2"/>
        <v>#N/A</v>
      </c>
      <c r="F13" s="31" t="e">
        <f t="shared" si="3"/>
        <v>#N/A</v>
      </c>
      <c r="G13" s="29" t="e">
        <f t="shared" si="4"/>
        <v>#N/A</v>
      </c>
      <c r="H13" s="32">
        <f t="shared" si="5"/>
        <v>0</v>
      </c>
      <c r="I13" s="32" t="e">
        <f t="shared" si="6"/>
        <v>#N/A</v>
      </c>
      <c r="J13" s="29" t="e">
        <f t="shared" si="7"/>
        <v>#N/A</v>
      </c>
      <c r="K13" s="32">
        <f t="shared" si="8"/>
        <v>0</v>
      </c>
      <c r="L13" s="29" t="e">
        <f t="shared" si="9"/>
        <v>#N/A</v>
      </c>
      <c r="M13" s="30">
        <f t="shared" si="10"/>
        <v>0</v>
      </c>
      <c r="N13" s="30">
        <v>0.43</v>
      </c>
      <c r="O13" s="29" t="e">
        <f t="shared" si="11"/>
        <v>#N/A</v>
      </c>
      <c r="P13" s="30">
        <f t="shared" si="12"/>
        <v>0</v>
      </c>
    </row>
    <row r="14" spans="1:18" ht="24.75" customHeight="1" x14ac:dyDescent="0.25">
      <c r="B14" s="28" t="s">
        <v>46</v>
      </c>
      <c r="C14" s="29" t="e">
        <f t="shared" si="0"/>
        <v>#N/A</v>
      </c>
      <c r="D14" s="30">
        <f t="shared" si="1"/>
        <v>0</v>
      </c>
      <c r="E14" s="29" t="e">
        <f t="shared" si="2"/>
        <v>#N/A</v>
      </c>
      <c r="F14" s="31" t="e">
        <f t="shared" si="3"/>
        <v>#N/A</v>
      </c>
      <c r="G14" s="29" t="e">
        <f t="shared" si="4"/>
        <v>#N/A</v>
      </c>
      <c r="H14" s="32">
        <f t="shared" si="5"/>
        <v>0</v>
      </c>
      <c r="I14" s="32" t="e">
        <f t="shared" si="6"/>
        <v>#N/A</v>
      </c>
      <c r="J14" s="29" t="e">
        <f t="shared" si="7"/>
        <v>#N/A</v>
      </c>
      <c r="K14" s="32">
        <f t="shared" si="8"/>
        <v>0</v>
      </c>
      <c r="L14" s="29" t="e">
        <f t="shared" si="9"/>
        <v>#N/A</v>
      </c>
      <c r="M14" s="30">
        <f t="shared" si="10"/>
        <v>0</v>
      </c>
      <c r="N14" s="30">
        <v>0.43</v>
      </c>
      <c r="O14" s="29" t="e">
        <f t="shared" si="11"/>
        <v>#N/A</v>
      </c>
      <c r="P14" s="30">
        <f t="shared" si="12"/>
        <v>0</v>
      </c>
    </row>
    <row r="15" spans="1:18" ht="24.75" customHeight="1" x14ac:dyDescent="0.25">
      <c r="B15" s="28" t="s">
        <v>47</v>
      </c>
      <c r="C15" s="29" t="e">
        <f t="shared" si="0"/>
        <v>#N/A</v>
      </c>
      <c r="D15" s="30">
        <f t="shared" si="1"/>
        <v>0</v>
      </c>
      <c r="E15" s="29" t="e">
        <f t="shared" si="2"/>
        <v>#N/A</v>
      </c>
      <c r="F15" s="31" t="e">
        <f t="shared" si="3"/>
        <v>#N/A</v>
      </c>
      <c r="G15" s="29" t="e">
        <f t="shared" si="4"/>
        <v>#N/A</v>
      </c>
      <c r="H15" s="32">
        <f t="shared" si="5"/>
        <v>0</v>
      </c>
      <c r="I15" s="32" t="e">
        <f t="shared" si="6"/>
        <v>#N/A</v>
      </c>
      <c r="J15" s="29" t="e">
        <f t="shared" si="7"/>
        <v>#N/A</v>
      </c>
      <c r="K15" s="32">
        <f t="shared" si="8"/>
        <v>0</v>
      </c>
      <c r="L15" s="29" t="e">
        <f t="shared" si="9"/>
        <v>#N/A</v>
      </c>
      <c r="M15" s="30">
        <f t="shared" si="10"/>
        <v>0</v>
      </c>
      <c r="N15" s="30">
        <v>0.36</v>
      </c>
      <c r="O15" s="29" t="e">
        <f t="shared" si="11"/>
        <v>#N/A</v>
      </c>
      <c r="P15" s="30">
        <f t="shared" si="12"/>
        <v>0</v>
      </c>
    </row>
    <row r="16" spans="1:18" ht="24.75" customHeight="1" x14ac:dyDescent="0.25">
      <c r="B16" s="28" t="s">
        <v>48</v>
      </c>
      <c r="C16" s="29" t="e">
        <f t="shared" si="0"/>
        <v>#N/A</v>
      </c>
      <c r="D16" s="30">
        <f t="shared" si="1"/>
        <v>0</v>
      </c>
      <c r="E16" s="29" t="e">
        <f t="shared" si="2"/>
        <v>#N/A</v>
      </c>
      <c r="F16" s="31" t="e">
        <f t="shared" si="3"/>
        <v>#N/A</v>
      </c>
      <c r="G16" s="29" t="e">
        <f t="shared" si="4"/>
        <v>#N/A</v>
      </c>
      <c r="H16" s="32">
        <f t="shared" si="5"/>
        <v>0</v>
      </c>
      <c r="I16" s="32" t="e">
        <f t="shared" si="6"/>
        <v>#N/A</v>
      </c>
      <c r="J16" s="29" t="e">
        <f t="shared" si="7"/>
        <v>#N/A</v>
      </c>
      <c r="K16" s="32">
        <f t="shared" si="8"/>
        <v>0</v>
      </c>
      <c r="L16" s="29" t="e">
        <f t="shared" si="9"/>
        <v>#N/A</v>
      </c>
      <c r="M16" s="30">
        <f t="shared" si="10"/>
        <v>0</v>
      </c>
      <c r="N16" s="30">
        <v>0.39</v>
      </c>
      <c r="O16" s="29" t="e">
        <f t="shared" si="11"/>
        <v>#N/A</v>
      </c>
      <c r="P16" s="30">
        <f t="shared" si="12"/>
        <v>0</v>
      </c>
    </row>
    <row r="17" spans="1:16" ht="24.75" customHeight="1" x14ac:dyDescent="0.25">
      <c r="B17" s="28" t="s">
        <v>49</v>
      </c>
      <c r="C17" s="29" t="e">
        <f t="shared" si="0"/>
        <v>#N/A</v>
      </c>
      <c r="D17" s="30">
        <f t="shared" si="1"/>
        <v>0</v>
      </c>
      <c r="E17" s="29" t="e">
        <f t="shared" si="2"/>
        <v>#N/A</v>
      </c>
      <c r="F17" s="31" t="e">
        <f t="shared" si="3"/>
        <v>#N/A</v>
      </c>
      <c r="G17" s="29" t="e">
        <f t="shared" si="4"/>
        <v>#N/A</v>
      </c>
      <c r="H17" s="32">
        <f t="shared" si="5"/>
        <v>0</v>
      </c>
      <c r="I17" s="32" t="e">
        <f t="shared" si="6"/>
        <v>#N/A</v>
      </c>
      <c r="J17" s="29" t="e">
        <f t="shared" si="7"/>
        <v>#N/A</v>
      </c>
      <c r="K17" s="32">
        <f t="shared" si="8"/>
        <v>0</v>
      </c>
      <c r="L17" s="29" t="e">
        <f t="shared" si="9"/>
        <v>#N/A</v>
      </c>
      <c r="M17" s="30">
        <f t="shared" si="10"/>
        <v>0</v>
      </c>
      <c r="N17" s="30">
        <v>0.47</v>
      </c>
      <c r="O17" s="29" t="e">
        <f t="shared" si="11"/>
        <v>#N/A</v>
      </c>
      <c r="P17" s="30">
        <f t="shared" si="12"/>
        <v>0</v>
      </c>
    </row>
    <row r="18" spans="1:16" ht="24.75" customHeight="1" x14ac:dyDescent="0.25">
      <c r="B18" s="28" t="s">
        <v>50</v>
      </c>
      <c r="C18" s="29" t="e">
        <f t="shared" si="0"/>
        <v>#N/A</v>
      </c>
      <c r="D18" s="30">
        <f t="shared" si="1"/>
        <v>0</v>
      </c>
      <c r="E18" s="29" t="e">
        <f t="shared" si="2"/>
        <v>#N/A</v>
      </c>
      <c r="F18" s="31" t="e">
        <f t="shared" si="3"/>
        <v>#N/A</v>
      </c>
      <c r="G18" s="29" t="e">
        <f t="shared" si="4"/>
        <v>#N/A</v>
      </c>
      <c r="H18" s="32">
        <f t="shared" si="5"/>
        <v>0</v>
      </c>
      <c r="I18" s="32" t="e">
        <f t="shared" si="6"/>
        <v>#N/A</v>
      </c>
      <c r="J18" s="29" t="e">
        <f t="shared" si="7"/>
        <v>#N/A</v>
      </c>
      <c r="K18" s="32">
        <f t="shared" si="8"/>
        <v>0</v>
      </c>
      <c r="L18" s="29" t="e">
        <f t="shared" si="9"/>
        <v>#N/A</v>
      </c>
      <c r="M18" s="30">
        <f t="shared" si="10"/>
        <v>0</v>
      </c>
      <c r="N18" s="30">
        <v>0.49</v>
      </c>
      <c r="O18" s="29" t="e">
        <f t="shared" si="11"/>
        <v>#N/A</v>
      </c>
      <c r="P18" s="30">
        <f t="shared" si="12"/>
        <v>0</v>
      </c>
    </row>
    <row r="19" spans="1:16" ht="24.75" customHeight="1" x14ac:dyDescent="0.25">
      <c r="B19" s="28" t="s">
        <v>51</v>
      </c>
      <c r="C19" s="29" t="e">
        <f t="shared" si="0"/>
        <v>#N/A</v>
      </c>
      <c r="D19" s="30">
        <f t="shared" si="1"/>
        <v>0</v>
      </c>
      <c r="E19" s="29" t="e">
        <f t="shared" si="2"/>
        <v>#N/A</v>
      </c>
      <c r="F19" s="31" t="e">
        <f t="shared" si="3"/>
        <v>#N/A</v>
      </c>
      <c r="G19" s="29" t="e">
        <f t="shared" si="4"/>
        <v>#N/A</v>
      </c>
      <c r="H19" s="32">
        <f t="shared" si="5"/>
        <v>0</v>
      </c>
      <c r="I19" s="32" t="e">
        <f t="shared" si="6"/>
        <v>#N/A</v>
      </c>
      <c r="J19" s="29" t="e">
        <f t="shared" si="7"/>
        <v>#N/A</v>
      </c>
      <c r="K19" s="32">
        <f t="shared" si="8"/>
        <v>0</v>
      </c>
      <c r="L19" s="29" t="e">
        <f t="shared" si="9"/>
        <v>#N/A</v>
      </c>
      <c r="M19" s="30">
        <f t="shared" si="10"/>
        <v>0</v>
      </c>
      <c r="N19" s="30">
        <v>0.45</v>
      </c>
      <c r="O19" s="29" t="e">
        <f t="shared" si="11"/>
        <v>#N/A</v>
      </c>
      <c r="P19" s="30">
        <f t="shared" si="12"/>
        <v>0</v>
      </c>
    </row>
    <row r="20" spans="1:16" ht="24.75" customHeight="1" x14ac:dyDescent="0.25">
      <c r="A20" s="25"/>
      <c r="B20" s="35" t="s">
        <v>23</v>
      </c>
      <c r="C20" s="36" t="e">
        <f>SUM(C6:C19)</f>
        <v>#N/A</v>
      </c>
      <c r="D20" s="37"/>
      <c r="E20" s="36" t="e">
        <f>SUM(E6:E19)</f>
        <v>#N/A</v>
      </c>
      <c r="F20" s="37" t="e">
        <f t="shared" si="3"/>
        <v>#N/A</v>
      </c>
      <c r="G20" s="36" t="e">
        <f>SUM(G6:G19)</f>
        <v>#N/A</v>
      </c>
      <c r="H20" s="37" t="e">
        <f>+G20/C20</f>
        <v>#N/A</v>
      </c>
      <c r="I20" s="239" t="e">
        <f t="shared" si="6"/>
        <v>#N/A</v>
      </c>
      <c r="J20" s="36" t="e">
        <f>SUM(J6:J19)</f>
        <v>#N/A</v>
      </c>
      <c r="K20" s="37" t="e">
        <f>+J20/C20</f>
        <v>#N/A</v>
      </c>
      <c r="L20" s="36" t="e">
        <f>SUM(L6:L19)</f>
        <v>#N/A</v>
      </c>
      <c r="M20" s="38" t="e">
        <f>+L20/C20</f>
        <v>#N/A</v>
      </c>
      <c r="N20" s="38">
        <v>0.42099999999999999</v>
      </c>
      <c r="O20" s="36" t="e">
        <f>SUM(O6:O19)</f>
        <v>#N/A</v>
      </c>
      <c r="P20" s="38" t="e">
        <f>+O20/C20</f>
        <v>#N/A</v>
      </c>
    </row>
    <row r="21" spans="1:16" x14ac:dyDescent="0.25">
      <c r="B21" s="39"/>
      <c r="C21" s="40" t="e">
        <f>#N/A</f>
        <v>#N/A</v>
      </c>
      <c r="D21" s="40"/>
      <c r="E21" s="40" t="e">
        <f>#N/A</f>
        <v>#N/A</v>
      </c>
      <c r="F21" s="40"/>
      <c r="G21" s="40" t="e">
        <f>#N/A</f>
        <v>#N/A</v>
      </c>
      <c r="H21" s="40"/>
      <c r="I21" s="40"/>
      <c r="J21" s="40"/>
      <c r="K21" s="40"/>
      <c r="L21" s="40" t="e">
        <f>#N/A</f>
        <v>#N/A</v>
      </c>
      <c r="M21" s="40"/>
      <c r="N21" s="40"/>
      <c r="O21" s="40" t="e">
        <f>#N/A</f>
        <v>#N/A</v>
      </c>
      <c r="P21" s="41"/>
    </row>
    <row r="22" spans="1:16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42"/>
      <c r="P22" s="39"/>
    </row>
    <row r="26" spans="1:16" x14ac:dyDescent="0.25">
      <c r="B26" s="43"/>
      <c r="C26" s="43"/>
      <c r="D26" s="43"/>
    </row>
    <row r="27" spans="1:16" x14ac:dyDescent="0.25">
      <c r="B27" s="43"/>
      <c r="C27" s="43"/>
      <c r="D27" s="43"/>
    </row>
    <row r="28" spans="1:16" x14ac:dyDescent="0.25">
      <c r="B28" s="43"/>
      <c r="C28" s="43"/>
      <c r="D28" s="43"/>
    </row>
    <row r="29" spans="1:16" x14ac:dyDescent="0.25">
      <c r="B29" s="43"/>
      <c r="C29" s="43"/>
      <c r="D29" s="43"/>
    </row>
  </sheetData>
  <sheetProtection selectLockedCells="1" selectUnlockedCells="1"/>
  <mergeCells count="3">
    <mergeCell ref="B1:P1"/>
    <mergeCell ref="B2:P2"/>
    <mergeCell ref="B3:P3"/>
  </mergeCells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topLeftCell="B1" zoomScaleNormal="100" workbookViewId="0"/>
  </sheetViews>
  <sheetFormatPr baseColWidth="10" defaultColWidth="17.5703125" defaultRowHeight="15" x14ac:dyDescent="0.25"/>
  <cols>
    <col min="1" max="1" width="25.140625" style="23" hidden="1" customWidth="1"/>
    <col min="2" max="2" width="14.5703125" style="23" customWidth="1"/>
    <col min="3" max="3" width="20.140625" style="23" customWidth="1"/>
    <col min="4" max="4" width="5" style="23" customWidth="1"/>
    <col min="5" max="5" width="17.42578125" style="23" customWidth="1"/>
    <col min="6" max="6" width="12" style="23" customWidth="1"/>
    <col min="7" max="7" width="19.140625" style="23" customWidth="1"/>
    <col min="8" max="9" width="12" style="23" customWidth="1"/>
    <col min="10" max="10" width="14.5703125" style="23" customWidth="1"/>
    <col min="11" max="11" width="8.5703125" style="23" customWidth="1"/>
    <col min="12" max="12" width="20.140625" style="23" customWidth="1"/>
    <col min="13" max="14" width="10.140625" style="23" customWidth="1"/>
    <col min="15" max="15" width="18.42578125" style="23" customWidth="1"/>
    <col min="16" max="16" width="11.28515625" style="23" customWidth="1"/>
    <col min="17" max="17" width="7.85546875" style="23" customWidth="1"/>
    <col min="18" max="16384" width="17.5703125" style="23"/>
  </cols>
  <sheetData>
    <row r="1" spans="1:18" ht="15.75" x14ac:dyDescent="0.25">
      <c r="B1" s="600" t="s">
        <v>32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</row>
    <row r="2" spans="1:18" ht="15.75" x14ac:dyDescent="0.25">
      <c r="B2" s="600" t="e">
        <f>#N/A</f>
        <v>#N/A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</row>
    <row r="3" spans="1:18" ht="15.75" x14ac:dyDescent="0.25">
      <c r="B3" s="600" t="s">
        <v>33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</row>
    <row r="4" spans="1:18" x14ac:dyDescent="0.25">
      <c r="L4" s="24"/>
    </row>
    <row r="5" spans="1:18" ht="29.25" customHeight="1" x14ac:dyDescent="0.25">
      <c r="A5" s="25"/>
      <c r="B5" s="26" t="s">
        <v>34</v>
      </c>
      <c r="C5" s="27" t="s">
        <v>3</v>
      </c>
      <c r="D5" s="27" t="s">
        <v>35</v>
      </c>
      <c r="E5" s="27" t="s">
        <v>5</v>
      </c>
      <c r="F5" s="27"/>
      <c r="G5" s="27" t="s">
        <v>10</v>
      </c>
      <c r="H5" s="27" t="s">
        <v>36</v>
      </c>
      <c r="I5" s="27"/>
      <c r="J5" s="27" t="s">
        <v>11</v>
      </c>
      <c r="K5" s="27" t="s">
        <v>35</v>
      </c>
      <c r="L5" s="27" t="s">
        <v>12</v>
      </c>
      <c r="M5" s="27" t="s">
        <v>37</v>
      </c>
      <c r="N5" s="27"/>
      <c r="O5" s="27" t="s">
        <v>7</v>
      </c>
      <c r="P5" s="27" t="s">
        <v>9</v>
      </c>
    </row>
    <row r="6" spans="1:18" ht="24.75" customHeight="1" x14ac:dyDescent="0.25">
      <c r="B6" s="28" t="s">
        <v>38</v>
      </c>
      <c r="C6" s="29" t="e">
        <f t="shared" ref="C6:C19" si="0">#N/A</f>
        <v>#N/A</v>
      </c>
      <c r="D6" s="30">
        <f t="shared" ref="D6:D19" si="1">IFERROR(C6/$C$20,0)</f>
        <v>0</v>
      </c>
      <c r="E6" s="29" t="e">
        <f t="shared" ref="E6:E19" si="2">#N/A</f>
        <v>#N/A</v>
      </c>
      <c r="F6" s="31" t="e">
        <f t="shared" ref="F6:F20" si="3">+E6/C6</f>
        <v>#N/A</v>
      </c>
      <c r="G6" s="29" t="e">
        <f t="shared" ref="G6:G19" si="4">#N/A</f>
        <v>#N/A</v>
      </c>
      <c r="H6" s="32">
        <f t="shared" ref="H6:H19" si="5">IFERROR(G6/C6,0)</f>
        <v>0</v>
      </c>
      <c r="I6" s="32" t="e">
        <f t="shared" ref="I6:I20" si="6">+G6/C6</f>
        <v>#N/A</v>
      </c>
      <c r="J6" s="29" t="e">
        <f t="shared" ref="J6:J19" si="7">#N/A</f>
        <v>#N/A</v>
      </c>
      <c r="K6" s="32">
        <f t="shared" ref="K6:K19" si="8">IFERROR(J6/C6,0)</f>
        <v>0</v>
      </c>
      <c r="L6" s="29" t="e">
        <f t="shared" ref="L6:L19" si="9">#N/A</f>
        <v>#N/A</v>
      </c>
      <c r="M6" s="30">
        <f t="shared" ref="M6:M19" si="10">IFERROR(L6/C6,0)</f>
        <v>0</v>
      </c>
      <c r="N6" s="30">
        <v>0.47</v>
      </c>
      <c r="O6" s="29" t="e">
        <f t="shared" ref="O6:O19" si="11">#N/A</f>
        <v>#N/A</v>
      </c>
      <c r="P6" s="30">
        <f t="shared" ref="P6:P19" si="12">IFERROR(O6/C6,0)</f>
        <v>0</v>
      </c>
      <c r="Q6" s="43"/>
      <c r="R6" s="20" t="e">
        <f>(+E20+G20+J20+L20)/C20</f>
        <v>#N/A</v>
      </c>
    </row>
    <row r="7" spans="1:18" ht="24.75" customHeight="1" x14ac:dyDescent="0.25">
      <c r="B7" s="28" t="s">
        <v>39</v>
      </c>
      <c r="C7" s="29" t="e">
        <f t="shared" si="0"/>
        <v>#N/A</v>
      </c>
      <c r="D7" s="30">
        <f t="shared" si="1"/>
        <v>0</v>
      </c>
      <c r="E7" s="29" t="e">
        <f t="shared" si="2"/>
        <v>#N/A</v>
      </c>
      <c r="F7" s="31" t="e">
        <f t="shared" si="3"/>
        <v>#N/A</v>
      </c>
      <c r="G7" s="29" t="e">
        <f t="shared" si="4"/>
        <v>#N/A</v>
      </c>
      <c r="H7" s="32">
        <f t="shared" si="5"/>
        <v>0</v>
      </c>
      <c r="I7" s="32" t="e">
        <f t="shared" si="6"/>
        <v>#N/A</v>
      </c>
      <c r="J7" s="29" t="e">
        <f t="shared" si="7"/>
        <v>#N/A</v>
      </c>
      <c r="K7" s="32">
        <f t="shared" si="8"/>
        <v>0</v>
      </c>
      <c r="L7" s="29" t="e">
        <f t="shared" si="9"/>
        <v>#N/A</v>
      </c>
      <c r="M7" s="30">
        <f t="shared" si="10"/>
        <v>0</v>
      </c>
      <c r="N7" s="30">
        <v>0.5</v>
      </c>
      <c r="O7" s="29" t="e">
        <f t="shared" si="11"/>
        <v>#N/A</v>
      </c>
      <c r="P7" s="30">
        <f t="shared" si="12"/>
        <v>0</v>
      </c>
      <c r="Q7" s="43"/>
    </row>
    <row r="8" spans="1:18" ht="24.75" customHeight="1" x14ac:dyDescent="0.25">
      <c r="B8" s="28" t="s">
        <v>40</v>
      </c>
      <c r="C8" s="29" t="e">
        <f t="shared" si="0"/>
        <v>#N/A</v>
      </c>
      <c r="D8" s="30">
        <f t="shared" si="1"/>
        <v>0</v>
      </c>
      <c r="E8" s="29" t="e">
        <f t="shared" si="2"/>
        <v>#N/A</v>
      </c>
      <c r="F8" s="31" t="e">
        <f t="shared" si="3"/>
        <v>#N/A</v>
      </c>
      <c r="G8" s="29" t="e">
        <f t="shared" si="4"/>
        <v>#N/A</v>
      </c>
      <c r="H8" s="32">
        <f t="shared" si="5"/>
        <v>0</v>
      </c>
      <c r="I8" s="32" t="e">
        <f t="shared" si="6"/>
        <v>#N/A</v>
      </c>
      <c r="J8" s="29" t="e">
        <f t="shared" si="7"/>
        <v>#N/A</v>
      </c>
      <c r="K8" s="32">
        <f t="shared" si="8"/>
        <v>0</v>
      </c>
      <c r="L8" s="29" t="e">
        <f t="shared" si="9"/>
        <v>#N/A</v>
      </c>
      <c r="M8" s="30">
        <f t="shared" si="10"/>
        <v>0</v>
      </c>
      <c r="N8" s="30">
        <v>0.39</v>
      </c>
      <c r="O8" s="29" t="e">
        <f t="shared" si="11"/>
        <v>#N/A</v>
      </c>
      <c r="P8" s="30">
        <f t="shared" si="12"/>
        <v>0</v>
      </c>
    </row>
    <row r="9" spans="1:18" ht="24.75" customHeight="1" x14ac:dyDescent="0.25">
      <c r="B9" s="28" t="s">
        <v>41</v>
      </c>
      <c r="C9" s="29" t="e">
        <f t="shared" si="0"/>
        <v>#N/A</v>
      </c>
      <c r="D9" s="30">
        <f t="shared" si="1"/>
        <v>0</v>
      </c>
      <c r="E9" s="29" t="e">
        <f t="shared" si="2"/>
        <v>#N/A</v>
      </c>
      <c r="F9" s="31" t="e">
        <f t="shared" si="3"/>
        <v>#N/A</v>
      </c>
      <c r="G9" s="29" t="e">
        <f t="shared" si="4"/>
        <v>#N/A</v>
      </c>
      <c r="H9" s="32">
        <f t="shared" si="5"/>
        <v>0</v>
      </c>
      <c r="I9" s="32" t="e">
        <f t="shared" si="6"/>
        <v>#N/A</v>
      </c>
      <c r="J9" s="29" t="e">
        <f t="shared" si="7"/>
        <v>#N/A</v>
      </c>
      <c r="K9" s="32">
        <f t="shared" si="8"/>
        <v>0</v>
      </c>
      <c r="L9" s="29" t="e">
        <f t="shared" si="9"/>
        <v>#N/A</v>
      </c>
      <c r="M9" s="30">
        <f t="shared" si="10"/>
        <v>0</v>
      </c>
      <c r="N9" s="30">
        <v>0.5</v>
      </c>
      <c r="O9" s="29" t="e">
        <f t="shared" si="11"/>
        <v>#N/A</v>
      </c>
      <c r="P9" s="30">
        <f t="shared" si="12"/>
        <v>0</v>
      </c>
    </row>
    <row r="10" spans="1:18" ht="24.75" customHeight="1" x14ac:dyDescent="0.25">
      <c r="B10" s="28" t="s">
        <v>42</v>
      </c>
      <c r="C10" s="29" t="e">
        <f t="shared" si="0"/>
        <v>#N/A</v>
      </c>
      <c r="D10" s="30">
        <f t="shared" si="1"/>
        <v>0</v>
      </c>
      <c r="E10" s="29" t="e">
        <f t="shared" si="2"/>
        <v>#N/A</v>
      </c>
      <c r="F10" s="31" t="e">
        <f t="shared" si="3"/>
        <v>#N/A</v>
      </c>
      <c r="G10" s="29" t="e">
        <f t="shared" si="4"/>
        <v>#N/A</v>
      </c>
      <c r="H10" s="32">
        <f t="shared" si="5"/>
        <v>0</v>
      </c>
      <c r="I10" s="32" t="e">
        <f t="shared" si="6"/>
        <v>#N/A</v>
      </c>
      <c r="J10" s="29" t="e">
        <f t="shared" si="7"/>
        <v>#N/A</v>
      </c>
      <c r="K10" s="32">
        <f t="shared" si="8"/>
        <v>0</v>
      </c>
      <c r="L10" s="29" t="e">
        <f t="shared" si="9"/>
        <v>#N/A</v>
      </c>
      <c r="M10" s="30">
        <f t="shared" si="10"/>
        <v>0</v>
      </c>
      <c r="N10" s="30">
        <v>0.47</v>
      </c>
      <c r="O10" s="29" t="e">
        <f t="shared" si="11"/>
        <v>#N/A</v>
      </c>
      <c r="P10" s="30">
        <f t="shared" si="12"/>
        <v>0</v>
      </c>
    </row>
    <row r="11" spans="1:18" ht="24.75" customHeight="1" x14ac:dyDescent="0.25">
      <c r="B11" s="28" t="s">
        <v>43</v>
      </c>
      <c r="C11" s="29" t="e">
        <f t="shared" si="0"/>
        <v>#N/A</v>
      </c>
      <c r="D11" s="30">
        <f t="shared" si="1"/>
        <v>0</v>
      </c>
      <c r="E11" s="29" t="e">
        <f t="shared" si="2"/>
        <v>#N/A</v>
      </c>
      <c r="F11" s="31" t="e">
        <f t="shared" si="3"/>
        <v>#N/A</v>
      </c>
      <c r="G11" s="29" t="e">
        <f t="shared" si="4"/>
        <v>#N/A</v>
      </c>
      <c r="H11" s="32">
        <f t="shared" si="5"/>
        <v>0</v>
      </c>
      <c r="I11" s="32" t="e">
        <f t="shared" si="6"/>
        <v>#N/A</v>
      </c>
      <c r="J11" s="29" t="e">
        <f t="shared" si="7"/>
        <v>#N/A</v>
      </c>
      <c r="K11" s="32">
        <f t="shared" si="8"/>
        <v>0</v>
      </c>
      <c r="L11" s="29" t="e">
        <f t="shared" si="9"/>
        <v>#N/A</v>
      </c>
      <c r="M11" s="30">
        <f t="shared" si="10"/>
        <v>0</v>
      </c>
      <c r="N11" s="30">
        <v>0.46</v>
      </c>
      <c r="O11" s="29" t="e">
        <f t="shared" si="11"/>
        <v>#N/A</v>
      </c>
      <c r="P11" s="30">
        <f t="shared" si="12"/>
        <v>0</v>
      </c>
    </row>
    <row r="12" spans="1:18" ht="24.75" customHeight="1" x14ac:dyDescent="0.25">
      <c r="B12" s="28" t="s">
        <v>44</v>
      </c>
      <c r="C12" s="29" t="e">
        <f t="shared" si="0"/>
        <v>#N/A</v>
      </c>
      <c r="D12" s="30">
        <f t="shared" si="1"/>
        <v>0</v>
      </c>
      <c r="E12" s="29" t="e">
        <f t="shared" si="2"/>
        <v>#N/A</v>
      </c>
      <c r="F12" s="31" t="e">
        <f t="shared" si="3"/>
        <v>#N/A</v>
      </c>
      <c r="G12" s="29" t="e">
        <f t="shared" si="4"/>
        <v>#N/A</v>
      </c>
      <c r="H12" s="32">
        <f t="shared" si="5"/>
        <v>0</v>
      </c>
      <c r="I12" s="32" t="e">
        <f t="shared" si="6"/>
        <v>#N/A</v>
      </c>
      <c r="J12" s="29" t="e">
        <f t="shared" si="7"/>
        <v>#N/A</v>
      </c>
      <c r="K12" s="32">
        <f t="shared" si="8"/>
        <v>0</v>
      </c>
      <c r="L12" s="29" t="e">
        <f t="shared" si="9"/>
        <v>#N/A</v>
      </c>
      <c r="M12" s="30">
        <f t="shared" si="10"/>
        <v>0</v>
      </c>
      <c r="N12" s="30">
        <v>0.5</v>
      </c>
      <c r="O12" s="29" t="e">
        <f t="shared" si="11"/>
        <v>#N/A</v>
      </c>
      <c r="P12" s="30">
        <f t="shared" si="12"/>
        <v>0</v>
      </c>
    </row>
    <row r="13" spans="1:18" ht="24.75" customHeight="1" x14ac:dyDescent="0.25">
      <c r="B13" s="28" t="s">
        <v>45</v>
      </c>
      <c r="C13" s="29" t="e">
        <f t="shared" si="0"/>
        <v>#N/A</v>
      </c>
      <c r="D13" s="30">
        <f t="shared" si="1"/>
        <v>0</v>
      </c>
      <c r="E13" s="29" t="e">
        <f t="shared" si="2"/>
        <v>#N/A</v>
      </c>
      <c r="F13" s="31" t="e">
        <f t="shared" si="3"/>
        <v>#N/A</v>
      </c>
      <c r="G13" s="29" t="e">
        <f t="shared" si="4"/>
        <v>#N/A</v>
      </c>
      <c r="H13" s="32">
        <f t="shared" si="5"/>
        <v>0</v>
      </c>
      <c r="I13" s="32" t="e">
        <f t="shared" si="6"/>
        <v>#N/A</v>
      </c>
      <c r="J13" s="29" t="e">
        <f t="shared" si="7"/>
        <v>#N/A</v>
      </c>
      <c r="K13" s="32">
        <f t="shared" si="8"/>
        <v>0</v>
      </c>
      <c r="L13" s="29" t="e">
        <f t="shared" si="9"/>
        <v>#N/A</v>
      </c>
      <c r="M13" s="30">
        <f t="shared" si="10"/>
        <v>0</v>
      </c>
      <c r="N13" s="30">
        <v>0.5</v>
      </c>
      <c r="O13" s="29" t="e">
        <f t="shared" si="11"/>
        <v>#N/A</v>
      </c>
      <c r="P13" s="30">
        <f t="shared" si="12"/>
        <v>0</v>
      </c>
    </row>
    <row r="14" spans="1:18" ht="24.75" customHeight="1" x14ac:dyDescent="0.25">
      <c r="B14" s="28" t="s">
        <v>46</v>
      </c>
      <c r="C14" s="29" t="e">
        <f t="shared" si="0"/>
        <v>#N/A</v>
      </c>
      <c r="D14" s="30">
        <f t="shared" si="1"/>
        <v>0</v>
      </c>
      <c r="E14" s="29" t="e">
        <f t="shared" si="2"/>
        <v>#N/A</v>
      </c>
      <c r="F14" s="31" t="e">
        <f t="shared" si="3"/>
        <v>#N/A</v>
      </c>
      <c r="G14" s="29" t="e">
        <f t="shared" si="4"/>
        <v>#N/A</v>
      </c>
      <c r="H14" s="32">
        <f t="shared" si="5"/>
        <v>0</v>
      </c>
      <c r="I14" s="32" t="e">
        <f t="shared" si="6"/>
        <v>#N/A</v>
      </c>
      <c r="J14" s="29" t="e">
        <f t="shared" si="7"/>
        <v>#N/A</v>
      </c>
      <c r="K14" s="32">
        <f t="shared" si="8"/>
        <v>0</v>
      </c>
      <c r="L14" s="29" t="e">
        <f t="shared" si="9"/>
        <v>#N/A</v>
      </c>
      <c r="M14" s="30">
        <f t="shared" si="10"/>
        <v>0</v>
      </c>
      <c r="N14" s="30">
        <v>0.5</v>
      </c>
      <c r="O14" s="29" t="e">
        <f t="shared" si="11"/>
        <v>#N/A</v>
      </c>
      <c r="P14" s="30">
        <f t="shared" si="12"/>
        <v>0</v>
      </c>
    </row>
    <row r="15" spans="1:18" ht="24.75" customHeight="1" x14ac:dyDescent="0.25">
      <c r="B15" s="28" t="s">
        <v>47</v>
      </c>
      <c r="C15" s="29" t="e">
        <f t="shared" si="0"/>
        <v>#N/A</v>
      </c>
      <c r="D15" s="30">
        <f t="shared" si="1"/>
        <v>0</v>
      </c>
      <c r="E15" s="29" t="e">
        <f t="shared" si="2"/>
        <v>#N/A</v>
      </c>
      <c r="F15" s="31" t="e">
        <f t="shared" si="3"/>
        <v>#N/A</v>
      </c>
      <c r="G15" s="29" t="e">
        <f t="shared" si="4"/>
        <v>#N/A</v>
      </c>
      <c r="H15" s="32">
        <f t="shared" si="5"/>
        <v>0</v>
      </c>
      <c r="I15" s="32" t="e">
        <f t="shared" si="6"/>
        <v>#N/A</v>
      </c>
      <c r="J15" s="29" t="e">
        <f t="shared" si="7"/>
        <v>#N/A</v>
      </c>
      <c r="K15" s="32">
        <f t="shared" si="8"/>
        <v>0</v>
      </c>
      <c r="L15" s="29" t="e">
        <f t="shared" si="9"/>
        <v>#N/A</v>
      </c>
      <c r="M15" s="30">
        <f t="shared" si="10"/>
        <v>0</v>
      </c>
      <c r="N15" s="30">
        <v>0.37</v>
      </c>
      <c r="O15" s="29" t="e">
        <f t="shared" si="11"/>
        <v>#N/A</v>
      </c>
      <c r="P15" s="30">
        <f t="shared" si="12"/>
        <v>0</v>
      </c>
    </row>
    <row r="16" spans="1:18" ht="24.75" customHeight="1" x14ac:dyDescent="0.25">
      <c r="B16" s="28" t="s">
        <v>48</v>
      </c>
      <c r="C16" s="29" t="e">
        <f t="shared" si="0"/>
        <v>#N/A</v>
      </c>
      <c r="D16" s="30">
        <f t="shared" si="1"/>
        <v>0</v>
      </c>
      <c r="E16" s="29" t="e">
        <f t="shared" si="2"/>
        <v>#N/A</v>
      </c>
      <c r="F16" s="31" t="e">
        <f t="shared" si="3"/>
        <v>#N/A</v>
      </c>
      <c r="G16" s="29" t="e">
        <f t="shared" si="4"/>
        <v>#N/A</v>
      </c>
      <c r="H16" s="32">
        <f t="shared" si="5"/>
        <v>0</v>
      </c>
      <c r="I16" s="32" t="e">
        <f t="shared" si="6"/>
        <v>#N/A</v>
      </c>
      <c r="J16" s="29" t="e">
        <f t="shared" si="7"/>
        <v>#N/A</v>
      </c>
      <c r="K16" s="32">
        <f t="shared" si="8"/>
        <v>0</v>
      </c>
      <c r="L16" s="29" t="e">
        <f t="shared" si="9"/>
        <v>#N/A</v>
      </c>
      <c r="M16" s="30">
        <f t="shared" si="10"/>
        <v>0</v>
      </c>
      <c r="N16" s="30">
        <v>0.47</v>
      </c>
      <c r="O16" s="29" t="e">
        <f t="shared" si="11"/>
        <v>#N/A</v>
      </c>
      <c r="P16" s="30">
        <f t="shared" si="12"/>
        <v>0</v>
      </c>
    </row>
    <row r="17" spans="1:16" ht="24.75" customHeight="1" x14ac:dyDescent="0.25">
      <c r="B17" s="28" t="s">
        <v>49</v>
      </c>
      <c r="C17" s="29" t="e">
        <f t="shared" si="0"/>
        <v>#N/A</v>
      </c>
      <c r="D17" s="30">
        <f t="shared" si="1"/>
        <v>0</v>
      </c>
      <c r="E17" s="29" t="e">
        <f t="shared" si="2"/>
        <v>#N/A</v>
      </c>
      <c r="F17" s="31" t="e">
        <f t="shared" si="3"/>
        <v>#N/A</v>
      </c>
      <c r="G17" s="29" t="e">
        <f t="shared" si="4"/>
        <v>#N/A</v>
      </c>
      <c r="H17" s="32">
        <f t="shared" si="5"/>
        <v>0</v>
      </c>
      <c r="I17" s="32" t="e">
        <f t="shared" si="6"/>
        <v>#N/A</v>
      </c>
      <c r="J17" s="29" t="e">
        <f t="shared" si="7"/>
        <v>#N/A</v>
      </c>
      <c r="K17" s="32">
        <f t="shared" si="8"/>
        <v>0</v>
      </c>
      <c r="L17" s="29" t="e">
        <f t="shared" si="9"/>
        <v>#N/A</v>
      </c>
      <c r="M17" s="30">
        <f t="shared" si="10"/>
        <v>0</v>
      </c>
      <c r="N17" s="30">
        <v>0.54</v>
      </c>
      <c r="O17" s="29" t="e">
        <f t="shared" si="11"/>
        <v>#N/A</v>
      </c>
      <c r="P17" s="30">
        <f t="shared" si="12"/>
        <v>0</v>
      </c>
    </row>
    <row r="18" spans="1:16" ht="24.75" customHeight="1" x14ac:dyDescent="0.25">
      <c r="B18" s="28" t="s">
        <v>50</v>
      </c>
      <c r="C18" s="29" t="e">
        <f t="shared" si="0"/>
        <v>#N/A</v>
      </c>
      <c r="D18" s="30">
        <f t="shared" si="1"/>
        <v>0</v>
      </c>
      <c r="E18" s="29" t="e">
        <f t="shared" si="2"/>
        <v>#N/A</v>
      </c>
      <c r="F18" s="31" t="e">
        <f t="shared" si="3"/>
        <v>#N/A</v>
      </c>
      <c r="G18" s="29" t="e">
        <f t="shared" si="4"/>
        <v>#N/A</v>
      </c>
      <c r="H18" s="32">
        <f t="shared" si="5"/>
        <v>0</v>
      </c>
      <c r="I18" s="32" t="e">
        <f t="shared" si="6"/>
        <v>#N/A</v>
      </c>
      <c r="J18" s="29" t="e">
        <f t="shared" si="7"/>
        <v>#N/A</v>
      </c>
      <c r="K18" s="32">
        <f t="shared" si="8"/>
        <v>0</v>
      </c>
      <c r="L18" s="29" t="e">
        <f t="shared" si="9"/>
        <v>#N/A</v>
      </c>
      <c r="M18" s="30">
        <f t="shared" si="10"/>
        <v>0</v>
      </c>
      <c r="N18" s="30">
        <v>0.56000000000000005</v>
      </c>
      <c r="O18" s="29" t="e">
        <f t="shared" si="11"/>
        <v>#N/A</v>
      </c>
      <c r="P18" s="30">
        <f t="shared" si="12"/>
        <v>0</v>
      </c>
    </row>
    <row r="19" spans="1:16" ht="24.75" customHeight="1" x14ac:dyDescent="0.25">
      <c r="B19" s="28" t="s">
        <v>51</v>
      </c>
      <c r="C19" s="29" t="e">
        <f t="shared" si="0"/>
        <v>#N/A</v>
      </c>
      <c r="D19" s="30">
        <f t="shared" si="1"/>
        <v>0</v>
      </c>
      <c r="E19" s="29" t="e">
        <f t="shared" si="2"/>
        <v>#N/A</v>
      </c>
      <c r="F19" s="31" t="e">
        <f t="shared" si="3"/>
        <v>#N/A</v>
      </c>
      <c r="G19" s="29" t="e">
        <f t="shared" si="4"/>
        <v>#N/A</v>
      </c>
      <c r="H19" s="32">
        <f t="shared" si="5"/>
        <v>0</v>
      </c>
      <c r="I19" s="32" t="e">
        <f t="shared" si="6"/>
        <v>#N/A</v>
      </c>
      <c r="J19" s="29" t="e">
        <f t="shared" si="7"/>
        <v>#N/A</v>
      </c>
      <c r="K19" s="32">
        <f t="shared" si="8"/>
        <v>0</v>
      </c>
      <c r="L19" s="29" t="e">
        <f t="shared" si="9"/>
        <v>#N/A</v>
      </c>
      <c r="M19" s="30">
        <f t="shared" si="10"/>
        <v>0</v>
      </c>
      <c r="N19" s="30">
        <v>0.53</v>
      </c>
      <c r="O19" s="29" t="e">
        <f t="shared" si="11"/>
        <v>#N/A</v>
      </c>
      <c r="P19" s="30">
        <f t="shared" si="12"/>
        <v>0</v>
      </c>
    </row>
    <row r="20" spans="1:16" ht="24.75" customHeight="1" x14ac:dyDescent="0.25">
      <c r="A20" s="25"/>
      <c r="B20" s="35" t="s">
        <v>23</v>
      </c>
      <c r="C20" s="36" t="e">
        <f>SUM(C6:C19)</f>
        <v>#N/A</v>
      </c>
      <c r="D20" s="37"/>
      <c r="E20" s="36" t="e">
        <f>SUM(E6:E19)</f>
        <v>#N/A</v>
      </c>
      <c r="F20" s="37" t="e">
        <f t="shared" si="3"/>
        <v>#N/A</v>
      </c>
      <c r="G20" s="36" t="e">
        <f>SUM(G6:G19)</f>
        <v>#N/A</v>
      </c>
      <c r="H20" s="37" t="e">
        <f>+G20/C20</f>
        <v>#N/A</v>
      </c>
      <c r="I20" s="239" t="e">
        <f t="shared" si="6"/>
        <v>#N/A</v>
      </c>
      <c r="J20" s="36" t="e">
        <f>SUM(J6:J19)</f>
        <v>#N/A</v>
      </c>
      <c r="K20" s="37" t="e">
        <f>+J20/C20</f>
        <v>#N/A</v>
      </c>
      <c r="L20" s="36" t="e">
        <f>SUM(L6:L19)</f>
        <v>#N/A</v>
      </c>
      <c r="M20" s="38" t="e">
        <f>+L20/C20</f>
        <v>#N/A</v>
      </c>
      <c r="N20" s="38">
        <v>0.48899999999999999</v>
      </c>
      <c r="O20" s="36" t="e">
        <f>SUM(O6:O19)</f>
        <v>#N/A</v>
      </c>
      <c r="P20" s="38" t="e">
        <f>+O20/C20</f>
        <v>#N/A</v>
      </c>
    </row>
    <row r="21" spans="1:16" x14ac:dyDescent="0.25">
      <c r="B21" s="39"/>
      <c r="C21" s="40" t="e">
        <f>#N/A</f>
        <v>#N/A</v>
      </c>
      <c r="D21" s="40"/>
      <c r="E21" s="40" t="e">
        <f>#N/A</f>
        <v>#N/A</v>
      </c>
      <c r="F21" s="40"/>
      <c r="G21" s="40" t="e">
        <f>#N/A</f>
        <v>#N/A</v>
      </c>
      <c r="H21" s="40"/>
      <c r="I21" s="40"/>
      <c r="J21" s="40"/>
      <c r="K21" s="40"/>
      <c r="L21" s="40" t="e">
        <f>#N/A</f>
        <v>#N/A</v>
      </c>
      <c r="M21" s="40"/>
      <c r="N21" s="40"/>
      <c r="O21" s="40" t="e">
        <f>#N/A</f>
        <v>#N/A</v>
      </c>
      <c r="P21" s="41"/>
    </row>
    <row r="22" spans="1:16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42"/>
      <c r="P22" s="39"/>
    </row>
    <row r="26" spans="1:16" x14ac:dyDescent="0.25">
      <c r="B26" s="43"/>
      <c r="C26" s="43"/>
      <c r="D26" s="43"/>
    </row>
    <row r="27" spans="1:16" x14ac:dyDescent="0.25">
      <c r="B27" s="43"/>
      <c r="C27" s="43"/>
      <c r="D27" s="43"/>
    </row>
    <row r="28" spans="1:16" x14ac:dyDescent="0.25">
      <c r="B28" s="43"/>
      <c r="C28" s="43"/>
      <c r="D28" s="43"/>
    </row>
    <row r="29" spans="1:16" x14ac:dyDescent="0.25">
      <c r="B29" s="43"/>
      <c r="C29" s="43"/>
      <c r="D29" s="43"/>
    </row>
  </sheetData>
  <sheetProtection selectLockedCells="1" selectUnlockedCells="1"/>
  <mergeCells count="3">
    <mergeCell ref="B1:P1"/>
    <mergeCell ref="B2:P2"/>
    <mergeCell ref="B3:P3"/>
  </mergeCells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topLeftCell="B1" zoomScaleNormal="100" workbookViewId="0"/>
  </sheetViews>
  <sheetFormatPr baseColWidth="10" defaultColWidth="17.5703125" defaultRowHeight="15" x14ac:dyDescent="0.25"/>
  <cols>
    <col min="1" max="1" width="25.140625" style="23" hidden="1" customWidth="1"/>
    <col min="2" max="2" width="14.5703125" style="23" customWidth="1"/>
    <col min="3" max="3" width="20.140625" style="23" customWidth="1"/>
    <col min="4" max="4" width="5" style="23" customWidth="1"/>
    <col min="5" max="5" width="17.42578125" style="23" customWidth="1"/>
    <col min="6" max="6" width="12" style="23" customWidth="1"/>
    <col min="7" max="7" width="19.140625" style="23" customWidth="1"/>
    <col min="8" max="9" width="12" style="23" customWidth="1"/>
    <col min="10" max="10" width="17.5703125" style="23"/>
    <col min="11" max="11" width="8.5703125" style="23" customWidth="1"/>
    <col min="12" max="12" width="20.140625" style="23" customWidth="1"/>
    <col min="13" max="14" width="10.140625" style="23" customWidth="1"/>
    <col min="15" max="15" width="18.42578125" style="23" customWidth="1"/>
    <col min="16" max="16" width="11.28515625" style="23" customWidth="1"/>
    <col min="17" max="17" width="7.85546875" style="23" customWidth="1"/>
    <col min="18" max="16384" width="17.5703125" style="23"/>
  </cols>
  <sheetData>
    <row r="1" spans="1:18" ht="15.75" x14ac:dyDescent="0.25">
      <c r="B1" s="600" t="s">
        <v>32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</row>
    <row r="2" spans="1:18" ht="15.75" x14ac:dyDescent="0.25">
      <c r="B2" s="600" t="e">
        <f>#N/A</f>
        <v>#N/A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</row>
    <row r="3" spans="1:18" ht="15.75" x14ac:dyDescent="0.25">
      <c r="B3" s="600" t="s">
        <v>33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</row>
    <row r="4" spans="1:18" x14ac:dyDescent="0.25">
      <c r="L4" s="24"/>
    </row>
    <row r="5" spans="1:18" ht="29.25" customHeight="1" x14ac:dyDescent="0.25">
      <c r="A5" s="25"/>
      <c r="B5" s="26" t="s">
        <v>34</v>
      </c>
      <c r="C5" s="27" t="s">
        <v>3</v>
      </c>
      <c r="D5" s="27" t="s">
        <v>35</v>
      </c>
      <c r="E5" s="27" t="s">
        <v>5</v>
      </c>
      <c r="F5" s="27"/>
      <c r="G5" s="27" t="s">
        <v>10</v>
      </c>
      <c r="H5" s="27" t="s">
        <v>36</v>
      </c>
      <c r="I5" s="27"/>
      <c r="J5" s="27" t="s">
        <v>11</v>
      </c>
      <c r="K5" s="27" t="s">
        <v>35</v>
      </c>
      <c r="L5" s="27" t="s">
        <v>12</v>
      </c>
      <c r="M5" s="27" t="s">
        <v>37</v>
      </c>
      <c r="N5" s="27"/>
      <c r="O5" s="27" t="s">
        <v>7</v>
      </c>
      <c r="P5" s="27" t="s">
        <v>9</v>
      </c>
    </row>
    <row r="6" spans="1:18" ht="24.75" customHeight="1" x14ac:dyDescent="0.25">
      <c r="B6" s="28" t="s">
        <v>38</v>
      </c>
      <c r="C6" s="29" t="e">
        <f t="shared" ref="C6:C19" si="0">#N/A</f>
        <v>#N/A</v>
      </c>
      <c r="D6" s="30">
        <f t="shared" ref="D6:D19" si="1">IFERROR(C6/$C$20,0)</f>
        <v>0</v>
      </c>
      <c r="E6" s="29" t="e">
        <f t="shared" ref="E6:E19" si="2">#N/A</f>
        <v>#N/A</v>
      </c>
      <c r="F6" s="31" t="e">
        <f t="shared" ref="F6:F20" si="3">+E6/C6</f>
        <v>#N/A</v>
      </c>
      <c r="G6" s="29" t="e">
        <f t="shared" ref="G6:G19" si="4">#N/A</f>
        <v>#N/A</v>
      </c>
      <c r="H6" s="32">
        <f t="shared" ref="H6:H19" si="5">IFERROR(G6/C6,0)</f>
        <v>0</v>
      </c>
      <c r="I6" s="32" t="e">
        <f t="shared" ref="I6:I20" si="6">+G6/C6</f>
        <v>#N/A</v>
      </c>
      <c r="J6" s="29" t="e">
        <f t="shared" ref="J6:J19" si="7">#N/A</f>
        <v>#N/A</v>
      </c>
      <c r="K6" s="32">
        <f t="shared" ref="K6:K19" si="8">IFERROR(J6/C6,0)</f>
        <v>0</v>
      </c>
      <c r="L6" s="29" t="e">
        <f t="shared" ref="L6:L19" si="9">#N/A</f>
        <v>#N/A</v>
      </c>
      <c r="M6" s="30">
        <f t="shared" ref="M6:M19" si="10">IFERROR(L6/C6,0)</f>
        <v>0</v>
      </c>
      <c r="N6" s="30">
        <v>0.53</v>
      </c>
      <c r="O6" s="29" t="e">
        <f t="shared" ref="O6:O19" si="11">#N/A</f>
        <v>#N/A</v>
      </c>
      <c r="P6" s="30">
        <f t="shared" ref="P6:P19" si="12">IFERROR(O6/C6,0)</f>
        <v>0</v>
      </c>
      <c r="Q6" s="43"/>
      <c r="R6" s="20" t="e">
        <f>(+E20+G20+J20+L20)/C20</f>
        <v>#N/A</v>
      </c>
    </row>
    <row r="7" spans="1:18" ht="24.75" customHeight="1" x14ac:dyDescent="0.25">
      <c r="B7" s="28" t="s">
        <v>39</v>
      </c>
      <c r="C7" s="29" t="e">
        <f t="shared" si="0"/>
        <v>#N/A</v>
      </c>
      <c r="D7" s="30">
        <f t="shared" si="1"/>
        <v>0</v>
      </c>
      <c r="E7" s="29" t="e">
        <f t="shared" si="2"/>
        <v>#N/A</v>
      </c>
      <c r="F7" s="31" t="e">
        <f t="shared" si="3"/>
        <v>#N/A</v>
      </c>
      <c r="G7" s="29" t="e">
        <f t="shared" si="4"/>
        <v>#N/A</v>
      </c>
      <c r="H7" s="32">
        <f t="shared" si="5"/>
        <v>0</v>
      </c>
      <c r="I7" s="32" t="e">
        <f t="shared" si="6"/>
        <v>#N/A</v>
      </c>
      <c r="J7" s="29" t="e">
        <f t="shared" si="7"/>
        <v>#N/A</v>
      </c>
      <c r="K7" s="32">
        <f t="shared" si="8"/>
        <v>0</v>
      </c>
      <c r="L7" s="29" t="e">
        <f t="shared" si="9"/>
        <v>#N/A</v>
      </c>
      <c r="M7" s="30">
        <f t="shared" si="10"/>
        <v>0</v>
      </c>
      <c r="N7" s="30">
        <v>0.56000000000000005</v>
      </c>
      <c r="O7" s="29" t="e">
        <f t="shared" si="11"/>
        <v>#N/A</v>
      </c>
      <c r="P7" s="30">
        <f t="shared" si="12"/>
        <v>0</v>
      </c>
      <c r="Q7" s="43"/>
    </row>
    <row r="8" spans="1:18" ht="24.75" customHeight="1" x14ac:dyDescent="0.25">
      <c r="B8" s="28" t="s">
        <v>40</v>
      </c>
      <c r="C8" s="29" t="e">
        <f t="shared" si="0"/>
        <v>#N/A</v>
      </c>
      <c r="D8" s="30">
        <f t="shared" si="1"/>
        <v>0</v>
      </c>
      <c r="E8" s="29" t="e">
        <f t="shared" si="2"/>
        <v>#N/A</v>
      </c>
      <c r="F8" s="31" t="e">
        <f t="shared" si="3"/>
        <v>#N/A</v>
      </c>
      <c r="G8" s="29" t="e">
        <f t="shared" si="4"/>
        <v>#N/A</v>
      </c>
      <c r="H8" s="32">
        <f t="shared" si="5"/>
        <v>0</v>
      </c>
      <c r="I8" s="32" t="e">
        <f t="shared" si="6"/>
        <v>#N/A</v>
      </c>
      <c r="J8" s="29" t="e">
        <f t="shared" si="7"/>
        <v>#N/A</v>
      </c>
      <c r="K8" s="32">
        <f t="shared" si="8"/>
        <v>0</v>
      </c>
      <c r="L8" s="29" t="e">
        <f t="shared" si="9"/>
        <v>#N/A</v>
      </c>
      <c r="M8" s="30">
        <f t="shared" si="10"/>
        <v>0</v>
      </c>
      <c r="N8" s="30">
        <v>0.44</v>
      </c>
      <c r="O8" s="29" t="e">
        <f t="shared" si="11"/>
        <v>#N/A</v>
      </c>
      <c r="P8" s="30">
        <f t="shared" si="12"/>
        <v>0</v>
      </c>
    </row>
    <row r="9" spans="1:18" ht="24.75" customHeight="1" x14ac:dyDescent="0.25">
      <c r="B9" s="28" t="s">
        <v>41</v>
      </c>
      <c r="C9" s="29" t="e">
        <f t="shared" si="0"/>
        <v>#N/A</v>
      </c>
      <c r="D9" s="30">
        <f t="shared" si="1"/>
        <v>0</v>
      </c>
      <c r="E9" s="29" t="e">
        <f t="shared" si="2"/>
        <v>#N/A</v>
      </c>
      <c r="F9" s="31" t="e">
        <f t="shared" si="3"/>
        <v>#N/A</v>
      </c>
      <c r="G9" s="29" t="e">
        <f t="shared" si="4"/>
        <v>#N/A</v>
      </c>
      <c r="H9" s="32">
        <f t="shared" si="5"/>
        <v>0</v>
      </c>
      <c r="I9" s="32" t="e">
        <f t="shared" si="6"/>
        <v>#N/A</v>
      </c>
      <c r="J9" s="29" t="e">
        <f t="shared" si="7"/>
        <v>#N/A</v>
      </c>
      <c r="K9" s="32">
        <f t="shared" si="8"/>
        <v>0</v>
      </c>
      <c r="L9" s="29" t="e">
        <f t="shared" si="9"/>
        <v>#N/A</v>
      </c>
      <c r="M9" s="30">
        <f t="shared" si="10"/>
        <v>0</v>
      </c>
      <c r="N9" s="30">
        <v>0.57000000000000006</v>
      </c>
      <c r="O9" s="29" t="e">
        <f t="shared" si="11"/>
        <v>#N/A</v>
      </c>
      <c r="P9" s="30">
        <f t="shared" si="12"/>
        <v>0</v>
      </c>
    </row>
    <row r="10" spans="1:18" ht="24.75" customHeight="1" x14ac:dyDescent="0.25">
      <c r="B10" s="28" t="s">
        <v>42</v>
      </c>
      <c r="C10" s="29" t="e">
        <f t="shared" si="0"/>
        <v>#N/A</v>
      </c>
      <c r="D10" s="30">
        <f t="shared" si="1"/>
        <v>0</v>
      </c>
      <c r="E10" s="29" t="e">
        <f t="shared" si="2"/>
        <v>#N/A</v>
      </c>
      <c r="F10" s="31" t="e">
        <f t="shared" si="3"/>
        <v>#N/A</v>
      </c>
      <c r="G10" s="29" t="e">
        <f t="shared" si="4"/>
        <v>#N/A</v>
      </c>
      <c r="H10" s="32">
        <f t="shared" si="5"/>
        <v>0</v>
      </c>
      <c r="I10" s="32" t="e">
        <f t="shared" si="6"/>
        <v>#N/A</v>
      </c>
      <c r="J10" s="29" t="e">
        <f t="shared" si="7"/>
        <v>#N/A</v>
      </c>
      <c r="K10" s="32">
        <f t="shared" si="8"/>
        <v>0</v>
      </c>
      <c r="L10" s="29" t="e">
        <f t="shared" si="9"/>
        <v>#N/A</v>
      </c>
      <c r="M10" s="30">
        <f t="shared" si="10"/>
        <v>0</v>
      </c>
      <c r="N10" s="30">
        <v>0.52</v>
      </c>
      <c r="O10" s="29" t="e">
        <f t="shared" si="11"/>
        <v>#N/A</v>
      </c>
      <c r="P10" s="30">
        <f t="shared" si="12"/>
        <v>0</v>
      </c>
    </row>
    <row r="11" spans="1:18" ht="24.75" customHeight="1" x14ac:dyDescent="0.25">
      <c r="B11" s="28" t="s">
        <v>43</v>
      </c>
      <c r="C11" s="29" t="e">
        <f t="shared" si="0"/>
        <v>#N/A</v>
      </c>
      <c r="D11" s="30">
        <f t="shared" si="1"/>
        <v>0</v>
      </c>
      <c r="E11" s="29" t="e">
        <f t="shared" si="2"/>
        <v>#N/A</v>
      </c>
      <c r="F11" s="31" t="e">
        <f t="shared" si="3"/>
        <v>#N/A</v>
      </c>
      <c r="G11" s="29" t="e">
        <f t="shared" si="4"/>
        <v>#N/A</v>
      </c>
      <c r="H11" s="32">
        <f t="shared" si="5"/>
        <v>0</v>
      </c>
      <c r="I11" s="32" t="e">
        <f t="shared" si="6"/>
        <v>#N/A</v>
      </c>
      <c r="J11" s="29" t="e">
        <f t="shared" si="7"/>
        <v>#N/A</v>
      </c>
      <c r="K11" s="32">
        <f t="shared" si="8"/>
        <v>0</v>
      </c>
      <c r="L11" s="29" t="e">
        <f t="shared" si="9"/>
        <v>#N/A</v>
      </c>
      <c r="M11" s="30">
        <f t="shared" si="10"/>
        <v>0</v>
      </c>
      <c r="N11" s="30">
        <v>0.52</v>
      </c>
      <c r="O11" s="29" t="e">
        <f t="shared" si="11"/>
        <v>#N/A</v>
      </c>
      <c r="P11" s="30">
        <f t="shared" si="12"/>
        <v>0</v>
      </c>
    </row>
    <row r="12" spans="1:18" ht="24.75" customHeight="1" x14ac:dyDescent="0.25">
      <c r="B12" s="28" t="s">
        <v>44</v>
      </c>
      <c r="C12" s="29" t="e">
        <f t="shared" si="0"/>
        <v>#N/A</v>
      </c>
      <c r="D12" s="30">
        <f t="shared" si="1"/>
        <v>0</v>
      </c>
      <c r="E12" s="29" t="e">
        <f t="shared" si="2"/>
        <v>#N/A</v>
      </c>
      <c r="F12" s="31" t="e">
        <f t="shared" si="3"/>
        <v>#N/A</v>
      </c>
      <c r="G12" s="29" t="e">
        <f t="shared" si="4"/>
        <v>#N/A</v>
      </c>
      <c r="H12" s="32">
        <f t="shared" si="5"/>
        <v>0</v>
      </c>
      <c r="I12" s="32" t="e">
        <f t="shared" si="6"/>
        <v>#N/A</v>
      </c>
      <c r="J12" s="29" t="e">
        <f t="shared" si="7"/>
        <v>#N/A</v>
      </c>
      <c r="K12" s="32">
        <f t="shared" si="8"/>
        <v>0</v>
      </c>
      <c r="L12" s="29" t="e">
        <f t="shared" si="9"/>
        <v>#N/A</v>
      </c>
      <c r="M12" s="30">
        <f t="shared" si="10"/>
        <v>0</v>
      </c>
      <c r="N12" s="30">
        <v>0.56000000000000005</v>
      </c>
      <c r="O12" s="29" t="e">
        <f t="shared" si="11"/>
        <v>#N/A</v>
      </c>
      <c r="P12" s="30">
        <f t="shared" si="12"/>
        <v>0</v>
      </c>
    </row>
    <row r="13" spans="1:18" ht="24.75" customHeight="1" x14ac:dyDescent="0.25">
      <c r="B13" s="28" t="s">
        <v>45</v>
      </c>
      <c r="C13" s="29" t="e">
        <f t="shared" si="0"/>
        <v>#N/A</v>
      </c>
      <c r="D13" s="30">
        <f t="shared" si="1"/>
        <v>0</v>
      </c>
      <c r="E13" s="29" t="e">
        <f t="shared" si="2"/>
        <v>#N/A</v>
      </c>
      <c r="F13" s="31" t="e">
        <f t="shared" si="3"/>
        <v>#N/A</v>
      </c>
      <c r="G13" s="29" t="e">
        <f t="shared" si="4"/>
        <v>#N/A</v>
      </c>
      <c r="H13" s="32">
        <f t="shared" si="5"/>
        <v>0</v>
      </c>
      <c r="I13" s="32" t="e">
        <f t="shared" si="6"/>
        <v>#N/A</v>
      </c>
      <c r="J13" s="29" t="e">
        <f t="shared" si="7"/>
        <v>#N/A</v>
      </c>
      <c r="K13" s="32">
        <f t="shared" si="8"/>
        <v>0</v>
      </c>
      <c r="L13" s="29" t="e">
        <f t="shared" si="9"/>
        <v>#N/A</v>
      </c>
      <c r="M13" s="30">
        <f t="shared" si="10"/>
        <v>0</v>
      </c>
      <c r="N13" s="30">
        <v>0.56000000000000005</v>
      </c>
      <c r="O13" s="29" t="e">
        <f t="shared" si="11"/>
        <v>#N/A</v>
      </c>
      <c r="P13" s="30">
        <f t="shared" si="12"/>
        <v>0</v>
      </c>
    </row>
    <row r="14" spans="1:18" ht="24.75" customHeight="1" x14ac:dyDescent="0.25">
      <c r="B14" s="28" t="s">
        <v>46</v>
      </c>
      <c r="C14" s="29" t="e">
        <f t="shared" si="0"/>
        <v>#N/A</v>
      </c>
      <c r="D14" s="30">
        <f t="shared" si="1"/>
        <v>0</v>
      </c>
      <c r="E14" s="29" t="e">
        <f t="shared" si="2"/>
        <v>#N/A</v>
      </c>
      <c r="F14" s="31" t="e">
        <f t="shared" si="3"/>
        <v>#N/A</v>
      </c>
      <c r="G14" s="29" t="e">
        <f t="shared" si="4"/>
        <v>#N/A</v>
      </c>
      <c r="H14" s="32">
        <f t="shared" si="5"/>
        <v>0</v>
      </c>
      <c r="I14" s="32" t="e">
        <f t="shared" si="6"/>
        <v>#N/A</v>
      </c>
      <c r="J14" s="29" t="e">
        <f t="shared" si="7"/>
        <v>#N/A</v>
      </c>
      <c r="K14" s="32">
        <f t="shared" si="8"/>
        <v>0</v>
      </c>
      <c r="L14" s="29" t="e">
        <f t="shared" si="9"/>
        <v>#N/A</v>
      </c>
      <c r="M14" s="30">
        <f t="shared" si="10"/>
        <v>0</v>
      </c>
      <c r="N14" s="30">
        <v>0.57000000000000006</v>
      </c>
      <c r="O14" s="29" t="e">
        <f t="shared" si="11"/>
        <v>#N/A</v>
      </c>
      <c r="P14" s="30">
        <f t="shared" si="12"/>
        <v>0</v>
      </c>
    </row>
    <row r="15" spans="1:18" ht="24.75" customHeight="1" x14ac:dyDescent="0.25">
      <c r="B15" s="28" t="s">
        <v>47</v>
      </c>
      <c r="C15" s="29" t="e">
        <f t="shared" si="0"/>
        <v>#N/A</v>
      </c>
      <c r="D15" s="30">
        <f t="shared" si="1"/>
        <v>0</v>
      </c>
      <c r="E15" s="29" t="e">
        <f t="shared" si="2"/>
        <v>#N/A</v>
      </c>
      <c r="F15" s="31" t="e">
        <f t="shared" si="3"/>
        <v>#N/A</v>
      </c>
      <c r="G15" s="29" t="e">
        <f t="shared" si="4"/>
        <v>#N/A</v>
      </c>
      <c r="H15" s="32">
        <f t="shared" si="5"/>
        <v>0</v>
      </c>
      <c r="I15" s="32" t="e">
        <f t="shared" si="6"/>
        <v>#N/A</v>
      </c>
      <c r="J15" s="29" t="e">
        <f t="shared" si="7"/>
        <v>#N/A</v>
      </c>
      <c r="K15" s="32">
        <f t="shared" si="8"/>
        <v>0</v>
      </c>
      <c r="L15" s="29" t="e">
        <f t="shared" si="9"/>
        <v>#N/A</v>
      </c>
      <c r="M15" s="30">
        <f t="shared" si="10"/>
        <v>0</v>
      </c>
      <c r="N15" s="30">
        <v>0.5</v>
      </c>
      <c r="O15" s="29" t="e">
        <f t="shared" si="11"/>
        <v>#N/A</v>
      </c>
      <c r="P15" s="30">
        <f t="shared" si="12"/>
        <v>0</v>
      </c>
    </row>
    <row r="16" spans="1:18" ht="24.75" customHeight="1" x14ac:dyDescent="0.25">
      <c r="B16" s="28" t="s">
        <v>48</v>
      </c>
      <c r="C16" s="29" t="e">
        <f t="shared" si="0"/>
        <v>#N/A</v>
      </c>
      <c r="D16" s="30">
        <f t="shared" si="1"/>
        <v>0</v>
      </c>
      <c r="E16" s="29" t="e">
        <f t="shared" si="2"/>
        <v>#N/A</v>
      </c>
      <c r="F16" s="31" t="e">
        <f t="shared" si="3"/>
        <v>#N/A</v>
      </c>
      <c r="G16" s="29" t="e">
        <f t="shared" si="4"/>
        <v>#N/A</v>
      </c>
      <c r="H16" s="32">
        <f t="shared" si="5"/>
        <v>0</v>
      </c>
      <c r="I16" s="32" t="e">
        <f t="shared" si="6"/>
        <v>#N/A</v>
      </c>
      <c r="J16" s="29" t="e">
        <f t="shared" si="7"/>
        <v>#N/A</v>
      </c>
      <c r="K16" s="32">
        <f t="shared" si="8"/>
        <v>0</v>
      </c>
      <c r="L16" s="29" t="e">
        <f t="shared" si="9"/>
        <v>#N/A</v>
      </c>
      <c r="M16" s="30">
        <f t="shared" si="10"/>
        <v>0</v>
      </c>
      <c r="N16" s="30">
        <v>0.53</v>
      </c>
      <c r="O16" s="29" t="e">
        <f t="shared" si="11"/>
        <v>#N/A</v>
      </c>
      <c r="P16" s="30">
        <f t="shared" si="12"/>
        <v>0</v>
      </c>
    </row>
    <row r="17" spans="1:16" ht="24.75" customHeight="1" x14ac:dyDescent="0.25">
      <c r="B17" s="28" t="s">
        <v>49</v>
      </c>
      <c r="C17" s="29" t="e">
        <f t="shared" si="0"/>
        <v>#N/A</v>
      </c>
      <c r="D17" s="30">
        <f t="shared" si="1"/>
        <v>0</v>
      </c>
      <c r="E17" s="29" t="e">
        <f t="shared" si="2"/>
        <v>#N/A</v>
      </c>
      <c r="F17" s="31" t="e">
        <f t="shared" si="3"/>
        <v>#N/A</v>
      </c>
      <c r="G17" s="29" t="e">
        <f t="shared" si="4"/>
        <v>#N/A</v>
      </c>
      <c r="H17" s="32">
        <f t="shared" si="5"/>
        <v>0</v>
      </c>
      <c r="I17" s="32" t="e">
        <f t="shared" si="6"/>
        <v>#N/A</v>
      </c>
      <c r="J17" s="29" t="e">
        <f t="shared" si="7"/>
        <v>#N/A</v>
      </c>
      <c r="K17" s="32">
        <f t="shared" si="8"/>
        <v>0</v>
      </c>
      <c r="L17" s="29" t="e">
        <f t="shared" si="9"/>
        <v>#N/A</v>
      </c>
      <c r="M17" s="30">
        <f t="shared" si="10"/>
        <v>0</v>
      </c>
      <c r="N17" s="30">
        <v>0.61</v>
      </c>
      <c r="O17" s="29" t="e">
        <f t="shared" si="11"/>
        <v>#N/A</v>
      </c>
      <c r="P17" s="30">
        <f t="shared" si="12"/>
        <v>0</v>
      </c>
    </row>
    <row r="18" spans="1:16" ht="24.75" customHeight="1" x14ac:dyDescent="0.25">
      <c r="B18" s="28" t="s">
        <v>50</v>
      </c>
      <c r="C18" s="29" t="e">
        <f t="shared" si="0"/>
        <v>#N/A</v>
      </c>
      <c r="D18" s="30">
        <f t="shared" si="1"/>
        <v>0</v>
      </c>
      <c r="E18" s="29" t="e">
        <f t="shared" si="2"/>
        <v>#N/A</v>
      </c>
      <c r="F18" s="31" t="e">
        <f t="shared" si="3"/>
        <v>#N/A</v>
      </c>
      <c r="G18" s="29" t="e">
        <f t="shared" si="4"/>
        <v>#N/A</v>
      </c>
      <c r="H18" s="32">
        <f t="shared" si="5"/>
        <v>0</v>
      </c>
      <c r="I18" s="32" t="e">
        <f t="shared" si="6"/>
        <v>#N/A</v>
      </c>
      <c r="J18" s="29" t="e">
        <f t="shared" si="7"/>
        <v>#N/A</v>
      </c>
      <c r="K18" s="32">
        <f t="shared" si="8"/>
        <v>0</v>
      </c>
      <c r="L18" s="29" t="e">
        <f t="shared" si="9"/>
        <v>#N/A</v>
      </c>
      <c r="M18" s="30">
        <f t="shared" si="10"/>
        <v>0</v>
      </c>
      <c r="N18" s="30">
        <v>0.63</v>
      </c>
      <c r="O18" s="29" t="e">
        <f t="shared" si="11"/>
        <v>#N/A</v>
      </c>
      <c r="P18" s="30">
        <f t="shared" si="12"/>
        <v>0</v>
      </c>
    </row>
    <row r="19" spans="1:16" ht="24.75" customHeight="1" x14ac:dyDescent="0.25">
      <c r="B19" s="28" t="s">
        <v>51</v>
      </c>
      <c r="C19" s="29" t="e">
        <f t="shared" si="0"/>
        <v>#N/A</v>
      </c>
      <c r="D19" s="30">
        <f t="shared" si="1"/>
        <v>0</v>
      </c>
      <c r="E19" s="29" t="e">
        <f t="shared" si="2"/>
        <v>#N/A</v>
      </c>
      <c r="F19" s="31" t="e">
        <f t="shared" si="3"/>
        <v>#N/A</v>
      </c>
      <c r="G19" s="29" t="e">
        <f t="shared" si="4"/>
        <v>#N/A</v>
      </c>
      <c r="H19" s="32">
        <f t="shared" si="5"/>
        <v>0</v>
      </c>
      <c r="I19" s="32" t="e">
        <f t="shared" si="6"/>
        <v>#N/A</v>
      </c>
      <c r="J19" s="29" t="e">
        <f t="shared" si="7"/>
        <v>#N/A</v>
      </c>
      <c r="K19" s="32">
        <f t="shared" si="8"/>
        <v>0</v>
      </c>
      <c r="L19" s="29" t="e">
        <f t="shared" si="9"/>
        <v>#N/A</v>
      </c>
      <c r="M19" s="30">
        <f t="shared" si="10"/>
        <v>0</v>
      </c>
      <c r="N19" s="30">
        <v>0.60000000000000009</v>
      </c>
      <c r="O19" s="29" t="e">
        <f t="shared" si="11"/>
        <v>#N/A</v>
      </c>
      <c r="P19" s="30">
        <f t="shared" si="12"/>
        <v>0</v>
      </c>
    </row>
    <row r="20" spans="1:16" ht="24.75" customHeight="1" x14ac:dyDescent="0.25">
      <c r="A20" s="25"/>
      <c r="B20" s="35" t="s">
        <v>23</v>
      </c>
      <c r="C20" s="36" t="e">
        <f>SUM(C6:C19)</f>
        <v>#N/A</v>
      </c>
      <c r="D20" s="37"/>
      <c r="E20" s="36" t="e">
        <f>SUM(E6:E19)</f>
        <v>#N/A</v>
      </c>
      <c r="F20" s="37" t="e">
        <f t="shared" si="3"/>
        <v>#N/A</v>
      </c>
      <c r="G20" s="36" t="e">
        <f>SUM(G6:G19)</f>
        <v>#N/A</v>
      </c>
      <c r="H20" s="37" t="e">
        <f>+G20/C20</f>
        <v>#N/A</v>
      </c>
      <c r="I20" s="239" t="e">
        <f t="shared" si="6"/>
        <v>#N/A</v>
      </c>
      <c r="J20" s="36" t="e">
        <f>SUM(J6:J19)</f>
        <v>#N/A</v>
      </c>
      <c r="K20" s="37" t="e">
        <f>+J20/C20</f>
        <v>#N/A</v>
      </c>
      <c r="L20" s="36" t="e">
        <f>SUM(L6:L19)</f>
        <v>#N/A</v>
      </c>
      <c r="M20" s="38" t="e">
        <f>+L20/C20</f>
        <v>#N/A</v>
      </c>
      <c r="N20" s="38">
        <v>0.55900000000000005</v>
      </c>
      <c r="O20" s="36" t="e">
        <f>SUM(O6:O19)</f>
        <v>#N/A</v>
      </c>
      <c r="P20" s="38" t="e">
        <f>+O20/C20</f>
        <v>#N/A</v>
      </c>
    </row>
    <row r="21" spans="1:16" x14ac:dyDescent="0.25">
      <c r="B21" s="39"/>
      <c r="C21" s="40" t="e">
        <f>#N/A</f>
        <v>#N/A</v>
      </c>
      <c r="D21" s="40"/>
      <c r="E21" s="40" t="e">
        <f>#N/A</f>
        <v>#N/A</v>
      </c>
      <c r="F21" s="40"/>
      <c r="G21" s="40" t="e">
        <f>#N/A</f>
        <v>#N/A</v>
      </c>
      <c r="H21" s="40"/>
      <c r="I21" s="40"/>
      <c r="J21" s="40"/>
      <c r="K21" s="40"/>
      <c r="L21" s="40" t="e">
        <f>#N/A</f>
        <v>#N/A</v>
      </c>
      <c r="M21" s="40"/>
      <c r="N21" s="40"/>
      <c r="O21" s="40" t="e">
        <f>#N/A</f>
        <v>#N/A</v>
      </c>
      <c r="P21" s="41"/>
    </row>
    <row r="22" spans="1:16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42"/>
      <c r="P22" s="39"/>
    </row>
    <row r="26" spans="1:16" x14ac:dyDescent="0.25">
      <c r="B26" s="43"/>
      <c r="C26" s="43"/>
      <c r="D26" s="43"/>
    </row>
    <row r="27" spans="1:16" x14ac:dyDescent="0.25">
      <c r="B27" s="43"/>
      <c r="C27" s="43"/>
      <c r="D27" s="43"/>
    </row>
    <row r="28" spans="1:16" x14ac:dyDescent="0.25">
      <c r="B28" s="43"/>
      <c r="C28" s="43"/>
      <c r="D28" s="43"/>
    </row>
    <row r="29" spans="1:16" x14ac:dyDescent="0.25">
      <c r="B29" s="43"/>
      <c r="C29" s="43"/>
      <c r="D29" s="43"/>
    </row>
  </sheetData>
  <sheetProtection selectLockedCells="1" selectUnlockedCells="1"/>
  <mergeCells count="3">
    <mergeCell ref="B1:P1"/>
    <mergeCell ref="B2:P2"/>
    <mergeCell ref="B3:P3"/>
  </mergeCells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tabSelected="1" topLeftCell="B28" zoomScaleNormal="100" workbookViewId="0"/>
  </sheetViews>
  <sheetFormatPr baseColWidth="10" defaultColWidth="17.5703125" defaultRowHeight="15" x14ac:dyDescent="0.25"/>
  <cols>
    <col min="1" max="1" width="25.140625" style="23" hidden="1" customWidth="1"/>
    <col min="2" max="2" width="14.5703125" style="23" customWidth="1"/>
    <col min="3" max="3" width="20.140625" style="23" customWidth="1"/>
    <col min="4" max="4" width="5" style="23" customWidth="1"/>
    <col min="5" max="5" width="17.42578125" style="23" customWidth="1"/>
    <col min="6" max="6" width="12" style="23" customWidth="1"/>
    <col min="7" max="7" width="19.140625" style="23" customWidth="1"/>
    <col min="8" max="8" width="12" style="23" customWidth="1"/>
    <col min="9" max="9" width="17.5703125" style="23"/>
    <col min="10" max="10" width="8.5703125" style="23" customWidth="1"/>
    <col min="11" max="11" width="20.140625" style="23" customWidth="1"/>
    <col min="12" max="12" width="10.140625" style="23" customWidth="1"/>
    <col min="13" max="13" width="18.42578125" style="23" customWidth="1"/>
    <col min="14" max="14" width="11.28515625" style="23" customWidth="1"/>
    <col min="15" max="15" width="7.85546875" style="23" customWidth="1"/>
    <col min="16" max="17" width="17.5703125" style="23"/>
    <col min="18" max="18" width="27" style="23" customWidth="1"/>
    <col min="19" max="16384" width="17.5703125" style="23"/>
  </cols>
  <sheetData>
    <row r="1" spans="1:18" ht="15.75" x14ac:dyDescent="0.25">
      <c r="B1" s="600" t="s">
        <v>32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</row>
    <row r="2" spans="1:18" ht="15.75" x14ac:dyDescent="0.25">
      <c r="B2" s="600" t="str">
        <f>+Estado!A4</f>
        <v xml:space="preserve">AL 31 DE DICIEMBRE 2020        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</row>
    <row r="3" spans="1:18" ht="15.75" x14ac:dyDescent="0.25">
      <c r="B3" s="600" t="s">
        <v>33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</row>
    <row r="4" spans="1:18" x14ac:dyDescent="0.25">
      <c r="K4" s="24"/>
    </row>
    <row r="5" spans="1:18" ht="25.5" x14ac:dyDescent="0.25">
      <c r="A5" s="25"/>
      <c r="B5" s="26" t="s">
        <v>34</v>
      </c>
      <c r="C5" s="27" t="s">
        <v>3</v>
      </c>
      <c r="D5" s="27" t="s">
        <v>35</v>
      </c>
      <c r="E5" s="27" t="s">
        <v>5</v>
      </c>
      <c r="F5" s="27"/>
      <c r="G5" s="27" t="s">
        <v>10</v>
      </c>
      <c r="H5" s="27" t="s">
        <v>36</v>
      </c>
      <c r="I5" s="27" t="s">
        <v>11</v>
      </c>
      <c r="J5" s="27" t="s">
        <v>35</v>
      </c>
      <c r="K5" s="27" t="s">
        <v>12</v>
      </c>
      <c r="L5" s="27" t="s">
        <v>37</v>
      </c>
      <c r="M5" s="27" t="s">
        <v>7</v>
      </c>
      <c r="N5" s="27" t="s">
        <v>9</v>
      </c>
    </row>
    <row r="6" spans="1:18" x14ac:dyDescent="0.25">
      <c r="B6" s="28" t="s">
        <v>38</v>
      </c>
      <c r="C6" s="29">
        <f>+'SIGAF DIC 20'!F3</f>
        <v>2081037982</v>
      </c>
      <c r="D6" s="30">
        <f t="shared" ref="D6:D19" si="0">IFERROR(C6/$C$20,0)</f>
        <v>1.4023317081900639E-2</v>
      </c>
      <c r="E6" s="29">
        <f>+'SIGAF DIC 20'!H3</f>
        <v>0</v>
      </c>
      <c r="F6" s="31">
        <f t="shared" ref="F6:F20" si="1">+E6/C6</f>
        <v>0</v>
      </c>
      <c r="G6" s="29">
        <f>+'SIGAF DIC 20'!I3</f>
        <v>2427295.7400000002</v>
      </c>
      <c r="H6" s="32">
        <f t="shared" ref="H6:H19" si="2">IFERROR(G6/C6,0)</f>
        <v>1.1663870438670351E-3</v>
      </c>
      <c r="I6" s="29">
        <f>+'SIGAF DIC 20'!J3</f>
        <v>0</v>
      </c>
      <c r="J6" s="32">
        <f t="shared" ref="J6:J19" si="3">IFERROR(I6/C6,0)</f>
        <v>0</v>
      </c>
      <c r="K6" s="29">
        <f>+'SIGAF DIC 20'!K3</f>
        <v>1801767250</v>
      </c>
      <c r="L6" s="30">
        <f t="shared" ref="L6:L19" si="4">IFERROR(K6/C6,0)</f>
        <v>0.86580219370546785</v>
      </c>
      <c r="M6" s="29">
        <f>+'SIGAF DIC 20'!O3</f>
        <v>276843436.25999999</v>
      </c>
      <c r="N6" s="30">
        <f t="shared" ref="N6:N19" si="5">IFERROR(M6/C6,0)</f>
        <v>0.13303141925066508</v>
      </c>
      <c r="O6" s="33"/>
      <c r="P6" s="20"/>
    </row>
    <row r="7" spans="1:18" x14ac:dyDescent="0.25">
      <c r="B7" s="28" t="s">
        <v>39</v>
      </c>
      <c r="C7" s="29">
        <f>+'SIGAF DIC 20'!F62</f>
        <v>3467509456</v>
      </c>
      <c r="D7" s="30">
        <f t="shared" si="0"/>
        <v>2.3366216766137232E-2</v>
      </c>
      <c r="E7" s="29">
        <f>+'SIGAF DIC 20'!H62</f>
        <v>0</v>
      </c>
      <c r="F7" s="31">
        <f t="shared" si="1"/>
        <v>0</v>
      </c>
      <c r="G7" s="29">
        <f>+'SIGAF DIC 20'!I62</f>
        <v>26742682.59</v>
      </c>
      <c r="H7" s="32">
        <f t="shared" si="2"/>
        <v>7.7123603927671596E-3</v>
      </c>
      <c r="I7" s="29">
        <f>+'SIGAF DIC 20'!J62</f>
        <v>0</v>
      </c>
      <c r="J7" s="32">
        <f t="shared" si="3"/>
        <v>0</v>
      </c>
      <c r="K7" s="29">
        <f>+'SIGAF DIC 20'!K62</f>
        <v>3222776445.5100002</v>
      </c>
      <c r="L7" s="30">
        <f t="shared" si="4"/>
        <v>0.92942109788149929</v>
      </c>
      <c r="M7" s="29">
        <f>+'SIGAF DIC 20'!O62</f>
        <v>217990327.90000001</v>
      </c>
      <c r="N7" s="30">
        <f t="shared" si="5"/>
        <v>6.2866541725733652E-2</v>
      </c>
      <c r="O7" s="33"/>
    </row>
    <row r="8" spans="1:18" x14ac:dyDescent="0.25">
      <c r="B8" s="28" t="s">
        <v>40</v>
      </c>
      <c r="C8" s="29">
        <f>+'SIGAF DIC 20'!F144</f>
        <v>2849531919</v>
      </c>
      <c r="D8" s="30">
        <f t="shared" si="0"/>
        <v>1.9201903079505547E-2</v>
      </c>
      <c r="E8" s="29">
        <f>+'SIGAF DIC 20'!H144</f>
        <v>0</v>
      </c>
      <c r="F8" s="31">
        <f t="shared" si="1"/>
        <v>0</v>
      </c>
      <c r="G8" s="29">
        <f>+'SIGAF DIC 20'!I144</f>
        <v>35732290.530000001</v>
      </c>
      <c r="H8" s="32">
        <f t="shared" si="2"/>
        <v>1.2539705308000096E-2</v>
      </c>
      <c r="I8" s="29">
        <f>+'SIGAF DIC 20'!J144</f>
        <v>0</v>
      </c>
      <c r="J8" s="32">
        <f t="shared" si="3"/>
        <v>0</v>
      </c>
      <c r="K8" s="29">
        <f>+'SIGAF DIC 20'!K144</f>
        <v>2376037696.3600001</v>
      </c>
      <c r="L8" s="30">
        <f t="shared" si="4"/>
        <v>0.83383438540103616</v>
      </c>
      <c r="M8" s="29">
        <f>+'SIGAF DIC 20'!O144</f>
        <v>437761932.11000001</v>
      </c>
      <c r="N8" s="30">
        <f t="shared" si="5"/>
        <v>0.15362590929096381</v>
      </c>
      <c r="O8" s="33"/>
    </row>
    <row r="9" spans="1:18" x14ac:dyDescent="0.25">
      <c r="B9" s="28" t="s">
        <v>41</v>
      </c>
      <c r="C9" s="29">
        <f>+'SIGAF DIC 20'!F246</f>
        <v>75755327546</v>
      </c>
      <c r="D9" s="30">
        <f t="shared" si="0"/>
        <v>0.51048610741829303</v>
      </c>
      <c r="E9" s="29">
        <f>+'SIGAF DIC 20'!H246</f>
        <v>0</v>
      </c>
      <c r="F9" s="31">
        <f t="shared" si="1"/>
        <v>0</v>
      </c>
      <c r="G9" s="29">
        <f>+'SIGAF DIC 20'!I246</f>
        <v>1104426827.1500001</v>
      </c>
      <c r="H9" s="32">
        <f t="shared" si="2"/>
        <v>1.4578866766556745E-2</v>
      </c>
      <c r="I9" s="29">
        <f>+'SIGAF DIC 20'!J246</f>
        <v>0</v>
      </c>
      <c r="J9" s="32">
        <f t="shared" si="3"/>
        <v>0</v>
      </c>
      <c r="K9" s="29">
        <f>+'SIGAF DIC 20'!K246</f>
        <v>70227882288.429993</v>
      </c>
      <c r="L9" s="30">
        <f t="shared" si="4"/>
        <v>0.92703555727861331</v>
      </c>
      <c r="M9" s="29">
        <f>+'SIGAF DIC 20'!O246</f>
        <v>4423018430.4200001</v>
      </c>
      <c r="N9" s="30">
        <f t="shared" si="5"/>
        <v>5.8385575954829891E-2</v>
      </c>
      <c r="O9" s="33"/>
    </row>
    <row r="10" spans="1:18" x14ac:dyDescent="0.25">
      <c r="B10" s="28" t="s">
        <v>42</v>
      </c>
      <c r="C10" s="29">
        <f>+'SIGAF DIC 20'!F373</f>
        <v>27746347895</v>
      </c>
      <c r="D10" s="30">
        <f t="shared" si="0"/>
        <v>0.18697200039682474</v>
      </c>
      <c r="E10" s="29">
        <f>+'SIGAF DIC 20'!H373</f>
        <v>0</v>
      </c>
      <c r="F10" s="31">
        <f t="shared" si="1"/>
        <v>0</v>
      </c>
      <c r="G10" s="29">
        <f>+'SIGAF DIC 20'!I373</f>
        <v>764570619.33000004</v>
      </c>
      <c r="H10" s="32">
        <f t="shared" si="2"/>
        <v>2.755572092670901E-2</v>
      </c>
      <c r="I10" s="29">
        <f>+'SIGAF DIC 20'!J373</f>
        <v>0</v>
      </c>
      <c r="J10" s="32">
        <f t="shared" si="3"/>
        <v>0</v>
      </c>
      <c r="K10" s="29">
        <f>+'SIGAF DIC 20'!K373</f>
        <v>25489145514.16</v>
      </c>
      <c r="L10" s="30">
        <f t="shared" si="4"/>
        <v>0.91864866722705674</v>
      </c>
      <c r="M10" s="29">
        <f>+'SIGAF DIC 20'!O373</f>
        <v>1492631761.51</v>
      </c>
      <c r="N10" s="30">
        <f t="shared" si="5"/>
        <v>5.3795611846234298E-2</v>
      </c>
      <c r="O10" s="33"/>
    </row>
    <row r="11" spans="1:18" x14ac:dyDescent="0.25">
      <c r="B11" s="28" t="s">
        <v>43</v>
      </c>
      <c r="C11" s="29">
        <f>+'SIGAF DIC 20'!F450</f>
        <v>2105742147</v>
      </c>
      <c r="D11" s="30">
        <f t="shared" si="0"/>
        <v>1.4189788978153896E-2</v>
      </c>
      <c r="E11" s="29">
        <f>+'SIGAF DIC 20'!H450</f>
        <v>0</v>
      </c>
      <c r="F11" s="31">
        <f t="shared" si="1"/>
        <v>0</v>
      </c>
      <c r="G11" s="29">
        <f>+'SIGAF DIC 20'!I450</f>
        <v>61768346.659999996</v>
      </c>
      <c r="H11" s="32">
        <f t="shared" si="2"/>
        <v>2.9333290758319992E-2</v>
      </c>
      <c r="I11" s="29">
        <f>+'SIGAF DIC 20'!J450</f>
        <v>0</v>
      </c>
      <c r="J11" s="32">
        <f t="shared" si="3"/>
        <v>0</v>
      </c>
      <c r="K11" s="29">
        <f>+'SIGAF DIC 20'!K450</f>
        <v>1894956303.8299999</v>
      </c>
      <c r="L11" s="30">
        <f t="shared" si="4"/>
        <v>0.89989949934264191</v>
      </c>
      <c r="M11" s="29">
        <f>+'SIGAF DIC 20'!O450</f>
        <v>149017496.50999999</v>
      </c>
      <c r="N11" s="30">
        <f t="shared" si="5"/>
        <v>7.0767209899038022E-2</v>
      </c>
      <c r="O11" s="33"/>
    </row>
    <row r="12" spans="1:18" x14ac:dyDescent="0.25">
      <c r="B12" s="28" t="s">
        <v>44</v>
      </c>
      <c r="C12" s="29">
        <f>+'SIGAF DIC 20'!F504</f>
        <v>1449674150</v>
      </c>
      <c r="D12" s="30">
        <f t="shared" si="0"/>
        <v>9.7687982856262869E-3</v>
      </c>
      <c r="E12" s="29">
        <f>+'SIGAF DIC 20'!H504</f>
        <v>0</v>
      </c>
      <c r="F12" s="31">
        <f t="shared" si="1"/>
        <v>0</v>
      </c>
      <c r="G12" s="29">
        <f>+'SIGAF DIC 20'!I504</f>
        <v>19036695</v>
      </c>
      <c r="H12" s="32">
        <f t="shared" si="2"/>
        <v>1.3131706183765503E-2</v>
      </c>
      <c r="I12" s="29">
        <f>+'SIGAF DIC 20'!J504</f>
        <v>0</v>
      </c>
      <c r="J12" s="32">
        <f t="shared" si="3"/>
        <v>0</v>
      </c>
      <c r="K12" s="29">
        <f>+'SIGAF DIC 20'!K504</f>
        <v>1313606623.73</v>
      </c>
      <c r="L12" s="30">
        <f t="shared" si="4"/>
        <v>0.90613923393060436</v>
      </c>
      <c r="M12" s="29">
        <f>+'SIGAF DIC 20'!O504</f>
        <v>117030831.27</v>
      </c>
      <c r="N12" s="30">
        <f t="shared" si="5"/>
        <v>8.0729059885630158E-2</v>
      </c>
      <c r="O12" s="33"/>
      <c r="R12" s="34"/>
    </row>
    <row r="13" spans="1:18" x14ac:dyDescent="0.25">
      <c r="B13" s="28" t="s">
        <v>45</v>
      </c>
      <c r="C13" s="29">
        <f>+'SIGAF DIC 20'!F551</f>
        <v>2262440561</v>
      </c>
      <c r="D13" s="30">
        <f t="shared" si="0"/>
        <v>1.5245719511262704E-2</v>
      </c>
      <c r="E13" s="29">
        <f>+'SIGAF DIC 20'!H551</f>
        <v>0</v>
      </c>
      <c r="F13" s="31">
        <f t="shared" si="1"/>
        <v>0</v>
      </c>
      <c r="G13" s="29">
        <f>+'SIGAF DIC 20'!I551</f>
        <v>77931178.549999997</v>
      </c>
      <c r="H13" s="32">
        <f t="shared" si="2"/>
        <v>3.4445624735243596E-2</v>
      </c>
      <c r="I13" s="29">
        <f>+'SIGAF DIC 20'!J551</f>
        <v>0</v>
      </c>
      <c r="J13" s="32">
        <f t="shared" si="3"/>
        <v>0</v>
      </c>
      <c r="K13" s="29">
        <f>+'SIGAF DIC 20'!K551</f>
        <v>2027258265.1600001</v>
      </c>
      <c r="L13" s="30">
        <f t="shared" si="4"/>
        <v>0.89604929300947067</v>
      </c>
      <c r="M13" s="29">
        <f>+'SIGAF DIC 20'!O551</f>
        <v>157251117.28999999</v>
      </c>
      <c r="N13" s="30">
        <f t="shared" si="5"/>
        <v>6.9505082255285816E-2</v>
      </c>
      <c r="O13" s="33"/>
      <c r="R13" s="33"/>
    </row>
    <row r="14" spans="1:18" x14ac:dyDescent="0.25">
      <c r="B14" s="28" t="s">
        <v>46</v>
      </c>
      <c r="C14" s="29">
        <f>+'SIGAF DIC 20'!F623</f>
        <v>1156686277</v>
      </c>
      <c r="D14" s="30">
        <f t="shared" si="0"/>
        <v>7.7944653422736777E-3</v>
      </c>
      <c r="E14" s="29">
        <f>+'SIGAF DIC 20'!H623</f>
        <v>0</v>
      </c>
      <c r="F14" s="31">
        <f t="shared" si="1"/>
        <v>0</v>
      </c>
      <c r="G14" s="29">
        <f>+'SIGAF DIC 20'!I623</f>
        <v>11556519.27</v>
      </c>
      <c r="H14" s="32">
        <f t="shared" si="2"/>
        <v>9.9910576444056827E-3</v>
      </c>
      <c r="I14" s="29">
        <f>+'SIGAF DIC 20'!J623</f>
        <v>0</v>
      </c>
      <c r="J14" s="32">
        <f t="shared" si="3"/>
        <v>0</v>
      </c>
      <c r="K14" s="29">
        <f>+'SIGAF DIC 20'!K623</f>
        <v>1032253158.23</v>
      </c>
      <c r="L14" s="30">
        <f t="shared" si="4"/>
        <v>0.89242275866475074</v>
      </c>
      <c r="M14" s="29">
        <f>+'SIGAF DIC 20'!O623</f>
        <v>112876599.5</v>
      </c>
      <c r="N14" s="30">
        <f t="shared" si="5"/>
        <v>9.7586183690843598E-2</v>
      </c>
      <c r="O14" s="33"/>
    </row>
    <row r="15" spans="1:18" x14ac:dyDescent="0.25">
      <c r="B15" s="28" t="s">
        <v>47</v>
      </c>
      <c r="C15" s="29">
        <f>+'SIGAF DIC 20'!F654</f>
        <v>6961566789</v>
      </c>
      <c r="D15" s="30">
        <f t="shared" si="0"/>
        <v>4.6911329496808714E-2</v>
      </c>
      <c r="E15" s="29">
        <f>+'SIGAF DIC 20'!H654</f>
        <v>0</v>
      </c>
      <c r="F15" s="31">
        <f t="shared" si="1"/>
        <v>0</v>
      </c>
      <c r="G15" s="29">
        <f>+'SIGAF DIC 20'!I654</f>
        <v>120450727.34999999</v>
      </c>
      <c r="H15" s="32">
        <f t="shared" si="2"/>
        <v>1.7302244020746118E-2</v>
      </c>
      <c r="I15" s="29">
        <f>+'SIGAF DIC 20'!J654</f>
        <v>0</v>
      </c>
      <c r="J15" s="32">
        <f t="shared" si="3"/>
        <v>0</v>
      </c>
      <c r="K15" s="29">
        <f>+'SIGAF DIC 20'!K654</f>
        <v>5996105558.6899996</v>
      </c>
      <c r="L15" s="30">
        <f t="shared" si="4"/>
        <v>0.86131552571821479</v>
      </c>
      <c r="M15" s="29">
        <f>+'SIGAF DIC 20'!O654</f>
        <v>845010502.96000004</v>
      </c>
      <c r="N15" s="30">
        <f t="shared" si="5"/>
        <v>0.12138223026103902</v>
      </c>
      <c r="O15" s="33"/>
    </row>
    <row r="16" spans="1:18" x14ac:dyDescent="0.25">
      <c r="B16" s="28" t="s">
        <v>48</v>
      </c>
      <c r="C16" s="29">
        <f>+'SIGAF DIC 20'!F686</f>
        <v>1265316729</v>
      </c>
      <c r="D16" s="30">
        <f t="shared" si="0"/>
        <v>8.5264843089251901E-3</v>
      </c>
      <c r="E16" s="29">
        <f>+'SIGAF DIC 20'!H686</f>
        <v>0</v>
      </c>
      <c r="F16" s="31">
        <f t="shared" si="1"/>
        <v>0</v>
      </c>
      <c r="G16" s="29">
        <f>+'SIGAF DIC 20'!I686</f>
        <v>5641651.6799999997</v>
      </c>
      <c r="H16" s="32">
        <f t="shared" si="2"/>
        <v>4.4586873394606005E-3</v>
      </c>
      <c r="I16" s="29">
        <f>+'SIGAF DIC 20'!J686</f>
        <v>0</v>
      </c>
      <c r="J16" s="32">
        <f t="shared" si="3"/>
        <v>0</v>
      </c>
      <c r="K16" s="29">
        <f>+'SIGAF DIC 20'!K686</f>
        <v>1095325472.8499999</v>
      </c>
      <c r="L16" s="30">
        <f t="shared" si="4"/>
        <v>0.86565319792748896</v>
      </c>
      <c r="M16" s="29">
        <f>+'SIGAF DIC 20'!O686</f>
        <v>164349604.47</v>
      </c>
      <c r="N16" s="30">
        <f t="shared" si="5"/>
        <v>0.12988811473305037</v>
      </c>
      <c r="O16" s="33"/>
    </row>
    <row r="17" spans="1:15" x14ac:dyDescent="0.25">
      <c r="B17" s="28" t="s">
        <v>49</v>
      </c>
      <c r="C17" s="29">
        <f>+'SIGAF DIC 20'!F766</f>
        <v>7590011399</v>
      </c>
      <c r="D17" s="30">
        <f t="shared" si="0"/>
        <v>5.1146176775267171E-2</v>
      </c>
      <c r="E17" s="29">
        <f>+'SIGAF DIC 20'!H766</f>
        <v>0</v>
      </c>
      <c r="F17" s="31">
        <f t="shared" si="1"/>
        <v>0</v>
      </c>
      <c r="G17" s="29">
        <f>+'SIGAF DIC 20'!I766</f>
        <v>0</v>
      </c>
      <c r="H17" s="32">
        <f t="shared" si="2"/>
        <v>0</v>
      </c>
      <c r="I17" s="29">
        <f>+'SIGAF DIC 20'!J766</f>
        <v>0</v>
      </c>
      <c r="J17" s="32">
        <f t="shared" si="3"/>
        <v>0</v>
      </c>
      <c r="K17" s="29">
        <f>+'SIGAF DIC 20'!K766</f>
        <v>7224328134.7299995</v>
      </c>
      <c r="L17" s="30">
        <f t="shared" si="4"/>
        <v>0.95182045914737623</v>
      </c>
      <c r="M17" s="29">
        <f>+'SIGAF DIC 20'!O766</f>
        <v>365683264.26999998</v>
      </c>
      <c r="N17" s="30">
        <f t="shared" si="5"/>
        <v>4.8179540852623687E-2</v>
      </c>
      <c r="O17" s="33"/>
    </row>
    <row r="18" spans="1:15" x14ac:dyDescent="0.25">
      <c r="B18" s="28" t="s">
        <v>50</v>
      </c>
      <c r="C18" s="29">
        <f>+'SIGAF DIC 20'!F791</f>
        <v>895550765</v>
      </c>
      <c r="D18" s="30">
        <f t="shared" si="0"/>
        <v>6.0347732473696319E-3</v>
      </c>
      <c r="E18" s="29">
        <f>+'SIGAF DIC 20'!H791</f>
        <v>0</v>
      </c>
      <c r="F18" s="31">
        <f t="shared" si="1"/>
        <v>0</v>
      </c>
      <c r="G18" s="29">
        <f>+'SIGAF DIC 20'!I791</f>
        <v>0</v>
      </c>
      <c r="H18" s="32">
        <f t="shared" si="2"/>
        <v>0</v>
      </c>
      <c r="I18" s="29">
        <f>+'SIGAF DIC 20'!J791</f>
        <v>0</v>
      </c>
      <c r="J18" s="32">
        <f t="shared" si="3"/>
        <v>0</v>
      </c>
      <c r="K18" s="29">
        <f>+'SIGAF DIC 20'!K791</f>
        <v>882074571.79999995</v>
      </c>
      <c r="L18" s="30">
        <f t="shared" si="4"/>
        <v>0.98495206109281808</v>
      </c>
      <c r="M18" s="29">
        <f>+'SIGAF DIC 20'!O791</f>
        <v>13476193.199999999</v>
      </c>
      <c r="N18" s="30">
        <f t="shared" si="5"/>
        <v>1.5047938907181884E-2</v>
      </c>
      <c r="O18" s="33"/>
    </row>
    <row r="19" spans="1:15" x14ac:dyDescent="0.25">
      <c r="B19" s="28" t="s">
        <v>51</v>
      </c>
      <c r="C19" s="29">
        <f>+'SIGAF DIC 20'!F819</f>
        <v>12811668105</v>
      </c>
      <c r="D19" s="30">
        <f t="shared" si="0"/>
        <v>8.6332919311651518E-2</v>
      </c>
      <c r="E19" s="29">
        <f>+'SIGAF DIC 20'!H819</f>
        <v>0</v>
      </c>
      <c r="F19" s="31">
        <f t="shared" si="1"/>
        <v>0</v>
      </c>
      <c r="G19" s="29">
        <f>+'SIGAF DIC 20'!I819</f>
        <v>886800</v>
      </c>
      <c r="H19" s="32">
        <f t="shared" si="2"/>
        <v>6.9218152759819714E-5</v>
      </c>
      <c r="I19" s="29">
        <f>+'SIGAF DIC 20'!J819</f>
        <v>0</v>
      </c>
      <c r="J19" s="32">
        <f t="shared" si="3"/>
        <v>0</v>
      </c>
      <c r="K19" s="29">
        <f>+'SIGAF DIC 20'!K819</f>
        <v>12046568869.049999</v>
      </c>
      <c r="L19" s="30">
        <f t="shared" si="4"/>
        <v>0.94028106022732461</v>
      </c>
      <c r="M19" s="29">
        <f>+'SIGAF DIC 20'!O819</f>
        <v>764212435.95000005</v>
      </c>
      <c r="N19" s="30">
        <f t="shared" si="5"/>
        <v>5.9649721619915476E-2</v>
      </c>
      <c r="O19" s="33"/>
    </row>
    <row r="20" spans="1:15" x14ac:dyDescent="0.25">
      <c r="A20" s="25"/>
      <c r="B20" s="35" t="s">
        <v>23</v>
      </c>
      <c r="C20" s="36">
        <f>SUM(C6:C19)</f>
        <v>148398411720</v>
      </c>
      <c r="D20" s="37"/>
      <c r="E20" s="36">
        <f>SUM(E6:E19)</f>
        <v>0</v>
      </c>
      <c r="F20" s="37">
        <f t="shared" si="1"/>
        <v>0</v>
      </c>
      <c r="G20" s="36">
        <f>SUM(G6:G19)</f>
        <v>2231171633.8499999</v>
      </c>
      <c r="H20" s="37">
        <f>+G20/C20</f>
        <v>1.5035010199838276E-2</v>
      </c>
      <c r="I20" s="36">
        <f>SUM(I6:I19)</f>
        <v>0</v>
      </c>
      <c r="J20" s="37">
        <f>+I20/C20</f>
        <v>0</v>
      </c>
      <c r="K20" s="36">
        <f>SUM(K6:K19)</f>
        <v>136630086152.53</v>
      </c>
      <c r="L20" s="38">
        <f>+K20/C20</f>
        <v>0.92069776602680475</v>
      </c>
      <c r="M20" s="36">
        <f>SUM(M6:M19)</f>
        <v>9537153933.6200027</v>
      </c>
      <c r="N20" s="38">
        <f>+M20/C20</f>
        <v>6.4267223773356988E-2</v>
      </c>
    </row>
    <row r="21" spans="1:15" x14ac:dyDescent="0.25">
      <c r="B21" s="39"/>
      <c r="C21" s="40">
        <f>+C20-Estado!C10</f>
        <v>0</v>
      </c>
      <c r="D21" s="40"/>
      <c r="E21" s="40">
        <f>+E20-Estado!E10</f>
        <v>0</v>
      </c>
      <c r="F21" s="40"/>
      <c r="G21" s="40">
        <f>+G20-Estado!G10</f>
        <v>0</v>
      </c>
      <c r="H21" s="40"/>
      <c r="I21" s="40"/>
      <c r="J21" s="40"/>
      <c r="K21" s="40">
        <f>+K20-Estado!K10</f>
        <v>0</v>
      </c>
      <c r="L21" s="40"/>
      <c r="M21" s="40">
        <f>+M20-Estado!O10</f>
        <v>0</v>
      </c>
      <c r="N21" s="41"/>
    </row>
    <row r="22" spans="1:15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42"/>
      <c r="N22" s="39"/>
    </row>
    <row r="26" spans="1:15" x14ac:dyDescent="0.25">
      <c r="B26" s="43"/>
      <c r="C26" s="43"/>
      <c r="D26" s="43"/>
    </row>
    <row r="27" spans="1:15" x14ac:dyDescent="0.25">
      <c r="B27" s="43"/>
      <c r="C27" s="43"/>
      <c r="D27" s="43"/>
    </row>
    <row r="28" spans="1:15" x14ac:dyDescent="0.25">
      <c r="B28" s="43"/>
      <c r="C28" s="43"/>
      <c r="D28" s="43"/>
    </row>
    <row r="29" spans="1:15" x14ac:dyDescent="0.25">
      <c r="B29" s="43"/>
      <c r="C29" s="43"/>
      <c r="D29" s="43"/>
    </row>
  </sheetData>
  <sheetProtection selectLockedCells="1" selectUnlockedCells="1"/>
  <mergeCells count="3">
    <mergeCell ref="B1:N1"/>
    <mergeCell ref="B2:N2"/>
    <mergeCell ref="B3:N3"/>
  </mergeCells>
  <printOptions horizontalCentered="1"/>
  <pageMargins left="0.51180555555555551" right="0.31527777777777777" top="0.35416666666666669" bottom="0.35416666666666669" header="0.51180555555555551" footer="0.51180555555555551"/>
  <pageSetup scale="65" firstPageNumber="0" orientation="landscape" horizontalDpi="300" verticalDpi="300"/>
  <headerFooter alignWithMargins="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topLeftCell="B1" zoomScaleNormal="100" workbookViewId="0"/>
  </sheetViews>
  <sheetFormatPr baseColWidth="10" defaultColWidth="17.5703125" defaultRowHeight="15" x14ac:dyDescent="0.25"/>
  <cols>
    <col min="1" max="1" width="25.140625" style="23" hidden="1" customWidth="1"/>
    <col min="2" max="2" width="14.5703125" style="23" customWidth="1"/>
    <col min="3" max="3" width="20.140625" style="23" customWidth="1"/>
    <col min="4" max="4" width="5" style="23" customWidth="1"/>
    <col min="5" max="5" width="17.42578125" style="23" customWidth="1"/>
    <col min="6" max="6" width="12" style="23" customWidth="1"/>
    <col min="7" max="7" width="19.140625" style="23" customWidth="1"/>
    <col min="8" max="9" width="12" style="23" customWidth="1"/>
    <col min="10" max="10" width="17.5703125" style="23"/>
    <col min="11" max="11" width="8.5703125" style="23" customWidth="1"/>
    <col min="12" max="12" width="20.140625" style="23" customWidth="1"/>
    <col min="13" max="14" width="10.140625" style="23" customWidth="1"/>
    <col min="15" max="15" width="18.42578125" style="23" customWidth="1"/>
    <col min="16" max="16" width="11.28515625" style="23" customWidth="1"/>
    <col min="17" max="17" width="7.85546875" style="23" customWidth="1"/>
    <col min="18" max="16384" width="17.5703125" style="23"/>
  </cols>
  <sheetData>
    <row r="1" spans="1:18" ht="15.75" x14ac:dyDescent="0.25">
      <c r="B1" s="600" t="s">
        <v>32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</row>
    <row r="2" spans="1:18" ht="15.75" x14ac:dyDescent="0.25">
      <c r="B2" s="600" t="e">
        <f>#N/A</f>
        <v>#N/A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</row>
    <row r="3" spans="1:18" ht="15.75" x14ac:dyDescent="0.25">
      <c r="B3" s="600" t="s">
        <v>33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</row>
    <row r="4" spans="1:18" x14ac:dyDescent="0.25">
      <c r="L4" s="24"/>
    </row>
    <row r="5" spans="1:18" ht="29.25" customHeight="1" x14ac:dyDescent="0.25">
      <c r="A5" s="25"/>
      <c r="B5" s="26" t="s">
        <v>34</v>
      </c>
      <c r="C5" s="27" t="s">
        <v>3</v>
      </c>
      <c r="D5" s="27" t="s">
        <v>35</v>
      </c>
      <c r="E5" s="27" t="s">
        <v>5</v>
      </c>
      <c r="F5" s="27"/>
      <c r="G5" s="27" t="s">
        <v>10</v>
      </c>
      <c r="H5" s="27" t="s">
        <v>36</v>
      </c>
      <c r="I5" s="27"/>
      <c r="J5" s="27" t="s">
        <v>11</v>
      </c>
      <c r="K5" s="27" t="s">
        <v>35</v>
      </c>
      <c r="L5" s="27" t="s">
        <v>12</v>
      </c>
      <c r="M5" s="27" t="s">
        <v>37</v>
      </c>
      <c r="N5" s="27"/>
      <c r="O5" s="27" t="s">
        <v>7</v>
      </c>
      <c r="P5" s="27" t="s">
        <v>9</v>
      </c>
    </row>
    <row r="6" spans="1:18" ht="24.75" customHeight="1" x14ac:dyDescent="0.25">
      <c r="B6" s="28" t="s">
        <v>38</v>
      </c>
      <c r="C6" s="29" t="e">
        <f t="shared" ref="C6:C19" si="0">#N/A</f>
        <v>#N/A</v>
      </c>
      <c r="D6" s="30">
        <f t="shared" ref="D6:D19" si="1">IFERROR(C6/$C$20,0)</f>
        <v>0</v>
      </c>
      <c r="E6" s="29" t="e">
        <f t="shared" ref="E6:E19" si="2">#N/A</f>
        <v>#N/A</v>
      </c>
      <c r="F6" s="31" t="e">
        <f t="shared" ref="F6:F20" si="3">+E6/C6</f>
        <v>#N/A</v>
      </c>
      <c r="G6" s="29" t="e">
        <f t="shared" ref="G6:G19" si="4">#N/A</f>
        <v>#N/A</v>
      </c>
      <c r="H6" s="32">
        <f t="shared" ref="H6:H19" si="5">IFERROR(G6/C6,0)</f>
        <v>0</v>
      </c>
      <c r="I6" s="32" t="e">
        <f t="shared" ref="I6:I20" si="6">+G6/C6</f>
        <v>#N/A</v>
      </c>
      <c r="J6" s="29" t="e">
        <f t="shared" ref="J6:J19" si="7">#N/A</f>
        <v>#N/A</v>
      </c>
      <c r="K6" s="32">
        <f t="shared" ref="K6:K19" si="8">IFERROR(J6/C6,0)</f>
        <v>0</v>
      </c>
      <c r="L6" s="29" t="e">
        <f t="shared" ref="L6:L19" si="9">#N/A</f>
        <v>#N/A</v>
      </c>
      <c r="M6" s="30">
        <f t="shared" ref="M6:M19" si="10">IFERROR(L6/C6,0)</f>
        <v>0</v>
      </c>
      <c r="N6" s="30">
        <v>0.60000000000000009</v>
      </c>
      <c r="O6" s="29" t="e">
        <f t="shared" ref="O6:O19" si="11">#N/A</f>
        <v>#N/A</v>
      </c>
      <c r="P6" s="30">
        <f t="shared" ref="P6:P19" si="12">IFERROR(O6/C6,0)</f>
        <v>0</v>
      </c>
      <c r="Q6" s="33" t="e">
        <f t="shared" ref="Q6:Q19" si="13">+L6/$L$20</f>
        <v>#N/A</v>
      </c>
      <c r="R6" s="20" t="e">
        <f>(+E20+G20+J20+L20)/C20</f>
        <v>#N/A</v>
      </c>
    </row>
    <row r="7" spans="1:18" ht="24.75" customHeight="1" x14ac:dyDescent="0.25">
      <c r="B7" s="28" t="s">
        <v>39</v>
      </c>
      <c r="C7" s="29" t="e">
        <f t="shared" si="0"/>
        <v>#N/A</v>
      </c>
      <c r="D7" s="30">
        <f t="shared" si="1"/>
        <v>0</v>
      </c>
      <c r="E7" s="29" t="e">
        <f t="shared" si="2"/>
        <v>#N/A</v>
      </c>
      <c r="F7" s="31" t="e">
        <f t="shared" si="3"/>
        <v>#N/A</v>
      </c>
      <c r="G7" s="29" t="e">
        <f t="shared" si="4"/>
        <v>#N/A</v>
      </c>
      <c r="H7" s="32">
        <f t="shared" si="5"/>
        <v>0</v>
      </c>
      <c r="I7" s="32" t="e">
        <f t="shared" si="6"/>
        <v>#N/A</v>
      </c>
      <c r="J7" s="29" t="e">
        <f t="shared" si="7"/>
        <v>#N/A</v>
      </c>
      <c r="K7" s="32">
        <f t="shared" si="8"/>
        <v>0</v>
      </c>
      <c r="L7" s="29" t="e">
        <f t="shared" si="9"/>
        <v>#N/A</v>
      </c>
      <c r="M7" s="30">
        <f t="shared" si="10"/>
        <v>0</v>
      </c>
      <c r="N7" s="30">
        <v>0.64</v>
      </c>
      <c r="O7" s="29" t="e">
        <f t="shared" si="11"/>
        <v>#N/A</v>
      </c>
      <c r="P7" s="30">
        <f t="shared" si="12"/>
        <v>0</v>
      </c>
      <c r="Q7" s="33" t="e">
        <f t="shared" si="13"/>
        <v>#N/A</v>
      </c>
    </row>
    <row r="8" spans="1:18" ht="24.75" customHeight="1" x14ac:dyDescent="0.25">
      <c r="B8" s="28" t="s">
        <v>40</v>
      </c>
      <c r="C8" s="29" t="e">
        <f t="shared" si="0"/>
        <v>#N/A</v>
      </c>
      <c r="D8" s="30">
        <f t="shared" si="1"/>
        <v>0</v>
      </c>
      <c r="E8" s="29" t="e">
        <f t="shared" si="2"/>
        <v>#N/A</v>
      </c>
      <c r="F8" s="31" t="e">
        <f t="shared" si="3"/>
        <v>#N/A</v>
      </c>
      <c r="G8" s="29" t="e">
        <f t="shared" si="4"/>
        <v>#N/A</v>
      </c>
      <c r="H8" s="32">
        <f t="shared" si="5"/>
        <v>0</v>
      </c>
      <c r="I8" s="32" t="e">
        <f t="shared" si="6"/>
        <v>#N/A</v>
      </c>
      <c r="J8" s="29" t="e">
        <f t="shared" si="7"/>
        <v>#N/A</v>
      </c>
      <c r="K8" s="32">
        <f t="shared" si="8"/>
        <v>0</v>
      </c>
      <c r="L8" s="29" t="e">
        <f t="shared" si="9"/>
        <v>#N/A</v>
      </c>
      <c r="M8" s="30">
        <f t="shared" si="10"/>
        <v>0</v>
      </c>
      <c r="N8" s="30">
        <v>0.53</v>
      </c>
      <c r="O8" s="29" t="e">
        <f t="shared" si="11"/>
        <v>#N/A</v>
      </c>
      <c r="P8" s="30">
        <f t="shared" si="12"/>
        <v>0</v>
      </c>
      <c r="Q8" s="33" t="e">
        <f t="shared" si="13"/>
        <v>#N/A</v>
      </c>
    </row>
    <row r="9" spans="1:18" ht="24.75" customHeight="1" x14ac:dyDescent="0.25">
      <c r="B9" s="28" t="s">
        <v>41</v>
      </c>
      <c r="C9" s="29" t="e">
        <f t="shared" si="0"/>
        <v>#N/A</v>
      </c>
      <c r="D9" s="30">
        <f t="shared" si="1"/>
        <v>0</v>
      </c>
      <c r="E9" s="29" t="e">
        <f t="shared" si="2"/>
        <v>#N/A</v>
      </c>
      <c r="F9" s="31" t="e">
        <f t="shared" si="3"/>
        <v>#N/A</v>
      </c>
      <c r="G9" s="29" t="e">
        <f t="shared" si="4"/>
        <v>#N/A</v>
      </c>
      <c r="H9" s="32">
        <f t="shared" si="5"/>
        <v>0</v>
      </c>
      <c r="I9" s="32" t="e">
        <f t="shared" si="6"/>
        <v>#N/A</v>
      </c>
      <c r="J9" s="29" t="e">
        <f t="shared" si="7"/>
        <v>#N/A</v>
      </c>
      <c r="K9" s="32">
        <f t="shared" si="8"/>
        <v>0</v>
      </c>
      <c r="L9" s="29" t="e">
        <f t="shared" si="9"/>
        <v>#N/A</v>
      </c>
      <c r="M9" s="30">
        <f t="shared" si="10"/>
        <v>0</v>
      </c>
      <c r="N9" s="30">
        <v>0.65</v>
      </c>
      <c r="O9" s="29" t="e">
        <f t="shared" si="11"/>
        <v>#N/A</v>
      </c>
      <c r="P9" s="30">
        <f t="shared" si="12"/>
        <v>0</v>
      </c>
      <c r="Q9" s="33" t="e">
        <f t="shared" si="13"/>
        <v>#N/A</v>
      </c>
    </row>
    <row r="10" spans="1:18" ht="24.75" customHeight="1" x14ac:dyDescent="0.25">
      <c r="B10" s="28" t="s">
        <v>42</v>
      </c>
      <c r="C10" s="29" t="e">
        <f t="shared" si="0"/>
        <v>#N/A</v>
      </c>
      <c r="D10" s="30">
        <f t="shared" si="1"/>
        <v>0</v>
      </c>
      <c r="E10" s="29" t="e">
        <f t="shared" si="2"/>
        <v>#N/A</v>
      </c>
      <c r="F10" s="31" t="e">
        <f t="shared" si="3"/>
        <v>#N/A</v>
      </c>
      <c r="G10" s="29" t="e">
        <f t="shared" si="4"/>
        <v>#N/A</v>
      </c>
      <c r="H10" s="32">
        <f t="shared" si="5"/>
        <v>0</v>
      </c>
      <c r="I10" s="32" t="e">
        <f t="shared" si="6"/>
        <v>#N/A</v>
      </c>
      <c r="J10" s="29" t="e">
        <f t="shared" si="7"/>
        <v>#N/A</v>
      </c>
      <c r="K10" s="32">
        <f t="shared" si="8"/>
        <v>0</v>
      </c>
      <c r="L10" s="29" t="e">
        <f t="shared" si="9"/>
        <v>#N/A</v>
      </c>
      <c r="M10" s="30">
        <f t="shared" si="10"/>
        <v>0</v>
      </c>
      <c r="N10" s="30">
        <v>0.61</v>
      </c>
      <c r="O10" s="29" t="e">
        <f t="shared" si="11"/>
        <v>#N/A</v>
      </c>
      <c r="P10" s="30">
        <f t="shared" si="12"/>
        <v>0</v>
      </c>
      <c r="Q10" s="33" t="e">
        <f t="shared" si="13"/>
        <v>#N/A</v>
      </c>
    </row>
    <row r="11" spans="1:18" ht="24.75" customHeight="1" x14ac:dyDescent="0.25">
      <c r="B11" s="28" t="s">
        <v>43</v>
      </c>
      <c r="C11" s="29" t="e">
        <f t="shared" si="0"/>
        <v>#N/A</v>
      </c>
      <c r="D11" s="30">
        <f t="shared" si="1"/>
        <v>0</v>
      </c>
      <c r="E11" s="29" t="e">
        <f t="shared" si="2"/>
        <v>#N/A</v>
      </c>
      <c r="F11" s="31" t="e">
        <f t="shared" si="3"/>
        <v>#N/A</v>
      </c>
      <c r="G11" s="29" t="e">
        <f t="shared" si="4"/>
        <v>#N/A</v>
      </c>
      <c r="H11" s="32">
        <f t="shared" si="5"/>
        <v>0</v>
      </c>
      <c r="I11" s="32" t="e">
        <f t="shared" si="6"/>
        <v>#N/A</v>
      </c>
      <c r="J11" s="29" t="e">
        <f t="shared" si="7"/>
        <v>#N/A</v>
      </c>
      <c r="K11" s="32">
        <f t="shared" si="8"/>
        <v>0</v>
      </c>
      <c r="L11" s="29" t="e">
        <f t="shared" si="9"/>
        <v>#N/A</v>
      </c>
      <c r="M11" s="30">
        <f t="shared" si="10"/>
        <v>0</v>
      </c>
      <c r="N11" s="30">
        <v>0.59</v>
      </c>
      <c r="O11" s="29" t="e">
        <f t="shared" si="11"/>
        <v>#N/A</v>
      </c>
      <c r="P11" s="30">
        <f t="shared" si="12"/>
        <v>0</v>
      </c>
      <c r="Q11" s="33" t="e">
        <f t="shared" si="13"/>
        <v>#N/A</v>
      </c>
    </row>
    <row r="12" spans="1:18" ht="24.75" customHeight="1" x14ac:dyDescent="0.25">
      <c r="B12" s="28" t="s">
        <v>44</v>
      </c>
      <c r="C12" s="29" t="e">
        <f t="shared" si="0"/>
        <v>#N/A</v>
      </c>
      <c r="D12" s="30">
        <f t="shared" si="1"/>
        <v>0</v>
      </c>
      <c r="E12" s="29" t="e">
        <f t="shared" si="2"/>
        <v>#N/A</v>
      </c>
      <c r="F12" s="31" t="e">
        <f t="shared" si="3"/>
        <v>#N/A</v>
      </c>
      <c r="G12" s="29" t="e">
        <f t="shared" si="4"/>
        <v>#N/A</v>
      </c>
      <c r="H12" s="32">
        <f t="shared" si="5"/>
        <v>0</v>
      </c>
      <c r="I12" s="32" t="e">
        <f t="shared" si="6"/>
        <v>#N/A</v>
      </c>
      <c r="J12" s="29" t="e">
        <f t="shared" si="7"/>
        <v>#N/A</v>
      </c>
      <c r="K12" s="32">
        <f t="shared" si="8"/>
        <v>0</v>
      </c>
      <c r="L12" s="29" t="e">
        <f t="shared" si="9"/>
        <v>#N/A</v>
      </c>
      <c r="M12" s="30">
        <f t="shared" si="10"/>
        <v>0</v>
      </c>
      <c r="N12" s="30">
        <v>0.65</v>
      </c>
      <c r="O12" s="29" t="e">
        <f t="shared" si="11"/>
        <v>#N/A</v>
      </c>
      <c r="P12" s="30">
        <f t="shared" si="12"/>
        <v>0</v>
      </c>
      <c r="Q12" s="33" t="e">
        <f t="shared" si="13"/>
        <v>#N/A</v>
      </c>
    </row>
    <row r="13" spans="1:18" ht="24.75" customHeight="1" x14ac:dyDescent="0.25">
      <c r="B13" s="28" t="s">
        <v>45</v>
      </c>
      <c r="C13" s="29" t="e">
        <f t="shared" si="0"/>
        <v>#N/A</v>
      </c>
      <c r="D13" s="30">
        <f t="shared" si="1"/>
        <v>0</v>
      </c>
      <c r="E13" s="29" t="e">
        <f t="shared" si="2"/>
        <v>#N/A</v>
      </c>
      <c r="F13" s="31" t="e">
        <f t="shared" si="3"/>
        <v>#N/A</v>
      </c>
      <c r="G13" s="29" t="e">
        <f t="shared" si="4"/>
        <v>#N/A</v>
      </c>
      <c r="H13" s="32">
        <f t="shared" si="5"/>
        <v>0</v>
      </c>
      <c r="I13" s="32" t="e">
        <f t="shared" si="6"/>
        <v>#N/A</v>
      </c>
      <c r="J13" s="29" t="e">
        <f t="shared" si="7"/>
        <v>#N/A</v>
      </c>
      <c r="K13" s="32">
        <f t="shared" si="8"/>
        <v>0</v>
      </c>
      <c r="L13" s="29" t="e">
        <f t="shared" si="9"/>
        <v>#N/A</v>
      </c>
      <c r="M13" s="30">
        <f t="shared" si="10"/>
        <v>0</v>
      </c>
      <c r="N13" s="30">
        <v>0.63</v>
      </c>
      <c r="O13" s="29" t="e">
        <f t="shared" si="11"/>
        <v>#N/A</v>
      </c>
      <c r="P13" s="30">
        <f t="shared" si="12"/>
        <v>0</v>
      </c>
      <c r="Q13" s="33" t="e">
        <f t="shared" si="13"/>
        <v>#N/A</v>
      </c>
    </row>
    <row r="14" spans="1:18" ht="24.75" customHeight="1" x14ac:dyDescent="0.25">
      <c r="B14" s="28" t="s">
        <v>46</v>
      </c>
      <c r="C14" s="29" t="e">
        <f t="shared" si="0"/>
        <v>#N/A</v>
      </c>
      <c r="D14" s="30">
        <f t="shared" si="1"/>
        <v>0</v>
      </c>
      <c r="E14" s="29" t="e">
        <f t="shared" si="2"/>
        <v>#N/A</v>
      </c>
      <c r="F14" s="31" t="e">
        <f t="shared" si="3"/>
        <v>#N/A</v>
      </c>
      <c r="G14" s="29" t="e">
        <f t="shared" si="4"/>
        <v>#N/A</v>
      </c>
      <c r="H14" s="32">
        <f t="shared" si="5"/>
        <v>0</v>
      </c>
      <c r="I14" s="32" t="e">
        <f t="shared" si="6"/>
        <v>#N/A</v>
      </c>
      <c r="J14" s="29" t="e">
        <f t="shared" si="7"/>
        <v>#N/A</v>
      </c>
      <c r="K14" s="32">
        <f t="shared" si="8"/>
        <v>0</v>
      </c>
      <c r="L14" s="29" t="e">
        <f t="shared" si="9"/>
        <v>#N/A</v>
      </c>
      <c r="M14" s="30">
        <f t="shared" si="10"/>
        <v>0</v>
      </c>
      <c r="N14" s="30">
        <v>0.63</v>
      </c>
      <c r="O14" s="29" t="e">
        <f t="shared" si="11"/>
        <v>#N/A</v>
      </c>
      <c r="P14" s="30">
        <f t="shared" si="12"/>
        <v>0</v>
      </c>
      <c r="Q14" s="33" t="e">
        <f t="shared" si="13"/>
        <v>#N/A</v>
      </c>
    </row>
    <row r="15" spans="1:18" ht="24.75" customHeight="1" x14ac:dyDescent="0.25">
      <c r="B15" s="28" t="s">
        <v>47</v>
      </c>
      <c r="C15" s="29" t="e">
        <f t="shared" si="0"/>
        <v>#N/A</v>
      </c>
      <c r="D15" s="30">
        <f t="shared" si="1"/>
        <v>0</v>
      </c>
      <c r="E15" s="29" t="e">
        <f t="shared" si="2"/>
        <v>#N/A</v>
      </c>
      <c r="F15" s="31" t="e">
        <f t="shared" si="3"/>
        <v>#N/A</v>
      </c>
      <c r="G15" s="29" t="e">
        <f t="shared" si="4"/>
        <v>#N/A</v>
      </c>
      <c r="H15" s="32">
        <f t="shared" si="5"/>
        <v>0</v>
      </c>
      <c r="I15" s="32" t="e">
        <f t="shared" si="6"/>
        <v>#N/A</v>
      </c>
      <c r="J15" s="29" t="e">
        <f t="shared" si="7"/>
        <v>#N/A</v>
      </c>
      <c r="K15" s="32">
        <f t="shared" si="8"/>
        <v>0</v>
      </c>
      <c r="L15" s="29" t="e">
        <f t="shared" si="9"/>
        <v>#N/A</v>
      </c>
      <c r="M15" s="30">
        <f t="shared" si="10"/>
        <v>0</v>
      </c>
      <c r="N15" s="30">
        <v>0.56000000000000005</v>
      </c>
      <c r="O15" s="29" t="e">
        <f t="shared" si="11"/>
        <v>#N/A</v>
      </c>
      <c r="P15" s="30">
        <f t="shared" si="12"/>
        <v>0</v>
      </c>
      <c r="Q15" s="33" t="e">
        <f t="shared" si="13"/>
        <v>#N/A</v>
      </c>
    </row>
    <row r="16" spans="1:18" ht="24.75" customHeight="1" x14ac:dyDescent="0.25">
      <c r="B16" s="28" t="s">
        <v>48</v>
      </c>
      <c r="C16" s="29" t="e">
        <f t="shared" si="0"/>
        <v>#N/A</v>
      </c>
      <c r="D16" s="30">
        <f t="shared" si="1"/>
        <v>0</v>
      </c>
      <c r="E16" s="29" t="e">
        <f t="shared" si="2"/>
        <v>#N/A</v>
      </c>
      <c r="F16" s="31" t="e">
        <f t="shared" si="3"/>
        <v>#N/A</v>
      </c>
      <c r="G16" s="29" t="e">
        <f t="shared" si="4"/>
        <v>#N/A</v>
      </c>
      <c r="H16" s="32">
        <f t="shared" si="5"/>
        <v>0</v>
      </c>
      <c r="I16" s="32" t="e">
        <f t="shared" si="6"/>
        <v>#N/A</v>
      </c>
      <c r="J16" s="29" t="e">
        <f t="shared" si="7"/>
        <v>#N/A</v>
      </c>
      <c r="K16" s="32">
        <f t="shared" si="8"/>
        <v>0</v>
      </c>
      <c r="L16" s="29" t="e">
        <f t="shared" si="9"/>
        <v>#N/A</v>
      </c>
      <c r="M16" s="30">
        <f t="shared" si="10"/>
        <v>0</v>
      </c>
      <c r="N16" s="30">
        <v>0.60000000000000009</v>
      </c>
      <c r="O16" s="29" t="e">
        <f t="shared" si="11"/>
        <v>#N/A</v>
      </c>
      <c r="P16" s="30">
        <f t="shared" si="12"/>
        <v>0</v>
      </c>
      <c r="Q16" s="33" t="e">
        <f t="shared" si="13"/>
        <v>#N/A</v>
      </c>
    </row>
    <row r="17" spans="1:17" ht="24.75" customHeight="1" x14ac:dyDescent="0.25">
      <c r="B17" s="28" t="s">
        <v>49</v>
      </c>
      <c r="C17" s="29" t="e">
        <f t="shared" si="0"/>
        <v>#N/A</v>
      </c>
      <c r="D17" s="30">
        <f t="shared" si="1"/>
        <v>0</v>
      </c>
      <c r="E17" s="29" t="e">
        <f t="shared" si="2"/>
        <v>#N/A</v>
      </c>
      <c r="F17" s="31" t="e">
        <f t="shared" si="3"/>
        <v>#N/A</v>
      </c>
      <c r="G17" s="29" t="e">
        <f t="shared" si="4"/>
        <v>#N/A</v>
      </c>
      <c r="H17" s="32">
        <f t="shared" si="5"/>
        <v>0</v>
      </c>
      <c r="I17" s="32" t="e">
        <f t="shared" si="6"/>
        <v>#N/A</v>
      </c>
      <c r="J17" s="29" t="e">
        <f t="shared" si="7"/>
        <v>#N/A</v>
      </c>
      <c r="K17" s="32">
        <f t="shared" si="8"/>
        <v>0</v>
      </c>
      <c r="L17" s="29" t="e">
        <f t="shared" si="9"/>
        <v>#N/A</v>
      </c>
      <c r="M17" s="30">
        <f t="shared" si="10"/>
        <v>0</v>
      </c>
      <c r="N17" s="30">
        <v>0.68</v>
      </c>
      <c r="O17" s="29" t="e">
        <f t="shared" si="11"/>
        <v>#N/A</v>
      </c>
      <c r="P17" s="30">
        <f t="shared" si="12"/>
        <v>0</v>
      </c>
      <c r="Q17" s="33" t="e">
        <f t="shared" si="13"/>
        <v>#N/A</v>
      </c>
    </row>
    <row r="18" spans="1:17" ht="24.75" customHeight="1" x14ac:dyDescent="0.25">
      <c r="B18" s="28" t="s">
        <v>50</v>
      </c>
      <c r="C18" s="29" t="e">
        <f t="shared" si="0"/>
        <v>#N/A</v>
      </c>
      <c r="D18" s="30">
        <f t="shared" si="1"/>
        <v>0</v>
      </c>
      <c r="E18" s="29" t="e">
        <f t="shared" si="2"/>
        <v>#N/A</v>
      </c>
      <c r="F18" s="31" t="e">
        <f t="shared" si="3"/>
        <v>#N/A</v>
      </c>
      <c r="G18" s="29" t="e">
        <f t="shared" si="4"/>
        <v>#N/A</v>
      </c>
      <c r="H18" s="32">
        <f t="shared" si="5"/>
        <v>0</v>
      </c>
      <c r="I18" s="32" t="e">
        <f t="shared" si="6"/>
        <v>#N/A</v>
      </c>
      <c r="J18" s="29" t="e">
        <f t="shared" si="7"/>
        <v>#N/A</v>
      </c>
      <c r="K18" s="32">
        <f t="shared" si="8"/>
        <v>0</v>
      </c>
      <c r="L18" s="29" t="e">
        <f t="shared" si="9"/>
        <v>#N/A</v>
      </c>
      <c r="M18" s="30">
        <f t="shared" si="10"/>
        <v>0</v>
      </c>
      <c r="N18" s="30">
        <v>0.71</v>
      </c>
      <c r="O18" s="29" t="e">
        <f t="shared" si="11"/>
        <v>#N/A</v>
      </c>
      <c r="P18" s="30">
        <f t="shared" si="12"/>
        <v>0</v>
      </c>
      <c r="Q18" s="33" t="e">
        <f t="shared" si="13"/>
        <v>#N/A</v>
      </c>
    </row>
    <row r="19" spans="1:17" ht="24.75" customHeight="1" x14ac:dyDescent="0.25">
      <c r="B19" s="28" t="s">
        <v>51</v>
      </c>
      <c r="C19" s="29" t="e">
        <f t="shared" si="0"/>
        <v>#N/A</v>
      </c>
      <c r="D19" s="30">
        <f t="shared" si="1"/>
        <v>0</v>
      </c>
      <c r="E19" s="29" t="e">
        <f t="shared" si="2"/>
        <v>#N/A</v>
      </c>
      <c r="F19" s="31" t="e">
        <f t="shared" si="3"/>
        <v>#N/A</v>
      </c>
      <c r="G19" s="29" t="e">
        <f t="shared" si="4"/>
        <v>#N/A</v>
      </c>
      <c r="H19" s="32">
        <f t="shared" si="5"/>
        <v>0</v>
      </c>
      <c r="I19" s="32" t="e">
        <f t="shared" si="6"/>
        <v>#N/A</v>
      </c>
      <c r="J19" s="29" t="e">
        <f t="shared" si="7"/>
        <v>#N/A</v>
      </c>
      <c r="K19" s="32">
        <f t="shared" si="8"/>
        <v>0</v>
      </c>
      <c r="L19" s="29" t="e">
        <f t="shared" si="9"/>
        <v>#N/A</v>
      </c>
      <c r="M19" s="30">
        <f t="shared" si="10"/>
        <v>0</v>
      </c>
      <c r="N19" s="30">
        <v>0.67</v>
      </c>
      <c r="O19" s="29" t="e">
        <f t="shared" si="11"/>
        <v>#N/A</v>
      </c>
      <c r="P19" s="30">
        <f t="shared" si="12"/>
        <v>0</v>
      </c>
      <c r="Q19" s="33" t="e">
        <f t="shared" si="13"/>
        <v>#N/A</v>
      </c>
    </row>
    <row r="20" spans="1:17" ht="24.75" customHeight="1" x14ac:dyDescent="0.25">
      <c r="A20" s="25"/>
      <c r="B20" s="35" t="s">
        <v>23</v>
      </c>
      <c r="C20" s="36" t="e">
        <f>SUM(C6:C19)</f>
        <v>#N/A</v>
      </c>
      <c r="D20" s="37"/>
      <c r="E20" s="36" t="e">
        <f>SUM(E6:E19)</f>
        <v>#N/A</v>
      </c>
      <c r="F20" s="37" t="e">
        <f t="shared" si="3"/>
        <v>#N/A</v>
      </c>
      <c r="G20" s="36" t="e">
        <f>SUM(G6:G19)</f>
        <v>#N/A</v>
      </c>
      <c r="H20" s="37" t="e">
        <f>+G20/C20</f>
        <v>#N/A</v>
      </c>
      <c r="I20" s="239" t="e">
        <f t="shared" si="6"/>
        <v>#N/A</v>
      </c>
      <c r="J20" s="36" t="e">
        <f>SUM(J6:J19)</f>
        <v>#N/A</v>
      </c>
      <c r="K20" s="37" t="e">
        <f>+J20/C20</f>
        <v>#N/A</v>
      </c>
      <c r="L20" s="36" t="e">
        <f>SUM(L6:L19)</f>
        <v>#N/A</v>
      </c>
      <c r="M20" s="38" t="e">
        <f>+L20/C20</f>
        <v>#N/A</v>
      </c>
      <c r="N20" s="38">
        <v>0.63800000000000001</v>
      </c>
      <c r="O20" s="36" t="e">
        <f>SUM(O6:O19)</f>
        <v>#N/A</v>
      </c>
      <c r="P20" s="38" t="e">
        <f>+O20/C20</f>
        <v>#N/A</v>
      </c>
    </row>
    <row r="21" spans="1:17" x14ac:dyDescent="0.25">
      <c r="B21" s="39"/>
      <c r="C21" s="40" t="e">
        <f>#N/A</f>
        <v>#N/A</v>
      </c>
      <c r="D21" s="40"/>
      <c r="E21" s="40" t="e">
        <f>#N/A</f>
        <v>#N/A</v>
      </c>
      <c r="F21" s="40"/>
      <c r="G21" s="40" t="e">
        <f>#N/A</f>
        <v>#N/A</v>
      </c>
      <c r="H21" s="40"/>
      <c r="I21" s="40"/>
      <c r="J21" s="40"/>
      <c r="K21" s="40"/>
      <c r="L21" s="40" t="e">
        <f>#N/A</f>
        <v>#N/A</v>
      </c>
      <c r="M21" s="40"/>
      <c r="N21" s="40"/>
      <c r="O21" s="40" t="e">
        <f>#N/A</f>
        <v>#N/A</v>
      </c>
      <c r="P21" s="41"/>
    </row>
    <row r="22" spans="1:17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42"/>
      <c r="P22" s="39"/>
    </row>
    <row r="26" spans="1:17" x14ac:dyDescent="0.25">
      <c r="B26" s="43"/>
      <c r="C26" s="43"/>
      <c r="D26" s="43"/>
    </row>
    <row r="27" spans="1:17" x14ac:dyDescent="0.25">
      <c r="B27" s="43"/>
      <c r="C27" s="43"/>
      <c r="D27" s="43"/>
    </row>
    <row r="28" spans="1:17" x14ac:dyDescent="0.25">
      <c r="B28" s="43"/>
      <c r="C28" s="43"/>
      <c r="D28" s="43"/>
    </row>
    <row r="29" spans="1:17" x14ac:dyDescent="0.25">
      <c r="B29" s="43"/>
      <c r="C29" s="43"/>
      <c r="D29" s="43"/>
    </row>
  </sheetData>
  <sheetProtection selectLockedCells="1" selectUnlockedCells="1"/>
  <mergeCells count="3">
    <mergeCell ref="B1:P1"/>
    <mergeCell ref="B2:P2"/>
    <mergeCell ref="B3:P3"/>
  </mergeCells>
  <pageMargins left="0.7" right="0.7" top="0.75" bottom="0.75" header="0.51180555555555551" footer="0.51180555555555551"/>
  <pageSetup firstPageNumber="0" orientation="portrait" horizontalDpi="300" verticalDpi="300"/>
  <headerFooter alignWithMargins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topLeftCell="B1" zoomScaleNormal="100" workbookViewId="0"/>
  </sheetViews>
  <sheetFormatPr baseColWidth="10" defaultColWidth="17.5703125" defaultRowHeight="15" x14ac:dyDescent="0.25"/>
  <cols>
    <col min="1" max="1" width="25.140625" style="23" hidden="1" customWidth="1"/>
    <col min="2" max="2" width="14.5703125" style="23" customWidth="1"/>
    <col min="3" max="3" width="20.140625" style="23" customWidth="1"/>
    <col min="4" max="4" width="5" style="23" customWidth="1"/>
    <col min="5" max="5" width="17.42578125" style="23" customWidth="1"/>
    <col min="6" max="6" width="12" style="23" customWidth="1"/>
    <col min="7" max="7" width="19.140625" style="23" customWidth="1"/>
    <col min="8" max="9" width="12" style="23" customWidth="1"/>
    <col min="10" max="10" width="17.5703125" style="23"/>
    <col min="11" max="11" width="8.5703125" style="23" customWidth="1"/>
    <col min="12" max="12" width="20.140625" style="23" customWidth="1"/>
    <col min="13" max="14" width="10.140625" style="23" customWidth="1"/>
    <col min="15" max="15" width="18.42578125" style="23" customWidth="1"/>
    <col min="16" max="16" width="11.28515625" style="23" customWidth="1"/>
    <col min="17" max="17" width="7.85546875" style="23" customWidth="1"/>
    <col min="18" max="16384" width="17.5703125" style="23"/>
  </cols>
  <sheetData>
    <row r="1" spans="1:18" ht="15.75" x14ac:dyDescent="0.25">
      <c r="B1" s="600" t="s">
        <v>32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</row>
    <row r="2" spans="1:18" ht="15.75" x14ac:dyDescent="0.25">
      <c r="B2" s="600" t="e">
        <f>#N/A</f>
        <v>#N/A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</row>
    <row r="3" spans="1:18" ht="15.75" x14ac:dyDescent="0.25">
      <c r="B3" s="600" t="s">
        <v>33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</row>
    <row r="4" spans="1:18" x14ac:dyDescent="0.25">
      <c r="L4" s="24"/>
    </row>
    <row r="5" spans="1:18" ht="29.25" customHeight="1" x14ac:dyDescent="0.25">
      <c r="A5" s="25"/>
      <c r="B5" s="26" t="s">
        <v>34</v>
      </c>
      <c r="C5" s="27" t="s">
        <v>3</v>
      </c>
      <c r="D5" s="27" t="s">
        <v>35</v>
      </c>
      <c r="E5" s="27" t="s">
        <v>5</v>
      </c>
      <c r="F5" s="27"/>
      <c r="G5" s="27" t="s">
        <v>10</v>
      </c>
      <c r="H5" s="27" t="s">
        <v>36</v>
      </c>
      <c r="I5" s="27"/>
      <c r="J5" s="27" t="s">
        <v>11</v>
      </c>
      <c r="K5" s="27" t="s">
        <v>35</v>
      </c>
      <c r="L5" s="27" t="s">
        <v>12</v>
      </c>
      <c r="M5" s="27" t="s">
        <v>37</v>
      </c>
      <c r="N5" s="27"/>
      <c r="O5" s="27" t="s">
        <v>7</v>
      </c>
      <c r="P5" s="27" t="s">
        <v>9</v>
      </c>
    </row>
    <row r="6" spans="1:18" ht="24.75" customHeight="1" x14ac:dyDescent="0.25">
      <c r="B6" s="28" t="s">
        <v>38</v>
      </c>
      <c r="C6" s="29" t="e">
        <f t="shared" ref="C6:C19" si="0">#N/A</f>
        <v>#N/A</v>
      </c>
      <c r="D6" s="30">
        <f t="shared" ref="D6:D19" si="1">IFERROR(C6/$C$20,0)</f>
        <v>0</v>
      </c>
      <c r="E6" s="29" t="e">
        <f t="shared" ref="E6:E19" si="2">#N/A</f>
        <v>#N/A</v>
      </c>
      <c r="F6" s="31" t="e">
        <f t="shared" ref="F6:F20" si="3">+E6/C6</f>
        <v>#N/A</v>
      </c>
      <c r="G6" s="29" t="e">
        <f t="shared" ref="G6:G19" si="4">#N/A</f>
        <v>#N/A</v>
      </c>
      <c r="H6" s="32">
        <f t="shared" ref="H6:H19" si="5">IFERROR(G6/C6,0)</f>
        <v>0</v>
      </c>
      <c r="I6" s="32" t="e">
        <f t="shared" ref="I6:I20" si="6">+G6/C6</f>
        <v>#N/A</v>
      </c>
      <c r="J6" s="29" t="e">
        <f t="shared" ref="J6:J19" si="7">#N/A</f>
        <v>#N/A</v>
      </c>
      <c r="K6" s="32">
        <f t="shared" ref="K6:K19" si="8">IFERROR(J6/C6,0)</f>
        <v>0</v>
      </c>
      <c r="L6" s="29" t="e">
        <f t="shared" ref="L6:L19" si="9">#N/A</f>
        <v>#N/A</v>
      </c>
      <c r="M6" s="30">
        <f t="shared" ref="M6:M19" si="10">IFERROR(L6/C6,0)</f>
        <v>0</v>
      </c>
      <c r="N6" s="30">
        <v>0.66</v>
      </c>
      <c r="O6" s="29" t="e">
        <f t="shared" ref="O6:O19" si="11">#N/A</f>
        <v>#N/A</v>
      </c>
      <c r="P6" s="30">
        <f t="shared" ref="P6:P19" si="12">IFERROR(O6/C6,0)</f>
        <v>0</v>
      </c>
      <c r="Q6" s="33" t="e">
        <f t="shared" ref="Q6:Q19" si="13">+L6/$L$20</f>
        <v>#N/A</v>
      </c>
      <c r="R6" s="20" t="e">
        <f>(+E20+G20+J20+L20)/C20</f>
        <v>#N/A</v>
      </c>
    </row>
    <row r="7" spans="1:18" ht="24.75" customHeight="1" x14ac:dyDescent="0.25">
      <c r="B7" s="28" t="s">
        <v>39</v>
      </c>
      <c r="C7" s="29" t="e">
        <f t="shared" si="0"/>
        <v>#N/A</v>
      </c>
      <c r="D7" s="30">
        <f t="shared" si="1"/>
        <v>0</v>
      </c>
      <c r="E7" s="29" t="e">
        <f t="shared" si="2"/>
        <v>#N/A</v>
      </c>
      <c r="F7" s="31" t="e">
        <f t="shared" si="3"/>
        <v>#N/A</v>
      </c>
      <c r="G7" s="29" t="e">
        <f t="shared" si="4"/>
        <v>#N/A</v>
      </c>
      <c r="H7" s="32">
        <f t="shared" si="5"/>
        <v>0</v>
      </c>
      <c r="I7" s="32" t="e">
        <f t="shared" si="6"/>
        <v>#N/A</v>
      </c>
      <c r="J7" s="29" t="e">
        <f t="shared" si="7"/>
        <v>#N/A</v>
      </c>
      <c r="K7" s="32">
        <f t="shared" si="8"/>
        <v>0</v>
      </c>
      <c r="L7" s="29" t="e">
        <f t="shared" si="9"/>
        <v>#N/A</v>
      </c>
      <c r="M7" s="30">
        <f t="shared" si="10"/>
        <v>0</v>
      </c>
      <c r="N7" s="30">
        <v>0.71</v>
      </c>
      <c r="O7" s="29" t="e">
        <f t="shared" si="11"/>
        <v>#N/A</v>
      </c>
      <c r="P7" s="30">
        <f t="shared" si="12"/>
        <v>0</v>
      </c>
      <c r="Q7" s="33" t="e">
        <f t="shared" si="13"/>
        <v>#N/A</v>
      </c>
    </row>
    <row r="8" spans="1:18" ht="24.75" customHeight="1" x14ac:dyDescent="0.25">
      <c r="B8" s="28" t="s">
        <v>40</v>
      </c>
      <c r="C8" s="29" t="e">
        <f t="shared" si="0"/>
        <v>#N/A</v>
      </c>
      <c r="D8" s="30">
        <f t="shared" si="1"/>
        <v>0</v>
      </c>
      <c r="E8" s="29" t="e">
        <f t="shared" si="2"/>
        <v>#N/A</v>
      </c>
      <c r="F8" s="31" t="e">
        <f t="shared" si="3"/>
        <v>#N/A</v>
      </c>
      <c r="G8" s="29" t="e">
        <f t="shared" si="4"/>
        <v>#N/A</v>
      </c>
      <c r="H8" s="32">
        <f t="shared" si="5"/>
        <v>0</v>
      </c>
      <c r="I8" s="32" t="e">
        <f t="shared" si="6"/>
        <v>#N/A</v>
      </c>
      <c r="J8" s="29" t="e">
        <f t="shared" si="7"/>
        <v>#N/A</v>
      </c>
      <c r="K8" s="32">
        <f t="shared" si="8"/>
        <v>0</v>
      </c>
      <c r="L8" s="29" t="e">
        <f t="shared" si="9"/>
        <v>#N/A</v>
      </c>
      <c r="M8" s="30">
        <f t="shared" si="10"/>
        <v>0</v>
      </c>
      <c r="N8" s="30">
        <v>0.63</v>
      </c>
      <c r="O8" s="29" t="e">
        <f t="shared" si="11"/>
        <v>#N/A</v>
      </c>
      <c r="P8" s="30">
        <f t="shared" si="12"/>
        <v>0</v>
      </c>
      <c r="Q8" s="33" t="e">
        <f t="shared" si="13"/>
        <v>#N/A</v>
      </c>
    </row>
    <row r="9" spans="1:18" ht="24.75" customHeight="1" x14ac:dyDescent="0.25">
      <c r="B9" s="28" t="s">
        <v>41</v>
      </c>
      <c r="C9" s="29" t="e">
        <f t="shared" si="0"/>
        <v>#N/A</v>
      </c>
      <c r="D9" s="30">
        <f t="shared" si="1"/>
        <v>0</v>
      </c>
      <c r="E9" s="29" t="e">
        <f t="shared" si="2"/>
        <v>#N/A</v>
      </c>
      <c r="F9" s="31" t="e">
        <f t="shared" si="3"/>
        <v>#N/A</v>
      </c>
      <c r="G9" s="29" t="e">
        <f t="shared" si="4"/>
        <v>#N/A</v>
      </c>
      <c r="H9" s="32">
        <f t="shared" si="5"/>
        <v>0</v>
      </c>
      <c r="I9" s="32" t="e">
        <f t="shared" si="6"/>
        <v>#N/A</v>
      </c>
      <c r="J9" s="29" t="e">
        <f t="shared" si="7"/>
        <v>#N/A</v>
      </c>
      <c r="K9" s="32">
        <f t="shared" si="8"/>
        <v>0</v>
      </c>
      <c r="L9" s="29" t="e">
        <f t="shared" si="9"/>
        <v>#N/A</v>
      </c>
      <c r="M9" s="30">
        <f t="shared" si="10"/>
        <v>0</v>
      </c>
      <c r="N9" s="30">
        <v>0.73</v>
      </c>
      <c r="O9" s="29" t="e">
        <f t="shared" si="11"/>
        <v>#N/A</v>
      </c>
      <c r="P9" s="30">
        <f t="shared" si="12"/>
        <v>0</v>
      </c>
      <c r="Q9" s="33" t="e">
        <f t="shared" si="13"/>
        <v>#N/A</v>
      </c>
    </row>
    <row r="10" spans="1:18" ht="24.75" customHeight="1" x14ac:dyDescent="0.25">
      <c r="B10" s="28" t="s">
        <v>42</v>
      </c>
      <c r="C10" s="29" t="e">
        <f t="shared" si="0"/>
        <v>#N/A</v>
      </c>
      <c r="D10" s="30">
        <f t="shared" si="1"/>
        <v>0</v>
      </c>
      <c r="E10" s="29" t="e">
        <f t="shared" si="2"/>
        <v>#N/A</v>
      </c>
      <c r="F10" s="31" t="e">
        <f t="shared" si="3"/>
        <v>#N/A</v>
      </c>
      <c r="G10" s="29" t="e">
        <f t="shared" si="4"/>
        <v>#N/A</v>
      </c>
      <c r="H10" s="32">
        <f t="shared" si="5"/>
        <v>0</v>
      </c>
      <c r="I10" s="32" t="e">
        <f t="shared" si="6"/>
        <v>#N/A</v>
      </c>
      <c r="J10" s="29" t="e">
        <f t="shared" si="7"/>
        <v>#N/A</v>
      </c>
      <c r="K10" s="32">
        <f t="shared" si="8"/>
        <v>0</v>
      </c>
      <c r="L10" s="29" t="e">
        <f t="shared" si="9"/>
        <v>#N/A</v>
      </c>
      <c r="M10" s="30">
        <f t="shared" si="10"/>
        <v>0</v>
      </c>
      <c r="N10" s="30">
        <v>0.68</v>
      </c>
      <c r="O10" s="29" t="e">
        <f t="shared" si="11"/>
        <v>#N/A</v>
      </c>
      <c r="P10" s="30">
        <f t="shared" si="12"/>
        <v>0</v>
      </c>
      <c r="Q10" s="33" t="e">
        <f t="shared" si="13"/>
        <v>#N/A</v>
      </c>
    </row>
    <row r="11" spans="1:18" ht="24.75" customHeight="1" x14ac:dyDescent="0.25">
      <c r="B11" s="28" t="s">
        <v>43</v>
      </c>
      <c r="C11" s="29" t="e">
        <f t="shared" si="0"/>
        <v>#N/A</v>
      </c>
      <c r="D11" s="30">
        <f t="shared" si="1"/>
        <v>0</v>
      </c>
      <c r="E11" s="29" t="e">
        <f t="shared" si="2"/>
        <v>#N/A</v>
      </c>
      <c r="F11" s="31" t="e">
        <f t="shared" si="3"/>
        <v>#N/A</v>
      </c>
      <c r="G11" s="29" t="e">
        <f t="shared" si="4"/>
        <v>#N/A</v>
      </c>
      <c r="H11" s="32">
        <f t="shared" si="5"/>
        <v>0</v>
      </c>
      <c r="I11" s="32" t="e">
        <f t="shared" si="6"/>
        <v>#N/A</v>
      </c>
      <c r="J11" s="29" t="e">
        <f t="shared" si="7"/>
        <v>#N/A</v>
      </c>
      <c r="K11" s="32">
        <f t="shared" si="8"/>
        <v>0</v>
      </c>
      <c r="L11" s="29" t="e">
        <f t="shared" si="9"/>
        <v>#N/A</v>
      </c>
      <c r="M11" s="30">
        <f t="shared" si="10"/>
        <v>0</v>
      </c>
      <c r="N11" s="30">
        <v>0.65</v>
      </c>
      <c r="O11" s="29" t="e">
        <f t="shared" si="11"/>
        <v>#N/A</v>
      </c>
      <c r="P11" s="30">
        <f t="shared" si="12"/>
        <v>0</v>
      </c>
      <c r="Q11" s="33" t="e">
        <f t="shared" si="13"/>
        <v>#N/A</v>
      </c>
    </row>
    <row r="12" spans="1:18" ht="24.75" customHeight="1" x14ac:dyDescent="0.25">
      <c r="B12" s="28" t="s">
        <v>44</v>
      </c>
      <c r="C12" s="29" t="e">
        <f t="shared" si="0"/>
        <v>#N/A</v>
      </c>
      <c r="D12" s="30">
        <f t="shared" si="1"/>
        <v>0</v>
      </c>
      <c r="E12" s="29" t="e">
        <f t="shared" si="2"/>
        <v>#N/A</v>
      </c>
      <c r="F12" s="31" t="e">
        <f t="shared" si="3"/>
        <v>#N/A</v>
      </c>
      <c r="G12" s="29" t="e">
        <f t="shared" si="4"/>
        <v>#N/A</v>
      </c>
      <c r="H12" s="32">
        <f t="shared" si="5"/>
        <v>0</v>
      </c>
      <c r="I12" s="32" t="e">
        <f t="shared" si="6"/>
        <v>#N/A</v>
      </c>
      <c r="J12" s="29" t="e">
        <f t="shared" si="7"/>
        <v>#N/A</v>
      </c>
      <c r="K12" s="32">
        <f t="shared" si="8"/>
        <v>0</v>
      </c>
      <c r="L12" s="29" t="e">
        <f t="shared" si="9"/>
        <v>#N/A</v>
      </c>
      <c r="M12" s="30">
        <f t="shared" si="10"/>
        <v>0</v>
      </c>
      <c r="N12" s="30">
        <v>0.7</v>
      </c>
      <c r="O12" s="29" t="e">
        <f t="shared" si="11"/>
        <v>#N/A</v>
      </c>
      <c r="P12" s="30">
        <f t="shared" si="12"/>
        <v>0</v>
      </c>
      <c r="Q12" s="33" t="e">
        <f t="shared" si="13"/>
        <v>#N/A</v>
      </c>
    </row>
    <row r="13" spans="1:18" ht="24.75" customHeight="1" x14ac:dyDescent="0.25">
      <c r="B13" s="28" t="s">
        <v>45</v>
      </c>
      <c r="C13" s="29" t="e">
        <f t="shared" si="0"/>
        <v>#N/A</v>
      </c>
      <c r="D13" s="30">
        <f t="shared" si="1"/>
        <v>0</v>
      </c>
      <c r="E13" s="29" t="e">
        <f t="shared" si="2"/>
        <v>#N/A</v>
      </c>
      <c r="F13" s="31" t="e">
        <f t="shared" si="3"/>
        <v>#N/A</v>
      </c>
      <c r="G13" s="29" t="e">
        <f t="shared" si="4"/>
        <v>#N/A</v>
      </c>
      <c r="H13" s="32">
        <f t="shared" si="5"/>
        <v>0</v>
      </c>
      <c r="I13" s="32" t="e">
        <f t="shared" si="6"/>
        <v>#N/A</v>
      </c>
      <c r="J13" s="29" t="e">
        <f t="shared" si="7"/>
        <v>#N/A</v>
      </c>
      <c r="K13" s="32">
        <f t="shared" si="8"/>
        <v>0</v>
      </c>
      <c r="L13" s="29" t="e">
        <f t="shared" si="9"/>
        <v>#N/A</v>
      </c>
      <c r="M13" s="30">
        <f t="shared" si="10"/>
        <v>0</v>
      </c>
      <c r="N13" s="30">
        <v>0.69</v>
      </c>
      <c r="O13" s="29" t="e">
        <f t="shared" si="11"/>
        <v>#N/A</v>
      </c>
      <c r="P13" s="30">
        <f t="shared" si="12"/>
        <v>0</v>
      </c>
      <c r="Q13" s="33" t="e">
        <f t="shared" si="13"/>
        <v>#N/A</v>
      </c>
    </row>
    <row r="14" spans="1:18" ht="24.75" customHeight="1" x14ac:dyDescent="0.25">
      <c r="B14" s="28" t="s">
        <v>46</v>
      </c>
      <c r="C14" s="29" t="e">
        <f t="shared" si="0"/>
        <v>#N/A</v>
      </c>
      <c r="D14" s="30">
        <f t="shared" si="1"/>
        <v>0</v>
      </c>
      <c r="E14" s="29" t="e">
        <f t="shared" si="2"/>
        <v>#N/A</v>
      </c>
      <c r="F14" s="31" t="e">
        <f t="shared" si="3"/>
        <v>#N/A</v>
      </c>
      <c r="G14" s="29" t="e">
        <f t="shared" si="4"/>
        <v>#N/A</v>
      </c>
      <c r="H14" s="32">
        <f t="shared" si="5"/>
        <v>0</v>
      </c>
      <c r="I14" s="32" t="e">
        <f t="shared" si="6"/>
        <v>#N/A</v>
      </c>
      <c r="J14" s="29" t="e">
        <f t="shared" si="7"/>
        <v>#N/A</v>
      </c>
      <c r="K14" s="32">
        <f t="shared" si="8"/>
        <v>0</v>
      </c>
      <c r="L14" s="29" t="e">
        <f t="shared" si="9"/>
        <v>#N/A</v>
      </c>
      <c r="M14" s="30">
        <f t="shared" si="10"/>
        <v>0</v>
      </c>
      <c r="N14" s="30">
        <v>0.7</v>
      </c>
      <c r="O14" s="29" t="e">
        <f t="shared" si="11"/>
        <v>#N/A</v>
      </c>
      <c r="P14" s="30">
        <f t="shared" si="12"/>
        <v>0</v>
      </c>
      <c r="Q14" s="33" t="e">
        <f t="shared" si="13"/>
        <v>#N/A</v>
      </c>
    </row>
    <row r="15" spans="1:18" ht="24.75" customHeight="1" x14ac:dyDescent="0.25">
      <c r="B15" s="28" t="s">
        <v>47</v>
      </c>
      <c r="C15" s="29" t="e">
        <f t="shared" si="0"/>
        <v>#N/A</v>
      </c>
      <c r="D15" s="30">
        <f t="shared" si="1"/>
        <v>0</v>
      </c>
      <c r="E15" s="29" t="e">
        <f t="shared" si="2"/>
        <v>#N/A</v>
      </c>
      <c r="F15" s="31" t="e">
        <f t="shared" si="3"/>
        <v>#N/A</v>
      </c>
      <c r="G15" s="29" t="e">
        <f t="shared" si="4"/>
        <v>#N/A</v>
      </c>
      <c r="H15" s="32">
        <f t="shared" si="5"/>
        <v>0</v>
      </c>
      <c r="I15" s="32" t="e">
        <f t="shared" si="6"/>
        <v>#N/A</v>
      </c>
      <c r="J15" s="29" t="e">
        <f t="shared" si="7"/>
        <v>#N/A</v>
      </c>
      <c r="K15" s="32">
        <f t="shared" si="8"/>
        <v>0</v>
      </c>
      <c r="L15" s="29" t="e">
        <f t="shared" si="9"/>
        <v>#N/A</v>
      </c>
      <c r="M15" s="30">
        <f t="shared" si="10"/>
        <v>0</v>
      </c>
      <c r="N15" s="30">
        <v>0.62</v>
      </c>
      <c r="O15" s="29" t="e">
        <f t="shared" si="11"/>
        <v>#N/A</v>
      </c>
      <c r="P15" s="30">
        <f t="shared" si="12"/>
        <v>0</v>
      </c>
      <c r="Q15" s="33" t="e">
        <f t="shared" si="13"/>
        <v>#N/A</v>
      </c>
    </row>
    <row r="16" spans="1:18" ht="24.75" customHeight="1" x14ac:dyDescent="0.25">
      <c r="B16" s="28" t="s">
        <v>48</v>
      </c>
      <c r="C16" s="29" t="e">
        <f t="shared" si="0"/>
        <v>#N/A</v>
      </c>
      <c r="D16" s="30">
        <f t="shared" si="1"/>
        <v>0</v>
      </c>
      <c r="E16" s="29" t="e">
        <f t="shared" si="2"/>
        <v>#N/A</v>
      </c>
      <c r="F16" s="31" t="e">
        <f t="shared" si="3"/>
        <v>#N/A</v>
      </c>
      <c r="G16" s="29" t="e">
        <f t="shared" si="4"/>
        <v>#N/A</v>
      </c>
      <c r="H16" s="32">
        <f t="shared" si="5"/>
        <v>0</v>
      </c>
      <c r="I16" s="32" t="e">
        <f t="shared" si="6"/>
        <v>#N/A</v>
      </c>
      <c r="J16" s="29" t="e">
        <f t="shared" si="7"/>
        <v>#N/A</v>
      </c>
      <c r="K16" s="32">
        <f t="shared" si="8"/>
        <v>0</v>
      </c>
      <c r="L16" s="29" t="e">
        <f t="shared" si="9"/>
        <v>#N/A</v>
      </c>
      <c r="M16" s="30">
        <f t="shared" si="10"/>
        <v>0</v>
      </c>
      <c r="N16" s="30">
        <v>0.67</v>
      </c>
      <c r="O16" s="29" t="e">
        <f t="shared" si="11"/>
        <v>#N/A</v>
      </c>
      <c r="P16" s="30">
        <f t="shared" si="12"/>
        <v>0</v>
      </c>
      <c r="Q16" s="33" t="e">
        <f t="shared" si="13"/>
        <v>#N/A</v>
      </c>
    </row>
    <row r="17" spans="1:17" ht="24.75" customHeight="1" x14ac:dyDescent="0.25">
      <c r="B17" s="28" t="s">
        <v>49</v>
      </c>
      <c r="C17" s="29" t="e">
        <f t="shared" si="0"/>
        <v>#N/A</v>
      </c>
      <c r="D17" s="30">
        <f t="shared" si="1"/>
        <v>0</v>
      </c>
      <c r="E17" s="29" t="e">
        <f t="shared" si="2"/>
        <v>#N/A</v>
      </c>
      <c r="F17" s="31" t="e">
        <f t="shared" si="3"/>
        <v>#N/A</v>
      </c>
      <c r="G17" s="29" t="e">
        <f t="shared" si="4"/>
        <v>#N/A</v>
      </c>
      <c r="H17" s="32">
        <f t="shared" si="5"/>
        <v>0</v>
      </c>
      <c r="I17" s="32" t="e">
        <f t="shared" si="6"/>
        <v>#N/A</v>
      </c>
      <c r="J17" s="29" t="e">
        <f t="shared" si="7"/>
        <v>#N/A</v>
      </c>
      <c r="K17" s="32">
        <f t="shared" si="8"/>
        <v>0</v>
      </c>
      <c r="L17" s="29" t="e">
        <f t="shared" si="9"/>
        <v>#N/A</v>
      </c>
      <c r="M17" s="30">
        <f t="shared" si="10"/>
        <v>0</v>
      </c>
      <c r="N17" s="30">
        <v>0.75</v>
      </c>
      <c r="O17" s="29" t="e">
        <f t="shared" si="11"/>
        <v>#N/A</v>
      </c>
      <c r="P17" s="30">
        <f t="shared" si="12"/>
        <v>0</v>
      </c>
      <c r="Q17" s="33" t="e">
        <f t="shared" si="13"/>
        <v>#N/A</v>
      </c>
    </row>
    <row r="18" spans="1:17" ht="24.75" customHeight="1" x14ac:dyDescent="0.25">
      <c r="B18" s="28" t="s">
        <v>50</v>
      </c>
      <c r="C18" s="29" t="e">
        <f t="shared" si="0"/>
        <v>#N/A</v>
      </c>
      <c r="D18" s="30">
        <f t="shared" si="1"/>
        <v>0</v>
      </c>
      <c r="E18" s="29" t="e">
        <f t="shared" si="2"/>
        <v>#N/A</v>
      </c>
      <c r="F18" s="31" t="e">
        <f t="shared" si="3"/>
        <v>#N/A</v>
      </c>
      <c r="G18" s="29" t="e">
        <f t="shared" si="4"/>
        <v>#N/A</v>
      </c>
      <c r="H18" s="32">
        <f t="shared" si="5"/>
        <v>0</v>
      </c>
      <c r="I18" s="32" t="e">
        <f t="shared" si="6"/>
        <v>#N/A</v>
      </c>
      <c r="J18" s="29" t="e">
        <f t="shared" si="7"/>
        <v>#N/A</v>
      </c>
      <c r="K18" s="32">
        <f t="shared" si="8"/>
        <v>0</v>
      </c>
      <c r="L18" s="29" t="e">
        <f t="shared" si="9"/>
        <v>#N/A</v>
      </c>
      <c r="M18" s="30">
        <f t="shared" si="10"/>
        <v>0</v>
      </c>
      <c r="N18" s="30">
        <v>0.78</v>
      </c>
      <c r="O18" s="29" t="e">
        <f t="shared" si="11"/>
        <v>#N/A</v>
      </c>
      <c r="P18" s="30">
        <f t="shared" si="12"/>
        <v>0</v>
      </c>
      <c r="Q18" s="33" t="e">
        <f t="shared" si="13"/>
        <v>#N/A</v>
      </c>
    </row>
    <row r="19" spans="1:17" ht="24.75" customHeight="1" x14ac:dyDescent="0.25">
      <c r="B19" s="28" t="s">
        <v>51</v>
      </c>
      <c r="C19" s="29" t="e">
        <f t="shared" si="0"/>
        <v>#N/A</v>
      </c>
      <c r="D19" s="30">
        <f t="shared" si="1"/>
        <v>0</v>
      </c>
      <c r="E19" s="29" t="e">
        <f t="shared" si="2"/>
        <v>#N/A</v>
      </c>
      <c r="F19" s="31" t="e">
        <f t="shared" si="3"/>
        <v>#N/A</v>
      </c>
      <c r="G19" s="29" t="e">
        <f t="shared" si="4"/>
        <v>#N/A</v>
      </c>
      <c r="H19" s="32">
        <f t="shared" si="5"/>
        <v>0</v>
      </c>
      <c r="I19" s="32" t="e">
        <f t="shared" si="6"/>
        <v>#N/A</v>
      </c>
      <c r="J19" s="29" t="e">
        <f t="shared" si="7"/>
        <v>#N/A</v>
      </c>
      <c r="K19" s="32">
        <f t="shared" si="8"/>
        <v>0</v>
      </c>
      <c r="L19" s="29" t="e">
        <f t="shared" si="9"/>
        <v>#N/A</v>
      </c>
      <c r="M19" s="30">
        <f t="shared" si="10"/>
        <v>0</v>
      </c>
      <c r="N19" s="30">
        <v>0.74</v>
      </c>
      <c r="O19" s="29" t="e">
        <f t="shared" si="11"/>
        <v>#N/A</v>
      </c>
      <c r="P19" s="30">
        <f t="shared" si="12"/>
        <v>0</v>
      </c>
      <c r="Q19" s="33" t="e">
        <f t="shared" si="13"/>
        <v>#N/A</v>
      </c>
    </row>
    <row r="20" spans="1:17" ht="24.75" customHeight="1" x14ac:dyDescent="0.25">
      <c r="A20" s="25"/>
      <c r="B20" s="35" t="s">
        <v>23</v>
      </c>
      <c r="C20" s="36" t="e">
        <f>SUM(C6:C19)</f>
        <v>#N/A</v>
      </c>
      <c r="D20" s="37"/>
      <c r="E20" s="36" t="e">
        <f>SUM(E6:E19)</f>
        <v>#N/A</v>
      </c>
      <c r="F20" s="37" t="e">
        <f t="shared" si="3"/>
        <v>#N/A</v>
      </c>
      <c r="G20" s="36" t="e">
        <f>SUM(G6:G19)</f>
        <v>#N/A</v>
      </c>
      <c r="H20" s="37" t="e">
        <f>+G20/C20</f>
        <v>#N/A</v>
      </c>
      <c r="I20" s="239" t="e">
        <f t="shared" si="6"/>
        <v>#N/A</v>
      </c>
      <c r="J20" s="36" t="e">
        <f>SUM(J6:J19)</f>
        <v>#N/A</v>
      </c>
      <c r="K20" s="37" t="e">
        <f>+J20/C20</f>
        <v>#N/A</v>
      </c>
      <c r="L20" s="36" t="e">
        <f>SUM(L6:L19)</f>
        <v>#N/A</v>
      </c>
      <c r="M20" s="38" t="e">
        <f>+L20/C20</f>
        <v>#N/A</v>
      </c>
      <c r="N20" s="38">
        <v>0.70899999999999996</v>
      </c>
      <c r="O20" s="36" t="e">
        <f>SUM(O6:O19)</f>
        <v>#N/A</v>
      </c>
      <c r="P20" s="38" t="e">
        <f>+O20/C20</f>
        <v>#N/A</v>
      </c>
    </row>
    <row r="21" spans="1:17" x14ac:dyDescent="0.25">
      <c r="B21" s="39"/>
      <c r="C21" s="40" t="e">
        <f>#N/A</f>
        <v>#N/A</v>
      </c>
      <c r="D21" s="40"/>
      <c r="E21" s="40" t="e">
        <f>#N/A</f>
        <v>#N/A</v>
      </c>
      <c r="F21" s="40"/>
      <c r="G21" s="40" t="e">
        <f>#N/A</f>
        <v>#N/A</v>
      </c>
      <c r="H21" s="40"/>
      <c r="I21" s="40"/>
      <c r="J21" s="40"/>
      <c r="K21" s="40"/>
      <c r="L21" s="40" t="e">
        <f>#N/A</f>
        <v>#N/A</v>
      </c>
      <c r="M21" s="40"/>
      <c r="N21" s="40"/>
      <c r="O21" s="40" t="e">
        <f>#N/A</f>
        <v>#N/A</v>
      </c>
      <c r="P21" s="41"/>
    </row>
    <row r="22" spans="1:17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42"/>
      <c r="P22" s="39"/>
    </row>
    <row r="26" spans="1:17" x14ac:dyDescent="0.25">
      <c r="B26" s="43"/>
      <c r="C26" s="43"/>
      <c r="D26" s="43"/>
    </row>
    <row r="27" spans="1:17" x14ac:dyDescent="0.25">
      <c r="B27" s="43"/>
      <c r="C27" s="43"/>
      <c r="D27" s="43"/>
    </row>
    <row r="28" spans="1:17" x14ac:dyDescent="0.25">
      <c r="B28" s="43"/>
      <c r="C28" s="43"/>
      <c r="D28" s="43"/>
    </row>
    <row r="29" spans="1:17" x14ac:dyDescent="0.25">
      <c r="B29" s="43"/>
      <c r="C29" s="43"/>
      <c r="D29" s="43"/>
    </row>
  </sheetData>
  <sheetProtection selectLockedCells="1" selectUnlockedCells="1"/>
  <mergeCells count="3">
    <mergeCell ref="B1:P1"/>
    <mergeCell ref="B2:P2"/>
    <mergeCell ref="B3:P3"/>
  </mergeCells>
  <pageMargins left="0.7" right="0.7" top="0.75" bottom="0.75" header="0.51180555555555551" footer="0.51180555555555551"/>
  <pageSetup firstPageNumber="0" orientation="portrait" horizontalDpi="300" verticalDpi="300"/>
  <headerFooter alignWithMargins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topLeftCell="B1" zoomScaleNormal="100" workbookViewId="0"/>
  </sheetViews>
  <sheetFormatPr baseColWidth="10" defaultColWidth="17.5703125" defaultRowHeight="15" x14ac:dyDescent="0.25"/>
  <cols>
    <col min="1" max="1" width="25.140625" style="23" hidden="1" customWidth="1"/>
    <col min="2" max="2" width="14.5703125" style="23" customWidth="1"/>
    <col min="3" max="3" width="20.140625" style="23" customWidth="1"/>
    <col min="4" max="4" width="5" style="23" customWidth="1"/>
    <col min="5" max="5" width="17.42578125" style="23" customWidth="1"/>
    <col min="6" max="6" width="12" style="23" customWidth="1"/>
    <col min="7" max="7" width="19.140625" style="23" customWidth="1"/>
    <col min="8" max="9" width="12" style="23" customWidth="1"/>
    <col min="10" max="10" width="17.5703125" style="23"/>
    <col min="11" max="11" width="8.5703125" style="23" customWidth="1"/>
    <col min="12" max="12" width="20.140625" style="23" customWidth="1"/>
    <col min="13" max="14" width="10.140625" style="23" customWidth="1"/>
    <col min="15" max="15" width="18.42578125" style="23" customWidth="1"/>
    <col min="16" max="16" width="11.28515625" style="23" customWidth="1"/>
    <col min="17" max="17" width="7.85546875" style="23" customWidth="1"/>
    <col min="18" max="19" width="17.5703125" style="23"/>
    <col min="20" max="20" width="27" style="23" customWidth="1"/>
    <col min="21" max="16384" width="17.5703125" style="23"/>
  </cols>
  <sheetData>
    <row r="1" spans="1:20" ht="15.75" x14ac:dyDescent="0.25">
      <c r="B1" s="600" t="s">
        <v>32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</row>
    <row r="2" spans="1:20" ht="15.75" x14ac:dyDescent="0.25">
      <c r="B2" s="600" t="e">
        <f>#N/A</f>
        <v>#N/A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</row>
    <row r="3" spans="1:20" ht="15.75" x14ac:dyDescent="0.25">
      <c r="B3" s="600" t="s">
        <v>33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</row>
    <row r="4" spans="1:20" x14ac:dyDescent="0.25">
      <c r="L4" s="24"/>
    </row>
    <row r="5" spans="1:20" ht="29.25" customHeight="1" x14ac:dyDescent="0.25">
      <c r="A5" s="25"/>
      <c r="B5" s="26" t="s">
        <v>34</v>
      </c>
      <c r="C5" s="27" t="s">
        <v>3</v>
      </c>
      <c r="D5" s="27" t="s">
        <v>35</v>
      </c>
      <c r="E5" s="27" t="s">
        <v>5</v>
      </c>
      <c r="F5" s="27"/>
      <c r="G5" s="27" t="s">
        <v>10</v>
      </c>
      <c r="H5" s="27" t="s">
        <v>36</v>
      </c>
      <c r="I5" s="27"/>
      <c r="J5" s="27" t="s">
        <v>11</v>
      </c>
      <c r="K5" s="27" t="s">
        <v>35</v>
      </c>
      <c r="L5" s="27" t="s">
        <v>12</v>
      </c>
      <c r="M5" s="27" t="s">
        <v>37</v>
      </c>
      <c r="N5" s="27"/>
      <c r="O5" s="27" t="s">
        <v>7</v>
      </c>
      <c r="P5" s="27" t="s">
        <v>9</v>
      </c>
    </row>
    <row r="6" spans="1:20" ht="24.75" customHeight="1" x14ac:dyDescent="0.25">
      <c r="B6" s="28" t="s">
        <v>38</v>
      </c>
      <c r="C6" s="29" t="e">
        <f t="shared" ref="C6:C19" si="0">#N/A</f>
        <v>#N/A</v>
      </c>
      <c r="D6" s="30">
        <f t="shared" ref="D6:D19" si="1">IFERROR(C6/$C$20,0)</f>
        <v>0</v>
      </c>
      <c r="E6" s="29" t="e">
        <f t="shared" ref="E6:E19" si="2">#N/A</f>
        <v>#N/A</v>
      </c>
      <c r="F6" s="31" t="e">
        <f t="shared" ref="F6:F20" si="3">+E6/C6</f>
        <v>#N/A</v>
      </c>
      <c r="G6" s="29" t="e">
        <f t="shared" ref="G6:G19" si="4">#N/A</f>
        <v>#N/A</v>
      </c>
      <c r="H6" s="32">
        <f t="shared" ref="H6:H19" si="5">IFERROR(G6/C6,0)</f>
        <v>0</v>
      </c>
      <c r="I6" s="32" t="e">
        <f t="shared" ref="I6:I20" si="6">+G6/C6</f>
        <v>#N/A</v>
      </c>
      <c r="J6" s="29" t="e">
        <f t="shared" ref="J6:J19" si="7">#N/A</f>
        <v>#N/A</v>
      </c>
      <c r="K6" s="32">
        <f t="shared" ref="K6:K19" si="8">IFERROR(J6/C6,0)</f>
        <v>0</v>
      </c>
      <c r="L6" s="29" t="e">
        <f t="shared" ref="L6:L19" si="9">#N/A</f>
        <v>#N/A</v>
      </c>
      <c r="M6" s="30">
        <f t="shared" ref="M6:M19" si="10">IFERROR(L6/C6,0)</f>
        <v>0</v>
      </c>
      <c r="N6" s="30">
        <v>0.74</v>
      </c>
      <c r="O6" s="29" t="e">
        <f t="shared" ref="O6:O19" si="11">#N/A</f>
        <v>#N/A</v>
      </c>
      <c r="P6" s="30">
        <f t="shared" ref="P6:P19" si="12">IFERROR(O6/C6,0)</f>
        <v>0</v>
      </c>
      <c r="Q6" s="33" t="e">
        <f t="shared" ref="Q6:Q19" si="13">+L6/$L$20</f>
        <v>#N/A</v>
      </c>
      <c r="R6" s="20" t="e">
        <f>(+E20+G20+J20+L20)/C20</f>
        <v>#N/A</v>
      </c>
    </row>
    <row r="7" spans="1:20" ht="24.75" customHeight="1" x14ac:dyDescent="0.25">
      <c r="B7" s="28" t="s">
        <v>39</v>
      </c>
      <c r="C7" s="29" t="e">
        <f t="shared" si="0"/>
        <v>#N/A</v>
      </c>
      <c r="D7" s="30">
        <f t="shared" si="1"/>
        <v>0</v>
      </c>
      <c r="E7" s="29" t="e">
        <f t="shared" si="2"/>
        <v>#N/A</v>
      </c>
      <c r="F7" s="31" t="e">
        <f t="shared" si="3"/>
        <v>#N/A</v>
      </c>
      <c r="G7" s="29" t="e">
        <f t="shared" si="4"/>
        <v>#N/A</v>
      </c>
      <c r="H7" s="32">
        <f t="shared" si="5"/>
        <v>0</v>
      </c>
      <c r="I7" s="32" t="e">
        <f t="shared" si="6"/>
        <v>#N/A</v>
      </c>
      <c r="J7" s="29" t="e">
        <f t="shared" si="7"/>
        <v>#N/A</v>
      </c>
      <c r="K7" s="32">
        <f t="shared" si="8"/>
        <v>0</v>
      </c>
      <c r="L7" s="29" t="e">
        <f t="shared" si="9"/>
        <v>#N/A</v>
      </c>
      <c r="M7" s="30">
        <f t="shared" si="10"/>
        <v>0</v>
      </c>
      <c r="N7" s="30">
        <v>0.8</v>
      </c>
      <c r="O7" s="29" t="e">
        <f t="shared" si="11"/>
        <v>#N/A</v>
      </c>
      <c r="P7" s="30">
        <f t="shared" si="12"/>
        <v>0</v>
      </c>
      <c r="Q7" s="33" t="e">
        <f t="shared" si="13"/>
        <v>#N/A</v>
      </c>
    </row>
    <row r="8" spans="1:20" ht="24.75" customHeight="1" x14ac:dyDescent="0.25">
      <c r="B8" s="28" t="s">
        <v>40</v>
      </c>
      <c r="C8" s="29" t="e">
        <f t="shared" si="0"/>
        <v>#N/A</v>
      </c>
      <c r="D8" s="30">
        <f t="shared" si="1"/>
        <v>0</v>
      </c>
      <c r="E8" s="29" t="e">
        <f t="shared" si="2"/>
        <v>#N/A</v>
      </c>
      <c r="F8" s="31" t="e">
        <f t="shared" si="3"/>
        <v>#N/A</v>
      </c>
      <c r="G8" s="29" t="e">
        <f t="shared" si="4"/>
        <v>#N/A</v>
      </c>
      <c r="H8" s="32">
        <f t="shared" si="5"/>
        <v>0</v>
      </c>
      <c r="I8" s="32" t="e">
        <f t="shared" si="6"/>
        <v>#N/A</v>
      </c>
      <c r="J8" s="29" t="e">
        <f t="shared" si="7"/>
        <v>#N/A</v>
      </c>
      <c r="K8" s="32">
        <f t="shared" si="8"/>
        <v>0</v>
      </c>
      <c r="L8" s="29" t="e">
        <f t="shared" si="9"/>
        <v>#N/A</v>
      </c>
      <c r="M8" s="30">
        <f t="shared" si="10"/>
        <v>0</v>
      </c>
      <c r="N8" s="30">
        <v>0.69</v>
      </c>
      <c r="O8" s="29" t="e">
        <f t="shared" si="11"/>
        <v>#N/A</v>
      </c>
      <c r="P8" s="30">
        <f t="shared" si="12"/>
        <v>0</v>
      </c>
      <c r="Q8" s="33" t="e">
        <f t="shared" si="13"/>
        <v>#N/A</v>
      </c>
    </row>
    <row r="9" spans="1:20" ht="24.75" customHeight="1" x14ac:dyDescent="0.25">
      <c r="B9" s="28" t="s">
        <v>41</v>
      </c>
      <c r="C9" s="29" t="e">
        <f t="shared" si="0"/>
        <v>#N/A</v>
      </c>
      <c r="D9" s="30">
        <f t="shared" si="1"/>
        <v>0</v>
      </c>
      <c r="E9" s="29" t="e">
        <f t="shared" si="2"/>
        <v>#N/A</v>
      </c>
      <c r="F9" s="31" t="e">
        <f t="shared" si="3"/>
        <v>#N/A</v>
      </c>
      <c r="G9" s="29" t="e">
        <f t="shared" si="4"/>
        <v>#N/A</v>
      </c>
      <c r="H9" s="32">
        <f t="shared" si="5"/>
        <v>0</v>
      </c>
      <c r="I9" s="32" t="e">
        <f t="shared" si="6"/>
        <v>#N/A</v>
      </c>
      <c r="J9" s="29" t="e">
        <f t="shared" si="7"/>
        <v>#N/A</v>
      </c>
      <c r="K9" s="32">
        <f t="shared" si="8"/>
        <v>0</v>
      </c>
      <c r="L9" s="29" t="e">
        <f t="shared" si="9"/>
        <v>#N/A</v>
      </c>
      <c r="M9" s="30">
        <f t="shared" si="10"/>
        <v>0</v>
      </c>
      <c r="N9" s="30">
        <v>0.8</v>
      </c>
      <c r="O9" s="29" t="e">
        <f t="shared" si="11"/>
        <v>#N/A</v>
      </c>
      <c r="P9" s="30">
        <f t="shared" si="12"/>
        <v>0</v>
      </c>
      <c r="Q9" s="33" t="e">
        <f t="shared" si="13"/>
        <v>#N/A</v>
      </c>
    </row>
    <row r="10" spans="1:20" ht="24.75" customHeight="1" x14ac:dyDescent="0.25">
      <c r="B10" s="28" t="s">
        <v>42</v>
      </c>
      <c r="C10" s="29" t="e">
        <f t="shared" si="0"/>
        <v>#N/A</v>
      </c>
      <c r="D10" s="30">
        <f t="shared" si="1"/>
        <v>0</v>
      </c>
      <c r="E10" s="29" t="e">
        <f t="shared" si="2"/>
        <v>#N/A</v>
      </c>
      <c r="F10" s="31" t="e">
        <f t="shared" si="3"/>
        <v>#N/A</v>
      </c>
      <c r="G10" s="29" t="e">
        <f t="shared" si="4"/>
        <v>#N/A</v>
      </c>
      <c r="H10" s="32">
        <f t="shared" si="5"/>
        <v>0</v>
      </c>
      <c r="I10" s="32" t="e">
        <f t="shared" si="6"/>
        <v>#N/A</v>
      </c>
      <c r="J10" s="29" t="e">
        <f t="shared" si="7"/>
        <v>#N/A</v>
      </c>
      <c r="K10" s="32">
        <f t="shared" si="8"/>
        <v>0</v>
      </c>
      <c r="L10" s="29" t="e">
        <f t="shared" si="9"/>
        <v>#N/A</v>
      </c>
      <c r="M10" s="30">
        <f t="shared" si="10"/>
        <v>0</v>
      </c>
      <c r="N10" s="30">
        <v>0.73</v>
      </c>
      <c r="O10" s="29" t="e">
        <f t="shared" si="11"/>
        <v>#N/A</v>
      </c>
      <c r="P10" s="30">
        <f t="shared" si="12"/>
        <v>0</v>
      </c>
      <c r="Q10" s="33" t="e">
        <f t="shared" si="13"/>
        <v>#N/A</v>
      </c>
    </row>
    <row r="11" spans="1:20" ht="24.75" customHeight="1" x14ac:dyDescent="0.25">
      <c r="B11" s="28" t="s">
        <v>43</v>
      </c>
      <c r="C11" s="29" t="e">
        <f t="shared" si="0"/>
        <v>#N/A</v>
      </c>
      <c r="D11" s="30">
        <f t="shared" si="1"/>
        <v>0</v>
      </c>
      <c r="E11" s="29" t="e">
        <f t="shared" si="2"/>
        <v>#N/A</v>
      </c>
      <c r="F11" s="31" t="e">
        <f t="shared" si="3"/>
        <v>#N/A</v>
      </c>
      <c r="G11" s="29" t="e">
        <f t="shared" si="4"/>
        <v>#N/A</v>
      </c>
      <c r="H11" s="32">
        <f t="shared" si="5"/>
        <v>0</v>
      </c>
      <c r="I11" s="32" t="e">
        <f t="shared" si="6"/>
        <v>#N/A</v>
      </c>
      <c r="J11" s="29" t="e">
        <f t="shared" si="7"/>
        <v>#N/A</v>
      </c>
      <c r="K11" s="32">
        <f t="shared" si="8"/>
        <v>0</v>
      </c>
      <c r="L11" s="29" t="e">
        <f t="shared" si="9"/>
        <v>#N/A</v>
      </c>
      <c r="M11" s="30">
        <f t="shared" si="10"/>
        <v>0</v>
      </c>
      <c r="N11" s="30">
        <v>0.75</v>
      </c>
      <c r="O11" s="29" t="e">
        <f t="shared" si="11"/>
        <v>#N/A</v>
      </c>
      <c r="P11" s="30">
        <f t="shared" si="12"/>
        <v>0</v>
      </c>
      <c r="Q11" s="33" t="e">
        <f t="shared" si="13"/>
        <v>#N/A</v>
      </c>
    </row>
    <row r="12" spans="1:20" ht="24.75" customHeight="1" x14ac:dyDescent="0.25">
      <c r="B12" s="28" t="s">
        <v>44</v>
      </c>
      <c r="C12" s="29" t="e">
        <f t="shared" si="0"/>
        <v>#N/A</v>
      </c>
      <c r="D12" s="30">
        <f t="shared" si="1"/>
        <v>0</v>
      </c>
      <c r="E12" s="29" t="e">
        <f t="shared" si="2"/>
        <v>#N/A</v>
      </c>
      <c r="F12" s="31" t="e">
        <f t="shared" si="3"/>
        <v>#N/A</v>
      </c>
      <c r="G12" s="29" t="e">
        <f t="shared" si="4"/>
        <v>#N/A</v>
      </c>
      <c r="H12" s="32">
        <f t="shared" si="5"/>
        <v>0</v>
      </c>
      <c r="I12" s="32" t="e">
        <f t="shared" si="6"/>
        <v>#N/A</v>
      </c>
      <c r="J12" s="29" t="e">
        <f t="shared" si="7"/>
        <v>#N/A</v>
      </c>
      <c r="K12" s="32">
        <f t="shared" si="8"/>
        <v>0</v>
      </c>
      <c r="L12" s="29" t="e">
        <f t="shared" si="9"/>
        <v>#N/A</v>
      </c>
      <c r="M12" s="30">
        <f t="shared" si="10"/>
        <v>0</v>
      </c>
      <c r="N12" s="30">
        <v>0.76</v>
      </c>
      <c r="O12" s="29" t="e">
        <f t="shared" si="11"/>
        <v>#N/A</v>
      </c>
      <c r="P12" s="30">
        <f t="shared" si="12"/>
        <v>0</v>
      </c>
      <c r="Q12" s="33" t="e">
        <f t="shared" si="13"/>
        <v>#N/A</v>
      </c>
      <c r="T12" s="34">
        <f>11000000000+115812311113.04+10500000000</f>
        <v>137312311113.03999</v>
      </c>
    </row>
    <row r="13" spans="1:20" ht="24.75" customHeight="1" x14ac:dyDescent="0.25">
      <c r="B13" s="28" t="s">
        <v>45</v>
      </c>
      <c r="C13" s="29" t="e">
        <f t="shared" si="0"/>
        <v>#N/A</v>
      </c>
      <c r="D13" s="30">
        <f t="shared" si="1"/>
        <v>0</v>
      </c>
      <c r="E13" s="29" t="e">
        <f t="shared" si="2"/>
        <v>#N/A</v>
      </c>
      <c r="F13" s="31" t="e">
        <f t="shared" si="3"/>
        <v>#N/A</v>
      </c>
      <c r="G13" s="29" t="e">
        <f t="shared" si="4"/>
        <v>#N/A</v>
      </c>
      <c r="H13" s="32">
        <f t="shared" si="5"/>
        <v>0</v>
      </c>
      <c r="I13" s="32" t="e">
        <f t="shared" si="6"/>
        <v>#N/A</v>
      </c>
      <c r="J13" s="29" t="e">
        <f t="shared" si="7"/>
        <v>#N/A</v>
      </c>
      <c r="K13" s="32">
        <f t="shared" si="8"/>
        <v>0</v>
      </c>
      <c r="L13" s="29" t="e">
        <f t="shared" si="9"/>
        <v>#N/A</v>
      </c>
      <c r="M13" s="30">
        <f t="shared" si="10"/>
        <v>0</v>
      </c>
      <c r="N13" s="30">
        <v>0.77</v>
      </c>
      <c r="O13" s="29" t="e">
        <f t="shared" si="11"/>
        <v>#N/A</v>
      </c>
      <c r="P13" s="30">
        <f t="shared" si="12"/>
        <v>0</v>
      </c>
      <c r="Q13" s="33" t="e">
        <f t="shared" si="13"/>
        <v>#N/A</v>
      </c>
      <c r="T13" s="33">
        <f>137312311113.04/148398411720</f>
        <v>0.92529501846773532</v>
      </c>
    </row>
    <row r="14" spans="1:20" ht="24.75" customHeight="1" x14ac:dyDescent="0.25">
      <c r="B14" s="28" t="s">
        <v>46</v>
      </c>
      <c r="C14" s="29" t="e">
        <f t="shared" si="0"/>
        <v>#N/A</v>
      </c>
      <c r="D14" s="30">
        <f t="shared" si="1"/>
        <v>0</v>
      </c>
      <c r="E14" s="29" t="e">
        <f t="shared" si="2"/>
        <v>#N/A</v>
      </c>
      <c r="F14" s="31" t="e">
        <f t="shared" si="3"/>
        <v>#N/A</v>
      </c>
      <c r="G14" s="29" t="e">
        <f t="shared" si="4"/>
        <v>#N/A</v>
      </c>
      <c r="H14" s="32">
        <f t="shared" si="5"/>
        <v>0</v>
      </c>
      <c r="I14" s="32" t="e">
        <f t="shared" si="6"/>
        <v>#N/A</v>
      </c>
      <c r="J14" s="29" t="e">
        <f t="shared" si="7"/>
        <v>#N/A</v>
      </c>
      <c r="K14" s="32">
        <f t="shared" si="8"/>
        <v>0</v>
      </c>
      <c r="L14" s="29" t="e">
        <f t="shared" si="9"/>
        <v>#N/A</v>
      </c>
      <c r="M14" s="30">
        <f t="shared" si="10"/>
        <v>0</v>
      </c>
      <c r="N14" s="30">
        <v>0.77</v>
      </c>
      <c r="O14" s="29" t="e">
        <f t="shared" si="11"/>
        <v>#N/A</v>
      </c>
      <c r="P14" s="30">
        <f t="shared" si="12"/>
        <v>0</v>
      </c>
      <c r="Q14" s="33" t="e">
        <f t="shared" si="13"/>
        <v>#N/A</v>
      </c>
    </row>
    <row r="15" spans="1:20" ht="24.75" customHeight="1" x14ac:dyDescent="0.25">
      <c r="B15" s="28" t="s">
        <v>47</v>
      </c>
      <c r="C15" s="29" t="e">
        <f t="shared" si="0"/>
        <v>#N/A</v>
      </c>
      <c r="D15" s="30">
        <f t="shared" si="1"/>
        <v>0</v>
      </c>
      <c r="E15" s="29" t="e">
        <f t="shared" si="2"/>
        <v>#N/A</v>
      </c>
      <c r="F15" s="31" t="e">
        <f t="shared" si="3"/>
        <v>#N/A</v>
      </c>
      <c r="G15" s="29" t="e">
        <f t="shared" si="4"/>
        <v>#N/A</v>
      </c>
      <c r="H15" s="32">
        <f t="shared" si="5"/>
        <v>0</v>
      </c>
      <c r="I15" s="32" t="e">
        <f t="shared" si="6"/>
        <v>#N/A</v>
      </c>
      <c r="J15" s="29" t="e">
        <f t="shared" si="7"/>
        <v>#N/A</v>
      </c>
      <c r="K15" s="32">
        <f t="shared" si="8"/>
        <v>0</v>
      </c>
      <c r="L15" s="29" t="e">
        <f t="shared" si="9"/>
        <v>#N/A</v>
      </c>
      <c r="M15" s="30">
        <f t="shared" si="10"/>
        <v>0</v>
      </c>
      <c r="N15" s="30">
        <v>0.68</v>
      </c>
      <c r="O15" s="29" t="e">
        <f t="shared" si="11"/>
        <v>#N/A</v>
      </c>
      <c r="P15" s="30">
        <f t="shared" si="12"/>
        <v>0</v>
      </c>
      <c r="Q15" s="33" t="e">
        <f t="shared" si="13"/>
        <v>#N/A</v>
      </c>
    </row>
    <row r="16" spans="1:20" ht="24.75" customHeight="1" x14ac:dyDescent="0.25">
      <c r="B16" s="28" t="s">
        <v>48</v>
      </c>
      <c r="C16" s="29" t="e">
        <f t="shared" si="0"/>
        <v>#N/A</v>
      </c>
      <c r="D16" s="30">
        <f t="shared" si="1"/>
        <v>0</v>
      </c>
      <c r="E16" s="29" t="e">
        <f t="shared" si="2"/>
        <v>#N/A</v>
      </c>
      <c r="F16" s="31" t="e">
        <f t="shared" si="3"/>
        <v>#N/A</v>
      </c>
      <c r="G16" s="29" t="e">
        <f t="shared" si="4"/>
        <v>#N/A</v>
      </c>
      <c r="H16" s="32">
        <f t="shared" si="5"/>
        <v>0</v>
      </c>
      <c r="I16" s="32" t="e">
        <f t="shared" si="6"/>
        <v>#N/A</v>
      </c>
      <c r="J16" s="29" t="e">
        <f t="shared" si="7"/>
        <v>#N/A</v>
      </c>
      <c r="K16" s="32">
        <f t="shared" si="8"/>
        <v>0</v>
      </c>
      <c r="L16" s="29" t="e">
        <f t="shared" si="9"/>
        <v>#N/A</v>
      </c>
      <c r="M16" s="30">
        <f t="shared" si="10"/>
        <v>0</v>
      </c>
      <c r="N16" s="30">
        <v>0.74</v>
      </c>
      <c r="O16" s="29" t="e">
        <f t="shared" si="11"/>
        <v>#N/A</v>
      </c>
      <c r="P16" s="30">
        <f t="shared" si="12"/>
        <v>0</v>
      </c>
      <c r="Q16" s="33" t="e">
        <f t="shared" si="13"/>
        <v>#N/A</v>
      </c>
    </row>
    <row r="17" spans="1:17" ht="24.75" customHeight="1" x14ac:dyDescent="0.25">
      <c r="B17" s="28" t="s">
        <v>49</v>
      </c>
      <c r="C17" s="29" t="e">
        <f t="shared" si="0"/>
        <v>#N/A</v>
      </c>
      <c r="D17" s="30">
        <f t="shared" si="1"/>
        <v>0</v>
      </c>
      <c r="E17" s="29" t="e">
        <f t="shared" si="2"/>
        <v>#N/A</v>
      </c>
      <c r="F17" s="31" t="e">
        <f t="shared" si="3"/>
        <v>#N/A</v>
      </c>
      <c r="G17" s="29" t="e">
        <f t="shared" si="4"/>
        <v>#N/A</v>
      </c>
      <c r="H17" s="32">
        <f t="shared" si="5"/>
        <v>0</v>
      </c>
      <c r="I17" s="32" t="e">
        <f t="shared" si="6"/>
        <v>#N/A</v>
      </c>
      <c r="J17" s="29" t="e">
        <f t="shared" si="7"/>
        <v>#N/A</v>
      </c>
      <c r="K17" s="32">
        <f t="shared" si="8"/>
        <v>0</v>
      </c>
      <c r="L17" s="29" t="e">
        <f t="shared" si="9"/>
        <v>#N/A</v>
      </c>
      <c r="M17" s="30">
        <f t="shared" si="10"/>
        <v>0</v>
      </c>
      <c r="N17" s="30">
        <v>0.82</v>
      </c>
      <c r="O17" s="29" t="e">
        <f t="shared" si="11"/>
        <v>#N/A</v>
      </c>
      <c r="P17" s="30">
        <f t="shared" si="12"/>
        <v>0</v>
      </c>
      <c r="Q17" s="33" t="e">
        <f t="shared" si="13"/>
        <v>#N/A</v>
      </c>
    </row>
    <row r="18" spans="1:17" ht="24.75" customHeight="1" x14ac:dyDescent="0.25">
      <c r="B18" s="28" t="s">
        <v>50</v>
      </c>
      <c r="C18" s="29" t="e">
        <f t="shared" si="0"/>
        <v>#N/A</v>
      </c>
      <c r="D18" s="30">
        <f t="shared" si="1"/>
        <v>0</v>
      </c>
      <c r="E18" s="29" t="e">
        <f t="shared" si="2"/>
        <v>#N/A</v>
      </c>
      <c r="F18" s="31" t="e">
        <f t="shared" si="3"/>
        <v>#N/A</v>
      </c>
      <c r="G18" s="29" t="e">
        <f t="shared" si="4"/>
        <v>#N/A</v>
      </c>
      <c r="H18" s="32">
        <f t="shared" si="5"/>
        <v>0</v>
      </c>
      <c r="I18" s="32" t="e">
        <f t="shared" si="6"/>
        <v>#N/A</v>
      </c>
      <c r="J18" s="29" t="e">
        <f t="shared" si="7"/>
        <v>#N/A</v>
      </c>
      <c r="K18" s="32">
        <f t="shared" si="8"/>
        <v>0</v>
      </c>
      <c r="L18" s="29" t="e">
        <f t="shared" si="9"/>
        <v>#N/A</v>
      </c>
      <c r="M18" s="30">
        <f t="shared" si="10"/>
        <v>0</v>
      </c>
      <c r="N18" s="30">
        <v>0.85</v>
      </c>
      <c r="O18" s="29" t="e">
        <f t="shared" si="11"/>
        <v>#N/A</v>
      </c>
      <c r="P18" s="30">
        <f t="shared" si="12"/>
        <v>0</v>
      </c>
      <c r="Q18" s="33" t="e">
        <f t="shared" si="13"/>
        <v>#N/A</v>
      </c>
    </row>
    <row r="19" spans="1:17" ht="24.75" customHeight="1" x14ac:dyDescent="0.25">
      <c r="B19" s="28" t="s">
        <v>51</v>
      </c>
      <c r="C19" s="29" t="e">
        <f t="shared" si="0"/>
        <v>#N/A</v>
      </c>
      <c r="D19" s="30">
        <f t="shared" si="1"/>
        <v>0</v>
      </c>
      <c r="E19" s="29" t="e">
        <f t="shared" si="2"/>
        <v>#N/A</v>
      </c>
      <c r="F19" s="31" t="e">
        <f t="shared" si="3"/>
        <v>#N/A</v>
      </c>
      <c r="G19" s="29" t="e">
        <f t="shared" si="4"/>
        <v>#N/A</v>
      </c>
      <c r="H19" s="32">
        <f t="shared" si="5"/>
        <v>0</v>
      </c>
      <c r="I19" s="32" t="e">
        <f t="shared" si="6"/>
        <v>#N/A</v>
      </c>
      <c r="J19" s="29" t="e">
        <f t="shared" si="7"/>
        <v>#N/A</v>
      </c>
      <c r="K19" s="32">
        <f t="shared" si="8"/>
        <v>0</v>
      </c>
      <c r="L19" s="29" t="e">
        <f t="shared" si="9"/>
        <v>#N/A</v>
      </c>
      <c r="M19" s="30">
        <f t="shared" si="10"/>
        <v>0</v>
      </c>
      <c r="N19" s="30">
        <v>0.81</v>
      </c>
      <c r="O19" s="29" t="e">
        <f t="shared" si="11"/>
        <v>#N/A</v>
      </c>
      <c r="P19" s="30">
        <f t="shared" si="12"/>
        <v>0</v>
      </c>
      <c r="Q19" s="33" t="e">
        <f t="shared" si="13"/>
        <v>#N/A</v>
      </c>
    </row>
    <row r="20" spans="1:17" ht="24.75" customHeight="1" x14ac:dyDescent="0.25">
      <c r="A20" s="25"/>
      <c r="B20" s="35" t="s">
        <v>23</v>
      </c>
      <c r="C20" s="36" t="e">
        <f>SUM(C6:C19)</f>
        <v>#N/A</v>
      </c>
      <c r="D20" s="37"/>
      <c r="E20" s="36" t="e">
        <f>SUM(E6:E19)</f>
        <v>#N/A</v>
      </c>
      <c r="F20" s="37" t="e">
        <f t="shared" si="3"/>
        <v>#N/A</v>
      </c>
      <c r="G20" s="36" t="e">
        <f>SUM(G6:G19)</f>
        <v>#N/A</v>
      </c>
      <c r="H20" s="37" t="e">
        <f>+G20/C20</f>
        <v>#N/A</v>
      </c>
      <c r="I20" s="239" t="e">
        <f t="shared" si="6"/>
        <v>#N/A</v>
      </c>
      <c r="J20" s="36" t="e">
        <f>SUM(J6:J19)</f>
        <v>#N/A</v>
      </c>
      <c r="K20" s="37" t="e">
        <f>+J20/C20</f>
        <v>#N/A</v>
      </c>
      <c r="L20" s="36" t="e">
        <f>SUM(L6:L19)</f>
        <v>#N/A</v>
      </c>
      <c r="M20" s="38" t="e">
        <f>+L20/C20</f>
        <v>#N/A</v>
      </c>
      <c r="N20" s="38">
        <v>0.78</v>
      </c>
      <c r="O20" s="36" t="e">
        <f>SUM(O6:O19)</f>
        <v>#N/A</v>
      </c>
      <c r="P20" s="38" t="e">
        <f>+O20/C20</f>
        <v>#N/A</v>
      </c>
    </row>
    <row r="21" spans="1:17" x14ac:dyDescent="0.25">
      <c r="B21" s="39"/>
      <c r="C21" s="40" t="e">
        <f>#N/A</f>
        <v>#N/A</v>
      </c>
      <c r="D21" s="40"/>
      <c r="E21" s="40" t="e">
        <f>#N/A</f>
        <v>#N/A</v>
      </c>
      <c r="F21" s="40"/>
      <c r="G21" s="40" t="e">
        <f>#N/A</f>
        <v>#N/A</v>
      </c>
      <c r="H21" s="40"/>
      <c r="I21" s="40"/>
      <c r="J21" s="40"/>
      <c r="K21" s="40"/>
      <c r="L21" s="40" t="e">
        <f>#N/A</f>
        <v>#N/A</v>
      </c>
      <c r="M21" s="40"/>
      <c r="N21" s="40"/>
      <c r="O21" s="40" t="e">
        <f>#N/A</f>
        <v>#N/A</v>
      </c>
      <c r="P21" s="41"/>
    </row>
    <row r="22" spans="1:17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42"/>
      <c r="P22" s="39"/>
    </row>
    <row r="26" spans="1:17" x14ac:dyDescent="0.25">
      <c r="B26" s="43"/>
      <c r="C26" s="43"/>
      <c r="D26" s="43"/>
    </row>
    <row r="27" spans="1:17" x14ac:dyDescent="0.25">
      <c r="B27" s="43"/>
      <c r="C27" s="43"/>
      <c r="D27" s="43"/>
    </row>
    <row r="28" spans="1:17" x14ac:dyDescent="0.25">
      <c r="B28" s="43"/>
      <c r="C28" s="43"/>
      <c r="D28" s="43"/>
    </row>
    <row r="29" spans="1:17" x14ac:dyDescent="0.25">
      <c r="B29" s="43"/>
      <c r="C29" s="43"/>
      <c r="D29" s="43"/>
    </row>
  </sheetData>
  <sheetProtection selectLockedCells="1" selectUnlockedCells="1"/>
  <mergeCells count="3">
    <mergeCell ref="B1:P1"/>
    <mergeCell ref="B2:P2"/>
    <mergeCell ref="B3:P3"/>
  </mergeCells>
  <pageMargins left="0.7" right="0.7" top="0.75" bottom="0.75" header="0.51180555555555551" footer="0.51180555555555551"/>
  <pageSetup firstPageNumber="0" orientation="portrait" horizontalDpi="300" verticalDpi="300"/>
  <headerFooter alignWithMargins="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zoomScaleNormal="100" workbookViewId="0"/>
  </sheetViews>
  <sheetFormatPr baseColWidth="10" defaultColWidth="11" defaultRowHeight="15" x14ac:dyDescent="0.25"/>
  <cols>
    <col min="2" max="2" width="21.42578125" customWidth="1"/>
    <col min="3" max="3" width="20.85546875" customWidth="1"/>
    <col min="4" max="4" width="20.140625" customWidth="1"/>
  </cols>
  <sheetData>
    <row r="1" spans="1:5" ht="15.75" customHeight="1" x14ac:dyDescent="0.25">
      <c r="B1" s="632" t="s">
        <v>800</v>
      </c>
      <c r="C1" s="632"/>
      <c r="D1" s="632"/>
      <c r="E1" s="632"/>
    </row>
    <row r="2" spans="1:5" ht="18.75" customHeight="1" x14ac:dyDescent="0.25">
      <c r="A2" s="490"/>
      <c r="B2" s="633" t="s">
        <v>801</v>
      </c>
      <c r="C2" s="633"/>
      <c r="D2" s="633"/>
      <c r="E2" s="633"/>
    </row>
    <row r="3" spans="1:5" ht="56.25" x14ac:dyDescent="0.3">
      <c r="A3" s="491"/>
      <c r="B3" s="492" t="s">
        <v>772</v>
      </c>
      <c r="C3" s="492" t="s">
        <v>12</v>
      </c>
      <c r="D3" s="492" t="s">
        <v>773</v>
      </c>
      <c r="E3" s="493" t="s">
        <v>774</v>
      </c>
    </row>
    <row r="4" spans="1:5" x14ac:dyDescent="0.25">
      <c r="A4" s="491"/>
      <c r="B4" s="494" t="e">
        <f>+$B$8+$B$12+$B$16+$B$20+$B$24</f>
        <v>#VALUE!</v>
      </c>
      <c r="C4" s="494" t="e">
        <f>+$C$8+$C$12+$C$16+$C$20+$C$24</f>
        <v>#VALUE!</v>
      </c>
      <c r="D4" s="494" t="e">
        <f>+$D$8+$D$12+$D$16+$D$20+$D$24</f>
        <v>#VALUE!</v>
      </c>
      <c r="E4" s="495" t="e">
        <f>+C4/B4</f>
        <v>#VALUE!</v>
      </c>
    </row>
    <row r="5" spans="1:5" x14ac:dyDescent="0.25">
      <c r="A5" s="491"/>
      <c r="B5" s="496"/>
      <c r="C5" s="496"/>
      <c r="D5" s="496"/>
      <c r="E5" s="497"/>
    </row>
    <row r="6" spans="1:5" ht="18.75" customHeight="1" x14ac:dyDescent="0.25">
      <c r="A6" s="491"/>
      <c r="B6" s="634" t="e">
        <f>#N/A</f>
        <v>#N/A</v>
      </c>
      <c r="C6" s="634"/>
      <c r="D6" s="634"/>
      <c r="E6" s="634"/>
    </row>
    <row r="7" spans="1:5" ht="56.25" x14ac:dyDescent="0.3">
      <c r="A7" s="491"/>
      <c r="B7" s="492" t="s">
        <v>772</v>
      </c>
      <c r="C7" s="492" t="s">
        <v>12</v>
      </c>
      <c r="D7" s="492" t="s">
        <v>773</v>
      </c>
      <c r="E7" s="493" t="s">
        <v>774</v>
      </c>
    </row>
    <row r="8" spans="1:5" x14ac:dyDescent="0.25">
      <c r="A8" s="491">
        <v>214779</v>
      </c>
      <c r="B8" s="494" t="e">
        <f>SUMIF(,$A8,)</f>
        <v>#VALUE!</v>
      </c>
      <c r="C8" s="494" t="e">
        <f>SUMIF(,$A8,)</f>
        <v>#VALUE!</v>
      </c>
      <c r="D8" s="494" t="e">
        <f>SUMIF(,$A8,)</f>
        <v>#VALUE!</v>
      </c>
      <c r="E8" s="495" t="e">
        <f>+C8/B8</f>
        <v>#VALUE!</v>
      </c>
    </row>
    <row r="9" spans="1:5" x14ac:dyDescent="0.25">
      <c r="A9" s="491"/>
      <c r="B9" s="496"/>
      <c r="C9" s="496"/>
      <c r="D9" s="496"/>
      <c r="E9" s="497"/>
    </row>
    <row r="10" spans="1:5" ht="18.75" x14ac:dyDescent="0.25">
      <c r="A10" s="491"/>
      <c r="B10" s="634" t="e">
        <f>#N/A</f>
        <v>#N/A</v>
      </c>
      <c r="C10" s="634"/>
      <c r="D10" s="634"/>
      <c r="E10" s="634"/>
    </row>
    <row r="11" spans="1:5" ht="56.25" x14ac:dyDescent="0.3">
      <c r="A11" s="491"/>
      <c r="B11" s="492" t="s">
        <v>772</v>
      </c>
      <c r="C11" s="492" t="s">
        <v>12</v>
      </c>
      <c r="D11" s="492" t="s">
        <v>773</v>
      </c>
      <c r="E11" s="493" t="s">
        <v>774</v>
      </c>
    </row>
    <row r="12" spans="1:5" x14ac:dyDescent="0.25">
      <c r="A12" s="491">
        <v>214780</v>
      </c>
      <c r="B12" s="494" t="e">
        <f>SUMIF(,$A12,)</f>
        <v>#VALUE!</v>
      </c>
      <c r="C12" s="494" t="e">
        <f>SUMIF(,$A12,)</f>
        <v>#VALUE!</v>
      </c>
      <c r="D12" s="494" t="e">
        <f>SUMIF(,$A12,)</f>
        <v>#VALUE!</v>
      </c>
      <c r="E12" s="495" t="e">
        <f>+C12/B12</f>
        <v>#VALUE!</v>
      </c>
    </row>
    <row r="13" spans="1:5" x14ac:dyDescent="0.25">
      <c r="A13" s="491"/>
      <c r="B13" s="498"/>
      <c r="C13" s="498"/>
      <c r="D13" s="498"/>
      <c r="E13" s="499"/>
    </row>
    <row r="14" spans="1:5" ht="18.75" x14ac:dyDescent="0.25">
      <c r="A14" s="491"/>
      <c r="B14" s="634" t="e">
        <f>#N/A</f>
        <v>#N/A</v>
      </c>
      <c r="C14" s="634"/>
      <c r="D14" s="634"/>
      <c r="E14" s="634"/>
    </row>
    <row r="15" spans="1:5" ht="56.25" x14ac:dyDescent="0.3">
      <c r="A15" s="491"/>
      <c r="B15" s="492" t="s">
        <v>772</v>
      </c>
      <c r="C15" s="492" t="s">
        <v>12</v>
      </c>
      <c r="D15" s="492" t="s">
        <v>773</v>
      </c>
      <c r="E15" s="493" t="s">
        <v>774</v>
      </c>
    </row>
    <row r="16" spans="1:5" x14ac:dyDescent="0.25">
      <c r="A16" s="491">
        <v>214781</v>
      </c>
      <c r="B16" s="494" t="e">
        <f>SUMIF(,$A16,)</f>
        <v>#VALUE!</v>
      </c>
      <c r="C16" s="494" t="e">
        <f>SUMIF(,$A16,)</f>
        <v>#VALUE!</v>
      </c>
      <c r="D16" s="494" t="e">
        <f>SUMIF(,$A16,)</f>
        <v>#VALUE!</v>
      </c>
      <c r="E16" s="495" t="e">
        <f>+C16/B16</f>
        <v>#VALUE!</v>
      </c>
    </row>
    <row r="17" spans="1:5" x14ac:dyDescent="0.25">
      <c r="A17" s="491"/>
      <c r="B17" s="498"/>
      <c r="C17" s="498"/>
      <c r="D17" s="498"/>
      <c r="E17" s="499"/>
    </row>
    <row r="18" spans="1:5" ht="18.75" customHeight="1" x14ac:dyDescent="0.25">
      <c r="A18" s="491"/>
      <c r="B18" s="634" t="e">
        <f>#N/A</f>
        <v>#N/A</v>
      </c>
      <c r="C18" s="634"/>
      <c r="D18" s="634"/>
      <c r="E18" s="634"/>
    </row>
    <row r="19" spans="1:5" ht="56.25" x14ac:dyDescent="0.3">
      <c r="A19" s="491"/>
      <c r="B19" s="492" t="s">
        <v>772</v>
      </c>
      <c r="C19" s="492" t="s">
        <v>12</v>
      </c>
      <c r="D19" s="492" t="s">
        <v>773</v>
      </c>
      <c r="E19" s="493" t="s">
        <v>774</v>
      </c>
    </row>
    <row r="20" spans="1:5" x14ac:dyDescent="0.25">
      <c r="A20" s="491">
        <v>214783</v>
      </c>
      <c r="B20" s="494" t="e">
        <f>NA()</f>
        <v>#N/A</v>
      </c>
      <c r="C20" s="494" t="e">
        <f>SUMIF(,$A20,)</f>
        <v>#VALUE!</v>
      </c>
      <c r="D20" s="494" t="e">
        <f>SUMIF(,$A20,)</f>
        <v>#VALUE!</v>
      </c>
      <c r="E20" s="495" t="e">
        <f>+C20/B20</f>
        <v>#VALUE!</v>
      </c>
    </row>
    <row r="21" spans="1:5" x14ac:dyDescent="0.25">
      <c r="A21" s="491"/>
      <c r="B21" s="498"/>
      <c r="C21" s="498"/>
      <c r="D21" s="498"/>
      <c r="E21" s="499"/>
    </row>
    <row r="22" spans="1:5" ht="18.75" x14ac:dyDescent="0.25">
      <c r="A22" s="491"/>
      <c r="B22" s="634" t="e">
        <f>#N/A</f>
        <v>#N/A</v>
      </c>
      <c r="C22" s="634"/>
      <c r="D22" s="634"/>
      <c r="E22" s="634"/>
    </row>
    <row r="23" spans="1:5" ht="56.25" x14ac:dyDescent="0.3">
      <c r="A23" s="491"/>
      <c r="B23" s="492" t="s">
        <v>772</v>
      </c>
      <c r="C23" s="492" t="s">
        <v>12</v>
      </c>
      <c r="D23" s="492" t="s">
        <v>773</v>
      </c>
      <c r="E23" s="493" t="s">
        <v>774</v>
      </c>
    </row>
    <row r="24" spans="1:5" x14ac:dyDescent="0.25">
      <c r="A24" s="58">
        <v>214784</v>
      </c>
      <c r="B24" s="500" t="e">
        <f>SUMIF(,$A24,)</f>
        <v>#VALUE!</v>
      </c>
      <c r="C24" s="500" t="e">
        <f>SUMIF(,$A24,)</f>
        <v>#VALUE!</v>
      </c>
      <c r="D24" s="500" t="e">
        <f>SUMIF(,$A24,)</f>
        <v>#VALUE!</v>
      </c>
      <c r="E24" s="501" t="e">
        <f>+C24/B24</f>
        <v>#VALUE!</v>
      </c>
    </row>
  </sheetData>
  <sheetProtection selectLockedCells="1" selectUnlockedCells="1"/>
  <mergeCells count="7">
    <mergeCell ref="B22:E22"/>
    <mergeCell ref="B1:E1"/>
    <mergeCell ref="B2:E2"/>
    <mergeCell ref="B6:E6"/>
    <mergeCell ref="B10:E10"/>
    <mergeCell ref="B14:E14"/>
    <mergeCell ref="B18:E18"/>
  </mergeCells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K67"/>
  <sheetViews>
    <sheetView topLeftCell="B1" zoomScaleNormal="100" workbookViewId="0"/>
  </sheetViews>
  <sheetFormatPr baseColWidth="10" defaultColWidth="11" defaultRowHeight="15" x14ac:dyDescent="0.25"/>
  <cols>
    <col min="1" max="1" width="7" hidden="1" customWidth="1"/>
    <col min="2" max="2" width="16.7109375" customWidth="1"/>
    <col min="3" max="5" width="19.5703125" customWidth="1"/>
    <col min="6" max="6" width="18.85546875" customWidth="1"/>
    <col min="7" max="7" width="2.5703125" customWidth="1"/>
    <col min="8" max="8" width="11" hidden="1" customWidth="1"/>
    <col min="9" max="9" width="18.85546875" hidden="1" customWidth="1"/>
    <col min="10" max="10" width="20.5703125" customWidth="1"/>
    <col min="11" max="11" width="32.7109375" customWidth="1"/>
  </cols>
  <sheetData>
    <row r="1" spans="1:11" ht="18.75" customHeight="1" x14ac:dyDescent="0.3">
      <c r="A1" s="502"/>
      <c r="B1" s="502"/>
      <c r="C1" s="635">
        <v>44166</v>
      </c>
      <c r="D1" s="635"/>
      <c r="E1" s="635"/>
      <c r="F1" s="635"/>
      <c r="G1" s="503"/>
      <c r="H1" s="503"/>
      <c r="I1" s="503"/>
    </row>
    <row r="2" spans="1:11" ht="18.75" customHeight="1" x14ac:dyDescent="0.25">
      <c r="A2" s="491"/>
      <c r="B2" s="502"/>
      <c r="C2" s="636" t="s">
        <v>802</v>
      </c>
      <c r="D2" s="636"/>
      <c r="E2" s="636"/>
      <c r="F2" s="636"/>
      <c r="G2" s="504"/>
      <c r="H2" s="505"/>
      <c r="I2" s="505"/>
    </row>
    <row r="3" spans="1:11" ht="45.75" customHeight="1" x14ac:dyDescent="0.3">
      <c r="A3" s="491"/>
      <c r="B3" s="502"/>
      <c r="C3" s="506" t="s">
        <v>772</v>
      </c>
      <c r="D3" s="492" t="s">
        <v>12</v>
      </c>
      <c r="E3" s="493" t="s">
        <v>774</v>
      </c>
      <c r="F3" s="492" t="s">
        <v>773</v>
      </c>
      <c r="G3" s="502"/>
      <c r="H3" s="502"/>
      <c r="I3" s="502"/>
      <c r="K3" s="34"/>
    </row>
    <row r="4" spans="1:11" x14ac:dyDescent="0.25">
      <c r="A4" s="491"/>
      <c r="B4" s="502"/>
      <c r="C4" s="507">
        <f>+'SIGAF DIC 20'!F2</f>
        <v>148398411720</v>
      </c>
      <c r="D4" s="500">
        <f>+'SIGAF DIC 20'!K2</f>
        <v>136630086152.53</v>
      </c>
      <c r="E4" s="501">
        <f>+D4/C4</f>
        <v>0.92069776602680475</v>
      </c>
      <c r="F4" s="500">
        <f>+'SIGAF DIC 20'!O2</f>
        <v>9537153933.6200008</v>
      </c>
      <c r="G4" s="59"/>
      <c r="H4" s="59"/>
      <c r="I4" s="59"/>
      <c r="K4" s="33"/>
    </row>
    <row r="5" spans="1:11" ht="19.5" customHeight="1" x14ac:dyDescent="0.25">
      <c r="A5" s="491"/>
      <c r="B5" s="502"/>
      <c r="C5" s="496"/>
      <c r="D5" s="496"/>
      <c r="E5" s="496"/>
      <c r="F5" s="496"/>
      <c r="K5" s="34"/>
    </row>
    <row r="6" spans="1:11" ht="18.75" customHeight="1" x14ac:dyDescent="0.25">
      <c r="A6" s="491"/>
      <c r="B6" s="502"/>
      <c r="C6" s="637">
        <v>786</v>
      </c>
      <c r="D6" s="637"/>
      <c r="E6" s="637"/>
      <c r="F6" s="637"/>
      <c r="G6" s="508"/>
      <c r="H6" s="505"/>
      <c r="I6" s="505"/>
    </row>
    <row r="7" spans="1:11" ht="27.75" customHeight="1" x14ac:dyDescent="0.3">
      <c r="A7" s="491"/>
      <c r="B7" s="502"/>
      <c r="C7" s="506" t="s">
        <v>772</v>
      </c>
      <c r="D7" s="492" t="s">
        <v>12</v>
      </c>
      <c r="E7" s="509" t="s">
        <v>774</v>
      </c>
      <c r="F7" s="492" t="s">
        <v>773</v>
      </c>
      <c r="G7" s="510"/>
      <c r="H7" s="502"/>
      <c r="I7" s="502"/>
      <c r="K7" s="34"/>
    </row>
    <row r="8" spans="1:11" x14ac:dyDescent="0.25">
      <c r="A8" s="491">
        <v>214779</v>
      </c>
      <c r="B8" s="502"/>
      <c r="C8" s="511">
        <f>+'SIGAF DIC 20'!F3</f>
        <v>2081037982</v>
      </c>
      <c r="D8" s="494">
        <f>+'SIGAF DIC 20'!K3</f>
        <v>1801767250</v>
      </c>
      <c r="E8" s="512">
        <f>+D8/C8</f>
        <v>0.86580219370546785</v>
      </c>
      <c r="F8" s="494">
        <f>+'SIGAF DIC 20'!O3</f>
        <v>276843436.25999999</v>
      </c>
      <c r="G8" s="510"/>
      <c r="H8" s="502">
        <v>214779</v>
      </c>
      <c r="I8" s="502">
        <v>214779</v>
      </c>
    </row>
    <row r="9" spans="1:11" ht="18.75" customHeight="1" x14ac:dyDescent="0.25">
      <c r="A9" s="491"/>
      <c r="B9" s="502"/>
      <c r="C9" s="513"/>
      <c r="D9" s="496"/>
      <c r="E9" s="496"/>
      <c r="F9" s="496"/>
      <c r="G9" s="510"/>
      <c r="H9" s="502"/>
      <c r="I9" s="502"/>
    </row>
    <row r="10" spans="1:11" ht="18.75" customHeight="1" x14ac:dyDescent="0.25">
      <c r="A10" s="491"/>
      <c r="B10" s="502"/>
      <c r="C10" s="638">
        <v>787</v>
      </c>
      <c r="D10" s="638"/>
      <c r="E10" s="638"/>
      <c r="F10" s="638"/>
      <c r="G10" s="510"/>
      <c r="H10" s="502"/>
      <c r="I10" s="502"/>
    </row>
    <row r="11" spans="1:11" ht="26.25" customHeight="1" x14ac:dyDescent="0.3">
      <c r="A11" s="491"/>
      <c r="B11" s="502"/>
      <c r="C11" s="506" t="s">
        <v>772</v>
      </c>
      <c r="D11" s="492" t="s">
        <v>12</v>
      </c>
      <c r="E11" s="509" t="s">
        <v>774</v>
      </c>
      <c r="F11" s="492" t="s">
        <v>773</v>
      </c>
      <c r="G11" s="510"/>
      <c r="H11" s="502"/>
      <c r="I11" s="502"/>
    </row>
    <row r="12" spans="1:11" x14ac:dyDescent="0.25">
      <c r="A12" s="491">
        <v>214780</v>
      </c>
      <c r="B12" s="502"/>
      <c r="C12" s="507">
        <f>+'SIGAF DIC 20'!F62</f>
        <v>3467509456</v>
      </c>
      <c r="D12" s="500">
        <f>+'SIGAF DIC 20'!K62</f>
        <v>3222776445.5100002</v>
      </c>
      <c r="E12" s="514">
        <f t="shared" ref="E12:E13" si="0">+D12/C12</f>
        <v>0.92942109788149929</v>
      </c>
      <c r="F12" s="500">
        <f>+'SIGAF DIC 20'!O62</f>
        <v>217990327.90000001</v>
      </c>
      <c r="G12" s="515"/>
      <c r="H12" s="59">
        <v>214780</v>
      </c>
      <c r="I12" s="59">
        <v>214780</v>
      </c>
    </row>
    <row r="13" spans="1:11" ht="30" customHeight="1" x14ac:dyDescent="0.25">
      <c r="A13" s="491"/>
      <c r="B13" s="472" t="s">
        <v>803</v>
      </c>
      <c r="C13" s="516">
        <f>C8+C12</f>
        <v>5548547438</v>
      </c>
      <c r="D13" s="516">
        <f>D8+D12</f>
        <v>5024543695.5100002</v>
      </c>
      <c r="E13" s="514">
        <f t="shared" si="0"/>
        <v>0.90556019420483147</v>
      </c>
      <c r="F13" s="516">
        <f>F12+F8</f>
        <v>494833764.15999997</v>
      </c>
    </row>
    <row r="14" spans="1:11" ht="18.75" customHeight="1" x14ac:dyDescent="0.25">
      <c r="A14" s="491"/>
      <c r="B14" s="502"/>
      <c r="C14" s="34"/>
      <c r="D14" s="34"/>
      <c r="E14" s="34"/>
      <c r="F14" s="34"/>
    </row>
    <row r="15" spans="1:11" ht="18.75" customHeight="1" x14ac:dyDescent="0.25">
      <c r="A15" s="491"/>
      <c r="B15" s="502"/>
      <c r="C15" s="637">
        <v>790</v>
      </c>
      <c r="D15" s="637"/>
      <c r="E15" s="637"/>
      <c r="F15" s="637"/>
      <c r="G15" s="517"/>
      <c r="H15" s="505"/>
      <c r="I15" s="505"/>
    </row>
    <row r="16" spans="1:11" ht="18.75" customHeight="1" x14ac:dyDescent="0.3">
      <c r="A16" s="491"/>
      <c r="B16" s="502"/>
      <c r="C16" s="506" t="s">
        <v>772</v>
      </c>
      <c r="D16" s="492" t="s">
        <v>12</v>
      </c>
      <c r="E16" s="493" t="s">
        <v>774</v>
      </c>
      <c r="F16" s="492" t="s">
        <v>773</v>
      </c>
      <c r="G16" s="518"/>
      <c r="H16" s="502"/>
      <c r="I16" s="502"/>
    </row>
    <row r="17" spans="1:9" ht="18.75" customHeight="1" x14ac:dyDescent="0.25">
      <c r="A17" s="491"/>
      <c r="B17" s="502"/>
      <c r="C17" s="507">
        <f>+'SIGAF DIC 20'!F686</f>
        <v>1265316729</v>
      </c>
      <c r="D17" s="500">
        <f>+'SIGAF DIC 20'!K686</f>
        <v>1095325472.8499999</v>
      </c>
      <c r="E17" s="501">
        <f>+D17/C17</f>
        <v>0.86565319792748896</v>
      </c>
      <c r="F17" s="500">
        <f>+'SIGAF DIC 20'!O686</f>
        <v>164349604.47</v>
      </c>
      <c r="G17" s="519"/>
      <c r="H17" s="59"/>
      <c r="I17" s="59"/>
    </row>
    <row r="18" spans="1:9" ht="18.75" customHeight="1" x14ac:dyDescent="0.25">
      <c r="A18" s="491"/>
      <c r="B18" s="502"/>
      <c r="C18" s="34"/>
      <c r="D18" s="34"/>
      <c r="E18" s="34"/>
      <c r="F18" s="34"/>
    </row>
    <row r="19" spans="1:9" x14ac:dyDescent="0.25">
      <c r="A19" s="491">
        <v>214781</v>
      </c>
      <c r="B19" s="502"/>
      <c r="C19" s="498"/>
      <c r="D19" s="498"/>
      <c r="E19" s="498"/>
      <c r="F19" s="498"/>
      <c r="H19">
        <v>214781</v>
      </c>
      <c r="I19">
        <v>214781</v>
      </c>
    </row>
    <row r="20" spans="1:9" ht="18.75" x14ac:dyDescent="0.25">
      <c r="A20" s="491"/>
      <c r="B20" s="502"/>
      <c r="C20" s="637">
        <v>788</v>
      </c>
      <c r="D20" s="637"/>
      <c r="E20" s="637"/>
      <c r="F20" s="637"/>
      <c r="G20" s="517"/>
      <c r="H20" s="505"/>
      <c r="I20" s="505"/>
    </row>
    <row r="21" spans="1:9" ht="18.75" customHeight="1" x14ac:dyDescent="0.3">
      <c r="A21" s="491"/>
      <c r="B21" s="502"/>
      <c r="C21" s="506" t="s">
        <v>772</v>
      </c>
      <c r="D21" s="492" t="s">
        <v>12</v>
      </c>
      <c r="E21" s="509" t="s">
        <v>774</v>
      </c>
      <c r="F21" s="492" t="s">
        <v>773</v>
      </c>
      <c r="G21" s="518"/>
      <c r="H21" s="502"/>
      <c r="I21" s="502"/>
    </row>
    <row r="22" spans="1:9" ht="39" customHeight="1" x14ac:dyDescent="0.25">
      <c r="A22" s="491"/>
      <c r="B22" s="502"/>
      <c r="C22" s="511">
        <f>+'SIGAF DIC 20'!F144</f>
        <v>2849531919</v>
      </c>
      <c r="D22" s="494">
        <f>+'SIGAF DIC 20'!K144</f>
        <v>2376037696.3600001</v>
      </c>
      <c r="E22" s="512">
        <f>+D22/C22</f>
        <v>0.83383438540103616</v>
      </c>
      <c r="F22" s="494">
        <f>+'SIGAF DIC 20'!O144</f>
        <v>437761932.11000001</v>
      </c>
      <c r="G22" s="518"/>
      <c r="H22" s="502"/>
      <c r="I22" s="502"/>
    </row>
    <row r="23" spans="1:9" x14ac:dyDescent="0.25">
      <c r="A23" s="491">
        <v>214783</v>
      </c>
      <c r="B23" s="502"/>
      <c r="C23" s="520"/>
      <c r="D23" s="498"/>
      <c r="E23" s="498"/>
      <c r="F23" s="498"/>
      <c r="G23" s="518"/>
      <c r="H23" s="502">
        <v>214783</v>
      </c>
      <c r="I23" s="502">
        <v>214783</v>
      </c>
    </row>
    <row r="24" spans="1:9" ht="18.75" x14ac:dyDescent="0.25">
      <c r="A24" s="491"/>
      <c r="C24" s="638">
        <v>791</v>
      </c>
      <c r="D24" s="638"/>
      <c r="E24" s="638"/>
      <c r="F24" s="638"/>
      <c r="G24" s="518"/>
      <c r="H24" s="502">
        <v>214784</v>
      </c>
      <c r="I24" s="502">
        <v>214784</v>
      </c>
    </row>
    <row r="25" spans="1:9" ht="18.75" customHeight="1" x14ac:dyDescent="0.3">
      <c r="A25" s="491"/>
      <c r="C25" s="506" t="s">
        <v>772</v>
      </c>
      <c r="D25" s="492" t="s">
        <v>12</v>
      </c>
      <c r="E25" s="509" t="s">
        <v>774</v>
      </c>
      <c r="F25" s="492" t="s">
        <v>773</v>
      </c>
      <c r="G25" s="518"/>
      <c r="H25" s="502"/>
      <c r="I25" s="498"/>
    </row>
    <row r="26" spans="1:9" ht="30.75" customHeight="1" x14ac:dyDescent="0.25">
      <c r="A26" s="491"/>
      <c r="C26" s="511">
        <f>+'SIGAF DIC 20'!F766</f>
        <v>7590011399</v>
      </c>
      <c r="D26" s="494">
        <f>+'SIGAF DIC 20'!K766</f>
        <v>7224328134.7299995</v>
      </c>
      <c r="E26" s="512">
        <f>+D26/C26</f>
        <v>0.95182045914737623</v>
      </c>
      <c r="F26" s="494">
        <f>+'SIGAF DIC 20'!O766</f>
        <v>365683264.26999998</v>
      </c>
      <c r="G26" s="518"/>
      <c r="H26" s="502"/>
      <c r="I26" s="502"/>
    </row>
    <row r="27" spans="1:9" x14ac:dyDescent="0.25">
      <c r="A27" s="58">
        <v>214784</v>
      </c>
      <c r="C27" s="513"/>
      <c r="D27" s="496"/>
      <c r="E27" s="496"/>
      <c r="F27" s="496"/>
      <c r="G27" s="518"/>
      <c r="H27" s="502"/>
      <c r="I27" s="502"/>
    </row>
    <row r="28" spans="1:9" ht="18.75" x14ac:dyDescent="0.25">
      <c r="C28" s="638">
        <v>793</v>
      </c>
      <c r="D28" s="638"/>
      <c r="E28" s="638"/>
      <c r="F28" s="638"/>
      <c r="G28" s="518"/>
      <c r="H28" s="502"/>
      <c r="I28" s="502"/>
    </row>
    <row r="29" spans="1:9" ht="18.75" x14ac:dyDescent="0.3">
      <c r="C29" s="506" t="s">
        <v>772</v>
      </c>
      <c r="D29" s="492" t="s">
        <v>12</v>
      </c>
      <c r="E29" s="509" t="s">
        <v>774</v>
      </c>
      <c r="F29" s="492" t="s">
        <v>773</v>
      </c>
      <c r="G29" s="518"/>
      <c r="H29" s="502"/>
      <c r="I29" s="502"/>
    </row>
    <row r="30" spans="1:9" ht="18.75" customHeight="1" x14ac:dyDescent="0.25">
      <c r="C30" s="521">
        <f>+'SIGAF DIC 20'!F791</f>
        <v>895550765</v>
      </c>
      <c r="D30" s="522">
        <f>+'SIGAF DIC 20'!K791</f>
        <v>882074571.79999995</v>
      </c>
      <c r="E30" s="523">
        <f t="shared" ref="E30:E31" si="1">+D30/C30</f>
        <v>0.98495206109281808</v>
      </c>
      <c r="F30" s="522">
        <f>+'SIGAF DIC 20'!O791</f>
        <v>13476193.199999999</v>
      </c>
      <c r="G30" s="519"/>
      <c r="H30" s="59"/>
      <c r="I30" s="59"/>
    </row>
    <row r="31" spans="1:9" ht="18.75" customHeight="1" x14ac:dyDescent="0.25">
      <c r="B31" s="524" t="s">
        <v>804</v>
      </c>
      <c r="C31" s="525">
        <f>C22+C26+C30</f>
        <v>11335094083</v>
      </c>
      <c r="D31" s="525">
        <f>D22+D26+D30</f>
        <v>10482440402.889999</v>
      </c>
      <c r="E31" s="526">
        <f t="shared" si="1"/>
        <v>0.92477753833655585</v>
      </c>
      <c r="F31" s="527">
        <f>F22+F26+F30</f>
        <v>816921389.58000004</v>
      </c>
      <c r="G31" s="528"/>
      <c r="H31" s="502"/>
      <c r="I31" s="502"/>
    </row>
    <row r="32" spans="1:9" ht="18.75" customHeight="1" x14ac:dyDescent="0.25">
      <c r="C32" s="34"/>
      <c r="D32" s="34"/>
      <c r="E32" s="529"/>
      <c r="F32" s="34"/>
      <c r="G32" s="528"/>
      <c r="H32" s="502"/>
      <c r="I32" s="502"/>
    </row>
    <row r="33" spans="3:7" x14ac:dyDescent="0.25">
      <c r="G33" s="502"/>
    </row>
    <row r="34" spans="3:7" ht="18.75" x14ac:dyDescent="0.25">
      <c r="C34" s="639">
        <v>794</v>
      </c>
      <c r="D34" s="639"/>
      <c r="E34" s="639"/>
      <c r="F34" s="639"/>
      <c r="G34" s="517"/>
    </row>
    <row r="35" spans="3:7" ht="18.75" x14ac:dyDescent="0.3">
      <c r="C35" s="492" t="s">
        <v>772</v>
      </c>
      <c r="D35" s="492" t="s">
        <v>12</v>
      </c>
      <c r="E35" s="509" t="s">
        <v>774</v>
      </c>
      <c r="F35" s="492" t="s">
        <v>773</v>
      </c>
      <c r="G35" s="518"/>
    </row>
    <row r="36" spans="3:7" x14ac:dyDescent="0.25">
      <c r="C36" s="494">
        <f>+'SIGAF DIC 20'!F819</f>
        <v>12811668105</v>
      </c>
      <c r="D36" s="494">
        <f>+'SIGAF DIC 20'!K819</f>
        <v>12046568869.049999</v>
      </c>
      <c r="E36" s="512">
        <f>+D36/C36</f>
        <v>0.94028106022732461</v>
      </c>
      <c r="F36" s="494">
        <f>+'SIGAF DIC 20'!O819</f>
        <v>764212435.95000005</v>
      </c>
      <c r="G36" s="519"/>
    </row>
    <row r="38" spans="3:7" x14ac:dyDescent="0.25">
      <c r="C38" s="632">
        <v>2020</v>
      </c>
      <c r="D38" s="632"/>
      <c r="E38" s="632"/>
      <c r="F38" s="632"/>
    </row>
    <row r="39" spans="3:7" ht="18.75" x14ac:dyDescent="0.25">
      <c r="C39" s="637">
        <v>78900</v>
      </c>
      <c r="D39" s="637"/>
      <c r="E39" s="637"/>
      <c r="F39" s="637"/>
      <c r="G39" s="530"/>
    </row>
    <row r="40" spans="3:7" ht="18.75" x14ac:dyDescent="0.3">
      <c r="C40" s="506" t="s">
        <v>772</v>
      </c>
      <c r="D40" s="492" t="s">
        <v>12</v>
      </c>
      <c r="E40" s="509" t="s">
        <v>774</v>
      </c>
      <c r="F40" s="492" t="s">
        <v>773</v>
      </c>
      <c r="G40" s="531"/>
    </row>
    <row r="41" spans="3:7" x14ac:dyDescent="0.25">
      <c r="C41" s="511">
        <f>+'SIGAF DIC 20'!F246</f>
        <v>75755327546</v>
      </c>
      <c r="D41" s="494">
        <f>+'SIGAF DIC 20'!K246</f>
        <v>70227882288.429993</v>
      </c>
      <c r="E41" s="512">
        <f>+D41/C41</f>
        <v>0.92703555727861331</v>
      </c>
      <c r="F41" s="494">
        <f>+'SIGAF DIC 20'!O246</f>
        <v>4423018430.4200001</v>
      </c>
      <c r="G41" s="531"/>
    </row>
    <row r="42" spans="3:7" x14ac:dyDescent="0.25">
      <c r="C42" s="520"/>
      <c r="D42" s="498"/>
      <c r="E42" s="498"/>
      <c r="F42" s="498"/>
      <c r="G42" s="531"/>
    </row>
    <row r="43" spans="3:7" ht="18.75" x14ac:dyDescent="0.25">
      <c r="C43" s="637">
        <v>789001</v>
      </c>
      <c r="D43" s="637"/>
      <c r="E43" s="637"/>
      <c r="F43" s="637"/>
      <c r="G43" s="531"/>
    </row>
    <row r="44" spans="3:7" ht="18.75" x14ac:dyDescent="0.3">
      <c r="C44" s="506" t="s">
        <v>772</v>
      </c>
      <c r="D44" s="492" t="s">
        <v>12</v>
      </c>
      <c r="E44" s="509" t="s">
        <v>774</v>
      </c>
      <c r="F44" s="492" t="s">
        <v>773</v>
      </c>
      <c r="G44" s="531"/>
    </row>
    <row r="45" spans="3:7" x14ac:dyDescent="0.25">
      <c r="C45" s="511">
        <f>+'SIGAF DIC 20'!F373</f>
        <v>27746347895</v>
      </c>
      <c r="D45" s="494">
        <f>+'SIGAF DIC 20'!K373</f>
        <v>25489145514.16</v>
      </c>
      <c r="E45" s="512">
        <f>+D45/C45</f>
        <v>0.91864866722705674</v>
      </c>
      <c r="F45" s="494">
        <f>+'SIGAF DIC 20'!O373</f>
        <v>1492631761.51</v>
      </c>
      <c r="G45" s="531"/>
    </row>
    <row r="46" spans="3:7" x14ac:dyDescent="0.25">
      <c r="C46" s="520"/>
      <c r="D46" s="498"/>
      <c r="E46" s="498"/>
      <c r="F46" s="498"/>
      <c r="G46" s="531"/>
    </row>
    <row r="47" spans="3:7" ht="18.75" x14ac:dyDescent="0.25">
      <c r="C47" s="640">
        <v>78902</v>
      </c>
      <c r="D47" s="640"/>
      <c r="E47" s="640"/>
      <c r="F47" s="640"/>
      <c r="G47" s="531"/>
    </row>
    <row r="48" spans="3:7" ht="18.75" x14ac:dyDescent="0.3">
      <c r="C48" s="506" t="s">
        <v>772</v>
      </c>
      <c r="D48" s="492" t="s">
        <v>12</v>
      </c>
      <c r="E48" s="509" t="s">
        <v>774</v>
      </c>
      <c r="F48" s="492" t="s">
        <v>773</v>
      </c>
      <c r="G48" s="531"/>
    </row>
    <row r="49" spans="3:7" x14ac:dyDescent="0.25">
      <c r="C49" s="511">
        <f>+'SIGAF DIC 20'!F450</f>
        <v>2105742147</v>
      </c>
      <c r="D49" s="494">
        <f>+'SIGAF DIC 20'!K450</f>
        <v>1894956303.8299999</v>
      </c>
      <c r="E49" s="512">
        <f>+D49/C49</f>
        <v>0.89989949934264191</v>
      </c>
      <c r="F49" s="494">
        <f>+'SIGAF DIC 20'!O450</f>
        <v>149017496.50999999</v>
      </c>
      <c r="G49" s="531"/>
    </row>
    <row r="50" spans="3:7" x14ac:dyDescent="0.25">
      <c r="C50" s="491"/>
      <c r="D50" s="502"/>
      <c r="E50" s="502"/>
      <c r="F50" s="502"/>
      <c r="G50" s="531"/>
    </row>
    <row r="51" spans="3:7" ht="18.75" x14ac:dyDescent="0.25">
      <c r="C51" s="638">
        <v>78903</v>
      </c>
      <c r="D51" s="638"/>
      <c r="E51" s="638"/>
      <c r="F51" s="638"/>
      <c r="G51" s="531"/>
    </row>
    <row r="52" spans="3:7" ht="18.75" x14ac:dyDescent="0.3">
      <c r="C52" s="506" t="s">
        <v>772</v>
      </c>
      <c r="D52" s="492" t="s">
        <v>12</v>
      </c>
      <c r="E52" s="509" t="s">
        <v>774</v>
      </c>
      <c r="F52" s="492" t="s">
        <v>773</v>
      </c>
      <c r="G52" s="531"/>
    </row>
    <row r="53" spans="3:7" x14ac:dyDescent="0.25">
      <c r="C53" s="511">
        <f>+'SIGAF DIC 20'!F504</f>
        <v>1449674150</v>
      </c>
      <c r="D53" s="494">
        <f>+'SIGAF DIC 20'!K504</f>
        <v>1313606623.73</v>
      </c>
      <c r="E53" s="512">
        <f>+D53/C53</f>
        <v>0.90613923393060436</v>
      </c>
      <c r="F53" s="494">
        <f>+'SIGAF DIC 20'!O504</f>
        <v>117030831.27</v>
      </c>
      <c r="G53" s="531"/>
    </row>
    <row r="54" spans="3:7" x14ac:dyDescent="0.25">
      <c r="C54" s="491"/>
      <c r="D54" s="502"/>
      <c r="E54" s="502"/>
      <c r="F54" s="502"/>
      <c r="G54" s="531"/>
    </row>
    <row r="55" spans="3:7" ht="18.75" x14ac:dyDescent="0.25">
      <c r="C55" s="638">
        <v>78904</v>
      </c>
      <c r="D55" s="638"/>
      <c r="E55" s="638"/>
      <c r="F55" s="638"/>
      <c r="G55" s="531"/>
    </row>
    <row r="56" spans="3:7" ht="18.75" x14ac:dyDescent="0.3">
      <c r="C56" s="506" t="s">
        <v>772</v>
      </c>
      <c r="D56" s="492" t="s">
        <v>12</v>
      </c>
      <c r="E56" s="509" t="s">
        <v>774</v>
      </c>
      <c r="F56" s="492" t="s">
        <v>773</v>
      </c>
      <c r="G56" s="531"/>
    </row>
    <row r="57" spans="3:7" x14ac:dyDescent="0.25">
      <c r="C57" s="511">
        <f>+'SIGAF DIC 20'!F551</f>
        <v>2262440561</v>
      </c>
      <c r="D57" s="494">
        <f>+'SIGAF DIC 20'!K551</f>
        <v>2027258265.1600001</v>
      </c>
      <c r="E57" s="512">
        <f>+D57/C57</f>
        <v>0.89604929300947067</v>
      </c>
      <c r="F57" s="494">
        <f>+'SIGAF DIC 20'!O551</f>
        <v>157251117.28999999</v>
      </c>
      <c r="G57" s="531"/>
    </row>
    <row r="58" spans="3:7" x14ac:dyDescent="0.25">
      <c r="C58" s="491"/>
      <c r="D58" s="502"/>
      <c r="E58" s="502"/>
      <c r="F58" s="502"/>
      <c r="G58" s="531"/>
    </row>
    <row r="59" spans="3:7" ht="18.75" x14ac:dyDescent="0.25">
      <c r="C59" s="638">
        <v>78905</v>
      </c>
      <c r="D59" s="638"/>
      <c r="E59" s="638"/>
      <c r="F59" s="638"/>
      <c r="G59" s="531"/>
    </row>
    <row r="60" spans="3:7" ht="18.75" x14ac:dyDescent="0.3">
      <c r="C60" s="506" t="s">
        <v>772</v>
      </c>
      <c r="D60" s="492" t="s">
        <v>12</v>
      </c>
      <c r="E60" s="509" t="s">
        <v>774</v>
      </c>
      <c r="F60" s="492" t="s">
        <v>773</v>
      </c>
      <c r="G60" s="531"/>
    </row>
    <row r="61" spans="3:7" x14ac:dyDescent="0.25">
      <c r="C61" s="511">
        <f>+'SIGAF DIC 20'!F623</f>
        <v>1156686277</v>
      </c>
      <c r="D61" s="494">
        <f>+'SIGAF DIC 20'!K623</f>
        <v>1032253158.23</v>
      </c>
      <c r="E61" s="512">
        <f>+D61/C61</f>
        <v>0.89242275866475074</v>
      </c>
      <c r="F61" s="494">
        <f>+'SIGAF DIC 20'!O623</f>
        <v>112876599.5</v>
      </c>
      <c r="G61" s="531"/>
    </row>
    <row r="62" spans="3:7" x14ac:dyDescent="0.25">
      <c r="C62" s="491"/>
      <c r="D62" s="502"/>
      <c r="E62" s="502"/>
      <c r="F62" s="502"/>
      <c r="G62" s="531"/>
    </row>
    <row r="63" spans="3:7" ht="18.75" x14ac:dyDescent="0.25">
      <c r="C63" s="638">
        <v>78906</v>
      </c>
      <c r="D63" s="638"/>
      <c r="E63" s="638"/>
      <c r="F63" s="638"/>
      <c r="G63" s="531"/>
    </row>
    <row r="64" spans="3:7" ht="18.75" x14ac:dyDescent="0.3">
      <c r="C64" s="506" t="s">
        <v>772</v>
      </c>
      <c r="D64" s="492" t="s">
        <v>12</v>
      </c>
      <c r="E64" s="509" t="s">
        <v>774</v>
      </c>
      <c r="F64" s="492" t="s">
        <v>773</v>
      </c>
      <c r="G64" s="531"/>
    </row>
    <row r="65" spans="2:9" x14ac:dyDescent="0.25">
      <c r="C65" s="521">
        <f>+'SIGAF DIC 20'!F654</f>
        <v>6961566789</v>
      </c>
      <c r="D65" s="522">
        <f>+'SIGAF DIC 20'!K654</f>
        <v>5996105558.6899996</v>
      </c>
      <c r="E65" s="523">
        <f>+D65/C65</f>
        <v>0.86131552571821479</v>
      </c>
      <c r="F65" s="522">
        <f>+'SIGAF DIC 20'!O654</f>
        <v>845010502.96000004</v>
      </c>
      <c r="G65" s="531"/>
    </row>
    <row r="66" spans="2:9" ht="58.5" customHeight="1" x14ac:dyDescent="0.3">
      <c r="B66" s="74"/>
      <c r="C66" s="506" t="s">
        <v>772</v>
      </c>
      <c r="D66" s="492" t="s">
        <v>12</v>
      </c>
      <c r="E66" s="509" t="s">
        <v>774</v>
      </c>
      <c r="F66" s="492" t="s">
        <v>773</v>
      </c>
      <c r="G66" s="532"/>
      <c r="H66" s="533"/>
      <c r="I66" s="533"/>
    </row>
    <row r="67" spans="2:9" x14ac:dyDescent="0.25">
      <c r="B67" s="534" t="s">
        <v>805</v>
      </c>
      <c r="C67" s="535">
        <f>C41+C45+C49+C53+C57+C61+C65</f>
        <v>117437785365</v>
      </c>
      <c r="D67" s="536">
        <f>D41+D45+D49+D53+D57+D61+D65</f>
        <v>107981207712.23</v>
      </c>
      <c r="E67" s="537">
        <f>D67/C67*100</f>
        <v>91.947585163174963</v>
      </c>
      <c r="F67" s="536">
        <f>F41+F45+F49+F53+F57+F61+F65</f>
        <v>7296836739.460001</v>
      </c>
    </row>
  </sheetData>
  <sheetProtection selectLockedCells="1" selectUnlockedCells="1"/>
  <mergeCells count="17">
    <mergeCell ref="C47:F47"/>
    <mergeCell ref="C51:F51"/>
    <mergeCell ref="C55:F55"/>
    <mergeCell ref="C59:F59"/>
    <mergeCell ref="C63:F63"/>
    <mergeCell ref="C24:F24"/>
    <mergeCell ref="C28:F28"/>
    <mergeCell ref="C34:F34"/>
    <mergeCell ref="C38:F38"/>
    <mergeCell ref="C39:F39"/>
    <mergeCell ref="C43:F43"/>
    <mergeCell ref="C1:F1"/>
    <mergeCell ref="C2:F2"/>
    <mergeCell ref="C6:F6"/>
    <mergeCell ref="C10:F10"/>
    <mergeCell ref="C15:F15"/>
    <mergeCell ref="C20:F20"/>
  </mergeCells>
  <pageMargins left="0" right="0.51180555555555551" top="0.15763888888888888" bottom="0.74791666666666667" header="0.51180555555555551" footer="0.51180555555555551"/>
  <pageSetup scale="75" firstPageNumber="0" orientation="landscape" horizontalDpi="300" verticalDpi="300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zoomScaleNormal="100" workbookViewId="0">
      <selection sqref="A1:A2"/>
    </sheetView>
  </sheetViews>
  <sheetFormatPr baseColWidth="10" defaultColWidth="11" defaultRowHeight="15" x14ac:dyDescent="0.25"/>
  <cols>
    <col min="1" max="1" width="22" customWidth="1"/>
    <col min="2" max="2" width="17.42578125" customWidth="1"/>
    <col min="3" max="3" width="7.140625" customWidth="1"/>
    <col min="4" max="4" width="17.42578125" customWidth="1"/>
    <col min="5" max="5" width="7.140625" customWidth="1"/>
    <col min="10" max="10" width="12" customWidth="1"/>
  </cols>
  <sheetData>
    <row r="1" spans="1:10" ht="15" customHeight="1" x14ac:dyDescent="0.25">
      <c r="A1" s="641" t="s">
        <v>34</v>
      </c>
      <c r="B1" s="642">
        <v>2020</v>
      </c>
      <c r="C1" s="642"/>
      <c r="D1" s="617">
        <v>2019</v>
      </c>
      <c r="E1" s="617"/>
    </row>
    <row r="2" spans="1:10" x14ac:dyDescent="0.25">
      <c r="A2" s="641"/>
      <c r="B2" s="27" t="s">
        <v>728</v>
      </c>
      <c r="C2" s="27" t="s">
        <v>35</v>
      </c>
      <c r="D2" s="27" t="s">
        <v>728</v>
      </c>
      <c r="E2" s="27" t="s">
        <v>35</v>
      </c>
      <c r="G2" s="207">
        <f>+B1</f>
        <v>2020</v>
      </c>
      <c r="H2" s="207">
        <f>+D1</f>
        <v>2019</v>
      </c>
    </row>
    <row r="3" spans="1:10" x14ac:dyDescent="0.25">
      <c r="A3" s="539" t="s">
        <v>806</v>
      </c>
      <c r="B3" s="29">
        <f>+'ANALISIS POR PROG'!C6+'ANALISIS POR PROG'!C7</f>
        <v>5548547438</v>
      </c>
      <c r="C3" s="30">
        <f>+B3/B8</f>
        <v>3.7389533848037872E-2</v>
      </c>
      <c r="D3" s="29">
        <v>2405642232</v>
      </c>
      <c r="E3" s="30">
        <f>+D3/D8</f>
        <v>1.680957733434366E-2</v>
      </c>
    </row>
    <row r="4" spans="1:10" x14ac:dyDescent="0.25">
      <c r="A4" s="539" t="s">
        <v>48</v>
      </c>
      <c r="B4" s="29">
        <f>+'ANALISIS POR PROG'!C16</f>
        <v>1265316729</v>
      </c>
      <c r="C4" s="30">
        <f>+B4/B8</f>
        <v>8.5264843089251901E-3</v>
      </c>
      <c r="D4" s="29">
        <v>1182918224</v>
      </c>
      <c r="E4" s="30">
        <f>+D4/D8</f>
        <v>8.2657159497906817E-3</v>
      </c>
    </row>
    <row r="5" spans="1:10" x14ac:dyDescent="0.25">
      <c r="A5" s="539" t="s">
        <v>807</v>
      </c>
      <c r="B5" s="29">
        <f>+'ANALISIS POR PROG'!C8+'ANALISIS POR PROG'!C17+'ANALISIS POR PROG'!C18</f>
        <v>11335094083</v>
      </c>
      <c r="C5" s="30">
        <f>+B5/B8</f>
        <v>7.6382853102142351E-2</v>
      </c>
      <c r="D5" s="29">
        <v>10861397887</v>
      </c>
      <c r="E5" s="30">
        <f>+D5/D8</f>
        <v>7.5894705086223035E-2</v>
      </c>
    </row>
    <row r="6" spans="1:10" ht="30" x14ac:dyDescent="0.25">
      <c r="A6" s="539" t="s">
        <v>808</v>
      </c>
      <c r="B6" s="29">
        <f>+'ANALISIS POR PROG'!C9+'ANALISIS POR PROG'!C10+'ANALISIS POR PROG'!C11+'ANALISIS POR PROG'!C12+'ANALISIS POR PROG'!C13+'ANALISIS POR PROG'!C14+'ANALISIS POR PROG'!C15</f>
        <v>117437785365</v>
      </c>
      <c r="C6" s="30">
        <f>+B6/B8</f>
        <v>0.79136820942924313</v>
      </c>
      <c r="D6" s="29">
        <v>115237508322.42</v>
      </c>
      <c r="E6" s="30">
        <f>+D6/D8</f>
        <v>0.80522938207329831</v>
      </c>
    </row>
    <row r="7" spans="1:10" x14ac:dyDescent="0.25">
      <c r="A7" s="539" t="s">
        <v>51</v>
      </c>
      <c r="B7" s="29">
        <f>+'ANALISIS POR PROG'!C19</f>
        <v>12811668105</v>
      </c>
      <c r="C7" s="30">
        <f>+B7/B8</f>
        <v>8.6332919311651518E-2</v>
      </c>
      <c r="D7" s="29">
        <v>13423938467</v>
      </c>
      <c r="E7" s="30">
        <f>+D7/D8</f>
        <v>9.3800619556344403E-2</v>
      </c>
    </row>
    <row r="8" spans="1:10" x14ac:dyDescent="0.25">
      <c r="A8" s="35" t="s">
        <v>23</v>
      </c>
      <c r="B8" s="36">
        <f>SUM(B3:B7)</f>
        <v>148398411720</v>
      </c>
      <c r="C8" s="37"/>
      <c r="D8" s="36">
        <f>SUM(D3:D7)</f>
        <v>143111405132.41998</v>
      </c>
      <c r="E8" s="37"/>
    </row>
    <row r="9" spans="1:10" x14ac:dyDescent="0.25">
      <c r="J9">
        <v>141087133000</v>
      </c>
    </row>
    <row r="10" spans="1:10" x14ac:dyDescent="0.25">
      <c r="A10" s="540" t="s">
        <v>34</v>
      </c>
      <c r="B10" s="538">
        <v>2020</v>
      </c>
      <c r="C10" s="217"/>
      <c r="D10" s="538">
        <v>2019</v>
      </c>
      <c r="E10" s="541"/>
    </row>
    <row r="11" spans="1:10" x14ac:dyDescent="0.25">
      <c r="A11" s="542"/>
      <c r="B11" s="27" t="s">
        <v>809</v>
      </c>
      <c r="C11" s="27" t="s">
        <v>35</v>
      </c>
      <c r="D11" s="27" t="s">
        <v>809</v>
      </c>
      <c r="E11" s="27" t="s">
        <v>35</v>
      </c>
    </row>
    <row r="12" spans="1:10" x14ac:dyDescent="0.25">
      <c r="A12" s="539" t="s">
        <v>806</v>
      </c>
      <c r="B12" s="29">
        <f>+'ANALISIS POR PROG'!K6+'ANALISIS POR PROG'!K7</f>
        <v>5024543695.5100002</v>
      </c>
      <c r="C12" s="30">
        <f t="shared" ref="C12:C16" si="0">+B12/B3</f>
        <v>0.90556019420483147</v>
      </c>
      <c r="D12" s="29">
        <v>2147263176.1900001</v>
      </c>
      <c r="E12" s="30">
        <f t="shared" ref="E12:E16" si="1">+D12/D3</f>
        <v>0.89259456274377547</v>
      </c>
      <c r="F12" s="33"/>
    </row>
    <row r="13" spans="1:10" x14ac:dyDescent="0.25">
      <c r="A13" s="539" t="s">
        <v>48</v>
      </c>
      <c r="B13" s="29">
        <f>+'ANALISIS POR PROG'!K16</f>
        <v>1095325472.8499999</v>
      </c>
      <c r="C13" s="30">
        <f t="shared" si="0"/>
        <v>0.86565319792748896</v>
      </c>
      <c r="D13" s="29">
        <v>1033142240.79</v>
      </c>
      <c r="E13" s="30">
        <f t="shared" si="1"/>
        <v>0.8733843302341413</v>
      </c>
      <c r="F13" s="33"/>
    </row>
    <row r="14" spans="1:10" x14ac:dyDescent="0.25">
      <c r="A14" s="539" t="s">
        <v>810</v>
      </c>
      <c r="B14" s="29">
        <f>+'ANALISIS POR PROG'!K8+'ANALISIS POR PROG'!K17+'ANALISIS POR PROG'!K18</f>
        <v>10482440402.889999</v>
      </c>
      <c r="C14" s="30">
        <f t="shared" si="0"/>
        <v>0.92477753833655585</v>
      </c>
      <c r="D14" s="29">
        <v>9909325805.1000004</v>
      </c>
      <c r="E14" s="30">
        <f t="shared" si="1"/>
        <v>0.91234350386523133</v>
      </c>
      <c r="F14" s="33"/>
    </row>
    <row r="15" spans="1:10" ht="30" x14ac:dyDescent="0.25">
      <c r="A15" s="539" t="s">
        <v>808</v>
      </c>
      <c r="B15" s="29">
        <f>+'ANALISIS POR PROG'!K9+'ANALISIS POR PROG'!K10+'ANALISIS POR PROG'!K11+'ANALISIS POR PROG'!K12+'ANALISIS POR PROG'!K13+'ANALISIS POR PROG'!K14+'ANALISIS POR PROG'!K15</f>
        <v>107981207712.23</v>
      </c>
      <c r="C15" s="30">
        <f t="shared" si="0"/>
        <v>0.91947585163174961</v>
      </c>
      <c r="D15" s="29">
        <v>108051057664.92</v>
      </c>
      <c r="E15" s="30">
        <f t="shared" si="1"/>
        <v>0.93763792048164374</v>
      </c>
      <c r="F15" s="33"/>
    </row>
    <row r="16" spans="1:10" x14ac:dyDescent="0.25">
      <c r="A16" s="539" t="s">
        <v>51</v>
      </c>
      <c r="B16" s="29">
        <f>+'ANALISIS POR PROG'!K19</f>
        <v>12046568869.049999</v>
      </c>
      <c r="C16" s="30">
        <f t="shared" si="0"/>
        <v>0.94028106022732461</v>
      </c>
      <c r="D16" s="29">
        <v>12611805594.5</v>
      </c>
      <c r="E16" s="30">
        <f t="shared" si="1"/>
        <v>0.9395011475584113</v>
      </c>
      <c r="F16" s="33"/>
    </row>
    <row r="17" spans="1:5" x14ac:dyDescent="0.25">
      <c r="A17" s="35" t="s">
        <v>23</v>
      </c>
      <c r="B17" s="36">
        <f>SUM(B12:B16)</f>
        <v>136630086152.53</v>
      </c>
      <c r="C17" s="237"/>
      <c r="D17" s="36">
        <f>SUM(D12:D16)</f>
        <v>133752594481.5</v>
      </c>
      <c r="E17" s="237"/>
    </row>
  </sheetData>
  <sheetProtection selectLockedCells="1" selectUnlockedCells="1"/>
  <mergeCells count="3">
    <mergeCell ref="A1:A2"/>
    <mergeCell ref="B1:C1"/>
    <mergeCell ref="D1:E1"/>
  </mergeCells>
  <pageMargins left="0.90555555555555556" right="0.70833333333333337" top="0.74791666666666667" bottom="0.74791666666666667" header="0.51180555555555551" footer="0.51180555555555551"/>
  <pageSetup paperSize="9" scale="80" firstPageNumber="0" orientation="portrait" horizontalDpi="300" verticalDpi="300"/>
  <headerFooter alignWithMargins="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2"/>
  <sheetViews>
    <sheetView zoomScaleNormal="100" workbookViewId="0"/>
  </sheetViews>
  <sheetFormatPr baseColWidth="10" defaultColWidth="11" defaultRowHeight="15" x14ac:dyDescent="0.25"/>
  <cols>
    <col min="1" max="1" width="15.140625" customWidth="1"/>
    <col min="2" max="2" width="19.7109375" customWidth="1"/>
    <col min="3" max="3" width="18.85546875" hidden="1" customWidth="1"/>
    <col min="4" max="5" width="17.7109375" customWidth="1"/>
    <col min="6" max="6" width="19.42578125" customWidth="1"/>
    <col min="7" max="7" width="17.85546875" customWidth="1"/>
    <col min="8" max="8" width="1.5703125" customWidth="1"/>
    <col min="9" max="9" width="16.7109375" customWidth="1"/>
    <col min="10" max="10" width="19.42578125" customWidth="1"/>
    <col min="11" max="11" width="22.28515625" hidden="1" customWidth="1"/>
    <col min="12" max="12" width="18.85546875" customWidth="1"/>
    <col min="13" max="13" width="19.7109375" customWidth="1"/>
    <col min="14" max="14" width="16.28515625" customWidth="1"/>
  </cols>
  <sheetData>
    <row r="1" spans="1:13" ht="27" customHeight="1" x14ac:dyDescent="0.25">
      <c r="A1" s="629" t="s">
        <v>811</v>
      </c>
      <c r="B1" s="629"/>
      <c r="C1" s="629"/>
      <c r="D1" s="629"/>
      <c r="E1" s="629"/>
      <c r="F1" s="629"/>
      <c r="G1" s="629"/>
    </row>
    <row r="2" spans="1:13" ht="26.25" customHeight="1" x14ac:dyDescent="0.25">
      <c r="A2" s="543" t="s">
        <v>3</v>
      </c>
      <c r="B2" s="544" t="e">
        <f>#N/A</f>
        <v>#N/A</v>
      </c>
      <c r="C2" s="545"/>
      <c r="D2" s="545"/>
      <c r="E2" s="545"/>
      <c r="F2" s="545"/>
      <c r="G2" s="545"/>
    </row>
    <row r="3" spans="1:13" ht="15" customHeight="1" x14ac:dyDescent="0.25">
      <c r="A3" s="643" t="s">
        <v>737</v>
      </c>
      <c r="B3" s="644" t="s">
        <v>812</v>
      </c>
      <c r="C3" s="505"/>
      <c r="D3" s="546"/>
      <c r="E3" s="546"/>
      <c r="F3" s="546"/>
      <c r="G3" s="547"/>
    </row>
    <row r="4" spans="1:13" ht="30" customHeight="1" x14ac:dyDescent="0.25">
      <c r="A4" s="643"/>
      <c r="B4" s="644"/>
      <c r="C4" s="502"/>
      <c r="D4" s="548" t="s">
        <v>61</v>
      </c>
      <c r="E4" s="548" t="s">
        <v>813</v>
      </c>
      <c r="F4" s="548" t="s">
        <v>814</v>
      </c>
      <c r="G4" s="549" t="s">
        <v>733</v>
      </c>
    </row>
    <row r="5" spans="1:13" x14ac:dyDescent="0.25">
      <c r="A5" s="204" t="s">
        <v>740</v>
      </c>
      <c r="B5" s="550" t="e">
        <f>#N/A</f>
        <v>#N/A</v>
      </c>
      <c r="C5" s="551" t="e">
        <f t="shared" ref="C5:C13" si="0">B5/$B$2</f>
        <v>#N/A</v>
      </c>
      <c r="D5" s="550">
        <f>+'ENERO 2019'!J3</f>
        <v>84624</v>
      </c>
      <c r="E5" s="550">
        <f>+F5</f>
        <v>227020561.94999999</v>
      </c>
      <c r="F5" s="550">
        <f>+'ENERO 2019'!L3</f>
        <v>227020561.94999999</v>
      </c>
      <c r="G5" s="550">
        <f>+'ENERO 2019'!M3</f>
        <v>1900857569.9200001</v>
      </c>
    </row>
    <row r="6" spans="1:13" x14ac:dyDescent="0.25">
      <c r="A6" s="204" t="s">
        <v>741</v>
      </c>
      <c r="B6" s="550" t="e">
        <f t="shared" ref="B6:B12" si="1">#N/A</f>
        <v>#N/A</v>
      </c>
      <c r="C6" s="551" t="e">
        <f t="shared" si="0"/>
        <v>#N/A</v>
      </c>
      <c r="D6" s="550">
        <f>+'ENERO 2019'!J4</f>
        <v>0</v>
      </c>
      <c r="E6" s="550">
        <f>+F6-E5</f>
        <v>154201049.73000002</v>
      </c>
      <c r="F6" s="550">
        <f>+'FEBRERO 2019'!L3</f>
        <v>381221611.68000001</v>
      </c>
      <c r="G6" s="550">
        <f>+'FEBRERO 2019'!M3</f>
        <v>1839952607.6600001</v>
      </c>
    </row>
    <row r="7" spans="1:13" x14ac:dyDescent="0.25">
      <c r="A7" s="204" t="s">
        <v>742</v>
      </c>
      <c r="B7" s="550" t="e">
        <f t="shared" si="1"/>
        <v>#N/A</v>
      </c>
      <c r="C7" s="551" t="e">
        <f t="shared" si="0"/>
        <v>#N/A</v>
      </c>
      <c r="D7" s="550">
        <f>+'MARZO 2019'!J3</f>
        <v>1118813.8500000001</v>
      </c>
      <c r="E7" s="550">
        <f t="shared" ref="E7:E13" si="2">+F7-F6</f>
        <v>143981946.48000002</v>
      </c>
      <c r="F7" s="550">
        <f>+'MARZO 2019'!L3</f>
        <v>525203558.16000003</v>
      </c>
      <c r="G7" s="550">
        <f>+'MARZO 2019'!M3</f>
        <v>1749162336.9400001</v>
      </c>
    </row>
    <row r="8" spans="1:13" x14ac:dyDescent="0.25">
      <c r="A8" s="204" t="s">
        <v>743</v>
      </c>
      <c r="B8" s="550" t="e">
        <f t="shared" si="1"/>
        <v>#N/A</v>
      </c>
      <c r="C8" s="551" t="e">
        <f t="shared" si="0"/>
        <v>#N/A</v>
      </c>
      <c r="D8" s="550">
        <f>+'ABRIL 2019'!J3</f>
        <v>75350</v>
      </c>
      <c r="E8" s="550">
        <f t="shared" si="2"/>
        <v>164909238.39999992</v>
      </c>
      <c r="F8" s="550">
        <f>+'ABRIL 2019'!L3</f>
        <v>690112796.55999994</v>
      </c>
      <c r="G8" s="550">
        <f>+'ABRIL 2019'!M3</f>
        <v>1449641152.49</v>
      </c>
    </row>
    <row r="9" spans="1:13" x14ac:dyDescent="0.25">
      <c r="A9" s="204" t="s">
        <v>744</v>
      </c>
      <c r="B9" s="550" t="e">
        <f t="shared" si="1"/>
        <v>#N/A</v>
      </c>
      <c r="C9" s="551" t="e">
        <f t="shared" si="0"/>
        <v>#N/A</v>
      </c>
      <c r="D9" s="550">
        <f>+'MAYO 2019'!J3</f>
        <v>692877.52</v>
      </c>
      <c r="E9" s="550">
        <f t="shared" si="2"/>
        <v>173233822.1400001</v>
      </c>
      <c r="F9" s="550">
        <f>+'MAYO 2019'!L3</f>
        <v>863346618.70000005</v>
      </c>
      <c r="G9" s="550">
        <f>+'MAYO 2019'!M3</f>
        <v>1348589908.28</v>
      </c>
    </row>
    <row r="10" spans="1:13" x14ac:dyDescent="0.25">
      <c r="A10" s="204" t="s">
        <v>745</v>
      </c>
      <c r="B10" s="550" t="e">
        <f t="shared" si="1"/>
        <v>#N/A</v>
      </c>
      <c r="C10" s="551" t="e">
        <f t="shared" si="0"/>
        <v>#N/A</v>
      </c>
      <c r="D10" s="550">
        <f>+'JUNIO 2019'!J3</f>
        <v>2915877.79</v>
      </c>
      <c r="E10" s="550">
        <f t="shared" si="2"/>
        <v>170133249.37</v>
      </c>
      <c r="F10" s="550">
        <f>+'JUNIO 2019'!L3</f>
        <v>1033479868.0700001</v>
      </c>
      <c r="G10" s="550">
        <f>+'JUNIO 2019'!M3</f>
        <v>1277043110.1300001</v>
      </c>
    </row>
    <row r="11" spans="1:13" x14ac:dyDescent="0.25">
      <c r="A11" s="204" t="s">
        <v>746</v>
      </c>
      <c r="B11" s="550" t="e">
        <f t="shared" si="1"/>
        <v>#N/A</v>
      </c>
      <c r="C11" s="551" t="e">
        <f t="shared" si="0"/>
        <v>#N/A</v>
      </c>
      <c r="D11" s="550">
        <f>+'JULIO 2019'!J3</f>
        <v>685273.83</v>
      </c>
      <c r="E11" s="550">
        <f t="shared" si="2"/>
        <v>166172511.23999989</v>
      </c>
      <c r="F11" s="550">
        <f>+'JULIO 2019'!L3</f>
        <v>1199652379.3099999</v>
      </c>
      <c r="G11" s="550">
        <f>+'JULIO 2019'!M3</f>
        <v>996262227.47000003</v>
      </c>
    </row>
    <row r="12" spans="1:13" x14ac:dyDescent="0.25">
      <c r="A12" s="204" t="s">
        <v>747</v>
      </c>
      <c r="B12" s="550" t="e">
        <f t="shared" si="1"/>
        <v>#N/A</v>
      </c>
      <c r="C12" s="551" t="e">
        <f t="shared" si="0"/>
        <v>#N/A</v>
      </c>
      <c r="D12" s="550">
        <f>+AGOST!J3</f>
        <v>7833500.1299999999</v>
      </c>
      <c r="E12" s="550">
        <f t="shared" si="2"/>
        <v>156672485.29999995</v>
      </c>
      <c r="F12" s="550">
        <f>+AGOST!L3</f>
        <v>1356324864.6099999</v>
      </c>
      <c r="G12" s="550">
        <f>+AGOST!M3</f>
        <v>916728348.88999999</v>
      </c>
    </row>
    <row r="13" spans="1:13" x14ac:dyDescent="0.25">
      <c r="A13" s="204" t="s">
        <v>748</v>
      </c>
      <c r="B13" s="550">
        <f>'SIGAF DIC 20'!K3-AGOST!K3</f>
        <v>439005951.36999989</v>
      </c>
      <c r="C13" s="551" t="e">
        <f t="shared" si="0"/>
        <v>#N/A</v>
      </c>
      <c r="D13" s="550">
        <f>+'SIGAF DIC 20'!J3</f>
        <v>0</v>
      </c>
      <c r="E13" s="550">
        <f t="shared" si="2"/>
        <v>440142574.5</v>
      </c>
      <c r="F13" s="550">
        <f>+'SIGAF DIC 20'!M3</f>
        <v>1796467439.1099999</v>
      </c>
      <c r="G13" s="550">
        <f>+'SIGAF DIC 20'!O3</f>
        <v>276843436.25999999</v>
      </c>
    </row>
    <row r="14" spans="1:13" x14ac:dyDescent="0.25">
      <c r="A14" s="552"/>
      <c r="B14" s="553" t="e">
        <f>SUM(B5:B13)</f>
        <v>#N/A</v>
      </c>
      <c r="C14" s="554"/>
      <c r="D14" s="553"/>
      <c r="E14" s="553">
        <f>SUM(E5:E13)</f>
        <v>1796467439.1099999</v>
      </c>
      <c r="F14" s="553"/>
      <c r="G14" s="555"/>
    </row>
    <row r="15" spans="1:13" hidden="1" x14ac:dyDescent="0.25">
      <c r="A15" s="645" t="s">
        <v>815</v>
      </c>
      <c r="B15" s="645"/>
      <c r="C15" s="556" t="e">
        <f>SUM(C5:C13)</f>
        <v>#N/A</v>
      </c>
      <c r="D15" s="557"/>
      <c r="E15" s="557"/>
      <c r="F15" s="556"/>
      <c r="G15" s="558"/>
      <c r="I15" s="645" t="s">
        <v>815</v>
      </c>
      <c r="J15" s="645"/>
      <c r="K15" s="556" t="e">
        <f>+B31/B19</f>
        <v>#N/A</v>
      </c>
      <c r="L15" s="557"/>
      <c r="M15" s="559"/>
    </row>
    <row r="16" spans="1:13" s="479" customFormat="1" x14ac:dyDescent="0.25">
      <c r="A16" s="560"/>
      <c r="B16" s="560"/>
      <c r="C16" s="561"/>
      <c r="D16" s="560"/>
      <c r="E16" s="560"/>
      <c r="F16" s="561"/>
      <c r="G16" s="561"/>
      <c r="I16" s="560"/>
      <c r="J16" s="560"/>
      <c r="K16" s="561"/>
      <c r="L16" s="560"/>
      <c r="M16" s="560"/>
    </row>
    <row r="17" spans="1:13" s="479" customFormat="1" x14ac:dyDescent="0.25">
      <c r="A17" s="560"/>
      <c r="B17" s="560"/>
      <c r="C17" s="561"/>
      <c r="D17" s="560"/>
      <c r="E17" s="560"/>
      <c r="F17" s="561"/>
      <c r="G17" s="561"/>
      <c r="I17" s="560"/>
      <c r="J17" s="560"/>
      <c r="K17" s="561"/>
      <c r="L17" s="560"/>
      <c r="M17" s="560"/>
    </row>
    <row r="18" spans="1:13" s="479" customFormat="1" ht="15.75" customHeight="1" x14ac:dyDescent="0.25">
      <c r="A18" s="629" t="s">
        <v>816</v>
      </c>
      <c r="B18" s="629"/>
      <c r="C18" s="629"/>
      <c r="D18" s="629"/>
      <c r="E18" s="629"/>
      <c r="F18" s="629"/>
      <c r="G18" s="629"/>
      <c r="I18" s="560"/>
      <c r="J18" s="560"/>
      <c r="K18" s="561"/>
      <c r="L18" s="560"/>
      <c r="M18" s="560"/>
    </row>
    <row r="19" spans="1:13" s="479" customFormat="1" ht="25.5" x14ac:dyDescent="0.25">
      <c r="A19" s="543" t="s">
        <v>3</v>
      </c>
      <c r="B19" s="544" t="e">
        <f>#N/A</f>
        <v>#N/A</v>
      </c>
      <c r="C19" s="545"/>
      <c r="D19" s="545"/>
      <c r="E19" s="545"/>
      <c r="F19" s="545"/>
      <c r="G19" s="545"/>
      <c r="I19" s="560"/>
      <c r="J19" s="560"/>
      <c r="K19" s="561"/>
      <c r="L19" s="560"/>
      <c r="M19" s="560"/>
    </row>
    <row r="20" spans="1:13" s="479" customFormat="1" ht="15" customHeight="1" x14ac:dyDescent="0.25">
      <c r="A20" s="643" t="s">
        <v>737</v>
      </c>
      <c r="B20" s="644" t="s">
        <v>812</v>
      </c>
      <c r="C20" s="505"/>
      <c r="D20" s="546"/>
      <c r="E20" s="546"/>
      <c r="F20" s="546"/>
      <c r="G20" s="547"/>
      <c r="I20" s="560"/>
      <c r="J20" s="560"/>
      <c r="K20" s="561"/>
      <c r="L20" s="560"/>
      <c r="M20" s="560"/>
    </row>
    <row r="21" spans="1:13" s="479" customFormat="1" ht="26.25" x14ac:dyDescent="0.25">
      <c r="A21" s="643"/>
      <c r="B21" s="644"/>
      <c r="C21" s="502"/>
      <c r="D21" s="548" t="s">
        <v>61</v>
      </c>
      <c r="E21" s="548" t="s">
        <v>813</v>
      </c>
      <c r="F21" s="548" t="s">
        <v>814</v>
      </c>
      <c r="G21" s="549" t="s">
        <v>733</v>
      </c>
      <c r="I21" s="560"/>
      <c r="J21" s="560"/>
      <c r="K21" s="561"/>
      <c r="L21" s="560"/>
      <c r="M21" s="560"/>
    </row>
    <row r="22" spans="1:13" s="479" customFormat="1" x14ac:dyDescent="0.25">
      <c r="A22" s="204" t="s">
        <v>740</v>
      </c>
      <c r="B22" s="550" t="e">
        <f>#N/A</f>
        <v>#N/A</v>
      </c>
      <c r="C22" s="551" t="e">
        <f t="shared" ref="C22:C30" si="3">B22/$B$19</f>
        <v>#N/A</v>
      </c>
      <c r="D22" s="550">
        <f>+'ENERO 2019'!J103</f>
        <v>0</v>
      </c>
      <c r="E22" s="550">
        <f>F22</f>
        <v>104553199.81999999</v>
      </c>
      <c r="F22" s="550">
        <f>+'ENERO 2019'!L103</f>
        <v>104553199.81999999</v>
      </c>
      <c r="G22" s="562">
        <f>+'ENERO 2019'!M103</f>
        <v>947517615.75</v>
      </c>
      <c r="I22" s="560"/>
      <c r="J22" s="560"/>
      <c r="K22" s="561"/>
      <c r="L22" s="560"/>
      <c r="M22" s="560"/>
    </row>
    <row r="23" spans="1:13" s="479" customFormat="1" x14ac:dyDescent="0.25">
      <c r="A23" s="204" t="s">
        <v>741</v>
      </c>
      <c r="B23" s="550" t="e">
        <f t="shared" ref="B23:B29" si="4">#N/A</f>
        <v>#N/A</v>
      </c>
      <c r="C23" s="551" t="e">
        <f t="shared" si="3"/>
        <v>#N/A</v>
      </c>
      <c r="D23" s="550">
        <f>+'FEBRERO 2019'!J103</f>
        <v>371426</v>
      </c>
      <c r="E23" s="550">
        <f>F23-E22</f>
        <v>77099348.24000001</v>
      </c>
      <c r="F23" s="550">
        <f>+'FEBRERO 2019'!L103</f>
        <v>181652548.06</v>
      </c>
      <c r="G23" s="562">
        <f>+'FEBRERO 2019'!M103</f>
        <v>889963800.52999997</v>
      </c>
      <c r="I23" s="560"/>
      <c r="J23" s="560"/>
      <c r="K23" s="561"/>
      <c r="L23" s="560"/>
      <c r="M23" s="560"/>
    </row>
    <row r="24" spans="1:13" s="479" customFormat="1" x14ac:dyDescent="0.25">
      <c r="A24" s="204" t="s">
        <v>742</v>
      </c>
      <c r="B24" s="550" t="e">
        <f t="shared" si="4"/>
        <v>#N/A</v>
      </c>
      <c r="C24" s="551" t="e">
        <f t="shared" si="3"/>
        <v>#N/A</v>
      </c>
      <c r="D24" s="550">
        <f>+'MARZO 2019'!J104</f>
        <v>760238.3</v>
      </c>
      <c r="E24" s="550">
        <f t="shared" ref="E24:E30" si="5">F24-F23</f>
        <v>66253609.729999989</v>
      </c>
      <c r="F24" s="550">
        <f>+'MARZO 2019'!L104</f>
        <v>247906157.78999999</v>
      </c>
      <c r="G24" s="562">
        <f>+'MARZO 2019'!M104</f>
        <v>839722204.02999997</v>
      </c>
      <c r="I24" s="560"/>
      <c r="J24" s="560"/>
      <c r="K24" s="561"/>
      <c r="L24" s="560"/>
      <c r="M24" s="560"/>
    </row>
    <row r="25" spans="1:13" s="479" customFormat="1" ht="18" customHeight="1" x14ac:dyDescent="0.25">
      <c r="A25" s="204" t="s">
        <v>743</v>
      </c>
      <c r="B25" s="550" t="e">
        <f t="shared" si="4"/>
        <v>#N/A</v>
      </c>
      <c r="C25" s="551" t="e">
        <f t="shared" si="3"/>
        <v>#N/A</v>
      </c>
      <c r="D25" s="550">
        <f>+'ABRIL 2019'!J104</f>
        <v>831845.77</v>
      </c>
      <c r="E25" s="550">
        <f t="shared" si="5"/>
        <v>80908484.430000037</v>
      </c>
      <c r="F25" s="550">
        <f>+'ABRIL 2019'!L104</f>
        <v>328814642.22000003</v>
      </c>
      <c r="G25" s="562">
        <f>+'ABRIL 2019'!M104</f>
        <v>744816209.62</v>
      </c>
      <c r="I25" s="560"/>
      <c r="J25" s="560"/>
      <c r="K25" s="561"/>
      <c r="L25" s="560"/>
      <c r="M25" s="560"/>
    </row>
    <row r="26" spans="1:13" s="479" customFormat="1" ht="18" customHeight="1" x14ac:dyDescent="0.25">
      <c r="A26" s="204" t="s">
        <v>744</v>
      </c>
      <c r="B26" s="550" t="e">
        <f t="shared" si="4"/>
        <v>#N/A</v>
      </c>
      <c r="C26" s="551" t="e">
        <f t="shared" si="3"/>
        <v>#N/A</v>
      </c>
      <c r="D26" s="550">
        <f>+'MAYO 2019'!J104</f>
        <v>659414.19999999995</v>
      </c>
      <c r="E26" s="550">
        <f t="shared" si="5"/>
        <v>76870830</v>
      </c>
      <c r="F26" s="550">
        <f>+'MAYO 2019'!L104</f>
        <v>405685472.22000003</v>
      </c>
      <c r="G26" s="562">
        <f>+'MAYO 2019'!M104</f>
        <v>698984049.37</v>
      </c>
      <c r="I26" s="560"/>
      <c r="J26" s="560"/>
      <c r="K26" s="561"/>
      <c r="L26" s="560"/>
      <c r="M26" s="560"/>
    </row>
    <row r="27" spans="1:13" s="479" customFormat="1" ht="18" customHeight="1" x14ac:dyDescent="0.25">
      <c r="A27" s="204" t="s">
        <v>745</v>
      </c>
      <c r="B27" s="550" t="e">
        <f t="shared" si="4"/>
        <v>#N/A</v>
      </c>
      <c r="C27" s="551" t="e">
        <f t="shared" si="3"/>
        <v>#N/A</v>
      </c>
      <c r="D27" s="550">
        <f>+'JUNIO 2019'!J104</f>
        <v>311100.45</v>
      </c>
      <c r="E27" s="550">
        <f t="shared" si="5"/>
        <v>75565024.579999983</v>
      </c>
      <c r="F27" s="550">
        <f>+'JUNIO 2019'!L104</f>
        <v>481250496.80000001</v>
      </c>
      <c r="G27" s="562">
        <f>+'JUNIO 2019'!M104</f>
        <v>637737818.38</v>
      </c>
      <c r="I27" s="560"/>
      <c r="J27" s="560"/>
      <c r="K27" s="561"/>
      <c r="L27" s="560"/>
      <c r="M27" s="560"/>
    </row>
    <row r="28" spans="1:13" s="479" customFormat="1" ht="18" customHeight="1" x14ac:dyDescent="0.25">
      <c r="A28" s="204" t="s">
        <v>746</v>
      </c>
      <c r="B28" s="550" t="e">
        <f t="shared" si="4"/>
        <v>#N/A</v>
      </c>
      <c r="C28" s="551" t="e">
        <f t="shared" si="3"/>
        <v>#N/A</v>
      </c>
      <c r="D28" s="550">
        <f>+'JULIO 2019'!J104</f>
        <v>0</v>
      </c>
      <c r="E28" s="550">
        <f t="shared" si="5"/>
        <v>74233566.119999945</v>
      </c>
      <c r="F28" s="550">
        <f>+'JULIO 2019'!L104</f>
        <v>555484062.91999996</v>
      </c>
      <c r="G28" s="562">
        <f>+'JULIO 2019'!M104</f>
        <v>572461715.64999998</v>
      </c>
      <c r="I28" s="560"/>
      <c r="J28" s="560"/>
      <c r="K28" s="561"/>
      <c r="L28" s="560"/>
      <c r="M28" s="560"/>
    </row>
    <row r="29" spans="1:13" s="479" customFormat="1" ht="18" customHeight="1" x14ac:dyDescent="0.25">
      <c r="A29" s="204" t="s">
        <v>747</v>
      </c>
      <c r="B29" s="550" t="e">
        <f t="shared" si="4"/>
        <v>#N/A</v>
      </c>
      <c r="C29" s="551" t="e">
        <f t="shared" si="3"/>
        <v>#N/A</v>
      </c>
      <c r="D29" s="550">
        <f>+AGOST!J104</f>
        <v>250540</v>
      </c>
      <c r="E29" s="550">
        <f t="shared" si="5"/>
        <v>67611779.560000062</v>
      </c>
      <c r="F29" s="550">
        <f>+AGOST!L104</f>
        <v>623095842.48000002</v>
      </c>
      <c r="G29" s="562">
        <f>+AGOST!M104</f>
        <v>506195878.05000001</v>
      </c>
      <c r="I29" s="560"/>
      <c r="J29" s="560"/>
      <c r="K29" s="561"/>
      <c r="L29" s="560"/>
      <c r="M29" s="560"/>
    </row>
    <row r="30" spans="1:13" s="479" customFormat="1" ht="18" customHeight="1" x14ac:dyDescent="0.25">
      <c r="A30" s="204" t="s">
        <v>748</v>
      </c>
      <c r="B30" s="550">
        <f>'SIGAF DIC 20'!K104-AGOST!K104</f>
        <v>-627838383.5</v>
      </c>
      <c r="C30" s="551" t="e">
        <f t="shared" si="3"/>
        <v>#N/A</v>
      </c>
      <c r="D30" s="550">
        <f>+'SIGAF DIC 20'!J104</f>
        <v>0</v>
      </c>
      <c r="E30" s="550">
        <f t="shared" si="5"/>
        <v>-622185512.64999998</v>
      </c>
      <c r="F30" s="550">
        <f>+'SIGAF DIC 20'!M104</f>
        <v>910329.83</v>
      </c>
      <c r="G30" s="562">
        <f>+'SIGAF DIC 20'!O104</f>
        <v>121254.85</v>
      </c>
      <c r="I30" s="560"/>
      <c r="J30" s="560"/>
      <c r="K30" s="561"/>
      <c r="L30" s="560"/>
      <c r="M30" s="560"/>
    </row>
    <row r="31" spans="1:13" s="479" customFormat="1" ht="18" customHeight="1" x14ac:dyDescent="0.25">
      <c r="A31" s="552"/>
      <c r="B31" s="563" t="e">
        <f>SUM(B22:B30)</f>
        <v>#N/A</v>
      </c>
      <c r="C31" s="564"/>
      <c r="D31" s="563"/>
      <c r="E31" s="563">
        <f>SUM(E22:E30)</f>
        <v>910329.83000004292</v>
      </c>
      <c r="F31" s="563"/>
      <c r="G31" s="565"/>
      <c r="I31" s="560"/>
      <c r="J31" s="560"/>
      <c r="K31" s="561"/>
      <c r="L31" s="560"/>
      <c r="M31" s="560"/>
    </row>
    <row r="32" spans="1:13" s="479" customFormat="1" x14ac:dyDescent="0.25">
      <c r="A32" s="560"/>
      <c r="B32" s="560"/>
      <c r="C32" s="561"/>
      <c r="D32" s="560"/>
      <c r="E32" s="560"/>
      <c r="F32" s="561"/>
      <c r="G32" s="561"/>
      <c r="I32" s="560"/>
      <c r="J32" s="560"/>
      <c r="K32" s="561"/>
      <c r="L32" s="560"/>
      <c r="M32" s="560"/>
    </row>
    <row r="34" spans="1:13" ht="15.75" customHeight="1" x14ac:dyDescent="0.25">
      <c r="A34" s="629" t="s">
        <v>817</v>
      </c>
      <c r="B34" s="629"/>
      <c r="C34" s="629"/>
      <c r="D34" s="629"/>
      <c r="E34" s="629"/>
      <c r="F34" s="629"/>
      <c r="G34" s="629"/>
    </row>
    <row r="35" spans="1:13" ht="25.5" x14ac:dyDescent="0.25">
      <c r="A35" s="543" t="s">
        <v>3</v>
      </c>
      <c r="B35" s="544" t="e">
        <f>#N/A</f>
        <v>#N/A</v>
      </c>
      <c r="C35" s="545"/>
      <c r="D35" s="545"/>
      <c r="E35" s="545"/>
      <c r="F35" s="545"/>
      <c r="G35" s="545"/>
    </row>
    <row r="36" spans="1:13" ht="15.75" customHeight="1" x14ac:dyDescent="0.25">
      <c r="A36" s="643" t="s">
        <v>737</v>
      </c>
      <c r="B36" s="644" t="s">
        <v>812</v>
      </c>
      <c r="C36" s="505"/>
      <c r="D36" s="546"/>
      <c r="E36" s="546"/>
      <c r="F36" s="546"/>
      <c r="G36" s="547"/>
    </row>
    <row r="37" spans="1:13" ht="26.25" x14ac:dyDescent="0.25">
      <c r="A37" s="643"/>
      <c r="B37" s="644"/>
      <c r="C37" s="502"/>
      <c r="D37" s="548" t="s">
        <v>61</v>
      </c>
      <c r="E37" s="548" t="s">
        <v>813</v>
      </c>
      <c r="F37" s="548" t="s">
        <v>814</v>
      </c>
      <c r="G37" s="549" t="s">
        <v>733</v>
      </c>
      <c r="J37" s="566"/>
    </row>
    <row r="38" spans="1:13" x14ac:dyDescent="0.25">
      <c r="A38" s="204" t="s">
        <v>740</v>
      </c>
      <c r="B38" s="550" t="e">
        <f>#N/A</f>
        <v>#N/A</v>
      </c>
      <c r="C38" s="551" t="e">
        <f t="shared" ref="C38:C46" si="6">B38/$B$35</f>
        <v>#N/A</v>
      </c>
      <c r="D38" s="550">
        <f>+'ENERO 2019'!J182</f>
        <v>26735455.469999999</v>
      </c>
      <c r="E38" s="550">
        <f>+F38</f>
        <v>1124680217.5599999</v>
      </c>
      <c r="F38" s="550">
        <f>+'ENERO 2019'!L182</f>
        <v>1124680217.5599999</v>
      </c>
      <c r="G38" s="550">
        <f>+'ENERO 2019'!M182</f>
        <v>8470542064.0299997</v>
      </c>
      <c r="J38" s="566"/>
    </row>
    <row r="39" spans="1:13" x14ac:dyDescent="0.25">
      <c r="A39" s="204" t="s">
        <v>741</v>
      </c>
      <c r="B39" s="550" t="e">
        <f t="shared" ref="B39:B45" si="7">#N/A</f>
        <v>#N/A</v>
      </c>
      <c r="C39" s="551" t="e">
        <f t="shared" si="6"/>
        <v>#N/A</v>
      </c>
      <c r="D39" s="550">
        <f>+'FEBRERO 2019'!J182</f>
        <v>15912467.449999999</v>
      </c>
      <c r="E39" s="550">
        <f t="shared" ref="E39:E46" si="8">F39-F38</f>
        <v>751566149.32000017</v>
      </c>
      <c r="F39" s="550">
        <f>+'FEBRERO 2019'!L182</f>
        <v>1876246366.8800001</v>
      </c>
      <c r="G39" s="550">
        <f>+'FEBRERO 2019'!M182</f>
        <v>7887821154.3800001</v>
      </c>
      <c r="J39" s="566"/>
    </row>
    <row r="40" spans="1:13" x14ac:dyDescent="0.25">
      <c r="A40" s="204" t="s">
        <v>742</v>
      </c>
      <c r="B40" s="550" t="e">
        <f t="shared" si="7"/>
        <v>#N/A</v>
      </c>
      <c r="C40" s="551" t="e">
        <f t="shared" si="6"/>
        <v>#N/A</v>
      </c>
      <c r="D40" s="550">
        <f>+'MARZO 2019'!J183</f>
        <v>5048142.54</v>
      </c>
      <c r="E40" s="550">
        <f t="shared" si="8"/>
        <v>754056791.94999981</v>
      </c>
      <c r="F40" s="550">
        <f>+'MARZO 2019'!L183</f>
        <v>2630303158.8299999</v>
      </c>
      <c r="G40" s="550">
        <f>+'MARZO 2019'!M183</f>
        <v>7341649809.8500004</v>
      </c>
      <c r="J40" s="566"/>
    </row>
    <row r="41" spans="1:13" x14ac:dyDescent="0.25">
      <c r="A41" s="204" t="s">
        <v>743</v>
      </c>
      <c r="B41" s="550" t="e">
        <f t="shared" si="7"/>
        <v>#N/A</v>
      </c>
      <c r="C41" s="551" t="e">
        <f t="shared" si="6"/>
        <v>#N/A</v>
      </c>
      <c r="D41" s="550">
        <f>+'ABRIL 2019'!J183</f>
        <v>6789084.2000000002</v>
      </c>
      <c r="E41" s="550">
        <f t="shared" si="8"/>
        <v>677442273.76000023</v>
      </c>
      <c r="F41" s="550">
        <f>+'ABRIL 2019'!L183</f>
        <v>3307745432.5900002</v>
      </c>
      <c r="G41" s="550">
        <f>+'ABRIL 2019'!M183</f>
        <v>6685332991.9399996</v>
      </c>
    </row>
    <row r="42" spans="1:13" x14ac:dyDescent="0.25">
      <c r="A42" s="204" t="s">
        <v>744</v>
      </c>
      <c r="B42" s="550" t="e">
        <f t="shared" si="7"/>
        <v>#N/A</v>
      </c>
      <c r="C42" s="551" t="e">
        <f t="shared" si="6"/>
        <v>#N/A</v>
      </c>
      <c r="D42" s="550">
        <f>+'MAYO 2019'!J183</f>
        <v>10448100.220000001</v>
      </c>
      <c r="E42" s="550">
        <f t="shared" si="8"/>
        <v>712338523.03999996</v>
      </c>
      <c r="F42" s="550">
        <f>+'MAYO 2019'!L183</f>
        <v>4020083955.6300001</v>
      </c>
      <c r="G42" s="550">
        <f>+'MAYO 2019'!M183</f>
        <v>6135953435.2799997</v>
      </c>
    </row>
    <row r="43" spans="1:13" x14ac:dyDescent="0.25">
      <c r="A43" s="204" t="s">
        <v>745</v>
      </c>
      <c r="B43" s="550" t="e">
        <f t="shared" si="7"/>
        <v>#N/A</v>
      </c>
      <c r="C43" s="551" t="e">
        <f t="shared" si="6"/>
        <v>#N/A</v>
      </c>
      <c r="D43" s="550">
        <f>+'JUNIO 2019'!J183</f>
        <v>8583941.0099999998</v>
      </c>
      <c r="E43" s="550">
        <f t="shared" si="8"/>
        <v>741813220.30000019</v>
      </c>
      <c r="F43" s="550">
        <f>+'JUNIO 2019'!L183</f>
        <v>4761897175.9300003</v>
      </c>
      <c r="G43" s="550">
        <f>+'JUNIO 2019'!M183</f>
        <v>5574807026.71</v>
      </c>
    </row>
    <row r="44" spans="1:13" x14ac:dyDescent="0.25">
      <c r="A44" s="204" t="s">
        <v>746</v>
      </c>
      <c r="B44" s="550" t="e">
        <f t="shared" si="7"/>
        <v>#N/A</v>
      </c>
      <c r="C44" s="551" t="e">
        <f t="shared" si="6"/>
        <v>#N/A</v>
      </c>
      <c r="D44" s="550">
        <f>+'JULIO 2019'!J183</f>
        <v>34696035.859999999</v>
      </c>
      <c r="E44" s="550">
        <f t="shared" si="8"/>
        <v>688441383.64999962</v>
      </c>
      <c r="F44" s="550">
        <f>+'JULIO 2019'!L183</f>
        <v>5450338559.5799999</v>
      </c>
      <c r="G44" s="550">
        <f>+'JULIO 2019'!M183</f>
        <v>4911602676.4200001</v>
      </c>
    </row>
    <row r="45" spans="1:13" x14ac:dyDescent="0.25">
      <c r="A45" s="204" t="s">
        <v>747</v>
      </c>
      <c r="B45" s="550" t="e">
        <f t="shared" si="7"/>
        <v>#N/A</v>
      </c>
      <c r="C45" s="551" t="e">
        <f t="shared" si="6"/>
        <v>#N/A</v>
      </c>
      <c r="D45" s="550">
        <f>+AGOST!J183</f>
        <v>10791848.289999999</v>
      </c>
      <c r="E45" s="550">
        <f t="shared" si="8"/>
        <v>768915506.94999981</v>
      </c>
      <c r="F45" s="550">
        <f>+AGOST!L183</f>
        <v>6219254066.5299997</v>
      </c>
      <c r="G45" s="550">
        <f>+AGOST!M183</f>
        <v>4249128753.0799999</v>
      </c>
    </row>
    <row r="46" spans="1:13" x14ac:dyDescent="0.25">
      <c r="A46" s="204" t="s">
        <v>748</v>
      </c>
      <c r="B46" s="550">
        <f>+'SIGAF DIC 20'!K183-AGOST!K183</f>
        <v>-6223835579.0500002</v>
      </c>
      <c r="C46" s="551" t="e">
        <f t="shared" si="6"/>
        <v>#N/A</v>
      </c>
      <c r="D46" s="550">
        <f>+'SIGAF DIC 20'!J183</f>
        <v>0</v>
      </c>
      <c r="E46" s="550">
        <f t="shared" si="8"/>
        <v>-6219254066.5299997</v>
      </c>
      <c r="F46" s="550">
        <f>+'SIGAF DIC 20'!M183</f>
        <v>0</v>
      </c>
      <c r="G46" s="550">
        <f>+'SIGAF DIC 20'!O183</f>
        <v>2000000</v>
      </c>
    </row>
    <row r="47" spans="1:13" x14ac:dyDescent="0.25">
      <c r="A47" s="552"/>
      <c r="B47" s="563" t="e">
        <f>SUM(B38:B46)</f>
        <v>#N/A</v>
      </c>
      <c r="C47" s="564"/>
      <c r="D47" s="563"/>
      <c r="E47" s="563">
        <f>SUM(E38:E46)</f>
        <v>0</v>
      </c>
      <c r="F47" s="563"/>
      <c r="G47" s="565"/>
    </row>
    <row r="48" spans="1:13" ht="15.75" hidden="1" customHeight="1" x14ac:dyDescent="0.25">
      <c r="A48" s="645" t="s">
        <v>815</v>
      </c>
      <c r="B48" s="645"/>
      <c r="C48" s="556" t="e">
        <f>SUM(C38:C46)</f>
        <v>#N/A</v>
      </c>
      <c r="D48" s="557"/>
      <c r="E48" s="557"/>
      <c r="F48" s="559"/>
      <c r="G48" s="567"/>
      <c r="I48" s="646" t="s">
        <v>815</v>
      </c>
      <c r="J48" s="646"/>
      <c r="K48" s="556" t="e">
        <f>SUM(C54:C62)</f>
        <v>#N/A</v>
      </c>
      <c r="L48" s="568"/>
      <c r="M48" s="569"/>
    </row>
    <row r="49" spans="1:7" ht="18.75" customHeight="1" x14ac:dyDescent="0.25"/>
    <row r="50" spans="1:7" ht="15.75" customHeight="1" x14ac:dyDescent="0.25">
      <c r="A50" s="629" t="s">
        <v>818</v>
      </c>
      <c r="B50" s="629"/>
      <c r="C50" s="629"/>
      <c r="D50" s="629"/>
      <c r="E50" s="629"/>
      <c r="F50" s="629"/>
      <c r="G50" s="629"/>
    </row>
    <row r="51" spans="1:7" ht="25.5" x14ac:dyDescent="0.25">
      <c r="A51" s="570" t="s">
        <v>3</v>
      </c>
      <c r="B51" s="571" t="e">
        <f>#N/A</f>
        <v>#N/A</v>
      </c>
      <c r="C51" s="545"/>
      <c r="D51" s="545"/>
      <c r="E51" s="545"/>
      <c r="F51" s="545"/>
      <c r="G51" s="545"/>
    </row>
    <row r="52" spans="1:7" ht="15" customHeight="1" x14ac:dyDescent="0.25">
      <c r="A52" s="643" t="s">
        <v>737</v>
      </c>
      <c r="B52" s="644" t="s">
        <v>812</v>
      </c>
      <c r="C52" s="505"/>
      <c r="D52" s="546"/>
      <c r="E52" s="546"/>
      <c r="F52" s="546"/>
      <c r="G52" s="547"/>
    </row>
    <row r="53" spans="1:7" ht="26.25" x14ac:dyDescent="0.25">
      <c r="A53" s="643"/>
      <c r="B53" s="644"/>
      <c r="C53" s="502"/>
      <c r="D53" s="548" t="s">
        <v>61</v>
      </c>
      <c r="E53" s="548" t="s">
        <v>813</v>
      </c>
      <c r="F53" s="548" t="s">
        <v>814</v>
      </c>
      <c r="G53" s="549" t="s">
        <v>733</v>
      </c>
    </row>
    <row r="54" spans="1:7" x14ac:dyDescent="0.25">
      <c r="A54" s="204" t="s">
        <v>740</v>
      </c>
      <c r="B54" s="550" t="e">
        <f>#N/A</f>
        <v>#N/A</v>
      </c>
      <c r="C54" s="551" t="e">
        <f t="shared" ref="C54:C62" si="9">B54/$B$51</f>
        <v>#N/A</v>
      </c>
      <c r="D54" s="550">
        <f>+'ENERO 2019'!J291</f>
        <v>308247108.77999997</v>
      </c>
      <c r="E54" s="550">
        <f>+F54</f>
        <v>8754246747.2600002</v>
      </c>
      <c r="F54" s="550">
        <f>+'ENERO 2019'!L291</f>
        <v>8754246747.2600002</v>
      </c>
      <c r="G54" s="562">
        <f>+'ENERO 2019'!M291</f>
        <v>78601118134.449997</v>
      </c>
    </row>
    <row r="55" spans="1:7" x14ac:dyDescent="0.25">
      <c r="A55" s="204" t="s">
        <v>741</v>
      </c>
      <c r="B55" s="550" t="e">
        <f t="shared" ref="B55:B61" si="10">#N/A</f>
        <v>#N/A</v>
      </c>
      <c r="C55" s="551" t="e">
        <f t="shared" si="9"/>
        <v>#N/A</v>
      </c>
      <c r="D55" s="550">
        <f>+'FEBRERO 2019'!J291</f>
        <v>165605428.21000001</v>
      </c>
      <c r="E55" s="550">
        <f t="shared" ref="E55:E62" si="11">F55-F54</f>
        <v>6886601150.3400002</v>
      </c>
      <c r="F55" s="550">
        <f>+'FEBRERO 2019'!L291</f>
        <v>15640847897.6</v>
      </c>
      <c r="G55" s="562">
        <f>+'FEBRERO 2019'!M291</f>
        <v>74115647653.570007</v>
      </c>
    </row>
    <row r="56" spans="1:7" x14ac:dyDescent="0.25">
      <c r="A56" s="204" t="s">
        <v>742</v>
      </c>
      <c r="B56" s="572" t="e">
        <f t="shared" si="10"/>
        <v>#N/A</v>
      </c>
      <c r="C56" s="551" t="e">
        <f t="shared" si="9"/>
        <v>#N/A</v>
      </c>
      <c r="D56" s="572">
        <f>+'MARZO 2019'!J292</f>
        <v>256926796.47</v>
      </c>
      <c r="E56" s="572">
        <f t="shared" si="11"/>
        <v>7013525292.1999989</v>
      </c>
      <c r="F56" s="572">
        <f>+'MARZO 2019'!L292</f>
        <v>22654373189.799999</v>
      </c>
      <c r="G56" s="562">
        <f>+'MARZO 2019'!M292</f>
        <v>76089922383.940002</v>
      </c>
    </row>
    <row r="57" spans="1:7" x14ac:dyDescent="0.25">
      <c r="A57" s="204" t="s">
        <v>743</v>
      </c>
      <c r="B57" s="550" t="e">
        <f t="shared" si="10"/>
        <v>#N/A</v>
      </c>
      <c r="C57" s="551" t="e">
        <f t="shared" si="9"/>
        <v>#N/A</v>
      </c>
      <c r="D57" s="550">
        <f>+'ABRIL 2019'!J292</f>
        <v>204626191.80000001</v>
      </c>
      <c r="E57" s="550">
        <f t="shared" si="11"/>
        <v>5783185903.2200012</v>
      </c>
      <c r="F57" s="550">
        <f>+'ABRIL 2019'!L292</f>
        <v>28437559093.02</v>
      </c>
      <c r="G57" s="562">
        <f>+'ABRIL 2019'!M292</f>
        <v>67613918128.610001</v>
      </c>
    </row>
    <row r="58" spans="1:7" x14ac:dyDescent="0.25">
      <c r="A58" s="204" t="s">
        <v>744</v>
      </c>
      <c r="B58" s="550" t="e">
        <f t="shared" si="10"/>
        <v>#N/A</v>
      </c>
      <c r="C58" s="551" t="e">
        <f t="shared" si="9"/>
        <v>#N/A</v>
      </c>
      <c r="D58" s="550">
        <f>+'MAYO 2019'!J292</f>
        <v>478752079.41000003</v>
      </c>
      <c r="E58" s="550">
        <f t="shared" si="11"/>
        <v>7579913881.1400032</v>
      </c>
      <c r="F58" s="550">
        <f>+'MAYO 2019'!L292</f>
        <v>36017472974.160004</v>
      </c>
      <c r="G58" s="562">
        <f>+'MAYO 2019'!M292</f>
        <v>61734871288.629997</v>
      </c>
    </row>
    <row r="59" spans="1:7" x14ac:dyDescent="0.25">
      <c r="A59" s="204" t="s">
        <v>745</v>
      </c>
      <c r="B59" s="550" t="e">
        <f t="shared" si="10"/>
        <v>#N/A</v>
      </c>
      <c r="C59" s="551" t="e">
        <f t="shared" si="9"/>
        <v>#N/A</v>
      </c>
      <c r="D59" s="550">
        <f>+'JUNIO 2019'!J293</f>
        <v>401776419.77999997</v>
      </c>
      <c r="E59" s="550">
        <f t="shared" si="11"/>
        <v>7919162250.8099976</v>
      </c>
      <c r="F59" s="550">
        <f>+'JUNIO 2019'!L293</f>
        <v>43936635224.970001</v>
      </c>
      <c r="G59" s="562">
        <f>+'JUNIO 2019'!M293</f>
        <v>56674783767.239998</v>
      </c>
    </row>
    <row r="60" spans="1:7" x14ac:dyDescent="0.25">
      <c r="A60" s="204" t="s">
        <v>746</v>
      </c>
      <c r="B60" s="550" t="e">
        <f t="shared" si="10"/>
        <v>#N/A</v>
      </c>
      <c r="C60" s="551" t="e">
        <f t="shared" si="9"/>
        <v>#N/A</v>
      </c>
      <c r="D60" s="550">
        <f>+'JULIO 2019'!J293</f>
        <v>320483196.42000002</v>
      </c>
      <c r="E60" s="550">
        <f t="shared" si="11"/>
        <v>5458800643.0400009</v>
      </c>
      <c r="F60" s="550">
        <f>+'JULIO 2019'!L293</f>
        <v>49395435868.010002</v>
      </c>
      <c r="G60" s="562">
        <f>+'JULIO 2019'!M293</f>
        <v>44177342248.57</v>
      </c>
    </row>
    <row r="61" spans="1:7" x14ac:dyDescent="0.25">
      <c r="A61" s="204" t="s">
        <v>747</v>
      </c>
      <c r="B61" s="550" t="e">
        <f t="shared" si="10"/>
        <v>#N/A</v>
      </c>
      <c r="C61" s="551" t="e">
        <f t="shared" si="9"/>
        <v>#N/A</v>
      </c>
      <c r="D61" s="550">
        <f>+AGOST!J293</f>
        <v>475211326.99000001</v>
      </c>
      <c r="E61" s="550">
        <f t="shared" si="11"/>
        <v>14719582194.089996</v>
      </c>
      <c r="F61" s="550">
        <f>+AGOST!L293</f>
        <v>64115018062.099998</v>
      </c>
      <c r="G61" s="562">
        <f>+AGOST!M293</f>
        <v>34706944237.760002</v>
      </c>
    </row>
    <row r="62" spans="1:7" x14ac:dyDescent="0.25">
      <c r="A62" s="204" t="s">
        <v>748</v>
      </c>
      <c r="B62" s="550">
        <f>+'SIGAF DIC 20'!K293-AGOST!K293</f>
        <v>-63135825809.870003</v>
      </c>
      <c r="C62" s="551" t="e">
        <f t="shared" si="9"/>
        <v>#N/A</v>
      </c>
      <c r="D62" s="550">
        <f>+'SIGAF DIC 20'!J293</f>
        <v>0</v>
      </c>
      <c r="E62" s="550">
        <f t="shared" si="11"/>
        <v>-62912324929.099998</v>
      </c>
      <c r="F62" s="550">
        <f>+'SIGAF DIC 20'!M293</f>
        <v>1202693133</v>
      </c>
      <c r="G62" s="562">
        <f>+'SIGAF DIC 20'!O293</f>
        <v>36218852</v>
      </c>
    </row>
    <row r="63" spans="1:7" x14ac:dyDescent="0.25">
      <c r="A63" s="552"/>
      <c r="B63" s="563" t="e">
        <f>SUM(B54:B62)</f>
        <v>#N/A</v>
      </c>
      <c r="C63" s="564"/>
      <c r="D63" s="563"/>
      <c r="E63" s="563">
        <f>SUM(E54:E62)</f>
        <v>1202693133</v>
      </c>
      <c r="F63" s="563"/>
      <c r="G63" s="565"/>
    </row>
    <row r="65" spans="1:10" ht="26.25" customHeight="1" x14ac:dyDescent="0.25">
      <c r="A65" s="629" t="s">
        <v>819</v>
      </c>
      <c r="B65" s="629"/>
      <c r="C65" s="629"/>
      <c r="D65" s="629"/>
      <c r="E65" s="629"/>
      <c r="F65" s="629"/>
      <c r="G65" s="629"/>
    </row>
    <row r="66" spans="1:10" ht="26.25" customHeight="1" x14ac:dyDescent="0.25">
      <c r="A66" s="543" t="s">
        <v>3</v>
      </c>
      <c r="B66" s="544" t="e">
        <f>#N/A</f>
        <v>#N/A</v>
      </c>
      <c r="C66" s="545"/>
      <c r="D66" s="545"/>
      <c r="E66" s="545"/>
      <c r="F66" s="545"/>
      <c r="G66" s="545"/>
      <c r="J66" s="566"/>
    </row>
    <row r="67" spans="1:10" ht="15" customHeight="1" x14ac:dyDescent="0.25">
      <c r="A67" s="643" t="s">
        <v>737</v>
      </c>
      <c r="B67" s="644" t="s">
        <v>820</v>
      </c>
      <c r="C67" s="505"/>
      <c r="D67" s="546"/>
      <c r="E67" s="546"/>
      <c r="F67" s="546"/>
      <c r="G67" s="547"/>
    </row>
    <row r="68" spans="1:10" ht="39" x14ac:dyDescent="0.25">
      <c r="A68" s="643"/>
      <c r="B68" s="644"/>
      <c r="C68" s="502"/>
      <c r="D68" s="548" t="s">
        <v>821</v>
      </c>
      <c r="E68" s="548" t="s">
        <v>813</v>
      </c>
      <c r="F68" s="548" t="s">
        <v>814</v>
      </c>
      <c r="G68" s="549" t="s">
        <v>822</v>
      </c>
    </row>
    <row r="69" spans="1:10" x14ac:dyDescent="0.25">
      <c r="A69" s="204" t="s">
        <v>740</v>
      </c>
      <c r="B69" s="550" t="e">
        <f>#N/A</f>
        <v>#N/A</v>
      </c>
      <c r="C69" s="551" t="e">
        <f t="shared" ref="C69:C77" si="12">B69/$B$66</f>
        <v>#N/A</v>
      </c>
      <c r="D69" s="550">
        <f>+'ENERO 2019'!J420</f>
        <v>0</v>
      </c>
      <c r="E69" s="550">
        <f>+F69</f>
        <v>1629058459.9300001</v>
      </c>
      <c r="F69" s="550">
        <f>+'ENERO 2019'!L420</f>
        <v>1629058459.9300001</v>
      </c>
      <c r="G69" s="550">
        <f>+'ENERO 2019'!M420</f>
        <v>10036566009.860001</v>
      </c>
      <c r="I69" s="566"/>
      <c r="J69" s="573"/>
    </row>
    <row r="70" spans="1:10" x14ac:dyDescent="0.25">
      <c r="A70" s="204" t="s">
        <v>741</v>
      </c>
      <c r="B70" s="550" t="e">
        <f t="shared" ref="B70:B76" si="13">#N/A</f>
        <v>#N/A</v>
      </c>
      <c r="C70" s="551" t="e">
        <f t="shared" si="12"/>
        <v>#N/A</v>
      </c>
      <c r="D70" s="550">
        <f>+'FEBRERO 2019'!J420</f>
        <v>0</v>
      </c>
      <c r="E70" s="550">
        <f t="shared" ref="E70:E77" si="14">F70-F69</f>
        <v>1071667136.03</v>
      </c>
      <c r="F70" s="550">
        <f>+'FEBRERO 2019'!L420</f>
        <v>2700725595.96</v>
      </c>
      <c r="G70" s="550">
        <f>+'FEBRERO 2019'!M420</f>
        <v>9298691192.0200005</v>
      </c>
    </row>
    <row r="71" spans="1:10" x14ac:dyDescent="0.25">
      <c r="A71" s="204" t="s">
        <v>742</v>
      </c>
      <c r="B71" s="550" t="e">
        <f t="shared" si="13"/>
        <v>#N/A</v>
      </c>
      <c r="C71" s="551" t="e">
        <f t="shared" si="12"/>
        <v>#N/A</v>
      </c>
      <c r="D71" s="550">
        <f>+'MARZO 2019'!J424</f>
        <v>0</v>
      </c>
      <c r="E71" s="550">
        <f t="shared" si="14"/>
        <v>888233377.96000004</v>
      </c>
      <c r="F71" s="550">
        <f>+'MARZO 2019'!L424</f>
        <v>3588958973.9200001</v>
      </c>
      <c r="G71" s="550">
        <f>+'MARZO 2019'!M424</f>
        <v>8564339048.29</v>
      </c>
    </row>
    <row r="72" spans="1:10" x14ac:dyDescent="0.25">
      <c r="A72" s="204" t="s">
        <v>743</v>
      </c>
      <c r="B72" s="550" t="e">
        <f t="shared" si="13"/>
        <v>#N/A</v>
      </c>
      <c r="C72" s="551" t="e">
        <f t="shared" si="12"/>
        <v>#N/A</v>
      </c>
      <c r="D72" s="550">
        <f>+'ABRIL 2019'!J424</f>
        <v>0</v>
      </c>
      <c r="E72" s="550">
        <f t="shared" si="14"/>
        <v>888276531.60000038</v>
      </c>
      <c r="F72" s="550">
        <f>+'ABRIL 2019'!L424</f>
        <v>4477235505.5200005</v>
      </c>
      <c r="G72" s="550">
        <f>+'ABRIL 2019'!M424</f>
        <v>7763445183.7299995</v>
      </c>
    </row>
    <row r="73" spans="1:10" x14ac:dyDescent="0.25">
      <c r="A73" s="204" t="s">
        <v>744</v>
      </c>
      <c r="B73" s="550" t="e">
        <f t="shared" si="13"/>
        <v>#N/A</v>
      </c>
      <c r="C73" s="551" t="e">
        <f t="shared" si="12"/>
        <v>#N/A</v>
      </c>
      <c r="D73" s="550">
        <f>+'MAYO 2019'!J424</f>
        <v>0</v>
      </c>
      <c r="E73" s="550">
        <f t="shared" si="14"/>
        <v>904783006.15999985</v>
      </c>
      <c r="F73" s="550">
        <f>+'MAYO 2019'!L424</f>
        <v>5382018511.6800003</v>
      </c>
      <c r="G73" s="550">
        <f>+'MAYO 2019'!M424</f>
        <v>7032657413.7299995</v>
      </c>
    </row>
    <row r="74" spans="1:10" x14ac:dyDescent="0.25">
      <c r="A74" s="204" t="s">
        <v>745</v>
      </c>
      <c r="B74" s="550" t="e">
        <f t="shared" si="13"/>
        <v>#N/A</v>
      </c>
      <c r="C74" s="551" t="e">
        <f t="shared" si="12"/>
        <v>#N/A</v>
      </c>
      <c r="D74" s="550">
        <f>+'JUNIO 2019'!J426</f>
        <v>0</v>
      </c>
      <c r="E74" s="550">
        <f t="shared" si="14"/>
        <v>900957334.67999935</v>
      </c>
      <c r="F74" s="550">
        <f>+'JUNIO 2019'!L426</f>
        <v>6282975846.3599997</v>
      </c>
      <c r="G74" s="550">
        <f>+'JUNIO 2019'!M426</f>
        <v>6310549122.8000002</v>
      </c>
    </row>
    <row r="75" spans="1:10" x14ac:dyDescent="0.25">
      <c r="A75" s="204" t="s">
        <v>746</v>
      </c>
      <c r="B75" s="550" t="e">
        <f t="shared" si="13"/>
        <v>#N/A</v>
      </c>
      <c r="C75" s="551" t="e">
        <f t="shared" si="12"/>
        <v>#N/A</v>
      </c>
      <c r="D75" s="550">
        <f>+'JULIO 2019'!J426</f>
        <v>0</v>
      </c>
      <c r="E75" s="550">
        <f t="shared" si="14"/>
        <v>926475617.75</v>
      </c>
      <c r="F75" s="550">
        <f>+'JULIO 2019'!L426</f>
        <v>7209451464.1099997</v>
      </c>
      <c r="G75" s="550">
        <f>+'JULIO 2019'!M426</f>
        <v>5501788490.1499996</v>
      </c>
    </row>
    <row r="76" spans="1:10" ht="15.75" customHeight="1" x14ac:dyDescent="0.25">
      <c r="A76" s="204" t="s">
        <v>747</v>
      </c>
      <c r="B76" s="550" t="e">
        <f t="shared" si="13"/>
        <v>#N/A</v>
      </c>
      <c r="C76" s="551" t="e">
        <f t="shared" si="12"/>
        <v>#N/A</v>
      </c>
      <c r="D76" s="550">
        <f>+AGOST!J426</f>
        <v>0</v>
      </c>
      <c r="E76" s="550">
        <f t="shared" si="14"/>
        <v>895828127.88000011</v>
      </c>
      <c r="F76" s="550">
        <f>+AGOST!L426</f>
        <v>8105279591.9899998</v>
      </c>
      <c r="G76" s="550">
        <f>+AGOST!M426</f>
        <v>4749481243.6800003</v>
      </c>
    </row>
    <row r="77" spans="1:10" x14ac:dyDescent="0.25">
      <c r="A77" s="204" t="s">
        <v>748</v>
      </c>
      <c r="B77" s="550">
        <f>+'SIGAF DIC 20'!K427-AGOST!K426</f>
        <v>-8128774917.3100004</v>
      </c>
      <c r="C77" s="551" t="e">
        <f t="shared" si="12"/>
        <v>#N/A</v>
      </c>
      <c r="D77" s="550">
        <f>+'SIGAF DIC 20'!J427</f>
        <v>0</v>
      </c>
      <c r="E77" s="550">
        <f t="shared" si="14"/>
        <v>-8105279591.9899998</v>
      </c>
      <c r="F77" s="550">
        <f>+'SIGAF DIC 20'!M427</f>
        <v>0</v>
      </c>
      <c r="G77" s="550">
        <f>+'SIGAF DIC 20'!O427</f>
        <v>0</v>
      </c>
      <c r="I77" s="566"/>
    </row>
    <row r="78" spans="1:10" ht="28.5" customHeight="1" x14ac:dyDescent="0.25">
      <c r="A78" s="574"/>
      <c r="B78" s="575" t="e">
        <f>SUM(B69:B77)</f>
        <v>#N/A</v>
      </c>
      <c r="C78" s="575"/>
      <c r="D78" s="575"/>
      <c r="E78" s="575">
        <f>SUM(E69:E77)</f>
        <v>0</v>
      </c>
      <c r="F78" s="575"/>
      <c r="G78" s="576"/>
      <c r="J78" s="573"/>
    </row>
    <row r="79" spans="1:10" hidden="1" x14ac:dyDescent="0.25">
      <c r="A79" s="645" t="s">
        <v>815</v>
      </c>
      <c r="B79" s="645"/>
      <c r="C79" s="556" t="e">
        <f>SUM(C69:C77)</f>
        <v>#N/A</v>
      </c>
      <c r="D79" s="557"/>
      <c r="E79" s="557"/>
      <c r="F79" s="559"/>
      <c r="G79" s="567"/>
    </row>
    <row r="81" spans="2:10" hidden="1" x14ac:dyDescent="0.25"/>
    <row r="82" spans="2:10" hidden="1" x14ac:dyDescent="0.25"/>
    <row r="83" spans="2:10" hidden="1" x14ac:dyDescent="0.25"/>
    <row r="84" spans="2:10" hidden="1" x14ac:dyDescent="0.25"/>
    <row r="85" spans="2:10" hidden="1" x14ac:dyDescent="0.25">
      <c r="B85" s="566" t="e">
        <f t="shared" ref="B85:B94" si="15">B5+B22+B38+B54+B69</f>
        <v>#N/A</v>
      </c>
    </row>
    <row r="86" spans="2:10" hidden="1" x14ac:dyDescent="0.25">
      <c r="B86" s="566" t="e">
        <f t="shared" si="15"/>
        <v>#N/A</v>
      </c>
      <c r="J86" s="566"/>
    </row>
    <row r="87" spans="2:10" ht="15.75" hidden="1" customHeight="1" x14ac:dyDescent="0.25">
      <c r="B87" s="566" t="e">
        <f t="shared" si="15"/>
        <v>#N/A</v>
      </c>
    </row>
    <row r="88" spans="2:10" hidden="1" x14ac:dyDescent="0.25">
      <c r="B88" s="566" t="e">
        <f t="shared" si="15"/>
        <v>#N/A</v>
      </c>
    </row>
    <row r="89" spans="2:10" ht="15.75" hidden="1" customHeight="1" x14ac:dyDescent="0.25">
      <c r="B89" s="566" t="e">
        <f t="shared" si="15"/>
        <v>#N/A</v>
      </c>
    </row>
    <row r="90" spans="2:10" hidden="1" x14ac:dyDescent="0.25">
      <c r="B90" s="566" t="e">
        <f t="shared" si="15"/>
        <v>#N/A</v>
      </c>
      <c r="J90" s="566"/>
    </row>
    <row r="91" spans="2:10" hidden="1" x14ac:dyDescent="0.25">
      <c r="B91" s="566" t="e">
        <f t="shared" si="15"/>
        <v>#N/A</v>
      </c>
    </row>
    <row r="92" spans="2:10" hidden="1" x14ac:dyDescent="0.25">
      <c r="B92" s="566" t="e">
        <f t="shared" si="15"/>
        <v>#N/A</v>
      </c>
    </row>
    <row r="93" spans="2:10" hidden="1" x14ac:dyDescent="0.25">
      <c r="B93" s="566">
        <f t="shared" si="15"/>
        <v>-77677268738.360001</v>
      </c>
    </row>
    <row r="94" spans="2:10" hidden="1" x14ac:dyDescent="0.25">
      <c r="B94" s="566" t="e">
        <f t="shared" si="15"/>
        <v>#N/A</v>
      </c>
    </row>
    <row r="95" spans="2:10" x14ac:dyDescent="0.25">
      <c r="J95" s="573"/>
    </row>
    <row r="106" spans="1:10" x14ac:dyDescent="0.25">
      <c r="J106" s="566"/>
    </row>
    <row r="107" spans="1:10" x14ac:dyDescent="0.25">
      <c r="J107" s="566"/>
    </row>
    <row r="108" spans="1:10" x14ac:dyDescent="0.25">
      <c r="J108" s="566"/>
    </row>
    <row r="109" spans="1:10" x14ac:dyDescent="0.25">
      <c r="J109" s="566"/>
    </row>
    <row r="110" spans="1:10" x14ac:dyDescent="0.25">
      <c r="J110" s="566"/>
    </row>
    <row r="111" spans="1:10" ht="15.75" customHeight="1" x14ac:dyDescent="0.25">
      <c r="A111" s="647" t="s">
        <v>823</v>
      </c>
      <c r="B111" s="647"/>
      <c r="C111" s="647"/>
      <c r="D111" s="647"/>
      <c r="E111" s="647"/>
      <c r="F111" s="647"/>
      <c r="G111" s="647"/>
    </row>
    <row r="112" spans="1:10" x14ac:dyDescent="0.25">
      <c r="A112" s="577" t="s">
        <v>737</v>
      </c>
      <c r="B112" s="578" t="s">
        <v>824</v>
      </c>
      <c r="F112" s="578" t="s">
        <v>737</v>
      </c>
      <c r="G112" s="578" t="s">
        <v>825</v>
      </c>
      <c r="I112" s="579"/>
      <c r="J112" s="579"/>
    </row>
    <row r="113" spans="1:13" x14ac:dyDescent="0.25">
      <c r="A113" s="580" t="s">
        <v>740</v>
      </c>
      <c r="B113" s="581">
        <f t="shared" ref="B113:B121" si="16">F5+F22+F38+F54+F69</f>
        <v>11839559186.52</v>
      </c>
      <c r="F113" s="582" t="s">
        <v>740</v>
      </c>
      <c r="G113" s="581" t="e">
        <f>SUM(B85)</f>
        <v>#N/A</v>
      </c>
      <c r="I113" s="205"/>
      <c r="J113" s="583"/>
    </row>
    <row r="114" spans="1:13" x14ac:dyDescent="0.25">
      <c r="A114" s="580" t="s">
        <v>741</v>
      </c>
      <c r="B114" s="584">
        <f t="shared" si="16"/>
        <v>20780694020.18</v>
      </c>
      <c r="F114" s="580" t="s">
        <v>741</v>
      </c>
      <c r="G114" s="584" t="e">
        <f>SUM(B85:B86)</f>
        <v>#N/A</v>
      </c>
      <c r="I114" s="205"/>
      <c r="J114" s="583"/>
    </row>
    <row r="115" spans="1:13" x14ac:dyDescent="0.25">
      <c r="A115" s="580" t="s">
        <v>742</v>
      </c>
      <c r="B115" s="584">
        <f t="shared" si="16"/>
        <v>29646745038.5</v>
      </c>
      <c r="F115" s="580" t="s">
        <v>742</v>
      </c>
      <c r="G115" s="584" t="e">
        <f>SUM(B85:B87)</f>
        <v>#N/A</v>
      </c>
      <c r="I115" s="205"/>
      <c r="J115" s="583"/>
      <c r="M115" s="566"/>
    </row>
    <row r="116" spans="1:13" ht="15.75" customHeight="1" x14ac:dyDescent="0.25">
      <c r="A116" s="580" t="s">
        <v>743</v>
      </c>
      <c r="B116" s="584">
        <f t="shared" si="16"/>
        <v>37241467469.910004</v>
      </c>
      <c r="F116" s="580" t="s">
        <v>743</v>
      </c>
      <c r="G116" s="584" t="e">
        <f>SUM(B85:B88)</f>
        <v>#N/A</v>
      </c>
      <c r="I116" s="205"/>
      <c r="J116" s="583"/>
    </row>
    <row r="117" spans="1:13" ht="15" customHeight="1" x14ac:dyDescent="0.25">
      <c r="A117" s="580" t="s">
        <v>744</v>
      </c>
      <c r="B117" s="584">
        <f t="shared" si="16"/>
        <v>46688607532.390007</v>
      </c>
      <c r="F117" s="580" t="s">
        <v>744</v>
      </c>
      <c r="G117" s="584" t="e">
        <f>SUM(B85:B89)</f>
        <v>#N/A</v>
      </c>
      <c r="I117" s="205"/>
      <c r="J117" s="583"/>
    </row>
    <row r="118" spans="1:13" x14ac:dyDescent="0.25">
      <c r="A118" s="580" t="s">
        <v>745</v>
      </c>
      <c r="B118" s="584">
        <f t="shared" si="16"/>
        <v>56496238612.130005</v>
      </c>
      <c r="F118" s="580" t="s">
        <v>745</v>
      </c>
      <c r="G118" s="584" t="e">
        <f>SUM(B85:B90)</f>
        <v>#N/A</v>
      </c>
      <c r="I118" s="205"/>
      <c r="J118" s="583"/>
    </row>
    <row r="119" spans="1:13" x14ac:dyDescent="0.25">
      <c r="A119" s="580" t="s">
        <v>746</v>
      </c>
      <c r="B119" s="584">
        <f t="shared" si="16"/>
        <v>63810362333.93</v>
      </c>
      <c r="F119" s="580" t="s">
        <v>746</v>
      </c>
      <c r="G119" s="584" t="e">
        <f>SUM(B85:B91)</f>
        <v>#N/A</v>
      </c>
      <c r="I119" s="205"/>
      <c r="J119" s="583"/>
    </row>
    <row r="120" spans="1:13" x14ac:dyDescent="0.25">
      <c r="A120" s="580" t="s">
        <v>747</v>
      </c>
      <c r="B120" s="584">
        <f t="shared" si="16"/>
        <v>80418972427.710007</v>
      </c>
      <c r="F120" s="580" t="s">
        <v>747</v>
      </c>
      <c r="G120" s="584" t="e">
        <f>SUM(B85:B92)</f>
        <v>#N/A</v>
      </c>
      <c r="I120" s="205"/>
      <c r="J120" s="583"/>
    </row>
    <row r="121" spans="1:13" x14ac:dyDescent="0.25">
      <c r="A121" s="585" t="s">
        <v>748</v>
      </c>
      <c r="B121" s="584">
        <f t="shared" si="16"/>
        <v>3000070901.9399996</v>
      </c>
      <c r="F121" s="585" t="s">
        <v>748</v>
      </c>
      <c r="G121" s="584" t="e">
        <f>B14+B31+B47+B63+B78</f>
        <v>#N/A</v>
      </c>
      <c r="I121" s="205"/>
      <c r="J121" s="583"/>
    </row>
    <row r="122" spans="1:13" x14ac:dyDescent="0.25">
      <c r="I122" s="586"/>
      <c r="J122" s="587"/>
    </row>
    <row r="123" spans="1:13" ht="26.25" x14ac:dyDescent="0.25">
      <c r="A123" s="577" t="s">
        <v>737</v>
      </c>
      <c r="B123" s="578" t="s">
        <v>826</v>
      </c>
      <c r="F123" s="577" t="s">
        <v>737</v>
      </c>
      <c r="G123" s="588" t="s">
        <v>733</v>
      </c>
      <c r="J123" s="566">
        <f>F78+F63+F47+F31+F14</f>
        <v>0</v>
      </c>
    </row>
    <row r="124" spans="1:13" x14ac:dyDescent="0.25">
      <c r="A124" s="580" t="s">
        <v>740</v>
      </c>
      <c r="B124" s="589">
        <f t="shared" ref="B124:B132" si="17">D5+D22+D54+D38+D69</f>
        <v>335067188.25</v>
      </c>
      <c r="F124" s="580" t="s">
        <v>740</v>
      </c>
      <c r="G124" s="590">
        <f t="shared" ref="G124:G132" si="18">G5+G22+G38+G54+G69</f>
        <v>99956601394.009995</v>
      </c>
    </row>
    <row r="125" spans="1:13" x14ac:dyDescent="0.25">
      <c r="A125" s="580" t="s">
        <v>741</v>
      </c>
      <c r="B125" s="590">
        <f t="shared" si="17"/>
        <v>181889321.66</v>
      </c>
      <c r="F125" s="580" t="s">
        <v>741</v>
      </c>
      <c r="G125" s="590">
        <f t="shared" si="18"/>
        <v>94032076408.160019</v>
      </c>
    </row>
    <row r="126" spans="1:13" x14ac:dyDescent="0.25">
      <c r="A126" s="580" t="s">
        <v>742</v>
      </c>
      <c r="B126" s="590">
        <f t="shared" si="17"/>
        <v>263853991.16</v>
      </c>
      <c r="F126" s="580" t="s">
        <v>742</v>
      </c>
      <c r="G126" s="590">
        <f t="shared" si="18"/>
        <v>94584795783.050003</v>
      </c>
    </row>
    <row r="127" spans="1:13" x14ac:dyDescent="0.25">
      <c r="A127" s="580" t="s">
        <v>743</v>
      </c>
      <c r="B127" s="590">
        <f t="shared" si="17"/>
        <v>212322471.77000001</v>
      </c>
      <c r="F127" s="580" t="s">
        <v>743</v>
      </c>
      <c r="G127" s="590">
        <f t="shared" si="18"/>
        <v>84257153666.389999</v>
      </c>
    </row>
    <row r="128" spans="1:13" x14ac:dyDescent="0.25">
      <c r="A128" s="580" t="s">
        <v>744</v>
      </c>
      <c r="B128" s="590">
        <f t="shared" si="17"/>
        <v>490552471.35000008</v>
      </c>
      <c r="F128" s="580" t="s">
        <v>744</v>
      </c>
      <c r="G128" s="590">
        <f t="shared" si="18"/>
        <v>76951056095.289993</v>
      </c>
    </row>
    <row r="129" spans="1:7" x14ac:dyDescent="0.25">
      <c r="A129" s="580" t="s">
        <v>745</v>
      </c>
      <c r="B129" s="590">
        <f t="shared" si="17"/>
        <v>413587339.02999997</v>
      </c>
      <c r="F129" s="580" t="s">
        <v>745</v>
      </c>
      <c r="G129" s="590">
        <f t="shared" si="18"/>
        <v>70474920845.259995</v>
      </c>
    </row>
    <row r="130" spans="1:7" x14ac:dyDescent="0.25">
      <c r="A130" s="580" t="s">
        <v>746</v>
      </c>
      <c r="B130" s="590">
        <f t="shared" si="17"/>
        <v>355864506.11000001</v>
      </c>
      <c r="F130" s="580" t="s">
        <v>746</v>
      </c>
      <c r="G130" s="590">
        <f t="shared" si="18"/>
        <v>56159457358.260002</v>
      </c>
    </row>
    <row r="131" spans="1:7" x14ac:dyDescent="0.25">
      <c r="A131" s="580" t="s">
        <v>747</v>
      </c>
      <c r="B131" s="590">
        <f t="shared" si="17"/>
        <v>494087215.41000003</v>
      </c>
      <c r="F131" s="580" t="s">
        <v>747</v>
      </c>
      <c r="G131" s="590">
        <f t="shared" si="18"/>
        <v>45128478461.459999</v>
      </c>
    </row>
    <row r="132" spans="1:7" x14ac:dyDescent="0.25">
      <c r="A132" s="585" t="s">
        <v>748</v>
      </c>
      <c r="B132" s="584">
        <f t="shared" si="17"/>
        <v>0</v>
      </c>
      <c r="F132" s="585" t="s">
        <v>748</v>
      </c>
      <c r="G132" s="590">
        <f t="shared" si="18"/>
        <v>315183543.11000001</v>
      </c>
    </row>
  </sheetData>
  <sheetProtection selectLockedCells="1" selectUnlockedCells="1"/>
  <mergeCells count="21">
    <mergeCell ref="A79:B79"/>
    <mergeCell ref="A111:G111"/>
    <mergeCell ref="I48:J48"/>
    <mergeCell ref="A50:G50"/>
    <mergeCell ref="A52:A53"/>
    <mergeCell ref="B52:B53"/>
    <mergeCell ref="A65:G65"/>
    <mergeCell ref="A67:A68"/>
    <mergeCell ref="B67:B68"/>
    <mergeCell ref="A20:A21"/>
    <mergeCell ref="B20:B21"/>
    <mergeCell ref="A34:G34"/>
    <mergeCell ref="A36:A37"/>
    <mergeCell ref="B36:B37"/>
    <mergeCell ref="A48:B48"/>
    <mergeCell ref="A1:G1"/>
    <mergeCell ref="A3:A4"/>
    <mergeCell ref="B3:B4"/>
    <mergeCell ref="A15:B15"/>
    <mergeCell ref="I15:J15"/>
    <mergeCell ref="A18:G18"/>
  </mergeCells>
  <pageMargins left="0.51180555555555551" right="0.31527777777777777" top="0.59027777777777779" bottom="0.74791666666666667" header="0.51180555555555551" footer="0.51180555555555551"/>
  <pageSetup paperSize="9" scale="95" firstPageNumber="0" orientation="portrait" horizontalDpi="300" verticalDpi="300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7"/>
  <sheetViews>
    <sheetView zoomScaleNormal="100" workbookViewId="0"/>
  </sheetViews>
  <sheetFormatPr baseColWidth="10" defaultColWidth="12.5703125" defaultRowHeight="15" x14ac:dyDescent="0.25"/>
  <cols>
    <col min="1" max="2" width="12.5703125" style="143"/>
    <col min="3" max="3" width="19.28515625" style="143" customWidth="1"/>
    <col min="4" max="4" width="12.5703125" style="143"/>
    <col min="5" max="10" width="16.5703125" style="143" customWidth="1"/>
    <col min="11" max="11" width="16.5703125" style="591" customWidth="1"/>
    <col min="12" max="14" width="16.5703125" style="143" customWidth="1"/>
    <col min="15" max="16384" width="12.5703125" style="143"/>
  </cols>
  <sheetData>
    <row r="1" spans="1:14" x14ac:dyDescent="0.25">
      <c r="A1" s="144" t="s">
        <v>52</v>
      </c>
      <c r="B1" s="144" t="s">
        <v>53</v>
      </c>
      <c r="C1" s="144" t="s">
        <v>54</v>
      </c>
      <c r="D1" s="144" t="s">
        <v>55</v>
      </c>
      <c r="E1" s="144" t="s">
        <v>56</v>
      </c>
      <c r="F1" s="144" t="s">
        <v>57</v>
      </c>
      <c r="G1" s="144" t="s">
        <v>58</v>
      </c>
      <c r="H1" s="144" t="s">
        <v>59</v>
      </c>
      <c r="I1" s="144" t="s">
        <v>60</v>
      </c>
      <c r="J1" s="144" t="s">
        <v>61</v>
      </c>
      <c r="K1" s="181" t="s">
        <v>12</v>
      </c>
      <c r="L1" s="144" t="s">
        <v>63</v>
      </c>
      <c r="M1" s="144" t="s">
        <v>65</v>
      </c>
      <c r="N1" s="144" t="s">
        <v>67</v>
      </c>
    </row>
    <row r="2" spans="1:14" x14ac:dyDescent="0.25">
      <c r="A2" s="143" t="s">
        <v>68</v>
      </c>
      <c r="D2" s="143" t="s">
        <v>69</v>
      </c>
      <c r="E2" s="257">
        <v>135087133000</v>
      </c>
      <c r="F2" s="257">
        <v>141087133000</v>
      </c>
      <c r="G2" s="257">
        <v>132612346960.75</v>
      </c>
      <c r="H2" s="257">
        <v>460121913.13</v>
      </c>
      <c r="I2" s="257">
        <v>14319591343.809999</v>
      </c>
      <c r="J2" s="257">
        <v>494087215.41000003</v>
      </c>
      <c r="K2" s="592">
        <v>80684854066.190002</v>
      </c>
      <c r="L2" s="257">
        <v>80418972427.710007</v>
      </c>
      <c r="M2" s="257">
        <v>45128478461.459999</v>
      </c>
      <c r="N2" s="257">
        <v>36653692422.209999</v>
      </c>
    </row>
    <row r="3" spans="1:14" x14ac:dyDescent="0.25">
      <c r="A3" s="186" t="s">
        <v>70</v>
      </c>
      <c r="B3" s="186"/>
      <c r="C3" s="186"/>
      <c r="D3" s="186" t="s">
        <v>69</v>
      </c>
      <c r="E3" s="279">
        <v>2519449227</v>
      </c>
      <c r="F3" s="279">
        <v>2519449227</v>
      </c>
      <c r="G3" s="279">
        <v>2255822736</v>
      </c>
      <c r="H3" s="279">
        <v>6414291.2599999998</v>
      </c>
      <c r="I3" s="279">
        <v>225711788.09</v>
      </c>
      <c r="J3" s="279">
        <v>7833500.1299999999</v>
      </c>
      <c r="K3" s="592">
        <v>1362761298.6300001</v>
      </c>
      <c r="L3" s="279">
        <v>1356324864.6099999</v>
      </c>
      <c r="M3" s="279">
        <v>916728348.88999999</v>
      </c>
      <c r="N3" s="279">
        <v>653101857.88999999</v>
      </c>
    </row>
    <row r="4" spans="1:14" x14ac:dyDescent="0.25">
      <c r="A4" s="186" t="s">
        <v>70</v>
      </c>
      <c r="B4" s="186" t="s">
        <v>71</v>
      </c>
      <c r="C4" s="186" t="s">
        <v>72</v>
      </c>
      <c r="D4" s="186" t="s">
        <v>69</v>
      </c>
      <c r="E4" s="279">
        <v>1386097000</v>
      </c>
      <c r="F4" s="279">
        <v>1364477635</v>
      </c>
      <c r="G4" s="279">
        <v>1364477635</v>
      </c>
      <c r="H4" s="279">
        <v>0</v>
      </c>
      <c r="I4" s="279">
        <v>93167323</v>
      </c>
      <c r="J4" s="279">
        <v>0</v>
      </c>
      <c r="K4" s="592">
        <v>715124117.04999995</v>
      </c>
      <c r="L4" s="279">
        <v>715124117.04999995</v>
      </c>
      <c r="M4" s="279">
        <v>556186194.95000005</v>
      </c>
      <c r="N4" s="279">
        <v>556186194.95000005</v>
      </c>
    </row>
    <row r="5" spans="1:14" x14ac:dyDescent="0.25">
      <c r="A5" s="186" t="s">
        <v>70</v>
      </c>
      <c r="B5" s="186" t="s">
        <v>73</v>
      </c>
      <c r="C5" s="186" t="s">
        <v>74</v>
      </c>
      <c r="D5" s="186" t="s">
        <v>69</v>
      </c>
      <c r="E5" s="279">
        <v>526394000</v>
      </c>
      <c r="F5" s="279">
        <v>513555100</v>
      </c>
      <c r="G5" s="279">
        <v>513555100</v>
      </c>
      <c r="H5" s="279">
        <v>0</v>
      </c>
      <c r="I5" s="279">
        <v>0</v>
      </c>
      <c r="J5" s="279">
        <v>0</v>
      </c>
      <c r="K5" s="592">
        <v>297720155.81999999</v>
      </c>
      <c r="L5" s="279">
        <v>297720155.81999999</v>
      </c>
      <c r="M5" s="279">
        <v>215834944.18000001</v>
      </c>
      <c r="N5" s="279">
        <v>215834944.18000001</v>
      </c>
    </row>
    <row r="6" spans="1:14" x14ac:dyDescent="0.25">
      <c r="A6" s="186" t="s">
        <v>70</v>
      </c>
      <c r="B6" s="186" t="s">
        <v>75</v>
      </c>
      <c r="C6" s="186" t="s">
        <v>76</v>
      </c>
      <c r="D6" s="186" t="s">
        <v>69</v>
      </c>
      <c r="E6" s="279">
        <v>526394000</v>
      </c>
      <c r="F6" s="279">
        <v>513555100</v>
      </c>
      <c r="G6" s="279">
        <v>513555100</v>
      </c>
      <c r="H6" s="279">
        <v>0</v>
      </c>
      <c r="I6" s="279">
        <v>0</v>
      </c>
      <c r="J6" s="279">
        <v>0</v>
      </c>
      <c r="K6" s="592">
        <v>297720155.81999999</v>
      </c>
      <c r="L6" s="279">
        <v>297720155.81999999</v>
      </c>
      <c r="M6" s="279">
        <v>215834944.18000001</v>
      </c>
      <c r="N6" s="279">
        <v>215834944.18000001</v>
      </c>
    </row>
    <row r="7" spans="1:14" x14ac:dyDescent="0.25">
      <c r="A7" s="186" t="s">
        <v>70</v>
      </c>
      <c r="B7" s="186" t="s">
        <v>77</v>
      </c>
      <c r="C7" s="186" t="s">
        <v>78</v>
      </c>
      <c r="D7" s="186" t="s">
        <v>69</v>
      </c>
      <c r="E7" s="279">
        <v>649722000</v>
      </c>
      <c r="F7" s="279">
        <v>640941535</v>
      </c>
      <c r="G7" s="279">
        <v>640941535</v>
      </c>
      <c r="H7" s="279">
        <v>0</v>
      </c>
      <c r="I7" s="279">
        <v>0</v>
      </c>
      <c r="J7" s="279">
        <v>0</v>
      </c>
      <c r="K7" s="592">
        <v>300590284.23000002</v>
      </c>
      <c r="L7" s="279">
        <v>300590284.23000002</v>
      </c>
      <c r="M7" s="279">
        <v>340351250.76999998</v>
      </c>
      <c r="N7" s="279">
        <v>340351250.76999998</v>
      </c>
    </row>
    <row r="8" spans="1:14" x14ac:dyDescent="0.25">
      <c r="A8" s="186" t="s">
        <v>70</v>
      </c>
      <c r="B8" s="186" t="s">
        <v>79</v>
      </c>
      <c r="C8" s="186" t="s">
        <v>80</v>
      </c>
      <c r="D8" s="186" t="s">
        <v>69</v>
      </c>
      <c r="E8" s="279">
        <v>138872000</v>
      </c>
      <c r="F8" s="279">
        <v>137710900</v>
      </c>
      <c r="G8" s="279">
        <v>137710900</v>
      </c>
      <c r="H8" s="279">
        <v>0</v>
      </c>
      <c r="I8" s="279">
        <v>0</v>
      </c>
      <c r="J8" s="279">
        <v>0</v>
      </c>
      <c r="K8" s="592">
        <v>65288629.75</v>
      </c>
      <c r="L8" s="279">
        <v>65288629.75</v>
      </c>
      <c r="M8" s="279">
        <v>72422270.25</v>
      </c>
      <c r="N8" s="279">
        <v>72422270.25</v>
      </c>
    </row>
    <row r="9" spans="1:14" x14ac:dyDescent="0.25">
      <c r="A9" s="186" t="s">
        <v>70</v>
      </c>
      <c r="B9" s="186" t="s">
        <v>81</v>
      </c>
      <c r="C9" s="186" t="s">
        <v>82</v>
      </c>
      <c r="D9" s="186" t="s">
        <v>69</v>
      </c>
      <c r="E9" s="279">
        <v>289755000</v>
      </c>
      <c r="F9" s="279">
        <v>282135635</v>
      </c>
      <c r="G9" s="279">
        <v>282135635</v>
      </c>
      <c r="H9" s="279">
        <v>0</v>
      </c>
      <c r="I9" s="279">
        <v>0</v>
      </c>
      <c r="J9" s="279">
        <v>0</v>
      </c>
      <c r="K9" s="592">
        <v>136720583.38</v>
      </c>
      <c r="L9" s="279">
        <v>136720583.38</v>
      </c>
      <c r="M9" s="279">
        <v>145415051.62</v>
      </c>
      <c r="N9" s="279">
        <v>145415051.62</v>
      </c>
    </row>
    <row r="10" spans="1:14" x14ac:dyDescent="0.25">
      <c r="A10" s="186" t="s">
        <v>70</v>
      </c>
      <c r="B10" s="186" t="s">
        <v>83</v>
      </c>
      <c r="C10" s="186" t="s">
        <v>84</v>
      </c>
      <c r="D10" s="186" t="s">
        <v>85</v>
      </c>
      <c r="E10" s="279">
        <v>89807000</v>
      </c>
      <c r="F10" s="279">
        <v>89807000</v>
      </c>
      <c r="G10" s="279">
        <v>89807000</v>
      </c>
      <c r="H10" s="279">
        <v>0</v>
      </c>
      <c r="I10" s="279">
        <v>0</v>
      </c>
      <c r="J10" s="279">
        <v>0</v>
      </c>
      <c r="K10" s="592">
        <v>36779.85</v>
      </c>
      <c r="L10" s="279">
        <v>36779.85</v>
      </c>
      <c r="M10" s="279">
        <v>89770220.150000006</v>
      </c>
      <c r="N10" s="279">
        <v>89770220.150000006</v>
      </c>
    </row>
    <row r="11" spans="1:14" x14ac:dyDescent="0.25">
      <c r="A11" s="186" t="s">
        <v>70</v>
      </c>
      <c r="B11" s="186" t="s">
        <v>86</v>
      </c>
      <c r="C11" s="186" t="s">
        <v>87</v>
      </c>
      <c r="D11" s="186" t="s">
        <v>69</v>
      </c>
      <c r="E11" s="279">
        <v>83881000</v>
      </c>
      <c r="F11" s="279">
        <v>83881000</v>
      </c>
      <c r="G11" s="279">
        <v>83881000</v>
      </c>
      <c r="H11" s="279">
        <v>0</v>
      </c>
      <c r="I11" s="279">
        <v>0</v>
      </c>
      <c r="J11" s="279">
        <v>0</v>
      </c>
      <c r="K11" s="592">
        <v>74715480.260000005</v>
      </c>
      <c r="L11" s="279">
        <v>74715480.260000005</v>
      </c>
      <c r="M11" s="279">
        <v>9165519.7400000002</v>
      </c>
      <c r="N11" s="279">
        <v>9165519.7400000002</v>
      </c>
    </row>
    <row r="12" spans="1:14" x14ac:dyDescent="0.25">
      <c r="A12" s="186" t="s">
        <v>70</v>
      </c>
      <c r="B12" s="186" t="s">
        <v>88</v>
      </c>
      <c r="C12" s="186" t="s">
        <v>89</v>
      </c>
      <c r="D12" s="186" t="s">
        <v>69</v>
      </c>
      <c r="E12" s="279">
        <v>47407000</v>
      </c>
      <c r="F12" s="279">
        <v>47407000</v>
      </c>
      <c r="G12" s="279">
        <v>47407000</v>
      </c>
      <c r="H12" s="279">
        <v>0</v>
      </c>
      <c r="I12" s="279">
        <v>0</v>
      </c>
      <c r="J12" s="279">
        <v>0</v>
      </c>
      <c r="K12" s="592">
        <v>23828810.989999998</v>
      </c>
      <c r="L12" s="279">
        <v>23828810.989999998</v>
      </c>
      <c r="M12" s="279">
        <v>23578189.010000002</v>
      </c>
      <c r="N12" s="279">
        <v>23578189.010000002</v>
      </c>
    </row>
    <row r="13" spans="1:14" x14ac:dyDescent="0.25">
      <c r="A13" s="186" t="s">
        <v>70</v>
      </c>
      <c r="B13" s="186" t="s">
        <v>90</v>
      </c>
      <c r="C13" s="186" t="s">
        <v>91</v>
      </c>
      <c r="D13" s="186" t="s">
        <v>69</v>
      </c>
      <c r="E13" s="279">
        <v>105914000</v>
      </c>
      <c r="F13" s="279">
        <v>105914000</v>
      </c>
      <c r="G13" s="279">
        <v>105914000</v>
      </c>
      <c r="H13" s="279">
        <v>0</v>
      </c>
      <c r="I13" s="279">
        <v>46990727</v>
      </c>
      <c r="J13" s="279">
        <v>0</v>
      </c>
      <c r="K13" s="592">
        <v>58923273</v>
      </c>
      <c r="L13" s="279">
        <v>58923273</v>
      </c>
      <c r="M13" s="279">
        <v>0</v>
      </c>
      <c r="N13" s="279">
        <v>0</v>
      </c>
    </row>
    <row r="14" spans="1:14" x14ac:dyDescent="0.25">
      <c r="A14" s="186" t="s">
        <v>70</v>
      </c>
      <c r="B14" s="186" t="s">
        <v>92</v>
      </c>
      <c r="C14" s="186" t="s">
        <v>93</v>
      </c>
      <c r="D14" s="186" t="s">
        <v>69</v>
      </c>
      <c r="E14" s="279">
        <v>100483000</v>
      </c>
      <c r="F14" s="279">
        <v>100483000</v>
      </c>
      <c r="G14" s="279">
        <v>100483000</v>
      </c>
      <c r="H14" s="279">
        <v>0</v>
      </c>
      <c r="I14" s="279">
        <v>44580904</v>
      </c>
      <c r="J14" s="279">
        <v>0</v>
      </c>
      <c r="K14" s="592">
        <v>55902096</v>
      </c>
      <c r="L14" s="279">
        <v>55902096</v>
      </c>
      <c r="M14" s="279">
        <v>0</v>
      </c>
      <c r="N14" s="279">
        <v>0</v>
      </c>
    </row>
    <row r="15" spans="1:14" x14ac:dyDescent="0.25">
      <c r="A15" s="186" t="s">
        <v>70</v>
      </c>
      <c r="B15" s="186" t="s">
        <v>94</v>
      </c>
      <c r="C15" s="186" t="s">
        <v>95</v>
      </c>
      <c r="D15" s="186" t="s">
        <v>69</v>
      </c>
      <c r="E15" s="279">
        <v>5431000</v>
      </c>
      <c r="F15" s="279">
        <v>5431000</v>
      </c>
      <c r="G15" s="279">
        <v>5431000</v>
      </c>
      <c r="H15" s="279">
        <v>0</v>
      </c>
      <c r="I15" s="279">
        <v>2409823</v>
      </c>
      <c r="J15" s="279">
        <v>0</v>
      </c>
      <c r="K15" s="592">
        <v>3021177</v>
      </c>
      <c r="L15" s="279">
        <v>3021177</v>
      </c>
      <c r="M15" s="279">
        <v>0</v>
      </c>
      <c r="N15" s="279">
        <v>0</v>
      </c>
    </row>
    <row r="16" spans="1:14" x14ac:dyDescent="0.25">
      <c r="A16" s="186" t="s">
        <v>70</v>
      </c>
      <c r="B16" s="186" t="s">
        <v>96</v>
      </c>
      <c r="C16" s="186" t="s">
        <v>97</v>
      </c>
      <c r="D16" s="186" t="s">
        <v>69</v>
      </c>
      <c r="E16" s="279">
        <v>104067000</v>
      </c>
      <c r="F16" s="279">
        <v>104067000</v>
      </c>
      <c r="G16" s="279">
        <v>104067000</v>
      </c>
      <c r="H16" s="279">
        <v>0</v>
      </c>
      <c r="I16" s="279">
        <v>46176596</v>
      </c>
      <c r="J16" s="279">
        <v>0</v>
      </c>
      <c r="K16" s="592">
        <v>57890404</v>
      </c>
      <c r="L16" s="279">
        <v>57890404</v>
      </c>
      <c r="M16" s="279">
        <v>0</v>
      </c>
      <c r="N16" s="279">
        <v>0</v>
      </c>
    </row>
    <row r="17" spans="1:14" x14ac:dyDescent="0.25">
      <c r="A17" s="186" t="s">
        <v>70</v>
      </c>
      <c r="B17" s="186" t="s">
        <v>98</v>
      </c>
      <c r="C17" s="186" t="s">
        <v>99</v>
      </c>
      <c r="D17" s="186" t="s">
        <v>69</v>
      </c>
      <c r="E17" s="279">
        <v>55184000</v>
      </c>
      <c r="F17" s="279">
        <v>55184000</v>
      </c>
      <c r="G17" s="279">
        <v>55184000</v>
      </c>
      <c r="H17" s="279">
        <v>0</v>
      </c>
      <c r="I17" s="279">
        <v>24484107</v>
      </c>
      <c r="J17" s="279">
        <v>0</v>
      </c>
      <c r="K17" s="592">
        <v>30699893</v>
      </c>
      <c r="L17" s="279">
        <v>30699893</v>
      </c>
      <c r="M17" s="279">
        <v>0</v>
      </c>
      <c r="N17" s="279">
        <v>0</v>
      </c>
    </row>
    <row r="18" spans="1:14" x14ac:dyDescent="0.25">
      <c r="A18" s="186" t="s">
        <v>70</v>
      </c>
      <c r="B18" s="186" t="s">
        <v>100</v>
      </c>
      <c r="C18" s="186" t="s">
        <v>101</v>
      </c>
      <c r="D18" s="186" t="s">
        <v>69</v>
      </c>
      <c r="E18" s="279">
        <v>16294000</v>
      </c>
      <c r="F18" s="279">
        <v>16294000</v>
      </c>
      <c r="G18" s="279">
        <v>16294000</v>
      </c>
      <c r="H18" s="279">
        <v>0</v>
      </c>
      <c r="I18" s="279">
        <v>7230495</v>
      </c>
      <c r="J18" s="279">
        <v>0</v>
      </c>
      <c r="K18" s="592">
        <v>9063505</v>
      </c>
      <c r="L18" s="279">
        <v>9063505</v>
      </c>
      <c r="M18" s="279">
        <v>0</v>
      </c>
      <c r="N18" s="279">
        <v>0</v>
      </c>
    </row>
    <row r="19" spans="1:14" x14ac:dyDescent="0.25">
      <c r="A19" s="186" t="s">
        <v>70</v>
      </c>
      <c r="B19" s="186" t="s">
        <v>102</v>
      </c>
      <c r="C19" s="186" t="s">
        <v>103</v>
      </c>
      <c r="D19" s="186" t="s">
        <v>69</v>
      </c>
      <c r="E19" s="279">
        <v>32589000</v>
      </c>
      <c r="F19" s="279">
        <v>32589000</v>
      </c>
      <c r="G19" s="279">
        <v>32589000</v>
      </c>
      <c r="H19" s="279">
        <v>0</v>
      </c>
      <c r="I19" s="279">
        <v>14461994</v>
      </c>
      <c r="J19" s="279">
        <v>0</v>
      </c>
      <c r="K19" s="592">
        <v>18127006</v>
      </c>
      <c r="L19" s="279">
        <v>18127006</v>
      </c>
      <c r="M19" s="279">
        <v>0</v>
      </c>
      <c r="N19" s="279">
        <v>0</v>
      </c>
    </row>
    <row r="20" spans="1:14" x14ac:dyDescent="0.25">
      <c r="A20" s="186" t="s">
        <v>70</v>
      </c>
      <c r="B20" s="186" t="s">
        <v>104</v>
      </c>
      <c r="C20" s="186" t="s">
        <v>105</v>
      </c>
      <c r="D20" s="186" t="s">
        <v>69</v>
      </c>
      <c r="E20" s="279">
        <v>342741579</v>
      </c>
      <c r="F20" s="279">
        <v>342741579</v>
      </c>
      <c r="G20" s="279">
        <v>260395935</v>
      </c>
      <c r="H20" s="279">
        <v>24000</v>
      </c>
      <c r="I20" s="279">
        <v>51327068.880000003</v>
      </c>
      <c r="J20" s="279">
        <v>7123329.0999999996</v>
      </c>
      <c r="K20" s="592">
        <v>131720103.36</v>
      </c>
      <c r="L20" s="279">
        <v>125283669.34</v>
      </c>
      <c r="M20" s="279">
        <v>152547077.66</v>
      </c>
      <c r="N20" s="279">
        <v>70201433.659999996</v>
      </c>
    </row>
    <row r="21" spans="1:14" x14ac:dyDescent="0.25">
      <c r="A21" s="186" t="s">
        <v>70</v>
      </c>
      <c r="B21" s="186" t="s">
        <v>106</v>
      </c>
      <c r="C21" s="186" t="s">
        <v>107</v>
      </c>
      <c r="D21" s="186" t="s">
        <v>69</v>
      </c>
      <c r="E21" s="279">
        <v>125845446</v>
      </c>
      <c r="F21" s="279">
        <v>125845446</v>
      </c>
      <c r="G21" s="279">
        <v>107918768.03</v>
      </c>
      <c r="H21" s="279">
        <v>0</v>
      </c>
      <c r="I21" s="279">
        <v>6094954.4900000002</v>
      </c>
      <c r="J21" s="279">
        <v>6481920.0999999996</v>
      </c>
      <c r="K21" s="592">
        <v>59232066.210000001</v>
      </c>
      <c r="L21" s="279">
        <v>53816674.689999998</v>
      </c>
      <c r="M21" s="279">
        <v>54036505.200000003</v>
      </c>
      <c r="N21" s="279">
        <v>36109827.229999997</v>
      </c>
    </row>
    <row r="22" spans="1:14" x14ac:dyDescent="0.25">
      <c r="A22" s="186" t="s">
        <v>70</v>
      </c>
      <c r="B22" s="186" t="s">
        <v>108</v>
      </c>
      <c r="C22" s="186" t="s">
        <v>109</v>
      </c>
      <c r="D22" s="186" t="s">
        <v>69</v>
      </c>
      <c r="E22" s="279">
        <v>125765446</v>
      </c>
      <c r="F22" s="279">
        <v>125765446</v>
      </c>
      <c r="G22" s="279">
        <v>107838768.03</v>
      </c>
      <c r="H22" s="279">
        <v>0</v>
      </c>
      <c r="I22" s="279">
        <v>6094954.4900000002</v>
      </c>
      <c r="J22" s="279">
        <v>6481920.0999999996</v>
      </c>
      <c r="K22" s="592">
        <v>59157316.210000001</v>
      </c>
      <c r="L22" s="279">
        <v>53741924.689999998</v>
      </c>
      <c r="M22" s="279">
        <v>54031255.200000003</v>
      </c>
      <c r="N22" s="279">
        <v>36104577.229999997</v>
      </c>
    </row>
    <row r="23" spans="1:14" x14ac:dyDescent="0.25">
      <c r="A23" s="186" t="s">
        <v>70</v>
      </c>
      <c r="B23" s="186" t="s">
        <v>110</v>
      </c>
      <c r="C23" s="186" t="s">
        <v>111</v>
      </c>
      <c r="D23" s="186" t="s">
        <v>69</v>
      </c>
      <c r="E23" s="279">
        <v>80000</v>
      </c>
      <c r="F23" s="279">
        <v>80000</v>
      </c>
      <c r="G23" s="279">
        <v>80000</v>
      </c>
      <c r="H23" s="279">
        <v>0</v>
      </c>
      <c r="I23" s="279">
        <v>0</v>
      </c>
      <c r="J23" s="279">
        <v>0</v>
      </c>
      <c r="K23" s="592">
        <v>74750</v>
      </c>
      <c r="L23" s="279">
        <v>74750</v>
      </c>
      <c r="M23" s="279">
        <v>5250</v>
      </c>
      <c r="N23" s="279">
        <v>5250</v>
      </c>
    </row>
    <row r="24" spans="1:14" x14ac:dyDescent="0.25">
      <c r="A24" s="186" t="s">
        <v>70</v>
      </c>
      <c r="B24" s="186" t="s">
        <v>112</v>
      </c>
      <c r="C24" s="186" t="s">
        <v>113</v>
      </c>
      <c r="D24" s="186" t="s">
        <v>69</v>
      </c>
      <c r="E24" s="279">
        <v>131428353</v>
      </c>
      <c r="F24" s="279">
        <v>131428353</v>
      </c>
      <c r="G24" s="279">
        <v>79351429</v>
      </c>
      <c r="H24" s="279">
        <v>0</v>
      </c>
      <c r="I24" s="279">
        <v>26343336.629999999</v>
      </c>
      <c r="J24" s="279">
        <v>0</v>
      </c>
      <c r="K24" s="592">
        <v>52734489.170000002</v>
      </c>
      <c r="L24" s="279">
        <v>52734489.170000002</v>
      </c>
      <c r="M24" s="279">
        <v>52350527.200000003</v>
      </c>
      <c r="N24" s="279">
        <v>273603.20000000001</v>
      </c>
    </row>
    <row r="25" spans="1:14" x14ac:dyDescent="0.25">
      <c r="A25" s="186" t="s">
        <v>70</v>
      </c>
      <c r="B25" s="186" t="s">
        <v>114</v>
      </c>
      <c r="C25" s="186" t="s">
        <v>115</v>
      </c>
      <c r="D25" s="186" t="s">
        <v>69</v>
      </c>
      <c r="E25" s="279">
        <v>4971429</v>
      </c>
      <c r="F25" s="279">
        <v>8971429</v>
      </c>
      <c r="G25" s="279">
        <v>8971429</v>
      </c>
      <c r="H25" s="279">
        <v>0</v>
      </c>
      <c r="I25" s="279">
        <v>5680137</v>
      </c>
      <c r="J25" s="279">
        <v>0</v>
      </c>
      <c r="K25" s="592">
        <v>3291292</v>
      </c>
      <c r="L25" s="279">
        <v>3291292</v>
      </c>
      <c r="M25" s="279">
        <v>0</v>
      </c>
      <c r="N25" s="279">
        <v>0</v>
      </c>
    </row>
    <row r="26" spans="1:14" x14ac:dyDescent="0.25">
      <c r="A26" s="186" t="s">
        <v>70</v>
      </c>
      <c r="B26" s="186" t="s">
        <v>116</v>
      </c>
      <c r="C26" s="186" t="s">
        <v>117</v>
      </c>
      <c r="D26" s="186" t="s">
        <v>69</v>
      </c>
      <c r="E26" s="279">
        <v>56000000</v>
      </c>
      <c r="F26" s="279">
        <v>56000000</v>
      </c>
      <c r="G26" s="279">
        <v>40000000</v>
      </c>
      <c r="H26" s="279">
        <v>0</v>
      </c>
      <c r="I26" s="279">
        <v>12559150</v>
      </c>
      <c r="J26" s="279">
        <v>0</v>
      </c>
      <c r="K26" s="592">
        <v>27440850</v>
      </c>
      <c r="L26" s="279">
        <v>27440850</v>
      </c>
      <c r="M26" s="279">
        <v>16000000</v>
      </c>
      <c r="N26" s="279">
        <v>0</v>
      </c>
    </row>
    <row r="27" spans="1:14" x14ac:dyDescent="0.25">
      <c r="A27" s="186" t="s">
        <v>70</v>
      </c>
      <c r="B27" s="186" t="s">
        <v>118</v>
      </c>
      <c r="C27" s="186" t="s">
        <v>119</v>
      </c>
      <c r="D27" s="186" t="s">
        <v>69</v>
      </c>
      <c r="E27" s="279">
        <v>20000</v>
      </c>
      <c r="F27" s="279">
        <v>20000</v>
      </c>
      <c r="G27" s="279">
        <v>20000</v>
      </c>
      <c r="H27" s="279">
        <v>0</v>
      </c>
      <c r="I27" s="279">
        <v>0</v>
      </c>
      <c r="J27" s="279">
        <v>0</v>
      </c>
      <c r="K27" s="592">
        <v>16400</v>
      </c>
      <c r="L27" s="279">
        <v>16400</v>
      </c>
      <c r="M27" s="279">
        <v>3600</v>
      </c>
      <c r="N27" s="279">
        <v>3600</v>
      </c>
    </row>
    <row r="28" spans="1:14" x14ac:dyDescent="0.25">
      <c r="A28" s="186" t="s">
        <v>70</v>
      </c>
      <c r="B28" s="186" t="s">
        <v>120</v>
      </c>
      <c r="C28" s="186" t="s">
        <v>121</v>
      </c>
      <c r="D28" s="186" t="s">
        <v>69</v>
      </c>
      <c r="E28" s="279">
        <v>70076924</v>
      </c>
      <c r="F28" s="279">
        <v>66076924</v>
      </c>
      <c r="G28" s="279">
        <v>30000000</v>
      </c>
      <c r="H28" s="279">
        <v>0</v>
      </c>
      <c r="I28" s="279">
        <v>8041849.6299999999</v>
      </c>
      <c r="J28" s="279">
        <v>0</v>
      </c>
      <c r="K28" s="592">
        <v>21958147.170000002</v>
      </c>
      <c r="L28" s="279">
        <v>21958147.170000002</v>
      </c>
      <c r="M28" s="279">
        <v>36076927.200000003</v>
      </c>
      <c r="N28" s="279">
        <v>3.2</v>
      </c>
    </row>
    <row r="29" spans="1:14" x14ac:dyDescent="0.25">
      <c r="A29" s="186" t="s">
        <v>70</v>
      </c>
      <c r="B29" s="186" t="s">
        <v>122</v>
      </c>
      <c r="C29" s="186" t="s">
        <v>123</v>
      </c>
      <c r="D29" s="186" t="s">
        <v>69</v>
      </c>
      <c r="E29" s="279">
        <v>360000</v>
      </c>
      <c r="F29" s="279">
        <v>360000</v>
      </c>
      <c r="G29" s="279">
        <v>360000</v>
      </c>
      <c r="H29" s="279">
        <v>0</v>
      </c>
      <c r="I29" s="279">
        <v>62200</v>
      </c>
      <c r="J29" s="279">
        <v>0</v>
      </c>
      <c r="K29" s="592">
        <v>27800</v>
      </c>
      <c r="L29" s="279">
        <v>27800</v>
      </c>
      <c r="M29" s="279">
        <v>270000</v>
      </c>
      <c r="N29" s="279">
        <v>270000</v>
      </c>
    </row>
    <row r="30" spans="1:14" x14ac:dyDescent="0.25">
      <c r="A30" s="186" t="s">
        <v>70</v>
      </c>
      <c r="B30" s="186" t="s">
        <v>124</v>
      </c>
      <c r="C30" s="186" t="s">
        <v>125</v>
      </c>
      <c r="D30" s="186" t="s">
        <v>69</v>
      </c>
      <c r="E30" s="279">
        <v>8700000</v>
      </c>
      <c r="F30" s="279">
        <v>9250000</v>
      </c>
      <c r="G30" s="279">
        <v>9250000</v>
      </c>
      <c r="H30" s="279">
        <v>0</v>
      </c>
      <c r="I30" s="279">
        <v>1469850.26</v>
      </c>
      <c r="J30" s="279">
        <v>0</v>
      </c>
      <c r="K30" s="592">
        <v>5949410</v>
      </c>
      <c r="L30" s="279">
        <v>5639320</v>
      </c>
      <c r="M30" s="279">
        <v>1830739.74</v>
      </c>
      <c r="N30" s="279">
        <v>1830739.74</v>
      </c>
    </row>
    <row r="31" spans="1:14" x14ac:dyDescent="0.25">
      <c r="A31" s="186" t="s">
        <v>70</v>
      </c>
      <c r="B31" s="186" t="s">
        <v>126</v>
      </c>
      <c r="C31" s="186" t="s">
        <v>127</v>
      </c>
      <c r="D31" s="186" t="s">
        <v>69</v>
      </c>
      <c r="E31" s="279">
        <v>7000000</v>
      </c>
      <c r="F31" s="279">
        <v>7000000</v>
      </c>
      <c r="G31" s="279">
        <v>7000000</v>
      </c>
      <c r="H31" s="279">
        <v>0</v>
      </c>
      <c r="I31" s="279">
        <v>1419850.26</v>
      </c>
      <c r="J31" s="279">
        <v>0</v>
      </c>
      <c r="K31" s="592">
        <v>5574410</v>
      </c>
      <c r="L31" s="279">
        <v>5264320</v>
      </c>
      <c r="M31" s="279">
        <v>5739.74</v>
      </c>
      <c r="N31" s="279">
        <v>5739.74</v>
      </c>
    </row>
    <row r="32" spans="1:14" x14ac:dyDescent="0.25">
      <c r="A32" s="186" t="s">
        <v>70</v>
      </c>
      <c r="B32" s="186" t="s">
        <v>128</v>
      </c>
      <c r="C32" s="186" t="s">
        <v>129</v>
      </c>
      <c r="D32" s="186" t="s">
        <v>69</v>
      </c>
      <c r="E32" s="279">
        <v>1650000</v>
      </c>
      <c r="F32" s="279">
        <v>1650000</v>
      </c>
      <c r="G32" s="279">
        <v>1650000</v>
      </c>
      <c r="H32" s="279">
        <v>0</v>
      </c>
      <c r="I32" s="279">
        <v>0</v>
      </c>
      <c r="J32" s="279">
        <v>0</v>
      </c>
      <c r="K32" s="592">
        <v>375000</v>
      </c>
      <c r="L32" s="279">
        <v>375000</v>
      </c>
      <c r="M32" s="279">
        <v>1275000</v>
      </c>
      <c r="N32" s="279">
        <v>1275000</v>
      </c>
    </row>
    <row r="33" spans="1:14" x14ac:dyDescent="0.25">
      <c r="A33" s="186" t="s">
        <v>70</v>
      </c>
      <c r="B33" s="186" t="s">
        <v>130</v>
      </c>
      <c r="C33" s="186" t="s">
        <v>131</v>
      </c>
      <c r="D33" s="186" t="s">
        <v>69</v>
      </c>
      <c r="E33" s="279">
        <v>50000</v>
      </c>
      <c r="F33" s="279">
        <v>50000</v>
      </c>
      <c r="G33" s="279">
        <v>50000</v>
      </c>
      <c r="H33" s="279">
        <v>0</v>
      </c>
      <c r="I33" s="279">
        <v>50000</v>
      </c>
      <c r="J33" s="279">
        <v>0</v>
      </c>
      <c r="K33" s="592">
        <v>0</v>
      </c>
      <c r="L33" s="279">
        <v>0</v>
      </c>
      <c r="M33" s="279">
        <v>0</v>
      </c>
      <c r="N33" s="279">
        <v>0</v>
      </c>
    </row>
    <row r="34" spans="1:14" x14ac:dyDescent="0.25">
      <c r="A34" s="186" t="s">
        <v>70</v>
      </c>
      <c r="B34" s="186" t="s">
        <v>132</v>
      </c>
      <c r="C34" s="186" t="s">
        <v>133</v>
      </c>
      <c r="D34" s="186" t="s">
        <v>69</v>
      </c>
      <c r="E34" s="279">
        <v>0</v>
      </c>
      <c r="F34" s="279">
        <v>550000</v>
      </c>
      <c r="G34" s="279">
        <v>550000</v>
      </c>
      <c r="H34" s="279">
        <v>0</v>
      </c>
      <c r="I34" s="279">
        <v>0</v>
      </c>
      <c r="J34" s="279">
        <v>0</v>
      </c>
      <c r="K34" s="592">
        <v>0</v>
      </c>
      <c r="L34" s="279">
        <v>0</v>
      </c>
      <c r="M34" s="279">
        <v>550000</v>
      </c>
      <c r="N34" s="279">
        <v>550000</v>
      </c>
    </row>
    <row r="35" spans="1:14" x14ac:dyDescent="0.25">
      <c r="A35" s="186" t="s">
        <v>70</v>
      </c>
      <c r="B35" s="186" t="s">
        <v>134</v>
      </c>
      <c r="C35" s="186" t="s">
        <v>135</v>
      </c>
      <c r="D35" s="186" t="s">
        <v>69</v>
      </c>
      <c r="E35" s="279">
        <v>5851429</v>
      </c>
      <c r="F35" s="279">
        <v>5851429</v>
      </c>
      <c r="G35" s="279">
        <v>3631429</v>
      </c>
      <c r="H35" s="279">
        <v>0</v>
      </c>
      <c r="I35" s="279">
        <v>373589</v>
      </c>
      <c r="J35" s="279">
        <v>282009</v>
      </c>
      <c r="K35" s="592">
        <v>646488</v>
      </c>
      <c r="L35" s="279">
        <v>646488</v>
      </c>
      <c r="M35" s="279">
        <v>4549343</v>
      </c>
      <c r="N35" s="279">
        <v>2329343</v>
      </c>
    </row>
    <row r="36" spans="1:14" x14ac:dyDescent="0.25">
      <c r="A36" s="186" t="s">
        <v>70</v>
      </c>
      <c r="B36" s="186" t="s">
        <v>136</v>
      </c>
      <c r="C36" s="186" t="s">
        <v>137</v>
      </c>
      <c r="D36" s="186" t="s">
        <v>69</v>
      </c>
      <c r="E36" s="279">
        <v>3080000</v>
      </c>
      <c r="F36" s="279">
        <v>3080000</v>
      </c>
      <c r="G36" s="279">
        <v>860000</v>
      </c>
      <c r="H36" s="279">
        <v>0</v>
      </c>
      <c r="I36" s="279">
        <v>0</v>
      </c>
      <c r="J36" s="279">
        <v>0</v>
      </c>
      <c r="K36" s="592">
        <v>0</v>
      </c>
      <c r="L36" s="279">
        <v>0</v>
      </c>
      <c r="M36" s="279">
        <v>3080000</v>
      </c>
      <c r="N36" s="279">
        <v>860000</v>
      </c>
    </row>
    <row r="37" spans="1:14" x14ac:dyDescent="0.25">
      <c r="A37" s="186" t="s">
        <v>70</v>
      </c>
      <c r="B37" s="186" t="s">
        <v>138</v>
      </c>
      <c r="C37" s="186" t="s">
        <v>139</v>
      </c>
      <c r="D37" s="186" t="s">
        <v>69</v>
      </c>
      <c r="E37" s="279">
        <v>2771429</v>
      </c>
      <c r="F37" s="279">
        <v>2771429</v>
      </c>
      <c r="G37" s="279">
        <v>2771429</v>
      </c>
      <c r="H37" s="279">
        <v>0</v>
      </c>
      <c r="I37" s="279">
        <v>373589</v>
      </c>
      <c r="J37" s="279">
        <v>282009</v>
      </c>
      <c r="K37" s="592">
        <v>646488</v>
      </c>
      <c r="L37" s="279">
        <v>646488</v>
      </c>
      <c r="M37" s="279">
        <v>1469343</v>
      </c>
      <c r="N37" s="279">
        <v>1469343</v>
      </c>
    </row>
    <row r="38" spans="1:14" x14ac:dyDescent="0.25">
      <c r="A38" s="186" t="s">
        <v>70</v>
      </c>
      <c r="B38" s="186" t="s">
        <v>140</v>
      </c>
      <c r="C38" s="186" t="s">
        <v>141</v>
      </c>
      <c r="D38" s="186" t="s">
        <v>69</v>
      </c>
      <c r="E38" s="279">
        <v>17774865</v>
      </c>
      <c r="F38" s="279">
        <v>17774865</v>
      </c>
      <c r="G38" s="279">
        <v>17774865</v>
      </c>
      <c r="H38" s="279">
        <v>24000</v>
      </c>
      <c r="I38" s="279">
        <v>1280645.5</v>
      </c>
      <c r="J38" s="279">
        <v>0</v>
      </c>
      <c r="K38" s="592">
        <v>8008140.1299999999</v>
      </c>
      <c r="L38" s="279">
        <v>7992140.1299999999</v>
      </c>
      <c r="M38" s="279">
        <v>8462079.3699999992</v>
      </c>
      <c r="N38" s="279">
        <v>8462079.3699999992</v>
      </c>
    </row>
    <row r="39" spans="1:14" x14ac:dyDescent="0.25">
      <c r="A39" s="186" t="s">
        <v>70</v>
      </c>
      <c r="B39" s="186" t="s">
        <v>142</v>
      </c>
      <c r="C39" s="186" t="s">
        <v>143</v>
      </c>
      <c r="D39" s="186" t="s">
        <v>69</v>
      </c>
      <c r="E39" s="279">
        <v>100000</v>
      </c>
      <c r="F39" s="279">
        <v>100000</v>
      </c>
      <c r="G39" s="279">
        <v>100000</v>
      </c>
      <c r="H39" s="279">
        <v>0</v>
      </c>
      <c r="I39" s="279">
        <v>0</v>
      </c>
      <c r="J39" s="279">
        <v>0</v>
      </c>
      <c r="K39" s="592">
        <v>0</v>
      </c>
      <c r="L39" s="279">
        <v>0</v>
      </c>
      <c r="M39" s="279">
        <v>100000</v>
      </c>
      <c r="N39" s="279">
        <v>100000</v>
      </c>
    </row>
    <row r="40" spans="1:14" x14ac:dyDescent="0.25">
      <c r="A40" s="186" t="s">
        <v>70</v>
      </c>
      <c r="B40" s="186" t="s">
        <v>144</v>
      </c>
      <c r="C40" s="186" t="s">
        <v>145</v>
      </c>
      <c r="D40" s="186" t="s">
        <v>69</v>
      </c>
      <c r="E40" s="279">
        <v>6685715</v>
      </c>
      <c r="F40" s="279">
        <v>6685715</v>
      </c>
      <c r="G40" s="279">
        <v>6685715</v>
      </c>
      <c r="H40" s="279">
        <v>24000</v>
      </c>
      <c r="I40" s="279">
        <v>1247765</v>
      </c>
      <c r="J40" s="279">
        <v>0</v>
      </c>
      <c r="K40" s="592">
        <v>4337250</v>
      </c>
      <c r="L40" s="279">
        <v>4321250</v>
      </c>
      <c r="M40" s="279">
        <v>1076700</v>
      </c>
      <c r="N40" s="279">
        <v>1076700</v>
      </c>
    </row>
    <row r="41" spans="1:14" x14ac:dyDescent="0.25">
      <c r="A41" s="186" t="s">
        <v>70</v>
      </c>
      <c r="B41" s="186" t="s">
        <v>146</v>
      </c>
      <c r="C41" s="186" t="s">
        <v>147</v>
      </c>
      <c r="D41" s="186" t="s">
        <v>69</v>
      </c>
      <c r="E41" s="279">
        <v>5170968</v>
      </c>
      <c r="F41" s="279">
        <v>5170968</v>
      </c>
      <c r="G41" s="279">
        <v>5170968</v>
      </c>
      <c r="H41" s="279">
        <v>0</v>
      </c>
      <c r="I41" s="279">
        <v>29629.16</v>
      </c>
      <c r="J41" s="279">
        <v>0</v>
      </c>
      <c r="K41" s="592">
        <v>2021636.72</v>
      </c>
      <c r="L41" s="279">
        <v>2021636.72</v>
      </c>
      <c r="M41" s="279">
        <v>3119702.12</v>
      </c>
      <c r="N41" s="279">
        <v>3119702.12</v>
      </c>
    </row>
    <row r="42" spans="1:14" x14ac:dyDescent="0.25">
      <c r="A42" s="186" t="s">
        <v>70</v>
      </c>
      <c r="B42" s="186" t="s">
        <v>148</v>
      </c>
      <c r="C42" s="186" t="s">
        <v>149</v>
      </c>
      <c r="D42" s="186" t="s">
        <v>69</v>
      </c>
      <c r="E42" s="279">
        <v>5818182</v>
      </c>
      <c r="F42" s="279">
        <v>5818182</v>
      </c>
      <c r="G42" s="279">
        <v>5818182</v>
      </c>
      <c r="H42" s="279">
        <v>0</v>
      </c>
      <c r="I42" s="279">
        <v>3251.34</v>
      </c>
      <c r="J42" s="279">
        <v>0</v>
      </c>
      <c r="K42" s="592">
        <v>1649253.41</v>
      </c>
      <c r="L42" s="279">
        <v>1649253.41</v>
      </c>
      <c r="M42" s="279">
        <v>4165677.25</v>
      </c>
      <c r="N42" s="279">
        <v>4165677.25</v>
      </c>
    </row>
    <row r="43" spans="1:14" x14ac:dyDescent="0.25">
      <c r="A43" s="186" t="s">
        <v>70</v>
      </c>
      <c r="B43" s="186" t="s">
        <v>150</v>
      </c>
      <c r="C43" s="186" t="s">
        <v>151</v>
      </c>
      <c r="D43" s="186" t="s">
        <v>69</v>
      </c>
      <c r="E43" s="279">
        <v>32290000</v>
      </c>
      <c r="F43" s="279">
        <v>32290000</v>
      </c>
      <c r="G43" s="279">
        <v>22599092.969999999</v>
      </c>
      <c r="H43" s="279">
        <v>0</v>
      </c>
      <c r="I43" s="279">
        <v>11961630</v>
      </c>
      <c r="J43" s="279">
        <v>0</v>
      </c>
      <c r="K43" s="592">
        <v>3277533</v>
      </c>
      <c r="L43" s="279">
        <v>2990873</v>
      </c>
      <c r="M43" s="279">
        <v>17050837</v>
      </c>
      <c r="N43" s="279">
        <v>7359929.9699999997</v>
      </c>
    </row>
    <row r="44" spans="1:14" x14ac:dyDescent="0.25">
      <c r="A44" s="186" t="s">
        <v>70</v>
      </c>
      <c r="B44" s="186" t="s">
        <v>152</v>
      </c>
      <c r="C44" s="186" t="s">
        <v>153</v>
      </c>
      <c r="D44" s="186" t="s">
        <v>69</v>
      </c>
      <c r="E44" s="279">
        <v>32290000</v>
      </c>
      <c r="F44" s="279">
        <v>32290000</v>
      </c>
      <c r="G44" s="279">
        <v>22599092.969999999</v>
      </c>
      <c r="H44" s="279">
        <v>0</v>
      </c>
      <c r="I44" s="279">
        <v>11961630</v>
      </c>
      <c r="J44" s="279">
        <v>0</v>
      </c>
      <c r="K44" s="592">
        <v>3277533</v>
      </c>
      <c r="L44" s="279">
        <v>2990873</v>
      </c>
      <c r="M44" s="279">
        <v>17050837</v>
      </c>
      <c r="N44" s="279">
        <v>7359929.9699999997</v>
      </c>
    </row>
    <row r="45" spans="1:14" x14ac:dyDescent="0.25">
      <c r="A45" s="186" t="s">
        <v>70</v>
      </c>
      <c r="B45" s="186" t="s">
        <v>154</v>
      </c>
      <c r="C45" s="186" t="s">
        <v>155</v>
      </c>
      <c r="D45" s="186" t="s">
        <v>69</v>
      </c>
      <c r="E45" s="279">
        <v>2150000</v>
      </c>
      <c r="F45" s="279">
        <v>1031135</v>
      </c>
      <c r="G45" s="279">
        <v>600000</v>
      </c>
      <c r="H45" s="279">
        <v>0</v>
      </c>
      <c r="I45" s="279">
        <v>500000</v>
      </c>
      <c r="J45" s="279">
        <v>0</v>
      </c>
      <c r="K45" s="592">
        <v>0</v>
      </c>
      <c r="L45" s="279">
        <v>0</v>
      </c>
      <c r="M45" s="279">
        <v>531135</v>
      </c>
      <c r="N45" s="279">
        <v>100000</v>
      </c>
    </row>
    <row r="46" spans="1:14" x14ac:dyDescent="0.25">
      <c r="A46" s="186" t="s">
        <v>70</v>
      </c>
      <c r="B46" s="186" t="s">
        <v>156</v>
      </c>
      <c r="C46" s="186" t="s">
        <v>157</v>
      </c>
      <c r="D46" s="186" t="s">
        <v>69</v>
      </c>
      <c r="E46" s="279">
        <v>0</v>
      </c>
      <c r="F46" s="279">
        <v>0</v>
      </c>
      <c r="G46" s="279">
        <v>0</v>
      </c>
      <c r="H46" s="279">
        <v>0</v>
      </c>
      <c r="I46" s="279">
        <v>0</v>
      </c>
      <c r="J46" s="279">
        <v>0</v>
      </c>
      <c r="K46" s="592">
        <v>0</v>
      </c>
      <c r="L46" s="279">
        <v>0</v>
      </c>
      <c r="M46" s="279">
        <v>0</v>
      </c>
      <c r="N46" s="279">
        <v>0</v>
      </c>
    </row>
    <row r="47" spans="1:14" x14ac:dyDescent="0.25">
      <c r="A47" s="186" t="s">
        <v>70</v>
      </c>
      <c r="B47" s="186" t="s">
        <v>158</v>
      </c>
      <c r="C47" s="186" t="s">
        <v>159</v>
      </c>
      <c r="D47" s="186" t="s">
        <v>69</v>
      </c>
      <c r="E47" s="279">
        <v>1550000</v>
      </c>
      <c r="F47" s="279">
        <v>431135</v>
      </c>
      <c r="G47" s="279">
        <v>0</v>
      </c>
      <c r="H47" s="279">
        <v>0</v>
      </c>
      <c r="I47" s="279">
        <v>0</v>
      </c>
      <c r="J47" s="279">
        <v>0</v>
      </c>
      <c r="K47" s="592">
        <v>0</v>
      </c>
      <c r="L47" s="279">
        <v>0</v>
      </c>
      <c r="M47" s="279">
        <v>431135</v>
      </c>
      <c r="N47" s="279">
        <v>0</v>
      </c>
    </row>
    <row r="48" spans="1:14" x14ac:dyDescent="0.25">
      <c r="A48" s="186" t="s">
        <v>70</v>
      </c>
      <c r="B48" s="186" t="s">
        <v>160</v>
      </c>
      <c r="C48" s="186" t="s">
        <v>161</v>
      </c>
      <c r="D48" s="186" t="s">
        <v>69</v>
      </c>
      <c r="E48" s="279">
        <v>600000</v>
      </c>
      <c r="F48" s="279">
        <v>600000</v>
      </c>
      <c r="G48" s="279">
        <v>600000</v>
      </c>
      <c r="H48" s="279">
        <v>0</v>
      </c>
      <c r="I48" s="279">
        <v>500000</v>
      </c>
      <c r="J48" s="279">
        <v>0</v>
      </c>
      <c r="K48" s="592">
        <v>0</v>
      </c>
      <c r="L48" s="279">
        <v>0</v>
      </c>
      <c r="M48" s="279">
        <v>100000</v>
      </c>
      <c r="N48" s="279">
        <v>100000</v>
      </c>
    </row>
    <row r="49" spans="1:14" x14ac:dyDescent="0.25">
      <c r="A49" s="186" t="s">
        <v>70</v>
      </c>
      <c r="B49" s="186" t="s">
        <v>162</v>
      </c>
      <c r="C49" s="186" t="s">
        <v>163</v>
      </c>
      <c r="D49" s="186" t="s">
        <v>69</v>
      </c>
      <c r="E49" s="279">
        <v>17019667</v>
      </c>
      <c r="F49" s="279">
        <v>17019667</v>
      </c>
      <c r="G49" s="279">
        <v>17019667</v>
      </c>
      <c r="H49" s="279">
        <v>0</v>
      </c>
      <c r="I49" s="279">
        <v>1578600</v>
      </c>
      <c r="J49" s="279">
        <v>359400</v>
      </c>
      <c r="K49" s="592">
        <v>1634620.85</v>
      </c>
      <c r="L49" s="279">
        <v>1335129.3500000001</v>
      </c>
      <c r="M49" s="279">
        <v>13447046.15</v>
      </c>
      <c r="N49" s="279">
        <v>13447046.15</v>
      </c>
    </row>
    <row r="50" spans="1:14" x14ac:dyDescent="0.25">
      <c r="A50" s="186" t="s">
        <v>70</v>
      </c>
      <c r="B50" s="186" t="s">
        <v>164</v>
      </c>
      <c r="C50" s="186" t="s">
        <v>165</v>
      </c>
      <c r="D50" s="186" t="s">
        <v>69</v>
      </c>
      <c r="E50" s="279">
        <v>300000</v>
      </c>
      <c r="F50" s="279">
        <v>300000</v>
      </c>
      <c r="G50" s="279">
        <v>300000</v>
      </c>
      <c r="H50" s="279">
        <v>0</v>
      </c>
      <c r="I50" s="279">
        <v>0</v>
      </c>
      <c r="J50" s="279">
        <v>0</v>
      </c>
      <c r="K50" s="592">
        <v>0</v>
      </c>
      <c r="L50" s="279">
        <v>0</v>
      </c>
      <c r="M50" s="279">
        <v>300000</v>
      </c>
      <c r="N50" s="279">
        <v>300000</v>
      </c>
    </row>
    <row r="51" spans="1:14" x14ac:dyDescent="0.25">
      <c r="A51" s="186" t="s">
        <v>70</v>
      </c>
      <c r="B51" s="186" t="s">
        <v>166</v>
      </c>
      <c r="C51" s="186" t="s">
        <v>167</v>
      </c>
      <c r="D51" s="186" t="s">
        <v>69</v>
      </c>
      <c r="E51" s="279">
        <v>9066667</v>
      </c>
      <c r="F51" s="279">
        <v>9066667</v>
      </c>
      <c r="G51" s="279">
        <v>9066667</v>
      </c>
      <c r="H51" s="279">
        <v>0</v>
      </c>
      <c r="I51" s="279">
        <v>1001000</v>
      </c>
      <c r="J51" s="279">
        <v>0</v>
      </c>
      <c r="K51" s="592">
        <v>98201</v>
      </c>
      <c r="L51" s="279">
        <v>98201</v>
      </c>
      <c r="M51" s="279">
        <v>7967466</v>
      </c>
      <c r="N51" s="279">
        <v>7967466</v>
      </c>
    </row>
    <row r="52" spans="1:14" x14ac:dyDescent="0.25">
      <c r="A52" s="186" t="s">
        <v>70</v>
      </c>
      <c r="B52" s="186" t="s">
        <v>168</v>
      </c>
      <c r="C52" s="186" t="s">
        <v>169</v>
      </c>
      <c r="D52" s="186" t="s">
        <v>69</v>
      </c>
      <c r="E52" s="279">
        <v>2900000</v>
      </c>
      <c r="F52" s="279">
        <v>2900000</v>
      </c>
      <c r="G52" s="279">
        <v>2900000</v>
      </c>
      <c r="H52" s="279">
        <v>0</v>
      </c>
      <c r="I52" s="279">
        <v>327600</v>
      </c>
      <c r="J52" s="279">
        <v>0</v>
      </c>
      <c r="K52" s="592">
        <v>1093400</v>
      </c>
      <c r="L52" s="279">
        <v>1093400</v>
      </c>
      <c r="M52" s="279">
        <v>1479000</v>
      </c>
      <c r="N52" s="279">
        <v>1479000</v>
      </c>
    </row>
    <row r="53" spans="1:14" x14ac:dyDescent="0.25">
      <c r="A53" s="186" t="s">
        <v>70</v>
      </c>
      <c r="B53" s="186" t="s">
        <v>170</v>
      </c>
      <c r="C53" s="186" t="s">
        <v>171</v>
      </c>
      <c r="D53" s="186" t="s">
        <v>69</v>
      </c>
      <c r="E53" s="279">
        <v>393000</v>
      </c>
      <c r="F53" s="279">
        <v>393000</v>
      </c>
      <c r="G53" s="279">
        <v>393000</v>
      </c>
      <c r="H53" s="279">
        <v>0</v>
      </c>
      <c r="I53" s="279">
        <v>0</v>
      </c>
      <c r="J53" s="279">
        <v>0</v>
      </c>
      <c r="K53" s="592">
        <v>0</v>
      </c>
      <c r="L53" s="279">
        <v>0</v>
      </c>
      <c r="M53" s="279">
        <v>393000</v>
      </c>
      <c r="N53" s="279">
        <v>393000</v>
      </c>
    </row>
    <row r="54" spans="1:14" x14ac:dyDescent="0.25">
      <c r="A54" s="186" t="s">
        <v>70</v>
      </c>
      <c r="B54" s="186" t="s">
        <v>172</v>
      </c>
      <c r="C54" s="186" t="s">
        <v>173</v>
      </c>
      <c r="D54" s="186" t="s">
        <v>69</v>
      </c>
      <c r="E54" s="279">
        <v>4360000</v>
      </c>
      <c r="F54" s="279">
        <v>4360000</v>
      </c>
      <c r="G54" s="279">
        <v>4360000</v>
      </c>
      <c r="H54" s="279">
        <v>0</v>
      </c>
      <c r="I54" s="279">
        <v>250000</v>
      </c>
      <c r="J54" s="279">
        <v>359400</v>
      </c>
      <c r="K54" s="592">
        <v>443019.85</v>
      </c>
      <c r="L54" s="279">
        <v>143528.35</v>
      </c>
      <c r="M54" s="279">
        <v>3307580.15</v>
      </c>
      <c r="N54" s="279">
        <v>3307580.15</v>
      </c>
    </row>
    <row r="55" spans="1:14" x14ac:dyDescent="0.25">
      <c r="A55" s="186" t="s">
        <v>70</v>
      </c>
      <c r="B55" s="186" t="s">
        <v>174</v>
      </c>
      <c r="C55" s="186" t="s">
        <v>175</v>
      </c>
      <c r="D55" s="186" t="s">
        <v>69</v>
      </c>
      <c r="E55" s="279">
        <v>681819</v>
      </c>
      <c r="F55" s="279">
        <v>1250684</v>
      </c>
      <c r="G55" s="279">
        <v>1250684</v>
      </c>
      <c r="H55" s="279">
        <v>0</v>
      </c>
      <c r="I55" s="279">
        <v>724463</v>
      </c>
      <c r="J55" s="279">
        <v>0</v>
      </c>
      <c r="K55" s="592">
        <v>237356</v>
      </c>
      <c r="L55" s="279">
        <v>128555</v>
      </c>
      <c r="M55" s="279">
        <v>288865</v>
      </c>
      <c r="N55" s="279">
        <v>288865</v>
      </c>
    </row>
    <row r="56" spans="1:14" x14ac:dyDescent="0.25">
      <c r="A56" s="186" t="s">
        <v>70</v>
      </c>
      <c r="B56" s="186" t="s">
        <v>176</v>
      </c>
      <c r="C56" s="186" t="s">
        <v>177</v>
      </c>
      <c r="D56" s="186" t="s">
        <v>69</v>
      </c>
      <c r="E56" s="279">
        <v>681819</v>
      </c>
      <c r="F56" s="279">
        <v>1250684</v>
      </c>
      <c r="G56" s="279">
        <v>1250684</v>
      </c>
      <c r="H56" s="279">
        <v>0</v>
      </c>
      <c r="I56" s="279">
        <v>724463</v>
      </c>
      <c r="J56" s="279">
        <v>0</v>
      </c>
      <c r="K56" s="592">
        <v>237356</v>
      </c>
      <c r="L56" s="279">
        <v>128555</v>
      </c>
      <c r="M56" s="279">
        <v>288865</v>
      </c>
      <c r="N56" s="279">
        <v>288865</v>
      </c>
    </row>
    <row r="57" spans="1:14" x14ac:dyDescent="0.25">
      <c r="A57" s="186" t="s">
        <v>70</v>
      </c>
      <c r="B57" s="186" t="s">
        <v>178</v>
      </c>
      <c r="C57" s="186" t="s">
        <v>179</v>
      </c>
      <c r="D57" s="186" t="s">
        <v>69</v>
      </c>
      <c r="E57" s="279">
        <v>1000000</v>
      </c>
      <c r="F57" s="279">
        <v>1000000</v>
      </c>
      <c r="G57" s="279">
        <v>1000000</v>
      </c>
      <c r="H57" s="279">
        <v>0</v>
      </c>
      <c r="I57" s="279">
        <v>1000000</v>
      </c>
      <c r="J57" s="279">
        <v>0</v>
      </c>
      <c r="K57" s="592">
        <v>0</v>
      </c>
      <c r="L57" s="279">
        <v>0</v>
      </c>
      <c r="M57" s="279">
        <v>0</v>
      </c>
      <c r="N57" s="279">
        <v>0</v>
      </c>
    </row>
    <row r="58" spans="1:14" x14ac:dyDescent="0.25">
      <c r="A58" s="186" t="s">
        <v>70</v>
      </c>
      <c r="B58" s="186" t="s">
        <v>182</v>
      </c>
      <c r="C58" s="186" t="s">
        <v>183</v>
      </c>
      <c r="D58" s="186" t="s">
        <v>69</v>
      </c>
      <c r="E58" s="279">
        <v>1000000</v>
      </c>
      <c r="F58" s="279">
        <v>1000000</v>
      </c>
      <c r="G58" s="279">
        <v>1000000</v>
      </c>
      <c r="H58" s="279">
        <v>0</v>
      </c>
      <c r="I58" s="279">
        <v>1000000</v>
      </c>
      <c r="J58" s="279">
        <v>0</v>
      </c>
      <c r="K58" s="592">
        <v>0</v>
      </c>
      <c r="L58" s="279">
        <v>0</v>
      </c>
      <c r="M58" s="279">
        <v>0</v>
      </c>
      <c r="N58" s="279">
        <v>0</v>
      </c>
    </row>
    <row r="59" spans="1:14" x14ac:dyDescent="0.25">
      <c r="A59" s="186" t="s">
        <v>70</v>
      </c>
      <c r="B59" s="186" t="s">
        <v>184</v>
      </c>
      <c r="C59" s="186" t="s">
        <v>185</v>
      </c>
      <c r="D59" s="186" t="s">
        <v>69</v>
      </c>
      <c r="E59" s="279">
        <v>42229000</v>
      </c>
      <c r="F59" s="279">
        <v>42229000</v>
      </c>
      <c r="G59" s="279">
        <v>38129000</v>
      </c>
      <c r="H59" s="279">
        <v>1863531.39</v>
      </c>
      <c r="I59" s="279">
        <v>4784539.45</v>
      </c>
      <c r="J59" s="279">
        <v>710171.03</v>
      </c>
      <c r="K59" s="592">
        <v>19188039.379999999</v>
      </c>
      <c r="L59" s="279">
        <v>19188039.379999999</v>
      </c>
      <c r="M59" s="279">
        <v>15682718.75</v>
      </c>
      <c r="N59" s="279">
        <v>11582718.75</v>
      </c>
    </row>
    <row r="60" spans="1:14" x14ac:dyDescent="0.25">
      <c r="A60" s="186" t="s">
        <v>70</v>
      </c>
      <c r="B60" s="186" t="s">
        <v>186</v>
      </c>
      <c r="C60" s="186" t="s">
        <v>187</v>
      </c>
      <c r="D60" s="186" t="s">
        <v>69</v>
      </c>
      <c r="E60" s="279">
        <v>17137000</v>
      </c>
      <c r="F60" s="279">
        <v>17137000</v>
      </c>
      <c r="G60" s="279">
        <v>13037000</v>
      </c>
      <c r="H60" s="279">
        <v>0</v>
      </c>
      <c r="I60" s="279">
        <v>2092922</v>
      </c>
      <c r="J60" s="279">
        <v>0</v>
      </c>
      <c r="K60" s="592">
        <v>9958763</v>
      </c>
      <c r="L60" s="279">
        <v>9958763</v>
      </c>
      <c r="M60" s="279">
        <v>5085315</v>
      </c>
      <c r="N60" s="279">
        <v>985315</v>
      </c>
    </row>
    <row r="61" spans="1:14" x14ac:dyDescent="0.25">
      <c r="A61" s="186" t="s">
        <v>70</v>
      </c>
      <c r="B61" s="186" t="s">
        <v>188</v>
      </c>
      <c r="C61" s="186" t="s">
        <v>189</v>
      </c>
      <c r="D61" s="186" t="s">
        <v>69</v>
      </c>
      <c r="E61" s="279">
        <v>11100000</v>
      </c>
      <c r="F61" s="279">
        <v>11100000</v>
      </c>
      <c r="G61" s="279">
        <v>7000000</v>
      </c>
      <c r="H61" s="279">
        <v>0</v>
      </c>
      <c r="I61" s="279">
        <v>2092922</v>
      </c>
      <c r="J61" s="279">
        <v>0</v>
      </c>
      <c r="K61" s="592">
        <v>4907078</v>
      </c>
      <c r="L61" s="279">
        <v>4907078</v>
      </c>
      <c r="M61" s="279">
        <v>4100000</v>
      </c>
      <c r="N61" s="279">
        <v>0</v>
      </c>
    </row>
    <row r="62" spans="1:14" x14ac:dyDescent="0.25">
      <c r="A62" s="186" t="s">
        <v>70</v>
      </c>
      <c r="B62" s="186" t="s">
        <v>190</v>
      </c>
      <c r="C62" s="186" t="s">
        <v>191</v>
      </c>
      <c r="D62" s="186" t="s">
        <v>69</v>
      </c>
      <c r="E62" s="279">
        <v>5000000</v>
      </c>
      <c r="F62" s="279">
        <v>5000000</v>
      </c>
      <c r="G62" s="279">
        <v>5000000</v>
      </c>
      <c r="H62" s="279">
        <v>0</v>
      </c>
      <c r="I62" s="279">
        <v>0</v>
      </c>
      <c r="J62" s="279">
        <v>0</v>
      </c>
      <c r="K62" s="592">
        <v>4948905</v>
      </c>
      <c r="L62" s="279">
        <v>4948905</v>
      </c>
      <c r="M62" s="279">
        <v>51095</v>
      </c>
      <c r="N62" s="279">
        <v>51095</v>
      </c>
    </row>
    <row r="63" spans="1:14" x14ac:dyDescent="0.25">
      <c r="A63" s="186" t="s">
        <v>70</v>
      </c>
      <c r="B63" s="186" t="s">
        <v>192</v>
      </c>
      <c r="C63" s="186" t="s">
        <v>193</v>
      </c>
      <c r="D63" s="186" t="s">
        <v>69</v>
      </c>
      <c r="E63" s="279">
        <v>126000</v>
      </c>
      <c r="F63" s="279">
        <v>126000</v>
      </c>
      <c r="G63" s="279">
        <v>126000</v>
      </c>
      <c r="H63" s="279">
        <v>0</v>
      </c>
      <c r="I63" s="279">
        <v>0</v>
      </c>
      <c r="J63" s="279">
        <v>0</v>
      </c>
      <c r="K63" s="592">
        <v>102780</v>
      </c>
      <c r="L63" s="279">
        <v>102780</v>
      </c>
      <c r="M63" s="279">
        <v>23220</v>
      </c>
      <c r="N63" s="279">
        <v>23220</v>
      </c>
    </row>
    <row r="64" spans="1:14" x14ac:dyDescent="0.25">
      <c r="A64" s="186" t="s">
        <v>70</v>
      </c>
      <c r="B64" s="186" t="s">
        <v>194</v>
      </c>
      <c r="C64" s="186" t="s">
        <v>195</v>
      </c>
      <c r="D64" s="186" t="s">
        <v>69</v>
      </c>
      <c r="E64" s="279">
        <v>911000</v>
      </c>
      <c r="F64" s="279">
        <v>911000</v>
      </c>
      <c r="G64" s="279">
        <v>911000</v>
      </c>
      <c r="H64" s="279">
        <v>0</v>
      </c>
      <c r="I64" s="279">
        <v>0</v>
      </c>
      <c r="J64" s="279">
        <v>0</v>
      </c>
      <c r="K64" s="592">
        <v>0</v>
      </c>
      <c r="L64" s="279">
        <v>0</v>
      </c>
      <c r="M64" s="279">
        <v>911000</v>
      </c>
      <c r="N64" s="279">
        <v>911000</v>
      </c>
    </row>
    <row r="65" spans="1:14" x14ac:dyDescent="0.25">
      <c r="A65" s="186" t="s">
        <v>70</v>
      </c>
      <c r="B65" s="186" t="s">
        <v>196</v>
      </c>
      <c r="C65" s="186" t="s">
        <v>197</v>
      </c>
      <c r="D65" s="186" t="s">
        <v>69</v>
      </c>
      <c r="E65" s="279">
        <v>3000000</v>
      </c>
      <c r="F65" s="279">
        <v>3000000</v>
      </c>
      <c r="G65" s="279">
        <v>3000000</v>
      </c>
      <c r="H65" s="279">
        <v>0</v>
      </c>
      <c r="I65" s="279">
        <v>655089</v>
      </c>
      <c r="J65" s="279">
        <v>0</v>
      </c>
      <c r="K65" s="592">
        <v>1373924</v>
      </c>
      <c r="L65" s="279">
        <v>1373924</v>
      </c>
      <c r="M65" s="279">
        <v>970987</v>
      </c>
      <c r="N65" s="279">
        <v>970987</v>
      </c>
    </row>
    <row r="66" spans="1:14" x14ac:dyDescent="0.25">
      <c r="A66" s="186" t="s">
        <v>70</v>
      </c>
      <c r="B66" s="186" t="s">
        <v>198</v>
      </c>
      <c r="C66" s="186" t="s">
        <v>199</v>
      </c>
      <c r="D66" s="186" t="s">
        <v>69</v>
      </c>
      <c r="E66" s="279">
        <v>3000000</v>
      </c>
      <c r="F66" s="279">
        <v>3000000</v>
      </c>
      <c r="G66" s="279">
        <v>3000000</v>
      </c>
      <c r="H66" s="279">
        <v>0</v>
      </c>
      <c r="I66" s="279">
        <v>655089</v>
      </c>
      <c r="J66" s="279">
        <v>0</v>
      </c>
      <c r="K66" s="592">
        <v>1373924</v>
      </c>
      <c r="L66" s="279">
        <v>1373924</v>
      </c>
      <c r="M66" s="279">
        <v>970987</v>
      </c>
      <c r="N66" s="279">
        <v>970987</v>
      </c>
    </row>
    <row r="67" spans="1:14" x14ac:dyDescent="0.25">
      <c r="A67" s="186" t="s">
        <v>70</v>
      </c>
      <c r="B67" s="186" t="s">
        <v>200</v>
      </c>
      <c r="C67" s="186" t="s">
        <v>201</v>
      </c>
      <c r="D67" s="186" t="s">
        <v>69</v>
      </c>
      <c r="E67" s="279">
        <v>936000</v>
      </c>
      <c r="F67" s="279">
        <v>936000</v>
      </c>
      <c r="G67" s="279">
        <v>936000</v>
      </c>
      <c r="H67" s="279">
        <v>0</v>
      </c>
      <c r="I67" s="279">
        <v>80000</v>
      </c>
      <c r="J67" s="279">
        <v>162547.20000000001</v>
      </c>
      <c r="K67" s="592">
        <v>508225</v>
      </c>
      <c r="L67" s="279">
        <v>508225</v>
      </c>
      <c r="M67" s="279">
        <v>185227.8</v>
      </c>
      <c r="N67" s="279">
        <v>185227.8</v>
      </c>
    </row>
    <row r="68" spans="1:14" x14ac:dyDescent="0.25">
      <c r="A68" s="186" t="s">
        <v>70</v>
      </c>
      <c r="B68" s="186" t="s">
        <v>202</v>
      </c>
      <c r="C68" s="186" t="s">
        <v>203</v>
      </c>
      <c r="D68" s="186" t="s">
        <v>69</v>
      </c>
      <c r="E68" s="279">
        <v>771000</v>
      </c>
      <c r="F68" s="279">
        <v>771000</v>
      </c>
      <c r="G68" s="279">
        <v>771000</v>
      </c>
      <c r="H68" s="279">
        <v>0</v>
      </c>
      <c r="I68" s="279">
        <v>80000</v>
      </c>
      <c r="J68" s="279">
        <v>0</v>
      </c>
      <c r="K68" s="592">
        <v>508225</v>
      </c>
      <c r="L68" s="279">
        <v>508225</v>
      </c>
      <c r="M68" s="279">
        <v>182775</v>
      </c>
      <c r="N68" s="279">
        <v>182775</v>
      </c>
    </row>
    <row r="69" spans="1:14" x14ac:dyDescent="0.25">
      <c r="A69" s="186" t="s">
        <v>70</v>
      </c>
      <c r="B69" s="186" t="s">
        <v>204</v>
      </c>
      <c r="C69" s="186" t="s">
        <v>205</v>
      </c>
      <c r="D69" s="186" t="s">
        <v>69</v>
      </c>
      <c r="E69" s="279">
        <v>165000</v>
      </c>
      <c r="F69" s="279">
        <v>165000</v>
      </c>
      <c r="G69" s="279">
        <v>165000</v>
      </c>
      <c r="H69" s="279">
        <v>0</v>
      </c>
      <c r="I69" s="279">
        <v>0</v>
      </c>
      <c r="J69" s="279">
        <v>162547.20000000001</v>
      </c>
      <c r="K69" s="592">
        <v>0</v>
      </c>
      <c r="L69" s="279">
        <v>0</v>
      </c>
      <c r="M69" s="279">
        <v>2452.8000000000002</v>
      </c>
      <c r="N69" s="279">
        <v>2452.8000000000002</v>
      </c>
    </row>
    <row r="70" spans="1:14" x14ac:dyDescent="0.25">
      <c r="A70" s="186" t="s">
        <v>70</v>
      </c>
      <c r="B70" s="186" t="s">
        <v>206</v>
      </c>
      <c r="C70" s="186" t="s">
        <v>207</v>
      </c>
      <c r="D70" s="186" t="s">
        <v>69</v>
      </c>
      <c r="E70" s="279">
        <v>312000</v>
      </c>
      <c r="F70" s="279">
        <v>312000</v>
      </c>
      <c r="G70" s="279">
        <v>312000</v>
      </c>
      <c r="H70" s="279">
        <v>0</v>
      </c>
      <c r="I70" s="279">
        <v>0</v>
      </c>
      <c r="J70" s="279">
        <v>0</v>
      </c>
      <c r="K70" s="592">
        <v>0</v>
      </c>
      <c r="L70" s="279">
        <v>0</v>
      </c>
      <c r="M70" s="279">
        <v>312000</v>
      </c>
      <c r="N70" s="279">
        <v>312000</v>
      </c>
    </row>
    <row r="71" spans="1:14" x14ac:dyDescent="0.25">
      <c r="A71" s="186" t="s">
        <v>70</v>
      </c>
      <c r="B71" s="186" t="s">
        <v>208</v>
      </c>
      <c r="C71" s="186" t="s">
        <v>209</v>
      </c>
      <c r="D71" s="186" t="s">
        <v>69</v>
      </c>
      <c r="E71" s="279">
        <v>206000</v>
      </c>
      <c r="F71" s="279">
        <v>206000</v>
      </c>
      <c r="G71" s="279">
        <v>206000</v>
      </c>
      <c r="H71" s="279">
        <v>0</v>
      </c>
      <c r="I71" s="279">
        <v>0</v>
      </c>
      <c r="J71" s="279">
        <v>0</v>
      </c>
      <c r="K71" s="592">
        <v>0</v>
      </c>
      <c r="L71" s="279">
        <v>0</v>
      </c>
      <c r="M71" s="279">
        <v>206000</v>
      </c>
      <c r="N71" s="279">
        <v>206000</v>
      </c>
    </row>
    <row r="72" spans="1:14" x14ac:dyDescent="0.25">
      <c r="A72" s="186" t="s">
        <v>70</v>
      </c>
      <c r="B72" s="186" t="s">
        <v>210</v>
      </c>
      <c r="C72" s="186" t="s">
        <v>211</v>
      </c>
      <c r="D72" s="186" t="s">
        <v>69</v>
      </c>
      <c r="E72" s="279">
        <v>106000</v>
      </c>
      <c r="F72" s="279">
        <v>106000</v>
      </c>
      <c r="G72" s="279">
        <v>106000</v>
      </c>
      <c r="H72" s="279">
        <v>0</v>
      </c>
      <c r="I72" s="279">
        <v>0</v>
      </c>
      <c r="J72" s="279">
        <v>0</v>
      </c>
      <c r="K72" s="592">
        <v>0</v>
      </c>
      <c r="L72" s="279">
        <v>0</v>
      </c>
      <c r="M72" s="279">
        <v>106000</v>
      </c>
      <c r="N72" s="279">
        <v>106000</v>
      </c>
    </row>
    <row r="73" spans="1:14" x14ac:dyDescent="0.25">
      <c r="A73" s="186" t="s">
        <v>70</v>
      </c>
      <c r="B73" s="186" t="s">
        <v>212</v>
      </c>
      <c r="C73" s="186" t="s">
        <v>213</v>
      </c>
      <c r="D73" s="186" t="s">
        <v>69</v>
      </c>
      <c r="E73" s="279">
        <v>20844000</v>
      </c>
      <c r="F73" s="279">
        <v>20844000</v>
      </c>
      <c r="G73" s="279">
        <v>20844000</v>
      </c>
      <c r="H73" s="279">
        <v>1863531.39</v>
      </c>
      <c r="I73" s="279">
        <v>1956528.45</v>
      </c>
      <c r="J73" s="279">
        <v>547623.82999999996</v>
      </c>
      <c r="K73" s="592">
        <v>7347127.3799999999</v>
      </c>
      <c r="L73" s="279">
        <v>7347127.3799999999</v>
      </c>
      <c r="M73" s="279">
        <v>9129188.9499999993</v>
      </c>
      <c r="N73" s="279">
        <v>9129188.9499999993</v>
      </c>
    </row>
    <row r="74" spans="1:14" x14ac:dyDescent="0.25">
      <c r="A74" s="186" t="s">
        <v>70</v>
      </c>
      <c r="B74" s="186" t="s">
        <v>214</v>
      </c>
      <c r="C74" s="186" t="s">
        <v>215</v>
      </c>
      <c r="D74" s="186" t="s">
        <v>69</v>
      </c>
      <c r="E74" s="279">
        <v>3000000</v>
      </c>
      <c r="F74" s="279">
        <v>3000000</v>
      </c>
      <c r="G74" s="279">
        <v>3000000</v>
      </c>
      <c r="H74" s="279">
        <v>0</v>
      </c>
      <c r="I74" s="279">
        <v>777919.45</v>
      </c>
      <c r="J74" s="279">
        <v>547623.82999999996</v>
      </c>
      <c r="K74" s="592">
        <v>1486001.52</v>
      </c>
      <c r="L74" s="279">
        <v>1486001.52</v>
      </c>
      <c r="M74" s="279">
        <v>188455.2</v>
      </c>
      <c r="N74" s="279">
        <v>188455.2</v>
      </c>
    </row>
    <row r="75" spans="1:14" x14ac:dyDescent="0.25">
      <c r="A75" s="186" t="s">
        <v>70</v>
      </c>
      <c r="B75" s="186" t="s">
        <v>216</v>
      </c>
      <c r="C75" s="186" t="s">
        <v>217</v>
      </c>
      <c r="D75" s="186" t="s">
        <v>69</v>
      </c>
      <c r="E75" s="279">
        <v>271000</v>
      </c>
      <c r="F75" s="279">
        <v>271000</v>
      </c>
      <c r="G75" s="279">
        <v>271000</v>
      </c>
      <c r="H75" s="279">
        <v>0</v>
      </c>
      <c r="I75" s="279">
        <v>0</v>
      </c>
      <c r="J75" s="279">
        <v>0</v>
      </c>
      <c r="K75" s="592">
        <v>264500</v>
      </c>
      <c r="L75" s="279">
        <v>264500</v>
      </c>
      <c r="M75" s="279">
        <v>6500</v>
      </c>
      <c r="N75" s="279">
        <v>6500</v>
      </c>
    </row>
    <row r="76" spans="1:14" x14ac:dyDescent="0.25">
      <c r="A76" s="186" t="s">
        <v>70</v>
      </c>
      <c r="B76" s="186" t="s">
        <v>218</v>
      </c>
      <c r="C76" s="186" t="s">
        <v>219</v>
      </c>
      <c r="D76" s="186" t="s">
        <v>69</v>
      </c>
      <c r="E76" s="279">
        <v>12000000</v>
      </c>
      <c r="F76" s="279">
        <v>4000000</v>
      </c>
      <c r="G76" s="279">
        <v>4000000</v>
      </c>
      <c r="H76" s="279">
        <v>422531.39</v>
      </c>
      <c r="I76" s="279">
        <v>1067749</v>
      </c>
      <c r="J76" s="279">
        <v>0</v>
      </c>
      <c r="K76" s="592">
        <v>2499350.92</v>
      </c>
      <c r="L76" s="279">
        <v>2499350.92</v>
      </c>
      <c r="M76" s="279">
        <v>10368.69</v>
      </c>
      <c r="N76" s="279">
        <v>10368.69</v>
      </c>
    </row>
    <row r="77" spans="1:14" x14ac:dyDescent="0.25">
      <c r="A77" s="186" t="s">
        <v>70</v>
      </c>
      <c r="B77" s="186" t="s">
        <v>220</v>
      </c>
      <c r="C77" s="186" t="s">
        <v>221</v>
      </c>
      <c r="D77" s="186" t="s">
        <v>69</v>
      </c>
      <c r="E77" s="279">
        <v>1445000</v>
      </c>
      <c r="F77" s="279">
        <v>1445000</v>
      </c>
      <c r="G77" s="279">
        <v>1445000</v>
      </c>
      <c r="H77" s="279">
        <v>1441000</v>
      </c>
      <c r="I77" s="279">
        <v>0</v>
      </c>
      <c r="J77" s="279">
        <v>0</v>
      </c>
      <c r="K77" s="592">
        <v>0</v>
      </c>
      <c r="L77" s="279">
        <v>0</v>
      </c>
      <c r="M77" s="279">
        <v>4000</v>
      </c>
      <c r="N77" s="279">
        <v>4000</v>
      </c>
    </row>
    <row r="78" spans="1:14" x14ac:dyDescent="0.25">
      <c r="A78" s="186" t="s">
        <v>70</v>
      </c>
      <c r="B78" s="186" t="s">
        <v>222</v>
      </c>
      <c r="C78" s="186" t="s">
        <v>223</v>
      </c>
      <c r="D78" s="186" t="s">
        <v>69</v>
      </c>
      <c r="E78" s="279">
        <v>2500000</v>
      </c>
      <c r="F78" s="279">
        <v>10500000</v>
      </c>
      <c r="G78" s="279">
        <v>10500000</v>
      </c>
      <c r="H78" s="279">
        <v>0</v>
      </c>
      <c r="I78" s="279">
        <v>0</v>
      </c>
      <c r="J78" s="279">
        <v>0</v>
      </c>
      <c r="K78" s="592">
        <v>1823105.44</v>
      </c>
      <c r="L78" s="279">
        <v>1823105.44</v>
      </c>
      <c r="M78" s="279">
        <v>8676894.5600000005</v>
      </c>
      <c r="N78" s="279">
        <v>8676894.5600000005</v>
      </c>
    </row>
    <row r="79" spans="1:14" x14ac:dyDescent="0.25">
      <c r="A79" s="186" t="s">
        <v>70</v>
      </c>
      <c r="B79" s="186" t="s">
        <v>224</v>
      </c>
      <c r="C79" s="186" t="s">
        <v>225</v>
      </c>
      <c r="D79" s="186" t="s">
        <v>69</v>
      </c>
      <c r="E79" s="279">
        <v>66000</v>
      </c>
      <c r="F79" s="279">
        <v>66000</v>
      </c>
      <c r="G79" s="279">
        <v>66000</v>
      </c>
      <c r="H79" s="279">
        <v>0</v>
      </c>
      <c r="I79" s="279">
        <v>0</v>
      </c>
      <c r="J79" s="279">
        <v>0</v>
      </c>
      <c r="K79" s="592">
        <v>63800</v>
      </c>
      <c r="L79" s="279">
        <v>63800</v>
      </c>
      <c r="M79" s="279">
        <v>2200</v>
      </c>
      <c r="N79" s="279">
        <v>2200</v>
      </c>
    </row>
    <row r="80" spans="1:14" x14ac:dyDescent="0.25">
      <c r="A80" s="186" t="s">
        <v>70</v>
      </c>
      <c r="B80" s="186" t="s">
        <v>226</v>
      </c>
      <c r="C80" s="186" t="s">
        <v>227</v>
      </c>
      <c r="D80" s="186" t="s">
        <v>69</v>
      </c>
      <c r="E80" s="279">
        <v>562000</v>
      </c>
      <c r="F80" s="279">
        <v>562000</v>
      </c>
      <c r="G80" s="279">
        <v>562000</v>
      </c>
      <c r="H80" s="279">
        <v>0</v>
      </c>
      <c r="I80" s="279">
        <v>0</v>
      </c>
      <c r="J80" s="279">
        <v>0</v>
      </c>
      <c r="K80" s="592">
        <v>328670</v>
      </c>
      <c r="L80" s="279">
        <v>328670</v>
      </c>
      <c r="M80" s="279">
        <v>233330</v>
      </c>
      <c r="N80" s="279">
        <v>233330</v>
      </c>
    </row>
    <row r="81" spans="1:14" x14ac:dyDescent="0.25">
      <c r="A81" s="186" t="s">
        <v>70</v>
      </c>
      <c r="B81" s="186" t="s">
        <v>228</v>
      </c>
      <c r="C81" s="186" t="s">
        <v>229</v>
      </c>
      <c r="D81" s="186" t="s">
        <v>69</v>
      </c>
      <c r="E81" s="279">
        <v>1000000</v>
      </c>
      <c r="F81" s="279">
        <v>1000000</v>
      </c>
      <c r="G81" s="279">
        <v>1000000</v>
      </c>
      <c r="H81" s="279">
        <v>0</v>
      </c>
      <c r="I81" s="279">
        <v>110860</v>
      </c>
      <c r="J81" s="279">
        <v>0</v>
      </c>
      <c r="K81" s="592">
        <v>881699.5</v>
      </c>
      <c r="L81" s="279">
        <v>881699.5</v>
      </c>
      <c r="M81" s="279">
        <v>7440.5</v>
      </c>
      <c r="N81" s="279">
        <v>7440.5</v>
      </c>
    </row>
    <row r="82" spans="1:14" x14ac:dyDescent="0.25">
      <c r="A82" s="186" t="s">
        <v>70</v>
      </c>
      <c r="B82" s="186" t="s">
        <v>230</v>
      </c>
      <c r="C82" s="186" t="s">
        <v>231</v>
      </c>
      <c r="D82" s="186" t="s">
        <v>85</v>
      </c>
      <c r="E82" s="279">
        <v>17098648</v>
      </c>
      <c r="F82" s="279">
        <v>17098648</v>
      </c>
      <c r="G82" s="279">
        <v>17098648</v>
      </c>
      <c r="H82" s="279">
        <v>4526759.87</v>
      </c>
      <c r="I82" s="279">
        <v>1549576.5</v>
      </c>
      <c r="J82" s="279">
        <v>0</v>
      </c>
      <c r="K82" s="592">
        <v>0</v>
      </c>
      <c r="L82" s="279">
        <v>0</v>
      </c>
      <c r="M82" s="279">
        <v>11022311.630000001</v>
      </c>
      <c r="N82" s="279">
        <v>11022311.630000001</v>
      </c>
    </row>
    <row r="83" spans="1:14" x14ac:dyDescent="0.25">
      <c r="A83" s="186" t="s">
        <v>70</v>
      </c>
      <c r="B83" s="186" t="s">
        <v>232</v>
      </c>
      <c r="C83" s="186" t="s">
        <v>233</v>
      </c>
      <c r="D83" s="186" t="s">
        <v>85</v>
      </c>
      <c r="E83" s="279">
        <v>16598648</v>
      </c>
      <c r="F83" s="279">
        <v>16598648</v>
      </c>
      <c r="G83" s="279">
        <v>16598648</v>
      </c>
      <c r="H83" s="279">
        <v>4526759.87</v>
      </c>
      <c r="I83" s="279">
        <v>1549576.5</v>
      </c>
      <c r="J83" s="279">
        <v>0</v>
      </c>
      <c r="K83" s="592">
        <v>0</v>
      </c>
      <c r="L83" s="279">
        <v>0</v>
      </c>
      <c r="M83" s="279">
        <v>10522311.630000001</v>
      </c>
      <c r="N83" s="279">
        <v>10522311.630000001</v>
      </c>
    </row>
    <row r="84" spans="1:14" x14ac:dyDescent="0.25">
      <c r="A84" s="186" t="s">
        <v>70</v>
      </c>
      <c r="B84" s="186" t="s">
        <v>234</v>
      </c>
      <c r="C84" s="186" t="s">
        <v>235</v>
      </c>
      <c r="D84" s="186" t="s">
        <v>85</v>
      </c>
      <c r="E84" s="279">
        <v>3000000</v>
      </c>
      <c r="F84" s="279">
        <v>3000000</v>
      </c>
      <c r="G84" s="279">
        <v>3000000</v>
      </c>
      <c r="H84" s="279">
        <v>0</v>
      </c>
      <c r="I84" s="279">
        <v>0</v>
      </c>
      <c r="J84" s="279">
        <v>0</v>
      </c>
      <c r="K84" s="592">
        <v>0</v>
      </c>
      <c r="L84" s="279">
        <v>0</v>
      </c>
      <c r="M84" s="279">
        <v>3000000</v>
      </c>
      <c r="N84" s="279">
        <v>3000000</v>
      </c>
    </row>
    <row r="85" spans="1:14" x14ac:dyDescent="0.25">
      <c r="A85" s="186" t="s">
        <v>70</v>
      </c>
      <c r="B85" s="186" t="s">
        <v>236</v>
      </c>
      <c r="C85" s="186" t="s">
        <v>237</v>
      </c>
      <c r="D85" s="186" t="s">
        <v>85</v>
      </c>
      <c r="E85" s="279">
        <v>4000000</v>
      </c>
      <c r="F85" s="279">
        <v>4000000</v>
      </c>
      <c r="G85" s="279">
        <v>4000000</v>
      </c>
      <c r="H85" s="279">
        <v>0</v>
      </c>
      <c r="I85" s="279">
        <v>0</v>
      </c>
      <c r="J85" s="279">
        <v>0</v>
      </c>
      <c r="K85" s="592">
        <v>0</v>
      </c>
      <c r="L85" s="279">
        <v>0</v>
      </c>
      <c r="M85" s="279">
        <v>4000000</v>
      </c>
      <c r="N85" s="279">
        <v>4000000</v>
      </c>
    </row>
    <row r="86" spans="1:14" x14ac:dyDescent="0.25">
      <c r="A86" s="186" t="s">
        <v>70</v>
      </c>
      <c r="B86" s="186" t="s">
        <v>238</v>
      </c>
      <c r="C86" s="186" t="s">
        <v>239</v>
      </c>
      <c r="D86" s="186" t="s">
        <v>85</v>
      </c>
      <c r="E86" s="279">
        <v>6337648</v>
      </c>
      <c r="F86" s="279">
        <v>6337648</v>
      </c>
      <c r="G86" s="279">
        <v>6337648</v>
      </c>
      <c r="H86" s="279">
        <v>2286759.87</v>
      </c>
      <c r="I86" s="279">
        <v>1549576.5</v>
      </c>
      <c r="J86" s="279">
        <v>0</v>
      </c>
      <c r="K86" s="592">
        <v>0</v>
      </c>
      <c r="L86" s="279">
        <v>0</v>
      </c>
      <c r="M86" s="279">
        <v>2501311.63</v>
      </c>
      <c r="N86" s="279">
        <v>2501311.63</v>
      </c>
    </row>
    <row r="87" spans="1:14" x14ac:dyDescent="0.25">
      <c r="A87" s="186" t="s">
        <v>70</v>
      </c>
      <c r="B87" s="186" t="s">
        <v>240</v>
      </c>
      <c r="C87" s="186" t="s">
        <v>241</v>
      </c>
      <c r="D87" s="186" t="s">
        <v>85</v>
      </c>
      <c r="E87" s="279">
        <v>2261000</v>
      </c>
      <c r="F87" s="279">
        <v>2261000</v>
      </c>
      <c r="G87" s="279">
        <v>2261000</v>
      </c>
      <c r="H87" s="279">
        <v>2240000</v>
      </c>
      <c r="I87" s="279">
        <v>0</v>
      </c>
      <c r="J87" s="279">
        <v>0</v>
      </c>
      <c r="K87" s="592">
        <v>0</v>
      </c>
      <c r="L87" s="279">
        <v>0</v>
      </c>
      <c r="M87" s="279">
        <v>21000</v>
      </c>
      <c r="N87" s="279">
        <v>21000</v>
      </c>
    </row>
    <row r="88" spans="1:14" x14ac:dyDescent="0.25">
      <c r="A88" s="186" t="s">
        <v>70</v>
      </c>
      <c r="B88" s="186" t="s">
        <v>242</v>
      </c>
      <c r="C88" s="186" t="s">
        <v>243</v>
      </c>
      <c r="D88" s="186" t="s">
        <v>85</v>
      </c>
      <c r="E88" s="279">
        <v>1000000</v>
      </c>
      <c r="F88" s="279">
        <v>1000000</v>
      </c>
      <c r="G88" s="279">
        <v>1000000</v>
      </c>
      <c r="H88" s="279">
        <v>0</v>
      </c>
      <c r="I88" s="279">
        <v>0</v>
      </c>
      <c r="J88" s="279">
        <v>0</v>
      </c>
      <c r="K88" s="592">
        <v>0</v>
      </c>
      <c r="L88" s="279">
        <v>0</v>
      </c>
      <c r="M88" s="279">
        <v>1000000</v>
      </c>
      <c r="N88" s="279">
        <v>1000000</v>
      </c>
    </row>
    <row r="89" spans="1:14" x14ac:dyDescent="0.25">
      <c r="A89" s="186" t="s">
        <v>70</v>
      </c>
      <c r="B89" s="186" t="s">
        <v>244</v>
      </c>
      <c r="C89" s="186" t="s">
        <v>245</v>
      </c>
      <c r="D89" s="186" t="s">
        <v>85</v>
      </c>
      <c r="E89" s="279">
        <v>500000</v>
      </c>
      <c r="F89" s="279">
        <v>500000</v>
      </c>
      <c r="G89" s="279">
        <v>500000</v>
      </c>
      <c r="H89" s="279">
        <v>0</v>
      </c>
      <c r="I89" s="279">
        <v>0</v>
      </c>
      <c r="J89" s="279">
        <v>0</v>
      </c>
      <c r="K89" s="592">
        <v>0</v>
      </c>
      <c r="L89" s="279">
        <v>0</v>
      </c>
      <c r="M89" s="279">
        <v>500000</v>
      </c>
      <c r="N89" s="279">
        <v>500000</v>
      </c>
    </row>
    <row r="90" spans="1:14" x14ac:dyDescent="0.25">
      <c r="A90" s="186" t="s">
        <v>70</v>
      </c>
      <c r="B90" s="186" t="s">
        <v>246</v>
      </c>
      <c r="C90" s="186" t="s">
        <v>247</v>
      </c>
      <c r="D90" s="186" t="s">
        <v>85</v>
      </c>
      <c r="E90" s="279">
        <v>500000</v>
      </c>
      <c r="F90" s="279">
        <v>500000</v>
      </c>
      <c r="G90" s="279">
        <v>500000</v>
      </c>
      <c r="H90" s="279">
        <v>0</v>
      </c>
      <c r="I90" s="279">
        <v>0</v>
      </c>
      <c r="J90" s="279">
        <v>0</v>
      </c>
      <c r="K90" s="592">
        <v>0</v>
      </c>
      <c r="L90" s="279">
        <v>0</v>
      </c>
      <c r="M90" s="279">
        <v>500000</v>
      </c>
      <c r="N90" s="279">
        <v>500000</v>
      </c>
    </row>
    <row r="91" spans="1:14" x14ac:dyDescent="0.25">
      <c r="A91" s="186" t="s">
        <v>70</v>
      </c>
      <c r="B91" s="186" t="s">
        <v>248</v>
      </c>
      <c r="C91" s="186" t="s">
        <v>249</v>
      </c>
      <c r="D91" s="186" t="s">
        <v>69</v>
      </c>
      <c r="E91" s="279">
        <v>731283000</v>
      </c>
      <c r="F91" s="279">
        <v>752902365</v>
      </c>
      <c r="G91" s="279">
        <v>575721518</v>
      </c>
      <c r="H91" s="279">
        <v>0</v>
      </c>
      <c r="I91" s="279">
        <v>74883280.260000005</v>
      </c>
      <c r="J91" s="279">
        <v>0</v>
      </c>
      <c r="K91" s="592">
        <v>496729038.83999997</v>
      </c>
      <c r="L91" s="279">
        <v>496729038.83999997</v>
      </c>
      <c r="M91" s="279">
        <v>181290045.90000001</v>
      </c>
      <c r="N91" s="279">
        <v>4109198.9</v>
      </c>
    </row>
    <row r="92" spans="1:14" x14ac:dyDescent="0.25">
      <c r="A92" s="186" t="s">
        <v>70</v>
      </c>
      <c r="B92" s="186" t="s">
        <v>250</v>
      </c>
      <c r="C92" s="186" t="s">
        <v>251</v>
      </c>
      <c r="D92" s="186" t="s">
        <v>69</v>
      </c>
      <c r="E92" s="279">
        <v>268185000</v>
      </c>
      <c r="F92" s="279">
        <v>268185000</v>
      </c>
      <c r="G92" s="279">
        <v>196839403.30000001</v>
      </c>
      <c r="H92" s="279">
        <v>0</v>
      </c>
      <c r="I92" s="279">
        <v>25039069.850000001</v>
      </c>
      <c r="J92" s="279">
        <v>0</v>
      </c>
      <c r="K92" s="592">
        <v>171717359.55000001</v>
      </c>
      <c r="L92" s="279">
        <v>171717359.55000001</v>
      </c>
      <c r="M92" s="279">
        <v>71428570.599999994</v>
      </c>
      <c r="N92" s="279">
        <v>82973.899999999994</v>
      </c>
    </row>
    <row r="93" spans="1:14" x14ac:dyDescent="0.25">
      <c r="A93" s="186" t="s">
        <v>70</v>
      </c>
      <c r="B93" s="186" t="s">
        <v>252</v>
      </c>
      <c r="C93" s="186" t="s">
        <v>253</v>
      </c>
      <c r="D93" s="186" t="s">
        <v>69</v>
      </c>
      <c r="E93" s="279">
        <v>2000000</v>
      </c>
      <c r="F93" s="279">
        <v>2000000</v>
      </c>
      <c r="G93" s="279">
        <v>2000000</v>
      </c>
      <c r="H93" s="279">
        <v>0</v>
      </c>
      <c r="I93" s="279">
        <v>0</v>
      </c>
      <c r="J93" s="279">
        <v>0</v>
      </c>
      <c r="K93" s="592">
        <v>2000000</v>
      </c>
      <c r="L93" s="279">
        <v>2000000</v>
      </c>
      <c r="M93" s="279">
        <v>0</v>
      </c>
      <c r="N93" s="279">
        <v>0</v>
      </c>
    </row>
    <row r="94" spans="1:14" x14ac:dyDescent="0.25">
      <c r="A94" s="186" t="s">
        <v>70</v>
      </c>
      <c r="B94" s="186" t="s">
        <v>254</v>
      </c>
      <c r="C94" s="186" t="s">
        <v>255</v>
      </c>
      <c r="D94" s="186" t="s">
        <v>69</v>
      </c>
      <c r="E94" s="279">
        <v>250000000</v>
      </c>
      <c r="F94" s="279">
        <v>250000000</v>
      </c>
      <c r="G94" s="279">
        <v>178654403.30000001</v>
      </c>
      <c r="H94" s="279">
        <v>0</v>
      </c>
      <c r="I94" s="279">
        <v>17857142.850000001</v>
      </c>
      <c r="J94" s="279">
        <v>0</v>
      </c>
      <c r="K94" s="592">
        <v>160714286.55000001</v>
      </c>
      <c r="L94" s="279">
        <v>160714286.55000001</v>
      </c>
      <c r="M94" s="279">
        <v>71428570.599999994</v>
      </c>
      <c r="N94" s="279">
        <v>82973.899999999994</v>
      </c>
    </row>
    <row r="95" spans="1:14" x14ac:dyDescent="0.25">
      <c r="A95" s="186" t="s">
        <v>70</v>
      </c>
      <c r="B95" s="186" t="s">
        <v>256</v>
      </c>
      <c r="C95" s="186" t="s">
        <v>257</v>
      </c>
      <c r="D95" s="186" t="s">
        <v>69</v>
      </c>
      <c r="E95" s="279">
        <v>13470000</v>
      </c>
      <c r="F95" s="279">
        <v>13470000</v>
      </c>
      <c r="G95" s="279">
        <v>13470000</v>
      </c>
      <c r="H95" s="279">
        <v>0</v>
      </c>
      <c r="I95" s="279">
        <v>5977510</v>
      </c>
      <c r="J95" s="279">
        <v>0</v>
      </c>
      <c r="K95" s="592">
        <v>7492490</v>
      </c>
      <c r="L95" s="279">
        <v>7492490</v>
      </c>
      <c r="M95" s="279">
        <v>0</v>
      </c>
      <c r="N95" s="279">
        <v>0</v>
      </c>
    </row>
    <row r="96" spans="1:14" x14ac:dyDescent="0.25">
      <c r="A96" s="186" t="s">
        <v>70</v>
      </c>
      <c r="B96" s="186" t="s">
        <v>258</v>
      </c>
      <c r="C96" s="186" t="s">
        <v>259</v>
      </c>
      <c r="D96" s="186" t="s">
        <v>69</v>
      </c>
      <c r="E96" s="279">
        <v>2715000</v>
      </c>
      <c r="F96" s="279">
        <v>2715000</v>
      </c>
      <c r="G96" s="279">
        <v>2715000</v>
      </c>
      <c r="H96" s="279">
        <v>0</v>
      </c>
      <c r="I96" s="279">
        <v>1204417</v>
      </c>
      <c r="J96" s="279">
        <v>0</v>
      </c>
      <c r="K96" s="592">
        <v>1510583</v>
      </c>
      <c r="L96" s="279">
        <v>1510583</v>
      </c>
      <c r="M96" s="279">
        <v>0</v>
      </c>
      <c r="N96" s="279">
        <v>0</v>
      </c>
    </row>
    <row r="97" spans="1:14" x14ac:dyDescent="0.25">
      <c r="A97" s="186" t="s">
        <v>70</v>
      </c>
      <c r="B97" s="186" t="s">
        <v>260</v>
      </c>
      <c r="C97" s="186" t="s">
        <v>261</v>
      </c>
      <c r="D97" s="186" t="s">
        <v>69</v>
      </c>
      <c r="E97" s="279">
        <v>39757000</v>
      </c>
      <c r="F97" s="279">
        <v>61376365</v>
      </c>
      <c r="G97" s="279">
        <v>61376364.700000003</v>
      </c>
      <c r="H97" s="279">
        <v>0</v>
      </c>
      <c r="I97" s="279">
        <v>1024072.91</v>
      </c>
      <c r="J97" s="279">
        <v>0</v>
      </c>
      <c r="K97" s="592">
        <v>56326066.789999999</v>
      </c>
      <c r="L97" s="279">
        <v>56326066.789999999</v>
      </c>
      <c r="M97" s="279">
        <v>4026225.3</v>
      </c>
      <c r="N97" s="279">
        <v>4026225</v>
      </c>
    </row>
    <row r="98" spans="1:14" x14ac:dyDescent="0.25">
      <c r="A98" s="186" t="s">
        <v>70</v>
      </c>
      <c r="B98" s="186" t="s">
        <v>262</v>
      </c>
      <c r="C98" s="186" t="s">
        <v>263</v>
      </c>
      <c r="D98" s="186" t="s">
        <v>69</v>
      </c>
      <c r="E98" s="279">
        <v>30000000</v>
      </c>
      <c r="F98" s="279">
        <v>51619365</v>
      </c>
      <c r="G98" s="279">
        <v>51619364.700000003</v>
      </c>
      <c r="H98" s="279">
        <v>0</v>
      </c>
      <c r="I98" s="279">
        <v>1024072.91</v>
      </c>
      <c r="J98" s="279">
        <v>0</v>
      </c>
      <c r="K98" s="592">
        <v>50595291.789999999</v>
      </c>
      <c r="L98" s="279">
        <v>50595291.789999999</v>
      </c>
      <c r="M98" s="279">
        <v>0.30000000000000004</v>
      </c>
      <c r="N98" s="279">
        <v>0</v>
      </c>
    </row>
    <row r="99" spans="1:14" x14ac:dyDescent="0.25">
      <c r="A99" s="186" t="s">
        <v>70</v>
      </c>
      <c r="B99" s="186" t="s">
        <v>264</v>
      </c>
      <c r="C99" s="186" t="s">
        <v>265</v>
      </c>
      <c r="D99" s="186" t="s">
        <v>69</v>
      </c>
      <c r="E99" s="279">
        <v>9757000</v>
      </c>
      <c r="F99" s="279">
        <v>9757000</v>
      </c>
      <c r="G99" s="279">
        <v>9757000</v>
      </c>
      <c r="H99" s="279">
        <v>0</v>
      </c>
      <c r="I99" s="279">
        <v>0</v>
      </c>
      <c r="J99" s="279">
        <v>0</v>
      </c>
      <c r="K99" s="592">
        <v>5730775</v>
      </c>
      <c r="L99" s="279">
        <v>5730775</v>
      </c>
      <c r="M99" s="279">
        <v>4026225</v>
      </c>
      <c r="N99" s="279">
        <v>4026225</v>
      </c>
    </row>
    <row r="100" spans="1:14" x14ac:dyDescent="0.25">
      <c r="A100" s="186" t="s">
        <v>70</v>
      </c>
      <c r="B100" s="186" t="s">
        <v>266</v>
      </c>
      <c r="C100" s="186" t="s">
        <v>267</v>
      </c>
      <c r="D100" s="186" t="s">
        <v>69</v>
      </c>
      <c r="E100" s="279">
        <v>423341000</v>
      </c>
      <c r="F100" s="279">
        <v>423341000</v>
      </c>
      <c r="G100" s="279">
        <v>317505750</v>
      </c>
      <c r="H100" s="279">
        <v>0</v>
      </c>
      <c r="I100" s="279">
        <v>48820137.5</v>
      </c>
      <c r="J100" s="279">
        <v>0</v>
      </c>
      <c r="K100" s="592">
        <v>268685612.5</v>
      </c>
      <c r="L100" s="279">
        <v>268685612.5</v>
      </c>
      <c r="M100" s="279">
        <v>105835250</v>
      </c>
      <c r="N100" s="279">
        <v>0</v>
      </c>
    </row>
    <row r="101" spans="1:14" x14ac:dyDescent="0.25">
      <c r="A101" s="186" t="s">
        <v>70</v>
      </c>
      <c r="B101" s="186" t="s">
        <v>268</v>
      </c>
      <c r="C101" s="186" t="s">
        <v>269</v>
      </c>
      <c r="D101" s="186" t="s">
        <v>69</v>
      </c>
      <c r="E101" s="279">
        <v>406300000</v>
      </c>
      <c r="F101" s="279">
        <v>406300000</v>
      </c>
      <c r="G101" s="279">
        <v>300464750</v>
      </c>
      <c r="H101" s="279">
        <v>0</v>
      </c>
      <c r="I101" s="279">
        <v>35278418</v>
      </c>
      <c r="J101" s="279">
        <v>0</v>
      </c>
      <c r="K101" s="592">
        <v>265186332</v>
      </c>
      <c r="L101" s="279">
        <v>265186332</v>
      </c>
      <c r="M101" s="279">
        <v>105835250</v>
      </c>
      <c r="N101" s="279">
        <v>0</v>
      </c>
    </row>
    <row r="102" spans="1:14" x14ac:dyDescent="0.25">
      <c r="A102" s="186" t="s">
        <v>70</v>
      </c>
      <c r="B102" s="186" t="s">
        <v>270</v>
      </c>
      <c r="C102" s="186" t="s">
        <v>271</v>
      </c>
      <c r="D102" s="186" t="s">
        <v>69</v>
      </c>
      <c r="E102" s="279">
        <v>13364000</v>
      </c>
      <c r="F102" s="279">
        <v>13364000</v>
      </c>
      <c r="G102" s="279">
        <v>13364000</v>
      </c>
      <c r="H102" s="279">
        <v>0</v>
      </c>
      <c r="I102" s="279">
        <v>13364000</v>
      </c>
      <c r="J102" s="279">
        <v>0</v>
      </c>
      <c r="K102" s="592">
        <v>0</v>
      </c>
      <c r="L102" s="279">
        <v>0</v>
      </c>
      <c r="M102" s="279">
        <v>0</v>
      </c>
      <c r="N102" s="279">
        <v>0</v>
      </c>
    </row>
    <row r="103" spans="1:14" x14ac:dyDescent="0.25">
      <c r="A103" s="186" t="s">
        <v>70</v>
      </c>
      <c r="B103" s="186" t="s">
        <v>272</v>
      </c>
      <c r="C103" s="186" t="s">
        <v>273</v>
      </c>
      <c r="D103" s="186" t="s">
        <v>69</v>
      </c>
      <c r="E103" s="279">
        <v>3677000</v>
      </c>
      <c r="F103" s="279">
        <v>3677000</v>
      </c>
      <c r="G103" s="279">
        <v>3677000</v>
      </c>
      <c r="H103" s="279">
        <v>0</v>
      </c>
      <c r="I103" s="279">
        <v>177719.5</v>
      </c>
      <c r="J103" s="279">
        <v>0</v>
      </c>
      <c r="K103" s="592">
        <v>3499280.5</v>
      </c>
      <c r="L103" s="279">
        <v>3499280.5</v>
      </c>
      <c r="M103" s="279">
        <v>0</v>
      </c>
      <c r="N103" s="279">
        <v>0</v>
      </c>
    </row>
    <row r="104" spans="1:14" x14ac:dyDescent="0.25">
      <c r="A104" s="186" t="s">
        <v>274</v>
      </c>
      <c r="B104" s="186"/>
      <c r="C104" s="186"/>
      <c r="D104" s="186" t="s">
        <v>69</v>
      </c>
      <c r="E104" s="279">
        <v>1241247489</v>
      </c>
      <c r="F104" s="279">
        <v>1241247489</v>
      </c>
      <c r="G104" s="279">
        <v>1174152355.8499999</v>
      </c>
      <c r="H104" s="279">
        <v>16575182.640000001</v>
      </c>
      <c r="I104" s="279">
        <v>89477174.980000004</v>
      </c>
      <c r="J104" s="279">
        <v>250540</v>
      </c>
      <c r="K104" s="592">
        <v>628748713.33000004</v>
      </c>
      <c r="L104" s="279">
        <v>623095842.48000002</v>
      </c>
      <c r="M104" s="279">
        <v>506195878.05000001</v>
      </c>
      <c r="N104" s="279">
        <v>439100744.89999998</v>
      </c>
    </row>
    <row r="105" spans="1:14" x14ac:dyDescent="0.25">
      <c r="A105" s="186" t="s">
        <v>274</v>
      </c>
      <c r="B105" s="186" t="s">
        <v>71</v>
      </c>
      <c r="C105" s="186" t="s">
        <v>72</v>
      </c>
      <c r="D105" s="186" t="s">
        <v>69</v>
      </c>
      <c r="E105" s="279">
        <v>953910000</v>
      </c>
      <c r="F105" s="279">
        <v>953910000</v>
      </c>
      <c r="G105" s="279">
        <v>913201000</v>
      </c>
      <c r="H105" s="279">
        <v>0</v>
      </c>
      <c r="I105" s="279">
        <v>61162282</v>
      </c>
      <c r="J105" s="279">
        <v>0</v>
      </c>
      <c r="K105" s="592">
        <v>517544153.13</v>
      </c>
      <c r="L105" s="279">
        <v>517544153.13</v>
      </c>
      <c r="M105" s="279">
        <v>375203564.87</v>
      </c>
      <c r="N105" s="279">
        <v>334494564.87</v>
      </c>
    </row>
    <row r="106" spans="1:14" x14ac:dyDescent="0.25">
      <c r="A106" s="186" t="s">
        <v>274</v>
      </c>
      <c r="B106" s="186" t="s">
        <v>73</v>
      </c>
      <c r="C106" s="186" t="s">
        <v>74</v>
      </c>
      <c r="D106" s="186" t="s">
        <v>69</v>
      </c>
      <c r="E106" s="279">
        <v>383841000</v>
      </c>
      <c r="F106" s="279">
        <v>383841000</v>
      </c>
      <c r="G106" s="279">
        <v>368841000</v>
      </c>
      <c r="H106" s="279">
        <v>0</v>
      </c>
      <c r="I106" s="279">
        <v>0</v>
      </c>
      <c r="J106" s="279">
        <v>0</v>
      </c>
      <c r="K106" s="592">
        <v>222467702.13999999</v>
      </c>
      <c r="L106" s="279">
        <v>222467702.13999999</v>
      </c>
      <c r="M106" s="279">
        <v>161373297.86000001</v>
      </c>
      <c r="N106" s="279">
        <v>146373297.86000001</v>
      </c>
    </row>
    <row r="107" spans="1:14" x14ac:dyDescent="0.25">
      <c r="A107" s="186" t="s">
        <v>274</v>
      </c>
      <c r="B107" s="186" t="s">
        <v>75</v>
      </c>
      <c r="C107" s="186" t="s">
        <v>76</v>
      </c>
      <c r="D107" s="186" t="s">
        <v>69</v>
      </c>
      <c r="E107" s="279">
        <v>383841000</v>
      </c>
      <c r="F107" s="279">
        <v>383841000</v>
      </c>
      <c r="G107" s="279">
        <v>368841000</v>
      </c>
      <c r="H107" s="279">
        <v>0</v>
      </c>
      <c r="I107" s="279">
        <v>0</v>
      </c>
      <c r="J107" s="279">
        <v>0</v>
      </c>
      <c r="K107" s="592">
        <v>222467702.13999999</v>
      </c>
      <c r="L107" s="279">
        <v>222467702.13999999</v>
      </c>
      <c r="M107" s="279">
        <v>161373297.86000001</v>
      </c>
      <c r="N107" s="279">
        <v>146373297.86000001</v>
      </c>
    </row>
    <row r="108" spans="1:14" x14ac:dyDescent="0.25">
      <c r="A108" s="186" t="s">
        <v>274</v>
      </c>
      <c r="B108" s="186" t="s">
        <v>77</v>
      </c>
      <c r="C108" s="186" t="s">
        <v>78</v>
      </c>
      <c r="D108" s="186" t="s">
        <v>69</v>
      </c>
      <c r="E108" s="279">
        <v>425514000</v>
      </c>
      <c r="F108" s="279">
        <v>425514000</v>
      </c>
      <c r="G108" s="279">
        <v>399805000</v>
      </c>
      <c r="H108" s="279">
        <v>0</v>
      </c>
      <c r="I108" s="279">
        <v>0</v>
      </c>
      <c r="J108" s="279">
        <v>0</v>
      </c>
      <c r="K108" s="592">
        <v>211683732.99000001</v>
      </c>
      <c r="L108" s="279">
        <v>211683732.99000001</v>
      </c>
      <c r="M108" s="279">
        <v>213830267.00999999</v>
      </c>
      <c r="N108" s="279">
        <v>188121267.00999999</v>
      </c>
    </row>
    <row r="109" spans="1:14" x14ac:dyDescent="0.25">
      <c r="A109" s="186" t="s">
        <v>274</v>
      </c>
      <c r="B109" s="186" t="s">
        <v>79</v>
      </c>
      <c r="C109" s="186" t="s">
        <v>80</v>
      </c>
      <c r="D109" s="186" t="s">
        <v>69</v>
      </c>
      <c r="E109" s="279">
        <v>70660000</v>
      </c>
      <c r="F109" s="279">
        <v>70660000</v>
      </c>
      <c r="G109" s="279">
        <v>60660000</v>
      </c>
      <c r="H109" s="279">
        <v>0</v>
      </c>
      <c r="I109" s="279">
        <v>0</v>
      </c>
      <c r="J109" s="279">
        <v>0</v>
      </c>
      <c r="K109" s="592">
        <v>39420377.049999997</v>
      </c>
      <c r="L109" s="279">
        <v>39420377.049999997</v>
      </c>
      <c r="M109" s="279">
        <v>31239622.949999999</v>
      </c>
      <c r="N109" s="279">
        <v>21239622.949999999</v>
      </c>
    </row>
    <row r="110" spans="1:14" x14ac:dyDescent="0.25">
      <c r="A110" s="186" t="s">
        <v>274</v>
      </c>
      <c r="B110" s="186" t="s">
        <v>81</v>
      </c>
      <c r="C110" s="186" t="s">
        <v>82</v>
      </c>
      <c r="D110" s="186" t="s">
        <v>69</v>
      </c>
      <c r="E110" s="279">
        <v>211191000</v>
      </c>
      <c r="F110" s="279">
        <v>211191000</v>
      </c>
      <c r="G110" s="279">
        <v>202191000</v>
      </c>
      <c r="H110" s="279">
        <v>0</v>
      </c>
      <c r="I110" s="279">
        <v>0</v>
      </c>
      <c r="J110" s="279">
        <v>0</v>
      </c>
      <c r="K110" s="592">
        <v>107413844.88</v>
      </c>
      <c r="L110" s="279">
        <v>107413844.88</v>
      </c>
      <c r="M110" s="279">
        <v>103777155.12</v>
      </c>
      <c r="N110" s="279">
        <v>94777155.120000005</v>
      </c>
    </row>
    <row r="111" spans="1:14" x14ac:dyDescent="0.25">
      <c r="A111" s="186" t="s">
        <v>274</v>
      </c>
      <c r="B111" s="186" t="s">
        <v>83</v>
      </c>
      <c r="C111" s="186" t="s">
        <v>84</v>
      </c>
      <c r="D111" s="186" t="s">
        <v>85</v>
      </c>
      <c r="E111" s="279">
        <v>61518000</v>
      </c>
      <c r="F111" s="279">
        <v>61518000</v>
      </c>
      <c r="G111" s="279">
        <v>54809000</v>
      </c>
      <c r="H111" s="279">
        <v>0</v>
      </c>
      <c r="I111" s="279">
        <v>0</v>
      </c>
      <c r="J111" s="279">
        <v>0</v>
      </c>
      <c r="K111" s="592">
        <v>0</v>
      </c>
      <c r="L111" s="279">
        <v>0</v>
      </c>
      <c r="M111" s="279">
        <v>61518000</v>
      </c>
      <c r="N111" s="279">
        <v>54809000</v>
      </c>
    </row>
    <row r="112" spans="1:14" x14ac:dyDescent="0.25">
      <c r="A112" s="186" t="s">
        <v>274</v>
      </c>
      <c r="B112" s="186" t="s">
        <v>86</v>
      </c>
      <c r="C112" s="186" t="s">
        <v>87</v>
      </c>
      <c r="D112" s="186" t="s">
        <v>69</v>
      </c>
      <c r="E112" s="279">
        <v>46480000</v>
      </c>
      <c r="F112" s="279">
        <v>46480000</v>
      </c>
      <c r="G112" s="279">
        <v>46480000</v>
      </c>
      <c r="H112" s="279">
        <v>0</v>
      </c>
      <c r="I112" s="279">
        <v>0</v>
      </c>
      <c r="J112" s="279">
        <v>0</v>
      </c>
      <c r="K112" s="592">
        <v>44448031.07</v>
      </c>
      <c r="L112" s="279">
        <v>44448031.07</v>
      </c>
      <c r="M112" s="279">
        <v>2031968.93</v>
      </c>
      <c r="N112" s="279">
        <v>2031968.93</v>
      </c>
    </row>
    <row r="113" spans="1:14" x14ac:dyDescent="0.25">
      <c r="A113" s="186" t="s">
        <v>274</v>
      </c>
      <c r="B113" s="186" t="s">
        <v>88</v>
      </c>
      <c r="C113" s="186" t="s">
        <v>89</v>
      </c>
      <c r="D113" s="186" t="s">
        <v>69</v>
      </c>
      <c r="E113" s="279">
        <v>35665000</v>
      </c>
      <c r="F113" s="279">
        <v>35665000</v>
      </c>
      <c r="G113" s="279">
        <v>35665000</v>
      </c>
      <c r="H113" s="279">
        <v>0</v>
      </c>
      <c r="I113" s="279">
        <v>0</v>
      </c>
      <c r="J113" s="279">
        <v>0</v>
      </c>
      <c r="K113" s="592">
        <v>20401479.989999998</v>
      </c>
      <c r="L113" s="279">
        <v>20401479.989999998</v>
      </c>
      <c r="M113" s="279">
        <v>15263520.01</v>
      </c>
      <c r="N113" s="279">
        <v>15263520.01</v>
      </c>
    </row>
    <row r="114" spans="1:14" x14ac:dyDescent="0.25">
      <c r="A114" s="186" t="s">
        <v>274</v>
      </c>
      <c r="B114" s="186" t="s">
        <v>90</v>
      </c>
      <c r="C114" s="186" t="s">
        <v>91</v>
      </c>
      <c r="D114" s="186" t="s">
        <v>69</v>
      </c>
      <c r="E114" s="279">
        <v>72913000</v>
      </c>
      <c r="F114" s="279">
        <v>72913000</v>
      </c>
      <c r="G114" s="279">
        <v>72913000</v>
      </c>
      <c r="H114" s="279">
        <v>0</v>
      </c>
      <c r="I114" s="279">
        <v>30847242</v>
      </c>
      <c r="J114" s="279">
        <v>0</v>
      </c>
      <c r="K114" s="592">
        <v>42065758</v>
      </c>
      <c r="L114" s="279">
        <v>42065758</v>
      </c>
      <c r="M114" s="279">
        <v>0</v>
      </c>
      <c r="N114" s="279">
        <v>0</v>
      </c>
    </row>
    <row r="115" spans="1:14" x14ac:dyDescent="0.25">
      <c r="A115" s="186" t="s">
        <v>274</v>
      </c>
      <c r="B115" s="186" t="s">
        <v>275</v>
      </c>
      <c r="C115" s="186" t="s">
        <v>93</v>
      </c>
      <c r="D115" s="186" t="s">
        <v>69</v>
      </c>
      <c r="E115" s="279">
        <v>69174000</v>
      </c>
      <c r="F115" s="279">
        <v>69174000</v>
      </c>
      <c r="G115" s="279">
        <v>69174000</v>
      </c>
      <c r="H115" s="279">
        <v>0</v>
      </c>
      <c r="I115" s="279">
        <v>29265062</v>
      </c>
      <c r="J115" s="279">
        <v>0</v>
      </c>
      <c r="K115" s="592">
        <v>39908938</v>
      </c>
      <c r="L115" s="279">
        <v>39908938</v>
      </c>
      <c r="M115" s="279">
        <v>0</v>
      </c>
      <c r="N115" s="279">
        <v>0</v>
      </c>
    </row>
    <row r="116" spans="1:14" x14ac:dyDescent="0.25">
      <c r="A116" s="186" t="s">
        <v>274</v>
      </c>
      <c r="B116" s="186" t="s">
        <v>276</v>
      </c>
      <c r="C116" s="186" t="s">
        <v>95</v>
      </c>
      <c r="D116" s="186" t="s">
        <v>69</v>
      </c>
      <c r="E116" s="279">
        <v>3739000</v>
      </c>
      <c r="F116" s="279">
        <v>3739000</v>
      </c>
      <c r="G116" s="279">
        <v>3739000</v>
      </c>
      <c r="H116" s="279">
        <v>0</v>
      </c>
      <c r="I116" s="279">
        <v>1582180</v>
      </c>
      <c r="J116" s="279">
        <v>0</v>
      </c>
      <c r="K116" s="592">
        <v>2156820</v>
      </c>
      <c r="L116" s="279">
        <v>2156820</v>
      </c>
      <c r="M116" s="279">
        <v>0</v>
      </c>
      <c r="N116" s="279">
        <v>0</v>
      </c>
    </row>
    <row r="117" spans="1:14" x14ac:dyDescent="0.25">
      <c r="A117" s="186" t="s">
        <v>274</v>
      </c>
      <c r="B117" s="186" t="s">
        <v>96</v>
      </c>
      <c r="C117" s="186" t="s">
        <v>97</v>
      </c>
      <c r="D117" s="186" t="s">
        <v>69</v>
      </c>
      <c r="E117" s="279">
        <v>71642000</v>
      </c>
      <c r="F117" s="279">
        <v>71642000</v>
      </c>
      <c r="G117" s="279">
        <v>71642000</v>
      </c>
      <c r="H117" s="279">
        <v>0</v>
      </c>
      <c r="I117" s="279">
        <v>30315040</v>
      </c>
      <c r="J117" s="279">
        <v>0</v>
      </c>
      <c r="K117" s="592">
        <v>41326960</v>
      </c>
      <c r="L117" s="279">
        <v>41326960</v>
      </c>
      <c r="M117" s="279">
        <v>0</v>
      </c>
      <c r="N117" s="279">
        <v>0</v>
      </c>
    </row>
    <row r="118" spans="1:14" x14ac:dyDescent="0.25">
      <c r="A118" s="186" t="s">
        <v>274</v>
      </c>
      <c r="B118" s="186" t="s">
        <v>277</v>
      </c>
      <c r="C118" s="186" t="s">
        <v>99</v>
      </c>
      <c r="D118" s="186" t="s">
        <v>69</v>
      </c>
      <c r="E118" s="279">
        <v>37990000</v>
      </c>
      <c r="F118" s="279">
        <v>37990000</v>
      </c>
      <c r="G118" s="279">
        <v>37990000</v>
      </c>
      <c r="H118" s="279">
        <v>0</v>
      </c>
      <c r="I118" s="279">
        <v>16074360</v>
      </c>
      <c r="J118" s="279">
        <v>0</v>
      </c>
      <c r="K118" s="592">
        <v>21915640</v>
      </c>
      <c r="L118" s="279">
        <v>21915640</v>
      </c>
      <c r="M118" s="279">
        <v>0</v>
      </c>
      <c r="N118" s="279">
        <v>0</v>
      </c>
    </row>
    <row r="119" spans="1:14" x14ac:dyDescent="0.25">
      <c r="A119" s="186" t="s">
        <v>274</v>
      </c>
      <c r="B119" s="186" t="s">
        <v>278</v>
      </c>
      <c r="C119" s="186" t="s">
        <v>101</v>
      </c>
      <c r="D119" s="186" t="s">
        <v>69</v>
      </c>
      <c r="E119" s="279">
        <v>11217000</v>
      </c>
      <c r="F119" s="279">
        <v>11217000</v>
      </c>
      <c r="G119" s="279">
        <v>11217000</v>
      </c>
      <c r="H119" s="279">
        <v>0</v>
      </c>
      <c r="I119" s="279">
        <v>4746567</v>
      </c>
      <c r="J119" s="279">
        <v>0</v>
      </c>
      <c r="K119" s="592">
        <v>6470433</v>
      </c>
      <c r="L119" s="279">
        <v>6470433</v>
      </c>
      <c r="M119" s="279">
        <v>0</v>
      </c>
      <c r="N119" s="279">
        <v>0</v>
      </c>
    </row>
    <row r="120" spans="1:14" x14ac:dyDescent="0.25">
      <c r="A120" s="186" t="s">
        <v>274</v>
      </c>
      <c r="B120" s="186" t="s">
        <v>279</v>
      </c>
      <c r="C120" s="186" t="s">
        <v>103</v>
      </c>
      <c r="D120" s="186" t="s">
        <v>69</v>
      </c>
      <c r="E120" s="279">
        <v>22435000</v>
      </c>
      <c r="F120" s="279">
        <v>22435000</v>
      </c>
      <c r="G120" s="279">
        <v>22435000</v>
      </c>
      <c r="H120" s="279">
        <v>0</v>
      </c>
      <c r="I120" s="279">
        <v>9494113</v>
      </c>
      <c r="J120" s="279">
        <v>0</v>
      </c>
      <c r="K120" s="592">
        <v>12940887</v>
      </c>
      <c r="L120" s="279">
        <v>12940887</v>
      </c>
      <c r="M120" s="279">
        <v>0</v>
      </c>
      <c r="N120" s="279">
        <v>0</v>
      </c>
    </row>
    <row r="121" spans="1:14" x14ac:dyDescent="0.25">
      <c r="A121" s="186" t="s">
        <v>274</v>
      </c>
      <c r="B121" s="186" t="s">
        <v>104</v>
      </c>
      <c r="C121" s="186" t="s">
        <v>105</v>
      </c>
      <c r="D121" s="186" t="s">
        <v>69</v>
      </c>
      <c r="E121" s="279">
        <v>155922650</v>
      </c>
      <c r="F121" s="279">
        <v>155922650</v>
      </c>
      <c r="G121" s="279">
        <v>146832641.84999999</v>
      </c>
      <c r="H121" s="279">
        <v>5600000</v>
      </c>
      <c r="I121" s="279">
        <v>11624314.140000001</v>
      </c>
      <c r="J121" s="279">
        <v>50100</v>
      </c>
      <c r="K121" s="592">
        <v>64314389.399999999</v>
      </c>
      <c r="L121" s="279">
        <v>61736518.549999997</v>
      </c>
      <c r="M121" s="279">
        <v>74333846.459999993</v>
      </c>
      <c r="N121" s="279">
        <v>65243838.310000002</v>
      </c>
    </row>
    <row r="122" spans="1:14" x14ac:dyDescent="0.25">
      <c r="A122" s="186" t="s">
        <v>274</v>
      </c>
      <c r="B122" s="186" t="s">
        <v>106</v>
      </c>
      <c r="C122" s="186" t="s">
        <v>107</v>
      </c>
      <c r="D122" s="186" t="s">
        <v>69</v>
      </c>
      <c r="E122" s="279">
        <v>78966646</v>
      </c>
      <c r="F122" s="279">
        <v>78966646</v>
      </c>
      <c r="G122" s="279">
        <v>78889731</v>
      </c>
      <c r="H122" s="279">
        <v>0</v>
      </c>
      <c r="I122" s="279">
        <v>1440242.16</v>
      </c>
      <c r="J122" s="279">
        <v>0</v>
      </c>
      <c r="K122" s="592">
        <v>41451371.259999998</v>
      </c>
      <c r="L122" s="279">
        <v>40483576.729999997</v>
      </c>
      <c r="M122" s="279">
        <v>36075032.579999998</v>
      </c>
      <c r="N122" s="279">
        <v>35998117.579999998</v>
      </c>
    </row>
    <row r="123" spans="1:14" x14ac:dyDescent="0.25">
      <c r="A123" s="186" t="s">
        <v>274</v>
      </c>
      <c r="B123" s="186" t="s">
        <v>280</v>
      </c>
      <c r="C123" s="186" t="s">
        <v>281</v>
      </c>
      <c r="D123" s="186" t="s">
        <v>69</v>
      </c>
      <c r="E123" s="279">
        <v>67899341</v>
      </c>
      <c r="F123" s="279">
        <v>67899341</v>
      </c>
      <c r="G123" s="279">
        <v>67822426</v>
      </c>
      <c r="H123" s="279">
        <v>0</v>
      </c>
      <c r="I123" s="279">
        <v>148352.07</v>
      </c>
      <c r="J123" s="279">
        <v>0</v>
      </c>
      <c r="K123" s="592">
        <v>33899455.609999999</v>
      </c>
      <c r="L123" s="279">
        <v>33899455.609999999</v>
      </c>
      <c r="M123" s="279">
        <v>33851533.32</v>
      </c>
      <c r="N123" s="279">
        <v>33774618.32</v>
      </c>
    </row>
    <row r="124" spans="1:14" x14ac:dyDescent="0.25">
      <c r="A124" s="186" t="s">
        <v>274</v>
      </c>
      <c r="B124" s="186" t="s">
        <v>108</v>
      </c>
      <c r="C124" s="186" t="s">
        <v>109</v>
      </c>
      <c r="D124" s="186" t="s">
        <v>69</v>
      </c>
      <c r="E124" s="279">
        <v>11067305</v>
      </c>
      <c r="F124" s="279">
        <v>11067305</v>
      </c>
      <c r="G124" s="279">
        <v>11067305</v>
      </c>
      <c r="H124" s="279">
        <v>0</v>
      </c>
      <c r="I124" s="279">
        <v>1291890.0900000001</v>
      </c>
      <c r="J124" s="279">
        <v>0</v>
      </c>
      <c r="K124" s="592">
        <v>7551915.6500000004</v>
      </c>
      <c r="L124" s="279">
        <v>6584121.1200000001</v>
      </c>
      <c r="M124" s="279">
        <v>2223499.2599999998</v>
      </c>
      <c r="N124" s="279">
        <v>2223499.2599999998</v>
      </c>
    </row>
    <row r="125" spans="1:14" x14ac:dyDescent="0.25">
      <c r="A125" s="186" t="s">
        <v>274</v>
      </c>
      <c r="B125" s="186" t="s">
        <v>112</v>
      </c>
      <c r="C125" s="186" t="s">
        <v>113</v>
      </c>
      <c r="D125" s="186" t="s">
        <v>69</v>
      </c>
      <c r="E125" s="279">
        <v>14518657</v>
      </c>
      <c r="F125" s="279">
        <v>14482767</v>
      </c>
      <c r="G125" s="279">
        <v>11393775</v>
      </c>
      <c r="H125" s="279">
        <v>0</v>
      </c>
      <c r="I125" s="279">
        <v>1832176.98</v>
      </c>
      <c r="J125" s="279">
        <v>0</v>
      </c>
      <c r="K125" s="592">
        <v>9396540.4499999993</v>
      </c>
      <c r="L125" s="279">
        <v>9396540.4499999993</v>
      </c>
      <c r="M125" s="279">
        <v>3254049.57</v>
      </c>
      <c r="N125" s="279">
        <v>165057.57</v>
      </c>
    </row>
    <row r="126" spans="1:14" x14ac:dyDescent="0.25">
      <c r="A126" s="186" t="s">
        <v>274</v>
      </c>
      <c r="B126" s="186" t="s">
        <v>114</v>
      </c>
      <c r="C126" s="186" t="s">
        <v>115</v>
      </c>
      <c r="D126" s="186" t="s">
        <v>69</v>
      </c>
      <c r="E126" s="279">
        <v>1280000</v>
      </c>
      <c r="F126" s="279">
        <v>1244110</v>
      </c>
      <c r="G126" s="279">
        <v>824110</v>
      </c>
      <c r="H126" s="279">
        <v>0</v>
      </c>
      <c r="I126" s="279">
        <v>210421</v>
      </c>
      <c r="J126" s="279">
        <v>0</v>
      </c>
      <c r="K126" s="592">
        <v>599159</v>
      </c>
      <c r="L126" s="279">
        <v>599159</v>
      </c>
      <c r="M126" s="279">
        <v>434530</v>
      </c>
      <c r="N126" s="279">
        <v>14530</v>
      </c>
    </row>
    <row r="127" spans="1:14" x14ac:dyDescent="0.25">
      <c r="A127" s="186" t="s">
        <v>274</v>
      </c>
      <c r="B127" s="186" t="s">
        <v>116</v>
      </c>
      <c r="C127" s="186" t="s">
        <v>117</v>
      </c>
      <c r="D127" s="186" t="s">
        <v>69</v>
      </c>
      <c r="E127" s="279">
        <v>3685715</v>
      </c>
      <c r="F127" s="279">
        <v>3685715</v>
      </c>
      <c r="G127" s="279">
        <v>2451429</v>
      </c>
      <c r="H127" s="279">
        <v>0</v>
      </c>
      <c r="I127" s="279">
        <v>533131</v>
      </c>
      <c r="J127" s="279">
        <v>0</v>
      </c>
      <c r="K127" s="592">
        <v>1768198</v>
      </c>
      <c r="L127" s="279">
        <v>1768198</v>
      </c>
      <c r="M127" s="279">
        <v>1384386</v>
      </c>
      <c r="N127" s="279">
        <v>150100</v>
      </c>
    </row>
    <row r="128" spans="1:14" x14ac:dyDescent="0.25">
      <c r="A128" s="186" t="s">
        <v>274</v>
      </c>
      <c r="B128" s="186" t="s">
        <v>120</v>
      </c>
      <c r="C128" s="186" t="s">
        <v>121</v>
      </c>
      <c r="D128" s="186" t="s">
        <v>69</v>
      </c>
      <c r="E128" s="279">
        <v>9552942</v>
      </c>
      <c r="F128" s="279">
        <v>9552942</v>
      </c>
      <c r="G128" s="279">
        <v>8118236</v>
      </c>
      <c r="H128" s="279">
        <v>0</v>
      </c>
      <c r="I128" s="279">
        <v>1088624.98</v>
      </c>
      <c r="J128" s="279">
        <v>0</v>
      </c>
      <c r="K128" s="592">
        <v>7029183.4500000002</v>
      </c>
      <c r="L128" s="279">
        <v>7029183.4500000002</v>
      </c>
      <c r="M128" s="279">
        <v>1435133.57</v>
      </c>
      <c r="N128" s="279">
        <v>427.57</v>
      </c>
    </row>
    <row r="129" spans="1:14" x14ac:dyDescent="0.25">
      <c r="A129" s="186" t="s">
        <v>274</v>
      </c>
      <c r="B129" s="186" t="s">
        <v>124</v>
      </c>
      <c r="C129" s="186" t="s">
        <v>125</v>
      </c>
      <c r="D129" s="186" t="s">
        <v>69</v>
      </c>
      <c r="E129" s="279">
        <v>16719000</v>
      </c>
      <c r="F129" s="279">
        <v>14451000</v>
      </c>
      <c r="G129" s="279">
        <v>14220000</v>
      </c>
      <c r="H129" s="279">
        <v>0</v>
      </c>
      <c r="I129" s="279">
        <v>200000</v>
      </c>
      <c r="J129" s="279">
        <v>0</v>
      </c>
      <c r="K129" s="592">
        <v>5000</v>
      </c>
      <c r="L129" s="279">
        <v>5000</v>
      </c>
      <c r="M129" s="279">
        <v>14246000</v>
      </c>
      <c r="N129" s="279">
        <v>14015000</v>
      </c>
    </row>
    <row r="130" spans="1:14" x14ac:dyDescent="0.25">
      <c r="A130" s="186" t="s">
        <v>274</v>
      </c>
      <c r="B130" s="186" t="s">
        <v>126</v>
      </c>
      <c r="C130" s="186" t="s">
        <v>127</v>
      </c>
      <c r="D130" s="186" t="s">
        <v>69</v>
      </c>
      <c r="E130" s="279">
        <v>719000</v>
      </c>
      <c r="F130" s="279">
        <v>519000</v>
      </c>
      <c r="G130" s="279">
        <v>500000</v>
      </c>
      <c r="H130" s="279">
        <v>0</v>
      </c>
      <c r="I130" s="279">
        <v>200000</v>
      </c>
      <c r="J130" s="279">
        <v>0</v>
      </c>
      <c r="K130" s="592">
        <v>0</v>
      </c>
      <c r="L130" s="279">
        <v>0</v>
      </c>
      <c r="M130" s="279">
        <v>319000</v>
      </c>
      <c r="N130" s="279">
        <v>300000</v>
      </c>
    </row>
    <row r="131" spans="1:14" x14ac:dyDescent="0.25">
      <c r="A131" s="186" t="s">
        <v>274</v>
      </c>
      <c r="B131" s="186" t="s">
        <v>128</v>
      </c>
      <c r="C131" s="186" t="s">
        <v>129</v>
      </c>
      <c r="D131" s="186" t="s">
        <v>69</v>
      </c>
      <c r="E131" s="279">
        <v>16000000</v>
      </c>
      <c r="F131" s="279">
        <v>13932000</v>
      </c>
      <c r="G131" s="279">
        <v>13720000</v>
      </c>
      <c r="H131" s="279">
        <v>0</v>
      </c>
      <c r="I131" s="279">
        <v>0</v>
      </c>
      <c r="J131" s="279">
        <v>0</v>
      </c>
      <c r="K131" s="592">
        <v>5000</v>
      </c>
      <c r="L131" s="279">
        <v>5000</v>
      </c>
      <c r="M131" s="279">
        <v>13927000</v>
      </c>
      <c r="N131" s="279">
        <v>13715000</v>
      </c>
    </row>
    <row r="132" spans="1:14" x14ac:dyDescent="0.25">
      <c r="A132" s="186" t="s">
        <v>274</v>
      </c>
      <c r="B132" s="186" t="s">
        <v>134</v>
      </c>
      <c r="C132" s="186" t="s">
        <v>135</v>
      </c>
      <c r="D132" s="186" t="s">
        <v>69</v>
      </c>
      <c r="E132" s="279">
        <v>2200000</v>
      </c>
      <c r="F132" s="279">
        <v>1950000</v>
      </c>
      <c r="G132" s="279">
        <v>1949240</v>
      </c>
      <c r="H132" s="279">
        <v>0</v>
      </c>
      <c r="I132" s="279">
        <v>172410</v>
      </c>
      <c r="J132" s="279">
        <v>50100</v>
      </c>
      <c r="K132" s="592">
        <v>1244730</v>
      </c>
      <c r="L132" s="279">
        <v>1244730</v>
      </c>
      <c r="M132" s="279">
        <v>482760</v>
      </c>
      <c r="N132" s="279">
        <v>482000</v>
      </c>
    </row>
    <row r="133" spans="1:14" x14ac:dyDescent="0.25">
      <c r="A133" s="186" t="s">
        <v>274</v>
      </c>
      <c r="B133" s="186" t="s">
        <v>136</v>
      </c>
      <c r="C133" s="186" t="s">
        <v>137</v>
      </c>
      <c r="D133" s="186" t="s">
        <v>69</v>
      </c>
      <c r="E133" s="279">
        <v>1200000</v>
      </c>
      <c r="F133" s="279">
        <v>1100000</v>
      </c>
      <c r="G133" s="279">
        <v>1099240</v>
      </c>
      <c r="H133" s="279">
        <v>0</v>
      </c>
      <c r="I133" s="279">
        <v>0</v>
      </c>
      <c r="J133" s="279">
        <v>0</v>
      </c>
      <c r="K133" s="592">
        <v>1017240</v>
      </c>
      <c r="L133" s="279">
        <v>1017240</v>
      </c>
      <c r="M133" s="279">
        <v>82760</v>
      </c>
      <c r="N133" s="279">
        <v>82000</v>
      </c>
    </row>
    <row r="134" spans="1:14" x14ac:dyDescent="0.25">
      <c r="A134" s="186" t="s">
        <v>274</v>
      </c>
      <c r="B134" s="186" t="s">
        <v>138</v>
      </c>
      <c r="C134" s="186" t="s">
        <v>139</v>
      </c>
      <c r="D134" s="186" t="s">
        <v>69</v>
      </c>
      <c r="E134" s="279">
        <v>1000000</v>
      </c>
      <c r="F134" s="279">
        <v>850000</v>
      </c>
      <c r="G134" s="279">
        <v>850000</v>
      </c>
      <c r="H134" s="279">
        <v>0</v>
      </c>
      <c r="I134" s="279">
        <v>172410</v>
      </c>
      <c r="J134" s="279">
        <v>50100</v>
      </c>
      <c r="K134" s="592">
        <v>227490</v>
      </c>
      <c r="L134" s="279">
        <v>227490</v>
      </c>
      <c r="M134" s="279">
        <v>400000</v>
      </c>
      <c r="N134" s="279">
        <v>400000</v>
      </c>
    </row>
    <row r="135" spans="1:14" x14ac:dyDescent="0.25">
      <c r="A135" s="186" t="s">
        <v>274</v>
      </c>
      <c r="B135" s="186" t="s">
        <v>140</v>
      </c>
      <c r="C135" s="186" t="s">
        <v>141</v>
      </c>
      <c r="D135" s="186" t="s">
        <v>69</v>
      </c>
      <c r="E135" s="279">
        <v>6813730</v>
      </c>
      <c r="F135" s="279">
        <v>12156620</v>
      </c>
      <c r="G135" s="279">
        <v>11633823</v>
      </c>
      <c r="H135" s="279">
        <v>0</v>
      </c>
      <c r="I135" s="279">
        <v>2656685</v>
      </c>
      <c r="J135" s="279">
        <v>0</v>
      </c>
      <c r="K135" s="592">
        <v>6450510</v>
      </c>
      <c r="L135" s="279">
        <v>6293790</v>
      </c>
      <c r="M135" s="279">
        <v>3049425</v>
      </c>
      <c r="N135" s="279">
        <v>2526628</v>
      </c>
    </row>
    <row r="136" spans="1:14" x14ac:dyDescent="0.25">
      <c r="A136" s="186" t="s">
        <v>274</v>
      </c>
      <c r="B136" s="186" t="s">
        <v>142</v>
      </c>
      <c r="C136" s="186" t="s">
        <v>143</v>
      </c>
      <c r="D136" s="186" t="s">
        <v>69</v>
      </c>
      <c r="E136" s="279">
        <v>250000</v>
      </c>
      <c r="F136" s="279">
        <v>902890</v>
      </c>
      <c r="G136" s="279">
        <v>902890</v>
      </c>
      <c r="H136" s="279">
        <v>0</v>
      </c>
      <c r="I136" s="279">
        <v>436485</v>
      </c>
      <c r="J136" s="279">
        <v>0</v>
      </c>
      <c r="K136" s="592">
        <v>402560</v>
      </c>
      <c r="L136" s="279">
        <v>382240</v>
      </c>
      <c r="M136" s="279">
        <v>63845</v>
      </c>
      <c r="N136" s="279">
        <v>63845</v>
      </c>
    </row>
    <row r="137" spans="1:14" x14ac:dyDescent="0.25">
      <c r="A137" s="186" t="s">
        <v>274</v>
      </c>
      <c r="B137" s="186" t="s">
        <v>144</v>
      </c>
      <c r="C137" s="186" t="s">
        <v>145</v>
      </c>
      <c r="D137" s="186" t="s">
        <v>69</v>
      </c>
      <c r="E137" s="279">
        <v>6563730</v>
      </c>
      <c r="F137" s="279">
        <v>11253730</v>
      </c>
      <c r="G137" s="279">
        <v>10730933</v>
      </c>
      <c r="H137" s="279">
        <v>0</v>
      </c>
      <c r="I137" s="279">
        <v>2220200</v>
      </c>
      <c r="J137" s="279">
        <v>0</v>
      </c>
      <c r="K137" s="592">
        <v>6047950</v>
      </c>
      <c r="L137" s="279">
        <v>5911550</v>
      </c>
      <c r="M137" s="279">
        <v>2985580</v>
      </c>
      <c r="N137" s="279">
        <v>2462783</v>
      </c>
    </row>
    <row r="138" spans="1:14" x14ac:dyDescent="0.25">
      <c r="A138" s="186" t="s">
        <v>274</v>
      </c>
      <c r="B138" s="186" t="s">
        <v>150</v>
      </c>
      <c r="C138" s="186" t="s">
        <v>151</v>
      </c>
      <c r="D138" s="186" t="s">
        <v>69</v>
      </c>
      <c r="E138" s="279">
        <v>4277392</v>
      </c>
      <c r="F138" s="279">
        <v>4277392</v>
      </c>
      <c r="G138" s="279">
        <v>2690348</v>
      </c>
      <c r="H138" s="279">
        <v>0</v>
      </c>
      <c r="I138" s="279">
        <v>906600</v>
      </c>
      <c r="J138" s="279">
        <v>0</v>
      </c>
      <c r="K138" s="592">
        <v>1779094</v>
      </c>
      <c r="L138" s="279">
        <v>1260694</v>
      </c>
      <c r="M138" s="279">
        <v>1591698</v>
      </c>
      <c r="N138" s="279">
        <v>4654</v>
      </c>
    </row>
    <row r="139" spans="1:14" x14ac:dyDescent="0.25">
      <c r="A139" s="186" t="s">
        <v>274</v>
      </c>
      <c r="B139" s="186" t="s">
        <v>152</v>
      </c>
      <c r="C139" s="186" t="s">
        <v>153</v>
      </c>
      <c r="D139" s="186" t="s">
        <v>69</v>
      </c>
      <c r="E139" s="279">
        <v>4277392</v>
      </c>
      <c r="F139" s="279">
        <v>4277392</v>
      </c>
      <c r="G139" s="279">
        <v>2690348</v>
      </c>
      <c r="H139" s="279">
        <v>0</v>
      </c>
      <c r="I139" s="279">
        <v>906600</v>
      </c>
      <c r="J139" s="279">
        <v>0</v>
      </c>
      <c r="K139" s="592">
        <v>1779094</v>
      </c>
      <c r="L139" s="279">
        <v>1260694</v>
      </c>
      <c r="M139" s="279">
        <v>1591698</v>
      </c>
      <c r="N139" s="279">
        <v>4654</v>
      </c>
    </row>
    <row r="140" spans="1:14" x14ac:dyDescent="0.25">
      <c r="A140" s="186" t="s">
        <v>274</v>
      </c>
      <c r="B140" s="186" t="s">
        <v>154</v>
      </c>
      <c r="C140" s="186" t="s">
        <v>155</v>
      </c>
      <c r="D140" s="186" t="s">
        <v>69</v>
      </c>
      <c r="E140" s="279">
        <v>12267225</v>
      </c>
      <c r="F140" s="279">
        <v>14282225</v>
      </c>
      <c r="G140" s="279">
        <v>14282225</v>
      </c>
      <c r="H140" s="279">
        <v>5600000</v>
      </c>
      <c r="I140" s="279">
        <v>58200</v>
      </c>
      <c r="J140" s="279">
        <v>0</v>
      </c>
      <c r="K140" s="592">
        <v>1536800</v>
      </c>
      <c r="L140" s="279">
        <v>1536800</v>
      </c>
      <c r="M140" s="279">
        <v>7087225</v>
      </c>
      <c r="N140" s="279">
        <v>7087225</v>
      </c>
    </row>
    <row r="141" spans="1:14" x14ac:dyDescent="0.25">
      <c r="A141" s="186" t="s">
        <v>274</v>
      </c>
      <c r="B141" s="186" t="s">
        <v>156</v>
      </c>
      <c r="C141" s="186" t="s">
        <v>157</v>
      </c>
      <c r="D141" s="186" t="s">
        <v>69</v>
      </c>
      <c r="E141" s="279">
        <v>12267225</v>
      </c>
      <c r="F141" s="279">
        <v>14282225</v>
      </c>
      <c r="G141" s="279">
        <v>14282225</v>
      </c>
      <c r="H141" s="279">
        <v>5600000</v>
      </c>
      <c r="I141" s="279">
        <v>58200</v>
      </c>
      <c r="J141" s="279">
        <v>0</v>
      </c>
      <c r="K141" s="592">
        <v>1536800</v>
      </c>
      <c r="L141" s="279">
        <v>1536800</v>
      </c>
      <c r="M141" s="279">
        <v>7087225</v>
      </c>
      <c r="N141" s="279">
        <v>7087225</v>
      </c>
    </row>
    <row r="142" spans="1:14" x14ac:dyDescent="0.25">
      <c r="A142" s="186" t="s">
        <v>274</v>
      </c>
      <c r="B142" s="186" t="s">
        <v>162</v>
      </c>
      <c r="C142" s="186" t="s">
        <v>163</v>
      </c>
      <c r="D142" s="186" t="s">
        <v>69</v>
      </c>
      <c r="E142" s="279">
        <v>17894000</v>
      </c>
      <c r="F142" s="279">
        <v>13797000</v>
      </c>
      <c r="G142" s="279">
        <v>10413500</v>
      </c>
      <c r="H142" s="279">
        <v>0</v>
      </c>
      <c r="I142" s="279">
        <v>4308000</v>
      </c>
      <c r="J142" s="279">
        <v>0</v>
      </c>
      <c r="K142" s="592">
        <v>1850343.69</v>
      </c>
      <c r="L142" s="279">
        <v>915387.37</v>
      </c>
      <c r="M142" s="279">
        <v>7638656.3099999996</v>
      </c>
      <c r="N142" s="279">
        <v>4255156.3099999996</v>
      </c>
    </row>
    <row r="143" spans="1:14" x14ac:dyDescent="0.25">
      <c r="A143" s="186" t="s">
        <v>274</v>
      </c>
      <c r="B143" s="186" t="s">
        <v>166</v>
      </c>
      <c r="C143" s="186" t="s">
        <v>167</v>
      </c>
      <c r="D143" s="186" t="s">
        <v>69</v>
      </c>
      <c r="E143" s="279">
        <v>7000000</v>
      </c>
      <c r="F143" s="279">
        <v>7000000</v>
      </c>
      <c r="G143" s="279">
        <v>3617000</v>
      </c>
      <c r="H143" s="279">
        <v>0</v>
      </c>
      <c r="I143" s="279">
        <v>2550000</v>
      </c>
      <c r="J143" s="279">
        <v>0</v>
      </c>
      <c r="K143" s="592">
        <v>0</v>
      </c>
      <c r="L143" s="279">
        <v>0</v>
      </c>
      <c r="M143" s="279">
        <v>4450000</v>
      </c>
      <c r="N143" s="279">
        <v>1067000</v>
      </c>
    </row>
    <row r="144" spans="1:14" x14ac:dyDescent="0.25">
      <c r="A144" s="186" t="s">
        <v>274</v>
      </c>
      <c r="B144" s="186" t="s">
        <v>168</v>
      </c>
      <c r="C144" s="186" t="s">
        <v>169</v>
      </c>
      <c r="D144" s="186" t="s">
        <v>69</v>
      </c>
      <c r="E144" s="279">
        <v>3000000</v>
      </c>
      <c r="F144" s="279">
        <v>1953000</v>
      </c>
      <c r="G144" s="279">
        <v>1953000</v>
      </c>
      <c r="H144" s="279">
        <v>0</v>
      </c>
      <c r="I144" s="279">
        <v>0</v>
      </c>
      <c r="J144" s="279">
        <v>0</v>
      </c>
      <c r="K144" s="592">
        <v>0</v>
      </c>
      <c r="L144" s="279">
        <v>0</v>
      </c>
      <c r="M144" s="279">
        <v>1953000</v>
      </c>
      <c r="N144" s="279">
        <v>1953000</v>
      </c>
    </row>
    <row r="145" spans="1:14" x14ac:dyDescent="0.25">
      <c r="A145" s="186" t="s">
        <v>274</v>
      </c>
      <c r="B145" s="186" t="s">
        <v>170</v>
      </c>
      <c r="C145" s="186" t="s">
        <v>171</v>
      </c>
      <c r="D145" s="186" t="s">
        <v>69</v>
      </c>
      <c r="E145" s="279">
        <v>4494000</v>
      </c>
      <c r="F145" s="279">
        <v>4494000</v>
      </c>
      <c r="G145" s="279">
        <v>4493500</v>
      </c>
      <c r="H145" s="279">
        <v>0</v>
      </c>
      <c r="I145" s="279">
        <v>1758000</v>
      </c>
      <c r="J145" s="279">
        <v>0</v>
      </c>
      <c r="K145" s="592">
        <v>1850343.69</v>
      </c>
      <c r="L145" s="279">
        <v>915387.37</v>
      </c>
      <c r="M145" s="279">
        <v>885656.31</v>
      </c>
      <c r="N145" s="279">
        <v>885156.31</v>
      </c>
    </row>
    <row r="146" spans="1:14" x14ac:dyDescent="0.25">
      <c r="A146" s="186" t="s">
        <v>274</v>
      </c>
      <c r="B146" s="186" t="s">
        <v>172</v>
      </c>
      <c r="C146" s="186" t="s">
        <v>173</v>
      </c>
      <c r="D146" s="186" t="s">
        <v>69</v>
      </c>
      <c r="E146" s="279">
        <v>3400000</v>
      </c>
      <c r="F146" s="279">
        <v>350000</v>
      </c>
      <c r="G146" s="279">
        <v>350000</v>
      </c>
      <c r="H146" s="279">
        <v>0</v>
      </c>
      <c r="I146" s="279">
        <v>0</v>
      </c>
      <c r="J146" s="279">
        <v>0</v>
      </c>
      <c r="K146" s="592">
        <v>0</v>
      </c>
      <c r="L146" s="279">
        <v>0</v>
      </c>
      <c r="M146" s="279">
        <v>350000</v>
      </c>
      <c r="N146" s="279">
        <v>350000</v>
      </c>
    </row>
    <row r="147" spans="1:14" x14ac:dyDescent="0.25">
      <c r="A147" s="186" t="s">
        <v>274</v>
      </c>
      <c r="B147" s="186" t="s">
        <v>174</v>
      </c>
      <c r="C147" s="186" t="s">
        <v>175</v>
      </c>
      <c r="D147" s="186" t="s">
        <v>69</v>
      </c>
      <c r="E147" s="279">
        <v>466000</v>
      </c>
      <c r="F147" s="279">
        <v>299000</v>
      </c>
      <c r="G147" s="279">
        <v>100000</v>
      </c>
      <c r="H147" s="279">
        <v>0</v>
      </c>
      <c r="I147" s="279">
        <v>50000</v>
      </c>
      <c r="J147" s="279">
        <v>0</v>
      </c>
      <c r="K147" s="592">
        <v>0</v>
      </c>
      <c r="L147" s="279">
        <v>0</v>
      </c>
      <c r="M147" s="279">
        <v>249000</v>
      </c>
      <c r="N147" s="279">
        <v>50000</v>
      </c>
    </row>
    <row r="148" spans="1:14" x14ac:dyDescent="0.25">
      <c r="A148" s="186" t="s">
        <v>274</v>
      </c>
      <c r="B148" s="186" t="s">
        <v>176</v>
      </c>
      <c r="C148" s="186" t="s">
        <v>177</v>
      </c>
      <c r="D148" s="186" t="s">
        <v>69</v>
      </c>
      <c r="E148" s="279">
        <v>466000</v>
      </c>
      <c r="F148" s="279">
        <v>299000</v>
      </c>
      <c r="G148" s="279">
        <v>100000</v>
      </c>
      <c r="H148" s="279">
        <v>0</v>
      </c>
      <c r="I148" s="279">
        <v>50000</v>
      </c>
      <c r="J148" s="279">
        <v>0</v>
      </c>
      <c r="K148" s="592">
        <v>0</v>
      </c>
      <c r="L148" s="279">
        <v>0</v>
      </c>
      <c r="M148" s="279">
        <v>249000</v>
      </c>
      <c r="N148" s="279">
        <v>50000</v>
      </c>
    </row>
    <row r="149" spans="1:14" x14ac:dyDescent="0.25">
      <c r="A149" s="186" t="s">
        <v>274</v>
      </c>
      <c r="B149" s="186" t="s">
        <v>178</v>
      </c>
      <c r="C149" s="186" t="s">
        <v>179</v>
      </c>
      <c r="D149" s="186" t="s">
        <v>69</v>
      </c>
      <c r="E149" s="279">
        <v>1800000</v>
      </c>
      <c r="F149" s="279">
        <v>1260000</v>
      </c>
      <c r="G149" s="279">
        <v>1259999.8500000001</v>
      </c>
      <c r="H149" s="279">
        <v>0</v>
      </c>
      <c r="I149" s="279">
        <v>0</v>
      </c>
      <c r="J149" s="279">
        <v>0</v>
      </c>
      <c r="K149" s="592">
        <v>600000</v>
      </c>
      <c r="L149" s="279">
        <v>600000</v>
      </c>
      <c r="M149" s="279">
        <v>660000</v>
      </c>
      <c r="N149" s="279">
        <v>659999.85</v>
      </c>
    </row>
    <row r="150" spans="1:14" x14ac:dyDescent="0.25">
      <c r="A150" s="186" t="s">
        <v>274</v>
      </c>
      <c r="B150" s="186" t="s">
        <v>182</v>
      </c>
      <c r="C150" s="186" t="s">
        <v>183</v>
      </c>
      <c r="D150" s="186" t="s">
        <v>69</v>
      </c>
      <c r="E150" s="279">
        <v>1800000</v>
      </c>
      <c r="F150" s="279">
        <v>1260000</v>
      </c>
      <c r="G150" s="279">
        <v>1259999.8500000001</v>
      </c>
      <c r="H150" s="279">
        <v>0</v>
      </c>
      <c r="I150" s="279">
        <v>0</v>
      </c>
      <c r="J150" s="279">
        <v>0</v>
      </c>
      <c r="K150" s="592">
        <v>600000</v>
      </c>
      <c r="L150" s="279">
        <v>600000</v>
      </c>
      <c r="M150" s="279">
        <v>660000</v>
      </c>
      <c r="N150" s="279">
        <v>659999.85</v>
      </c>
    </row>
    <row r="151" spans="1:14" x14ac:dyDescent="0.25">
      <c r="A151" s="186" t="s">
        <v>274</v>
      </c>
      <c r="B151" s="186" t="s">
        <v>184</v>
      </c>
      <c r="C151" s="186" t="s">
        <v>185</v>
      </c>
      <c r="D151" s="186" t="s">
        <v>69</v>
      </c>
      <c r="E151" s="279">
        <v>57954839</v>
      </c>
      <c r="F151" s="279">
        <v>57954839</v>
      </c>
      <c r="G151" s="279">
        <v>48725714</v>
      </c>
      <c r="H151" s="279">
        <v>10975182.640000001</v>
      </c>
      <c r="I151" s="279">
        <v>7177682.8399999999</v>
      </c>
      <c r="J151" s="279">
        <v>0</v>
      </c>
      <c r="K151" s="592">
        <v>11264714.449999999</v>
      </c>
      <c r="L151" s="279">
        <v>11264714.449999999</v>
      </c>
      <c r="M151" s="279">
        <v>28537259.07</v>
      </c>
      <c r="N151" s="279">
        <v>19308134.07</v>
      </c>
    </row>
    <row r="152" spans="1:14" x14ac:dyDescent="0.25">
      <c r="A152" s="186" t="s">
        <v>274</v>
      </c>
      <c r="B152" s="186" t="s">
        <v>186</v>
      </c>
      <c r="C152" s="186" t="s">
        <v>187</v>
      </c>
      <c r="D152" s="186" t="s">
        <v>69</v>
      </c>
      <c r="E152" s="279">
        <v>17854839</v>
      </c>
      <c r="F152" s="279">
        <v>17803839</v>
      </c>
      <c r="G152" s="279">
        <v>11493210</v>
      </c>
      <c r="H152" s="279">
        <v>6322297.54</v>
      </c>
      <c r="I152" s="279">
        <v>2739034.34</v>
      </c>
      <c r="J152" s="279">
        <v>0</v>
      </c>
      <c r="K152" s="592">
        <v>2293379.06</v>
      </c>
      <c r="L152" s="279">
        <v>2293379.06</v>
      </c>
      <c r="M152" s="279">
        <v>6449128.0599999996</v>
      </c>
      <c r="N152" s="279">
        <v>138499.06</v>
      </c>
    </row>
    <row r="153" spans="1:14" x14ac:dyDescent="0.25">
      <c r="A153" s="186" t="s">
        <v>274</v>
      </c>
      <c r="B153" s="186" t="s">
        <v>188</v>
      </c>
      <c r="C153" s="186" t="s">
        <v>189</v>
      </c>
      <c r="D153" s="186" t="s">
        <v>69</v>
      </c>
      <c r="E153" s="279">
        <v>9354839</v>
      </c>
      <c r="F153" s="279">
        <v>9354839</v>
      </c>
      <c r="G153" s="279">
        <v>3079210</v>
      </c>
      <c r="H153" s="279">
        <v>0</v>
      </c>
      <c r="I153" s="279">
        <v>785825.94</v>
      </c>
      <c r="J153" s="279">
        <v>0</v>
      </c>
      <c r="K153" s="592">
        <v>2293379.06</v>
      </c>
      <c r="L153" s="279">
        <v>2293379.06</v>
      </c>
      <c r="M153" s="279">
        <v>6275634</v>
      </c>
      <c r="N153" s="279">
        <v>5</v>
      </c>
    </row>
    <row r="154" spans="1:14" x14ac:dyDescent="0.25">
      <c r="A154" s="186" t="s">
        <v>274</v>
      </c>
      <c r="B154" s="186" t="s">
        <v>192</v>
      </c>
      <c r="C154" s="186" t="s">
        <v>193</v>
      </c>
      <c r="D154" s="186" t="s">
        <v>69</v>
      </c>
      <c r="E154" s="279">
        <v>8500000</v>
      </c>
      <c r="F154" s="279">
        <v>8449000</v>
      </c>
      <c r="G154" s="279">
        <v>8414000</v>
      </c>
      <c r="H154" s="279">
        <v>6322297.54</v>
      </c>
      <c r="I154" s="279">
        <v>1953208.4</v>
      </c>
      <c r="J154" s="279">
        <v>0</v>
      </c>
      <c r="K154" s="592">
        <v>0</v>
      </c>
      <c r="L154" s="279">
        <v>0</v>
      </c>
      <c r="M154" s="279">
        <v>173494.06</v>
      </c>
      <c r="N154" s="279">
        <v>138494.06</v>
      </c>
    </row>
    <row r="155" spans="1:14" x14ac:dyDescent="0.25">
      <c r="A155" s="186" t="s">
        <v>274</v>
      </c>
      <c r="B155" s="186" t="s">
        <v>196</v>
      </c>
      <c r="C155" s="186" t="s">
        <v>197</v>
      </c>
      <c r="D155" s="186" t="s">
        <v>69</v>
      </c>
      <c r="E155" s="279">
        <v>2460000</v>
      </c>
      <c r="F155" s="279">
        <v>5911000</v>
      </c>
      <c r="G155" s="279">
        <v>5911000</v>
      </c>
      <c r="H155" s="279">
        <v>0</v>
      </c>
      <c r="I155" s="279">
        <v>1156976.7</v>
      </c>
      <c r="J155" s="279">
        <v>0</v>
      </c>
      <c r="K155" s="592">
        <v>931082</v>
      </c>
      <c r="L155" s="279">
        <v>931082</v>
      </c>
      <c r="M155" s="279">
        <v>3822941.3</v>
      </c>
      <c r="N155" s="279">
        <v>3822941.3</v>
      </c>
    </row>
    <row r="156" spans="1:14" x14ac:dyDescent="0.25">
      <c r="A156" s="186" t="s">
        <v>274</v>
      </c>
      <c r="B156" s="186" t="s">
        <v>198</v>
      </c>
      <c r="C156" s="186" t="s">
        <v>199</v>
      </c>
      <c r="D156" s="186" t="s">
        <v>69</v>
      </c>
      <c r="E156" s="279">
        <v>2460000</v>
      </c>
      <c r="F156" s="279">
        <v>5911000</v>
      </c>
      <c r="G156" s="279">
        <v>5911000</v>
      </c>
      <c r="H156" s="279">
        <v>0</v>
      </c>
      <c r="I156" s="279">
        <v>1156976.7</v>
      </c>
      <c r="J156" s="279">
        <v>0</v>
      </c>
      <c r="K156" s="592">
        <v>931082</v>
      </c>
      <c r="L156" s="279">
        <v>931082</v>
      </c>
      <c r="M156" s="279">
        <v>3822941.3</v>
      </c>
      <c r="N156" s="279">
        <v>3822941.3</v>
      </c>
    </row>
    <row r="157" spans="1:14" x14ac:dyDescent="0.25">
      <c r="A157" s="186" t="s">
        <v>274</v>
      </c>
      <c r="B157" s="186" t="s">
        <v>200</v>
      </c>
      <c r="C157" s="186" t="s">
        <v>201</v>
      </c>
      <c r="D157" s="186" t="s">
        <v>69</v>
      </c>
      <c r="E157" s="279">
        <v>2000000</v>
      </c>
      <c r="F157" s="279">
        <v>1950000</v>
      </c>
      <c r="G157" s="279">
        <v>1748000</v>
      </c>
      <c r="H157" s="279">
        <v>0</v>
      </c>
      <c r="I157" s="279">
        <v>676024.72</v>
      </c>
      <c r="J157" s="279">
        <v>0</v>
      </c>
      <c r="K157" s="592">
        <v>606721.42000000004</v>
      </c>
      <c r="L157" s="279">
        <v>606721.42000000004</v>
      </c>
      <c r="M157" s="279">
        <v>667253.86</v>
      </c>
      <c r="N157" s="279">
        <v>465253.86</v>
      </c>
    </row>
    <row r="158" spans="1:14" x14ac:dyDescent="0.25">
      <c r="A158" s="186" t="s">
        <v>274</v>
      </c>
      <c r="B158" s="186" t="s">
        <v>202</v>
      </c>
      <c r="C158" s="186" t="s">
        <v>203</v>
      </c>
      <c r="D158" s="186" t="s">
        <v>69</v>
      </c>
      <c r="E158" s="279">
        <v>2000000</v>
      </c>
      <c r="F158" s="279">
        <v>1950000</v>
      </c>
      <c r="G158" s="279">
        <v>1748000</v>
      </c>
      <c r="H158" s="279">
        <v>0</v>
      </c>
      <c r="I158" s="279">
        <v>676024.72</v>
      </c>
      <c r="J158" s="279">
        <v>0</v>
      </c>
      <c r="K158" s="592">
        <v>606721.42000000004</v>
      </c>
      <c r="L158" s="279">
        <v>606721.42000000004</v>
      </c>
      <c r="M158" s="279">
        <v>667253.86</v>
      </c>
      <c r="N158" s="279">
        <v>465253.86</v>
      </c>
    </row>
    <row r="159" spans="1:14" x14ac:dyDescent="0.25">
      <c r="A159" s="186" t="s">
        <v>274</v>
      </c>
      <c r="B159" s="186" t="s">
        <v>206</v>
      </c>
      <c r="C159" s="186" t="s">
        <v>207</v>
      </c>
      <c r="D159" s="186" t="s">
        <v>69</v>
      </c>
      <c r="E159" s="279">
        <v>6710000</v>
      </c>
      <c r="F159" s="279">
        <v>3860000</v>
      </c>
      <c r="G159" s="279">
        <v>2200132</v>
      </c>
      <c r="H159" s="279">
        <v>2200000</v>
      </c>
      <c r="I159" s="279">
        <v>0</v>
      </c>
      <c r="J159" s="279">
        <v>0</v>
      </c>
      <c r="K159" s="592">
        <v>0</v>
      </c>
      <c r="L159" s="279">
        <v>0</v>
      </c>
      <c r="M159" s="279">
        <v>1660000</v>
      </c>
      <c r="N159" s="279">
        <v>132</v>
      </c>
    </row>
    <row r="160" spans="1:14" x14ac:dyDescent="0.25">
      <c r="A160" s="186" t="s">
        <v>274</v>
      </c>
      <c r="B160" s="186" t="s">
        <v>208</v>
      </c>
      <c r="C160" s="186" t="s">
        <v>209</v>
      </c>
      <c r="D160" s="186" t="s">
        <v>69</v>
      </c>
      <c r="E160" s="279">
        <v>3710000</v>
      </c>
      <c r="F160" s="279">
        <v>2210000</v>
      </c>
      <c r="G160" s="279">
        <v>2200000</v>
      </c>
      <c r="H160" s="279">
        <v>2200000</v>
      </c>
      <c r="I160" s="279">
        <v>0</v>
      </c>
      <c r="J160" s="279">
        <v>0</v>
      </c>
      <c r="K160" s="592">
        <v>0</v>
      </c>
      <c r="L160" s="279">
        <v>0</v>
      </c>
      <c r="M160" s="279">
        <v>10000</v>
      </c>
      <c r="N160" s="279">
        <v>0</v>
      </c>
    </row>
    <row r="161" spans="1:14" x14ac:dyDescent="0.25">
      <c r="A161" s="186" t="s">
        <v>274</v>
      </c>
      <c r="B161" s="186" t="s">
        <v>210</v>
      </c>
      <c r="C161" s="186" t="s">
        <v>211</v>
      </c>
      <c r="D161" s="186" t="s">
        <v>69</v>
      </c>
      <c r="E161" s="279">
        <v>3000000</v>
      </c>
      <c r="F161" s="279">
        <v>1650000</v>
      </c>
      <c r="G161" s="279">
        <v>132</v>
      </c>
      <c r="H161" s="279">
        <v>0</v>
      </c>
      <c r="I161" s="279">
        <v>0</v>
      </c>
      <c r="J161" s="279">
        <v>0</v>
      </c>
      <c r="K161" s="592">
        <v>0</v>
      </c>
      <c r="L161" s="279">
        <v>0</v>
      </c>
      <c r="M161" s="279">
        <v>1650000</v>
      </c>
      <c r="N161" s="279">
        <v>132</v>
      </c>
    </row>
    <row r="162" spans="1:14" x14ac:dyDescent="0.25">
      <c r="A162" s="186" t="s">
        <v>274</v>
      </c>
      <c r="B162" s="186" t="s">
        <v>212</v>
      </c>
      <c r="C162" s="186" t="s">
        <v>213</v>
      </c>
      <c r="D162" s="186" t="s">
        <v>69</v>
      </c>
      <c r="E162" s="279">
        <v>28930000</v>
      </c>
      <c r="F162" s="279">
        <v>28430000</v>
      </c>
      <c r="G162" s="279">
        <v>27373372</v>
      </c>
      <c r="H162" s="279">
        <v>2452885.1</v>
      </c>
      <c r="I162" s="279">
        <v>2605647.08</v>
      </c>
      <c r="J162" s="279">
        <v>0</v>
      </c>
      <c r="K162" s="592">
        <v>7433531.9699999997</v>
      </c>
      <c r="L162" s="279">
        <v>7433531.9699999997</v>
      </c>
      <c r="M162" s="279">
        <v>15937935.85</v>
      </c>
      <c r="N162" s="279">
        <v>14881307.85</v>
      </c>
    </row>
    <row r="163" spans="1:14" x14ac:dyDescent="0.25">
      <c r="A163" s="186" t="s">
        <v>274</v>
      </c>
      <c r="B163" s="186" t="s">
        <v>214</v>
      </c>
      <c r="C163" s="186" t="s">
        <v>215</v>
      </c>
      <c r="D163" s="186" t="s">
        <v>69</v>
      </c>
      <c r="E163" s="279">
        <v>8000000</v>
      </c>
      <c r="F163" s="279">
        <v>7500000</v>
      </c>
      <c r="G163" s="279">
        <v>7010000</v>
      </c>
      <c r="H163" s="279">
        <v>0</v>
      </c>
      <c r="I163" s="279">
        <v>1097839.72</v>
      </c>
      <c r="J163" s="279">
        <v>0</v>
      </c>
      <c r="K163" s="592">
        <v>2447017.37</v>
      </c>
      <c r="L163" s="279">
        <v>2447017.37</v>
      </c>
      <c r="M163" s="279">
        <v>3955142.91</v>
      </c>
      <c r="N163" s="279">
        <v>3465142.91</v>
      </c>
    </row>
    <row r="164" spans="1:14" x14ac:dyDescent="0.25">
      <c r="A164" s="186" t="s">
        <v>274</v>
      </c>
      <c r="B164" s="186" t="s">
        <v>218</v>
      </c>
      <c r="C164" s="186" t="s">
        <v>219</v>
      </c>
      <c r="D164" s="186" t="s">
        <v>69</v>
      </c>
      <c r="E164" s="279">
        <v>8000000</v>
      </c>
      <c r="F164" s="279">
        <v>7500000</v>
      </c>
      <c r="G164" s="279">
        <v>6980000</v>
      </c>
      <c r="H164" s="279">
        <v>2452885.1</v>
      </c>
      <c r="I164" s="279">
        <v>295000</v>
      </c>
      <c r="J164" s="279">
        <v>0</v>
      </c>
      <c r="K164" s="592">
        <v>2183538.4</v>
      </c>
      <c r="L164" s="279">
        <v>2183538.4</v>
      </c>
      <c r="M164" s="279">
        <v>2568576.5</v>
      </c>
      <c r="N164" s="279">
        <v>2048576.5</v>
      </c>
    </row>
    <row r="165" spans="1:14" x14ac:dyDescent="0.25">
      <c r="A165" s="186" t="s">
        <v>274</v>
      </c>
      <c r="B165" s="186" t="s">
        <v>222</v>
      </c>
      <c r="C165" s="186" t="s">
        <v>223</v>
      </c>
      <c r="D165" s="186" t="s">
        <v>69</v>
      </c>
      <c r="E165" s="279">
        <v>4930000</v>
      </c>
      <c r="F165" s="279">
        <v>4430000</v>
      </c>
      <c r="G165" s="279">
        <v>4387372</v>
      </c>
      <c r="H165" s="279">
        <v>0</v>
      </c>
      <c r="I165" s="279">
        <v>719807.36</v>
      </c>
      <c r="J165" s="279">
        <v>0</v>
      </c>
      <c r="K165" s="592">
        <v>819226.2</v>
      </c>
      <c r="L165" s="279">
        <v>819226.2</v>
      </c>
      <c r="M165" s="279">
        <v>2890966.44</v>
      </c>
      <c r="N165" s="279">
        <v>2848338.44</v>
      </c>
    </row>
    <row r="166" spans="1:14" x14ac:dyDescent="0.25">
      <c r="A166" s="186" t="s">
        <v>274</v>
      </c>
      <c r="B166" s="186" t="s">
        <v>228</v>
      </c>
      <c r="C166" s="186" t="s">
        <v>229</v>
      </c>
      <c r="D166" s="186" t="s">
        <v>69</v>
      </c>
      <c r="E166" s="279">
        <v>8000000</v>
      </c>
      <c r="F166" s="279">
        <v>9000000</v>
      </c>
      <c r="G166" s="279">
        <v>8996000</v>
      </c>
      <c r="H166" s="279">
        <v>0</v>
      </c>
      <c r="I166" s="279">
        <v>493000</v>
      </c>
      <c r="J166" s="279">
        <v>0</v>
      </c>
      <c r="K166" s="592">
        <v>1983750</v>
      </c>
      <c r="L166" s="279">
        <v>1983750</v>
      </c>
      <c r="M166" s="279">
        <v>6523250</v>
      </c>
      <c r="N166" s="279">
        <v>6519250</v>
      </c>
    </row>
    <row r="167" spans="1:14" x14ac:dyDescent="0.25">
      <c r="A167" s="186" t="s">
        <v>274</v>
      </c>
      <c r="B167" s="186" t="s">
        <v>230</v>
      </c>
      <c r="C167" s="186" t="s">
        <v>231</v>
      </c>
      <c r="D167" s="186" t="s">
        <v>85</v>
      </c>
      <c r="E167" s="279">
        <v>29500000</v>
      </c>
      <c r="F167" s="279">
        <v>29500000</v>
      </c>
      <c r="G167" s="279">
        <v>29500000</v>
      </c>
      <c r="H167" s="279">
        <v>0</v>
      </c>
      <c r="I167" s="279">
        <v>4798200</v>
      </c>
      <c r="J167" s="279">
        <v>200440</v>
      </c>
      <c r="K167" s="592">
        <v>8722191</v>
      </c>
      <c r="L167" s="279">
        <v>5647191</v>
      </c>
      <c r="M167" s="279">
        <v>15779169</v>
      </c>
      <c r="N167" s="279">
        <v>15779169</v>
      </c>
    </row>
    <row r="168" spans="1:14" x14ac:dyDescent="0.25">
      <c r="A168" s="186" t="s">
        <v>274</v>
      </c>
      <c r="B168" s="186" t="s">
        <v>232</v>
      </c>
      <c r="C168" s="186" t="s">
        <v>233</v>
      </c>
      <c r="D168" s="186" t="s">
        <v>85</v>
      </c>
      <c r="E168" s="279">
        <v>29500000</v>
      </c>
      <c r="F168" s="279">
        <v>29500000</v>
      </c>
      <c r="G168" s="279">
        <v>29500000</v>
      </c>
      <c r="H168" s="279">
        <v>0</v>
      </c>
      <c r="I168" s="279">
        <v>4798200</v>
      </c>
      <c r="J168" s="279">
        <v>200440</v>
      </c>
      <c r="K168" s="592">
        <v>8722191</v>
      </c>
      <c r="L168" s="279">
        <v>5647191</v>
      </c>
      <c r="M168" s="279">
        <v>15779169</v>
      </c>
      <c r="N168" s="279">
        <v>15779169</v>
      </c>
    </row>
    <row r="169" spans="1:14" x14ac:dyDescent="0.25">
      <c r="A169" s="186" t="s">
        <v>274</v>
      </c>
      <c r="B169" s="186" t="s">
        <v>236</v>
      </c>
      <c r="C169" s="186" t="s">
        <v>237</v>
      </c>
      <c r="D169" s="186" t="s">
        <v>85</v>
      </c>
      <c r="E169" s="279">
        <v>4700000</v>
      </c>
      <c r="F169" s="279">
        <v>6950000</v>
      </c>
      <c r="G169" s="279">
        <v>6950000</v>
      </c>
      <c r="H169" s="279">
        <v>0</v>
      </c>
      <c r="I169" s="279">
        <v>4798200</v>
      </c>
      <c r="J169" s="279">
        <v>0</v>
      </c>
      <c r="K169" s="592">
        <v>777120</v>
      </c>
      <c r="L169" s="279">
        <v>777120</v>
      </c>
      <c r="M169" s="279">
        <v>1374680</v>
      </c>
      <c r="N169" s="279">
        <v>1374680</v>
      </c>
    </row>
    <row r="170" spans="1:14" x14ac:dyDescent="0.25">
      <c r="A170" s="186" t="s">
        <v>274</v>
      </c>
      <c r="B170" s="186" t="s">
        <v>238</v>
      </c>
      <c r="C170" s="186" t="s">
        <v>239</v>
      </c>
      <c r="D170" s="186" t="s">
        <v>85</v>
      </c>
      <c r="E170" s="279">
        <v>3800000</v>
      </c>
      <c r="F170" s="279">
        <v>3300000</v>
      </c>
      <c r="G170" s="279">
        <v>3300000</v>
      </c>
      <c r="H170" s="279">
        <v>0</v>
      </c>
      <c r="I170" s="279">
        <v>0</v>
      </c>
      <c r="J170" s="279">
        <v>0</v>
      </c>
      <c r="K170" s="592">
        <v>913570</v>
      </c>
      <c r="L170" s="279">
        <v>913570</v>
      </c>
      <c r="M170" s="279">
        <v>2386430</v>
      </c>
      <c r="N170" s="279">
        <v>2386430</v>
      </c>
    </row>
    <row r="171" spans="1:14" x14ac:dyDescent="0.25">
      <c r="A171" s="186" t="s">
        <v>274</v>
      </c>
      <c r="B171" s="186" t="s">
        <v>282</v>
      </c>
      <c r="C171" s="186" t="s">
        <v>283</v>
      </c>
      <c r="D171" s="186" t="s">
        <v>85</v>
      </c>
      <c r="E171" s="279">
        <v>1000000</v>
      </c>
      <c r="F171" s="279">
        <v>250000</v>
      </c>
      <c r="G171" s="279">
        <v>250000</v>
      </c>
      <c r="H171" s="279">
        <v>0</v>
      </c>
      <c r="I171" s="279">
        <v>0</v>
      </c>
      <c r="J171" s="279">
        <v>0</v>
      </c>
      <c r="K171" s="592">
        <v>0</v>
      </c>
      <c r="L171" s="279">
        <v>0</v>
      </c>
      <c r="M171" s="279">
        <v>250000</v>
      </c>
      <c r="N171" s="279">
        <v>250000</v>
      </c>
    </row>
    <row r="172" spans="1:14" x14ac:dyDescent="0.25">
      <c r="A172" s="186" t="s">
        <v>274</v>
      </c>
      <c r="B172" s="186" t="s">
        <v>240</v>
      </c>
      <c r="C172" s="186" t="s">
        <v>241</v>
      </c>
      <c r="D172" s="186" t="s">
        <v>85</v>
      </c>
      <c r="E172" s="279">
        <v>16000000</v>
      </c>
      <c r="F172" s="279">
        <v>16000000</v>
      </c>
      <c r="G172" s="279">
        <v>16000000</v>
      </c>
      <c r="H172" s="279">
        <v>0</v>
      </c>
      <c r="I172" s="279">
        <v>0</v>
      </c>
      <c r="J172" s="279">
        <v>0</v>
      </c>
      <c r="K172" s="592">
        <v>7031501</v>
      </c>
      <c r="L172" s="279">
        <v>3956501</v>
      </c>
      <c r="M172" s="279">
        <v>8968499</v>
      </c>
      <c r="N172" s="279">
        <v>8968499</v>
      </c>
    </row>
    <row r="173" spans="1:14" x14ac:dyDescent="0.25">
      <c r="A173" s="186" t="s">
        <v>274</v>
      </c>
      <c r="B173" s="186" t="s">
        <v>242</v>
      </c>
      <c r="C173" s="186" t="s">
        <v>243</v>
      </c>
      <c r="D173" s="186" t="s">
        <v>85</v>
      </c>
      <c r="E173" s="279">
        <v>4000000</v>
      </c>
      <c r="F173" s="279">
        <v>3000000</v>
      </c>
      <c r="G173" s="279">
        <v>3000000</v>
      </c>
      <c r="H173" s="279">
        <v>0</v>
      </c>
      <c r="I173" s="279">
        <v>0</v>
      </c>
      <c r="J173" s="279">
        <v>200440</v>
      </c>
      <c r="K173" s="592">
        <v>0</v>
      </c>
      <c r="L173" s="279">
        <v>0</v>
      </c>
      <c r="M173" s="279">
        <v>2799560</v>
      </c>
      <c r="N173" s="279">
        <v>2799560</v>
      </c>
    </row>
    <row r="174" spans="1:14" x14ac:dyDescent="0.25">
      <c r="A174" s="186" t="s">
        <v>274</v>
      </c>
      <c r="B174" s="186" t="s">
        <v>248</v>
      </c>
      <c r="C174" s="186" t="s">
        <v>249</v>
      </c>
      <c r="D174" s="186" t="s">
        <v>69</v>
      </c>
      <c r="E174" s="279">
        <v>43960000</v>
      </c>
      <c r="F174" s="279">
        <v>43960000</v>
      </c>
      <c r="G174" s="279">
        <v>35893000</v>
      </c>
      <c r="H174" s="279">
        <v>0</v>
      </c>
      <c r="I174" s="279">
        <v>4714696</v>
      </c>
      <c r="J174" s="279">
        <v>0</v>
      </c>
      <c r="K174" s="592">
        <v>26903265.350000001</v>
      </c>
      <c r="L174" s="279">
        <v>26903265.350000001</v>
      </c>
      <c r="M174" s="279">
        <v>12342038.65</v>
      </c>
      <c r="N174" s="279">
        <v>4275038.6500000004</v>
      </c>
    </row>
    <row r="175" spans="1:14" x14ac:dyDescent="0.25">
      <c r="A175" s="186" t="s">
        <v>274</v>
      </c>
      <c r="B175" s="186" t="s">
        <v>250</v>
      </c>
      <c r="C175" s="186" t="s">
        <v>251</v>
      </c>
      <c r="D175" s="186" t="s">
        <v>69</v>
      </c>
      <c r="E175" s="279">
        <v>11142000</v>
      </c>
      <c r="F175" s="279">
        <v>11142000</v>
      </c>
      <c r="G175" s="279">
        <v>11142000</v>
      </c>
      <c r="H175" s="279">
        <v>0</v>
      </c>
      <c r="I175" s="279">
        <v>4714696</v>
      </c>
      <c r="J175" s="279">
        <v>0</v>
      </c>
      <c r="K175" s="592">
        <v>6427304</v>
      </c>
      <c r="L175" s="279">
        <v>6427304</v>
      </c>
      <c r="M175" s="279">
        <v>0</v>
      </c>
      <c r="N175" s="279">
        <v>0</v>
      </c>
    </row>
    <row r="176" spans="1:14" x14ac:dyDescent="0.25">
      <c r="A176" s="186" t="s">
        <v>274</v>
      </c>
      <c r="B176" s="186" t="s">
        <v>284</v>
      </c>
      <c r="C176" s="186" t="s">
        <v>257</v>
      </c>
      <c r="D176" s="186" t="s">
        <v>69</v>
      </c>
      <c r="E176" s="279">
        <v>9273000</v>
      </c>
      <c r="F176" s="279">
        <v>9273000</v>
      </c>
      <c r="G176" s="279">
        <v>9273000</v>
      </c>
      <c r="H176" s="279">
        <v>0</v>
      </c>
      <c r="I176" s="279">
        <v>3924101</v>
      </c>
      <c r="J176" s="279">
        <v>0</v>
      </c>
      <c r="K176" s="592">
        <v>5348899</v>
      </c>
      <c r="L176" s="279">
        <v>5348899</v>
      </c>
      <c r="M176" s="279">
        <v>0</v>
      </c>
      <c r="N176" s="279">
        <v>0</v>
      </c>
    </row>
    <row r="177" spans="1:14" x14ac:dyDescent="0.25">
      <c r="A177" s="186" t="s">
        <v>274</v>
      </c>
      <c r="B177" s="186" t="s">
        <v>285</v>
      </c>
      <c r="C177" s="186" t="s">
        <v>259</v>
      </c>
      <c r="D177" s="186" t="s">
        <v>69</v>
      </c>
      <c r="E177" s="279">
        <v>1869000</v>
      </c>
      <c r="F177" s="279">
        <v>1869000</v>
      </c>
      <c r="G177" s="279">
        <v>1869000</v>
      </c>
      <c r="H177" s="279">
        <v>0</v>
      </c>
      <c r="I177" s="279">
        <v>790595</v>
      </c>
      <c r="J177" s="279">
        <v>0</v>
      </c>
      <c r="K177" s="592">
        <v>1078405</v>
      </c>
      <c r="L177" s="279">
        <v>1078405</v>
      </c>
      <c r="M177" s="279">
        <v>0</v>
      </c>
      <c r="N177" s="279">
        <v>0</v>
      </c>
    </row>
    <row r="178" spans="1:14" x14ac:dyDescent="0.25">
      <c r="A178" s="186" t="s">
        <v>274</v>
      </c>
      <c r="B178" s="186" t="s">
        <v>260</v>
      </c>
      <c r="C178" s="186" t="s">
        <v>261</v>
      </c>
      <c r="D178" s="186" t="s">
        <v>69</v>
      </c>
      <c r="E178" s="279">
        <v>24818000</v>
      </c>
      <c r="F178" s="279">
        <v>26818000</v>
      </c>
      <c r="G178" s="279">
        <v>24751000</v>
      </c>
      <c r="H178" s="279">
        <v>0</v>
      </c>
      <c r="I178" s="279">
        <v>0</v>
      </c>
      <c r="J178" s="279">
        <v>0</v>
      </c>
      <c r="K178" s="592">
        <v>20475961.350000001</v>
      </c>
      <c r="L178" s="279">
        <v>20475961.350000001</v>
      </c>
      <c r="M178" s="279">
        <v>6342038.6500000004</v>
      </c>
      <c r="N178" s="279">
        <v>4275038.6500000004</v>
      </c>
    </row>
    <row r="179" spans="1:14" x14ac:dyDescent="0.25">
      <c r="A179" s="186" t="s">
        <v>274</v>
      </c>
      <c r="B179" s="186" t="s">
        <v>262</v>
      </c>
      <c r="C179" s="186" t="s">
        <v>263</v>
      </c>
      <c r="D179" s="186" t="s">
        <v>69</v>
      </c>
      <c r="E179" s="279">
        <v>17000000</v>
      </c>
      <c r="F179" s="279">
        <v>19000000</v>
      </c>
      <c r="G179" s="279">
        <v>16933000</v>
      </c>
      <c r="H179" s="279">
        <v>0</v>
      </c>
      <c r="I179" s="279">
        <v>0</v>
      </c>
      <c r="J179" s="279">
        <v>0</v>
      </c>
      <c r="K179" s="592">
        <v>16932874.350000001</v>
      </c>
      <c r="L179" s="279">
        <v>16932874.350000001</v>
      </c>
      <c r="M179" s="279">
        <v>2067125.65</v>
      </c>
      <c r="N179" s="279">
        <v>125.65</v>
      </c>
    </row>
    <row r="180" spans="1:14" x14ac:dyDescent="0.25">
      <c r="A180" s="186" t="s">
        <v>274</v>
      </c>
      <c r="B180" s="186" t="s">
        <v>264</v>
      </c>
      <c r="C180" s="186" t="s">
        <v>265</v>
      </c>
      <c r="D180" s="186" t="s">
        <v>69</v>
      </c>
      <c r="E180" s="279">
        <v>7818000</v>
      </c>
      <c r="F180" s="279">
        <v>7818000</v>
      </c>
      <c r="G180" s="279">
        <v>7818000</v>
      </c>
      <c r="H180" s="279">
        <v>0</v>
      </c>
      <c r="I180" s="279">
        <v>0</v>
      </c>
      <c r="J180" s="279">
        <v>0</v>
      </c>
      <c r="K180" s="592">
        <v>3543087</v>
      </c>
      <c r="L180" s="279">
        <v>3543087</v>
      </c>
      <c r="M180" s="279">
        <v>4274913</v>
      </c>
      <c r="N180" s="279">
        <v>4274913</v>
      </c>
    </row>
    <row r="181" spans="1:14" x14ac:dyDescent="0.25">
      <c r="A181" s="186" t="s">
        <v>274</v>
      </c>
      <c r="B181" s="186" t="s">
        <v>286</v>
      </c>
      <c r="C181" s="186" t="s">
        <v>287</v>
      </c>
      <c r="D181" s="186" t="s">
        <v>69</v>
      </c>
      <c r="E181" s="279">
        <v>8000000</v>
      </c>
      <c r="F181" s="279">
        <v>6000000</v>
      </c>
      <c r="G181" s="279">
        <v>0</v>
      </c>
      <c r="H181" s="279">
        <v>0</v>
      </c>
      <c r="I181" s="279">
        <v>0</v>
      </c>
      <c r="J181" s="279">
        <v>0</v>
      </c>
      <c r="K181" s="592">
        <v>0</v>
      </c>
      <c r="L181" s="279">
        <v>0</v>
      </c>
      <c r="M181" s="279">
        <v>6000000</v>
      </c>
      <c r="N181" s="279">
        <v>0</v>
      </c>
    </row>
    <row r="182" spans="1:14" x14ac:dyDescent="0.25">
      <c r="A182" s="186" t="s">
        <v>274</v>
      </c>
      <c r="B182" s="186" t="s">
        <v>288</v>
      </c>
      <c r="C182" s="186" t="s">
        <v>289</v>
      </c>
      <c r="D182" s="186" t="s">
        <v>69</v>
      </c>
      <c r="E182" s="279">
        <v>8000000</v>
      </c>
      <c r="F182" s="279">
        <v>6000000</v>
      </c>
      <c r="G182" s="279">
        <v>0</v>
      </c>
      <c r="H182" s="279">
        <v>0</v>
      </c>
      <c r="I182" s="279">
        <v>0</v>
      </c>
      <c r="J182" s="279">
        <v>0</v>
      </c>
      <c r="K182" s="592">
        <v>0</v>
      </c>
      <c r="L182" s="279">
        <v>0</v>
      </c>
      <c r="M182" s="279">
        <v>6000000</v>
      </c>
      <c r="N182" s="279">
        <v>0</v>
      </c>
    </row>
    <row r="183" spans="1:14" x14ac:dyDescent="0.25">
      <c r="A183" s="186" t="s">
        <v>290</v>
      </c>
      <c r="B183" s="186"/>
      <c r="C183" s="186"/>
      <c r="D183" s="186" t="s">
        <v>69</v>
      </c>
      <c r="E183" s="279">
        <v>11325587195</v>
      </c>
      <c r="F183" s="279">
        <v>11325587195</v>
      </c>
      <c r="G183" s="279">
        <v>11019310145</v>
      </c>
      <c r="H183" s="279">
        <v>9540496.0899999999</v>
      </c>
      <c r="I183" s="279">
        <v>832290518.49000001</v>
      </c>
      <c r="J183" s="279">
        <v>10791848.289999999</v>
      </c>
      <c r="K183" s="592">
        <v>6223835579.0500002</v>
      </c>
      <c r="L183" s="279">
        <v>6219254066.5299997</v>
      </c>
      <c r="M183" s="279">
        <v>4249128753.0799999</v>
      </c>
      <c r="N183" s="279">
        <v>3942851703.0799999</v>
      </c>
    </row>
    <row r="184" spans="1:14" x14ac:dyDescent="0.25">
      <c r="A184" s="186" t="s">
        <v>290</v>
      </c>
      <c r="B184" s="186" t="s">
        <v>71</v>
      </c>
      <c r="C184" s="186" t="s">
        <v>72</v>
      </c>
      <c r="D184" s="186" t="s">
        <v>69</v>
      </c>
      <c r="E184" s="279">
        <v>9908319000</v>
      </c>
      <c r="F184" s="279">
        <v>9899719000</v>
      </c>
      <c r="G184" s="279">
        <v>9899719000</v>
      </c>
      <c r="H184" s="279">
        <v>0</v>
      </c>
      <c r="I184" s="279">
        <v>609297405.20000005</v>
      </c>
      <c r="J184" s="279">
        <v>0</v>
      </c>
      <c r="K184" s="592">
        <v>5558905933.1199999</v>
      </c>
      <c r="L184" s="279">
        <v>5558905933.1199999</v>
      </c>
      <c r="M184" s="279">
        <v>3731515661.6799998</v>
      </c>
      <c r="N184" s="279">
        <v>3731515661.6799998</v>
      </c>
    </row>
    <row r="185" spans="1:14" x14ac:dyDescent="0.25">
      <c r="A185" s="186" t="s">
        <v>290</v>
      </c>
      <c r="B185" s="186" t="s">
        <v>73</v>
      </c>
      <c r="C185" s="186" t="s">
        <v>74</v>
      </c>
      <c r="D185" s="186" t="s">
        <v>69</v>
      </c>
      <c r="E185" s="279">
        <v>3418584000</v>
      </c>
      <c r="F185" s="279">
        <v>3418584000</v>
      </c>
      <c r="G185" s="279">
        <v>3418584000</v>
      </c>
      <c r="H185" s="279">
        <v>0</v>
      </c>
      <c r="I185" s="279">
        <v>0</v>
      </c>
      <c r="J185" s="279">
        <v>0</v>
      </c>
      <c r="K185" s="592">
        <v>1983270556.52</v>
      </c>
      <c r="L185" s="279">
        <v>1983270556.52</v>
      </c>
      <c r="M185" s="279">
        <v>1435313443.48</v>
      </c>
      <c r="N185" s="279">
        <v>1435313443.48</v>
      </c>
    </row>
    <row r="186" spans="1:14" x14ac:dyDescent="0.25">
      <c r="A186" s="186" t="s">
        <v>290</v>
      </c>
      <c r="B186" s="186" t="s">
        <v>75</v>
      </c>
      <c r="C186" s="186" t="s">
        <v>76</v>
      </c>
      <c r="D186" s="186" t="s">
        <v>69</v>
      </c>
      <c r="E186" s="279">
        <v>3413584000</v>
      </c>
      <c r="F186" s="279">
        <v>3413584000</v>
      </c>
      <c r="G186" s="279">
        <v>3413584000</v>
      </c>
      <c r="H186" s="279">
        <v>0</v>
      </c>
      <c r="I186" s="279">
        <v>0</v>
      </c>
      <c r="J186" s="279">
        <v>0</v>
      </c>
      <c r="K186" s="592">
        <v>1983270556.52</v>
      </c>
      <c r="L186" s="279">
        <v>1983270556.52</v>
      </c>
      <c r="M186" s="279">
        <v>1430313443.48</v>
      </c>
      <c r="N186" s="279">
        <v>1430313443.48</v>
      </c>
    </row>
    <row r="187" spans="1:14" x14ac:dyDescent="0.25">
      <c r="A187" s="186" t="s">
        <v>290</v>
      </c>
      <c r="B187" s="186" t="s">
        <v>291</v>
      </c>
      <c r="C187" s="186" t="s">
        <v>292</v>
      </c>
      <c r="D187" s="186" t="s">
        <v>69</v>
      </c>
      <c r="E187" s="279">
        <v>5000000</v>
      </c>
      <c r="F187" s="279">
        <v>5000000</v>
      </c>
      <c r="G187" s="279">
        <v>5000000</v>
      </c>
      <c r="H187" s="279">
        <v>0</v>
      </c>
      <c r="I187" s="279">
        <v>0</v>
      </c>
      <c r="J187" s="279">
        <v>0</v>
      </c>
      <c r="K187" s="592">
        <v>0</v>
      </c>
      <c r="L187" s="279">
        <v>0</v>
      </c>
      <c r="M187" s="279">
        <v>5000000</v>
      </c>
      <c r="N187" s="279">
        <v>5000000</v>
      </c>
    </row>
    <row r="188" spans="1:14" x14ac:dyDescent="0.25">
      <c r="A188" s="186" t="s">
        <v>290</v>
      </c>
      <c r="B188" s="186" t="s">
        <v>293</v>
      </c>
      <c r="C188" s="186" t="s">
        <v>294</v>
      </c>
      <c r="D188" s="186" t="s">
        <v>69</v>
      </c>
      <c r="E188" s="279">
        <v>11000000</v>
      </c>
      <c r="F188" s="279">
        <v>11000000</v>
      </c>
      <c r="G188" s="279">
        <v>11000000</v>
      </c>
      <c r="H188" s="279">
        <v>0</v>
      </c>
      <c r="I188" s="279">
        <v>0</v>
      </c>
      <c r="J188" s="279">
        <v>0</v>
      </c>
      <c r="K188" s="592">
        <v>4167270.39</v>
      </c>
      <c r="L188" s="279">
        <v>4167270.39</v>
      </c>
      <c r="M188" s="279">
        <v>6832729.6100000003</v>
      </c>
      <c r="N188" s="279">
        <v>6832729.6100000003</v>
      </c>
    </row>
    <row r="189" spans="1:14" x14ac:dyDescent="0.25">
      <c r="A189" s="186" t="s">
        <v>290</v>
      </c>
      <c r="B189" s="186" t="s">
        <v>295</v>
      </c>
      <c r="C189" s="186" t="s">
        <v>296</v>
      </c>
      <c r="D189" s="186" t="s">
        <v>69</v>
      </c>
      <c r="E189" s="279">
        <v>11000000</v>
      </c>
      <c r="F189" s="279">
        <v>11000000</v>
      </c>
      <c r="G189" s="279">
        <v>11000000</v>
      </c>
      <c r="H189" s="279">
        <v>0</v>
      </c>
      <c r="I189" s="279">
        <v>0</v>
      </c>
      <c r="J189" s="279">
        <v>0</v>
      </c>
      <c r="K189" s="592">
        <v>4167270.39</v>
      </c>
      <c r="L189" s="279">
        <v>4167270.39</v>
      </c>
      <c r="M189" s="279">
        <v>6832729.6100000003</v>
      </c>
      <c r="N189" s="279">
        <v>6832729.6100000003</v>
      </c>
    </row>
    <row r="190" spans="1:14" x14ac:dyDescent="0.25">
      <c r="A190" s="186" t="s">
        <v>290</v>
      </c>
      <c r="B190" s="186" t="s">
        <v>77</v>
      </c>
      <c r="C190" s="186" t="s">
        <v>78</v>
      </c>
      <c r="D190" s="186" t="s">
        <v>69</v>
      </c>
      <c r="E190" s="279">
        <v>4978167000</v>
      </c>
      <c r="F190" s="279">
        <v>4969567000</v>
      </c>
      <c r="G190" s="279">
        <v>4969567000</v>
      </c>
      <c r="H190" s="279">
        <v>0</v>
      </c>
      <c r="I190" s="279">
        <v>66935.199999999997</v>
      </c>
      <c r="J190" s="279">
        <v>0</v>
      </c>
      <c r="K190" s="592">
        <v>2680130576.21</v>
      </c>
      <c r="L190" s="279">
        <v>2680130576.21</v>
      </c>
      <c r="M190" s="279">
        <v>2289369488.5900002</v>
      </c>
      <c r="N190" s="279">
        <v>2289369488.5900002</v>
      </c>
    </row>
    <row r="191" spans="1:14" x14ac:dyDescent="0.25">
      <c r="A191" s="186" t="s">
        <v>290</v>
      </c>
      <c r="B191" s="186" t="s">
        <v>79</v>
      </c>
      <c r="C191" s="186" t="s">
        <v>80</v>
      </c>
      <c r="D191" s="186" t="s">
        <v>69</v>
      </c>
      <c r="E191" s="279">
        <v>913627000</v>
      </c>
      <c r="F191" s="279">
        <v>905027000</v>
      </c>
      <c r="G191" s="279">
        <v>905027000</v>
      </c>
      <c r="H191" s="279">
        <v>0</v>
      </c>
      <c r="I191" s="279">
        <v>61854.400000000001</v>
      </c>
      <c r="J191" s="279">
        <v>0</v>
      </c>
      <c r="K191" s="592">
        <v>504579688.23000002</v>
      </c>
      <c r="L191" s="279">
        <v>504579688.23000002</v>
      </c>
      <c r="M191" s="279">
        <v>400385457.37</v>
      </c>
      <c r="N191" s="279">
        <v>400385457.37</v>
      </c>
    </row>
    <row r="192" spans="1:14" x14ac:dyDescent="0.25">
      <c r="A192" s="186" t="s">
        <v>290</v>
      </c>
      <c r="B192" s="186" t="s">
        <v>81</v>
      </c>
      <c r="C192" s="186" t="s">
        <v>82</v>
      </c>
      <c r="D192" s="186" t="s">
        <v>69</v>
      </c>
      <c r="E192" s="279">
        <v>2244831000</v>
      </c>
      <c r="F192" s="279">
        <v>2244831000</v>
      </c>
      <c r="G192" s="279">
        <v>2244831000</v>
      </c>
      <c r="H192" s="279">
        <v>0</v>
      </c>
      <c r="I192" s="279">
        <v>0</v>
      </c>
      <c r="J192" s="279">
        <v>0</v>
      </c>
      <c r="K192" s="592">
        <v>1309927731.6900001</v>
      </c>
      <c r="L192" s="279">
        <v>1309927731.6900001</v>
      </c>
      <c r="M192" s="279">
        <v>934903268.30999994</v>
      </c>
      <c r="N192" s="279">
        <v>934903268.30999994</v>
      </c>
    </row>
    <row r="193" spans="1:14" x14ac:dyDescent="0.25">
      <c r="A193" s="186" t="s">
        <v>290</v>
      </c>
      <c r="B193" s="186" t="s">
        <v>83</v>
      </c>
      <c r="C193" s="186" t="s">
        <v>84</v>
      </c>
      <c r="D193" s="186" t="s">
        <v>85</v>
      </c>
      <c r="E193" s="279">
        <v>647839000</v>
      </c>
      <c r="F193" s="279">
        <v>647839000</v>
      </c>
      <c r="G193" s="279">
        <v>647839000</v>
      </c>
      <c r="H193" s="279">
        <v>0</v>
      </c>
      <c r="I193" s="279">
        <v>4.32</v>
      </c>
      <c r="J193" s="279">
        <v>0</v>
      </c>
      <c r="K193" s="592">
        <v>795760.88</v>
      </c>
      <c r="L193" s="279">
        <v>795760.88</v>
      </c>
      <c r="M193" s="279">
        <v>647043234.79999995</v>
      </c>
      <c r="N193" s="279">
        <v>647043234.79999995</v>
      </c>
    </row>
    <row r="194" spans="1:14" x14ac:dyDescent="0.25">
      <c r="A194" s="186" t="s">
        <v>290</v>
      </c>
      <c r="B194" s="186" t="s">
        <v>86</v>
      </c>
      <c r="C194" s="186" t="s">
        <v>87</v>
      </c>
      <c r="D194" s="186" t="s">
        <v>69</v>
      </c>
      <c r="E194" s="279">
        <v>540993000</v>
      </c>
      <c r="F194" s="279">
        <v>540993000</v>
      </c>
      <c r="G194" s="279">
        <v>540993000</v>
      </c>
      <c r="H194" s="279">
        <v>0</v>
      </c>
      <c r="I194" s="279">
        <v>5076.4799999999996</v>
      </c>
      <c r="J194" s="279">
        <v>0</v>
      </c>
      <c r="K194" s="592">
        <v>494427385.87</v>
      </c>
      <c r="L194" s="279">
        <v>494427385.87</v>
      </c>
      <c r="M194" s="279">
        <v>46560537.649999999</v>
      </c>
      <c r="N194" s="279">
        <v>46560537.649999999</v>
      </c>
    </row>
    <row r="195" spans="1:14" x14ac:dyDescent="0.25">
      <c r="A195" s="186" t="s">
        <v>290</v>
      </c>
      <c r="B195" s="186" t="s">
        <v>88</v>
      </c>
      <c r="C195" s="186" t="s">
        <v>89</v>
      </c>
      <c r="D195" s="186" t="s">
        <v>69</v>
      </c>
      <c r="E195" s="279">
        <v>630877000</v>
      </c>
      <c r="F195" s="279">
        <v>630877000</v>
      </c>
      <c r="G195" s="279">
        <v>630877000</v>
      </c>
      <c r="H195" s="279">
        <v>0</v>
      </c>
      <c r="I195" s="279">
        <v>0</v>
      </c>
      <c r="J195" s="279">
        <v>0</v>
      </c>
      <c r="K195" s="592">
        <v>370400009.54000002</v>
      </c>
      <c r="L195" s="279">
        <v>370400009.54000002</v>
      </c>
      <c r="M195" s="279">
        <v>260476990.46000001</v>
      </c>
      <c r="N195" s="279">
        <v>260476990.46000001</v>
      </c>
    </row>
    <row r="196" spans="1:14" x14ac:dyDescent="0.25">
      <c r="A196" s="186" t="s">
        <v>290</v>
      </c>
      <c r="B196" s="186" t="s">
        <v>90</v>
      </c>
      <c r="C196" s="186" t="s">
        <v>91</v>
      </c>
      <c r="D196" s="186" t="s">
        <v>69</v>
      </c>
      <c r="E196" s="279">
        <v>756883000</v>
      </c>
      <c r="F196" s="279">
        <v>756883000</v>
      </c>
      <c r="G196" s="279">
        <v>756883000</v>
      </c>
      <c r="H196" s="279">
        <v>0</v>
      </c>
      <c r="I196" s="279">
        <v>304202637</v>
      </c>
      <c r="J196" s="279">
        <v>0</v>
      </c>
      <c r="K196" s="592">
        <v>452680363</v>
      </c>
      <c r="L196" s="279">
        <v>452680363</v>
      </c>
      <c r="M196" s="279">
        <v>0</v>
      </c>
      <c r="N196" s="279">
        <v>0</v>
      </c>
    </row>
    <row r="197" spans="1:14" x14ac:dyDescent="0.25">
      <c r="A197" s="186" t="s">
        <v>290</v>
      </c>
      <c r="B197" s="186" t="s">
        <v>297</v>
      </c>
      <c r="C197" s="186" t="s">
        <v>93</v>
      </c>
      <c r="D197" s="186" t="s">
        <v>69</v>
      </c>
      <c r="E197" s="279">
        <v>718069000</v>
      </c>
      <c r="F197" s="279">
        <v>718069000</v>
      </c>
      <c r="G197" s="279">
        <v>718069000</v>
      </c>
      <c r="H197" s="279">
        <v>0</v>
      </c>
      <c r="I197" s="279">
        <v>288599725</v>
      </c>
      <c r="J197" s="279">
        <v>0</v>
      </c>
      <c r="K197" s="592">
        <v>429469275</v>
      </c>
      <c r="L197" s="279">
        <v>429469275</v>
      </c>
      <c r="M197" s="279">
        <v>0</v>
      </c>
      <c r="N197" s="279">
        <v>0</v>
      </c>
    </row>
    <row r="198" spans="1:14" x14ac:dyDescent="0.25">
      <c r="A198" s="186" t="s">
        <v>290</v>
      </c>
      <c r="B198" s="186" t="s">
        <v>298</v>
      </c>
      <c r="C198" s="186" t="s">
        <v>95</v>
      </c>
      <c r="D198" s="186" t="s">
        <v>69</v>
      </c>
      <c r="E198" s="279">
        <v>38814000</v>
      </c>
      <c r="F198" s="279">
        <v>38814000</v>
      </c>
      <c r="G198" s="279">
        <v>38814000</v>
      </c>
      <c r="H198" s="279">
        <v>0</v>
      </c>
      <c r="I198" s="279">
        <v>15602912</v>
      </c>
      <c r="J198" s="279">
        <v>0</v>
      </c>
      <c r="K198" s="592">
        <v>23211088</v>
      </c>
      <c r="L198" s="279">
        <v>23211088</v>
      </c>
      <c r="M198" s="279">
        <v>0</v>
      </c>
      <c r="N198" s="279">
        <v>0</v>
      </c>
    </row>
    <row r="199" spans="1:14" x14ac:dyDescent="0.25">
      <c r="A199" s="186" t="s">
        <v>290</v>
      </c>
      <c r="B199" s="186" t="s">
        <v>96</v>
      </c>
      <c r="C199" s="186" t="s">
        <v>97</v>
      </c>
      <c r="D199" s="186" t="s">
        <v>69</v>
      </c>
      <c r="E199" s="279">
        <v>743685000</v>
      </c>
      <c r="F199" s="279">
        <v>743685000</v>
      </c>
      <c r="G199" s="279">
        <v>743685000</v>
      </c>
      <c r="H199" s="279">
        <v>0</v>
      </c>
      <c r="I199" s="279">
        <v>305027833</v>
      </c>
      <c r="J199" s="279">
        <v>0</v>
      </c>
      <c r="K199" s="592">
        <v>438657167</v>
      </c>
      <c r="L199" s="279">
        <v>438657167</v>
      </c>
      <c r="M199" s="279">
        <v>0</v>
      </c>
      <c r="N199" s="279">
        <v>0</v>
      </c>
    </row>
    <row r="200" spans="1:14" x14ac:dyDescent="0.25">
      <c r="A200" s="186" t="s">
        <v>290</v>
      </c>
      <c r="B200" s="186" t="s">
        <v>299</v>
      </c>
      <c r="C200" s="186" t="s">
        <v>99</v>
      </c>
      <c r="D200" s="186" t="s">
        <v>69</v>
      </c>
      <c r="E200" s="279">
        <v>394355000</v>
      </c>
      <c r="F200" s="279">
        <v>394355000</v>
      </c>
      <c r="G200" s="279">
        <v>394355000</v>
      </c>
      <c r="H200" s="279">
        <v>0</v>
      </c>
      <c r="I200" s="279">
        <v>164597189</v>
      </c>
      <c r="J200" s="279">
        <v>0</v>
      </c>
      <c r="K200" s="592">
        <v>229757811</v>
      </c>
      <c r="L200" s="279">
        <v>229757811</v>
      </c>
      <c r="M200" s="279">
        <v>0</v>
      </c>
      <c r="N200" s="279">
        <v>0</v>
      </c>
    </row>
    <row r="201" spans="1:14" x14ac:dyDescent="0.25">
      <c r="A201" s="186" t="s">
        <v>290</v>
      </c>
      <c r="B201" s="186" t="s">
        <v>300</v>
      </c>
      <c r="C201" s="186" t="s">
        <v>101</v>
      </c>
      <c r="D201" s="186" t="s">
        <v>69</v>
      </c>
      <c r="E201" s="279">
        <v>116443000</v>
      </c>
      <c r="F201" s="279">
        <v>116443000</v>
      </c>
      <c r="G201" s="279">
        <v>116443000</v>
      </c>
      <c r="H201" s="279">
        <v>0</v>
      </c>
      <c r="I201" s="279">
        <v>46809931</v>
      </c>
      <c r="J201" s="279">
        <v>0</v>
      </c>
      <c r="K201" s="592">
        <v>69633069</v>
      </c>
      <c r="L201" s="279">
        <v>69633069</v>
      </c>
      <c r="M201" s="279">
        <v>0</v>
      </c>
      <c r="N201" s="279">
        <v>0</v>
      </c>
    </row>
    <row r="202" spans="1:14" x14ac:dyDescent="0.25">
      <c r="A202" s="186" t="s">
        <v>290</v>
      </c>
      <c r="B202" s="186" t="s">
        <v>301</v>
      </c>
      <c r="C202" s="186" t="s">
        <v>103</v>
      </c>
      <c r="D202" s="186" t="s">
        <v>69</v>
      </c>
      <c r="E202" s="279">
        <v>232887000</v>
      </c>
      <c r="F202" s="279">
        <v>232887000</v>
      </c>
      <c r="G202" s="279">
        <v>232887000</v>
      </c>
      <c r="H202" s="279">
        <v>0</v>
      </c>
      <c r="I202" s="279">
        <v>93620713</v>
      </c>
      <c r="J202" s="279">
        <v>0</v>
      </c>
      <c r="K202" s="592">
        <v>139266287</v>
      </c>
      <c r="L202" s="279">
        <v>139266287</v>
      </c>
      <c r="M202" s="279">
        <v>0</v>
      </c>
      <c r="N202" s="279">
        <v>0</v>
      </c>
    </row>
    <row r="203" spans="1:14" x14ac:dyDescent="0.25">
      <c r="A203" s="186" t="s">
        <v>290</v>
      </c>
      <c r="B203" s="186" t="s">
        <v>104</v>
      </c>
      <c r="C203" s="186" t="s">
        <v>105</v>
      </c>
      <c r="D203" s="186" t="s">
        <v>69</v>
      </c>
      <c r="E203" s="279">
        <v>1006874402</v>
      </c>
      <c r="F203" s="279">
        <v>1006874402</v>
      </c>
      <c r="G203" s="279">
        <v>789409676.5</v>
      </c>
      <c r="H203" s="279">
        <v>856668.48</v>
      </c>
      <c r="I203" s="279">
        <v>147520927.31999999</v>
      </c>
      <c r="J203" s="279">
        <v>10791848.289999999</v>
      </c>
      <c r="K203" s="592">
        <v>486461948.63999999</v>
      </c>
      <c r="L203" s="279">
        <v>481880436.12</v>
      </c>
      <c r="M203" s="279">
        <v>361243009.26999998</v>
      </c>
      <c r="N203" s="279">
        <v>143778283.77000001</v>
      </c>
    </row>
    <row r="204" spans="1:14" x14ac:dyDescent="0.25">
      <c r="A204" s="186" t="s">
        <v>290</v>
      </c>
      <c r="B204" s="186" t="s">
        <v>106</v>
      </c>
      <c r="C204" s="186" t="s">
        <v>107</v>
      </c>
      <c r="D204" s="186" t="s">
        <v>69</v>
      </c>
      <c r="E204" s="279">
        <v>331717997</v>
      </c>
      <c r="F204" s="279">
        <v>306417997</v>
      </c>
      <c r="G204" s="279">
        <v>235228497</v>
      </c>
      <c r="H204" s="279">
        <v>0</v>
      </c>
      <c r="I204" s="279">
        <v>31630731.27</v>
      </c>
      <c r="J204" s="279">
        <v>8428991.9800000004</v>
      </c>
      <c r="K204" s="592">
        <v>159212119.06</v>
      </c>
      <c r="L204" s="279">
        <v>159212119.06</v>
      </c>
      <c r="M204" s="279">
        <v>107146154.69</v>
      </c>
      <c r="N204" s="279">
        <v>35956654.689999998</v>
      </c>
    </row>
    <row r="205" spans="1:14" x14ac:dyDescent="0.25">
      <c r="A205" s="186" t="s">
        <v>290</v>
      </c>
      <c r="B205" s="186" t="s">
        <v>280</v>
      </c>
      <c r="C205" s="186" t="s">
        <v>281</v>
      </c>
      <c r="D205" s="186" t="s">
        <v>69</v>
      </c>
      <c r="E205" s="279">
        <v>200526630</v>
      </c>
      <c r="F205" s="279">
        <v>163026630</v>
      </c>
      <c r="G205" s="279">
        <v>121084972</v>
      </c>
      <c r="H205" s="279">
        <v>0</v>
      </c>
      <c r="I205" s="279">
        <v>7387475</v>
      </c>
      <c r="J205" s="279">
        <v>5256205</v>
      </c>
      <c r="K205" s="592">
        <v>97052590</v>
      </c>
      <c r="L205" s="279">
        <v>97052590</v>
      </c>
      <c r="M205" s="279">
        <v>53330360</v>
      </c>
      <c r="N205" s="279">
        <v>11388702</v>
      </c>
    </row>
    <row r="206" spans="1:14" x14ac:dyDescent="0.25">
      <c r="A206" s="186" t="s">
        <v>290</v>
      </c>
      <c r="B206" s="186" t="s">
        <v>302</v>
      </c>
      <c r="C206" s="186" t="s">
        <v>303</v>
      </c>
      <c r="D206" s="186" t="s">
        <v>69</v>
      </c>
      <c r="E206" s="279">
        <v>3933000</v>
      </c>
      <c r="F206" s="279">
        <v>3333000</v>
      </c>
      <c r="G206" s="279">
        <v>2449750</v>
      </c>
      <c r="H206" s="279">
        <v>0</v>
      </c>
      <c r="I206" s="279">
        <v>690127.9</v>
      </c>
      <c r="J206" s="279">
        <v>0</v>
      </c>
      <c r="K206" s="592">
        <v>1583923.4</v>
      </c>
      <c r="L206" s="279">
        <v>1583923.4</v>
      </c>
      <c r="M206" s="279">
        <v>1058948.7</v>
      </c>
      <c r="N206" s="279">
        <v>175698.7</v>
      </c>
    </row>
    <row r="207" spans="1:14" x14ac:dyDescent="0.25">
      <c r="A207" s="186" t="s">
        <v>290</v>
      </c>
      <c r="B207" s="186" t="s">
        <v>108</v>
      </c>
      <c r="C207" s="186" t="s">
        <v>109</v>
      </c>
      <c r="D207" s="186" t="s">
        <v>69</v>
      </c>
      <c r="E207" s="279">
        <v>98126131</v>
      </c>
      <c r="F207" s="279">
        <v>100626131</v>
      </c>
      <c r="G207" s="279">
        <v>78094598</v>
      </c>
      <c r="H207" s="279">
        <v>0</v>
      </c>
      <c r="I207" s="279">
        <v>13879086.779999999</v>
      </c>
      <c r="J207" s="279">
        <v>3172786.98</v>
      </c>
      <c r="K207" s="592">
        <v>46054093.93</v>
      </c>
      <c r="L207" s="279">
        <v>46054093.93</v>
      </c>
      <c r="M207" s="279">
        <v>37520163.310000002</v>
      </c>
      <c r="N207" s="279">
        <v>14988630.310000001</v>
      </c>
    </row>
    <row r="208" spans="1:14" x14ac:dyDescent="0.25">
      <c r="A208" s="186" t="s">
        <v>290</v>
      </c>
      <c r="B208" s="186" t="s">
        <v>304</v>
      </c>
      <c r="C208" s="186" t="s">
        <v>305</v>
      </c>
      <c r="D208" s="186" t="s">
        <v>69</v>
      </c>
      <c r="E208" s="279">
        <v>1774000</v>
      </c>
      <c r="F208" s="279">
        <v>1774000</v>
      </c>
      <c r="G208" s="279">
        <v>1430500</v>
      </c>
      <c r="H208" s="279">
        <v>0</v>
      </c>
      <c r="I208" s="279">
        <v>489737.74</v>
      </c>
      <c r="J208" s="279">
        <v>0</v>
      </c>
      <c r="K208" s="592">
        <v>938544.75</v>
      </c>
      <c r="L208" s="279">
        <v>938544.75</v>
      </c>
      <c r="M208" s="279">
        <v>345717.51</v>
      </c>
      <c r="N208" s="279">
        <v>2217.5100000000002</v>
      </c>
    </row>
    <row r="209" spans="1:14" x14ac:dyDescent="0.25">
      <c r="A209" s="186" t="s">
        <v>290</v>
      </c>
      <c r="B209" s="186" t="s">
        <v>110</v>
      </c>
      <c r="C209" s="186" t="s">
        <v>111</v>
      </c>
      <c r="D209" s="186" t="s">
        <v>69</v>
      </c>
      <c r="E209" s="279">
        <v>27358236</v>
      </c>
      <c r="F209" s="279">
        <v>37658236</v>
      </c>
      <c r="G209" s="279">
        <v>32168677</v>
      </c>
      <c r="H209" s="279">
        <v>0</v>
      </c>
      <c r="I209" s="279">
        <v>9184303.8499999996</v>
      </c>
      <c r="J209" s="279">
        <v>0</v>
      </c>
      <c r="K209" s="592">
        <v>13582966.98</v>
      </c>
      <c r="L209" s="279">
        <v>13582966.98</v>
      </c>
      <c r="M209" s="279">
        <v>14890965.17</v>
      </c>
      <c r="N209" s="279">
        <v>9401406.1699999999</v>
      </c>
    </row>
    <row r="210" spans="1:14" x14ac:dyDescent="0.25">
      <c r="A210" s="186" t="s">
        <v>290</v>
      </c>
      <c r="B210" s="186" t="s">
        <v>112</v>
      </c>
      <c r="C210" s="186" t="s">
        <v>113</v>
      </c>
      <c r="D210" s="186" t="s">
        <v>69</v>
      </c>
      <c r="E210" s="279">
        <v>126929000</v>
      </c>
      <c r="F210" s="279">
        <v>120929000</v>
      </c>
      <c r="G210" s="279">
        <v>94421750</v>
      </c>
      <c r="H210" s="279">
        <v>0</v>
      </c>
      <c r="I210" s="279">
        <v>15643445.310000001</v>
      </c>
      <c r="J210" s="279">
        <v>0</v>
      </c>
      <c r="K210" s="592">
        <v>65390434.520000003</v>
      </c>
      <c r="L210" s="279">
        <v>63789574.5</v>
      </c>
      <c r="M210" s="279">
        <v>39895120.170000002</v>
      </c>
      <c r="N210" s="279">
        <v>13387870.17</v>
      </c>
    </row>
    <row r="211" spans="1:14" x14ac:dyDescent="0.25">
      <c r="A211" s="186" t="s">
        <v>290</v>
      </c>
      <c r="B211" s="186" t="s">
        <v>114</v>
      </c>
      <c r="C211" s="186" t="s">
        <v>115</v>
      </c>
      <c r="D211" s="186" t="s">
        <v>69</v>
      </c>
      <c r="E211" s="279">
        <v>13400000</v>
      </c>
      <c r="F211" s="279">
        <v>18400000</v>
      </c>
      <c r="G211" s="279">
        <v>16550000</v>
      </c>
      <c r="H211" s="279">
        <v>0</v>
      </c>
      <c r="I211" s="279">
        <v>2701309.01</v>
      </c>
      <c r="J211" s="279">
        <v>0</v>
      </c>
      <c r="K211" s="592">
        <v>10321285.99</v>
      </c>
      <c r="L211" s="279">
        <v>10321285.99</v>
      </c>
      <c r="M211" s="279">
        <v>5377405</v>
      </c>
      <c r="N211" s="279">
        <v>3527405</v>
      </c>
    </row>
    <row r="212" spans="1:14" x14ac:dyDescent="0.25">
      <c r="A212" s="186" t="s">
        <v>290</v>
      </c>
      <c r="B212" s="186" t="s">
        <v>116</v>
      </c>
      <c r="C212" s="186" t="s">
        <v>117</v>
      </c>
      <c r="D212" s="186" t="s">
        <v>69</v>
      </c>
      <c r="E212" s="279">
        <v>49200000</v>
      </c>
      <c r="F212" s="279">
        <v>40200000</v>
      </c>
      <c r="G212" s="279">
        <v>30750000</v>
      </c>
      <c r="H212" s="279">
        <v>0</v>
      </c>
      <c r="I212" s="279">
        <v>3451435</v>
      </c>
      <c r="J212" s="279">
        <v>0</v>
      </c>
      <c r="K212" s="592">
        <v>24946320</v>
      </c>
      <c r="L212" s="279">
        <v>24946320</v>
      </c>
      <c r="M212" s="279">
        <v>11802245</v>
      </c>
      <c r="N212" s="279">
        <v>2352245</v>
      </c>
    </row>
    <row r="213" spans="1:14" x14ac:dyDescent="0.25">
      <c r="A213" s="186" t="s">
        <v>290</v>
      </c>
      <c r="B213" s="186" t="s">
        <v>118</v>
      </c>
      <c r="C213" s="186" t="s">
        <v>119</v>
      </c>
      <c r="D213" s="186" t="s">
        <v>69</v>
      </c>
      <c r="E213" s="279">
        <v>12000000</v>
      </c>
      <c r="F213" s="279">
        <v>10000000</v>
      </c>
      <c r="G213" s="279">
        <v>6775000</v>
      </c>
      <c r="H213" s="279">
        <v>0</v>
      </c>
      <c r="I213" s="279">
        <v>803100</v>
      </c>
      <c r="J213" s="279">
        <v>0</v>
      </c>
      <c r="K213" s="592">
        <v>1405600</v>
      </c>
      <c r="L213" s="279">
        <v>1405600</v>
      </c>
      <c r="M213" s="279">
        <v>7791300</v>
      </c>
      <c r="N213" s="279">
        <v>4566300</v>
      </c>
    </row>
    <row r="214" spans="1:14" x14ac:dyDescent="0.25">
      <c r="A214" s="186" t="s">
        <v>290</v>
      </c>
      <c r="B214" s="186" t="s">
        <v>120</v>
      </c>
      <c r="C214" s="186" t="s">
        <v>121</v>
      </c>
      <c r="D214" s="186" t="s">
        <v>69</v>
      </c>
      <c r="E214" s="279">
        <v>47604000</v>
      </c>
      <c r="F214" s="279">
        <v>47604000</v>
      </c>
      <c r="G214" s="279">
        <v>36703000</v>
      </c>
      <c r="H214" s="279">
        <v>0</v>
      </c>
      <c r="I214" s="279">
        <v>8459936.1500000004</v>
      </c>
      <c r="J214" s="279">
        <v>0</v>
      </c>
      <c r="K214" s="592">
        <v>26397427.379999999</v>
      </c>
      <c r="L214" s="279">
        <v>24796567.359999999</v>
      </c>
      <c r="M214" s="279">
        <v>12746636.470000001</v>
      </c>
      <c r="N214" s="279">
        <v>1845636.47</v>
      </c>
    </row>
    <row r="215" spans="1:14" x14ac:dyDescent="0.25">
      <c r="A215" s="186" t="s">
        <v>290</v>
      </c>
      <c r="B215" s="186" t="s">
        <v>122</v>
      </c>
      <c r="C215" s="186" t="s">
        <v>123</v>
      </c>
      <c r="D215" s="186" t="s">
        <v>69</v>
      </c>
      <c r="E215" s="279">
        <v>4725000</v>
      </c>
      <c r="F215" s="279">
        <v>4725000</v>
      </c>
      <c r="G215" s="279">
        <v>3643750</v>
      </c>
      <c r="H215" s="279">
        <v>0</v>
      </c>
      <c r="I215" s="279">
        <v>227665.15</v>
      </c>
      <c r="J215" s="279">
        <v>0</v>
      </c>
      <c r="K215" s="592">
        <v>2319801.15</v>
      </c>
      <c r="L215" s="279">
        <v>2319801.15</v>
      </c>
      <c r="M215" s="279">
        <v>2177533.7000000002</v>
      </c>
      <c r="N215" s="279">
        <v>1096283.7</v>
      </c>
    </row>
    <row r="216" spans="1:14" x14ac:dyDescent="0.25">
      <c r="A216" s="186" t="s">
        <v>290</v>
      </c>
      <c r="B216" s="186" t="s">
        <v>124</v>
      </c>
      <c r="C216" s="186" t="s">
        <v>125</v>
      </c>
      <c r="D216" s="186" t="s">
        <v>69</v>
      </c>
      <c r="E216" s="279">
        <v>3746000</v>
      </c>
      <c r="F216" s="279">
        <v>3746000</v>
      </c>
      <c r="G216" s="279">
        <v>2949850</v>
      </c>
      <c r="H216" s="279">
        <v>0</v>
      </c>
      <c r="I216" s="279">
        <v>820011.58</v>
      </c>
      <c r="J216" s="279">
        <v>0</v>
      </c>
      <c r="K216" s="592">
        <v>601991.64</v>
      </c>
      <c r="L216" s="279">
        <v>511265.14</v>
      </c>
      <c r="M216" s="279">
        <v>2323996.7799999998</v>
      </c>
      <c r="N216" s="279">
        <v>1527846.78</v>
      </c>
    </row>
    <row r="217" spans="1:14" x14ac:dyDescent="0.25">
      <c r="A217" s="186" t="s">
        <v>290</v>
      </c>
      <c r="B217" s="186" t="s">
        <v>126</v>
      </c>
      <c r="C217" s="186" t="s">
        <v>127</v>
      </c>
      <c r="D217" s="186" t="s">
        <v>69</v>
      </c>
      <c r="E217" s="279">
        <v>500000</v>
      </c>
      <c r="F217" s="279">
        <v>500000</v>
      </c>
      <c r="G217" s="279">
        <v>465350</v>
      </c>
      <c r="H217" s="279">
        <v>0</v>
      </c>
      <c r="I217" s="279">
        <v>284740</v>
      </c>
      <c r="J217" s="279">
        <v>0</v>
      </c>
      <c r="K217" s="592">
        <v>177150</v>
      </c>
      <c r="L217" s="279">
        <v>177150</v>
      </c>
      <c r="M217" s="279">
        <v>38110</v>
      </c>
      <c r="N217" s="279">
        <v>3460</v>
      </c>
    </row>
    <row r="218" spans="1:14" x14ac:dyDescent="0.25">
      <c r="A218" s="186" t="s">
        <v>290</v>
      </c>
      <c r="B218" s="186" t="s">
        <v>128</v>
      </c>
      <c r="C218" s="186" t="s">
        <v>129</v>
      </c>
      <c r="D218" s="186" t="s">
        <v>69</v>
      </c>
      <c r="E218" s="279">
        <v>1000000</v>
      </c>
      <c r="F218" s="279">
        <v>1000000</v>
      </c>
      <c r="G218" s="279">
        <v>750000</v>
      </c>
      <c r="H218" s="279">
        <v>0</v>
      </c>
      <c r="I218" s="279">
        <v>188687</v>
      </c>
      <c r="J218" s="279">
        <v>0</v>
      </c>
      <c r="K218" s="592">
        <v>130263</v>
      </c>
      <c r="L218" s="279">
        <v>110273</v>
      </c>
      <c r="M218" s="279">
        <v>681050</v>
      </c>
      <c r="N218" s="279">
        <v>431050</v>
      </c>
    </row>
    <row r="219" spans="1:14" x14ac:dyDescent="0.25">
      <c r="A219" s="186" t="s">
        <v>290</v>
      </c>
      <c r="B219" s="186" t="s">
        <v>130</v>
      </c>
      <c r="C219" s="186" t="s">
        <v>131</v>
      </c>
      <c r="D219" s="186" t="s">
        <v>69</v>
      </c>
      <c r="E219" s="279">
        <v>200000</v>
      </c>
      <c r="F219" s="279">
        <v>200000</v>
      </c>
      <c r="G219" s="279">
        <v>200000</v>
      </c>
      <c r="H219" s="279">
        <v>0</v>
      </c>
      <c r="I219" s="279">
        <v>38724.36</v>
      </c>
      <c r="J219" s="279">
        <v>0</v>
      </c>
      <c r="K219" s="592">
        <v>58507.14</v>
      </c>
      <c r="L219" s="279">
        <v>58507.14</v>
      </c>
      <c r="M219" s="279">
        <v>102768.5</v>
      </c>
      <c r="N219" s="279">
        <v>102768.5</v>
      </c>
    </row>
    <row r="220" spans="1:14" x14ac:dyDescent="0.25">
      <c r="A220" s="186" t="s">
        <v>290</v>
      </c>
      <c r="B220" s="186" t="s">
        <v>132</v>
      </c>
      <c r="C220" s="186" t="s">
        <v>133</v>
      </c>
      <c r="D220" s="186" t="s">
        <v>69</v>
      </c>
      <c r="E220" s="279">
        <v>2046000</v>
      </c>
      <c r="F220" s="279">
        <v>2046000</v>
      </c>
      <c r="G220" s="279">
        <v>1534500</v>
      </c>
      <c r="H220" s="279">
        <v>0</v>
      </c>
      <c r="I220" s="279">
        <v>307860.21999999997</v>
      </c>
      <c r="J220" s="279">
        <v>0</v>
      </c>
      <c r="K220" s="592">
        <v>236071.5</v>
      </c>
      <c r="L220" s="279">
        <v>165335</v>
      </c>
      <c r="M220" s="279">
        <v>1502068.28</v>
      </c>
      <c r="N220" s="279">
        <v>990568.28</v>
      </c>
    </row>
    <row r="221" spans="1:14" x14ac:dyDescent="0.25">
      <c r="A221" s="186" t="s">
        <v>290</v>
      </c>
      <c r="B221" s="186" t="s">
        <v>134</v>
      </c>
      <c r="C221" s="186" t="s">
        <v>135</v>
      </c>
      <c r="D221" s="186" t="s">
        <v>69</v>
      </c>
      <c r="E221" s="279">
        <v>334518795</v>
      </c>
      <c r="F221" s="279">
        <v>361518795</v>
      </c>
      <c r="G221" s="279">
        <v>283181001</v>
      </c>
      <c r="H221" s="279">
        <v>0</v>
      </c>
      <c r="I221" s="279">
        <v>72723221.659999996</v>
      </c>
      <c r="J221" s="279">
        <v>0</v>
      </c>
      <c r="K221" s="592">
        <v>188064563.28</v>
      </c>
      <c r="L221" s="279">
        <v>186281887.28</v>
      </c>
      <c r="M221" s="279">
        <v>100731010.06</v>
      </c>
      <c r="N221" s="279">
        <v>22393216.059999999</v>
      </c>
    </row>
    <row r="222" spans="1:14" x14ac:dyDescent="0.25">
      <c r="A222" s="186" t="s">
        <v>290</v>
      </c>
      <c r="B222" s="186" t="s">
        <v>306</v>
      </c>
      <c r="C222" s="186" t="s">
        <v>307</v>
      </c>
      <c r="D222" s="186" t="s">
        <v>69</v>
      </c>
      <c r="E222" s="279">
        <v>2000000</v>
      </c>
      <c r="F222" s="279">
        <v>2000000</v>
      </c>
      <c r="G222" s="279">
        <v>2000000</v>
      </c>
      <c r="H222" s="279">
        <v>0</v>
      </c>
      <c r="I222" s="279">
        <v>0</v>
      </c>
      <c r="J222" s="279">
        <v>0</v>
      </c>
      <c r="K222" s="592">
        <v>0</v>
      </c>
      <c r="L222" s="279">
        <v>0</v>
      </c>
      <c r="M222" s="279">
        <v>2000000</v>
      </c>
      <c r="N222" s="279">
        <v>2000000</v>
      </c>
    </row>
    <row r="223" spans="1:14" x14ac:dyDescent="0.25">
      <c r="A223" s="186" t="s">
        <v>290</v>
      </c>
      <c r="B223" s="186" t="s">
        <v>308</v>
      </c>
      <c r="C223" s="186" t="s">
        <v>309</v>
      </c>
      <c r="D223" s="186" t="s">
        <v>69</v>
      </c>
      <c r="E223" s="279">
        <v>5000000</v>
      </c>
      <c r="F223" s="279">
        <v>5000000</v>
      </c>
      <c r="G223" s="279">
        <v>5000000</v>
      </c>
      <c r="H223" s="279">
        <v>0</v>
      </c>
      <c r="I223" s="279">
        <v>4556956</v>
      </c>
      <c r="J223" s="279">
        <v>0</v>
      </c>
      <c r="K223" s="592">
        <v>0</v>
      </c>
      <c r="L223" s="279">
        <v>0</v>
      </c>
      <c r="M223" s="279">
        <v>443044</v>
      </c>
      <c r="N223" s="279">
        <v>443044</v>
      </c>
    </row>
    <row r="224" spans="1:14" x14ac:dyDescent="0.25">
      <c r="A224" s="186" t="s">
        <v>290</v>
      </c>
      <c r="B224" s="186" t="s">
        <v>136</v>
      </c>
      <c r="C224" s="186" t="s">
        <v>137</v>
      </c>
      <c r="D224" s="186" t="s">
        <v>69</v>
      </c>
      <c r="E224" s="279">
        <v>319951179</v>
      </c>
      <c r="F224" s="279">
        <v>346951179</v>
      </c>
      <c r="G224" s="279">
        <v>268613385</v>
      </c>
      <c r="H224" s="279">
        <v>0</v>
      </c>
      <c r="I224" s="279">
        <v>66987535.920000002</v>
      </c>
      <c r="J224" s="279">
        <v>0</v>
      </c>
      <c r="K224" s="592">
        <v>183315376.52000001</v>
      </c>
      <c r="L224" s="279">
        <v>181607800.52000001</v>
      </c>
      <c r="M224" s="279">
        <v>96648266.560000002</v>
      </c>
      <c r="N224" s="279">
        <v>18310472.559999999</v>
      </c>
    </row>
    <row r="225" spans="1:14" x14ac:dyDescent="0.25">
      <c r="A225" s="186" t="s">
        <v>290</v>
      </c>
      <c r="B225" s="186" t="s">
        <v>138</v>
      </c>
      <c r="C225" s="186" t="s">
        <v>139</v>
      </c>
      <c r="D225" s="186" t="s">
        <v>69</v>
      </c>
      <c r="E225" s="279">
        <v>7567616</v>
      </c>
      <c r="F225" s="279">
        <v>7567616</v>
      </c>
      <c r="G225" s="279">
        <v>7567616</v>
      </c>
      <c r="H225" s="279">
        <v>0</v>
      </c>
      <c r="I225" s="279">
        <v>1178729.74</v>
      </c>
      <c r="J225" s="279">
        <v>0</v>
      </c>
      <c r="K225" s="592">
        <v>4749186.76</v>
      </c>
      <c r="L225" s="279">
        <v>4674086.76</v>
      </c>
      <c r="M225" s="279">
        <v>1639699.5</v>
      </c>
      <c r="N225" s="279">
        <v>1639699.5</v>
      </c>
    </row>
    <row r="226" spans="1:14" x14ac:dyDescent="0.25">
      <c r="A226" s="186" t="s">
        <v>290</v>
      </c>
      <c r="B226" s="186" t="s">
        <v>140</v>
      </c>
      <c r="C226" s="186" t="s">
        <v>141</v>
      </c>
      <c r="D226" s="186" t="s">
        <v>69</v>
      </c>
      <c r="E226" s="279">
        <v>33445676</v>
      </c>
      <c r="F226" s="279">
        <v>33445676</v>
      </c>
      <c r="G226" s="279">
        <v>29775878.5</v>
      </c>
      <c r="H226" s="279">
        <v>856668.48</v>
      </c>
      <c r="I226" s="279">
        <v>5606020.5199999996</v>
      </c>
      <c r="J226" s="279">
        <v>0</v>
      </c>
      <c r="K226" s="592">
        <v>19438236.75</v>
      </c>
      <c r="L226" s="279">
        <v>19141186.75</v>
      </c>
      <c r="M226" s="279">
        <v>7544750.25</v>
      </c>
      <c r="N226" s="279">
        <v>3874952.75</v>
      </c>
    </row>
    <row r="227" spans="1:14" x14ac:dyDescent="0.25">
      <c r="A227" s="186" t="s">
        <v>290</v>
      </c>
      <c r="B227" s="186" t="s">
        <v>142</v>
      </c>
      <c r="C227" s="186" t="s">
        <v>143</v>
      </c>
      <c r="D227" s="186" t="s">
        <v>69</v>
      </c>
      <c r="E227" s="279">
        <v>1700000</v>
      </c>
      <c r="F227" s="279">
        <v>1700000</v>
      </c>
      <c r="G227" s="279">
        <v>1275000</v>
      </c>
      <c r="H227" s="279">
        <v>0</v>
      </c>
      <c r="I227" s="279">
        <v>105595</v>
      </c>
      <c r="J227" s="279">
        <v>0</v>
      </c>
      <c r="K227" s="592">
        <v>640025</v>
      </c>
      <c r="L227" s="279">
        <v>640025</v>
      </c>
      <c r="M227" s="279">
        <v>954380</v>
      </c>
      <c r="N227" s="279">
        <v>529380</v>
      </c>
    </row>
    <row r="228" spans="1:14" x14ac:dyDescent="0.25">
      <c r="A228" s="186" t="s">
        <v>290</v>
      </c>
      <c r="B228" s="186" t="s">
        <v>144</v>
      </c>
      <c r="C228" s="186" t="s">
        <v>145</v>
      </c>
      <c r="D228" s="186" t="s">
        <v>69</v>
      </c>
      <c r="E228" s="279">
        <v>24979191</v>
      </c>
      <c r="F228" s="279">
        <v>24979191</v>
      </c>
      <c r="G228" s="279">
        <v>21734393.5</v>
      </c>
      <c r="H228" s="279">
        <v>0</v>
      </c>
      <c r="I228" s="279">
        <v>2860846</v>
      </c>
      <c r="J228" s="279">
        <v>0</v>
      </c>
      <c r="K228" s="592">
        <v>15646150</v>
      </c>
      <c r="L228" s="279">
        <v>15349100</v>
      </c>
      <c r="M228" s="279">
        <v>6472195</v>
      </c>
      <c r="N228" s="279">
        <v>3227397.5</v>
      </c>
    </row>
    <row r="229" spans="1:14" x14ac:dyDescent="0.25">
      <c r="A229" s="186" t="s">
        <v>290</v>
      </c>
      <c r="B229" s="186" t="s">
        <v>146</v>
      </c>
      <c r="C229" s="186" t="s">
        <v>147</v>
      </c>
      <c r="D229" s="186" t="s">
        <v>69</v>
      </c>
      <c r="E229" s="279">
        <v>2035715</v>
      </c>
      <c r="F229" s="279">
        <v>2035715</v>
      </c>
      <c r="G229" s="279">
        <v>2035715</v>
      </c>
      <c r="H229" s="279">
        <v>0</v>
      </c>
      <c r="I229" s="279">
        <v>943248</v>
      </c>
      <c r="J229" s="279">
        <v>0</v>
      </c>
      <c r="K229" s="592">
        <v>1092467</v>
      </c>
      <c r="L229" s="279">
        <v>1092467</v>
      </c>
      <c r="M229" s="279">
        <v>0</v>
      </c>
      <c r="N229" s="279">
        <v>0</v>
      </c>
    </row>
    <row r="230" spans="1:14" x14ac:dyDescent="0.25">
      <c r="A230" s="186" t="s">
        <v>290</v>
      </c>
      <c r="B230" s="186" t="s">
        <v>148</v>
      </c>
      <c r="C230" s="186" t="s">
        <v>149</v>
      </c>
      <c r="D230" s="186" t="s">
        <v>69</v>
      </c>
      <c r="E230" s="279">
        <v>4730770</v>
      </c>
      <c r="F230" s="279">
        <v>4730770</v>
      </c>
      <c r="G230" s="279">
        <v>4730770</v>
      </c>
      <c r="H230" s="279">
        <v>856668.48</v>
      </c>
      <c r="I230" s="279">
        <v>1696331.52</v>
      </c>
      <c r="J230" s="279">
        <v>0</v>
      </c>
      <c r="K230" s="592">
        <v>2059594.75</v>
      </c>
      <c r="L230" s="279">
        <v>2059594.75</v>
      </c>
      <c r="M230" s="279">
        <v>118175.25</v>
      </c>
      <c r="N230" s="279">
        <v>118175.25</v>
      </c>
    </row>
    <row r="231" spans="1:14" x14ac:dyDescent="0.25">
      <c r="A231" s="186" t="s">
        <v>290</v>
      </c>
      <c r="B231" s="186" t="s">
        <v>150</v>
      </c>
      <c r="C231" s="186" t="s">
        <v>151</v>
      </c>
      <c r="D231" s="186" t="s">
        <v>69</v>
      </c>
      <c r="E231" s="279">
        <v>83546141</v>
      </c>
      <c r="F231" s="279">
        <v>101246141</v>
      </c>
      <c r="G231" s="279">
        <v>80084605</v>
      </c>
      <c r="H231" s="279">
        <v>0</v>
      </c>
      <c r="I231" s="279">
        <v>5426581</v>
      </c>
      <c r="J231" s="279">
        <v>0</v>
      </c>
      <c r="K231" s="592">
        <v>25358126</v>
      </c>
      <c r="L231" s="279">
        <v>25358126</v>
      </c>
      <c r="M231" s="279">
        <v>70461434</v>
      </c>
      <c r="N231" s="279">
        <v>49299898</v>
      </c>
    </row>
    <row r="232" spans="1:14" x14ac:dyDescent="0.25">
      <c r="A232" s="186" t="s">
        <v>290</v>
      </c>
      <c r="B232" s="186" t="s">
        <v>152</v>
      </c>
      <c r="C232" s="186" t="s">
        <v>153</v>
      </c>
      <c r="D232" s="186" t="s">
        <v>69</v>
      </c>
      <c r="E232" s="279">
        <v>83546141</v>
      </c>
      <c r="F232" s="279">
        <v>101246141</v>
      </c>
      <c r="G232" s="279">
        <v>80084605</v>
      </c>
      <c r="H232" s="279">
        <v>0</v>
      </c>
      <c r="I232" s="279">
        <v>5426581</v>
      </c>
      <c r="J232" s="279">
        <v>0</v>
      </c>
      <c r="K232" s="592">
        <v>25358126</v>
      </c>
      <c r="L232" s="279">
        <v>25358126</v>
      </c>
      <c r="M232" s="279">
        <v>70461434</v>
      </c>
      <c r="N232" s="279">
        <v>49299898</v>
      </c>
    </row>
    <row r="233" spans="1:14" x14ac:dyDescent="0.25">
      <c r="A233" s="186" t="s">
        <v>290</v>
      </c>
      <c r="B233" s="186" t="s">
        <v>154</v>
      </c>
      <c r="C233" s="186" t="s">
        <v>155</v>
      </c>
      <c r="D233" s="186" t="s">
        <v>69</v>
      </c>
      <c r="E233" s="279">
        <v>0</v>
      </c>
      <c r="F233" s="279">
        <v>0</v>
      </c>
      <c r="G233" s="279">
        <v>0</v>
      </c>
      <c r="H233" s="279">
        <v>0</v>
      </c>
      <c r="I233" s="279">
        <v>0</v>
      </c>
      <c r="J233" s="279">
        <v>0</v>
      </c>
      <c r="K233" s="592">
        <v>0</v>
      </c>
      <c r="L233" s="279">
        <v>0</v>
      </c>
      <c r="M233" s="279">
        <v>0</v>
      </c>
      <c r="N233" s="279">
        <v>0</v>
      </c>
    </row>
    <row r="234" spans="1:14" x14ac:dyDescent="0.25">
      <c r="A234" s="186" t="s">
        <v>290</v>
      </c>
      <c r="B234" s="186" t="s">
        <v>156</v>
      </c>
      <c r="C234" s="186" t="s">
        <v>157</v>
      </c>
      <c r="D234" s="186" t="s">
        <v>69</v>
      </c>
      <c r="E234" s="279">
        <v>0</v>
      </c>
      <c r="F234" s="279">
        <v>0</v>
      </c>
      <c r="G234" s="279">
        <v>0</v>
      </c>
      <c r="H234" s="279">
        <v>0</v>
      </c>
      <c r="I234" s="279">
        <v>0</v>
      </c>
      <c r="J234" s="279">
        <v>0</v>
      </c>
      <c r="K234" s="592">
        <v>0</v>
      </c>
      <c r="L234" s="279">
        <v>0</v>
      </c>
      <c r="M234" s="279">
        <v>0</v>
      </c>
      <c r="N234" s="279">
        <v>0</v>
      </c>
    </row>
    <row r="235" spans="1:14" x14ac:dyDescent="0.25">
      <c r="A235" s="186" t="s">
        <v>290</v>
      </c>
      <c r="B235" s="186" t="s">
        <v>162</v>
      </c>
      <c r="C235" s="186" t="s">
        <v>163</v>
      </c>
      <c r="D235" s="186" t="s">
        <v>69</v>
      </c>
      <c r="E235" s="279">
        <v>89480793</v>
      </c>
      <c r="F235" s="279">
        <v>76080793</v>
      </c>
      <c r="G235" s="279">
        <v>61050595</v>
      </c>
      <c r="H235" s="279">
        <v>0</v>
      </c>
      <c r="I235" s="279">
        <v>15533108.199999999</v>
      </c>
      <c r="J235" s="279">
        <v>2362856.31</v>
      </c>
      <c r="K235" s="592">
        <v>28396077.390000001</v>
      </c>
      <c r="L235" s="279">
        <v>27586077.390000001</v>
      </c>
      <c r="M235" s="279">
        <v>29788751.100000001</v>
      </c>
      <c r="N235" s="279">
        <v>14758553.1</v>
      </c>
    </row>
    <row r="236" spans="1:14" x14ac:dyDescent="0.25">
      <c r="A236" s="186" t="s">
        <v>290</v>
      </c>
      <c r="B236" s="186" t="s">
        <v>310</v>
      </c>
      <c r="C236" s="186" t="s">
        <v>311</v>
      </c>
      <c r="D236" s="186" t="s">
        <v>69</v>
      </c>
      <c r="E236" s="279">
        <v>13000000</v>
      </c>
      <c r="F236" s="279">
        <v>13000000</v>
      </c>
      <c r="G236" s="279">
        <v>10500000</v>
      </c>
      <c r="H236" s="279">
        <v>0</v>
      </c>
      <c r="I236" s="279">
        <v>2126150.0499999998</v>
      </c>
      <c r="J236" s="279">
        <v>0</v>
      </c>
      <c r="K236" s="592">
        <v>5269389.62</v>
      </c>
      <c r="L236" s="279">
        <v>5269389.62</v>
      </c>
      <c r="M236" s="279">
        <v>5604460.3300000001</v>
      </c>
      <c r="N236" s="279">
        <v>3104460.33</v>
      </c>
    </row>
    <row r="237" spans="1:14" x14ac:dyDescent="0.25">
      <c r="A237" s="186" t="s">
        <v>290</v>
      </c>
      <c r="B237" s="186" t="s">
        <v>164</v>
      </c>
      <c r="C237" s="186" t="s">
        <v>165</v>
      </c>
      <c r="D237" s="186" t="s">
        <v>69</v>
      </c>
      <c r="E237" s="279">
        <v>1918000</v>
      </c>
      <c r="F237" s="279">
        <v>1918000</v>
      </c>
      <c r="G237" s="279">
        <v>1638500</v>
      </c>
      <c r="H237" s="279">
        <v>0</v>
      </c>
      <c r="I237" s="279">
        <v>31643.5</v>
      </c>
      <c r="J237" s="279">
        <v>0</v>
      </c>
      <c r="K237" s="592">
        <v>1124143.75</v>
      </c>
      <c r="L237" s="279">
        <v>1124143.75</v>
      </c>
      <c r="M237" s="279">
        <v>762212.75</v>
      </c>
      <c r="N237" s="279">
        <v>482712.75</v>
      </c>
    </row>
    <row r="238" spans="1:14" x14ac:dyDescent="0.25">
      <c r="A238" s="186" t="s">
        <v>290</v>
      </c>
      <c r="B238" s="186" t="s">
        <v>166</v>
      </c>
      <c r="C238" s="186" t="s">
        <v>167</v>
      </c>
      <c r="D238" s="186" t="s">
        <v>69</v>
      </c>
      <c r="E238" s="279">
        <v>25420000</v>
      </c>
      <c r="F238" s="279">
        <v>15420000</v>
      </c>
      <c r="G238" s="279">
        <v>14040000</v>
      </c>
      <c r="H238" s="279">
        <v>0</v>
      </c>
      <c r="I238" s="279">
        <v>10792989</v>
      </c>
      <c r="J238" s="279">
        <v>0</v>
      </c>
      <c r="K238" s="592">
        <v>1133135</v>
      </c>
      <c r="L238" s="279">
        <v>1133135</v>
      </c>
      <c r="M238" s="279">
        <v>3493876</v>
      </c>
      <c r="N238" s="279">
        <v>2113876</v>
      </c>
    </row>
    <row r="239" spans="1:14" x14ac:dyDescent="0.25">
      <c r="A239" s="186" t="s">
        <v>290</v>
      </c>
      <c r="B239" s="186" t="s">
        <v>312</v>
      </c>
      <c r="C239" s="186" t="s">
        <v>313</v>
      </c>
      <c r="D239" s="186" t="s">
        <v>69</v>
      </c>
      <c r="E239" s="279">
        <v>7181770</v>
      </c>
      <c r="F239" s="279">
        <v>7181770</v>
      </c>
      <c r="G239" s="279">
        <v>5386327</v>
      </c>
      <c r="H239" s="279">
        <v>0</v>
      </c>
      <c r="I239" s="279">
        <v>311540.62</v>
      </c>
      <c r="J239" s="279">
        <v>2271856.31</v>
      </c>
      <c r="K239" s="592">
        <v>2507667.2000000002</v>
      </c>
      <c r="L239" s="279">
        <v>2507667.2000000002</v>
      </c>
      <c r="M239" s="279">
        <v>2090705.87</v>
      </c>
      <c r="N239" s="279">
        <v>295262.87</v>
      </c>
    </row>
    <row r="240" spans="1:14" x14ac:dyDescent="0.25">
      <c r="A240" s="186" t="s">
        <v>290</v>
      </c>
      <c r="B240" s="186" t="s">
        <v>168</v>
      </c>
      <c r="C240" s="186" t="s">
        <v>169</v>
      </c>
      <c r="D240" s="186" t="s">
        <v>69</v>
      </c>
      <c r="E240" s="279">
        <v>8196286</v>
      </c>
      <c r="F240" s="279">
        <v>10196286</v>
      </c>
      <c r="G240" s="279">
        <v>8147215</v>
      </c>
      <c r="H240" s="279">
        <v>0</v>
      </c>
      <c r="I240" s="279">
        <v>603521.6</v>
      </c>
      <c r="J240" s="279">
        <v>0</v>
      </c>
      <c r="K240" s="592">
        <v>3317438.59</v>
      </c>
      <c r="L240" s="279">
        <v>3317438.59</v>
      </c>
      <c r="M240" s="279">
        <v>6275325.8099999996</v>
      </c>
      <c r="N240" s="279">
        <v>4226254.8099999996</v>
      </c>
    </row>
    <row r="241" spans="1:14" x14ac:dyDescent="0.25">
      <c r="A241" s="186" t="s">
        <v>290</v>
      </c>
      <c r="B241" s="186" t="s">
        <v>170</v>
      </c>
      <c r="C241" s="186" t="s">
        <v>171</v>
      </c>
      <c r="D241" s="186" t="s">
        <v>69</v>
      </c>
      <c r="E241" s="279">
        <v>28160737</v>
      </c>
      <c r="F241" s="279">
        <v>23460737</v>
      </c>
      <c r="G241" s="279">
        <v>17835553</v>
      </c>
      <c r="H241" s="279">
        <v>0</v>
      </c>
      <c r="I241" s="279">
        <v>1620000</v>
      </c>
      <c r="J241" s="279">
        <v>0</v>
      </c>
      <c r="K241" s="592">
        <v>13975012.48</v>
      </c>
      <c r="L241" s="279">
        <v>13165012.48</v>
      </c>
      <c r="M241" s="279">
        <v>7865724.5199999996</v>
      </c>
      <c r="N241" s="279">
        <v>2240540.52</v>
      </c>
    </row>
    <row r="242" spans="1:14" x14ac:dyDescent="0.25">
      <c r="A242" s="186" t="s">
        <v>290</v>
      </c>
      <c r="B242" s="186" t="s">
        <v>172</v>
      </c>
      <c r="C242" s="186" t="s">
        <v>173</v>
      </c>
      <c r="D242" s="186" t="s">
        <v>69</v>
      </c>
      <c r="E242" s="279">
        <v>5604000</v>
      </c>
      <c r="F242" s="279">
        <v>4904000</v>
      </c>
      <c r="G242" s="279">
        <v>3503000</v>
      </c>
      <c r="H242" s="279">
        <v>0</v>
      </c>
      <c r="I242" s="279">
        <v>47263.43</v>
      </c>
      <c r="J242" s="279">
        <v>91000</v>
      </c>
      <c r="K242" s="592">
        <v>1069290.75</v>
      </c>
      <c r="L242" s="279">
        <v>1069290.75</v>
      </c>
      <c r="M242" s="279">
        <v>3696445.82</v>
      </c>
      <c r="N242" s="279">
        <v>2295445.8199999998</v>
      </c>
    </row>
    <row r="243" spans="1:14" x14ac:dyDescent="0.25">
      <c r="A243" s="186" t="s">
        <v>290</v>
      </c>
      <c r="B243" s="186" t="s">
        <v>174</v>
      </c>
      <c r="C243" s="186" t="s">
        <v>175</v>
      </c>
      <c r="D243" s="186" t="s">
        <v>69</v>
      </c>
      <c r="E243" s="279">
        <v>1340000</v>
      </c>
      <c r="F243" s="279">
        <v>1340000</v>
      </c>
      <c r="G243" s="279">
        <v>1305000</v>
      </c>
      <c r="H243" s="279">
        <v>0</v>
      </c>
      <c r="I243" s="279">
        <v>24600</v>
      </c>
      <c r="J243" s="279">
        <v>0</v>
      </c>
      <c r="K243" s="592">
        <v>400</v>
      </c>
      <c r="L243" s="279">
        <v>200</v>
      </c>
      <c r="M243" s="279">
        <v>1315000</v>
      </c>
      <c r="N243" s="279">
        <v>1280000</v>
      </c>
    </row>
    <row r="244" spans="1:14" x14ac:dyDescent="0.25">
      <c r="A244" s="186" t="s">
        <v>290</v>
      </c>
      <c r="B244" s="186" t="s">
        <v>176</v>
      </c>
      <c r="C244" s="186" t="s">
        <v>177</v>
      </c>
      <c r="D244" s="186" t="s">
        <v>69</v>
      </c>
      <c r="E244" s="279">
        <v>1340000</v>
      </c>
      <c r="F244" s="279">
        <v>1340000</v>
      </c>
      <c r="G244" s="279">
        <v>1305000</v>
      </c>
      <c r="H244" s="279">
        <v>0</v>
      </c>
      <c r="I244" s="279">
        <v>24600</v>
      </c>
      <c r="J244" s="279">
        <v>0</v>
      </c>
      <c r="K244" s="592">
        <v>400</v>
      </c>
      <c r="L244" s="279">
        <v>200</v>
      </c>
      <c r="M244" s="279">
        <v>1315000</v>
      </c>
      <c r="N244" s="279">
        <v>1280000</v>
      </c>
    </row>
    <row r="245" spans="1:14" x14ac:dyDescent="0.25">
      <c r="A245" s="186" t="s">
        <v>290</v>
      </c>
      <c r="B245" s="186" t="s">
        <v>178</v>
      </c>
      <c r="C245" s="186" t="s">
        <v>179</v>
      </c>
      <c r="D245" s="186" t="s">
        <v>69</v>
      </c>
      <c r="E245" s="279">
        <v>2150000</v>
      </c>
      <c r="F245" s="279">
        <v>2150000</v>
      </c>
      <c r="G245" s="279">
        <v>1412500</v>
      </c>
      <c r="H245" s="279">
        <v>0</v>
      </c>
      <c r="I245" s="279">
        <v>113207.78</v>
      </c>
      <c r="J245" s="279">
        <v>0</v>
      </c>
      <c r="K245" s="592">
        <v>0</v>
      </c>
      <c r="L245" s="279">
        <v>0</v>
      </c>
      <c r="M245" s="279">
        <v>2036792.22</v>
      </c>
      <c r="N245" s="279">
        <v>1299292.22</v>
      </c>
    </row>
    <row r="246" spans="1:14" x14ac:dyDescent="0.25">
      <c r="A246" s="186" t="s">
        <v>290</v>
      </c>
      <c r="B246" s="186" t="s">
        <v>180</v>
      </c>
      <c r="C246" s="186" t="s">
        <v>181</v>
      </c>
      <c r="D246" s="186" t="s">
        <v>69</v>
      </c>
      <c r="E246" s="279">
        <v>150000</v>
      </c>
      <c r="F246" s="279">
        <v>150000</v>
      </c>
      <c r="G246" s="279">
        <v>150000</v>
      </c>
      <c r="H246" s="279">
        <v>0</v>
      </c>
      <c r="I246" s="279">
        <v>113207.78</v>
      </c>
      <c r="J246" s="279">
        <v>0</v>
      </c>
      <c r="K246" s="592">
        <v>0</v>
      </c>
      <c r="L246" s="279">
        <v>0</v>
      </c>
      <c r="M246" s="279">
        <v>36792.22</v>
      </c>
      <c r="N246" s="279">
        <v>36792.22</v>
      </c>
    </row>
    <row r="247" spans="1:14" x14ac:dyDescent="0.25">
      <c r="A247" s="186" t="s">
        <v>290</v>
      </c>
      <c r="B247" s="186" t="s">
        <v>182</v>
      </c>
      <c r="C247" s="186" t="s">
        <v>183</v>
      </c>
      <c r="D247" s="186" t="s">
        <v>69</v>
      </c>
      <c r="E247" s="279">
        <v>2000000</v>
      </c>
      <c r="F247" s="279">
        <v>2000000</v>
      </c>
      <c r="G247" s="279">
        <v>1262500</v>
      </c>
      <c r="H247" s="279">
        <v>0</v>
      </c>
      <c r="I247" s="279">
        <v>0</v>
      </c>
      <c r="J247" s="279">
        <v>0</v>
      </c>
      <c r="K247" s="592">
        <v>0</v>
      </c>
      <c r="L247" s="279">
        <v>0</v>
      </c>
      <c r="M247" s="279">
        <v>2000000</v>
      </c>
      <c r="N247" s="279">
        <v>1262500</v>
      </c>
    </row>
    <row r="248" spans="1:14" x14ac:dyDescent="0.25">
      <c r="A248" s="186" t="s">
        <v>290</v>
      </c>
      <c r="B248" s="186" t="s">
        <v>184</v>
      </c>
      <c r="C248" s="186" t="s">
        <v>185</v>
      </c>
      <c r="D248" s="186" t="s">
        <v>69</v>
      </c>
      <c r="E248" s="279">
        <v>65233793</v>
      </c>
      <c r="F248" s="279">
        <v>65233793</v>
      </c>
      <c r="G248" s="279">
        <v>44111594</v>
      </c>
      <c r="H248" s="279">
        <v>4021243.61</v>
      </c>
      <c r="I248" s="279">
        <v>9641388.3599999994</v>
      </c>
      <c r="J248" s="279">
        <v>0</v>
      </c>
      <c r="K248" s="592">
        <v>14617918.1</v>
      </c>
      <c r="L248" s="279">
        <v>14617918.1</v>
      </c>
      <c r="M248" s="279">
        <v>36953242.93</v>
      </c>
      <c r="N248" s="279">
        <v>15831043.93</v>
      </c>
    </row>
    <row r="249" spans="1:14" x14ac:dyDescent="0.25">
      <c r="A249" s="186" t="s">
        <v>290</v>
      </c>
      <c r="B249" s="186" t="s">
        <v>186</v>
      </c>
      <c r="C249" s="186" t="s">
        <v>187</v>
      </c>
      <c r="D249" s="186" t="s">
        <v>69</v>
      </c>
      <c r="E249" s="279">
        <v>34706100</v>
      </c>
      <c r="F249" s="279">
        <v>34706100</v>
      </c>
      <c r="G249" s="279">
        <v>23805824</v>
      </c>
      <c r="H249" s="279">
        <v>1737255</v>
      </c>
      <c r="I249" s="279">
        <v>8933873.3599999994</v>
      </c>
      <c r="J249" s="279">
        <v>0</v>
      </c>
      <c r="K249" s="592">
        <v>9999938.6400000006</v>
      </c>
      <c r="L249" s="279">
        <v>9999938.6400000006</v>
      </c>
      <c r="M249" s="279">
        <v>14035033</v>
      </c>
      <c r="N249" s="279">
        <v>3134757</v>
      </c>
    </row>
    <row r="250" spans="1:14" x14ac:dyDescent="0.25">
      <c r="A250" s="186" t="s">
        <v>290</v>
      </c>
      <c r="B250" s="186" t="s">
        <v>188</v>
      </c>
      <c r="C250" s="186" t="s">
        <v>189</v>
      </c>
      <c r="D250" s="186" t="s">
        <v>69</v>
      </c>
      <c r="E250" s="279">
        <v>26298967</v>
      </c>
      <c r="F250" s="279">
        <v>26298967</v>
      </c>
      <c r="G250" s="279">
        <v>18424225</v>
      </c>
      <c r="H250" s="279">
        <v>0</v>
      </c>
      <c r="I250" s="279">
        <v>7875381.3600000003</v>
      </c>
      <c r="J250" s="279">
        <v>0</v>
      </c>
      <c r="K250" s="592">
        <v>9999938.6400000006</v>
      </c>
      <c r="L250" s="279">
        <v>9999938.6400000006</v>
      </c>
      <c r="M250" s="279">
        <v>8423647</v>
      </c>
      <c r="N250" s="279">
        <v>548905</v>
      </c>
    </row>
    <row r="251" spans="1:14" x14ac:dyDescent="0.25">
      <c r="A251" s="186" t="s">
        <v>290</v>
      </c>
      <c r="B251" s="186" t="s">
        <v>192</v>
      </c>
      <c r="C251" s="186" t="s">
        <v>193</v>
      </c>
      <c r="D251" s="186" t="s">
        <v>69</v>
      </c>
      <c r="E251" s="279">
        <v>8102133</v>
      </c>
      <c r="F251" s="279">
        <v>8102133</v>
      </c>
      <c r="G251" s="279">
        <v>5076599</v>
      </c>
      <c r="H251" s="279">
        <v>1737255</v>
      </c>
      <c r="I251" s="279">
        <v>1058492</v>
      </c>
      <c r="J251" s="279">
        <v>0</v>
      </c>
      <c r="K251" s="592">
        <v>0</v>
      </c>
      <c r="L251" s="279">
        <v>0</v>
      </c>
      <c r="M251" s="279">
        <v>5306386</v>
      </c>
      <c r="N251" s="279">
        <v>2280852</v>
      </c>
    </row>
    <row r="252" spans="1:14" x14ac:dyDescent="0.25">
      <c r="A252" s="186" t="s">
        <v>290</v>
      </c>
      <c r="B252" s="186" t="s">
        <v>194</v>
      </c>
      <c r="C252" s="186" t="s">
        <v>195</v>
      </c>
      <c r="D252" s="186" t="s">
        <v>69</v>
      </c>
      <c r="E252" s="279">
        <v>305000</v>
      </c>
      <c r="F252" s="279">
        <v>305000</v>
      </c>
      <c r="G252" s="279">
        <v>305000</v>
      </c>
      <c r="H252" s="279">
        <v>0</v>
      </c>
      <c r="I252" s="279">
        <v>0</v>
      </c>
      <c r="J252" s="279">
        <v>0</v>
      </c>
      <c r="K252" s="592">
        <v>0</v>
      </c>
      <c r="L252" s="279">
        <v>0</v>
      </c>
      <c r="M252" s="279">
        <v>305000</v>
      </c>
      <c r="N252" s="279">
        <v>305000</v>
      </c>
    </row>
    <row r="253" spans="1:14" x14ac:dyDescent="0.25">
      <c r="A253" s="186" t="s">
        <v>290</v>
      </c>
      <c r="B253" s="186" t="s">
        <v>200</v>
      </c>
      <c r="C253" s="186" t="s">
        <v>201</v>
      </c>
      <c r="D253" s="186" t="s">
        <v>69</v>
      </c>
      <c r="E253" s="279">
        <v>2978000</v>
      </c>
      <c r="F253" s="279">
        <v>2978000</v>
      </c>
      <c r="G253" s="279">
        <v>2000250</v>
      </c>
      <c r="H253" s="279">
        <v>0</v>
      </c>
      <c r="I253" s="279">
        <v>55800</v>
      </c>
      <c r="J253" s="279">
        <v>0</v>
      </c>
      <c r="K253" s="592">
        <v>0</v>
      </c>
      <c r="L253" s="279">
        <v>0</v>
      </c>
      <c r="M253" s="279">
        <v>2922200</v>
      </c>
      <c r="N253" s="279">
        <v>1944450</v>
      </c>
    </row>
    <row r="254" spans="1:14" x14ac:dyDescent="0.25">
      <c r="A254" s="186" t="s">
        <v>290</v>
      </c>
      <c r="B254" s="186" t="s">
        <v>314</v>
      </c>
      <c r="C254" s="186" t="s">
        <v>315</v>
      </c>
      <c r="D254" s="186" t="s">
        <v>69</v>
      </c>
      <c r="E254" s="279">
        <v>830000</v>
      </c>
      <c r="F254" s="279">
        <v>830000</v>
      </c>
      <c r="G254" s="279">
        <v>522500</v>
      </c>
      <c r="H254" s="279">
        <v>0</v>
      </c>
      <c r="I254" s="279">
        <v>0</v>
      </c>
      <c r="J254" s="279">
        <v>0</v>
      </c>
      <c r="K254" s="592">
        <v>0</v>
      </c>
      <c r="L254" s="279">
        <v>0</v>
      </c>
      <c r="M254" s="279">
        <v>830000</v>
      </c>
      <c r="N254" s="279">
        <v>522500</v>
      </c>
    </row>
    <row r="255" spans="1:14" x14ac:dyDescent="0.25">
      <c r="A255" s="186" t="s">
        <v>290</v>
      </c>
      <c r="B255" s="186" t="s">
        <v>316</v>
      </c>
      <c r="C255" s="186" t="s">
        <v>317</v>
      </c>
      <c r="D255" s="186" t="s">
        <v>69</v>
      </c>
      <c r="E255" s="279">
        <v>67000</v>
      </c>
      <c r="F255" s="279">
        <v>67000</v>
      </c>
      <c r="G255" s="279">
        <v>67000</v>
      </c>
      <c r="H255" s="279">
        <v>0</v>
      </c>
      <c r="I255" s="279">
        <v>55800</v>
      </c>
      <c r="J255" s="279">
        <v>0</v>
      </c>
      <c r="K255" s="592">
        <v>0</v>
      </c>
      <c r="L255" s="279">
        <v>0</v>
      </c>
      <c r="M255" s="279">
        <v>11200</v>
      </c>
      <c r="N255" s="279">
        <v>11200</v>
      </c>
    </row>
    <row r="256" spans="1:14" x14ac:dyDescent="0.25">
      <c r="A256" s="186" t="s">
        <v>290</v>
      </c>
      <c r="B256" s="186" t="s">
        <v>318</v>
      </c>
      <c r="C256" s="186" t="s">
        <v>319</v>
      </c>
      <c r="D256" s="186" t="s">
        <v>69</v>
      </c>
      <c r="E256" s="279">
        <v>99000</v>
      </c>
      <c r="F256" s="279">
        <v>99000</v>
      </c>
      <c r="G256" s="279">
        <v>74250</v>
      </c>
      <c r="H256" s="279">
        <v>0</v>
      </c>
      <c r="I256" s="279">
        <v>0</v>
      </c>
      <c r="J256" s="279">
        <v>0</v>
      </c>
      <c r="K256" s="592">
        <v>0</v>
      </c>
      <c r="L256" s="279">
        <v>0</v>
      </c>
      <c r="M256" s="279">
        <v>99000</v>
      </c>
      <c r="N256" s="279">
        <v>74250</v>
      </c>
    </row>
    <row r="257" spans="1:14" x14ac:dyDescent="0.25">
      <c r="A257" s="186" t="s">
        <v>290</v>
      </c>
      <c r="B257" s="186" t="s">
        <v>202</v>
      </c>
      <c r="C257" s="186" t="s">
        <v>203</v>
      </c>
      <c r="D257" s="186" t="s">
        <v>69</v>
      </c>
      <c r="E257" s="279">
        <v>1345000</v>
      </c>
      <c r="F257" s="279">
        <v>1345000</v>
      </c>
      <c r="G257" s="279">
        <v>858750</v>
      </c>
      <c r="H257" s="279">
        <v>0</v>
      </c>
      <c r="I257" s="279">
        <v>0</v>
      </c>
      <c r="J257" s="279">
        <v>0</v>
      </c>
      <c r="K257" s="592">
        <v>0</v>
      </c>
      <c r="L257" s="279">
        <v>0</v>
      </c>
      <c r="M257" s="279">
        <v>1345000</v>
      </c>
      <c r="N257" s="279">
        <v>858750</v>
      </c>
    </row>
    <row r="258" spans="1:14" x14ac:dyDescent="0.25">
      <c r="A258" s="186" t="s">
        <v>290</v>
      </c>
      <c r="B258" s="186" t="s">
        <v>320</v>
      </c>
      <c r="C258" s="186" t="s">
        <v>321</v>
      </c>
      <c r="D258" s="186" t="s">
        <v>69</v>
      </c>
      <c r="E258" s="279">
        <v>40000</v>
      </c>
      <c r="F258" s="279">
        <v>40000</v>
      </c>
      <c r="G258" s="279">
        <v>30000</v>
      </c>
      <c r="H258" s="279">
        <v>0</v>
      </c>
      <c r="I258" s="279">
        <v>0</v>
      </c>
      <c r="J258" s="279">
        <v>0</v>
      </c>
      <c r="K258" s="592">
        <v>0</v>
      </c>
      <c r="L258" s="279">
        <v>0</v>
      </c>
      <c r="M258" s="279">
        <v>40000</v>
      </c>
      <c r="N258" s="279">
        <v>30000</v>
      </c>
    </row>
    <row r="259" spans="1:14" x14ac:dyDescent="0.25">
      <c r="A259" s="186" t="s">
        <v>290</v>
      </c>
      <c r="B259" s="186" t="s">
        <v>204</v>
      </c>
      <c r="C259" s="186" t="s">
        <v>205</v>
      </c>
      <c r="D259" s="186" t="s">
        <v>69</v>
      </c>
      <c r="E259" s="279">
        <v>198000</v>
      </c>
      <c r="F259" s="279">
        <v>198000</v>
      </c>
      <c r="G259" s="279">
        <v>148500</v>
      </c>
      <c r="H259" s="279">
        <v>0</v>
      </c>
      <c r="I259" s="279">
        <v>0</v>
      </c>
      <c r="J259" s="279">
        <v>0</v>
      </c>
      <c r="K259" s="592">
        <v>0</v>
      </c>
      <c r="L259" s="279">
        <v>0</v>
      </c>
      <c r="M259" s="279">
        <v>198000</v>
      </c>
      <c r="N259" s="279">
        <v>148500</v>
      </c>
    </row>
    <row r="260" spans="1:14" x14ac:dyDescent="0.25">
      <c r="A260" s="186" t="s">
        <v>290</v>
      </c>
      <c r="B260" s="186" t="s">
        <v>322</v>
      </c>
      <c r="C260" s="186" t="s">
        <v>323</v>
      </c>
      <c r="D260" s="186" t="s">
        <v>69</v>
      </c>
      <c r="E260" s="279">
        <v>399000</v>
      </c>
      <c r="F260" s="279">
        <v>399000</v>
      </c>
      <c r="G260" s="279">
        <v>299250</v>
      </c>
      <c r="H260" s="279">
        <v>0</v>
      </c>
      <c r="I260" s="279">
        <v>0</v>
      </c>
      <c r="J260" s="279">
        <v>0</v>
      </c>
      <c r="K260" s="592">
        <v>0</v>
      </c>
      <c r="L260" s="279">
        <v>0</v>
      </c>
      <c r="M260" s="279">
        <v>399000</v>
      </c>
      <c r="N260" s="279">
        <v>299250</v>
      </c>
    </row>
    <row r="261" spans="1:14" x14ac:dyDescent="0.25">
      <c r="A261" s="186" t="s">
        <v>290</v>
      </c>
      <c r="B261" s="186" t="s">
        <v>206</v>
      </c>
      <c r="C261" s="186" t="s">
        <v>207</v>
      </c>
      <c r="D261" s="186" t="s">
        <v>69</v>
      </c>
      <c r="E261" s="279">
        <v>3047000</v>
      </c>
      <c r="F261" s="279">
        <v>3047000</v>
      </c>
      <c r="G261" s="279">
        <v>1960250</v>
      </c>
      <c r="H261" s="279">
        <v>1298757.1100000001</v>
      </c>
      <c r="I261" s="279">
        <v>0</v>
      </c>
      <c r="J261" s="279">
        <v>0</v>
      </c>
      <c r="K261" s="592">
        <v>0</v>
      </c>
      <c r="L261" s="279">
        <v>0</v>
      </c>
      <c r="M261" s="279">
        <v>1748242.89</v>
      </c>
      <c r="N261" s="279">
        <v>661492.89</v>
      </c>
    </row>
    <row r="262" spans="1:14" x14ac:dyDescent="0.25">
      <c r="A262" s="186" t="s">
        <v>290</v>
      </c>
      <c r="B262" s="186" t="s">
        <v>208</v>
      </c>
      <c r="C262" s="186" t="s">
        <v>209</v>
      </c>
      <c r="D262" s="186" t="s">
        <v>69</v>
      </c>
      <c r="E262" s="279">
        <v>251000</v>
      </c>
      <c r="F262" s="279">
        <v>251000</v>
      </c>
      <c r="G262" s="279">
        <v>188250</v>
      </c>
      <c r="H262" s="279">
        <v>0</v>
      </c>
      <c r="I262" s="279">
        <v>0</v>
      </c>
      <c r="J262" s="279">
        <v>0</v>
      </c>
      <c r="K262" s="592">
        <v>0</v>
      </c>
      <c r="L262" s="279">
        <v>0</v>
      </c>
      <c r="M262" s="279">
        <v>251000</v>
      </c>
      <c r="N262" s="279">
        <v>188250</v>
      </c>
    </row>
    <row r="263" spans="1:14" x14ac:dyDescent="0.25">
      <c r="A263" s="186" t="s">
        <v>290</v>
      </c>
      <c r="B263" s="186" t="s">
        <v>210</v>
      </c>
      <c r="C263" s="186" t="s">
        <v>211</v>
      </c>
      <c r="D263" s="186" t="s">
        <v>69</v>
      </c>
      <c r="E263" s="279">
        <v>2796000</v>
      </c>
      <c r="F263" s="279">
        <v>2796000</v>
      </c>
      <c r="G263" s="279">
        <v>1772000</v>
      </c>
      <c r="H263" s="279">
        <v>1298757.1100000001</v>
      </c>
      <c r="I263" s="279">
        <v>0</v>
      </c>
      <c r="J263" s="279">
        <v>0</v>
      </c>
      <c r="K263" s="592">
        <v>0</v>
      </c>
      <c r="L263" s="279">
        <v>0</v>
      </c>
      <c r="M263" s="279">
        <v>1497242.89</v>
      </c>
      <c r="N263" s="279">
        <v>473242.89</v>
      </c>
    </row>
    <row r="264" spans="1:14" x14ac:dyDescent="0.25">
      <c r="A264" s="186" t="s">
        <v>290</v>
      </c>
      <c r="B264" s="186" t="s">
        <v>212</v>
      </c>
      <c r="C264" s="186" t="s">
        <v>213</v>
      </c>
      <c r="D264" s="186" t="s">
        <v>69</v>
      </c>
      <c r="E264" s="279">
        <v>24502693</v>
      </c>
      <c r="F264" s="279">
        <v>24502693</v>
      </c>
      <c r="G264" s="279">
        <v>16345270</v>
      </c>
      <c r="H264" s="279">
        <v>985231.5</v>
      </c>
      <c r="I264" s="279">
        <v>651715</v>
      </c>
      <c r="J264" s="279">
        <v>0</v>
      </c>
      <c r="K264" s="592">
        <v>4617979.46</v>
      </c>
      <c r="L264" s="279">
        <v>4617979.46</v>
      </c>
      <c r="M264" s="279">
        <v>18247767.039999999</v>
      </c>
      <c r="N264" s="279">
        <v>10090344.039999999</v>
      </c>
    </row>
    <row r="265" spans="1:14" x14ac:dyDescent="0.25">
      <c r="A265" s="186" t="s">
        <v>290</v>
      </c>
      <c r="B265" s="186" t="s">
        <v>214</v>
      </c>
      <c r="C265" s="186" t="s">
        <v>215</v>
      </c>
      <c r="D265" s="186" t="s">
        <v>69</v>
      </c>
      <c r="E265" s="279">
        <v>7116000</v>
      </c>
      <c r="F265" s="279">
        <v>7116000</v>
      </c>
      <c r="G265" s="279">
        <v>5812000</v>
      </c>
      <c r="H265" s="279">
        <v>829231.5</v>
      </c>
      <c r="I265" s="279">
        <v>0</v>
      </c>
      <c r="J265" s="279">
        <v>0</v>
      </c>
      <c r="K265" s="592">
        <v>2259723.2799999998</v>
      </c>
      <c r="L265" s="279">
        <v>2259723.2799999998</v>
      </c>
      <c r="M265" s="279">
        <v>4027045.22</v>
      </c>
      <c r="N265" s="279">
        <v>2723045.22</v>
      </c>
    </row>
    <row r="266" spans="1:14" x14ac:dyDescent="0.25">
      <c r="A266" s="186" t="s">
        <v>290</v>
      </c>
      <c r="B266" s="186" t="s">
        <v>216</v>
      </c>
      <c r="C266" s="186" t="s">
        <v>217</v>
      </c>
      <c r="D266" s="186" t="s">
        <v>69</v>
      </c>
      <c r="E266" s="279">
        <v>0</v>
      </c>
      <c r="F266" s="279">
        <v>0</v>
      </c>
      <c r="G266" s="279">
        <v>0</v>
      </c>
      <c r="H266" s="279">
        <v>0</v>
      </c>
      <c r="I266" s="279">
        <v>0</v>
      </c>
      <c r="J266" s="279">
        <v>0</v>
      </c>
      <c r="K266" s="592">
        <v>0</v>
      </c>
      <c r="L266" s="279">
        <v>0</v>
      </c>
      <c r="M266" s="279">
        <v>0</v>
      </c>
      <c r="N266" s="279">
        <v>0</v>
      </c>
    </row>
    <row r="267" spans="1:14" x14ac:dyDescent="0.25">
      <c r="A267" s="186" t="s">
        <v>290</v>
      </c>
      <c r="B267" s="186" t="s">
        <v>218</v>
      </c>
      <c r="C267" s="186" t="s">
        <v>219</v>
      </c>
      <c r="D267" s="186" t="s">
        <v>69</v>
      </c>
      <c r="E267" s="279">
        <v>15203693</v>
      </c>
      <c r="F267" s="279">
        <v>15203693</v>
      </c>
      <c r="G267" s="279">
        <v>8837770</v>
      </c>
      <c r="H267" s="279">
        <v>156000</v>
      </c>
      <c r="I267" s="279">
        <v>381375</v>
      </c>
      <c r="J267" s="279">
        <v>0</v>
      </c>
      <c r="K267" s="592">
        <v>1966856.18</v>
      </c>
      <c r="L267" s="279">
        <v>1966856.18</v>
      </c>
      <c r="M267" s="279">
        <v>12699461.82</v>
      </c>
      <c r="N267" s="279">
        <v>6333538.8200000003</v>
      </c>
    </row>
    <row r="268" spans="1:14" x14ac:dyDescent="0.25">
      <c r="A268" s="186" t="s">
        <v>290</v>
      </c>
      <c r="B268" s="186" t="s">
        <v>220</v>
      </c>
      <c r="C268" s="186" t="s">
        <v>221</v>
      </c>
      <c r="D268" s="186" t="s">
        <v>69</v>
      </c>
      <c r="E268" s="279">
        <v>133000</v>
      </c>
      <c r="F268" s="279">
        <v>133000</v>
      </c>
      <c r="G268" s="279">
        <v>133000</v>
      </c>
      <c r="H268" s="279">
        <v>0</v>
      </c>
      <c r="I268" s="279">
        <v>133000</v>
      </c>
      <c r="J268" s="279">
        <v>0</v>
      </c>
      <c r="K268" s="592">
        <v>0</v>
      </c>
      <c r="L268" s="279">
        <v>0</v>
      </c>
      <c r="M268" s="279">
        <v>0</v>
      </c>
      <c r="N268" s="279">
        <v>0</v>
      </c>
    </row>
    <row r="269" spans="1:14" x14ac:dyDescent="0.25">
      <c r="A269" s="186" t="s">
        <v>290</v>
      </c>
      <c r="B269" s="186" t="s">
        <v>222</v>
      </c>
      <c r="C269" s="186" t="s">
        <v>223</v>
      </c>
      <c r="D269" s="186" t="s">
        <v>69</v>
      </c>
      <c r="E269" s="279">
        <v>1356000</v>
      </c>
      <c r="F269" s="279">
        <v>1356000</v>
      </c>
      <c r="G269" s="279">
        <v>1042000</v>
      </c>
      <c r="H269" s="279">
        <v>0</v>
      </c>
      <c r="I269" s="279">
        <v>0</v>
      </c>
      <c r="J269" s="279">
        <v>0</v>
      </c>
      <c r="K269" s="592">
        <v>386600</v>
      </c>
      <c r="L269" s="279">
        <v>386600</v>
      </c>
      <c r="M269" s="279">
        <v>969400</v>
      </c>
      <c r="N269" s="279">
        <v>655400</v>
      </c>
    </row>
    <row r="270" spans="1:14" x14ac:dyDescent="0.25">
      <c r="A270" s="186" t="s">
        <v>290</v>
      </c>
      <c r="B270" s="186" t="s">
        <v>224</v>
      </c>
      <c r="C270" s="186" t="s">
        <v>225</v>
      </c>
      <c r="D270" s="186" t="s">
        <v>69</v>
      </c>
      <c r="E270" s="279">
        <v>123000</v>
      </c>
      <c r="F270" s="279">
        <v>123000</v>
      </c>
      <c r="G270" s="279">
        <v>92250</v>
      </c>
      <c r="H270" s="279">
        <v>0</v>
      </c>
      <c r="I270" s="279">
        <v>0</v>
      </c>
      <c r="J270" s="279">
        <v>0</v>
      </c>
      <c r="K270" s="592">
        <v>4800</v>
      </c>
      <c r="L270" s="279">
        <v>4800</v>
      </c>
      <c r="M270" s="279">
        <v>118200</v>
      </c>
      <c r="N270" s="279">
        <v>87450</v>
      </c>
    </row>
    <row r="271" spans="1:14" x14ac:dyDescent="0.25">
      <c r="A271" s="186" t="s">
        <v>290</v>
      </c>
      <c r="B271" s="186" t="s">
        <v>228</v>
      </c>
      <c r="C271" s="186" t="s">
        <v>229</v>
      </c>
      <c r="D271" s="186" t="s">
        <v>69</v>
      </c>
      <c r="E271" s="279">
        <v>571000</v>
      </c>
      <c r="F271" s="279">
        <v>571000</v>
      </c>
      <c r="G271" s="279">
        <v>428250</v>
      </c>
      <c r="H271" s="279">
        <v>0</v>
      </c>
      <c r="I271" s="279">
        <v>137340</v>
      </c>
      <c r="J271" s="279">
        <v>0</v>
      </c>
      <c r="K271" s="592">
        <v>0</v>
      </c>
      <c r="L271" s="279">
        <v>0</v>
      </c>
      <c r="M271" s="279">
        <v>433660</v>
      </c>
      <c r="N271" s="279">
        <v>290910</v>
      </c>
    </row>
    <row r="272" spans="1:14" x14ac:dyDescent="0.25">
      <c r="A272" s="186" t="s">
        <v>290</v>
      </c>
      <c r="B272" s="186" t="s">
        <v>230</v>
      </c>
      <c r="C272" s="186" t="s">
        <v>231</v>
      </c>
      <c r="D272" s="186" t="s">
        <v>85</v>
      </c>
      <c r="E272" s="279">
        <v>47031000</v>
      </c>
      <c r="F272" s="279">
        <v>47031000</v>
      </c>
      <c r="G272" s="279">
        <v>47031000</v>
      </c>
      <c r="H272" s="279">
        <v>4662584</v>
      </c>
      <c r="I272" s="279">
        <v>19327310.899999999</v>
      </c>
      <c r="J272" s="279">
        <v>0</v>
      </c>
      <c r="K272" s="592">
        <v>22050439.84</v>
      </c>
      <c r="L272" s="279">
        <v>22050439.84</v>
      </c>
      <c r="M272" s="279">
        <v>990665.26</v>
      </c>
      <c r="N272" s="279">
        <v>990665.26</v>
      </c>
    </row>
    <row r="273" spans="1:14" x14ac:dyDescent="0.25">
      <c r="A273" s="186" t="s">
        <v>290</v>
      </c>
      <c r="B273" s="186" t="s">
        <v>232</v>
      </c>
      <c r="C273" s="186" t="s">
        <v>233</v>
      </c>
      <c r="D273" s="186" t="s">
        <v>85</v>
      </c>
      <c r="E273" s="279">
        <v>25000000</v>
      </c>
      <c r="F273" s="279">
        <v>17047517.809999999</v>
      </c>
      <c r="G273" s="279">
        <v>17047517.809999999</v>
      </c>
      <c r="H273" s="279">
        <v>3024116</v>
      </c>
      <c r="I273" s="279">
        <v>0</v>
      </c>
      <c r="J273" s="279">
        <v>0</v>
      </c>
      <c r="K273" s="592">
        <v>13762283.65</v>
      </c>
      <c r="L273" s="279">
        <v>13762283.65</v>
      </c>
      <c r="M273" s="279">
        <v>261118.16</v>
      </c>
      <c r="N273" s="279">
        <v>261118.16</v>
      </c>
    </row>
    <row r="274" spans="1:14" x14ac:dyDescent="0.25">
      <c r="A274" s="186" t="s">
        <v>290</v>
      </c>
      <c r="B274" s="186" t="s">
        <v>324</v>
      </c>
      <c r="C274" s="186" t="s">
        <v>325</v>
      </c>
      <c r="D274" s="186" t="s">
        <v>85</v>
      </c>
      <c r="E274" s="279">
        <v>15000000</v>
      </c>
      <c r="F274" s="279">
        <v>13762284</v>
      </c>
      <c r="G274" s="279">
        <v>13762284</v>
      </c>
      <c r="H274" s="279">
        <v>0</v>
      </c>
      <c r="I274" s="279">
        <v>0</v>
      </c>
      <c r="J274" s="279">
        <v>0</v>
      </c>
      <c r="K274" s="592">
        <v>13762283.65</v>
      </c>
      <c r="L274" s="279">
        <v>13762283.65</v>
      </c>
      <c r="M274" s="279">
        <v>0.35</v>
      </c>
      <c r="N274" s="279">
        <v>0.35</v>
      </c>
    </row>
    <row r="275" spans="1:14" x14ac:dyDescent="0.25">
      <c r="A275" s="186" t="s">
        <v>290</v>
      </c>
      <c r="B275" s="186" t="s">
        <v>236</v>
      </c>
      <c r="C275" s="186" t="s">
        <v>237</v>
      </c>
      <c r="D275" s="186" t="s">
        <v>85</v>
      </c>
      <c r="E275" s="279">
        <v>0</v>
      </c>
      <c r="F275" s="279">
        <v>0</v>
      </c>
      <c r="G275" s="279">
        <v>0</v>
      </c>
      <c r="H275" s="279">
        <v>0</v>
      </c>
      <c r="I275" s="279">
        <v>0</v>
      </c>
      <c r="J275" s="279">
        <v>0</v>
      </c>
      <c r="K275" s="592">
        <v>0</v>
      </c>
      <c r="L275" s="279">
        <v>0</v>
      </c>
      <c r="M275" s="279">
        <v>0</v>
      </c>
      <c r="N275" s="279">
        <v>0</v>
      </c>
    </row>
    <row r="276" spans="1:14" x14ac:dyDescent="0.25">
      <c r="A276" s="186" t="s">
        <v>290</v>
      </c>
      <c r="B276" s="186" t="s">
        <v>238</v>
      </c>
      <c r="C276" s="186" t="s">
        <v>239</v>
      </c>
      <c r="D276" s="186" t="s">
        <v>85</v>
      </c>
      <c r="E276" s="279">
        <v>0</v>
      </c>
      <c r="F276" s="279">
        <v>0</v>
      </c>
      <c r="G276" s="279">
        <v>0</v>
      </c>
      <c r="H276" s="279">
        <v>0</v>
      </c>
      <c r="I276" s="279">
        <v>0</v>
      </c>
      <c r="J276" s="279">
        <v>0</v>
      </c>
      <c r="K276" s="592">
        <v>0</v>
      </c>
      <c r="L276" s="279">
        <v>0</v>
      </c>
      <c r="M276" s="279">
        <v>0</v>
      </c>
      <c r="N276" s="279">
        <v>0</v>
      </c>
    </row>
    <row r="277" spans="1:14" x14ac:dyDescent="0.25">
      <c r="A277" s="186" t="s">
        <v>290</v>
      </c>
      <c r="B277" s="186" t="s">
        <v>282</v>
      </c>
      <c r="C277" s="186" t="s">
        <v>283</v>
      </c>
      <c r="D277" s="186" t="s">
        <v>85</v>
      </c>
      <c r="E277" s="279">
        <v>10000000</v>
      </c>
      <c r="F277" s="279">
        <v>2585233.81</v>
      </c>
      <c r="G277" s="279">
        <v>2585233.81</v>
      </c>
      <c r="H277" s="279">
        <v>2392746</v>
      </c>
      <c r="I277" s="279">
        <v>0</v>
      </c>
      <c r="J277" s="279">
        <v>0</v>
      </c>
      <c r="K277" s="592">
        <v>0</v>
      </c>
      <c r="L277" s="279">
        <v>0</v>
      </c>
      <c r="M277" s="279">
        <v>192487.81</v>
      </c>
      <c r="N277" s="279">
        <v>192487.81</v>
      </c>
    </row>
    <row r="278" spans="1:14" x14ac:dyDescent="0.25">
      <c r="A278" s="186" t="s">
        <v>290</v>
      </c>
      <c r="B278" s="186" t="s">
        <v>326</v>
      </c>
      <c r="C278" s="186" t="s">
        <v>327</v>
      </c>
      <c r="D278" s="186" t="s">
        <v>85</v>
      </c>
      <c r="E278" s="279">
        <v>0</v>
      </c>
      <c r="F278" s="279">
        <v>0</v>
      </c>
      <c r="G278" s="279">
        <v>0</v>
      </c>
      <c r="H278" s="279">
        <v>0</v>
      </c>
      <c r="I278" s="279">
        <v>0</v>
      </c>
      <c r="J278" s="279">
        <v>0</v>
      </c>
      <c r="K278" s="592">
        <v>0</v>
      </c>
      <c r="L278" s="279">
        <v>0</v>
      </c>
      <c r="M278" s="279">
        <v>0</v>
      </c>
      <c r="N278" s="279">
        <v>0</v>
      </c>
    </row>
    <row r="279" spans="1:14" x14ac:dyDescent="0.25">
      <c r="A279" s="186" t="s">
        <v>290</v>
      </c>
      <c r="B279" s="186" t="s">
        <v>242</v>
      </c>
      <c r="C279" s="186" t="s">
        <v>243</v>
      </c>
      <c r="D279" s="186" t="s">
        <v>85</v>
      </c>
      <c r="E279" s="279">
        <v>0</v>
      </c>
      <c r="F279" s="279">
        <v>700000</v>
      </c>
      <c r="G279" s="279">
        <v>700000</v>
      </c>
      <c r="H279" s="279">
        <v>631370</v>
      </c>
      <c r="I279" s="279">
        <v>0</v>
      </c>
      <c r="J279" s="279">
        <v>0</v>
      </c>
      <c r="K279" s="592">
        <v>0</v>
      </c>
      <c r="L279" s="279">
        <v>0</v>
      </c>
      <c r="M279" s="279">
        <v>68630</v>
      </c>
      <c r="N279" s="279">
        <v>68630</v>
      </c>
    </row>
    <row r="280" spans="1:14" x14ac:dyDescent="0.25">
      <c r="A280" s="186" t="s">
        <v>290</v>
      </c>
      <c r="B280" s="186" t="s">
        <v>328</v>
      </c>
      <c r="C280" s="186" t="s">
        <v>329</v>
      </c>
      <c r="D280" s="186" t="s">
        <v>85</v>
      </c>
      <c r="E280" s="279">
        <v>0</v>
      </c>
      <c r="F280" s="279">
        <v>1350982.19</v>
      </c>
      <c r="G280" s="279">
        <v>1350982.19</v>
      </c>
      <c r="H280" s="279">
        <v>0</v>
      </c>
      <c r="I280" s="279">
        <v>0</v>
      </c>
      <c r="J280" s="279">
        <v>0</v>
      </c>
      <c r="K280" s="592">
        <v>1350982.19</v>
      </c>
      <c r="L280" s="279">
        <v>1350982.19</v>
      </c>
      <c r="M280" s="279">
        <v>0</v>
      </c>
      <c r="N280" s="279">
        <v>0</v>
      </c>
    </row>
    <row r="281" spans="1:14" x14ac:dyDescent="0.25">
      <c r="A281" s="186" t="s">
        <v>290</v>
      </c>
      <c r="B281" s="186" t="s">
        <v>330</v>
      </c>
      <c r="C281" s="186" t="s">
        <v>331</v>
      </c>
      <c r="D281" s="186" t="s">
        <v>85</v>
      </c>
      <c r="E281" s="279">
        <v>0</v>
      </c>
      <c r="F281" s="279">
        <v>1350982.19</v>
      </c>
      <c r="G281" s="279">
        <v>1350982.19</v>
      </c>
      <c r="H281" s="279">
        <v>0</v>
      </c>
      <c r="I281" s="279">
        <v>0</v>
      </c>
      <c r="J281" s="279">
        <v>0</v>
      </c>
      <c r="K281" s="592">
        <v>1350982.19</v>
      </c>
      <c r="L281" s="279">
        <v>1350982.19</v>
      </c>
      <c r="M281" s="279">
        <v>0</v>
      </c>
      <c r="N281" s="279">
        <v>0</v>
      </c>
    </row>
    <row r="282" spans="1:14" x14ac:dyDescent="0.25">
      <c r="A282" s="186" t="s">
        <v>290</v>
      </c>
      <c r="B282" s="186" t="s">
        <v>244</v>
      </c>
      <c r="C282" s="186" t="s">
        <v>245</v>
      </c>
      <c r="D282" s="186" t="s">
        <v>85</v>
      </c>
      <c r="E282" s="279">
        <v>22031000</v>
      </c>
      <c r="F282" s="279">
        <v>28632500</v>
      </c>
      <c r="G282" s="279">
        <v>28632500</v>
      </c>
      <c r="H282" s="279">
        <v>1638468</v>
      </c>
      <c r="I282" s="279">
        <v>19327310.899999999</v>
      </c>
      <c r="J282" s="279">
        <v>0</v>
      </c>
      <c r="K282" s="592">
        <v>6937174</v>
      </c>
      <c r="L282" s="279">
        <v>6937174</v>
      </c>
      <c r="M282" s="279">
        <v>729547.1</v>
      </c>
      <c r="N282" s="279">
        <v>729547.1</v>
      </c>
    </row>
    <row r="283" spans="1:14" x14ac:dyDescent="0.25">
      <c r="A283" s="186" t="s">
        <v>290</v>
      </c>
      <c r="B283" s="186" t="s">
        <v>246</v>
      </c>
      <c r="C283" s="186" t="s">
        <v>247</v>
      </c>
      <c r="D283" s="186" t="s">
        <v>85</v>
      </c>
      <c r="E283" s="279">
        <v>22031000</v>
      </c>
      <c r="F283" s="279">
        <v>28632500</v>
      </c>
      <c r="G283" s="279">
        <v>28632500</v>
      </c>
      <c r="H283" s="279">
        <v>1638468</v>
      </c>
      <c r="I283" s="279">
        <v>19327310.899999999</v>
      </c>
      <c r="J283" s="279">
        <v>0</v>
      </c>
      <c r="K283" s="592">
        <v>6937174</v>
      </c>
      <c r="L283" s="279">
        <v>6937174</v>
      </c>
      <c r="M283" s="279">
        <v>729547.1</v>
      </c>
      <c r="N283" s="279">
        <v>729547.1</v>
      </c>
    </row>
    <row r="284" spans="1:14" x14ac:dyDescent="0.25">
      <c r="A284" s="186" t="s">
        <v>290</v>
      </c>
      <c r="B284" s="186" t="s">
        <v>248</v>
      </c>
      <c r="C284" s="186" t="s">
        <v>249</v>
      </c>
      <c r="D284" s="186" t="s">
        <v>69</v>
      </c>
      <c r="E284" s="279">
        <v>298129000</v>
      </c>
      <c r="F284" s="279">
        <v>306729000</v>
      </c>
      <c r="G284" s="279">
        <v>239038874.5</v>
      </c>
      <c r="H284" s="279">
        <v>0</v>
      </c>
      <c r="I284" s="279">
        <v>46503486.710000001</v>
      </c>
      <c r="J284" s="279">
        <v>0</v>
      </c>
      <c r="K284" s="592">
        <v>141799339.34999999</v>
      </c>
      <c r="L284" s="279">
        <v>141799339.34999999</v>
      </c>
      <c r="M284" s="279">
        <v>118426173.94</v>
      </c>
      <c r="N284" s="279">
        <v>50736048.439999998</v>
      </c>
    </row>
    <row r="285" spans="1:14" x14ac:dyDescent="0.25">
      <c r="A285" s="186" t="s">
        <v>290</v>
      </c>
      <c r="B285" s="186" t="s">
        <v>250</v>
      </c>
      <c r="C285" s="186" t="s">
        <v>251</v>
      </c>
      <c r="D285" s="186" t="s">
        <v>69</v>
      </c>
      <c r="E285" s="279">
        <v>115667000</v>
      </c>
      <c r="F285" s="279">
        <v>115667000</v>
      </c>
      <c r="G285" s="279">
        <v>115667000</v>
      </c>
      <c r="H285" s="279">
        <v>0</v>
      </c>
      <c r="I285" s="279">
        <v>46498104.700000003</v>
      </c>
      <c r="J285" s="279">
        <v>0</v>
      </c>
      <c r="K285" s="592">
        <v>69168895.299999997</v>
      </c>
      <c r="L285" s="279">
        <v>69168895.299999997</v>
      </c>
      <c r="M285" s="279">
        <v>0</v>
      </c>
      <c r="N285" s="279">
        <v>0</v>
      </c>
    </row>
    <row r="286" spans="1:14" x14ac:dyDescent="0.25">
      <c r="A286" s="186" t="s">
        <v>290</v>
      </c>
      <c r="B286" s="186" t="s">
        <v>332</v>
      </c>
      <c r="C286" s="186" t="s">
        <v>257</v>
      </c>
      <c r="D286" s="186" t="s">
        <v>69</v>
      </c>
      <c r="E286" s="279">
        <v>96260000</v>
      </c>
      <c r="F286" s="279">
        <v>96260000</v>
      </c>
      <c r="G286" s="279">
        <v>96260000</v>
      </c>
      <c r="H286" s="279">
        <v>0</v>
      </c>
      <c r="I286" s="279">
        <v>38696624.060000002</v>
      </c>
      <c r="J286" s="279">
        <v>0</v>
      </c>
      <c r="K286" s="592">
        <v>57563375.939999998</v>
      </c>
      <c r="L286" s="279">
        <v>57563375.939999998</v>
      </c>
      <c r="M286" s="279">
        <v>0</v>
      </c>
      <c r="N286" s="279">
        <v>0</v>
      </c>
    </row>
    <row r="287" spans="1:14" x14ac:dyDescent="0.25">
      <c r="A287" s="186" t="s">
        <v>290</v>
      </c>
      <c r="B287" s="186" t="s">
        <v>333</v>
      </c>
      <c r="C287" s="186" t="s">
        <v>259</v>
      </c>
      <c r="D287" s="186" t="s">
        <v>69</v>
      </c>
      <c r="E287" s="279">
        <v>19407000</v>
      </c>
      <c r="F287" s="279">
        <v>19407000</v>
      </c>
      <c r="G287" s="279">
        <v>19407000</v>
      </c>
      <c r="H287" s="279">
        <v>0</v>
      </c>
      <c r="I287" s="279">
        <v>7801480.6399999997</v>
      </c>
      <c r="J287" s="279">
        <v>0</v>
      </c>
      <c r="K287" s="592">
        <v>11605519.359999999</v>
      </c>
      <c r="L287" s="279">
        <v>11605519.359999999</v>
      </c>
      <c r="M287" s="279">
        <v>0</v>
      </c>
      <c r="N287" s="279">
        <v>0</v>
      </c>
    </row>
    <row r="288" spans="1:14" x14ac:dyDescent="0.25">
      <c r="A288" s="186" t="s">
        <v>290</v>
      </c>
      <c r="B288" s="186" t="s">
        <v>260</v>
      </c>
      <c r="C288" s="186" t="s">
        <v>261</v>
      </c>
      <c r="D288" s="186" t="s">
        <v>69</v>
      </c>
      <c r="E288" s="279">
        <v>179462000</v>
      </c>
      <c r="F288" s="279">
        <v>179462000</v>
      </c>
      <c r="G288" s="279">
        <v>111771874.5</v>
      </c>
      <c r="H288" s="279">
        <v>0</v>
      </c>
      <c r="I288" s="279">
        <v>5382.01</v>
      </c>
      <c r="J288" s="279">
        <v>0</v>
      </c>
      <c r="K288" s="592">
        <v>61240980.789999999</v>
      </c>
      <c r="L288" s="279">
        <v>61240980.789999999</v>
      </c>
      <c r="M288" s="279">
        <v>118215637.2</v>
      </c>
      <c r="N288" s="279">
        <v>50525511.700000003</v>
      </c>
    </row>
    <row r="289" spans="1:14" x14ac:dyDescent="0.25">
      <c r="A289" s="186" t="s">
        <v>290</v>
      </c>
      <c r="B289" s="186" t="s">
        <v>262</v>
      </c>
      <c r="C289" s="186" t="s">
        <v>263</v>
      </c>
      <c r="D289" s="186" t="s">
        <v>69</v>
      </c>
      <c r="E289" s="279">
        <v>150000000</v>
      </c>
      <c r="F289" s="279">
        <v>150000000</v>
      </c>
      <c r="G289" s="279">
        <v>82309874.5</v>
      </c>
      <c r="H289" s="279">
        <v>0</v>
      </c>
      <c r="I289" s="279">
        <v>5382.01</v>
      </c>
      <c r="J289" s="279">
        <v>0</v>
      </c>
      <c r="K289" s="592">
        <v>40642849.789999999</v>
      </c>
      <c r="L289" s="279">
        <v>40642849.789999999</v>
      </c>
      <c r="M289" s="279">
        <v>109351768.2</v>
      </c>
      <c r="N289" s="279">
        <v>41661642.700000003</v>
      </c>
    </row>
    <row r="290" spans="1:14" x14ac:dyDescent="0.25">
      <c r="A290" s="186" t="s">
        <v>290</v>
      </c>
      <c r="B290" s="186" t="s">
        <v>264</v>
      </c>
      <c r="C290" s="186" t="s">
        <v>265</v>
      </c>
      <c r="D290" s="186" t="s">
        <v>69</v>
      </c>
      <c r="E290" s="279">
        <v>29462000</v>
      </c>
      <c r="F290" s="279">
        <v>29462000</v>
      </c>
      <c r="G290" s="279">
        <v>29462000</v>
      </c>
      <c r="H290" s="279">
        <v>0</v>
      </c>
      <c r="I290" s="279">
        <v>0</v>
      </c>
      <c r="J290" s="279">
        <v>0</v>
      </c>
      <c r="K290" s="592">
        <v>20598131</v>
      </c>
      <c r="L290" s="279">
        <v>20598131</v>
      </c>
      <c r="M290" s="279">
        <v>8863869</v>
      </c>
      <c r="N290" s="279">
        <v>8863869</v>
      </c>
    </row>
    <row r="291" spans="1:14" x14ac:dyDescent="0.25">
      <c r="A291" s="186" t="s">
        <v>290</v>
      </c>
      <c r="B291" s="186" t="s">
        <v>286</v>
      </c>
      <c r="C291" s="186" t="s">
        <v>287</v>
      </c>
      <c r="D291" s="186" t="s">
        <v>69</v>
      </c>
      <c r="E291" s="279">
        <v>3000000</v>
      </c>
      <c r="F291" s="279">
        <v>11600000</v>
      </c>
      <c r="G291" s="279">
        <v>11600000</v>
      </c>
      <c r="H291" s="279">
        <v>0</v>
      </c>
      <c r="I291" s="279">
        <v>0</v>
      </c>
      <c r="J291" s="279">
        <v>0</v>
      </c>
      <c r="K291" s="592">
        <v>11389463.26</v>
      </c>
      <c r="L291" s="279">
        <v>11389463.26</v>
      </c>
      <c r="M291" s="279">
        <v>210536.74</v>
      </c>
      <c r="N291" s="279">
        <v>210536.74</v>
      </c>
    </row>
    <row r="292" spans="1:14" x14ac:dyDescent="0.25">
      <c r="A292" s="186" t="s">
        <v>290</v>
      </c>
      <c r="B292" s="186" t="s">
        <v>288</v>
      </c>
      <c r="C292" s="186" t="s">
        <v>289</v>
      </c>
      <c r="D292" s="186" t="s">
        <v>69</v>
      </c>
      <c r="E292" s="279">
        <v>3000000</v>
      </c>
      <c r="F292" s="279">
        <v>11600000</v>
      </c>
      <c r="G292" s="279">
        <v>11600000</v>
      </c>
      <c r="H292" s="279">
        <v>0</v>
      </c>
      <c r="I292" s="279">
        <v>0</v>
      </c>
      <c r="J292" s="279">
        <v>0</v>
      </c>
      <c r="K292" s="592">
        <v>11389463.26</v>
      </c>
      <c r="L292" s="279">
        <v>11389463.26</v>
      </c>
      <c r="M292" s="279">
        <v>210536.74</v>
      </c>
      <c r="N292" s="279">
        <v>210536.74</v>
      </c>
    </row>
    <row r="293" spans="1:14" x14ac:dyDescent="0.25">
      <c r="A293" s="186" t="s">
        <v>334</v>
      </c>
      <c r="B293" s="186"/>
      <c r="C293" s="186"/>
      <c r="D293" s="186" t="s">
        <v>69</v>
      </c>
      <c r="E293" s="279">
        <v>106163237755</v>
      </c>
      <c r="F293" s="279">
        <v>112163237755</v>
      </c>
      <c r="G293" s="279">
        <v>104411102686.89999</v>
      </c>
      <c r="H293" s="279">
        <v>427591943.13999999</v>
      </c>
      <c r="I293" s="279">
        <v>12212756689.24</v>
      </c>
      <c r="J293" s="279">
        <v>475211326.99000001</v>
      </c>
      <c r="K293" s="592">
        <v>64340733557.870003</v>
      </c>
      <c r="L293" s="279">
        <v>64115018062.099998</v>
      </c>
      <c r="M293" s="279">
        <v>34706944237.760002</v>
      </c>
      <c r="N293" s="279">
        <v>26954809169.66</v>
      </c>
    </row>
    <row r="294" spans="1:14" x14ac:dyDescent="0.25">
      <c r="A294" s="186" t="s">
        <v>334</v>
      </c>
      <c r="B294" s="186" t="s">
        <v>71</v>
      </c>
      <c r="C294" s="186" t="s">
        <v>72</v>
      </c>
      <c r="D294" s="186" t="s">
        <v>69</v>
      </c>
      <c r="E294" s="279">
        <v>69224041000</v>
      </c>
      <c r="F294" s="279">
        <v>69224041000</v>
      </c>
      <c r="G294" s="279">
        <v>67408558314</v>
      </c>
      <c r="H294" s="279">
        <v>0</v>
      </c>
      <c r="I294" s="279">
        <v>3654511391</v>
      </c>
      <c r="J294" s="279">
        <v>0</v>
      </c>
      <c r="K294" s="592">
        <v>42381690197.019997</v>
      </c>
      <c r="L294" s="279">
        <v>42381690197.019997</v>
      </c>
      <c r="M294" s="279">
        <v>23187839411.98</v>
      </c>
      <c r="N294" s="279">
        <v>21372356725.98</v>
      </c>
    </row>
    <row r="295" spans="1:14" x14ac:dyDescent="0.25">
      <c r="A295" s="186" t="s">
        <v>334</v>
      </c>
      <c r="B295" s="186" t="s">
        <v>73</v>
      </c>
      <c r="C295" s="186" t="s">
        <v>74</v>
      </c>
      <c r="D295" s="186" t="s">
        <v>69</v>
      </c>
      <c r="E295" s="279">
        <v>25618223000</v>
      </c>
      <c r="F295" s="279">
        <v>25618223000</v>
      </c>
      <c r="G295" s="279">
        <v>24639223000</v>
      </c>
      <c r="H295" s="279">
        <v>0</v>
      </c>
      <c r="I295" s="279">
        <v>0</v>
      </c>
      <c r="J295" s="279">
        <v>0</v>
      </c>
      <c r="K295" s="592">
        <v>15838682416.82</v>
      </c>
      <c r="L295" s="279">
        <v>15838682416.82</v>
      </c>
      <c r="M295" s="279">
        <v>9779540583.1800003</v>
      </c>
      <c r="N295" s="279">
        <v>8800540583.1800003</v>
      </c>
    </row>
    <row r="296" spans="1:14" x14ac:dyDescent="0.25">
      <c r="A296" s="186" t="s">
        <v>334</v>
      </c>
      <c r="B296" s="186" t="s">
        <v>75</v>
      </c>
      <c r="C296" s="186" t="s">
        <v>76</v>
      </c>
      <c r="D296" s="186" t="s">
        <v>69</v>
      </c>
      <c r="E296" s="279">
        <v>25601107000</v>
      </c>
      <c r="F296" s="279">
        <v>25601107000</v>
      </c>
      <c r="G296" s="279">
        <v>24622107000</v>
      </c>
      <c r="H296" s="279">
        <v>0</v>
      </c>
      <c r="I296" s="279">
        <v>0</v>
      </c>
      <c r="J296" s="279">
        <v>0</v>
      </c>
      <c r="K296" s="592">
        <v>15823410616.82</v>
      </c>
      <c r="L296" s="279">
        <v>15823410616.82</v>
      </c>
      <c r="M296" s="279">
        <v>9777696383.1800003</v>
      </c>
      <c r="N296" s="279">
        <v>8798696383.1800003</v>
      </c>
    </row>
    <row r="297" spans="1:14" x14ac:dyDescent="0.25">
      <c r="A297" s="186" t="s">
        <v>334</v>
      </c>
      <c r="B297" s="186" t="s">
        <v>335</v>
      </c>
      <c r="C297" s="186" t="s">
        <v>336</v>
      </c>
      <c r="D297" s="186" t="s">
        <v>69</v>
      </c>
      <c r="E297" s="279">
        <v>17116000</v>
      </c>
      <c r="F297" s="279">
        <v>17116000</v>
      </c>
      <c r="G297" s="279">
        <v>17116000</v>
      </c>
      <c r="H297" s="279">
        <v>0</v>
      </c>
      <c r="I297" s="279">
        <v>0</v>
      </c>
      <c r="J297" s="279">
        <v>0</v>
      </c>
      <c r="K297" s="592">
        <v>15271800</v>
      </c>
      <c r="L297" s="279">
        <v>15271800</v>
      </c>
      <c r="M297" s="279">
        <v>1844200</v>
      </c>
      <c r="N297" s="279">
        <v>1844200</v>
      </c>
    </row>
    <row r="298" spans="1:14" x14ac:dyDescent="0.25">
      <c r="A298" s="186" t="s">
        <v>334</v>
      </c>
      <c r="B298" s="186" t="s">
        <v>293</v>
      </c>
      <c r="C298" s="186" t="s">
        <v>294</v>
      </c>
      <c r="D298" s="186" t="s">
        <v>69</v>
      </c>
      <c r="E298" s="279">
        <v>3406791000</v>
      </c>
      <c r="F298" s="279">
        <v>3606791000</v>
      </c>
      <c r="G298" s="279">
        <v>3456791000</v>
      </c>
      <c r="H298" s="279">
        <v>0</v>
      </c>
      <c r="I298" s="279">
        <v>0</v>
      </c>
      <c r="J298" s="279">
        <v>0</v>
      </c>
      <c r="K298" s="592">
        <v>2409624841.52</v>
      </c>
      <c r="L298" s="279">
        <v>2409624841.52</v>
      </c>
      <c r="M298" s="279">
        <v>1197166158.48</v>
      </c>
      <c r="N298" s="279">
        <v>1047166158.48</v>
      </c>
    </row>
    <row r="299" spans="1:14" x14ac:dyDescent="0.25">
      <c r="A299" s="186" t="s">
        <v>334</v>
      </c>
      <c r="B299" s="186" t="s">
        <v>295</v>
      </c>
      <c r="C299" s="186" t="s">
        <v>296</v>
      </c>
      <c r="D299" s="186" t="s">
        <v>69</v>
      </c>
      <c r="E299" s="279">
        <v>8000000</v>
      </c>
      <c r="F299" s="279">
        <v>8000000</v>
      </c>
      <c r="G299" s="279">
        <v>8000000</v>
      </c>
      <c r="H299" s="279">
        <v>0</v>
      </c>
      <c r="I299" s="279">
        <v>0</v>
      </c>
      <c r="J299" s="279">
        <v>0</v>
      </c>
      <c r="K299" s="592">
        <v>3795422.08</v>
      </c>
      <c r="L299" s="279">
        <v>3795422.08</v>
      </c>
      <c r="M299" s="279">
        <v>4204577.92</v>
      </c>
      <c r="N299" s="279">
        <v>4204577.92</v>
      </c>
    </row>
    <row r="300" spans="1:14" x14ac:dyDescent="0.25">
      <c r="A300" s="186" t="s">
        <v>334</v>
      </c>
      <c r="B300" s="186" t="s">
        <v>337</v>
      </c>
      <c r="C300" s="186" t="s">
        <v>338</v>
      </c>
      <c r="D300" s="186" t="s">
        <v>69</v>
      </c>
      <c r="E300" s="279">
        <v>24994000</v>
      </c>
      <c r="F300" s="279">
        <v>24994000</v>
      </c>
      <c r="G300" s="279">
        <v>24994000</v>
      </c>
      <c r="H300" s="279">
        <v>0</v>
      </c>
      <c r="I300" s="279">
        <v>0</v>
      </c>
      <c r="J300" s="279">
        <v>0</v>
      </c>
      <c r="K300" s="592">
        <v>4134297</v>
      </c>
      <c r="L300" s="279">
        <v>4134297</v>
      </c>
      <c r="M300" s="279">
        <v>20859703</v>
      </c>
      <c r="N300" s="279">
        <v>20859703</v>
      </c>
    </row>
    <row r="301" spans="1:14" x14ac:dyDescent="0.25">
      <c r="A301" s="186" t="s">
        <v>334</v>
      </c>
      <c r="B301" s="186" t="s">
        <v>339</v>
      </c>
      <c r="C301" s="186" t="s">
        <v>340</v>
      </c>
      <c r="D301" s="186" t="s">
        <v>69</v>
      </c>
      <c r="E301" s="279">
        <v>3373797000</v>
      </c>
      <c r="F301" s="279">
        <v>3573797000</v>
      </c>
      <c r="G301" s="279">
        <v>3423797000</v>
      </c>
      <c r="H301" s="279">
        <v>0</v>
      </c>
      <c r="I301" s="279">
        <v>0</v>
      </c>
      <c r="J301" s="279">
        <v>0</v>
      </c>
      <c r="K301" s="592">
        <v>2401695122.4400001</v>
      </c>
      <c r="L301" s="279">
        <v>2401695122.4400001</v>
      </c>
      <c r="M301" s="279">
        <v>1172101877.5599999</v>
      </c>
      <c r="N301" s="279">
        <v>1022101877.5599999</v>
      </c>
    </row>
    <row r="302" spans="1:14" x14ac:dyDescent="0.25">
      <c r="A302" s="186" t="s">
        <v>334</v>
      </c>
      <c r="B302" s="186" t="s">
        <v>77</v>
      </c>
      <c r="C302" s="186" t="s">
        <v>78</v>
      </c>
      <c r="D302" s="186" t="s">
        <v>69</v>
      </c>
      <c r="E302" s="279">
        <v>29694590000</v>
      </c>
      <c r="F302" s="279">
        <v>29494590000</v>
      </c>
      <c r="G302" s="279">
        <v>28808107314</v>
      </c>
      <c r="H302" s="279">
        <v>0</v>
      </c>
      <c r="I302" s="279">
        <v>0</v>
      </c>
      <c r="J302" s="279">
        <v>0</v>
      </c>
      <c r="K302" s="592">
        <v>17283457329.68</v>
      </c>
      <c r="L302" s="279">
        <v>17283457329.68</v>
      </c>
      <c r="M302" s="279">
        <v>12211132670.32</v>
      </c>
      <c r="N302" s="279">
        <v>11524649984.32</v>
      </c>
    </row>
    <row r="303" spans="1:14" x14ac:dyDescent="0.25">
      <c r="A303" s="186" t="s">
        <v>334</v>
      </c>
      <c r="B303" s="186" t="s">
        <v>79</v>
      </c>
      <c r="C303" s="186" t="s">
        <v>80</v>
      </c>
      <c r="D303" s="186" t="s">
        <v>69</v>
      </c>
      <c r="E303" s="279">
        <v>9856906000</v>
      </c>
      <c r="F303" s="279">
        <v>9656906000</v>
      </c>
      <c r="G303" s="279">
        <v>9276906000</v>
      </c>
      <c r="H303" s="279">
        <v>0</v>
      </c>
      <c r="I303" s="279">
        <v>0</v>
      </c>
      <c r="J303" s="279">
        <v>0</v>
      </c>
      <c r="K303" s="592">
        <v>6248659690.3800001</v>
      </c>
      <c r="L303" s="279">
        <v>6248659690.3800001</v>
      </c>
      <c r="M303" s="279">
        <v>3408246309.6199999</v>
      </c>
      <c r="N303" s="279">
        <v>3028246309.6199999</v>
      </c>
    </row>
    <row r="304" spans="1:14" x14ac:dyDescent="0.25">
      <c r="A304" s="186" t="s">
        <v>334</v>
      </c>
      <c r="B304" s="186" t="s">
        <v>81</v>
      </c>
      <c r="C304" s="186" t="s">
        <v>82</v>
      </c>
      <c r="D304" s="186" t="s">
        <v>69</v>
      </c>
      <c r="E304" s="279">
        <v>3637068000</v>
      </c>
      <c r="F304" s="279">
        <v>3637068000</v>
      </c>
      <c r="G304" s="279">
        <v>3507068000</v>
      </c>
      <c r="H304" s="279">
        <v>0</v>
      </c>
      <c r="I304" s="279">
        <v>0</v>
      </c>
      <c r="J304" s="279">
        <v>0</v>
      </c>
      <c r="K304" s="592">
        <v>2162923974.9000001</v>
      </c>
      <c r="L304" s="279">
        <v>2162923974.9000001</v>
      </c>
      <c r="M304" s="279">
        <v>1474144025.0999999</v>
      </c>
      <c r="N304" s="279">
        <v>1344144025.0999999</v>
      </c>
    </row>
    <row r="305" spans="1:14" x14ac:dyDescent="0.25">
      <c r="A305" s="186" t="s">
        <v>334</v>
      </c>
      <c r="B305" s="186" t="s">
        <v>83</v>
      </c>
      <c r="C305" s="186" t="s">
        <v>84</v>
      </c>
      <c r="D305" s="186" t="s">
        <v>85</v>
      </c>
      <c r="E305" s="279">
        <v>4378933000</v>
      </c>
      <c r="F305" s="279">
        <v>4378933000</v>
      </c>
      <c r="G305" s="279">
        <v>4378933000</v>
      </c>
      <c r="H305" s="279">
        <v>0</v>
      </c>
      <c r="I305" s="279">
        <v>0</v>
      </c>
      <c r="J305" s="279">
        <v>0</v>
      </c>
      <c r="K305" s="592">
        <v>5905251.9100000001</v>
      </c>
      <c r="L305" s="279">
        <v>5905251.9100000001</v>
      </c>
      <c r="M305" s="279">
        <v>4373027748.0900002</v>
      </c>
      <c r="N305" s="279">
        <v>4373027748.0900002</v>
      </c>
    </row>
    <row r="306" spans="1:14" x14ac:dyDescent="0.25">
      <c r="A306" s="186" t="s">
        <v>334</v>
      </c>
      <c r="B306" s="186" t="s">
        <v>86</v>
      </c>
      <c r="C306" s="186" t="s">
        <v>87</v>
      </c>
      <c r="D306" s="186" t="s">
        <v>69</v>
      </c>
      <c r="E306" s="279">
        <v>3859929000</v>
      </c>
      <c r="F306" s="279">
        <v>3859929000</v>
      </c>
      <c r="G306" s="279">
        <v>3859929000</v>
      </c>
      <c r="H306" s="279">
        <v>0</v>
      </c>
      <c r="I306" s="279">
        <v>0</v>
      </c>
      <c r="J306" s="279">
        <v>0</v>
      </c>
      <c r="K306" s="592">
        <v>3841030837.3800001</v>
      </c>
      <c r="L306" s="279">
        <v>3841030837.3800001</v>
      </c>
      <c r="M306" s="279">
        <v>18898162.620000001</v>
      </c>
      <c r="N306" s="279">
        <v>18898162.620000001</v>
      </c>
    </row>
    <row r="307" spans="1:14" x14ac:dyDescent="0.25">
      <c r="A307" s="186" t="s">
        <v>334</v>
      </c>
      <c r="B307" s="186" t="s">
        <v>88</v>
      </c>
      <c r="C307" s="186" t="s">
        <v>89</v>
      </c>
      <c r="D307" s="186" t="s">
        <v>69</v>
      </c>
      <c r="E307" s="279">
        <v>7961754000</v>
      </c>
      <c r="F307" s="279">
        <v>7961754000</v>
      </c>
      <c r="G307" s="279">
        <v>7785271314</v>
      </c>
      <c r="H307" s="279">
        <v>0</v>
      </c>
      <c r="I307" s="279">
        <v>0</v>
      </c>
      <c r="J307" s="279">
        <v>0</v>
      </c>
      <c r="K307" s="592">
        <v>5024937575.1099997</v>
      </c>
      <c r="L307" s="279">
        <v>5024937575.1099997</v>
      </c>
      <c r="M307" s="279">
        <v>2936816424.8899999</v>
      </c>
      <c r="N307" s="279">
        <v>2760333738.8899999</v>
      </c>
    </row>
    <row r="308" spans="1:14" x14ac:dyDescent="0.25">
      <c r="A308" s="186" t="s">
        <v>334</v>
      </c>
      <c r="B308" s="186" t="s">
        <v>90</v>
      </c>
      <c r="C308" s="186" t="s">
        <v>91</v>
      </c>
      <c r="D308" s="186" t="s">
        <v>69</v>
      </c>
      <c r="E308" s="279">
        <v>5298410000</v>
      </c>
      <c r="F308" s="279">
        <v>5298410000</v>
      </c>
      <c r="G308" s="279">
        <v>5298410000</v>
      </c>
      <c r="H308" s="279">
        <v>0</v>
      </c>
      <c r="I308" s="279">
        <v>1842560523</v>
      </c>
      <c r="J308" s="279">
        <v>0</v>
      </c>
      <c r="K308" s="592">
        <v>3455849477</v>
      </c>
      <c r="L308" s="279">
        <v>3455849477</v>
      </c>
      <c r="M308" s="279">
        <v>0</v>
      </c>
      <c r="N308" s="279">
        <v>0</v>
      </c>
    </row>
    <row r="309" spans="1:14" x14ac:dyDescent="0.25">
      <c r="A309" s="186" t="s">
        <v>334</v>
      </c>
      <c r="B309" s="186" t="s">
        <v>341</v>
      </c>
      <c r="C309" s="186" t="s">
        <v>93</v>
      </c>
      <c r="D309" s="186" t="s">
        <v>69</v>
      </c>
      <c r="E309" s="279">
        <v>5026697000</v>
      </c>
      <c r="F309" s="279">
        <v>5026697000</v>
      </c>
      <c r="G309" s="279">
        <v>5026697000</v>
      </c>
      <c r="H309" s="279">
        <v>0</v>
      </c>
      <c r="I309" s="279">
        <v>1748039370</v>
      </c>
      <c r="J309" s="279">
        <v>0</v>
      </c>
      <c r="K309" s="592">
        <v>3278657630</v>
      </c>
      <c r="L309" s="279">
        <v>3278657630</v>
      </c>
      <c r="M309" s="279">
        <v>0</v>
      </c>
      <c r="N309" s="279">
        <v>0</v>
      </c>
    </row>
    <row r="310" spans="1:14" x14ac:dyDescent="0.25">
      <c r="A310" s="186" t="s">
        <v>334</v>
      </c>
      <c r="B310" s="186" t="s">
        <v>342</v>
      </c>
      <c r="C310" s="186" t="s">
        <v>95</v>
      </c>
      <c r="D310" s="186" t="s">
        <v>69</v>
      </c>
      <c r="E310" s="279">
        <v>271713000</v>
      </c>
      <c r="F310" s="279">
        <v>271713000</v>
      </c>
      <c r="G310" s="279">
        <v>271713000</v>
      </c>
      <c r="H310" s="279">
        <v>0</v>
      </c>
      <c r="I310" s="279">
        <v>94521153</v>
      </c>
      <c r="J310" s="279">
        <v>0</v>
      </c>
      <c r="K310" s="592">
        <v>177191847</v>
      </c>
      <c r="L310" s="279">
        <v>177191847</v>
      </c>
      <c r="M310" s="279">
        <v>0</v>
      </c>
      <c r="N310" s="279">
        <v>0</v>
      </c>
    </row>
    <row r="311" spans="1:14" x14ac:dyDescent="0.25">
      <c r="A311" s="186" t="s">
        <v>334</v>
      </c>
      <c r="B311" s="186" t="s">
        <v>96</v>
      </c>
      <c r="C311" s="186" t="s">
        <v>97</v>
      </c>
      <c r="D311" s="186" t="s">
        <v>69</v>
      </c>
      <c r="E311" s="279">
        <v>5206027000</v>
      </c>
      <c r="F311" s="279">
        <v>5206027000</v>
      </c>
      <c r="G311" s="279">
        <v>5206027000</v>
      </c>
      <c r="H311" s="279">
        <v>0</v>
      </c>
      <c r="I311" s="279">
        <v>1811950868</v>
      </c>
      <c r="J311" s="279">
        <v>0</v>
      </c>
      <c r="K311" s="592">
        <v>3394076132</v>
      </c>
      <c r="L311" s="279">
        <v>3394076132</v>
      </c>
      <c r="M311" s="279">
        <v>0</v>
      </c>
      <c r="N311" s="279">
        <v>0</v>
      </c>
    </row>
    <row r="312" spans="1:14" x14ac:dyDescent="0.25">
      <c r="A312" s="186" t="s">
        <v>334</v>
      </c>
      <c r="B312" s="186" t="s">
        <v>343</v>
      </c>
      <c r="C312" s="186" t="s">
        <v>99</v>
      </c>
      <c r="D312" s="186" t="s">
        <v>69</v>
      </c>
      <c r="E312" s="279">
        <v>2760607000</v>
      </c>
      <c r="F312" s="279">
        <v>2760607000</v>
      </c>
      <c r="G312" s="279">
        <v>2760607000</v>
      </c>
      <c r="H312" s="279">
        <v>0</v>
      </c>
      <c r="I312" s="279">
        <v>961260457</v>
      </c>
      <c r="J312" s="279">
        <v>0</v>
      </c>
      <c r="K312" s="592">
        <v>1799346543</v>
      </c>
      <c r="L312" s="279">
        <v>1799346543</v>
      </c>
      <c r="M312" s="279">
        <v>0</v>
      </c>
      <c r="N312" s="279">
        <v>0</v>
      </c>
    </row>
    <row r="313" spans="1:14" x14ac:dyDescent="0.25">
      <c r="A313" s="186" t="s">
        <v>334</v>
      </c>
      <c r="B313" s="186" t="s">
        <v>344</v>
      </c>
      <c r="C313" s="186" t="s">
        <v>101</v>
      </c>
      <c r="D313" s="186" t="s">
        <v>69</v>
      </c>
      <c r="E313" s="279">
        <v>815140000</v>
      </c>
      <c r="F313" s="279">
        <v>815140000</v>
      </c>
      <c r="G313" s="279">
        <v>815140000</v>
      </c>
      <c r="H313" s="279">
        <v>0</v>
      </c>
      <c r="I313" s="279">
        <v>283562886</v>
      </c>
      <c r="J313" s="279">
        <v>0</v>
      </c>
      <c r="K313" s="592">
        <v>531577114</v>
      </c>
      <c r="L313" s="279">
        <v>531577114</v>
      </c>
      <c r="M313" s="279">
        <v>0</v>
      </c>
      <c r="N313" s="279">
        <v>0</v>
      </c>
    </row>
    <row r="314" spans="1:14" x14ac:dyDescent="0.25">
      <c r="A314" s="186" t="s">
        <v>334</v>
      </c>
      <c r="B314" s="186" t="s">
        <v>345</v>
      </c>
      <c r="C314" s="186" t="s">
        <v>103</v>
      </c>
      <c r="D314" s="186" t="s">
        <v>69</v>
      </c>
      <c r="E314" s="279">
        <v>1630280000</v>
      </c>
      <c r="F314" s="279">
        <v>1630280000</v>
      </c>
      <c r="G314" s="279">
        <v>1630280000</v>
      </c>
      <c r="H314" s="279">
        <v>0</v>
      </c>
      <c r="I314" s="279">
        <v>567127525</v>
      </c>
      <c r="J314" s="279">
        <v>0</v>
      </c>
      <c r="K314" s="592">
        <v>1063152475</v>
      </c>
      <c r="L314" s="279">
        <v>1063152475</v>
      </c>
      <c r="M314" s="279">
        <v>0</v>
      </c>
      <c r="N314" s="279">
        <v>0</v>
      </c>
    </row>
    <row r="315" spans="1:14" x14ac:dyDescent="0.25">
      <c r="A315" s="186" t="s">
        <v>334</v>
      </c>
      <c r="B315" s="186" t="s">
        <v>104</v>
      </c>
      <c r="C315" s="186" t="s">
        <v>105</v>
      </c>
      <c r="D315" s="186" t="s">
        <v>69</v>
      </c>
      <c r="E315" s="279">
        <v>9869454182</v>
      </c>
      <c r="F315" s="279">
        <v>13869454182</v>
      </c>
      <c r="G315" s="279">
        <v>12162622810.4</v>
      </c>
      <c r="H315" s="279">
        <v>47929015.289999999</v>
      </c>
      <c r="I315" s="279">
        <v>2252177498.73</v>
      </c>
      <c r="J315" s="279">
        <v>598500</v>
      </c>
      <c r="K315" s="592">
        <v>7001898631.6000004</v>
      </c>
      <c r="L315" s="279">
        <v>6843982179.1599998</v>
      </c>
      <c r="M315" s="279">
        <v>4566850536.3800001</v>
      </c>
      <c r="N315" s="279">
        <v>2860019164.7800002</v>
      </c>
    </row>
    <row r="316" spans="1:14" x14ac:dyDescent="0.25">
      <c r="A316" s="186" t="s">
        <v>334</v>
      </c>
      <c r="B316" s="186" t="s">
        <v>106</v>
      </c>
      <c r="C316" s="186" t="s">
        <v>107</v>
      </c>
      <c r="D316" s="186" t="s">
        <v>69</v>
      </c>
      <c r="E316" s="279">
        <v>3181468559</v>
      </c>
      <c r="F316" s="279">
        <v>7181468559</v>
      </c>
      <c r="G316" s="279">
        <v>6433040431.8999996</v>
      </c>
      <c r="H316" s="279">
        <v>47081815.289999999</v>
      </c>
      <c r="I316" s="279">
        <v>468322650.12</v>
      </c>
      <c r="J316" s="279">
        <v>0</v>
      </c>
      <c r="K316" s="592">
        <v>3698358582.6900001</v>
      </c>
      <c r="L316" s="279">
        <v>3590555273.6199999</v>
      </c>
      <c r="M316" s="279">
        <v>2967705510.9000001</v>
      </c>
      <c r="N316" s="279">
        <v>2219277383.8000002</v>
      </c>
    </row>
    <row r="317" spans="1:14" x14ac:dyDescent="0.25">
      <c r="A317" s="186" t="s">
        <v>334</v>
      </c>
      <c r="B317" s="186" t="s">
        <v>280</v>
      </c>
      <c r="C317" s="186" t="s">
        <v>281</v>
      </c>
      <c r="D317" s="186" t="s">
        <v>69</v>
      </c>
      <c r="E317" s="279">
        <v>431740903</v>
      </c>
      <c r="F317" s="279">
        <v>431740903</v>
      </c>
      <c r="G317" s="279">
        <v>315870451.80000001</v>
      </c>
      <c r="H317" s="279">
        <v>70000</v>
      </c>
      <c r="I317" s="279">
        <v>3693568</v>
      </c>
      <c r="J317" s="279">
        <v>0</v>
      </c>
      <c r="K317" s="592">
        <v>211948722.06999999</v>
      </c>
      <c r="L317" s="279">
        <v>211948722.06999999</v>
      </c>
      <c r="M317" s="279">
        <v>216028612.93000001</v>
      </c>
      <c r="N317" s="279">
        <v>100158161.73</v>
      </c>
    </row>
    <row r="318" spans="1:14" x14ac:dyDescent="0.25">
      <c r="A318" s="186" t="s">
        <v>334</v>
      </c>
      <c r="B318" s="186" t="s">
        <v>108</v>
      </c>
      <c r="C318" s="186" t="s">
        <v>109</v>
      </c>
      <c r="D318" s="186" t="s">
        <v>69</v>
      </c>
      <c r="E318" s="279">
        <v>719138329</v>
      </c>
      <c r="F318" s="279">
        <v>719138329</v>
      </c>
      <c r="G318" s="279">
        <v>719138328.29999995</v>
      </c>
      <c r="H318" s="279">
        <v>0</v>
      </c>
      <c r="I318" s="279">
        <v>81918523.920000002</v>
      </c>
      <c r="J318" s="279">
        <v>0</v>
      </c>
      <c r="K318" s="592">
        <v>423755660.02999997</v>
      </c>
      <c r="L318" s="279">
        <v>320177186.56999999</v>
      </c>
      <c r="M318" s="279">
        <v>213464145.05000001</v>
      </c>
      <c r="N318" s="279">
        <v>213464144.34999999</v>
      </c>
    </row>
    <row r="319" spans="1:14" x14ac:dyDescent="0.25">
      <c r="A319" s="186" t="s">
        <v>334</v>
      </c>
      <c r="B319" s="186" t="s">
        <v>304</v>
      </c>
      <c r="C319" s="186" t="s">
        <v>305</v>
      </c>
      <c r="D319" s="186" t="s">
        <v>69</v>
      </c>
      <c r="E319" s="279">
        <v>23472000</v>
      </c>
      <c r="F319" s="279">
        <v>23472000</v>
      </c>
      <c r="G319" s="279">
        <v>23472000</v>
      </c>
      <c r="H319" s="279">
        <v>0</v>
      </c>
      <c r="I319" s="279">
        <v>217312.67</v>
      </c>
      <c r="J319" s="279">
        <v>0</v>
      </c>
      <c r="K319" s="592">
        <v>8264455.79</v>
      </c>
      <c r="L319" s="279">
        <v>5006080.67</v>
      </c>
      <c r="M319" s="279">
        <v>14990231.539999999</v>
      </c>
      <c r="N319" s="279">
        <v>14990231.539999999</v>
      </c>
    </row>
    <row r="320" spans="1:14" x14ac:dyDescent="0.25">
      <c r="A320" s="186" t="s">
        <v>334</v>
      </c>
      <c r="B320" s="186" t="s">
        <v>110</v>
      </c>
      <c r="C320" s="186" t="s">
        <v>111</v>
      </c>
      <c r="D320" s="186" t="s">
        <v>69</v>
      </c>
      <c r="E320" s="279">
        <v>2007117327</v>
      </c>
      <c r="F320" s="279">
        <v>2007117327</v>
      </c>
      <c r="G320" s="279">
        <v>1374559651.8</v>
      </c>
      <c r="H320" s="279">
        <v>47011815.289999999</v>
      </c>
      <c r="I320" s="279">
        <v>382493245.52999997</v>
      </c>
      <c r="J320" s="279">
        <v>0</v>
      </c>
      <c r="K320" s="592">
        <v>389566967.80000001</v>
      </c>
      <c r="L320" s="279">
        <v>388600507.31</v>
      </c>
      <c r="M320" s="279">
        <v>1188045298.3800001</v>
      </c>
      <c r="N320" s="279">
        <v>555487623.17999995</v>
      </c>
    </row>
    <row r="321" spans="1:14" x14ac:dyDescent="0.25">
      <c r="A321" s="186" t="s">
        <v>334</v>
      </c>
      <c r="B321" s="186" t="s">
        <v>110</v>
      </c>
      <c r="C321" s="186" t="s">
        <v>111</v>
      </c>
      <c r="D321" s="186" t="s">
        <v>85</v>
      </c>
      <c r="E321" s="279">
        <v>0</v>
      </c>
      <c r="F321" s="279">
        <v>4000000000</v>
      </c>
      <c r="G321" s="279">
        <v>4000000000</v>
      </c>
      <c r="H321" s="279">
        <v>0</v>
      </c>
      <c r="I321" s="279">
        <v>0</v>
      </c>
      <c r="J321" s="279">
        <v>0</v>
      </c>
      <c r="K321" s="592">
        <v>2664822777</v>
      </c>
      <c r="L321" s="279">
        <v>2664822777</v>
      </c>
      <c r="M321" s="279">
        <v>1335177223</v>
      </c>
      <c r="N321" s="279">
        <v>1335177223</v>
      </c>
    </row>
    <row r="322" spans="1:14" x14ac:dyDescent="0.25">
      <c r="A322" s="186" t="s">
        <v>334</v>
      </c>
      <c r="B322" s="186" t="s">
        <v>112</v>
      </c>
      <c r="C322" s="186" t="s">
        <v>113</v>
      </c>
      <c r="D322" s="186" t="s">
        <v>69</v>
      </c>
      <c r="E322" s="279">
        <v>4328674526</v>
      </c>
      <c r="F322" s="279">
        <v>4329984526</v>
      </c>
      <c r="G322" s="279">
        <v>4141677274.5</v>
      </c>
      <c r="H322" s="279">
        <v>0</v>
      </c>
      <c r="I322" s="279">
        <v>1197404760.53</v>
      </c>
      <c r="J322" s="279">
        <v>0</v>
      </c>
      <c r="K322" s="592">
        <v>2809612759.9499998</v>
      </c>
      <c r="L322" s="279">
        <v>2781811208.3699999</v>
      </c>
      <c r="M322" s="279">
        <v>322967005.51999998</v>
      </c>
      <c r="N322" s="279">
        <v>134659754.02000001</v>
      </c>
    </row>
    <row r="323" spans="1:14" x14ac:dyDescent="0.25">
      <c r="A323" s="186" t="s">
        <v>334</v>
      </c>
      <c r="B323" s="186" t="s">
        <v>114</v>
      </c>
      <c r="C323" s="186" t="s">
        <v>115</v>
      </c>
      <c r="D323" s="186" t="s">
        <v>69</v>
      </c>
      <c r="E323" s="279">
        <v>2503011786</v>
      </c>
      <c r="F323" s="279">
        <v>2503011786</v>
      </c>
      <c r="G323" s="279">
        <v>2503011785.5</v>
      </c>
      <c r="H323" s="279">
        <v>0</v>
      </c>
      <c r="I323" s="279">
        <v>931925578.13</v>
      </c>
      <c r="J323" s="279">
        <v>0</v>
      </c>
      <c r="K323" s="592">
        <v>1571086207.3699999</v>
      </c>
      <c r="L323" s="279">
        <v>1570382044.8800001</v>
      </c>
      <c r="M323" s="279">
        <v>0.5</v>
      </c>
      <c r="N323" s="279">
        <v>0</v>
      </c>
    </row>
    <row r="324" spans="1:14" x14ac:dyDescent="0.25">
      <c r="A324" s="186" t="s">
        <v>334</v>
      </c>
      <c r="B324" s="186" t="s">
        <v>116</v>
      </c>
      <c r="C324" s="186" t="s">
        <v>117</v>
      </c>
      <c r="D324" s="186" t="s">
        <v>69</v>
      </c>
      <c r="E324" s="279">
        <v>973642474</v>
      </c>
      <c r="F324" s="279">
        <v>973642474</v>
      </c>
      <c r="G324" s="279">
        <v>973642473.5</v>
      </c>
      <c r="H324" s="279">
        <v>0</v>
      </c>
      <c r="I324" s="279">
        <v>156296203.41999999</v>
      </c>
      <c r="J324" s="279">
        <v>0</v>
      </c>
      <c r="K324" s="592">
        <v>817346270.08000004</v>
      </c>
      <c r="L324" s="279">
        <v>817346270.08000004</v>
      </c>
      <c r="M324" s="279">
        <v>0.5</v>
      </c>
      <c r="N324" s="279">
        <v>0</v>
      </c>
    </row>
    <row r="325" spans="1:14" x14ac:dyDescent="0.25">
      <c r="A325" s="186" t="s">
        <v>334</v>
      </c>
      <c r="B325" s="186" t="s">
        <v>118</v>
      </c>
      <c r="C325" s="186" t="s">
        <v>119</v>
      </c>
      <c r="D325" s="186" t="s">
        <v>69</v>
      </c>
      <c r="E325" s="279">
        <v>3942858</v>
      </c>
      <c r="F325" s="279">
        <v>3942858</v>
      </c>
      <c r="G325" s="279">
        <v>3942857.5</v>
      </c>
      <c r="H325" s="279">
        <v>0</v>
      </c>
      <c r="I325" s="279">
        <v>2568022.5</v>
      </c>
      <c r="J325" s="279">
        <v>0</v>
      </c>
      <c r="K325" s="592">
        <v>935940</v>
      </c>
      <c r="L325" s="279">
        <v>935940</v>
      </c>
      <c r="M325" s="279">
        <v>438895.5</v>
      </c>
      <c r="N325" s="279">
        <v>438895</v>
      </c>
    </row>
    <row r="326" spans="1:14" x14ac:dyDescent="0.25">
      <c r="A326" s="186" t="s">
        <v>334</v>
      </c>
      <c r="B326" s="186" t="s">
        <v>120</v>
      </c>
      <c r="C326" s="186" t="s">
        <v>121</v>
      </c>
      <c r="D326" s="186" t="s">
        <v>69</v>
      </c>
      <c r="E326" s="279">
        <v>753229000</v>
      </c>
      <c r="F326" s="279">
        <v>753229000</v>
      </c>
      <c r="G326" s="279">
        <v>564921750</v>
      </c>
      <c r="H326" s="279">
        <v>0</v>
      </c>
      <c r="I326" s="279">
        <v>87018801.049999997</v>
      </c>
      <c r="J326" s="279">
        <v>0</v>
      </c>
      <c r="K326" s="592">
        <v>355720862.37</v>
      </c>
      <c r="L326" s="279">
        <v>330704223.27999997</v>
      </c>
      <c r="M326" s="279">
        <v>310489336.57999998</v>
      </c>
      <c r="N326" s="279">
        <v>122182086.58</v>
      </c>
    </row>
    <row r="327" spans="1:14" x14ac:dyDescent="0.25">
      <c r="A327" s="186" t="s">
        <v>334</v>
      </c>
      <c r="B327" s="186" t="s">
        <v>122</v>
      </c>
      <c r="C327" s="186" t="s">
        <v>123</v>
      </c>
      <c r="D327" s="186" t="s">
        <v>69</v>
      </c>
      <c r="E327" s="279">
        <v>94848408</v>
      </c>
      <c r="F327" s="279">
        <v>96158408</v>
      </c>
      <c r="G327" s="279">
        <v>96158408</v>
      </c>
      <c r="H327" s="279">
        <v>0</v>
      </c>
      <c r="I327" s="279">
        <v>19596155.43</v>
      </c>
      <c r="J327" s="279">
        <v>0</v>
      </c>
      <c r="K327" s="592">
        <v>64523480.130000003</v>
      </c>
      <c r="L327" s="279">
        <v>62442730.130000003</v>
      </c>
      <c r="M327" s="279">
        <v>12038772.439999999</v>
      </c>
      <c r="N327" s="279">
        <v>12038772.439999999</v>
      </c>
    </row>
    <row r="328" spans="1:14" x14ac:dyDescent="0.25">
      <c r="A328" s="186" t="s">
        <v>334</v>
      </c>
      <c r="B328" s="186" t="s">
        <v>124</v>
      </c>
      <c r="C328" s="186" t="s">
        <v>125</v>
      </c>
      <c r="D328" s="186" t="s">
        <v>69</v>
      </c>
      <c r="E328" s="279">
        <v>4451091</v>
      </c>
      <c r="F328" s="279">
        <v>3141091</v>
      </c>
      <c r="G328" s="279">
        <v>3141090.75</v>
      </c>
      <c r="H328" s="279">
        <v>0</v>
      </c>
      <c r="I328" s="279">
        <v>1173951.1200000001</v>
      </c>
      <c r="J328" s="279">
        <v>0</v>
      </c>
      <c r="K328" s="592">
        <v>951790</v>
      </c>
      <c r="L328" s="279">
        <v>951790</v>
      </c>
      <c r="M328" s="279">
        <v>1015349.88</v>
      </c>
      <c r="N328" s="279">
        <v>1015349.63</v>
      </c>
    </row>
    <row r="329" spans="1:14" x14ac:dyDescent="0.25">
      <c r="A329" s="186" t="s">
        <v>334</v>
      </c>
      <c r="B329" s="186" t="s">
        <v>126</v>
      </c>
      <c r="C329" s="186" t="s">
        <v>127</v>
      </c>
      <c r="D329" s="186" t="s">
        <v>69</v>
      </c>
      <c r="E329" s="279">
        <v>1831091</v>
      </c>
      <c r="F329" s="279">
        <v>1831091</v>
      </c>
      <c r="G329" s="279">
        <v>1831090.75</v>
      </c>
      <c r="H329" s="279">
        <v>0</v>
      </c>
      <c r="I329" s="279">
        <v>958311.12</v>
      </c>
      <c r="J329" s="279">
        <v>0</v>
      </c>
      <c r="K329" s="592">
        <v>871790</v>
      </c>
      <c r="L329" s="279">
        <v>871790</v>
      </c>
      <c r="M329" s="279">
        <v>989.88</v>
      </c>
      <c r="N329" s="279">
        <v>989.63</v>
      </c>
    </row>
    <row r="330" spans="1:14" x14ac:dyDescent="0.25">
      <c r="A330" s="186" t="s">
        <v>334</v>
      </c>
      <c r="B330" s="186" t="s">
        <v>128</v>
      </c>
      <c r="C330" s="186" t="s">
        <v>129</v>
      </c>
      <c r="D330" s="186" t="s">
        <v>69</v>
      </c>
      <c r="E330" s="279">
        <v>2620000</v>
      </c>
      <c r="F330" s="279">
        <v>1310000</v>
      </c>
      <c r="G330" s="279">
        <v>1310000</v>
      </c>
      <c r="H330" s="279">
        <v>0</v>
      </c>
      <c r="I330" s="279">
        <v>215640</v>
      </c>
      <c r="J330" s="279">
        <v>0</v>
      </c>
      <c r="K330" s="592">
        <v>80000</v>
      </c>
      <c r="L330" s="279">
        <v>80000</v>
      </c>
      <c r="M330" s="279">
        <v>1014360</v>
      </c>
      <c r="N330" s="279">
        <v>1014360</v>
      </c>
    </row>
    <row r="331" spans="1:14" x14ac:dyDescent="0.25">
      <c r="A331" s="186" t="s">
        <v>334</v>
      </c>
      <c r="B331" s="186" t="s">
        <v>134</v>
      </c>
      <c r="C331" s="186" t="s">
        <v>135</v>
      </c>
      <c r="D331" s="186" t="s">
        <v>69</v>
      </c>
      <c r="E331" s="279">
        <v>310063679</v>
      </c>
      <c r="F331" s="279">
        <v>304063679</v>
      </c>
      <c r="G331" s="279">
        <v>304063678.68000001</v>
      </c>
      <c r="H331" s="279">
        <v>0</v>
      </c>
      <c r="I331" s="279">
        <v>58722703.280000001</v>
      </c>
      <c r="J331" s="279">
        <v>0</v>
      </c>
      <c r="K331" s="592">
        <v>76317711.989999995</v>
      </c>
      <c r="L331" s="279">
        <v>76317711.989999995</v>
      </c>
      <c r="M331" s="279">
        <v>169023263.72999999</v>
      </c>
      <c r="N331" s="279">
        <v>169023263.41</v>
      </c>
    </row>
    <row r="332" spans="1:14" x14ac:dyDescent="0.25">
      <c r="A332" s="186" t="s">
        <v>334</v>
      </c>
      <c r="B332" s="186" t="s">
        <v>346</v>
      </c>
      <c r="C332" s="186" t="s">
        <v>347</v>
      </c>
      <c r="D332" s="186" t="s">
        <v>69</v>
      </c>
      <c r="E332" s="279">
        <v>21381819</v>
      </c>
      <c r="F332" s="279">
        <v>21381819</v>
      </c>
      <c r="G332" s="279">
        <v>21381818.75</v>
      </c>
      <c r="H332" s="279">
        <v>0</v>
      </c>
      <c r="I332" s="279">
        <v>14288264</v>
      </c>
      <c r="J332" s="279">
        <v>0</v>
      </c>
      <c r="K332" s="592">
        <v>7016088</v>
      </c>
      <c r="L332" s="279">
        <v>7016088</v>
      </c>
      <c r="M332" s="279">
        <v>77467</v>
      </c>
      <c r="N332" s="279">
        <v>77466.75</v>
      </c>
    </row>
    <row r="333" spans="1:14" x14ac:dyDescent="0.25">
      <c r="A333" s="186" t="s">
        <v>334</v>
      </c>
      <c r="B333" s="186" t="s">
        <v>308</v>
      </c>
      <c r="C333" s="186" t="s">
        <v>309</v>
      </c>
      <c r="D333" s="186" t="s">
        <v>69</v>
      </c>
      <c r="E333" s="279">
        <v>106119000</v>
      </c>
      <c r="F333" s="279">
        <v>106119000</v>
      </c>
      <c r="G333" s="279">
        <v>106119000</v>
      </c>
      <c r="H333" s="279">
        <v>0</v>
      </c>
      <c r="I333" s="279">
        <v>23422974.120000001</v>
      </c>
      <c r="J333" s="279">
        <v>0</v>
      </c>
      <c r="K333" s="592">
        <v>14797925</v>
      </c>
      <c r="L333" s="279">
        <v>14797925</v>
      </c>
      <c r="M333" s="279">
        <v>67898100.879999995</v>
      </c>
      <c r="N333" s="279">
        <v>67898100.879999995</v>
      </c>
    </row>
    <row r="334" spans="1:14" x14ac:dyDescent="0.25">
      <c r="A334" s="186" t="s">
        <v>334</v>
      </c>
      <c r="B334" s="186" t="s">
        <v>136</v>
      </c>
      <c r="C334" s="186" t="s">
        <v>137</v>
      </c>
      <c r="D334" s="186" t="s">
        <v>69</v>
      </c>
      <c r="E334" s="279">
        <v>126000000</v>
      </c>
      <c r="F334" s="279">
        <v>120000000</v>
      </c>
      <c r="G334" s="279">
        <v>120000000</v>
      </c>
      <c r="H334" s="279">
        <v>0</v>
      </c>
      <c r="I334" s="279">
        <v>18192035.09</v>
      </c>
      <c r="J334" s="279">
        <v>0</v>
      </c>
      <c r="K334" s="592">
        <v>44935165.090000004</v>
      </c>
      <c r="L334" s="279">
        <v>44935165.090000004</v>
      </c>
      <c r="M334" s="279">
        <v>56872799.82</v>
      </c>
      <c r="N334" s="279">
        <v>56872799.82</v>
      </c>
    </row>
    <row r="335" spans="1:14" x14ac:dyDescent="0.25">
      <c r="A335" s="186" t="s">
        <v>334</v>
      </c>
      <c r="B335" s="186" t="s">
        <v>138</v>
      </c>
      <c r="C335" s="186" t="s">
        <v>139</v>
      </c>
      <c r="D335" s="186" t="s">
        <v>69</v>
      </c>
      <c r="E335" s="279">
        <v>56562860</v>
      </c>
      <c r="F335" s="279">
        <v>56562860</v>
      </c>
      <c r="G335" s="279">
        <v>56562859.93</v>
      </c>
      <c r="H335" s="279">
        <v>0</v>
      </c>
      <c r="I335" s="279">
        <v>2819430.07</v>
      </c>
      <c r="J335" s="279">
        <v>0</v>
      </c>
      <c r="K335" s="592">
        <v>9568533.9000000004</v>
      </c>
      <c r="L335" s="279">
        <v>9568533.9000000004</v>
      </c>
      <c r="M335" s="279">
        <v>44174896.030000001</v>
      </c>
      <c r="N335" s="279">
        <v>44174895.960000001</v>
      </c>
    </row>
    <row r="336" spans="1:14" x14ac:dyDescent="0.25">
      <c r="A336" s="186" t="s">
        <v>334</v>
      </c>
      <c r="B336" s="186" t="s">
        <v>140</v>
      </c>
      <c r="C336" s="186" t="s">
        <v>141</v>
      </c>
      <c r="D336" s="186" t="s">
        <v>69</v>
      </c>
      <c r="E336" s="279">
        <v>128523280</v>
      </c>
      <c r="F336" s="279">
        <v>128523280</v>
      </c>
      <c r="G336" s="279">
        <v>102149794.02</v>
      </c>
      <c r="H336" s="279">
        <v>737200</v>
      </c>
      <c r="I336" s="279">
        <v>25111565</v>
      </c>
      <c r="J336" s="279">
        <v>0</v>
      </c>
      <c r="K336" s="592">
        <v>56747845</v>
      </c>
      <c r="L336" s="279">
        <v>56414555</v>
      </c>
      <c r="M336" s="279">
        <v>45926670</v>
      </c>
      <c r="N336" s="279">
        <v>19553184.02</v>
      </c>
    </row>
    <row r="337" spans="1:14" x14ac:dyDescent="0.25">
      <c r="A337" s="186" t="s">
        <v>334</v>
      </c>
      <c r="B337" s="186" t="s">
        <v>142</v>
      </c>
      <c r="C337" s="186" t="s">
        <v>143</v>
      </c>
      <c r="D337" s="186" t="s">
        <v>69</v>
      </c>
      <c r="E337" s="279">
        <v>4829000</v>
      </c>
      <c r="F337" s="279">
        <v>4829000</v>
      </c>
      <c r="G337" s="279">
        <v>4829000</v>
      </c>
      <c r="H337" s="279">
        <v>0</v>
      </c>
      <c r="I337" s="279">
        <v>891625</v>
      </c>
      <c r="J337" s="279">
        <v>0</v>
      </c>
      <c r="K337" s="592">
        <v>1835040</v>
      </c>
      <c r="L337" s="279">
        <v>1820700</v>
      </c>
      <c r="M337" s="279">
        <v>2102335</v>
      </c>
      <c r="N337" s="279">
        <v>2102335</v>
      </c>
    </row>
    <row r="338" spans="1:14" x14ac:dyDescent="0.25">
      <c r="A338" s="186" t="s">
        <v>334</v>
      </c>
      <c r="B338" s="186" t="s">
        <v>144</v>
      </c>
      <c r="C338" s="186" t="s">
        <v>145</v>
      </c>
      <c r="D338" s="186" t="s">
        <v>69</v>
      </c>
      <c r="E338" s="279">
        <v>119154137</v>
      </c>
      <c r="F338" s="279">
        <v>119154137</v>
      </c>
      <c r="G338" s="279">
        <v>92780651.269999996</v>
      </c>
      <c r="H338" s="279">
        <v>737200</v>
      </c>
      <c r="I338" s="279">
        <v>24219940</v>
      </c>
      <c r="J338" s="279">
        <v>0</v>
      </c>
      <c r="K338" s="592">
        <v>54912805</v>
      </c>
      <c r="L338" s="279">
        <v>54593855</v>
      </c>
      <c r="M338" s="279">
        <v>39284192</v>
      </c>
      <c r="N338" s="279">
        <v>12910706.27</v>
      </c>
    </row>
    <row r="339" spans="1:14" x14ac:dyDescent="0.25">
      <c r="A339" s="186" t="s">
        <v>334</v>
      </c>
      <c r="B339" s="186" t="s">
        <v>146</v>
      </c>
      <c r="C339" s="186" t="s">
        <v>147</v>
      </c>
      <c r="D339" s="186" t="s">
        <v>69</v>
      </c>
      <c r="E339" s="279">
        <v>2851000</v>
      </c>
      <c r="F339" s="279">
        <v>2851000</v>
      </c>
      <c r="G339" s="279">
        <v>2851000</v>
      </c>
      <c r="H339" s="279">
        <v>0</v>
      </c>
      <c r="I339" s="279">
        <v>0</v>
      </c>
      <c r="J339" s="279">
        <v>0</v>
      </c>
      <c r="K339" s="592">
        <v>0</v>
      </c>
      <c r="L339" s="279">
        <v>0</v>
      </c>
      <c r="M339" s="279">
        <v>2851000</v>
      </c>
      <c r="N339" s="279">
        <v>2851000</v>
      </c>
    </row>
    <row r="340" spans="1:14" x14ac:dyDescent="0.25">
      <c r="A340" s="186" t="s">
        <v>334</v>
      </c>
      <c r="B340" s="186" t="s">
        <v>148</v>
      </c>
      <c r="C340" s="186" t="s">
        <v>149</v>
      </c>
      <c r="D340" s="186" t="s">
        <v>69</v>
      </c>
      <c r="E340" s="279">
        <v>1689143</v>
      </c>
      <c r="F340" s="279">
        <v>1689143</v>
      </c>
      <c r="G340" s="279">
        <v>1689142.75</v>
      </c>
      <c r="H340" s="279">
        <v>0</v>
      </c>
      <c r="I340" s="279">
        <v>0</v>
      </c>
      <c r="J340" s="279">
        <v>0</v>
      </c>
      <c r="K340" s="592">
        <v>0</v>
      </c>
      <c r="L340" s="279">
        <v>0</v>
      </c>
      <c r="M340" s="279">
        <v>1689143</v>
      </c>
      <c r="N340" s="279">
        <v>1689142.75</v>
      </c>
    </row>
    <row r="341" spans="1:14" x14ac:dyDescent="0.25">
      <c r="A341" s="186" t="s">
        <v>334</v>
      </c>
      <c r="B341" s="186" t="s">
        <v>150</v>
      </c>
      <c r="C341" s="186" t="s">
        <v>151</v>
      </c>
      <c r="D341" s="186" t="s">
        <v>69</v>
      </c>
      <c r="E341" s="279">
        <v>1290997262</v>
      </c>
      <c r="F341" s="279">
        <v>1244459372.29</v>
      </c>
      <c r="G341" s="279">
        <v>507929108.79000002</v>
      </c>
      <c r="H341" s="279">
        <v>0</v>
      </c>
      <c r="I341" s="279">
        <v>355898853.39999998</v>
      </c>
      <c r="J341" s="279">
        <v>0</v>
      </c>
      <c r="K341" s="592">
        <v>112496187.59999999</v>
      </c>
      <c r="L341" s="279">
        <v>112496187.59999999</v>
      </c>
      <c r="M341" s="279">
        <v>776064331.28999996</v>
      </c>
      <c r="N341" s="279">
        <v>39534067.789999999</v>
      </c>
    </row>
    <row r="342" spans="1:14" x14ac:dyDescent="0.25">
      <c r="A342" s="186" t="s">
        <v>334</v>
      </c>
      <c r="B342" s="186" t="s">
        <v>152</v>
      </c>
      <c r="C342" s="186" t="s">
        <v>153</v>
      </c>
      <c r="D342" s="186" t="s">
        <v>69</v>
      </c>
      <c r="E342" s="279">
        <v>1290997262</v>
      </c>
      <c r="F342" s="279">
        <v>1244459372.29</v>
      </c>
      <c r="G342" s="279">
        <v>507929108.79000002</v>
      </c>
      <c r="H342" s="279">
        <v>0</v>
      </c>
      <c r="I342" s="279">
        <v>355898853.39999998</v>
      </c>
      <c r="J342" s="279">
        <v>0</v>
      </c>
      <c r="K342" s="592">
        <v>112496187.59999999</v>
      </c>
      <c r="L342" s="279">
        <v>112496187.59999999</v>
      </c>
      <c r="M342" s="279">
        <v>776064331.28999996</v>
      </c>
      <c r="N342" s="279">
        <v>39534067.789999999</v>
      </c>
    </row>
    <row r="343" spans="1:14" x14ac:dyDescent="0.25">
      <c r="A343" s="186" t="s">
        <v>334</v>
      </c>
      <c r="B343" s="186" t="s">
        <v>154</v>
      </c>
      <c r="C343" s="186" t="s">
        <v>155</v>
      </c>
      <c r="D343" s="186" t="s">
        <v>69</v>
      </c>
      <c r="E343" s="279">
        <v>1413715</v>
      </c>
      <c r="F343" s="279">
        <v>1413715</v>
      </c>
      <c r="G343" s="279">
        <v>1413714.75</v>
      </c>
      <c r="H343" s="279">
        <v>0</v>
      </c>
      <c r="I343" s="279">
        <v>670000</v>
      </c>
      <c r="J343" s="279">
        <v>0</v>
      </c>
      <c r="K343" s="592">
        <v>0</v>
      </c>
      <c r="L343" s="279">
        <v>0</v>
      </c>
      <c r="M343" s="279">
        <v>743715</v>
      </c>
      <c r="N343" s="279">
        <v>743714.75</v>
      </c>
    </row>
    <row r="344" spans="1:14" x14ac:dyDescent="0.25">
      <c r="A344" s="186" t="s">
        <v>334</v>
      </c>
      <c r="B344" s="186" t="s">
        <v>156</v>
      </c>
      <c r="C344" s="186" t="s">
        <v>157</v>
      </c>
      <c r="D344" s="186" t="s">
        <v>69</v>
      </c>
      <c r="E344" s="279">
        <v>1413715</v>
      </c>
      <c r="F344" s="279">
        <v>1413715</v>
      </c>
      <c r="G344" s="279">
        <v>1413714.75</v>
      </c>
      <c r="H344" s="279">
        <v>0</v>
      </c>
      <c r="I344" s="279">
        <v>670000</v>
      </c>
      <c r="J344" s="279">
        <v>0</v>
      </c>
      <c r="K344" s="592">
        <v>0</v>
      </c>
      <c r="L344" s="279">
        <v>0</v>
      </c>
      <c r="M344" s="279">
        <v>743715</v>
      </c>
      <c r="N344" s="279">
        <v>743714.75</v>
      </c>
    </row>
    <row r="345" spans="1:14" x14ac:dyDescent="0.25">
      <c r="A345" s="186" t="s">
        <v>334</v>
      </c>
      <c r="B345" s="186" t="s">
        <v>162</v>
      </c>
      <c r="C345" s="186" t="s">
        <v>163</v>
      </c>
      <c r="D345" s="186" t="s">
        <v>69</v>
      </c>
      <c r="E345" s="279">
        <v>594069615</v>
      </c>
      <c r="F345" s="279">
        <v>600069615</v>
      </c>
      <c r="G345" s="279">
        <v>600069614.54999995</v>
      </c>
      <c r="H345" s="279">
        <v>110000</v>
      </c>
      <c r="I345" s="279">
        <v>128928023.98999999</v>
      </c>
      <c r="J345" s="279">
        <v>598500</v>
      </c>
      <c r="K345" s="592">
        <v>240659368.44999999</v>
      </c>
      <c r="L345" s="279">
        <v>218698399.66</v>
      </c>
      <c r="M345" s="279">
        <v>229773722.56</v>
      </c>
      <c r="N345" s="279">
        <v>229773722.11000001</v>
      </c>
    </row>
    <row r="346" spans="1:14" x14ac:dyDescent="0.25">
      <c r="A346" s="186" t="s">
        <v>334</v>
      </c>
      <c r="B346" s="186" t="s">
        <v>310</v>
      </c>
      <c r="C346" s="186" t="s">
        <v>311</v>
      </c>
      <c r="D346" s="186" t="s">
        <v>69</v>
      </c>
      <c r="E346" s="279">
        <v>125656000</v>
      </c>
      <c r="F346" s="279">
        <v>125656000</v>
      </c>
      <c r="G346" s="279">
        <v>125656000</v>
      </c>
      <c r="H346" s="279">
        <v>110000</v>
      </c>
      <c r="I346" s="279">
        <v>0</v>
      </c>
      <c r="J346" s="279">
        <v>0</v>
      </c>
      <c r="K346" s="592">
        <v>13349017</v>
      </c>
      <c r="L346" s="279">
        <v>13349017</v>
      </c>
      <c r="M346" s="279">
        <v>112196983</v>
      </c>
      <c r="N346" s="279">
        <v>112196983</v>
      </c>
    </row>
    <row r="347" spans="1:14" x14ac:dyDescent="0.25">
      <c r="A347" s="186" t="s">
        <v>334</v>
      </c>
      <c r="B347" s="186" t="s">
        <v>164</v>
      </c>
      <c r="C347" s="186" t="s">
        <v>165</v>
      </c>
      <c r="D347" s="186" t="s">
        <v>69</v>
      </c>
      <c r="E347" s="279">
        <v>188229817</v>
      </c>
      <c r="F347" s="279">
        <v>188229817</v>
      </c>
      <c r="G347" s="279">
        <v>188229817</v>
      </c>
      <c r="H347" s="279">
        <v>0</v>
      </c>
      <c r="I347" s="279">
        <v>28687434.780000001</v>
      </c>
      <c r="J347" s="279">
        <v>0</v>
      </c>
      <c r="K347" s="592">
        <v>146682113.24000001</v>
      </c>
      <c r="L347" s="279">
        <v>146682113.24000001</v>
      </c>
      <c r="M347" s="279">
        <v>12860268.98</v>
      </c>
      <c r="N347" s="279">
        <v>12860268.98</v>
      </c>
    </row>
    <row r="348" spans="1:14" x14ac:dyDescent="0.25">
      <c r="A348" s="186" t="s">
        <v>334</v>
      </c>
      <c r="B348" s="186" t="s">
        <v>166</v>
      </c>
      <c r="C348" s="186" t="s">
        <v>167</v>
      </c>
      <c r="D348" s="186" t="s">
        <v>69</v>
      </c>
      <c r="E348" s="279">
        <v>95028648</v>
      </c>
      <c r="F348" s="279">
        <v>95028648</v>
      </c>
      <c r="G348" s="279">
        <v>95028648</v>
      </c>
      <c r="H348" s="279">
        <v>0</v>
      </c>
      <c r="I348" s="279">
        <v>38281958.060000002</v>
      </c>
      <c r="J348" s="279">
        <v>598500</v>
      </c>
      <c r="K348" s="592">
        <v>35681259</v>
      </c>
      <c r="L348" s="279">
        <v>30550443.32</v>
      </c>
      <c r="M348" s="279">
        <v>20466930.940000001</v>
      </c>
      <c r="N348" s="279">
        <v>20466930.940000001</v>
      </c>
    </row>
    <row r="349" spans="1:14" x14ac:dyDescent="0.25">
      <c r="A349" s="186" t="s">
        <v>334</v>
      </c>
      <c r="B349" s="186" t="s">
        <v>312</v>
      </c>
      <c r="C349" s="186" t="s">
        <v>313</v>
      </c>
      <c r="D349" s="186" t="s">
        <v>69</v>
      </c>
      <c r="E349" s="279">
        <v>6300000</v>
      </c>
      <c r="F349" s="279">
        <v>6300000</v>
      </c>
      <c r="G349" s="279">
        <v>6300000</v>
      </c>
      <c r="H349" s="279">
        <v>0</v>
      </c>
      <c r="I349" s="279">
        <v>0</v>
      </c>
      <c r="J349" s="279">
        <v>0</v>
      </c>
      <c r="K349" s="592">
        <v>0</v>
      </c>
      <c r="L349" s="279">
        <v>0</v>
      </c>
      <c r="M349" s="279">
        <v>6300000</v>
      </c>
      <c r="N349" s="279">
        <v>6300000</v>
      </c>
    </row>
    <row r="350" spans="1:14" x14ac:dyDescent="0.25">
      <c r="A350" s="186" t="s">
        <v>334</v>
      </c>
      <c r="B350" s="186" t="s">
        <v>168</v>
      </c>
      <c r="C350" s="186" t="s">
        <v>169</v>
      </c>
      <c r="D350" s="186" t="s">
        <v>69</v>
      </c>
      <c r="E350" s="279">
        <v>11141667</v>
      </c>
      <c r="F350" s="279">
        <v>11141667</v>
      </c>
      <c r="G350" s="279">
        <v>11141666.75</v>
      </c>
      <c r="H350" s="279">
        <v>0</v>
      </c>
      <c r="I350" s="279">
        <v>2816848.96</v>
      </c>
      <c r="J350" s="279">
        <v>0</v>
      </c>
      <c r="K350" s="592">
        <v>3564000</v>
      </c>
      <c r="L350" s="279">
        <v>3564000</v>
      </c>
      <c r="M350" s="279">
        <v>4760818.04</v>
      </c>
      <c r="N350" s="279">
        <v>4760817.79</v>
      </c>
    </row>
    <row r="351" spans="1:14" x14ac:dyDescent="0.25">
      <c r="A351" s="186" t="s">
        <v>334</v>
      </c>
      <c r="B351" s="186" t="s">
        <v>170</v>
      </c>
      <c r="C351" s="186" t="s">
        <v>171</v>
      </c>
      <c r="D351" s="186" t="s">
        <v>69</v>
      </c>
      <c r="E351" s="279">
        <v>40562000</v>
      </c>
      <c r="F351" s="279">
        <v>40562000</v>
      </c>
      <c r="G351" s="279">
        <v>40562000</v>
      </c>
      <c r="H351" s="279">
        <v>0</v>
      </c>
      <c r="I351" s="279">
        <v>16445854.75</v>
      </c>
      <c r="J351" s="279">
        <v>0</v>
      </c>
      <c r="K351" s="592">
        <v>4602212.9800000004</v>
      </c>
      <c r="L351" s="279">
        <v>4602212.9800000004</v>
      </c>
      <c r="M351" s="279">
        <v>19513932.27</v>
      </c>
      <c r="N351" s="279">
        <v>19513932.27</v>
      </c>
    </row>
    <row r="352" spans="1:14" x14ac:dyDescent="0.25">
      <c r="A352" s="186" t="s">
        <v>334</v>
      </c>
      <c r="B352" s="186" t="s">
        <v>172</v>
      </c>
      <c r="C352" s="186" t="s">
        <v>173</v>
      </c>
      <c r="D352" s="186" t="s">
        <v>69</v>
      </c>
      <c r="E352" s="279">
        <v>127151483</v>
      </c>
      <c r="F352" s="279">
        <v>133151483</v>
      </c>
      <c r="G352" s="279">
        <v>133151482.8</v>
      </c>
      <c r="H352" s="279">
        <v>0</v>
      </c>
      <c r="I352" s="279">
        <v>42695927.439999998</v>
      </c>
      <c r="J352" s="279">
        <v>0</v>
      </c>
      <c r="K352" s="592">
        <v>36780766.229999997</v>
      </c>
      <c r="L352" s="279">
        <v>19950613.120000001</v>
      </c>
      <c r="M352" s="279">
        <v>53674789.329999998</v>
      </c>
      <c r="N352" s="279">
        <v>53674789.130000003</v>
      </c>
    </row>
    <row r="353" spans="1:14" x14ac:dyDescent="0.25">
      <c r="A353" s="186" t="s">
        <v>334</v>
      </c>
      <c r="B353" s="186" t="s">
        <v>174</v>
      </c>
      <c r="C353" s="186" t="s">
        <v>175</v>
      </c>
      <c r="D353" s="186" t="s">
        <v>69</v>
      </c>
      <c r="E353" s="279">
        <v>11126154</v>
      </c>
      <c r="F353" s="279">
        <v>11126154</v>
      </c>
      <c r="G353" s="279">
        <v>11126153.5</v>
      </c>
      <c r="H353" s="279">
        <v>0</v>
      </c>
      <c r="I353" s="279">
        <v>1413881</v>
      </c>
      <c r="J353" s="279">
        <v>0</v>
      </c>
      <c r="K353" s="592">
        <v>397220</v>
      </c>
      <c r="L353" s="279">
        <v>379887</v>
      </c>
      <c r="M353" s="279">
        <v>9315053</v>
      </c>
      <c r="N353" s="279">
        <v>9315052.5</v>
      </c>
    </row>
    <row r="354" spans="1:14" x14ac:dyDescent="0.25">
      <c r="A354" s="186" t="s">
        <v>334</v>
      </c>
      <c r="B354" s="186" t="s">
        <v>176</v>
      </c>
      <c r="C354" s="186" t="s">
        <v>177</v>
      </c>
      <c r="D354" s="186" t="s">
        <v>69</v>
      </c>
      <c r="E354" s="279">
        <v>11126154</v>
      </c>
      <c r="F354" s="279">
        <v>11126154</v>
      </c>
      <c r="G354" s="279">
        <v>11126153.5</v>
      </c>
      <c r="H354" s="279">
        <v>0</v>
      </c>
      <c r="I354" s="279">
        <v>1413881</v>
      </c>
      <c r="J354" s="279">
        <v>0</v>
      </c>
      <c r="K354" s="592">
        <v>397220</v>
      </c>
      <c r="L354" s="279">
        <v>379887</v>
      </c>
      <c r="M354" s="279">
        <v>9315053</v>
      </c>
      <c r="N354" s="279">
        <v>9315052.5</v>
      </c>
    </row>
    <row r="355" spans="1:14" x14ac:dyDescent="0.25">
      <c r="A355" s="186" t="s">
        <v>334</v>
      </c>
      <c r="B355" s="186" t="s">
        <v>178</v>
      </c>
      <c r="C355" s="186" t="s">
        <v>179</v>
      </c>
      <c r="D355" s="186" t="s">
        <v>69</v>
      </c>
      <c r="E355" s="279">
        <v>18666301</v>
      </c>
      <c r="F355" s="279">
        <v>65204190.710000001</v>
      </c>
      <c r="G355" s="279">
        <v>58011948.960000001</v>
      </c>
      <c r="H355" s="279">
        <v>0</v>
      </c>
      <c r="I355" s="279">
        <v>14531110.289999999</v>
      </c>
      <c r="J355" s="279">
        <v>0</v>
      </c>
      <c r="K355" s="592">
        <v>6357165.9199999999</v>
      </c>
      <c r="L355" s="279">
        <v>6357165.9199999999</v>
      </c>
      <c r="M355" s="279">
        <v>44315914.5</v>
      </c>
      <c r="N355" s="279">
        <v>37123672.75</v>
      </c>
    </row>
    <row r="356" spans="1:14" x14ac:dyDescent="0.25">
      <c r="A356" s="186" t="s">
        <v>334</v>
      </c>
      <c r="B356" s="186" t="s">
        <v>348</v>
      </c>
      <c r="C356" s="186" t="s">
        <v>349</v>
      </c>
      <c r="D356" s="186" t="s">
        <v>69</v>
      </c>
      <c r="E356" s="279">
        <v>3000000</v>
      </c>
      <c r="F356" s="279">
        <v>3000000</v>
      </c>
      <c r="G356" s="279">
        <v>3000000</v>
      </c>
      <c r="H356" s="279">
        <v>0</v>
      </c>
      <c r="I356" s="279">
        <v>578435.56000000006</v>
      </c>
      <c r="J356" s="279">
        <v>0</v>
      </c>
      <c r="K356" s="592">
        <v>2421563.65</v>
      </c>
      <c r="L356" s="279">
        <v>2421563.65</v>
      </c>
      <c r="M356" s="279">
        <v>0.79</v>
      </c>
      <c r="N356" s="279">
        <v>0.79</v>
      </c>
    </row>
    <row r="357" spans="1:14" x14ac:dyDescent="0.25">
      <c r="A357" s="186" t="s">
        <v>334</v>
      </c>
      <c r="B357" s="186" t="s">
        <v>180</v>
      </c>
      <c r="C357" s="186" t="s">
        <v>181</v>
      </c>
      <c r="D357" s="186" t="s">
        <v>69</v>
      </c>
      <c r="E357" s="279">
        <v>1275676</v>
      </c>
      <c r="F357" s="279">
        <v>47166460.710000001</v>
      </c>
      <c r="G357" s="279">
        <v>39974219.710000001</v>
      </c>
      <c r="H357" s="279">
        <v>0</v>
      </c>
      <c r="I357" s="279">
        <v>2078700.48</v>
      </c>
      <c r="J357" s="279">
        <v>0</v>
      </c>
      <c r="K357" s="592">
        <v>771847.27</v>
      </c>
      <c r="L357" s="279">
        <v>771847.27</v>
      </c>
      <c r="M357" s="279">
        <v>44315912.960000001</v>
      </c>
      <c r="N357" s="279">
        <v>37123671.960000001</v>
      </c>
    </row>
    <row r="358" spans="1:14" x14ac:dyDescent="0.25">
      <c r="A358" s="186" t="s">
        <v>334</v>
      </c>
      <c r="B358" s="186" t="s">
        <v>182</v>
      </c>
      <c r="C358" s="186" t="s">
        <v>183</v>
      </c>
      <c r="D358" s="186" t="s">
        <v>69</v>
      </c>
      <c r="E358" s="279">
        <v>14390625</v>
      </c>
      <c r="F358" s="279">
        <v>15037730</v>
      </c>
      <c r="G358" s="279">
        <v>15037729.25</v>
      </c>
      <c r="H358" s="279">
        <v>0</v>
      </c>
      <c r="I358" s="279">
        <v>11873974.25</v>
      </c>
      <c r="J358" s="279">
        <v>0</v>
      </c>
      <c r="K358" s="592">
        <v>3163755</v>
      </c>
      <c r="L358" s="279">
        <v>3163755</v>
      </c>
      <c r="M358" s="279">
        <v>0.75</v>
      </c>
      <c r="N358" s="279">
        <v>0</v>
      </c>
    </row>
    <row r="359" spans="1:14" x14ac:dyDescent="0.25">
      <c r="A359" s="186" t="s">
        <v>334</v>
      </c>
      <c r="B359" s="186" t="s">
        <v>184</v>
      </c>
      <c r="C359" s="186" t="s">
        <v>185</v>
      </c>
      <c r="D359" s="186" t="s">
        <v>69</v>
      </c>
      <c r="E359" s="279">
        <v>14015826994</v>
      </c>
      <c r="F359" s="279">
        <v>14015826994</v>
      </c>
      <c r="G359" s="279">
        <v>11272645492.5</v>
      </c>
      <c r="H359" s="279">
        <v>193135478.58000001</v>
      </c>
      <c r="I359" s="279">
        <v>1992173231.4300001</v>
      </c>
      <c r="J359" s="279">
        <v>474612826.99000001</v>
      </c>
      <c r="K359" s="592">
        <v>6906653209.8900003</v>
      </c>
      <c r="L359" s="279">
        <v>6884622166.5600004</v>
      </c>
      <c r="M359" s="279">
        <v>4449252247.1099997</v>
      </c>
      <c r="N359" s="279">
        <v>1706070745.6099999</v>
      </c>
    </row>
    <row r="360" spans="1:14" x14ac:dyDescent="0.25">
      <c r="A360" s="186" t="s">
        <v>334</v>
      </c>
      <c r="B360" s="186" t="s">
        <v>186</v>
      </c>
      <c r="C360" s="186" t="s">
        <v>187</v>
      </c>
      <c r="D360" s="186" t="s">
        <v>69</v>
      </c>
      <c r="E360" s="279">
        <v>777682724</v>
      </c>
      <c r="F360" s="279">
        <v>777682724</v>
      </c>
      <c r="G360" s="279">
        <v>777682724</v>
      </c>
      <c r="H360" s="279">
        <v>32405400</v>
      </c>
      <c r="I360" s="279">
        <v>98714663.060000002</v>
      </c>
      <c r="J360" s="279">
        <v>5773591.04</v>
      </c>
      <c r="K360" s="592">
        <v>457331570.56999999</v>
      </c>
      <c r="L360" s="279">
        <v>453024913.24000001</v>
      </c>
      <c r="M360" s="279">
        <v>183457499.33000001</v>
      </c>
      <c r="N360" s="279">
        <v>183457499.33000001</v>
      </c>
    </row>
    <row r="361" spans="1:14" x14ac:dyDescent="0.25">
      <c r="A361" s="186" t="s">
        <v>334</v>
      </c>
      <c r="B361" s="186" t="s">
        <v>188</v>
      </c>
      <c r="C361" s="186" t="s">
        <v>189</v>
      </c>
      <c r="D361" s="186" t="s">
        <v>69</v>
      </c>
      <c r="E361" s="279">
        <v>543016724</v>
      </c>
      <c r="F361" s="279">
        <v>543016724</v>
      </c>
      <c r="G361" s="279">
        <v>543016724</v>
      </c>
      <c r="H361" s="279">
        <v>0</v>
      </c>
      <c r="I361" s="279">
        <v>22272530.699999999</v>
      </c>
      <c r="J361" s="279">
        <v>5773591.04</v>
      </c>
      <c r="K361" s="592">
        <v>370037654.32999998</v>
      </c>
      <c r="L361" s="279">
        <v>365730997</v>
      </c>
      <c r="M361" s="279">
        <v>144932947.93000001</v>
      </c>
      <c r="N361" s="279">
        <v>144932947.93000001</v>
      </c>
    </row>
    <row r="362" spans="1:14" x14ac:dyDescent="0.25">
      <c r="A362" s="186" t="s">
        <v>334</v>
      </c>
      <c r="B362" s="186" t="s">
        <v>190</v>
      </c>
      <c r="C362" s="186" t="s">
        <v>191</v>
      </c>
      <c r="D362" s="186" t="s">
        <v>69</v>
      </c>
      <c r="E362" s="279">
        <v>195656000</v>
      </c>
      <c r="F362" s="279">
        <v>195656000</v>
      </c>
      <c r="G362" s="279">
        <v>195656000</v>
      </c>
      <c r="H362" s="279">
        <v>32405400</v>
      </c>
      <c r="I362" s="279">
        <v>74250000</v>
      </c>
      <c r="J362" s="279">
        <v>0</v>
      </c>
      <c r="K362" s="592">
        <v>74248900</v>
      </c>
      <c r="L362" s="279">
        <v>74248900</v>
      </c>
      <c r="M362" s="279">
        <v>14751700</v>
      </c>
      <c r="N362" s="279">
        <v>14751700</v>
      </c>
    </row>
    <row r="363" spans="1:14" x14ac:dyDescent="0.25">
      <c r="A363" s="186" t="s">
        <v>334</v>
      </c>
      <c r="B363" s="186" t="s">
        <v>350</v>
      </c>
      <c r="C363" s="186" t="s">
        <v>351</v>
      </c>
      <c r="D363" s="186" t="s">
        <v>69</v>
      </c>
      <c r="E363" s="279">
        <v>2674000</v>
      </c>
      <c r="F363" s="279">
        <v>2674000</v>
      </c>
      <c r="G363" s="279">
        <v>2674000</v>
      </c>
      <c r="H363" s="279">
        <v>0</v>
      </c>
      <c r="I363" s="279">
        <v>141746</v>
      </c>
      <c r="J363" s="279">
        <v>0</v>
      </c>
      <c r="K363" s="592">
        <v>77925</v>
      </c>
      <c r="L363" s="279">
        <v>77925</v>
      </c>
      <c r="M363" s="279">
        <v>2454329</v>
      </c>
      <c r="N363" s="279">
        <v>2454329</v>
      </c>
    </row>
    <row r="364" spans="1:14" x14ac:dyDescent="0.25">
      <c r="A364" s="186" t="s">
        <v>334</v>
      </c>
      <c r="B364" s="186" t="s">
        <v>192</v>
      </c>
      <c r="C364" s="186" t="s">
        <v>193</v>
      </c>
      <c r="D364" s="186" t="s">
        <v>69</v>
      </c>
      <c r="E364" s="279">
        <v>30373000</v>
      </c>
      <c r="F364" s="279">
        <v>30373000</v>
      </c>
      <c r="G364" s="279">
        <v>30373000</v>
      </c>
      <c r="H364" s="279">
        <v>0</v>
      </c>
      <c r="I364" s="279">
        <v>2050386.36</v>
      </c>
      <c r="J364" s="279">
        <v>0</v>
      </c>
      <c r="K364" s="592">
        <v>12967091.24</v>
      </c>
      <c r="L364" s="279">
        <v>12967091.24</v>
      </c>
      <c r="M364" s="279">
        <v>15355522.4</v>
      </c>
      <c r="N364" s="279">
        <v>15355522.4</v>
      </c>
    </row>
    <row r="365" spans="1:14" x14ac:dyDescent="0.25">
      <c r="A365" s="186" t="s">
        <v>334</v>
      </c>
      <c r="B365" s="186" t="s">
        <v>194</v>
      </c>
      <c r="C365" s="186" t="s">
        <v>195</v>
      </c>
      <c r="D365" s="186" t="s">
        <v>69</v>
      </c>
      <c r="E365" s="279">
        <v>5963000</v>
      </c>
      <c r="F365" s="279">
        <v>5963000</v>
      </c>
      <c r="G365" s="279">
        <v>5963000</v>
      </c>
      <c r="H365" s="279">
        <v>0</v>
      </c>
      <c r="I365" s="279">
        <v>0</v>
      </c>
      <c r="J365" s="279">
        <v>0</v>
      </c>
      <c r="K365" s="592">
        <v>0</v>
      </c>
      <c r="L365" s="279">
        <v>0</v>
      </c>
      <c r="M365" s="279">
        <v>5963000</v>
      </c>
      <c r="N365" s="279">
        <v>5963000</v>
      </c>
    </row>
    <row r="366" spans="1:14" x14ac:dyDescent="0.25">
      <c r="A366" s="186" t="s">
        <v>334</v>
      </c>
      <c r="B366" s="186" t="s">
        <v>196</v>
      </c>
      <c r="C366" s="186" t="s">
        <v>197</v>
      </c>
      <c r="D366" s="186" t="s">
        <v>69</v>
      </c>
      <c r="E366" s="279">
        <v>10984366500</v>
      </c>
      <c r="F366" s="279">
        <v>10984366500</v>
      </c>
      <c r="G366" s="279">
        <v>8241185000</v>
      </c>
      <c r="H366" s="279">
        <v>0</v>
      </c>
      <c r="I366" s="279">
        <v>1343212639.97</v>
      </c>
      <c r="J366" s="279">
        <v>447896867.31</v>
      </c>
      <c r="K366" s="592">
        <v>5543302532.2399998</v>
      </c>
      <c r="L366" s="279">
        <v>5536280736.2399998</v>
      </c>
      <c r="M366" s="279">
        <v>3649954460.48</v>
      </c>
      <c r="N366" s="279">
        <v>906772960.48000002</v>
      </c>
    </row>
    <row r="367" spans="1:14" x14ac:dyDescent="0.25">
      <c r="A367" s="186" t="s">
        <v>334</v>
      </c>
      <c r="B367" s="186" t="s">
        <v>198</v>
      </c>
      <c r="C367" s="186" t="s">
        <v>199</v>
      </c>
      <c r="D367" s="186" t="s">
        <v>69</v>
      </c>
      <c r="E367" s="279">
        <v>10972726000</v>
      </c>
      <c r="F367" s="279">
        <v>10972726000</v>
      </c>
      <c r="G367" s="279">
        <v>8229544500</v>
      </c>
      <c r="H367" s="279">
        <v>0</v>
      </c>
      <c r="I367" s="279">
        <v>1340985139.97</v>
      </c>
      <c r="J367" s="279">
        <v>447896867.31</v>
      </c>
      <c r="K367" s="592">
        <v>5539710032.2399998</v>
      </c>
      <c r="L367" s="279">
        <v>5532688236.2399998</v>
      </c>
      <c r="M367" s="279">
        <v>3644133960.48</v>
      </c>
      <c r="N367" s="279">
        <v>900952460.48000002</v>
      </c>
    </row>
    <row r="368" spans="1:14" x14ac:dyDescent="0.25">
      <c r="A368" s="186" t="s">
        <v>334</v>
      </c>
      <c r="B368" s="186" t="s">
        <v>352</v>
      </c>
      <c r="C368" s="186" t="s">
        <v>353</v>
      </c>
      <c r="D368" s="186" t="s">
        <v>69</v>
      </c>
      <c r="E368" s="279">
        <v>11640500</v>
      </c>
      <c r="F368" s="279">
        <v>11640500</v>
      </c>
      <c r="G368" s="279">
        <v>11640500</v>
      </c>
      <c r="H368" s="279">
        <v>0</v>
      </c>
      <c r="I368" s="279">
        <v>2227500</v>
      </c>
      <c r="J368" s="279">
        <v>0</v>
      </c>
      <c r="K368" s="592">
        <v>3592500</v>
      </c>
      <c r="L368" s="279">
        <v>3592500</v>
      </c>
      <c r="M368" s="279">
        <v>5820500</v>
      </c>
      <c r="N368" s="279">
        <v>5820500</v>
      </c>
    </row>
    <row r="369" spans="1:14" x14ac:dyDescent="0.25">
      <c r="A369" s="186" t="s">
        <v>334</v>
      </c>
      <c r="B369" s="186" t="s">
        <v>200</v>
      </c>
      <c r="C369" s="186" t="s">
        <v>201</v>
      </c>
      <c r="D369" s="186" t="s">
        <v>69</v>
      </c>
      <c r="E369" s="279">
        <v>446867786</v>
      </c>
      <c r="F369" s="279">
        <v>442289969</v>
      </c>
      <c r="G369" s="279">
        <v>442289968.5</v>
      </c>
      <c r="H369" s="279">
        <v>95618820.540000007</v>
      </c>
      <c r="I369" s="279">
        <v>49057825.25</v>
      </c>
      <c r="J369" s="279">
        <v>10812030</v>
      </c>
      <c r="K369" s="592">
        <v>106124203.86</v>
      </c>
      <c r="L369" s="279">
        <v>106124203.86</v>
      </c>
      <c r="M369" s="279">
        <v>180677089.34999999</v>
      </c>
      <c r="N369" s="279">
        <v>180677088.84999999</v>
      </c>
    </row>
    <row r="370" spans="1:14" x14ac:dyDescent="0.25">
      <c r="A370" s="186" t="s">
        <v>334</v>
      </c>
      <c r="B370" s="186" t="s">
        <v>314</v>
      </c>
      <c r="C370" s="186" t="s">
        <v>315</v>
      </c>
      <c r="D370" s="186" t="s">
        <v>69</v>
      </c>
      <c r="E370" s="279">
        <v>122902000</v>
      </c>
      <c r="F370" s="279">
        <v>122902000</v>
      </c>
      <c r="G370" s="279">
        <v>122902000</v>
      </c>
      <c r="H370" s="279">
        <v>33241837.199999999</v>
      </c>
      <c r="I370" s="279">
        <v>19893424</v>
      </c>
      <c r="J370" s="279">
        <v>0</v>
      </c>
      <c r="K370" s="592">
        <v>8371052.8099999996</v>
      </c>
      <c r="L370" s="279">
        <v>8371052.8099999996</v>
      </c>
      <c r="M370" s="279">
        <v>61395685.990000002</v>
      </c>
      <c r="N370" s="279">
        <v>61395685.990000002</v>
      </c>
    </row>
    <row r="371" spans="1:14" x14ac:dyDescent="0.25">
      <c r="A371" s="186" t="s">
        <v>334</v>
      </c>
      <c r="B371" s="186" t="s">
        <v>316</v>
      </c>
      <c r="C371" s="186" t="s">
        <v>317</v>
      </c>
      <c r="D371" s="186" t="s">
        <v>69</v>
      </c>
      <c r="E371" s="279">
        <v>50168000</v>
      </c>
      <c r="F371" s="279">
        <v>50168000</v>
      </c>
      <c r="G371" s="279">
        <v>50168000</v>
      </c>
      <c r="H371" s="279">
        <v>9998800</v>
      </c>
      <c r="I371" s="279">
        <v>0</v>
      </c>
      <c r="J371" s="279">
        <v>0</v>
      </c>
      <c r="K371" s="592">
        <v>3935643</v>
      </c>
      <c r="L371" s="279">
        <v>3935643</v>
      </c>
      <c r="M371" s="279">
        <v>36233557</v>
      </c>
      <c r="N371" s="279">
        <v>36233557</v>
      </c>
    </row>
    <row r="372" spans="1:14" x14ac:dyDescent="0.25">
      <c r="A372" s="186" t="s">
        <v>334</v>
      </c>
      <c r="B372" s="186" t="s">
        <v>318</v>
      </c>
      <c r="C372" s="186" t="s">
        <v>319</v>
      </c>
      <c r="D372" s="186" t="s">
        <v>69</v>
      </c>
      <c r="E372" s="279">
        <v>89195672</v>
      </c>
      <c r="F372" s="279">
        <v>89195672</v>
      </c>
      <c r="G372" s="279">
        <v>89195672</v>
      </c>
      <c r="H372" s="279">
        <v>0</v>
      </c>
      <c r="I372" s="279">
        <v>12996610</v>
      </c>
      <c r="J372" s="279">
        <v>0</v>
      </c>
      <c r="K372" s="592">
        <v>53066598</v>
      </c>
      <c r="L372" s="279">
        <v>53066598</v>
      </c>
      <c r="M372" s="279">
        <v>23132464</v>
      </c>
      <c r="N372" s="279">
        <v>23132464</v>
      </c>
    </row>
    <row r="373" spans="1:14" x14ac:dyDescent="0.25">
      <c r="A373" s="186" t="s">
        <v>334</v>
      </c>
      <c r="B373" s="186" t="s">
        <v>202</v>
      </c>
      <c r="C373" s="186" t="s">
        <v>203</v>
      </c>
      <c r="D373" s="186" t="s">
        <v>69</v>
      </c>
      <c r="E373" s="279">
        <v>90316000</v>
      </c>
      <c r="F373" s="279">
        <v>90316000</v>
      </c>
      <c r="G373" s="279">
        <v>90316000</v>
      </c>
      <c r="H373" s="279">
        <v>27110089</v>
      </c>
      <c r="I373" s="279">
        <v>14024955.33</v>
      </c>
      <c r="J373" s="279">
        <v>10812030</v>
      </c>
      <c r="K373" s="592">
        <v>24329304.280000001</v>
      </c>
      <c r="L373" s="279">
        <v>24329304.280000001</v>
      </c>
      <c r="M373" s="279">
        <v>14039621.390000001</v>
      </c>
      <c r="N373" s="279">
        <v>14039621.390000001</v>
      </c>
    </row>
    <row r="374" spans="1:14" x14ac:dyDescent="0.25">
      <c r="A374" s="186" t="s">
        <v>334</v>
      </c>
      <c r="B374" s="186" t="s">
        <v>320</v>
      </c>
      <c r="C374" s="186" t="s">
        <v>321</v>
      </c>
      <c r="D374" s="186" t="s">
        <v>69</v>
      </c>
      <c r="E374" s="279">
        <v>7059000</v>
      </c>
      <c r="F374" s="279">
        <v>2481183</v>
      </c>
      <c r="G374" s="279">
        <v>2481183</v>
      </c>
      <c r="H374" s="279">
        <v>0</v>
      </c>
      <c r="I374" s="279">
        <v>2142835.92</v>
      </c>
      <c r="J374" s="279">
        <v>0</v>
      </c>
      <c r="K374" s="592">
        <v>185000</v>
      </c>
      <c r="L374" s="279">
        <v>185000</v>
      </c>
      <c r="M374" s="279">
        <v>153347.07999999999</v>
      </c>
      <c r="N374" s="279">
        <v>153347.07999999999</v>
      </c>
    </row>
    <row r="375" spans="1:14" x14ac:dyDescent="0.25">
      <c r="A375" s="186" t="s">
        <v>334</v>
      </c>
      <c r="B375" s="186" t="s">
        <v>204</v>
      </c>
      <c r="C375" s="186" t="s">
        <v>205</v>
      </c>
      <c r="D375" s="186" t="s">
        <v>69</v>
      </c>
      <c r="E375" s="279">
        <v>61279000</v>
      </c>
      <c r="F375" s="279">
        <v>61279000</v>
      </c>
      <c r="G375" s="279">
        <v>61279000</v>
      </c>
      <c r="H375" s="279">
        <v>25268094.34</v>
      </c>
      <c r="I375" s="279">
        <v>0</v>
      </c>
      <c r="J375" s="279">
        <v>0</v>
      </c>
      <c r="K375" s="592">
        <v>16236605.77</v>
      </c>
      <c r="L375" s="279">
        <v>16236605.77</v>
      </c>
      <c r="M375" s="279">
        <v>19774299.890000001</v>
      </c>
      <c r="N375" s="279">
        <v>19774299.890000001</v>
      </c>
    </row>
    <row r="376" spans="1:14" x14ac:dyDescent="0.25">
      <c r="A376" s="186" t="s">
        <v>334</v>
      </c>
      <c r="B376" s="186" t="s">
        <v>322</v>
      </c>
      <c r="C376" s="186" t="s">
        <v>323</v>
      </c>
      <c r="D376" s="186" t="s">
        <v>69</v>
      </c>
      <c r="E376" s="279">
        <v>25948114</v>
      </c>
      <c r="F376" s="279">
        <v>25948114</v>
      </c>
      <c r="G376" s="279">
        <v>25948113.5</v>
      </c>
      <c r="H376" s="279">
        <v>0</v>
      </c>
      <c r="I376" s="279">
        <v>0</v>
      </c>
      <c r="J376" s="279">
        <v>0</v>
      </c>
      <c r="K376" s="592">
        <v>0</v>
      </c>
      <c r="L376" s="279">
        <v>0</v>
      </c>
      <c r="M376" s="279">
        <v>25948114</v>
      </c>
      <c r="N376" s="279">
        <v>25948113.5</v>
      </c>
    </row>
    <row r="377" spans="1:14" x14ac:dyDescent="0.25">
      <c r="A377" s="186" t="s">
        <v>334</v>
      </c>
      <c r="B377" s="186" t="s">
        <v>206</v>
      </c>
      <c r="C377" s="186" t="s">
        <v>207</v>
      </c>
      <c r="D377" s="186" t="s">
        <v>69</v>
      </c>
      <c r="E377" s="279">
        <v>150560000</v>
      </c>
      <c r="F377" s="279">
        <v>150560000</v>
      </c>
      <c r="G377" s="279">
        <v>150560000</v>
      </c>
      <c r="H377" s="279">
        <v>6470740</v>
      </c>
      <c r="I377" s="279">
        <v>35365959.840000004</v>
      </c>
      <c r="J377" s="279">
        <v>3239800</v>
      </c>
      <c r="K377" s="592">
        <v>61008176.590000004</v>
      </c>
      <c r="L377" s="279">
        <v>61008176.590000004</v>
      </c>
      <c r="M377" s="279">
        <v>44475323.57</v>
      </c>
      <c r="N377" s="279">
        <v>44475323.57</v>
      </c>
    </row>
    <row r="378" spans="1:14" x14ac:dyDescent="0.25">
      <c r="A378" s="186" t="s">
        <v>334</v>
      </c>
      <c r="B378" s="186" t="s">
        <v>208</v>
      </c>
      <c r="C378" s="186" t="s">
        <v>209</v>
      </c>
      <c r="D378" s="186" t="s">
        <v>69</v>
      </c>
      <c r="E378" s="279">
        <v>53615000</v>
      </c>
      <c r="F378" s="279">
        <v>53615000</v>
      </c>
      <c r="G378" s="279">
        <v>53615000</v>
      </c>
      <c r="H378" s="279">
        <v>0</v>
      </c>
      <c r="I378" s="279">
        <v>293526</v>
      </c>
      <c r="J378" s="279">
        <v>0</v>
      </c>
      <c r="K378" s="592">
        <v>16813580</v>
      </c>
      <c r="L378" s="279">
        <v>16813580</v>
      </c>
      <c r="M378" s="279">
        <v>36507894</v>
      </c>
      <c r="N378" s="279">
        <v>36507894</v>
      </c>
    </row>
    <row r="379" spans="1:14" x14ac:dyDescent="0.25">
      <c r="A379" s="186" t="s">
        <v>334</v>
      </c>
      <c r="B379" s="186" t="s">
        <v>210</v>
      </c>
      <c r="C379" s="186" t="s">
        <v>211</v>
      </c>
      <c r="D379" s="186" t="s">
        <v>69</v>
      </c>
      <c r="E379" s="279">
        <v>96945000</v>
      </c>
      <c r="F379" s="279">
        <v>96945000</v>
      </c>
      <c r="G379" s="279">
        <v>96945000</v>
      </c>
      <c r="H379" s="279">
        <v>6470740</v>
      </c>
      <c r="I379" s="279">
        <v>35072433.840000004</v>
      </c>
      <c r="J379" s="279">
        <v>3239800</v>
      </c>
      <c r="K379" s="592">
        <v>44194596.590000004</v>
      </c>
      <c r="L379" s="279">
        <v>44194596.590000004</v>
      </c>
      <c r="M379" s="279">
        <v>7967429.5700000003</v>
      </c>
      <c r="N379" s="279">
        <v>7967429.5700000003</v>
      </c>
    </row>
    <row r="380" spans="1:14" x14ac:dyDescent="0.25">
      <c r="A380" s="186" t="s">
        <v>334</v>
      </c>
      <c r="B380" s="186" t="s">
        <v>354</v>
      </c>
      <c r="C380" s="186" t="s">
        <v>355</v>
      </c>
      <c r="D380" s="186" t="s">
        <v>69</v>
      </c>
      <c r="E380" s="279">
        <v>0</v>
      </c>
      <c r="F380" s="279">
        <v>4577817</v>
      </c>
      <c r="G380" s="279">
        <v>4577817</v>
      </c>
      <c r="H380" s="279">
        <v>0</v>
      </c>
      <c r="I380" s="279">
        <v>0</v>
      </c>
      <c r="J380" s="279">
        <v>0</v>
      </c>
      <c r="K380" s="592">
        <v>0</v>
      </c>
      <c r="L380" s="279">
        <v>0</v>
      </c>
      <c r="M380" s="279">
        <v>4577817</v>
      </c>
      <c r="N380" s="279">
        <v>4577817</v>
      </c>
    </row>
    <row r="381" spans="1:14" x14ac:dyDescent="0.25">
      <c r="A381" s="186" t="s">
        <v>334</v>
      </c>
      <c r="B381" s="186" t="s">
        <v>356</v>
      </c>
      <c r="C381" s="186" t="s">
        <v>357</v>
      </c>
      <c r="D381" s="186" t="s">
        <v>69</v>
      </c>
      <c r="E381" s="279">
        <v>0</v>
      </c>
      <c r="F381" s="279">
        <v>4577817</v>
      </c>
      <c r="G381" s="279">
        <v>4577817</v>
      </c>
      <c r="H381" s="279">
        <v>0</v>
      </c>
      <c r="I381" s="279">
        <v>0</v>
      </c>
      <c r="J381" s="279">
        <v>0</v>
      </c>
      <c r="K381" s="592">
        <v>0</v>
      </c>
      <c r="L381" s="279">
        <v>0</v>
      </c>
      <c r="M381" s="279">
        <v>4577817</v>
      </c>
      <c r="N381" s="279">
        <v>4577817</v>
      </c>
    </row>
    <row r="382" spans="1:14" x14ac:dyDescent="0.25">
      <c r="A382" s="186" t="s">
        <v>334</v>
      </c>
      <c r="B382" s="186" t="s">
        <v>212</v>
      </c>
      <c r="C382" s="186" t="s">
        <v>213</v>
      </c>
      <c r="D382" s="186" t="s">
        <v>69</v>
      </c>
      <c r="E382" s="279">
        <v>1656349984</v>
      </c>
      <c r="F382" s="279">
        <v>1656349984</v>
      </c>
      <c r="G382" s="279">
        <v>1656349983</v>
      </c>
      <c r="H382" s="279">
        <v>58640518.039999999</v>
      </c>
      <c r="I382" s="279">
        <v>465822143.31</v>
      </c>
      <c r="J382" s="279">
        <v>6890538.6399999997</v>
      </c>
      <c r="K382" s="592">
        <v>738886726.63</v>
      </c>
      <c r="L382" s="279">
        <v>728184136.63</v>
      </c>
      <c r="M382" s="279">
        <v>386110057.38</v>
      </c>
      <c r="N382" s="279">
        <v>386110056.38</v>
      </c>
    </row>
    <row r="383" spans="1:14" x14ac:dyDescent="0.25">
      <c r="A383" s="186" t="s">
        <v>334</v>
      </c>
      <c r="B383" s="186" t="s">
        <v>214</v>
      </c>
      <c r="C383" s="186" t="s">
        <v>215</v>
      </c>
      <c r="D383" s="186" t="s">
        <v>69</v>
      </c>
      <c r="E383" s="279">
        <v>34070136</v>
      </c>
      <c r="F383" s="279">
        <v>34070136</v>
      </c>
      <c r="G383" s="279">
        <v>34070136</v>
      </c>
      <c r="H383" s="279">
        <v>0</v>
      </c>
      <c r="I383" s="279">
        <v>424800</v>
      </c>
      <c r="J383" s="279">
        <v>0</v>
      </c>
      <c r="K383" s="592">
        <v>715487</v>
      </c>
      <c r="L383" s="279">
        <v>715487</v>
      </c>
      <c r="M383" s="279">
        <v>32929849</v>
      </c>
      <c r="N383" s="279">
        <v>32929849</v>
      </c>
    </row>
    <row r="384" spans="1:14" x14ac:dyDescent="0.25">
      <c r="A384" s="186" t="s">
        <v>334</v>
      </c>
      <c r="B384" s="186" t="s">
        <v>216</v>
      </c>
      <c r="C384" s="186" t="s">
        <v>217</v>
      </c>
      <c r="D384" s="186" t="s">
        <v>69</v>
      </c>
      <c r="E384" s="279">
        <v>65363019</v>
      </c>
      <c r="F384" s="279">
        <v>65363019</v>
      </c>
      <c r="G384" s="279">
        <v>65363018.75</v>
      </c>
      <c r="H384" s="279">
        <v>41596771.039999999</v>
      </c>
      <c r="I384" s="279">
        <v>3847500</v>
      </c>
      <c r="J384" s="279">
        <v>0</v>
      </c>
      <c r="K384" s="592">
        <v>5436722.0999999996</v>
      </c>
      <c r="L384" s="279">
        <v>5436722.0999999996</v>
      </c>
      <c r="M384" s="279">
        <v>14482025.859999999</v>
      </c>
      <c r="N384" s="279">
        <v>14482025.609999999</v>
      </c>
    </row>
    <row r="385" spans="1:14" x14ac:dyDescent="0.25">
      <c r="A385" s="186" t="s">
        <v>334</v>
      </c>
      <c r="B385" s="186" t="s">
        <v>218</v>
      </c>
      <c r="C385" s="186" t="s">
        <v>219</v>
      </c>
      <c r="D385" s="186" t="s">
        <v>69</v>
      </c>
      <c r="E385" s="279">
        <v>146259000</v>
      </c>
      <c r="F385" s="279">
        <v>146259000</v>
      </c>
      <c r="G385" s="279">
        <v>146259000</v>
      </c>
      <c r="H385" s="279">
        <v>270000</v>
      </c>
      <c r="I385" s="279">
        <v>40800084.479999997</v>
      </c>
      <c r="J385" s="279">
        <v>6890538.6399999997</v>
      </c>
      <c r="K385" s="592">
        <v>23342148.219999999</v>
      </c>
      <c r="L385" s="279">
        <v>13166148.220000001</v>
      </c>
      <c r="M385" s="279">
        <v>74956228.659999996</v>
      </c>
      <c r="N385" s="279">
        <v>74956228.659999996</v>
      </c>
    </row>
    <row r="386" spans="1:14" x14ac:dyDescent="0.25">
      <c r="A386" s="186" t="s">
        <v>334</v>
      </c>
      <c r="B386" s="186" t="s">
        <v>220</v>
      </c>
      <c r="C386" s="186" t="s">
        <v>221</v>
      </c>
      <c r="D386" s="186" t="s">
        <v>69</v>
      </c>
      <c r="E386" s="279">
        <v>643150000</v>
      </c>
      <c r="F386" s="279">
        <v>643150000</v>
      </c>
      <c r="G386" s="279">
        <v>643150000</v>
      </c>
      <c r="H386" s="279">
        <v>2105230</v>
      </c>
      <c r="I386" s="279">
        <v>283884596.06</v>
      </c>
      <c r="J386" s="279">
        <v>0</v>
      </c>
      <c r="K386" s="592">
        <v>301976933.99000001</v>
      </c>
      <c r="L386" s="279">
        <v>301580993.99000001</v>
      </c>
      <c r="M386" s="279">
        <v>55183239.950000003</v>
      </c>
      <c r="N386" s="279">
        <v>55183239.950000003</v>
      </c>
    </row>
    <row r="387" spans="1:14" x14ac:dyDescent="0.25">
      <c r="A387" s="186" t="s">
        <v>334</v>
      </c>
      <c r="B387" s="186" t="s">
        <v>222</v>
      </c>
      <c r="C387" s="186" t="s">
        <v>223</v>
      </c>
      <c r="D387" s="186" t="s">
        <v>69</v>
      </c>
      <c r="E387" s="279">
        <v>302355000</v>
      </c>
      <c r="F387" s="279">
        <v>302355000</v>
      </c>
      <c r="G387" s="279">
        <v>302355000</v>
      </c>
      <c r="H387" s="279">
        <v>123997</v>
      </c>
      <c r="I387" s="279">
        <v>84891968.299999997</v>
      </c>
      <c r="J387" s="279">
        <v>0</v>
      </c>
      <c r="K387" s="592">
        <v>144455735.50999999</v>
      </c>
      <c r="L387" s="279">
        <v>144455735.50999999</v>
      </c>
      <c r="M387" s="279">
        <v>72883299.189999998</v>
      </c>
      <c r="N387" s="279">
        <v>72883299.189999998</v>
      </c>
    </row>
    <row r="388" spans="1:14" x14ac:dyDescent="0.25">
      <c r="A388" s="186" t="s">
        <v>334</v>
      </c>
      <c r="B388" s="186" t="s">
        <v>224</v>
      </c>
      <c r="C388" s="186" t="s">
        <v>225</v>
      </c>
      <c r="D388" s="186" t="s">
        <v>69</v>
      </c>
      <c r="E388" s="279">
        <v>182921000</v>
      </c>
      <c r="F388" s="279">
        <v>182921000</v>
      </c>
      <c r="G388" s="279">
        <v>182921000</v>
      </c>
      <c r="H388" s="279">
        <v>10545770</v>
      </c>
      <c r="I388" s="279">
        <v>26945634.989999998</v>
      </c>
      <c r="J388" s="279">
        <v>0</v>
      </c>
      <c r="K388" s="592">
        <v>133115113.25</v>
      </c>
      <c r="L388" s="279">
        <v>132984463.25</v>
      </c>
      <c r="M388" s="279">
        <v>12314481.76</v>
      </c>
      <c r="N388" s="279">
        <v>12314481.76</v>
      </c>
    </row>
    <row r="389" spans="1:14" x14ac:dyDescent="0.25">
      <c r="A389" s="186" t="s">
        <v>334</v>
      </c>
      <c r="B389" s="186" t="s">
        <v>226</v>
      </c>
      <c r="C389" s="186" t="s">
        <v>227</v>
      </c>
      <c r="D389" s="186" t="s">
        <v>69</v>
      </c>
      <c r="E389" s="279">
        <v>92727347</v>
      </c>
      <c r="F389" s="279">
        <v>92727347</v>
      </c>
      <c r="G389" s="279">
        <v>92727346.75</v>
      </c>
      <c r="H389" s="279">
        <v>0</v>
      </c>
      <c r="I389" s="279">
        <v>17137098.280000001</v>
      </c>
      <c r="J389" s="279">
        <v>0</v>
      </c>
      <c r="K389" s="592">
        <v>16868478.489999998</v>
      </c>
      <c r="L389" s="279">
        <v>16868478.489999998</v>
      </c>
      <c r="M389" s="279">
        <v>58721770.229999997</v>
      </c>
      <c r="N389" s="279">
        <v>58721769.979999997</v>
      </c>
    </row>
    <row r="390" spans="1:14" x14ac:dyDescent="0.25">
      <c r="A390" s="186" t="s">
        <v>334</v>
      </c>
      <c r="B390" s="186" t="s">
        <v>228</v>
      </c>
      <c r="C390" s="186" t="s">
        <v>229</v>
      </c>
      <c r="D390" s="186" t="s">
        <v>69</v>
      </c>
      <c r="E390" s="279">
        <v>189504482</v>
      </c>
      <c r="F390" s="279">
        <v>189504482</v>
      </c>
      <c r="G390" s="279">
        <v>189504481.5</v>
      </c>
      <c r="H390" s="279">
        <v>3998750</v>
      </c>
      <c r="I390" s="279">
        <v>7890461.2000000002</v>
      </c>
      <c r="J390" s="279">
        <v>0</v>
      </c>
      <c r="K390" s="592">
        <v>112976108.06999999</v>
      </c>
      <c r="L390" s="279">
        <v>112976108.06999999</v>
      </c>
      <c r="M390" s="279">
        <v>64639162.729999997</v>
      </c>
      <c r="N390" s="279">
        <v>64639162.229999997</v>
      </c>
    </row>
    <row r="391" spans="1:14" x14ac:dyDescent="0.25">
      <c r="A391" s="186" t="s">
        <v>334</v>
      </c>
      <c r="B391" s="186" t="s">
        <v>230</v>
      </c>
      <c r="C391" s="186" t="s">
        <v>231</v>
      </c>
      <c r="D391" s="186" t="s">
        <v>69</v>
      </c>
      <c r="E391" s="279">
        <v>883769579</v>
      </c>
      <c r="F391" s="279">
        <v>2629734727</v>
      </c>
      <c r="G391" s="279">
        <v>1611520504.75</v>
      </c>
      <c r="H391" s="279">
        <v>186527449.27000001</v>
      </c>
      <c r="I391" s="279">
        <v>160925145.47</v>
      </c>
      <c r="J391" s="279">
        <v>0</v>
      </c>
      <c r="K391" s="592">
        <v>799963791.26999998</v>
      </c>
      <c r="L391" s="279">
        <v>754195791.26999998</v>
      </c>
      <c r="M391" s="279">
        <v>1482318340.99</v>
      </c>
      <c r="N391" s="279">
        <v>464104118.74000001</v>
      </c>
    </row>
    <row r="392" spans="1:14" x14ac:dyDescent="0.25">
      <c r="A392" s="186" t="s">
        <v>334</v>
      </c>
      <c r="B392" s="186" t="s">
        <v>232</v>
      </c>
      <c r="C392" s="186" t="s">
        <v>233</v>
      </c>
      <c r="D392" s="186" t="s">
        <v>69</v>
      </c>
      <c r="E392" s="279">
        <v>667187579</v>
      </c>
      <c r="F392" s="279">
        <v>667187579</v>
      </c>
      <c r="G392" s="279">
        <v>667187578.75</v>
      </c>
      <c r="H392" s="279">
        <v>186527449.27000001</v>
      </c>
      <c r="I392" s="279">
        <v>149853946.08000001</v>
      </c>
      <c r="J392" s="279">
        <v>0</v>
      </c>
      <c r="K392" s="592">
        <v>175474731.86000001</v>
      </c>
      <c r="L392" s="279">
        <v>129706731.86</v>
      </c>
      <c r="M392" s="279">
        <v>155331451.78999999</v>
      </c>
      <c r="N392" s="279">
        <v>155331451.53999999</v>
      </c>
    </row>
    <row r="393" spans="1:14" x14ac:dyDescent="0.25">
      <c r="A393" s="186" t="s">
        <v>334</v>
      </c>
      <c r="B393" s="186" t="s">
        <v>234</v>
      </c>
      <c r="C393" s="186" t="s">
        <v>235</v>
      </c>
      <c r="D393" s="186" t="s">
        <v>85</v>
      </c>
      <c r="E393" s="279">
        <v>33062000</v>
      </c>
      <c r="F393" s="279">
        <v>19951724</v>
      </c>
      <c r="G393" s="279">
        <v>19951724</v>
      </c>
      <c r="H393" s="279">
        <v>6863892.9400000004</v>
      </c>
      <c r="I393" s="279">
        <v>0</v>
      </c>
      <c r="J393" s="279">
        <v>0</v>
      </c>
      <c r="K393" s="592">
        <v>0</v>
      </c>
      <c r="L393" s="279">
        <v>0</v>
      </c>
      <c r="M393" s="279">
        <v>13087831.060000001</v>
      </c>
      <c r="N393" s="279">
        <v>13087831.060000001</v>
      </c>
    </row>
    <row r="394" spans="1:14" x14ac:dyDescent="0.25">
      <c r="A394" s="186" t="s">
        <v>334</v>
      </c>
      <c r="B394" s="186" t="s">
        <v>324</v>
      </c>
      <c r="C394" s="186" t="s">
        <v>325</v>
      </c>
      <c r="D394" s="186" t="s">
        <v>85</v>
      </c>
      <c r="E394" s="279">
        <v>72100000</v>
      </c>
      <c r="F394" s="279">
        <v>72100000</v>
      </c>
      <c r="G394" s="279">
        <v>72100000</v>
      </c>
      <c r="H394" s="279">
        <v>41700945</v>
      </c>
      <c r="I394" s="279">
        <v>0</v>
      </c>
      <c r="J394" s="279">
        <v>0</v>
      </c>
      <c r="K394" s="592">
        <v>16883370</v>
      </c>
      <c r="L394" s="279">
        <v>16883370</v>
      </c>
      <c r="M394" s="279">
        <v>13515685</v>
      </c>
      <c r="N394" s="279">
        <v>13515685</v>
      </c>
    </row>
    <row r="395" spans="1:14" x14ac:dyDescent="0.25">
      <c r="A395" s="186" t="s">
        <v>334</v>
      </c>
      <c r="B395" s="186" t="s">
        <v>236</v>
      </c>
      <c r="C395" s="186" t="s">
        <v>237</v>
      </c>
      <c r="D395" s="186" t="s">
        <v>85</v>
      </c>
      <c r="E395" s="279">
        <v>147248000</v>
      </c>
      <c r="F395" s="279">
        <v>141523000</v>
      </c>
      <c r="G395" s="279">
        <v>141523000</v>
      </c>
      <c r="H395" s="279">
        <v>650000</v>
      </c>
      <c r="I395" s="279">
        <v>85828047.260000005</v>
      </c>
      <c r="J395" s="279">
        <v>0</v>
      </c>
      <c r="K395" s="592">
        <v>7645100</v>
      </c>
      <c r="L395" s="279">
        <v>7645100</v>
      </c>
      <c r="M395" s="279">
        <v>47399852.740000002</v>
      </c>
      <c r="N395" s="279">
        <v>47399852.740000002</v>
      </c>
    </row>
    <row r="396" spans="1:14" x14ac:dyDescent="0.25">
      <c r="A396" s="186" t="s">
        <v>334</v>
      </c>
      <c r="B396" s="186" t="s">
        <v>236</v>
      </c>
      <c r="C396" s="186" t="s">
        <v>237</v>
      </c>
      <c r="D396" s="186" t="s">
        <v>69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592">
        <v>0</v>
      </c>
      <c r="L396" s="279">
        <v>0</v>
      </c>
      <c r="M396" s="279">
        <v>0</v>
      </c>
      <c r="N396" s="279">
        <v>0</v>
      </c>
    </row>
    <row r="397" spans="1:14" x14ac:dyDescent="0.25">
      <c r="A397" s="186" t="s">
        <v>334</v>
      </c>
      <c r="B397" s="186" t="s">
        <v>238</v>
      </c>
      <c r="C397" s="186" t="s">
        <v>239</v>
      </c>
      <c r="D397" s="186" t="s">
        <v>85</v>
      </c>
      <c r="E397" s="279">
        <v>69415579</v>
      </c>
      <c r="F397" s="279">
        <v>88250855</v>
      </c>
      <c r="G397" s="279">
        <v>88250854.75</v>
      </c>
      <c r="H397" s="279">
        <v>3226164.57</v>
      </c>
      <c r="I397" s="279">
        <v>21809341.870000001</v>
      </c>
      <c r="J397" s="279">
        <v>0</v>
      </c>
      <c r="K397" s="592">
        <v>15296054</v>
      </c>
      <c r="L397" s="279">
        <v>15296054</v>
      </c>
      <c r="M397" s="279">
        <v>47919294.560000002</v>
      </c>
      <c r="N397" s="279">
        <v>47919294.310000002</v>
      </c>
    </row>
    <row r="398" spans="1:14" x14ac:dyDescent="0.25">
      <c r="A398" s="186" t="s">
        <v>334</v>
      </c>
      <c r="B398" s="186" t="s">
        <v>238</v>
      </c>
      <c r="C398" s="186" t="s">
        <v>239</v>
      </c>
      <c r="D398" s="186" t="s">
        <v>69</v>
      </c>
      <c r="E398" s="279">
        <v>0</v>
      </c>
      <c r="F398" s="279">
        <v>0</v>
      </c>
      <c r="G398" s="279">
        <v>0</v>
      </c>
      <c r="H398" s="279">
        <v>0</v>
      </c>
      <c r="I398" s="279">
        <v>0</v>
      </c>
      <c r="J398" s="279">
        <v>0</v>
      </c>
      <c r="K398" s="592">
        <v>0</v>
      </c>
      <c r="L398" s="279">
        <v>0</v>
      </c>
      <c r="M398" s="279">
        <v>0</v>
      </c>
      <c r="N398" s="279">
        <v>0</v>
      </c>
    </row>
    <row r="399" spans="1:14" x14ac:dyDescent="0.25">
      <c r="A399" s="186" t="s">
        <v>334</v>
      </c>
      <c r="B399" s="186" t="s">
        <v>282</v>
      </c>
      <c r="C399" s="186" t="s">
        <v>283</v>
      </c>
      <c r="D399" s="186" t="s">
        <v>85</v>
      </c>
      <c r="E399" s="279">
        <v>21137000</v>
      </c>
      <c r="F399" s="279">
        <v>21137000</v>
      </c>
      <c r="G399" s="279">
        <v>21137000</v>
      </c>
      <c r="H399" s="279">
        <v>0</v>
      </c>
      <c r="I399" s="279">
        <v>0</v>
      </c>
      <c r="J399" s="279">
        <v>0</v>
      </c>
      <c r="K399" s="592">
        <v>13982594.789999999</v>
      </c>
      <c r="L399" s="279">
        <v>13982594.789999999</v>
      </c>
      <c r="M399" s="279">
        <v>7154405.21</v>
      </c>
      <c r="N399" s="279">
        <v>7154405.21</v>
      </c>
    </row>
    <row r="400" spans="1:14" x14ac:dyDescent="0.25">
      <c r="A400" s="186" t="s">
        <v>334</v>
      </c>
      <c r="B400" s="186" t="s">
        <v>326</v>
      </c>
      <c r="C400" s="186" t="s">
        <v>327</v>
      </c>
      <c r="D400" s="186" t="s">
        <v>85</v>
      </c>
      <c r="E400" s="279">
        <v>29458000</v>
      </c>
      <c r="F400" s="279">
        <v>29458000</v>
      </c>
      <c r="G400" s="279">
        <v>29458000</v>
      </c>
      <c r="H400" s="279">
        <v>13107104.51</v>
      </c>
      <c r="I400" s="279">
        <v>0</v>
      </c>
      <c r="J400" s="279">
        <v>0</v>
      </c>
      <c r="K400" s="592">
        <v>16265225.01</v>
      </c>
      <c r="L400" s="279">
        <v>16265225.01</v>
      </c>
      <c r="M400" s="279">
        <v>85670.48</v>
      </c>
      <c r="N400" s="279">
        <v>85670.48</v>
      </c>
    </row>
    <row r="401" spans="1:14" x14ac:dyDescent="0.25">
      <c r="A401" s="186" t="s">
        <v>334</v>
      </c>
      <c r="B401" s="186" t="s">
        <v>240</v>
      </c>
      <c r="C401" s="186" t="s">
        <v>241</v>
      </c>
      <c r="D401" s="186" t="s">
        <v>85</v>
      </c>
      <c r="E401" s="279">
        <v>5405000</v>
      </c>
      <c r="F401" s="279">
        <v>5405000</v>
      </c>
      <c r="G401" s="279">
        <v>5405000</v>
      </c>
      <c r="H401" s="279">
        <v>1398250</v>
      </c>
      <c r="I401" s="279">
        <v>0</v>
      </c>
      <c r="J401" s="279">
        <v>0</v>
      </c>
      <c r="K401" s="592">
        <v>3981450</v>
      </c>
      <c r="L401" s="279">
        <v>3981450</v>
      </c>
      <c r="M401" s="279">
        <v>25300</v>
      </c>
      <c r="N401" s="279">
        <v>25300</v>
      </c>
    </row>
    <row r="402" spans="1:14" x14ac:dyDescent="0.25">
      <c r="A402" s="186" t="s">
        <v>334</v>
      </c>
      <c r="B402" s="186" t="s">
        <v>242</v>
      </c>
      <c r="C402" s="186" t="s">
        <v>243</v>
      </c>
      <c r="D402" s="186" t="s">
        <v>85</v>
      </c>
      <c r="E402" s="279">
        <v>289362000</v>
      </c>
      <c r="F402" s="279">
        <v>289362000</v>
      </c>
      <c r="G402" s="279">
        <v>289362000</v>
      </c>
      <c r="H402" s="279">
        <v>119581092.25</v>
      </c>
      <c r="I402" s="279">
        <v>42216556.950000003</v>
      </c>
      <c r="J402" s="279">
        <v>0</v>
      </c>
      <c r="K402" s="592">
        <v>101420938.06</v>
      </c>
      <c r="L402" s="279">
        <v>55652938.060000002</v>
      </c>
      <c r="M402" s="279">
        <v>26143412.739999998</v>
      </c>
      <c r="N402" s="279">
        <v>26143412.739999998</v>
      </c>
    </row>
    <row r="403" spans="1:14" x14ac:dyDescent="0.25">
      <c r="A403" s="186" t="s">
        <v>334</v>
      </c>
      <c r="B403" s="186" t="s">
        <v>328</v>
      </c>
      <c r="C403" s="186" t="s">
        <v>329</v>
      </c>
      <c r="D403" s="186" t="s">
        <v>85</v>
      </c>
      <c r="E403" s="279">
        <v>8088000</v>
      </c>
      <c r="F403" s="279">
        <v>1754053148</v>
      </c>
      <c r="G403" s="279">
        <v>735838926</v>
      </c>
      <c r="H403" s="279">
        <v>0</v>
      </c>
      <c r="I403" s="279">
        <v>8177304.8700000001</v>
      </c>
      <c r="J403" s="279">
        <v>0</v>
      </c>
      <c r="K403" s="592">
        <v>621016920.21000004</v>
      </c>
      <c r="L403" s="279">
        <v>621016920.21000004</v>
      </c>
      <c r="M403" s="279">
        <v>1124858922.9200001</v>
      </c>
      <c r="N403" s="279">
        <v>106644700.92</v>
      </c>
    </row>
    <row r="404" spans="1:14" x14ac:dyDescent="0.25">
      <c r="A404" s="186" t="s">
        <v>334</v>
      </c>
      <c r="B404" s="186" t="s">
        <v>330</v>
      </c>
      <c r="C404" s="186" t="s">
        <v>331</v>
      </c>
      <c r="D404" s="186" t="s">
        <v>85</v>
      </c>
      <c r="E404" s="279">
        <v>0</v>
      </c>
      <c r="F404" s="279">
        <v>1745965148</v>
      </c>
      <c r="G404" s="279">
        <v>727750926</v>
      </c>
      <c r="H404" s="279">
        <v>0</v>
      </c>
      <c r="I404" s="279">
        <v>8177304.8700000001</v>
      </c>
      <c r="J404" s="279">
        <v>0</v>
      </c>
      <c r="K404" s="592">
        <v>618994921.21000004</v>
      </c>
      <c r="L404" s="279">
        <v>618994921.21000004</v>
      </c>
      <c r="M404" s="279">
        <v>1118792921.9200001</v>
      </c>
      <c r="N404" s="279">
        <v>100578699.92</v>
      </c>
    </row>
    <row r="405" spans="1:14" x14ac:dyDescent="0.25">
      <c r="A405" s="186" t="s">
        <v>334</v>
      </c>
      <c r="B405" s="186" t="s">
        <v>358</v>
      </c>
      <c r="C405" s="186" t="s">
        <v>359</v>
      </c>
      <c r="D405" s="186" t="s">
        <v>85</v>
      </c>
      <c r="E405" s="279">
        <v>8088000</v>
      </c>
      <c r="F405" s="279">
        <v>8088000</v>
      </c>
      <c r="G405" s="279">
        <v>8088000</v>
      </c>
      <c r="H405" s="279">
        <v>0</v>
      </c>
      <c r="I405" s="279">
        <v>0</v>
      </c>
      <c r="J405" s="279">
        <v>0</v>
      </c>
      <c r="K405" s="592">
        <v>2021999</v>
      </c>
      <c r="L405" s="279">
        <v>2021999</v>
      </c>
      <c r="M405" s="279">
        <v>6066001</v>
      </c>
      <c r="N405" s="279">
        <v>6066001</v>
      </c>
    </row>
    <row r="406" spans="1:14" x14ac:dyDescent="0.25">
      <c r="A406" s="186" t="s">
        <v>334</v>
      </c>
      <c r="B406" s="186" t="s">
        <v>244</v>
      </c>
      <c r="C406" s="186" t="s">
        <v>245</v>
      </c>
      <c r="D406" s="186" t="s">
        <v>69</v>
      </c>
      <c r="E406" s="279">
        <v>208494000</v>
      </c>
      <c r="F406" s="279">
        <v>208494000</v>
      </c>
      <c r="G406" s="279">
        <v>208494000</v>
      </c>
      <c r="H406" s="279">
        <v>0</v>
      </c>
      <c r="I406" s="279">
        <v>2893894.52</v>
      </c>
      <c r="J406" s="279">
        <v>0</v>
      </c>
      <c r="K406" s="592">
        <v>3472139.2</v>
      </c>
      <c r="L406" s="279">
        <v>3472139.2</v>
      </c>
      <c r="M406" s="279">
        <v>202127966.28</v>
      </c>
      <c r="N406" s="279">
        <v>202127966.28</v>
      </c>
    </row>
    <row r="407" spans="1:14" x14ac:dyDescent="0.25">
      <c r="A407" s="186" t="s">
        <v>334</v>
      </c>
      <c r="B407" s="186" t="s">
        <v>246</v>
      </c>
      <c r="C407" s="186" t="s">
        <v>247</v>
      </c>
      <c r="D407" s="186" t="s">
        <v>85</v>
      </c>
      <c r="E407" s="279">
        <v>208494000</v>
      </c>
      <c r="F407" s="279">
        <v>208494000</v>
      </c>
      <c r="G407" s="279">
        <v>208494000</v>
      </c>
      <c r="H407" s="279">
        <v>0</v>
      </c>
      <c r="I407" s="279">
        <v>2893894.52</v>
      </c>
      <c r="J407" s="279">
        <v>0</v>
      </c>
      <c r="K407" s="592">
        <v>3472139.2</v>
      </c>
      <c r="L407" s="279">
        <v>3472139.2</v>
      </c>
      <c r="M407" s="279">
        <v>202127966.28</v>
      </c>
      <c r="N407" s="279">
        <v>202127966.28</v>
      </c>
    </row>
    <row r="408" spans="1:14" x14ac:dyDescent="0.25">
      <c r="A408" s="186" t="s">
        <v>334</v>
      </c>
      <c r="B408" s="186" t="s">
        <v>246</v>
      </c>
      <c r="C408" s="186" t="s">
        <v>247</v>
      </c>
      <c r="D408" s="186" t="s">
        <v>69</v>
      </c>
      <c r="E408" s="279">
        <v>0</v>
      </c>
      <c r="F408" s="279">
        <v>0</v>
      </c>
      <c r="G408" s="279">
        <v>0</v>
      </c>
      <c r="H408" s="279">
        <v>0</v>
      </c>
      <c r="I408" s="279">
        <v>0</v>
      </c>
      <c r="J408" s="279">
        <v>0</v>
      </c>
      <c r="K408" s="592">
        <v>0</v>
      </c>
      <c r="L408" s="279">
        <v>0</v>
      </c>
      <c r="M408" s="279">
        <v>0</v>
      </c>
      <c r="N408" s="279">
        <v>0</v>
      </c>
    </row>
    <row r="409" spans="1:14" x14ac:dyDescent="0.25">
      <c r="A409" s="186" t="s">
        <v>334</v>
      </c>
      <c r="B409" s="186" t="s">
        <v>248</v>
      </c>
      <c r="C409" s="186" t="s">
        <v>249</v>
      </c>
      <c r="D409" s="186" t="s">
        <v>69</v>
      </c>
      <c r="E409" s="279">
        <v>11597046000</v>
      </c>
      <c r="F409" s="279">
        <v>11597046000</v>
      </c>
      <c r="G409" s="279">
        <v>11533738545.25</v>
      </c>
      <c r="H409" s="279">
        <v>0</v>
      </c>
      <c r="I409" s="279">
        <v>4152969422.6100001</v>
      </c>
      <c r="J409" s="279">
        <v>0</v>
      </c>
      <c r="K409" s="592">
        <v>7250527728.0900002</v>
      </c>
      <c r="L409" s="279">
        <v>7250527728.0900002</v>
      </c>
      <c r="M409" s="279">
        <v>193548849.30000001</v>
      </c>
      <c r="N409" s="279">
        <v>130241394.55</v>
      </c>
    </row>
    <row r="410" spans="1:14" x14ac:dyDescent="0.25">
      <c r="A410" s="186" t="s">
        <v>334</v>
      </c>
      <c r="B410" s="186" t="s">
        <v>250</v>
      </c>
      <c r="C410" s="186" t="s">
        <v>251</v>
      </c>
      <c r="D410" s="186" t="s">
        <v>69</v>
      </c>
      <c r="E410" s="279">
        <v>9955805000</v>
      </c>
      <c r="F410" s="279">
        <v>9915805000</v>
      </c>
      <c r="G410" s="279">
        <v>9915805000</v>
      </c>
      <c r="H410" s="279">
        <v>0</v>
      </c>
      <c r="I410" s="279">
        <v>3855184381.8899999</v>
      </c>
      <c r="J410" s="279">
        <v>0</v>
      </c>
      <c r="K410" s="592">
        <v>6020620618.1099997</v>
      </c>
      <c r="L410" s="279">
        <v>6020620618.1099997</v>
      </c>
      <c r="M410" s="279">
        <v>40000000</v>
      </c>
      <c r="N410" s="279">
        <v>40000000</v>
      </c>
    </row>
    <row r="411" spans="1:14" x14ac:dyDescent="0.25">
      <c r="A411" s="186" t="s">
        <v>334</v>
      </c>
      <c r="B411" s="186" t="s">
        <v>360</v>
      </c>
      <c r="C411" s="186" t="s">
        <v>361</v>
      </c>
      <c r="D411" s="186" t="s">
        <v>69</v>
      </c>
      <c r="E411" s="279">
        <v>80000000</v>
      </c>
      <c r="F411" s="279">
        <v>40000000</v>
      </c>
      <c r="G411" s="279">
        <v>40000000</v>
      </c>
      <c r="H411" s="279">
        <v>0</v>
      </c>
      <c r="I411" s="279">
        <v>0</v>
      </c>
      <c r="J411" s="279">
        <v>0</v>
      </c>
      <c r="K411" s="592">
        <v>0</v>
      </c>
      <c r="L411" s="279">
        <v>0</v>
      </c>
      <c r="M411" s="279">
        <v>40000000</v>
      </c>
      <c r="N411" s="279">
        <v>40000000</v>
      </c>
    </row>
    <row r="412" spans="1:14" x14ac:dyDescent="0.25">
      <c r="A412" s="186" t="s">
        <v>334</v>
      </c>
      <c r="B412" s="186" t="s">
        <v>362</v>
      </c>
      <c r="C412" s="186" t="s">
        <v>257</v>
      </c>
      <c r="D412" s="186" t="s">
        <v>69</v>
      </c>
      <c r="E412" s="279">
        <v>673849000</v>
      </c>
      <c r="F412" s="279">
        <v>673849000</v>
      </c>
      <c r="G412" s="279">
        <v>673849000</v>
      </c>
      <c r="H412" s="279">
        <v>0</v>
      </c>
      <c r="I412" s="279">
        <v>234414065</v>
      </c>
      <c r="J412" s="279">
        <v>0</v>
      </c>
      <c r="K412" s="592">
        <v>439434935</v>
      </c>
      <c r="L412" s="279">
        <v>439434935</v>
      </c>
      <c r="M412" s="279">
        <v>0</v>
      </c>
      <c r="N412" s="279">
        <v>0</v>
      </c>
    </row>
    <row r="413" spans="1:14" x14ac:dyDescent="0.25">
      <c r="A413" s="186" t="s">
        <v>334</v>
      </c>
      <c r="B413" s="186" t="s">
        <v>363</v>
      </c>
      <c r="C413" s="186" t="s">
        <v>259</v>
      </c>
      <c r="D413" s="186" t="s">
        <v>69</v>
      </c>
      <c r="E413" s="279">
        <v>135856000</v>
      </c>
      <c r="F413" s="279">
        <v>135856000</v>
      </c>
      <c r="G413" s="279">
        <v>135856000</v>
      </c>
      <c r="H413" s="279">
        <v>0</v>
      </c>
      <c r="I413" s="279">
        <v>47260248</v>
      </c>
      <c r="J413" s="279">
        <v>0</v>
      </c>
      <c r="K413" s="592">
        <v>88595752</v>
      </c>
      <c r="L413" s="279">
        <v>88595752</v>
      </c>
      <c r="M413" s="279">
        <v>0</v>
      </c>
      <c r="N413" s="279">
        <v>0</v>
      </c>
    </row>
    <row r="414" spans="1:14" x14ac:dyDescent="0.25">
      <c r="A414" s="186" t="s">
        <v>334</v>
      </c>
      <c r="B414" s="186" t="s">
        <v>364</v>
      </c>
      <c r="C414" s="186" t="s">
        <v>365</v>
      </c>
      <c r="D414" s="186" t="s">
        <v>85</v>
      </c>
      <c r="E414" s="279">
        <v>9066100000</v>
      </c>
      <c r="F414" s="279">
        <v>9066100000</v>
      </c>
      <c r="G414" s="279">
        <v>9066100000</v>
      </c>
      <c r="H414" s="279">
        <v>0</v>
      </c>
      <c r="I414" s="279">
        <v>3573510068.8899999</v>
      </c>
      <c r="J414" s="279">
        <v>0</v>
      </c>
      <c r="K414" s="592">
        <v>5492589931.1099997</v>
      </c>
      <c r="L414" s="279">
        <v>5492589931.1099997</v>
      </c>
      <c r="M414" s="279">
        <v>0</v>
      </c>
      <c r="N414" s="279">
        <v>0</v>
      </c>
    </row>
    <row r="415" spans="1:14" x14ac:dyDescent="0.25">
      <c r="A415" s="186" t="s">
        <v>334</v>
      </c>
      <c r="B415" s="186" t="s">
        <v>366</v>
      </c>
      <c r="C415" s="186" t="s">
        <v>367</v>
      </c>
      <c r="D415" s="186" t="s">
        <v>69</v>
      </c>
      <c r="E415" s="279">
        <v>550000000</v>
      </c>
      <c r="F415" s="279">
        <v>550000000</v>
      </c>
      <c r="G415" s="279">
        <v>550000000</v>
      </c>
      <c r="H415" s="279">
        <v>0</v>
      </c>
      <c r="I415" s="279">
        <v>215000000</v>
      </c>
      <c r="J415" s="279">
        <v>0</v>
      </c>
      <c r="K415" s="592">
        <v>315000000</v>
      </c>
      <c r="L415" s="279">
        <v>315000000</v>
      </c>
      <c r="M415" s="279">
        <v>20000000</v>
      </c>
      <c r="N415" s="279">
        <v>20000000</v>
      </c>
    </row>
    <row r="416" spans="1:14" x14ac:dyDescent="0.25">
      <c r="A416" s="186" t="s">
        <v>334</v>
      </c>
      <c r="B416" s="186" t="s">
        <v>368</v>
      </c>
      <c r="C416" s="186" t="s">
        <v>369</v>
      </c>
      <c r="D416" s="186" t="s">
        <v>69</v>
      </c>
      <c r="E416" s="279">
        <v>550000000</v>
      </c>
      <c r="F416" s="279">
        <v>550000000</v>
      </c>
      <c r="G416" s="279">
        <v>550000000</v>
      </c>
      <c r="H416" s="279">
        <v>0</v>
      </c>
      <c r="I416" s="279">
        <v>215000000</v>
      </c>
      <c r="J416" s="279">
        <v>0</v>
      </c>
      <c r="K416" s="592">
        <v>315000000</v>
      </c>
      <c r="L416" s="279">
        <v>315000000</v>
      </c>
      <c r="M416" s="279">
        <v>20000000</v>
      </c>
      <c r="N416" s="279">
        <v>20000000</v>
      </c>
    </row>
    <row r="417" spans="1:14" x14ac:dyDescent="0.25">
      <c r="A417" s="186" t="s">
        <v>334</v>
      </c>
      <c r="B417" s="186" t="s">
        <v>260</v>
      </c>
      <c r="C417" s="186" t="s">
        <v>261</v>
      </c>
      <c r="D417" s="186" t="s">
        <v>69</v>
      </c>
      <c r="E417" s="279">
        <v>1002889000</v>
      </c>
      <c r="F417" s="279">
        <v>1002889000</v>
      </c>
      <c r="G417" s="279">
        <v>939581545.25</v>
      </c>
      <c r="H417" s="279">
        <v>0</v>
      </c>
      <c r="I417" s="279">
        <v>74194650.609999999</v>
      </c>
      <c r="J417" s="279">
        <v>0</v>
      </c>
      <c r="K417" s="592">
        <v>825145500.09000003</v>
      </c>
      <c r="L417" s="279">
        <v>825145500.09000003</v>
      </c>
      <c r="M417" s="279">
        <v>103548849.3</v>
      </c>
      <c r="N417" s="279">
        <v>40241394.549999997</v>
      </c>
    </row>
    <row r="418" spans="1:14" x14ac:dyDescent="0.25">
      <c r="A418" s="186" t="s">
        <v>334</v>
      </c>
      <c r="B418" s="186" t="s">
        <v>262</v>
      </c>
      <c r="C418" s="186" t="s">
        <v>263</v>
      </c>
      <c r="D418" s="186" t="s">
        <v>69</v>
      </c>
      <c r="E418" s="279">
        <v>657462000</v>
      </c>
      <c r="F418" s="279">
        <v>657462000</v>
      </c>
      <c r="G418" s="279">
        <v>657462000</v>
      </c>
      <c r="H418" s="279">
        <v>0</v>
      </c>
      <c r="I418" s="279">
        <v>74194650.609999999</v>
      </c>
      <c r="J418" s="279">
        <v>0</v>
      </c>
      <c r="K418" s="592">
        <v>583267349.38999999</v>
      </c>
      <c r="L418" s="279">
        <v>583267349.38999999</v>
      </c>
      <c r="M418" s="279">
        <v>0</v>
      </c>
      <c r="N418" s="279">
        <v>0</v>
      </c>
    </row>
    <row r="419" spans="1:14" x14ac:dyDescent="0.25">
      <c r="A419" s="186" t="s">
        <v>334</v>
      </c>
      <c r="B419" s="186" t="s">
        <v>264</v>
      </c>
      <c r="C419" s="186" t="s">
        <v>265</v>
      </c>
      <c r="D419" s="186" t="s">
        <v>69</v>
      </c>
      <c r="E419" s="279">
        <v>345427000</v>
      </c>
      <c r="F419" s="279">
        <v>345427000</v>
      </c>
      <c r="G419" s="279">
        <v>282119545.25</v>
      </c>
      <c r="H419" s="279">
        <v>0</v>
      </c>
      <c r="I419" s="279">
        <v>0</v>
      </c>
      <c r="J419" s="279">
        <v>0</v>
      </c>
      <c r="K419" s="592">
        <v>241878150.69999999</v>
      </c>
      <c r="L419" s="279">
        <v>241878150.69999999</v>
      </c>
      <c r="M419" s="279">
        <v>103548849.3</v>
      </c>
      <c r="N419" s="279">
        <v>40241394.549999997</v>
      </c>
    </row>
    <row r="420" spans="1:14" x14ac:dyDescent="0.25">
      <c r="A420" s="186" t="s">
        <v>334</v>
      </c>
      <c r="B420" s="186" t="s">
        <v>286</v>
      </c>
      <c r="C420" s="186" t="s">
        <v>287</v>
      </c>
      <c r="D420" s="186" t="s">
        <v>69</v>
      </c>
      <c r="E420" s="279">
        <v>88352000</v>
      </c>
      <c r="F420" s="279">
        <v>128352000</v>
      </c>
      <c r="G420" s="279">
        <v>128352000</v>
      </c>
      <c r="H420" s="279">
        <v>0</v>
      </c>
      <c r="I420" s="279">
        <v>8590390.1099999994</v>
      </c>
      <c r="J420" s="279">
        <v>0</v>
      </c>
      <c r="K420" s="592">
        <v>89761609.890000001</v>
      </c>
      <c r="L420" s="279">
        <v>89761609.890000001</v>
      </c>
      <c r="M420" s="279">
        <v>30000000</v>
      </c>
      <c r="N420" s="279">
        <v>30000000</v>
      </c>
    </row>
    <row r="421" spans="1:14" x14ac:dyDescent="0.25">
      <c r="A421" s="186" t="s">
        <v>334</v>
      </c>
      <c r="B421" s="186" t="s">
        <v>288</v>
      </c>
      <c r="C421" s="186" t="s">
        <v>289</v>
      </c>
      <c r="D421" s="186" t="s">
        <v>69</v>
      </c>
      <c r="E421" s="279">
        <v>65000000</v>
      </c>
      <c r="F421" s="279">
        <v>105000000</v>
      </c>
      <c r="G421" s="279">
        <v>105000000</v>
      </c>
      <c r="H421" s="279">
        <v>0</v>
      </c>
      <c r="I421" s="279">
        <v>3878761.16</v>
      </c>
      <c r="J421" s="279">
        <v>0</v>
      </c>
      <c r="K421" s="592">
        <v>81121238.840000004</v>
      </c>
      <c r="L421" s="279">
        <v>81121238.840000004</v>
      </c>
      <c r="M421" s="279">
        <v>20000000</v>
      </c>
      <c r="N421" s="279">
        <v>20000000</v>
      </c>
    </row>
    <row r="422" spans="1:14" x14ac:dyDescent="0.25">
      <c r="A422" s="186" t="s">
        <v>334</v>
      </c>
      <c r="B422" s="186" t="s">
        <v>370</v>
      </c>
      <c r="C422" s="186" t="s">
        <v>371</v>
      </c>
      <c r="D422" s="186" t="s">
        <v>69</v>
      </c>
      <c r="E422" s="279">
        <v>23352000</v>
      </c>
      <c r="F422" s="279">
        <v>23352000</v>
      </c>
      <c r="G422" s="279">
        <v>23352000</v>
      </c>
      <c r="H422" s="279">
        <v>0</v>
      </c>
      <c r="I422" s="279">
        <v>4711628.95</v>
      </c>
      <c r="J422" s="279">
        <v>0</v>
      </c>
      <c r="K422" s="592">
        <v>8640371.0500000007</v>
      </c>
      <c r="L422" s="279">
        <v>8640371.0500000007</v>
      </c>
      <c r="M422" s="279">
        <v>10000000</v>
      </c>
      <c r="N422" s="279">
        <v>10000000</v>
      </c>
    </row>
    <row r="423" spans="1:14" x14ac:dyDescent="0.25">
      <c r="A423" s="186" t="s">
        <v>334</v>
      </c>
      <c r="B423" s="186" t="s">
        <v>372</v>
      </c>
      <c r="C423" s="186" t="s">
        <v>373</v>
      </c>
      <c r="D423" s="186" t="s">
        <v>85</v>
      </c>
      <c r="E423" s="279">
        <v>573100000</v>
      </c>
      <c r="F423" s="279">
        <v>827134852</v>
      </c>
      <c r="G423" s="279">
        <v>422017020</v>
      </c>
      <c r="H423" s="279">
        <v>0</v>
      </c>
      <c r="I423" s="279">
        <v>0</v>
      </c>
      <c r="J423" s="279">
        <v>0</v>
      </c>
      <c r="K423" s="592">
        <v>0</v>
      </c>
      <c r="L423" s="279">
        <v>0</v>
      </c>
      <c r="M423" s="279">
        <v>827134852</v>
      </c>
      <c r="N423" s="279">
        <v>422017020</v>
      </c>
    </row>
    <row r="424" spans="1:14" x14ac:dyDescent="0.25">
      <c r="A424" s="186" t="s">
        <v>334</v>
      </c>
      <c r="B424" s="186" t="s">
        <v>374</v>
      </c>
      <c r="C424" s="186" t="s">
        <v>375</v>
      </c>
      <c r="D424" s="186" t="s">
        <v>85</v>
      </c>
      <c r="E424" s="279">
        <v>573100000</v>
      </c>
      <c r="F424" s="279">
        <v>827134852</v>
      </c>
      <c r="G424" s="279">
        <v>422017020</v>
      </c>
      <c r="H424" s="279">
        <v>0</v>
      </c>
      <c r="I424" s="279">
        <v>0</v>
      </c>
      <c r="J424" s="279">
        <v>0</v>
      </c>
      <c r="K424" s="592">
        <v>0</v>
      </c>
      <c r="L424" s="279">
        <v>0</v>
      </c>
      <c r="M424" s="279">
        <v>827134852</v>
      </c>
      <c r="N424" s="279">
        <v>422017020</v>
      </c>
    </row>
    <row r="425" spans="1:14" x14ac:dyDescent="0.25">
      <c r="A425" s="186" t="s">
        <v>334</v>
      </c>
      <c r="B425" s="186" t="s">
        <v>376</v>
      </c>
      <c r="C425" s="186" t="s">
        <v>377</v>
      </c>
      <c r="D425" s="186" t="s">
        <v>85</v>
      </c>
      <c r="E425" s="279">
        <v>573100000</v>
      </c>
      <c r="F425" s="279">
        <v>827134852</v>
      </c>
      <c r="G425" s="279">
        <v>422017020</v>
      </c>
      <c r="H425" s="279">
        <v>0</v>
      </c>
      <c r="I425" s="279">
        <v>0</v>
      </c>
      <c r="J425" s="279">
        <v>0</v>
      </c>
      <c r="K425" s="592">
        <v>0</v>
      </c>
      <c r="L425" s="279">
        <v>0</v>
      </c>
      <c r="M425" s="279">
        <v>827134852</v>
      </c>
      <c r="N425" s="279">
        <v>422017020</v>
      </c>
    </row>
    <row r="426" spans="1:14" x14ac:dyDescent="0.25">
      <c r="A426" s="186" t="s">
        <v>378</v>
      </c>
      <c r="B426" s="186"/>
      <c r="C426" s="186"/>
      <c r="D426" s="186" t="s">
        <v>69</v>
      </c>
      <c r="E426" s="279">
        <v>13837611334</v>
      </c>
      <c r="F426" s="279">
        <v>13837611334</v>
      </c>
      <c r="G426" s="279">
        <v>13751959037</v>
      </c>
      <c r="H426" s="279">
        <v>0</v>
      </c>
      <c r="I426" s="279">
        <v>959355173.00999999</v>
      </c>
      <c r="J426" s="279">
        <v>0</v>
      </c>
      <c r="K426" s="592">
        <v>8128774917.3100004</v>
      </c>
      <c r="L426" s="279">
        <v>8105279591.9899998</v>
      </c>
      <c r="M426" s="279">
        <v>4749481243.6800003</v>
      </c>
      <c r="N426" s="279">
        <v>4663828946.6800003</v>
      </c>
    </row>
    <row r="427" spans="1:14" x14ac:dyDescent="0.25">
      <c r="A427" s="186" t="s">
        <v>378</v>
      </c>
      <c r="B427" s="186" t="s">
        <v>71</v>
      </c>
      <c r="C427" s="186" t="s">
        <v>72</v>
      </c>
      <c r="D427" s="186" t="s">
        <v>69</v>
      </c>
      <c r="E427" s="279">
        <v>13313316000</v>
      </c>
      <c r="F427" s="279">
        <v>13313316000</v>
      </c>
      <c r="G427" s="279">
        <v>13313316000</v>
      </c>
      <c r="H427" s="279">
        <v>0</v>
      </c>
      <c r="I427" s="279">
        <v>809821318.40999997</v>
      </c>
      <c r="J427" s="279">
        <v>0</v>
      </c>
      <c r="K427" s="592">
        <v>7852465043.6199999</v>
      </c>
      <c r="L427" s="279">
        <v>7852465043.6199999</v>
      </c>
      <c r="M427" s="279">
        <v>4651029637.9700003</v>
      </c>
      <c r="N427" s="279">
        <v>4651029637.9700003</v>
      </c>
    </row>
    <row r="428" spans="1:14" x14ac:dyDescent="0.25">
      <c r="A428" s="186" t="s">
        <v>378</v>
      </c>
      <c r="B428" s="186" t="s">
        <v>73</v>
      </c>
      <c r="C428" s="186" t="s">
        <v>74</v>
      </c>
      <c r="D428" s="186" t="s">
        <v>69</v>
      </c>
      <c r="E428" s="279">
        <v>4473382000</v>
      </c>
      <c r="F428" s="279">
        <v>4473382000</v>
      </c>
      <c r="G428" s="279">
        <v>4473382000</v>
      </c>
      <c r="H428" s="279">
        <v>0</v>
      </c>
      <c r="I428" s="279">
        <v>0</v>
      </c>
      <c r="J428" s="279">
        <v>0</v>
      </c>
      <c r="K428" s="592">
        <v>2656645598.0500002</v>
      </c>
      <c r="L428" s="279">
        <v>2656645598.0500002</v>
      </c>
      <c r="M428" s="279">
        <v>1816736401.95</v>
      </c>
      <c r="N428" s="279">
        <v>1816736401.95</v>
      </c>
    </row>
    <row r="429" spans="1:14" x14ac:dyDescent="0.25">
      <c r="A429" s="186" t="s">
        <v>378</v>
      </c>
      <c r="B429" s="186" t="s">
        <v>75</v>
      </c>
      <c r="C429" s="186" t="s">
        <v>76</v>
      </c>
      <c r="D429" s="186" t="s">
        <v>69</v>
      </c>
      <c r="E429" s="279">
        <v>4473382000</v>
      </c>
      <c r="F429" s="279">
        <v>4473382000</v>
      </c>
      <c r="G429" s="279">
        <v>4473382000</v>
      </c>
      <c r="H429" s="279">
        <v>0</v>
      </c>
      <c r="I429" s="279">
        <v>0</v>
      </c>
      <c r="J429" s="279">
        <v>0</v>
      </c>
      <c r="K429" s="592">
        <v>2656645598.0500002</v>
      </c>
      <c r="L429" s="279">
        <v>2656645598.0500002</v>
      </c>
      <c r="M429" s="279">
        <v>1816736401.95</v>
      </c>
      <c r="N429" s="279">
        <v>1816736401.95</v>
      </c>
    </row>
    <row r="430" spans="1:14" x14ac:dyDescent="0.25">
      <c r="A430" s="186" t="s">
        <v>378</v>
      </c>
      <c r="B430" s="186" t="s">
        <v>77</v>
      </c>
      <c r="C430" s="186" t="s">
        <v>78</v>
      </c>
      <c r="D430" s="186" t="s">
        <v>69</v>
      </c>
      <c r="E430" s="279">
        <v>6745487000</v>
      </c>
      <c r="F430" s="279">
        <v>6745487000</v>
      </c>
      <c r="G430" s="279">
        <v>6745487000</v>
      </c>
      <c r="H430" s="279">
        <v>0</v>
      </c>
      <c r="I430" s="279">
        <v>0</v>
      </c>
      <c r="J430" s="279">
        <v>0</v>
      </c>
      <c r="K430" s="592">
        <v>3911193763.98</v>
      </c>
      <c r="L430" s="279">
        <v>3911193763.98</v>
      </c>
      <c r="M430" s="279">
        <v>2834293236.02</v>
      </c>
      <c r="N430" s="279">
        <v>2834293236.02</v>
      </c>
    </row>
    <row r="431" spans="1:14" x14ac:dyDescent="0.25">
      <c r="A431" s="186" t="s">
        <v>378</v>
      </c>
      <c r="B431" s="186" t="s">
        <v>79</v>
      </c>
      <c r="C431" s="186" t="s">
        <v>80</v>
      </c>
      <c r="D431" s="186" t="s">
        <v>69</v>
      </c>
      <c r="E431" s="279">
        <v>1460185000</v>
      </c>
      <c r="F431" s="279">
        <v>1460185000</v>
      </c>
      <c r="G431" s="279">
        <v>1460185000</v>
      </c>
      <c r="H431" s="279">
        <v>0</v>
      </c>
      <c r="I431" s="279">
        <v>0</v>
      </c>
      <c r="J431" s="279">
        <v>0</v>
      </c>
      <c r="K431" s="592">
        <v>878455309.12</v>
      </c>
      <c r="L431" s="279">
        <v>878455309.12</v>
      </c>
      <c r="M431" s="279">
        <v>581729690.88</v>
      </c>
      <c r="N431" s="279">
        <v>581729690.88</v>
      </c>
    </row>
    <row r="432" spans="1:14" x14ac:dyDescent="0.25">
      <c r="A432" s="186" t="s">
        <v>378</v>
      </c>
      <c r="B432" s="186" t="s">
        <v>81</v>
      </c>
      <c r="C432" s="186" t="s">
        <v>82</v>
      </c>
      <c r="D432" s="186" t="s">
        <v>69</v>
      </c>
      <c r="E432" s="279">
        <v>2519609000</v>
      </c>
      <c r="F432" s="279">
        <v>2519609000</v>
      </c>
      <c r="G432" s="279">
        <v>2519609000</v>
      </c>
      <c r="H432" s="279">
        <v>0</v>
      </c>
      <c r="I432" s="279">
        <v>0</v>
      </c>
      <c r="J432" s="279">
        <v>0</v>
      </c>
      <c r="K432" s="592">
        <v>1553857464.9300001</v>
      </c>
      <c r="L432" s="279">
        <v>1553857464.9300001</v>
      </c>
      <c r="M432" s="279">
        <v>965751535.07000005</v>
      </c>
      <c r="N432" s="279">
        <v>965751535.07000005</v>
      </c>
    </row>
    <row r="433" spans="1:14" x14ac:dyDescent="0.25">
      <c r="A433" s="186" t="s">
        <v>378</v>
      </c>
      <c r="B433" s="186" t="s">
        <v>83</v>
      </c>
      <c r="C433" s="186" t="s">
        <v>84</v>
      </c>
      <c r="D433" s="186" t="s">
        <v>85</v>
      </c>
      <c r="E433" s="279">
        <v>830335000</v>
      </c>
      <c r="F433" s="279">
        <v>830335000</v>
      </c>
      <c r="G433" s="279">
        <v>830335000</v>
      </c>
      <c r="H433" s="279">
        <v>0</v>
      </c>
      <c r="I433" s="279">
        <v>0</v>
      </c>
      <c r="J433" s="279">
        <v>0</v>
      </c>
      <c r="K433" s="592">
        <v>241669.22</v>
      </c>
      <c r="L433" s="279">
        <v>241669.22</v>
      </c>
      <c r="M433" s="279">
        <v>830093330.77999997</v>
      </c>
      <c r="N433" s="279">
        <v>830093330.77999997</v>
      </c>
    </row>
    <row r="434" spans="1:14" x14ac:dyDescent="0.25">
      <c r="A434" s="186" t="s">
        <v>378</v>
      </c>
      <c r="B434" s="186" t="s">
        <v>86</v>
      </c>
      <c r="C434" s="186" t="s">
        <v>87</v>
      </c>
      <c r="D434" s="186" t="s">
        <v>69</v>
      </c>
      <c r="E434" s="279">
        <v>738904000</v>
      </c>
      <c r="F434" s="279">
        <v>738904000</v>
      </c>
      <c r="G434" s="279">
        <v>738904000</v>
      </c>
      <c r="H434" s="279">
        <v>0</v>
      </c>
      <c r="I434" s="279">
        <v>0</v>
      </c>
      <c r="J434" s="279">
        <v>0</v>
      </c>
      <c r="K434" s="592">
        <v>737019487.25</v>
      </c>
      <c r="L434" s="279">
        <v>737019487.25</v>
      </c>
      <c r="M434" s="279">
        <v>1884512.75</v>
      </c>
      <c r="N434" s="279">
        <v>1884512.75</v>
      </c>
    </row>
    <row r="435" spans="1:14" x14ac:dyDescent="0.25">
      <c r="A435" s="186" t="s">
        <v>378</v>
      </c>
      <c r="B435" s="186" t="s">
        <v>88</v>
      </c>
      <c r="C435" s="186" t="s">
        <v>89</v>
      </c>
      <c r="D435" s="186" t="s">
        <v>69</v>
      </c>
      <c r="E435" s="279">
        <v>1196454000</v>
      </c>
      <c r="F435" s="279">
        <v>1196454000</v>
      </c>
      <c r="G435" s="279">
        <v>1196454000</v>
      </c>
      <c r="H435" s="279">
        <v>0</v>
      </c>
      <c r="I435" s="279">
        <v>0</v>
      </c>
      <c r="J435" s="279">
        <v>0</v>
      </c>
      <c r="K435" s="592">
        <v>741619833.46000004</v>
      </c>
      <c r="L435" s="279">
        <v>741619833.46000004</v>
      </c>
      <c r="M435" s="279">
        <v>454834166.54000002</v>
      </c>
      <c r="N435" s="279">
        <v>454834166.54000002</v>
      </c>
    </row>
    <row r="436" spans="1:14" x14ac:dyDescent="0.25">
      <c r="A436" s="186" t="s">
        <v>378</v>
      </c>
      <c r="B436" s="186" t="s">
        <v>90</v>
      </c>
      <c r="C436" s="186" t="s">
        <v>91</v>
      </c>
      <c r="D436" s="186" t="s">
        <v>69</v>
      </c>
      <c r="E436" s="279">
        <v>1012881000</v>
      </c>
      <c r="F436" s="279">
        <v>1012881000</v>
      </c>
      <c r="G436" s="279">
        <v>1012881000</v>
      </c>
      <c r="H436" s="279">
        <v>0</v>
      </c>
      <c r="I436" s="279">
        <v>371551503</v>
      </c>
      <c r="J436" s="279">
        <v>0</v>
      </c>
      <c r="K436" s="592">
        <v>641329497</v>
      </c>
      <c r="L436" s="279">
        <v>641329497</v>
      </c>
      <c r="M436" s="279">
        <v>0</v>
      </c>
      <c r="N436" s="279">
        <v>0</v>
      </c>
    </row>
    <row r="437" spans="1:14" x14ac:dyDescent="0.25">
      <c r="A437" s="186" t="s">
        <v>378</v>
      </c>
      <c r="B437" s="186" t="s">
        <v>379</v>
      </c>
      <c r="C437" s="186" t="s">
        <v>93</v>
      </c>
      <c r="D437" s="186" t="s">
        <v>69</v>
      </c>
      <c r="E437" s="279">
        <v>960939000</v>
      </c>
      <c r="F437" s="279">
        <v>960939000</v>
      </c>
      <c r="G437" s="279">
        <v>960939000</v>
      </c>
      <c r="H437" s="279">
        <v>0</v>
      </c>
      <c r="I437" s="279">
        <v>352496866</v>
      </c>
      <c r="J437" s="279">
        <v>0</v>
      </c>
      <c r="K437" s="592">
        <v>608442134</v>
      </c>
      <c r="L437" s="279">
        <v>608442134</v>
      </c>
      <c r="M437" s="279">
        <v>0</v>
      </c>
      <c r="N437" s="279">
        <v>0</v>
      </c>
    </row>
    <row r="438" spans="1:14" x14ac:dyDescent="0.25">
      <c r="A438" s="186" t="s">
        <v>378</v>
      </c>
      <c r="B438" s="186" t="s">
        <v>380</v>
      </c>
      <c r="C438" s="186" t="s">
        <v>95</v>
      </c>
      <c r="D438" s="186" t="s">
        <v>69</v>
      </c>
      <c r="E438" s="279">
        <v>51942000</v>
      </c>
      <c r="F438" s="279">
        <v>51942000</v>
      </c>
      <c r="G438" s="279">
        <v>51942000</v>
      </c>
      <c r="H438" s="279">
        <v>0</v>
      </c>
      <c r="I438" s="279">
        <v>19054637</v>
      </c>
      <c r="J438" s="279">
        <v>0</v>
      </c>
      <c r="K438" s="592">
        <v>32887363</v>
      </c>
      <c r="L438" s="279">
        <v>32887363</v>
      </c>
      <c r="M438" s="279">
        <v>0</v>
      </c>
      <c r="N438" s="279">
        <v>0</v>
      </c>
    </row>
    <row r="439" spans="1:14" x14ac:dyDescent="0.25">
      <c r="A439" s="186" t="s">
        <v>378</v>
      </c>
      <c r="B439" s="186" t="s">
        <v>96</v>
      </c>
      <c r="C439" s="186" t="s">
        <v>97</v>
      </c>
      <c r="D439" s="186" t="s">
        <v>69</v>
      </c>
      <c r="E439" s="279">
        <v>1081566000</v>
      </c>
      <c r="F439" s="279">
        <v>1081566000</v>
      </c>
      <c r="G439" s="279">
        <v>1081566000</v>
      </c>
      <c r="H439" s="279">
        <v>0</v>
      </c>
      <c r="I439" s="279">
        <v>438269815.41000003</v>
      </c>
      <c r="J439" s="279">
        <v>0</v>
      </c>
      <c r="K439" s="592">
        <v>643296184.59000003</v>
      </c>
      <c r="L439" s="279">
        <v>643296184.59000003</v>
      </c>
      <c r="M439" s="279">
        <v>0</v>
      </c>
      <c r="N439" s="279">
        <v>0</v>
      </c>
    </row>
    <row r="440" spans="1:14" x14ac:dyDescent="0.25">
      <c r="A440" s="186" t="s">
        <v>378</v>
      </c>
      <c r="B440" s="186" t="s">
        <v>381</v>
      </c>
      <c r="C440" s="186" t="s">
        <v>99</v>
      </c>
      <c r="D440" s="186" t="s">
        <v>69</v>
      </c>
      <c r="E440" s="279">
        <v>527737000</v>
      </c>
      <c r="F440" s="279">
        <v>527737000</v>
      </c>
      <c r="G440" s="279">
        <v>527737000</v>
      </c>
      <c r="H440" s="279">
        <v>0</v>
      </c>
      <c r="I440" s="279">
        <v>238372021</v>
      </c>
      <c r="J440" s="279">
        <v>0</v>
      </c>
      <c r="K440" s="592">
        <v>289364979</v>
      </c>
      <c r="L440" s="279">
        <v>289364979</v>
      </c>
      <c r="M440" s="279">
        <v>0</v>
      </c>
      <c r="N440" s="279">
        <v>0</v>
      </c>
    </row>
    <row r="441" spans="1:14" x14ac:dyDescent="0.25">
      <c r="A441" s="186" t="s">
        <v>378</v>
      </c>
      <c r="B441" s="186" t="s">
        <v>382</v>
      </c>
      <c r="C441" s="186" t="s">
        <v>101</v>
      </c>
      <c r="D441" s="186" t="s">
        <v>69</v>
      </c>
      <c r="E441" s="279">
        <v>155828000</v>
      </c>
      <c r="F441" s="279">
        <v>155828000</v>
      </c>
      <c r="G441" s="279">
        <v>155828000</v>
      </c>
      <c r="H441" s="279">
        <v>0</v>
      </c>
      <c r="I441" s="279">
        <v>57165852</v>
      </c>
      <c r="J441" s="279">
        <v>0</v>
      </c>
      <c r="K441" s="592">
        <v>98662148</v>
      </c>
      <c r="L441" s="279">
        <v>98662148</v>
      </c>
      <c r="M441" s="279">
        <v>0</v>
      </c>
      <c r="N441" s="279">
        <v>0</v>
      </c>
    </row>
    <row r="442" spans="1:14" x14ac:dyDescent="0.25">
      <c r="A442" s="186" t="s">
        <v>378</v>
      </c>
      <c r="B442" s="186" t="s">
        <v>383</v>
      </c>
      <c r="C442" s="186" t="s">
        <v>103</v>
      </c>
      <c r="D442" s="186" t="s">
        <v>69</v>
      </c>
      <c r="E442" s="279">
        <v>311656000</v>
      </c>
      <c r="F442" s="279">
        <v>311656000</v>
      </c>
      <c r="G442" s="279">
        <v>311656000</v>
      </c>
      <c r="H442" s="279">
        <v>0</v>
      </c>
      <c r="I442" s="279">
        <v>114331802</v>
      </c>
      <c r="J442" s="279">
        <v>0</v>
      </c>
      <c r="K442" s="592">
        <v>197324198</v>
      </c>
      <c r="L442" s="279">
        <v>197324198</v>
      </c>
      <c r="M442" s="279">
        <v>0</v>
      </c>
      <c r="N442" s="279">
        <v>0</v>
      </c>
    </row>
    <row r="443" spans="1:14" x14ac:dyDescent="0.25">
      <c r="A443" s="186" t="s">
        <v>378</v>
      </c>
      <c r="B443" s="186" t="s">
        <v>384</v>
      </c>
      <c r="C443" s="186" t="s">
        <v>385</v>
      </c>
      <c r="D443" s="186" t="s">
        <v>69</v>
      </c>
      <c r="E443" s="279">
        <v>86345000</v>
      </c>
      <c r="F443" s="279">
        <v>86345000</v>
      </c>
      <c r="G443" s="279">
        <v>86345000</v>
      </c>
      <c r="H443" s="279">
        <v>0</v>
      </c>
      <c r="I443" s="279">
        <v>28400140.41</v>
      </c>
      <c r="J443" s="279">
        <v>0</v>
      </c>
      <c r="K443" s="592">
        <v>57944859.590000004</v>
      </c>
      <c r="L443" s="279">
        <v>57944859.590000004</v>
      </c>
      <c r="M443" s="279">
        <v>0</v>
      </c>
      <c r="N443" s="279">
        <v>0</v>
      </c>
    </row>
    <row r="444" spans="1:14" x14ac:dyDescent="0.25">
      <c r="A444" s="186" t="s">
        <v>378</v>
      </c>
      <c r="B444" s="186" t="s">
        <v>104</v>
      </c>
      <c r="C444" s="186" t="s">
        <v>105</v>
      </c>
      <c r="D444" s="186" t="s">
        <v>69</v>
      </c>
      <c r="E444" s="279">
        <v>31730334</v>
      </c>
      <c r="F444" s="279">
        <v>43352799</v>
      </c>
      <c r="G444" s="279">
        <v>43352799</v>
      </c>
      <c r="H444" s="279">
        <v>0</v>
      </c>
      <c r="I444" s="279">
        <v>43352799</v>
      </c>
      <c r="J444" s="279">
        <v>0</v>
      </c>
      <c r="K444" s="592">
        <v>0</v>
      </c>
      <c r="L444" s="279">
        <v>0</v>
      </c>
      <c r="M444" s="279">
        <v>0</v>
      </c>
      <c r="N444" s="279">
        <v>0</v>
      </c>
    </row>
    <row r="445" spans="1:14" x14ac:dyDescent="0.25">
      <c r="A445" s="186" t="s">
        <v>378</v>
      </c>
      <c r="B445" s="186" t="s">
        <v>150</v>
      </c>
      <c r="C445" s="186" t="s">
        <v>151</v>
      </c>
      <c r="D445" s="186" t="s">
        <v>69</v>
      </c>
      <c r="E445" s="279">
        <v>31730334</v>
      </c>
      <c r="F445" s="279">
        <v>43352799</v>
      </c>
      <c r="G445" s="279">
        <v>43352799</v>
      </c>
      <c r="H445" s="279">
        <v>0</v>
      </c>
      <c r="I445" s="279">
        <v>43352799</v>
      </c>
      <c r="J445" s="279">
        <v>0</v>
      </c>
      <c r="K445" s="592">
        <v>0</v>
      </c>
      <c r="L445" s="279">
        <v>0</v>
      </c>
      <c r="M445" s="279">
        <v>0</v>
      </c>
      <c r="N445" s="279">
        <v>0</v>
      </c>
    </row>
    <row r="446" spans="1:14" x14ac:dyDescent="0.25">
      <c r="A446" s="186" t="s">
        <v>378</v>
      </c>
      <c r="B446" s="186" t="s">
        <v>152</v>
      </c>
      <c r="C446" s="186" t="s">
        <v>153</v>
      </c>
      <c r="D446" s="186" t="s">
        <v>69</v>
      </c>
      <c r="E446" s="279">
        <v>31730334</v>
      </c>
      <c r="F446" s="279">
        <v>43352799</v>
      </c>
      <c r="G446" s="279">
        <v>43352799</v>
      </c>
      <c r="H446" s="279">
        <v>0</v>
      </c>
      <c r="I446" s="279">
        <v>43352799</v>
      </c>
      <c r="J446" s="279">
        <v>0</v>
      </c>
      <c r="K446" s="592">
        <v>0</v>
      </c>
      <c r="L446" s="279">
        <v>0</v>
      </c>
      <c r="M446" s="279">
        <v>0</v>
      </c>
      <c r="N446" s="279">
        <v>0</v>
      </c>
    </row>
    <row r="447" spans="1:14" x14ac:dyDescent="0.25">
      <c r="A447" s="186" t="s">
        <v>378</v>
      </c>
      <c r="B447" s="186" t="s">
        <v>248</v>
      </c>
      <c r="C447" s="186" t="s">
        <v>249</v>
      </c>
      <c r="D447" s="186" t="s">
        <v>69</v>
      </c>
      <c r="E447" s="279">
        <v>492565000</v>
      </c>
      <c r="F447" s="279">
        <v>480942535</v>
      </c>
      <c r="G447" s="279">
        <v>395290238</v>
      </c>
      <c r="H447" s="279">
        <v>0</v>
      </c>
      <c r="I447" s="279">
        <v>106181055.59999999</v>
      </c>
      <c r="J447" s="279">
        <v>0</v>
      </c>
      <c r="K447" s="592">
        <v>276309873.69</v>
      </c>
      <c r="L447" s="279">
        <v>252814548.37</v>
      </c>
      <c r="M447" s="279">
        <v>98451605.709999993</v>
      </c>
      <c r="N447" s="279">
        <v>12799308.710000001</v>
      </c>
    </row>
    <row r="448" spans="1:14" x14ac:dyDescent="0.25">
      <c r="A448" s="186" t="s">
        <v>378</v>
      </c>
      <c r="B448" s="186" t="s">
        <v>250</v>
      </c>
      <c r="C448" s="186" t="s">
        <v>251</v>
      </c>
      <c r="D448" s="186" t="s">
        <v>69</v>
      </c>
      <c r="E448" s="279">
        <v>154788000</v>
      </c>
      <c r="F448" s="279">
        <v>154788000</v>
      </c>
      <c r="G448" s="279">
        <v>154788000</v>
      </c>
      <c r="H448" s="279">
        <v>0</v>
      </c>
      <c r="I448" s="279">
        <v>66575975.079999998</v>
      </c>
      <c r="J448" s="279">
        <v>0</v>
      </c>
      <c r="K448" s="592">
        <v>88212024.920000002</v>
      </c>
      <c r="L448" s="279">
        <v>88212024.920000002</v>
      </c>
      <c r="M448" s="279">
        <v>0</v>
      </c>
      <c r="N448" s="279">
        <v>0</v>
      </c>
    </row>
    <row r="449" spans="1:14" x14ac:dyDescent="0.25">
      <c r="A449" s="186" t="s">
        <v>378</v>
      </c>
      <c r="B449" s="186" t="s">
        <v>386</v>
      </c>
      <c r="C449" s="186" t="s">
        <v>257</v>
      </c>
      <c r="D449" s="186" t="s">
        <v>69</v>
      </c>
      <c r="E449" s="279">
        <v>128817000</v>
      </c>
      <c r="F449" s="279">
        <v>128817000</v>
      </c>
      <c r="G449" s="279">
        <v>128817000</v>
      </c>
      <c r="H449" s="279">
        <v>0</v>
      </c>
      <c r="I449" s="279">
        <v>57048728.079999998</v>
      </c>
      <c r="J449" s="279">
        <v>0</v>
      </c>
      <c r="K449" s="592">
        <v>71768271.920000002</v>
      </c>
      <c r="L449" s="279">
        <v>71768271.920000002</v>
      </c>
      <c r="M449" s="279">
        <v>0</v>
      </c>
      <c r="N449" s="279">
        <v>0</v>
      </c>
    </row>
    <row r="450" spans="1:14" x14ac:dyDescent="0.25">
      <c r="A450" s="186" t="s">
        <v>378</v>
      </c>
      <c r="B450" s="186" t="s">
        <v>387</v>
      </c>
      <c r="C450" s="186" t="s">
        <v>259</v>
      </c>
      <c r="D450" s="186" t="s">
        <v>69</v>
      </c>
      <c r="E450" s="279">
        <v>25971000</v>
      </c>
      <c r="F450" s="279">
        <v>25971000</v>
      </c>
      <c r="G450" s="279">
        <v>25971000</v>
      </c>
      <c r="H450" s="279">
        <v>0</v>
      </c>
      <c r="I450" s="279">
        <v>9527247</v>
      </c>
      <c r="J450" s="279">
        <v>0</v>
      </c>
      <c r="K450" s="592">
        <v>16443753</v>
      </c>
      <c r="L450" s="279">
        <v>16443753</v>
      </c>
      <c r="M450" s="279">
        <v>0</v>
      </c>
      <c r="N450" s="279">
        <v>0</v>
      </c>
    </row>
    <row r="451" spans="1:14" x14ac:dyDescent="0.25">
      <c r="A451" s="186" t="s">
        <v>378</v>
      </c>
      <c r="B451" s="186" t="s">
        <v>260</v>
      </c>
      <c r="C451" s="186" t="s">
        <v>261</v>
      </c>
      <c r="D451" s="186" t="s">
        <v>69</v>
      </c>
      <c r="E451" s="279">
        <v>312777000</v>
      </c>
      <c r="F451" s="279">
        <v>296154535</v>
      </c>
      <c r="G451" s="279">
        <v>210502238</v>
      </c>
      <c r="H451" s="279">
        <v>0</v>
      </c>
      <c r="I451" s="279">
        <v>33381495.129999999</v>
      </c>
      <c r="J451" s="279">
        <v>0</v>
      </c>
      <c r="K451" s="592">
        <v>164321434.16</v>
      </c>
      <c r="L451" s="279">
        <v>140826108.84</v>
      </c>
      <c r="M451" s="279">
        <v>98451605.709999993</v>
      </c>
      <c r="N451" s="279">
        <v>12799308.710000001</v>
      </c>
    </row>
    <row r="452" spans="1:14" x14ac:dyDescent="0.25">
      <c r="A452" s="186" t="s">
        <v>378</v>
      </c>
      <c r="B452" s="186" t="s">
        <v>262</v>
      </c>
      <c r="C452" s="186" t="s">
        <v>263</v>
      </c>
      <c r="D452" s="186" t="s">
        <v>69</v>
      </c>
      <c r="E452" s="279">
        <v>239389000</v>
      </c>
      <c r="F452" s="279">
        <v>239389000</v>
      </c>
      <c r="G452" s="279">
        <v>165359168</v>
      </c>
      <c r="H452" s="279">
        <v>0</v>
      </c>
      <c r="I452" s="279">
        <v>33381495.129999999</v>
      </c>
      <c r="J452" s="279">
        <v>0</v>
      </c>
      <c r="K452" s="592">
        <v>131977670.87</v>
      </c>
      <c r="L452" s="279">
        <v>108482345.55</v>
      </c>
      <c r="M452" s="279">
        <v>74029834</v>
      </c>
      <c r="N452" s="279">
        <v>2</v>
      </c>
    </row>
    <row r="453" spans="1:14" x14ac:dyDescent="0.25">
      <c r="A453" s="186" t="s">
        <v>378</v>
      </c>
      <c r="B453" s="186" t="s">
        <v>264</v>
      </c>
      <c r="C453" s="186" t="s">
        <v>265</v>
      </c>
      <c r="D453" s="186" t="s">
        <v>69</v>
      </c>
      <c r="E453" s="279">
        <v>73388000</v>
      </c>
      <c r="F453" s="279">
        <v>56765535</v>
      </c>
      <c r="G453" s="279">
        <v>45143070</v>
      </c>
      <c r="H453" s="279">
        <v>0</v>
      </c>
      <c r="I453" s="279">
        <v>0</v>
      </c>
      <c r="J453" s="279">
        <v>0</v>
      </c>
      <c r="K453" s="592">
        <v>32343763.289999999</v>
      </c>
      <c r="L453" s="279">
        <v>32343763.289999999</v>
      </c>
      <c r="M453" s="279">
        <v>24421771.710000001</v>
      </c>
      <c r="N453" s="279">
        <v>12799306.710000001</v>
      </c>
    </row>
    <row r="454" spans="1:14" x14ac:dyDescent="0.25">
      <c r="A454" s="186" t="s">
        <v>378</v>
      </c>
      <c r="B454" s="186" t="s">
        <v>286</v>
      </c>
      <c r="C454" s="186" t="s">
        <v>287</v>
      </c>
      <c r="D454" s="186" t="s">
        <v>69</v>
      </c>
      <c r="E454" s="279">
        <v>25000000</v>
      </c>
      <c r="F454" s="279">
        <v>30000000</v>
      </c>
      <c r="G454" s="279">
        <v>30000000</v>
      </c>
      <c r="H454" s="279">
        <v>0</v>
      </c>
      <c r="I454" s="279">
        <v>6223585.3899999997</v>
      </c>
      <c r="J454" s="279">
        <v>0</v>
      </c>
      <c r="K454" s="592">
        <v>23776414.609999999</v>
      </c>
      <c r="L454" s="279">
        <v>23776414.609999999</v>
      </c>
      <c r="M454" s="279">
        <v>0</v>
      </c>
      <c r="N454" s="279">
        <v>0</v>
      </c>
    </row>
    <row r="455" spans="1:14" x14ac:dyDescent="0.25">
      <c r="A455" s="186" t="s">
        <v>378</v>
      </c>
      <c r="B455" s="186" t="s">
        <v>288</v>
      </c>
      <c r="C455" s="186" t="s">
        <v>289</v>
      </c>
      <c r="D455" s="186" t="s">
        <v>69</v>
      </c>
      <c r="E455" s="279">
        <v>10000000</v>
      </c>
      <c r="F455" s="279">
        <v>10000000</v>
      </c>
      <c r="G455" s="279">
        <v>10000000</v>
      </c>
      <c r="H455" s="279">
        <v>0</v>
      </c>
      <c r="I455" s="279">
        <v>335433.57</v>
      </c>
      <c r="J455" s="279">
        <v>0</v>
      </c>
      <c r="K455" s="592">
        <v>9664566.4299999997</v>
      </c>
      <c r="L455" s="279">
        <v>9664566.4299999997</v>
      </c>
      <c r="M455" s="279">
        <v>0</v>
      </c>
      <c r="N455" s="279">
        <v>0</v>
      </c>
    </row>
    <row r="456" spans="1:14" x14ac:dyDescent="0.25">
      <c r="A456" s="186" t="s">
        <v>378</v>
      </c>
      <c r="B456" s="186" t="s">
        <v>370</v>
      </c>
      <c r="C456" s="186" t="s">
        <v>371</v>
      </c>
      <c r="D456" s="186" t="s">
        <v>69</v>
      </c>
      <c r="E456" s="279">
        <v>15000000</v>
      </c>
      <c r="F456" s="279">
        <v>20000000</v>
      </c>
      <c r="G456" s="279">
        <v>20000000</v>
      </c>
      <c r="H456" s="279">
        <v>0</v>
      </c>
      <c r="I456" s="279">
        <v>5888151.8200000003</v>
      </c>
      <c r="J456" s="279">
        <v>0</v>
      </c>
      <c r="K456" s="592">
        <v>14111848.18</v>
      </c>
      <c r="L456" s="279">
        <v>14111848.18</v>
      </c>
      <c r="M456" s="279">
        <v>0</v>
      </c>
      <c r="N456" s="279">
        <v>0</v>
      </c>
    </row>
    <row r="457" spans="1:14" x14ac:dyDescent="0.25">
      <c r="A457" s="53"/>
      <c r="B457" s="53"/>
      <c r="C457" s="53"/>
      <c r="D457" s="53"/>
      <c r="E457" s="54">
        <v>675435665000</v>
      </c>
      <c r="F457" s="54">
        <v>705435665000</v>
      </c>
      <c r="G457" s="54">
        <v>663061734803.75</v>
      </c>
      <c r="H457" s="54">
        <v>2300609565.6500001</v>
      </c>
      <c r="I457" s="54">
        <v>71597956719.050003</v>
      </c>
      <c r="J457" s="54">
        <v>2470436077.0500002</v>
      </c>
      <c r="K457" s="182">
        <v>403424270330.95001</v>
      </c>
      <c r="L457" s="54">
        <v>402094862138.54999</v>
      </c>
      <c r="M457" s="54">
        <v>225642392307.29999</v>
      </c>
      <c r="N457" s="54">
        <v>183268462111.04999</v>
      </c>
    </row>
  </sheetData>
  <sheetProtection selectLockedCells="1" selectUnlockedCells="1"/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7"/>
  <sheetViews>
    <sheetView zoomScaleNormal="100" workbookViewId="0"/>
  </sheetViews>
  <sheetFormatPr baseColWidth="10" defaultColWidth="36.28515625" defaultRowHeight="15" x14ac:dyDescent="0.25"/>
  <cols>
    <col min="1" max="1" width="13" customWidth="1"/>
    <col min="2" max="2" width="18.140625" customWidth="1"/>
    <col min="3" max="3" width="62.7109375" customWidth="1"/>
    <col min="4" max="4" width="6.5703125" customWidth="1"/>
    <col min="5" max="5" width="18.7109375" customWidth="1"/>
    <col min="6" max="6" width="23.7109375" customWidth="1"/>
    <col min="7" max="7" width="18.5703125" customWidth="1"/>
    <col min="8" max="8" width="17.42578125" customWidth="1"/>
    <col min="9" max="9" width="18.5703125" customWidth="1"/>
    <col min="10" max="10" width="20" customWidth="1"/>
    <col min="11" max="12" width="18.5703125" customWidth="1"/>
    <col min="13" max="13" width="21.5703125" customWidth="1"/>
    <col min="14" max="14" width="18.5703125" customWidth="1"/>
  </cols>
  <sheetData>
    <row r="1" spans="1:14" x14ac:dyDescent="0.25">
      <c r="A1" s="144" t="s">
        <v>52</v>
      </c>
      <c r="B1" s="144" t="s">
        <v>53</v>
      </c>
      <c r="C1" s="144" t="s">
        <v>54</v>
      </c>
      <c r="D1" s="144" t="s">
        <v>55</v>
      </c>
      <c r="E1" s="144" t="s">
        <v>56</v>
      </c>
      <c r="F1" s="144" t="s">
        <v>57</v>
      </c>
      <c r="G1" s="144" t="s">
        <v>58</v>
      </c>
      <c r="H1" s="144" t="s">
        <v>59</v>
      </c>
      <c r="I1" s="144" t="s">
        <v>60</v>
      </c>
      <c r="J1" s="144" t="s">
        <v>61</v>
      </c>
      <c r="K1" s="144" t="s">
        <v>12</v>
      </c>
      <c r="L1" s="144" t="s">
        <v>63</v>
      </c>
      <c r="M1" s="144" t="s">
        <v>65</v>
      </c>
      <c r="N1" s="144" t="s">
        <v>67</v>
      </c>
    </row>
    <row r="2" spans="1:14" s="143" customFormat="1" x14ac:dyDescent="0.25">
      <c r="A2" s="143" t="s">
        <v>68</v>
      </c>
      <c r="D2" s="143" t="s">
        <v>69</v>
      </c>
      <c r="E2" s="257">
        <v>135087133000</v>
      </c>
      <c r="F2" s="257">
        <v>141087133000</v>
      </c>
      <c r="G2" s="257">
        <v>132612346960.75</v>
      </c>
      <c r="H2" s="257">
        <v>234163482.37</v>
      </c>
      <c r="I2" s="257">
        <v>20007027859.009998</v>
      </c>
      <c r="J2" s="257">
        <v>355864506.11000001</v>
      </c>
      <c r="K2" s="257">
        <v>64330619794.25</v>
      </c>
      <c r="L2" s="257">
        <v>63810362333.93</v>
      </c>
      <c r="M2" s="257">
        <v>56159457358.260002</v>
      </c>
      <c r="N2" s="257">
        <v>47684671319.010002</v>
      </c>
    </row>
    <row r="3" spans="1:14" s="143" customFormat="1" x14ac:dyDescent="0.25">
      <c r="A3" s="143">
        <v>214779</v>
      </c>
      <c r="D3" s="143" t="s">
        <v>69</v>
      </c>
      <c r="E3" s="257">
        <v>2519449227</v>
      </c>
      <c r="F3" s="257">
        <v>2519449227</v>
      </c>
      <c r="G3" s="257">
        <v>2255822736</v>
      </c>
      <c r="H3" s="257">
        <v>0</v>
      </c>
      <c r="I3" s="257">
        <v>317714907.62</v>
      </c>
      <c r="J3" s="257">
        <v>685273.83</v>
      </c>
      <c r="K3" s="257">
        <v>1204786818.0799999</v>
      </c>
      <c r="L3" s="257">
        <v>1199652379.3099999</v>
      </c>
      <c r="M3" s="257">
        <v>996262227.47000003</v>
      </c>
      <c r="N3" s="257">
        <v>732635736.47000003</v>
      </c>
    </row>
    <row r="4" spans="1:14" s="143" customFormat="1" x14ac:dyDescent="0.25">
      <c r="A4" s="143" t="s">
        <v>70</v>
      </c>
      <c r="B4" s="143" t="s">
        <v>71</v>
      </c>
      <c r="C4" s="143" t="s">
        <v>72</v>
      </c>
      <c r="D4" s="143" t="s">
        <v>69</v>
      </c>
      <c r="E4" s="257">
        <v>1386097000</v>
      </c>
      <c r="F4" s="257">
        <v>1364477635</v>
      </c>
      <c r="G4" s="257">
        <v>1364477635</v>
      </c>
      <c r="H4" s="257">
        <v>0</v>
      </c>
      <c r="I4" s="257">
        <v>106453647</v>
      </c>
      <c r="J4" s="257">
        <v>0</v>
      </c>
      <c r="K4" s="257">
        <v>633267249.96000004</v>
      </c>
      <c r="L4" s="257">
        <v>633267249.96000004</v>
      </c>
      <c r="M4" s="257">
        <v>624756738.03999996</v>
      </c>
      <c r="N4" s="257">
        <v>624756738.03999996</v>
      </c>
    </row>
    <row r="5" spans="1:14" s="143" customFormat="1" x14ac:dyDescent="0.25">
      <c r="A5" s="143" t="s">
        <v>70</v>
      </c>
      <c r="B5" s="143" t="s">
        <v>73</v>
      </c>
      <c r="C5" s="143" t="s">
        <v>74</v>
      </c>
      <c r="D5" s="143" t="s">
        <v>69</v>
      </c>
      <c r="E5" s="257">
        <v>526394000</v>
      </c>
      <c r="F5" s="257">
        <v>513555100</v>
      </c>
      <c r="G5" s="257">
        <v>513555100</v>
      </c>
      <c r="H5" s="257">
        <v>0</v>
      </c>
      <c r="I5" s="257">
        <v>0</v>
      </c>
      <c r="J5" s="257">
        <v>0</v>
      </c>
      <c r="K5" s="257">
        <v>259620344.86000001</v>
      </c>
      <c r="L5" s="257">
        <v>259620344.86000001</v>
      </c>
      <c r="M5" s="257">
        <v>253934755.13999999</v>
      </c>
      <c r="N5" s="257">
        <v>253934755.13999999</v>
      </c>
    </row>
    <row r="6" spans="1:14" s="143" customFormat="1" x14ac:dyDescent="0.25">
      <c r="A6" s="143" t="s">
        <v>70</v>
      </c>
      <c r="B6" s="143" t="s">
        <v>75</v>
      </c>
      <c r="C6" s="143" t="s">
        <v>76</v>
      </c>
      <c r="D6" s="143" t="s">
        <v>69</v>
      </c>
      <c r="E6" s="257">
        <v>526394000</v>
      </c>
      <c r="F6" s="257">
        <v>513555100</v>
      </c>
      <c r="G6" s="257">
        <v>513555100</v>
      </c>
      <c r="H6" s="257">
        <v>0</v>
      </c>
      <c r="I6" s="257">
        <v>0</v>
      </c>
      <c r="J6" s="257">
        <v>0</v>
      </c>
      <c r="K6" s="257">
        <v>259620344.86000001</v>
      </c>
      <c r="L6" s="257">
        <v>259620344.86000001</v>
      </c>
      <c r="M6" s="257">
        <v>253934755.13999999</v>
      </c>
      <c r="N6" s="257">
        <v>253934755.13999999</v>
      </c>
    </row>
    <row r="7" spans="1:14" s="143" customFormat="1" x14ac:dyDescent="0.25">
      <c r="A7" s="143" t="s">
        <v>70</v>
      </c>
      <c r="B7" s="143" t="s">
        <v>77</v>
      </c>
      <c r="C7" s="143" t="s">
        <v>78</v>
      </c>
      <c r="D7" s="143" t="s">
        <v>69</v>
      </c>
      <c r="E7" s="257">
        <v>649722000</v>
      </c>
      <c r="F7" s="257">
        <v>640941535</v>
      </c>
      <c r="G7" s="257">
        <v>640941535</v>
      </c>
      <c r="H7" s="257">
        <v>0</v>
      </c>
      <c r="I7" s="257">
        <v>0</v>
      </c>
      <c r="J7" s="257">
        <v>0</v>
      </c>
      <c r="K7" s="257">
        <v>270119552.10000002</v>
      </c>
      <c r="L7" s="257">
        <v>270119552.10000002</v>
      </c>
      <c r="M7" s="257">
        <v>370821982.89999998</v>
      </c>
      <c r="N7" s="257">
        <v>370821982.89999998</v>
      </c>
    </row>
    <row r="8" spans="1:14" s="143" customFormat="1" x14ac:dyDescent="0.25">
      <c r="A8" s="143" t="s">
        <v>70</v>
      </c>
      <c r="B8" s="143" t="s">
        <v>79</v>
      </c>
      <c r="C8" s="143" t="s">
        <v>80</v>
      </c>
      <c r="D8" s="143" t="s">
        <v>69</v>
      </c>
      <c r="E8" s="257">
        <v>138872000</v>
      </c>
      <c r="F8" s="257">
        <v>137710900</v>
      </c>
      <c r="G8" s="257">
        <v>137710900</v>
      </c>
      <c r="H8" s="257">
        <v>0</v>
      </c>
      <c r="I8" s="257">
        <v>0</v>
      </c>
      <c r="J8" s="257">
        <v>0</v>
      </c>
      <c r="K8" s="257">
        <v>56578483.32</v>
      </c>
      <c r="L8" s="257">
        <v>56578483.32</v>
      </c>
      <c r="M8" s="257">
        <v>81132416.680000007</v>
      </c>
      <c r="N8" s="257">
        <v>81132416.680000007</v>
      </c>
    </row>
    <row r="9" spans="1:14" s="143" customFormat="1" x14ac:dyDescent="0.25">
      <c r="A9" s="143" t="s">
        <v>70</v>
      </c>
      <c r="B9" s="143" t="s">
        <v>81</v>
      </c>
      <c r="C9" s="143" t="s">
        <v>82</v>
      </c>
      <c r="D9" s="143" t="s">
        <v>69</v>
      </c>
      <c r="E9" s="257">
        <v>289755000</v>
      </c>
      <c r="F9" s="257">
        <v>282135635</v>
      </c>
      <c r="G9" s="257">
        <v>282135635</v>
      </c>
      <c r="H9" s="257">
        <v>0</v>
      </c>
      <c r="I9" s="257">
        <v>0</v>
      </c>
      <c r="J9" s="257">
        <v>0</v>
      </c>
      <c r="K9" s="257">
        <v>117783001.63</v>
      </c>
      <c r="L9" s="257">
        <v>117783001.63</v>
      </c>
      <c r="M9" s="257">
        <v>164352633.37</v>
      </c>
      <c r="N9" s="257">
        <v>164352633.37</v>
      </c>
    </row>
    <row r="10" spans="1:14" s="143" customFormat="1" x14ac:dyDescent="0.25">
      <c r="A10" s="143" t="s">
        <v>70</v>
      </c>
      <c r="B10" s="143" t="s">
        <v>86</v>
      </c>
      <c r="C10" s="143" t="s">
        <v>87</v>
      </c>
      <c r="D10" s="143" t="s">
        <v>69</v>
      </c>
      <c r="E10" s="257">
        <v>83881000</v>
      </c>
      <c r="F10" s="257">
        <v>83881000</v>
      </c>
      <c r="G10" s="257">
        <v>83881000</v>
      </c>
      <c r="H10" s="257">
        <v>0</v>
      </c>
      <c r="I10" s="257">
        <v>0</v>
      </c>
      <c r="J10" s="257">
        <v>0</v>
      </c>
      <c r="K10" s="257">
        <v>74715480.260000005</v>
      </c>
      <c r="L10" s="257">
        <v>74715480.260000005</v>
      </c>
      <c r="M10" s="257">
        <v>9165519.7400000002</v>
      </c>
      <c r="N10" s="257">
        <v>9165519.7400000002</v>
      </c>
    </row>
    <row r="11" spans="1:14" s="143" customFormat="1" x14ac:dyDescent="0.25">
      <c r="A11" s="143" t="s">
        <v>70</v>
      </c>
      <c r="B11" s="143" t="s">
        <v>88</v>
      </c>
      <c r="C11" s="143" t="s">
        <v>89</v>
      </c>
      <c r="D11" s="143" t="s">
        <v>69</v>
      </c>
      <c r="E11" s="257">
        <v>47407000</v>
      </c>
      <c r="F11" s="257">
        <v>47407000</v>
      </c>
      <c r="G11" s="257">
        <v>47407000</v>
      </c>
      <c r="H11" s="257">
        <v>0</v>
      </c>
      <c r="I11" s="257">
        <v>0</v>
      </c>
      <c r="J11" s="257">
        <v>0</v>
      </c>
      <c r="K11" s="257">
        <v>21005807.039999999</v>
      </c>
      <c r="L11" s="257">
        <v>21005807.039999999</v>
      </c>
      <c r="M11" s="257">
        <v>26401192.960000001</v>
      </c>
      <c r="N11" s="257">
        <v>26401192.960000001</v>
      </c>
    </row>
    <row r="12" spans="1:14" s="143" customFormat="1" x14ac:dyDescent="0.25">
      <c r="A12" s="143" t="s">
        <v>70</v>
      </c>
      <c r="B12" s="143" t="s">
        <v>83</v>
      </c>
      <c r="C12" s="143" t="s">
        <v>84</v>
      </c>
      <c r="D12" s="143" t="s">
        <v>85</v>
      </c>
      <c r="E12" s="257">
        <v>89807000</v>
      </c>
      <c r="F12" s="257">
        <v>89807000</v>
      </c>
      <c r="G12" s="257">
        <v>89807000</v>
      </c>
      <c r="H12" s="257">
        <v>0</v>
      </c>
      <c r="I12" s="257">
        <v>0</v>
      </c>
      <c r="J12" s="257">
        <v>0</v>
      </c>
      <c r="K12" s="257">
        <v>36779.85</v>
      </c>
      <c r="L12" s="257">
        <v>36779.85</v>
      </c>
      <c r="M12" s="257">
        <v>89770220.150000006</v>
      </c>
      <c r="N12" s="257">
        <v>89770220.150000006</v>
      </c>
    </row>
    <row r="13" spans="1:14" s="143" customFormat="1" x14ac:dyDescent="0.25">
      <c r="A13" s="143" t="s">
        <v>70</v>
      </c>
      <c r="B13" s="143" t="s">
        <v>90</v>
      </c>
      <c r="C13" s="143" t="s">
        <v>91</v>
      </c>
      <c r="D13" s="143" t="s">
        <v>69</v>
      </c>
      <c r="E13" s="257">
        <v>105914000</v>
      </c>
      <c r="F13" s="257">
        <v>105914000</v>
      </c>
      <c r="G13" s="257">
        <v>105914000</v>
      </c>
      <c r="H13" s="257">
        <v>0</v>
      </c>
      <c r="I13" s="257">
        <v>53692313</v>
      </c>
      <c r="J13" s="257">
        <v>0</v>
      </c>
      <c r="K13" s="257">
        <v>52221687</v>
      </c>
      <c r="L13" s="257">
        <v>52221687</v>
      </c>
      <c r="M13" s="257">
        <v>0</v>
      </c>
      <c r="N13" s="257">
        <v>0</v>
      </c>
    </row>
    <row r="14" spans="1:14" s="143" customFormat="1" x14ac:dyDescent="0.25">
      <c r="A14" s="143" t="s">
        <v>70</v>
      </c>
      <c r="B14" s="143" t="s">
        <v>92</v>
      </c>
      <c r="C14" s="143" t="s">
        <v>93</v>
      </c>
      <c r="D14" s="143" t="s">
        <v>69</v>
      </c>
      <c r="E14" s="257">
        <v>100483000</v>
      </c>
      <c r="F14" s="257">
        <v>100483000</v>
      </c>
      <c r="G14" s="257">
        <v>100483000</v>
      </c>
      <c r="H14" s="257">
        <v>0</v>
      </c>
      <c r="I14" s="257">
        <v>50938819</v>
      </c>
      <c r="J14" s="257">
        <v>0</v>
      </c>
      <c r="K14" s="257">
        <v>49544181</v>
      </c>
      <c r="L14" s="257">
        <v>49544181</v>
      </c>
      <c r="M14" s="257">
        <v>0</v>
      </c>
      <c r="N14" s="257">
        <v>0</v>
      </c>
    </row>
    <row r="15" spans="1:14" s="143" customFormat="1" x14ac:dyDescent="0.25">
      <c r="A15" s="143" t="s">
        <v>70</v>
      </c>
      <c r="B15" s="143" t="s">
        <v>94</v>
      </c>
      <c r="C15" s="143" t="s">
        <v>95</v>
      </c>
      <c r="D15" s="143" t="s">
        <v>69</v>
      </c>
      <c r="E15" s="257">
        <v>5431000</v>
      </c>
      <c r="F15" s="257">
        <v>5431000</v>
      </c>
      <c r="G15" s="257">
        <v>5431000</v>
      </c>
      <c r="H15" s="257">
        <v>0</v>
      </c>
      <c r="I15" s="257">
        <v>2753494</v>
      </c>
      <c r="J15" s="257">
        <v>0</v>
      </c>
      <c r="K15" s="257">
        <v>2677506</v>
      </c>
      <c r="L15" s="257">
        <v>2677506</v>
      </c>
      <c r="M15" s="257">
        <v>0</v>
      </c>
      <c r="N15" s="257">
        <v>0</v>
      </c>
    </row>
    <row r="16" spans="1:14" s="143" customFormat="1" x14ac:dyDescent="0.25">
      <c r="A16" s="143" t="s">
        <v>70</v>
      </c>
      <c r="B16" s="143" t="s">
        <v>96</v>
      </c>
      <c r="C16" s="143" t="s">
        <v>97</v>
      </c>
      <c r="D16" s="143" t="s">
        <v>69</v>
      </c>
      <c r="E16" s="257">
        <v>104067000</v>
      </c>
      <c r="F16" s="257">
        <v>104067000</v>
      </c>
      <c r="G16" s="257">
        <v>104067000</v>
      </c>
      <c r="H16" s="257">
        <v>0</v>
      </c>
      <c r="I16" s="257">
        <v>52761334</v>
      </c>
      <c r="J16" s="257">
        <v>0</v>
      </c>
      <c r="K16" s="257">
        <v>51305666</v>
      </c>
      <c r="L16" s="257">
        <v>51305666</v>
      </c>
      <c r="M16" s="257">
        <v>0</v>
      </c>
      <c r="N16" s="257">
        <v>0</v>
      </c>
    </row>
    <row r="17" spans="1:14" s="143" customFormat="1" x14ac:dyDescent="0.25">
      <c r="A17" s="143" t="s">
        <v>70</v>
      </c>
      <c r="B17" s="143" t="s">
        <v>98</v>
      </c>
      <c r="C17" s="143" t="s">
        <v>99</v>
      </c>
      <c r="D17" s="143" t="s">
        <v>69</v>
      </c>
      <c r="E17" s="257">
        <v>55184000</v>
      </c>
      <c r="F17" s="257">
        <v>55184000</v>
      </c>
      <c r="G17" s="257">
        <v>55184000</v>
      </c>
      <c r="H17" s="257">
        <v>0</v>
      </c>
      <c r="I17" s="257">
        <v>27975805</v>
      </c>
      <c r="J17" s="257">
        <v>0</v>
      </c>
      <c r="K17" s="257">
        <v>27208195</v>
      </c>
      <c r="L17" s="257">
        <v>27208195</v>
      </c>
      <c r="M17" s="257">
        <v>0</v>
      </c>
      <c r="N17" s="257">
        <v>0</v>
      </c>
    </row>
    <row r="18" spans="1:14" s="143" customFormat="1" x14ac:dyDescent="0.25">
      <c r="A18" s="143" t="s">
        <v>70</v>
      </c>
      <c r="B18" s="143" t="s">
        <v>100</v>
      </c>
      <c r="C18" s="143" t="s">
        <v>101</v>
      </c>
      <c r="D18" s="143" t="s">
        <v>69</v>
      </c>
      <c r="E18" s="257">
        <v>16294000</v>
      </c>
      <c r="F18" s="257">
        <v>16294000</v>
      </c>
      <c r="G18" s="257">
        <v>16294000</v>
      </c>
      <c r="H18" s="257">
        <v>0</v>
      </c>
      <c r="I18" s="257">
        <v>8261509</v>
      </c>
      <c r="J18" s="257">
        <v>0</v>
      </c>
      <c r="K18" s="257">
        <v>8032491</v>
      </c>
      <c r="L18" s="257">
        <v>8032491</v>
      </c>
      <c r="M18" s="257">
        <v>0</v>
      </c>
      <c r="N18" s="257">
        <v>0</v>
      </c>
    </row>
    <row r="19" spans="1:14" s="143" customFormat="1" x14ac:dyDescent="0.25">
      <c r="A19" s="143" t="s">
        <v>70</v>
      </c>
      <c r="B19" s="143" t="s">
        <v>102</v>
      </c>
      <c r="C19" s="143" t="s">
        <v>103</v>
      </c>
      <c r="D19" s="143" t="s">
        <v>69</v>
      </c>
      <c r="E19" s="257">
        <v>32589000</v>
      </c>
      <c r="F19" s="257">
        <v>32589000</v>
      </c>
      <c r="G19" s="257">
        <v>32589000</v>
      </c>
      <c r="H19" s="257">
        <v>0</v>
      </c>
      <c r="I19" s="257">
        <v>16524020</v>
      </c>
      <c r="J19" s="257">
        <v>0</v>
      </c>
      <c r="K19" s="257">
        <v>16064980</v>
      </c>
      <c r="L19" s="257">
        <v>16064980</v>
      </c>
      <c r="M19" s="257">
        <v>0</v>
      </c>
      <c r="N19" s="257">
        <v>0</v>
      </c>
    </row>
    <row r="20" spans="1:14" s="143" customFormat="1" x14ac:dyDescent="0.25">
      <c r="A20" s="143" t="s">
        <v>70</v>
      </c>
      <c r="B20" s="143" t="s">
        <v>104</v>
      </c>
      <c r="C20" s="143" t="s">
        <v>105</v>
      </c>
      <c r="D20" s="143" t="s">
        <v>69</v>
      </c>
      <c r="E20" s="257">
        <v>342741579</v>
      </c>
      <c r="F20" s="257">
        <v>342741579</v>
      </c>
      <c r="G20" s="257">
        <v>260395935</v>
      </c>
      <c r="H20" s="257">
        <v>0</v>
      </c>
      <c r="I20" s="257">
        <v>76683967.209999993</v>
      </c>
      <c r="J20" s="257">
        <v>0</v>
      </c>
      <c r="K20" s="257">
        <v>113960808.76000001</v>
      </c>
      <c r="L20" s="257">
        <v>109910649.98999999</v>
      </c>
      <c r="M20" s="257">
        <v>152096803.03</v>
      </c>
      <c r="N20" s="257">
        <v>69751159.030000001</v>
      </c>
    </row>
    <row r="21" spans="1:14" s="143" customFormat="1" x14ac:dyDescent="0.25">
      <c r="A21" s="143" t="s">
        <v>70</v>
      </c>
      <c r="B21" s="143" t="s">
        <v>106</v>
      </c>
      <c r="C21" s="143" t="s">
        <v>107</v>
      </c>
      <c r="D21" s="143" t="s">
        <v>69</v>
      </c>
      <c r="E21" s="257">
        <v>125845446</v>
      </c>
      <c r="F21" s="257">
        <v>125845446</v>
      </c>
      <c r="G21" s="257">
        <v>107918768.03</v>
      </c>
      <c r="H21" s="257">
        <v>0</v>
      </c>
      <c r="I21" s="257">
        <v>21214918.059999999</v>
      </c>
      <c r="J21" s="257">
        <v>0</v>
      </c>
      <c r="K21" s="257">
        <v>50651782.869999997</v>
      </c>
      <c r="L21" s="257">
        <v>48296083.740000002</v>
      </c>
      <c r="M21" s="257">
        <v>53978745.07</v>
      </c>
      <c r="N21" s="257">
        <v>36052067.100000001</v>
      </c>
    </row>
    <row r="22" spans="1:14" s="143" customFormat="1" x14ac:dyDescent="0.25">
      <c r="A22" s="143" t="s">
        <v>70</v>
      </c>
      <c r="B22" s="143" t="s">
        <v>108</v>
      </c>
      <c r="C22" s="143" t="s">
        <v>109</v>
      </c>
      <c r="D22" s="143" t="s">
        <v>69</v>
      </c>
      <c r="E22" s="257">
        <v>125765446</v>
      </c>
      <c r="F22" s="257">
        <v>125765446</v>
      </c>
      <c r="G22" s="257">
        <v>107838768.03</v>
      </c>
      <c r="H22" s="257">
        <v>0</v>
      </c>
      <c r="I22" s="257">
        <v>21214918.059999999</v>
      </c>
      <c r="J22" s="257">
        <v>0</v>
      </c>
      <c r="K22" s="257">
        <v>50577032.869999997</v>
      </c>
      <c r="L22" s="257">
        <v>48221333.740000002</v>
      </c>
      <c r="M22" s="257">
        <v>53973495.07</v>
      </c>
      <c r="N22" s="257">
        <v>36046817.100000001</v>
      </c>
    </row>
    <row r="23" spans="1:14" s="143" customFormat="1" x14ac:dyDescent="0.25">
      <c r="A23" s="143" t="s">
        <v>70</v>
      </c>
      <c r="B23" s="143" t="s">
        <v>110</v>
      </c>
      <c r="C23" s="143" t="s">
        <v>111</v>
      </c>
      <c r="D23" s="143" t="s">
        <v>69</v>
      </c>
      <c r="E23" s="257">
        <v>80000</v>
      </c>
      <c r="F23" s="257">
        <v>80000</v>
      </c>
      <c r="G23" s="257">
        <v>80000</v>
      </c>
      <c r="H23" s="257">
        <v>0</v>
      </c>
      <c r="I23" s="257">
        <v>0</v>
      </c>
      <c r="J23" s="257">
        <v>0</v>
      </c>
      <c r="K23" s="257">
        <v>74750</v>
      </c>
      <c r="L23" s="257">
        <v>74750</v>
      </c>
      <c r="M23" s="257">
        <v>5250</v>
      </c>
      <c r="N23" s="257">
        <v>5250</v>
      </c>
    </row>
    <row r="24" spans="1:14" s="143" customFormat="1" x14ac:dyDescent="0.25">
      <c r="A24" s="143" t="s">
        <v>70</v>
      </c>
      <c r="B24" s="143" t="s">
        <v>112</v>
      </c>
      <c r="C24" s="143" t="s">
        <v>113</v>
      </c>
      <c r="D24" s="143" t="s">
        <v>69</v>
      </c>
      <c r="E24" s="257">
        <v>131428353</v>
      </c>
      <c r="F24" s="257">
        <v>131428353</v>
      </c>
      <c r="G24" s="257">
        <v>79351429</v>
      </c>
      <c r="H24" s="257">
        <v>0</v>
      </c>
      <c r="I24" s="257">
        <v>33699850.390000001</v>
      </c>
      <c r="J24" s="257">
        <v>0</v>
      </c>
      <c r="K24" s="257">
        <v>45377975.409999996</v>
      </c>
      <c r="L24" s="257">
        <v>45377975.409999996</v>
      </c>
      <c r="M24" s="257">
        <v>52350527.200000003</v>
      </c>
      <c r="N24" s="257">
        <v>273603.20000000001</v>
      </c>
    </row>
    <row r="25" spans="1:14" s="143" customFormat="1" x14ac:dyDescent="0.25">
      <c r="A25" s="143" t="s">
        <v>70</v>
      </c>
      <c r="B25" s="143" t="s">
        <v>114</v>
      </c>
      <c r="C25" s="143" t="s">
        <v>115</v>
      </c>
      <c r="D25" s="143" t="s">
        <v>69</v>
      </c>
      <c r="E25" s="257">
        <v>4971429</v>
      </c>
      <c r="F25" s="257">
        <v>8971429</v>
      </c>
      <c r="G25" s="257">
        <v>8971429</v>
      </c>
      <c r="H25" s="257">
        <v>0</v>
      </c>
      <c r="I25" s="257">
        <v>5680137</v>
      </c>
      <c r="J25" s="257">
        <v>0</v>
      </c>
      <c r="K25" s="257">
        <v>3291292</v>
      </c>
      <c r="L25" s="257">
        <v>3291292</v>
      </c>
      <c r="M25" s="257">
        <v>0</v>
      </c>
      <c r="N25" s="257">
        <v>0</v>
      </c>
    </row>
    <row r="26" spans="1:14" s="143" customFormat="1" x14ac:dyDescent="0.25">
      <c r="A26" s="143" t="s">
        <v>70</v>
      </c>
      <c r="B26" s="143" t="s">
        <v>116</v>
      </c>
      <c r="C26" s="143" t="s">
        <v>117</v>
      </c>
      <c r="D26" s="143" t="s">
        <v>69</v>
      </c>
      <c r="E26" s="257">
        <v>56000000</v>
      </c>
      <c r="F26" s="257">
        <v>56000000</v>
      </c>
      <c r="G26" s="257">
        <v>40000000</v>
      </c>
      <c r="H26" s="257">
        <v>0</v>
      </c>
      <c r="I26" s="257">
        <v>17001250</v>
      </c>
      <c r="J26" s="257">
        <v>0</v>
      </c>
      <c r="K26" s="257">
        <v>22998750</v>
      </c>
      <c r="L26" s="257">
        <v>22998750</v>
      </c>
      <c r="M26" s="257">
        <v>16000000</v>
      </c>
      <c r="N26" s="257">
        <v>0</v>
      </c>
    </row>
    <row r="27" spans="1:14" s="143" customFormat="1" x14ac:dyDescent="0.25">
      <c r="A27" s="143" t="s">
        <v>70</v>
      </c>
      <c r="B27" s="143" t="s">
        <v>118</v>
      </c>
      <c r="C27" s="143" t="s">
        <v>119</v>
      </c>
      <c r="D27" s="143" t="s">
        <v>69</v>
      </c>
      <c r="E27" s="257">
        <v>20000</v>
      </c>
      <c r="F27" s="257">
        <v>20000</v>
      </c>
      <c r="G27" s="257">
        <v>20000</v>
      </c>
      <c r="H27" s="257">
        <v>0</v>
      </c>
      <c r="I27" s="257">
        <v>0</v>
      </c>
      <c r="J27" s="257">
        <v>0</v>
      </c>
      <c r="K27" s="257">
        <v>16400</v>
      </c>
      <c r="L27" s="257">
        <v>16400</v>
      </c>
      <c r="M27" s="257">
        <v>3600</v>
      </c>
      <c r="N27" s="257">
        <v>3600</v>
      </c>
    </row>
    <row r="28" spans="1:14" s="143" customFormat="1" x14ac:dyDescent="0.25">
      <c r="A28" s="143" t="s">
        <v>70</v>
      </c>
      <c r="B28" s="143" t="s">
        <v>120</v>
      </c>
      <c r="C28" s="143" t="s">
        <v>121</v>
      </c>
      <c r="D28" s="143" t="s">
        <v>69</v>
      </c>
      <c r="E28" s="257">
        <v>70076924</v>
      </c>
      <c r="F28" s="257">
        <v>66076924</v>
      </c>
      <c r="G28" s="257">
        <v>30000000</v>
      </c>
      <c r="H28" s="257">
        <v>0</v>
      </c>
      <c r="I28" s="257">
        <v>10956263.390000001</v>
      </c>
      <c r="J28" s="257">
        <v>0</v>
      </c>
      <c r="K28" s="257">
        <v>19043733.41</v>
      </c>
      <c r="L28" s="257">
        <v>19043733.41</v>
      </c>
      <c r="M28" s="257">
        <v>36076927.200000003</v>
      </c>
      <c r="N28" s="257">
        <v>3.2</v>
      </c>
    </row>
    <row r="29" spans="1:14" s="143" customFormat="1" x14ac:dyDescent="0.25">
      <c r="A29" s="143" t="s">
        <v>70</v>
      </c>
      <c r="B29" s="143" t="s">
        <v>122</v>
      </c>
      <c r="C29" s="143" t="s">
        <v>123</v>
      </c>
      <c r="D29" s="143" t="s">
        <v>69</v>
      </c>
      <c r="E29" s="257">
        <v>360000</v>
      </c>
      <c r="F29" s="257">
        <v>360000</v>
      </c>
      <c r="G29" s="257">
        <v>360000</v>
      </c>
      <c r="H29" s="257">
        <v>0</v>
      </c>
      <c r="I29" s="257">
        <v>62200</v>
      </c>
      <c r="J29" s="257">
        <v>0</v>
      </c>
      <c r="K29" s="257">
        <v>27800</v>
      </c>
      <c r="L29" s="257">
        <v>27800</v>
      </c>
      <c r="M29" s="257">
        <v>270000</v>
      </c>
      <c r="N29" s="257">
        <v>270000</v>
      </c>
    </row>
    <row r="30" spans="1:14" s="143" customFormat="1" x14ac:dyDescent="0.25">
      <c r="A30" s="143" t="s">
        <v>70</v>
      </c>
      <c r="B30" s="143" t="s">
        <v>124</v>
      </c>
      <c r="C30" s="143" t="s">
        <v>125</v>
      </c>
      <c r="D30" s="143" t="s">
        <v>69</v>
      </c>
      <c r="E30" s="257">
        <v>8700000</v>
      </c>
      <c r="F30" s="257">
        <v>9250000</v>
      </c>
      <c r="G30" s="257">
        <v>9250000</v>
      </c>
      <c r="H30" s="257">
        <v>0</v>
      </c>
      <c r="I30" s="257">
        <v>2178940.2599999998</v>
      </c>
      <c r="J30" s="257">
        <v>0</v>
      </c>
      <c r="K30" s="257">
        <v>5240320</v>
      </c>
      <c r="L30" s="257">
        <v>4609260</v>
      </c>
      <c r="M30" s="257">
        <v>1830739.74</v>
      </c>
      <c r="N30" s="257">
        <v>1830739.74</v>
      </c>
    </row>
    <row r="31" spans="1:14" s="143" customFormat="1" x14ac:dyDescent="0.25">
      <c r="A31" s="143" t="s">
        <v>70</v>
      </c>
      <c r="B31" s="143" t="s">
        <v>126</v>
      </c>
      <c r="C31" s="143" t="s">
        <v>127</v>
      </c>
      <c r="D31" s="143" t="s">
        <v>69</v>
      </c>
      <c r="E31" s="257">
        <v>7000000</v>
      </c>
      <c r="F31" s="257">
        <v>7000000</v>
      </c>
      <c r="G31" s="257">
        <v>7000000</v>
      </c>
      <c r="H31" s="257">
        <v>0</v>
      </c>
      <c r="I31" s="257">
        <v>2128940.2599999998</v>
      </c>
      <c r="J31" s="257">
        <v>0</v>
      </c>
      <c r="K31" s="257">
        <v>4865320</v>
      </c>
      <c r="L31" s="257">
        <v>4234260</v>
      </c>
      <c r="M31" s="257">
        <v>5739.74</v>
      </c>
      <c r="N31" s="257">
        <v>5739.74</v>
      </c>
    </row>
    <row r="32" spans="1:14" s="143" customFormat="1" x14ac:dyDescent="0.25">
      <c r="A32" s="143" t="s">
        <v>70</v>
      </c>
      <c r="B32" s="143" t="s">
        <v>128</v>
      </c>
      <c r="C32" s="143" t="s">
        <v>129</v>
      </c>
      <c r="D32" s="143" t="s">
        <v>69</v>
      </c>
      <c r="E32" s="257">
        <v>1650000</v>
      </c>
      <c r="F32" s="257">
        <v>1650000</v>
      </c>
      <c r="G32" s="257">
        <v>1650000</v>
      </c>
      <c r="H32" s="257">
        <v>0</v>
      </c>
      <c r="I32" s="257">
        <v>0</v>
      </c>
      <c r="J32" s="257">
        <v>0</v>
      </c>
      <c r="K32" s="257">
        <v>375000</v>
      </c>
      <c r="L32" s="257">
        <v>375000</v>
      </c>
      <c r="M32" s="257">
        <v>1275000</v>
      </c>
      <c r="N32" s="257">
        <v>1275000</v>
      </c>
    </row>
    <row r="33" spans="1:14" s="143" customFormat="1" x14ac:dyDescent="0.25">
      <c r="A33" s="143" t="s">
        <v>70</v>
      </c>
      <c r="B33" s="143" t="s">
        <v>130</v>
      </c>
      <c r="C33" s="143" t="s">
        <v>131</v>
      </c>
      <c r="D33" s="143" t="s">
        <v>69</v>
      </c>
      <c r="E33" s="257">
        <v>50000</v>
      </c>
      <c r="F33" s="257">
        <v>50000</v>
      </c>
      <c r="G33" s="257">
        <v>50000</v>
      </c>
      <c r="H33" s="257">
        <v>0</v>
      </c>
      <c r="I33" s="257">
        <v>50000</v>
      </c>
      <c r="J33" s="257">
        <v>0</v>
      </c>
      <c r="K33" s="257">
        <v>0</v>
      </c>
      <c r="L33" s="257">
        <v>0</v>
      </c>
      <c r="M33" s="257">
        <v>0</v>
      </c>
      <c r="N33" s="257">
        <v>0</v>
      </c>
    </row>
    <row r="34" spans="1:14" s="143" customFormat="1" x14ac:dyDescent="0.25">
      <c r="A34" s="143" t="s">
        <v>70</v>
      </c>
      <c r="B34" s="143" t="s">
        <v>132</v>
      </c>
      <c r="C34" s="143" t="s">
        <v>133</v>
      </c>
      <c r="D34" s="143" t="s">
        <v>69</v>
      </c>
      <c r="E34" s="257">
        <v>0</v>
      </c>
      <c r="F34" s="257">
        <v>550000</v>
      </c>
      <c r="G34" s="257">
        <v>550000</v>
      </c>
      <c r="H34" s="257">
        <v>0</v>
      </c>
      <c r="I34" s="257">
        <v>0</v>
      </c>
      <c r="J34" s="257">
        <v>0</v>
      </c>
      <c r="K34" s="257">
        <v>0</v>
      </c>
      <c r="L34" s="257">
        <v>0</v>
      </c>
      <c r="M34" s="257">
        <v>550000</v>
      </c>
      <c r="N34" s="257">
        <v>550000</v>
      </c>
    </row>
    <row r="35" spans="1:14" s="143" customFormat="1" x14ac:dyDescent="0.25">
      <c r="A35" s="143" t="s">
        <v>70</v>
      </c>
      <c r="B35" s="143" t="s">
        <v>134</v>
      </c>
      <c r="C35" s="143" t="s">
        <v>135</v>
      </c>
      <c r="D35" s="143" t="s">
        <v>69</v>
      </c>
      <c r="E35" s="257">
        <v>5851429</v>
      </c>
      <c r="F35" s="257">
        <v>5851429</v>
      </c>
      <c r="G35" s="257">
        <v>3631429</v>
      </c>
      <c r="H35" s="257">
        <v>0</v>
      </c>
      <c r="I35" s="257">
        <v>655598</v>
      </c>
      <c r="J35" s="257">
        <v>0</v>
      </c>
      <c r="K35" s="257">
        <v>646488</v>
      </c>
      <c r="L35" s="257">
        <v>632743</v>
      </c>
      <c r="M35" s="257">
        <v>4549343</v>
      </c>
      <c r="N35" s="257">
        <v>2329343</v>
      </c>
    </row>
    <row r="36" spans="1:14" s="143" customFormat="1" x14ac:dyDescent="0.25">
      <c r="A36" s="143" t="s">
        <v>70</v>
      </c>
      <c r="B36" s="143" t="s">
        <v>136</v>
      </c>
      <c r="C36" s="143" t="s">
        <v>137</v>
      </c>
      <c r="D36" s="143" t="s">
        <v>69</v>
      </c>
      <c r="E36" s="257">
        <v>3080000</v>
      </c>
      <c r="F36" s="257">
        <v>3080000</v>
      </c>
      <c r="G36" s="257">
        <v>860000</v>
      </c>
      <c r="H36" s="257">
        <v>0</v>
      </c>
      <c r="I36" s="257">
        <v>0</v>
      </c>
      <c r="J36" s="257">
        <v>0</v>
      </c>
      <c r="K36" s="257">
        <v>0</v>
      </c>
      <c r="L36" s="257">
        <v>0</v>
      </c>
      <c r="M36" s="257">
        <v>3080000</v>
      </c>
      <c r="N36" s="257">
        <v>860000</v>
      </c>
    </row>
    <row r="37" spans="1:14" s="143" customFormat="1" x14ac:dyDescent="0.25">
      <c r="A37" s="143" t="s">
        <v>70</v>
      </c>
      <c r="B37" s="143" t="s">
        <v>138</v>
      </c>
      <c r="C37" s="143" t="s">
        <v>139</v>
      </c>
      <c r="D37" s="143" t="s">
        <v>69</v>
      </c>
      <c r="E37" s="257">
        <v>2771429</v>
      </c>
      <c r="F37" s="257">
        <v>2771429</v>
      </c>
      <c r="G37" s="257">
        <v>2771429</v>
      </c>
      <c r="H37" s="257">
        <v>0</v>
      </c>
      <c r="I37" s="257">
        <v>655598</v>
      </c>
      <c r="J37" s="257">
        <v>0</v>
      </c>
      <c r="K37" s="257">
        <v>646488</v>
      </c>
      <c r="L37" s="257">
        <v>632743</v>
      </c>
      <c r="M37" s="257">
        <v>1469343</v>
      </c>
      <c r="N37" s="257">
        <v>1469343</v>
      </c>
    </row>
    <row r="38" spans="1:14" s="143" customFormat="1" x14ac:dyDescent="0.25">
      <c r="A38" s="143" t="s">
        <v>70</v>
      </c>
      <c r="B38" s="143" t="s">
        <v>140</v>
      </c>
      <c r="C38" s="143" t="s">
        <v>141</v>
      </c>
      <c r="D38" s="143" t="s">
        <v>69</v>
      </c>
      <c r="E38" s="257">
        <v>17774865</v>
      </c>
      <c r="F38" s="257">
        <v>17774865</v>
      </c>
      <c r="G38" s="257">
        <v>17774865</v>
      </c>
      <c r="H38" s="257">
        <v>0</v>
      </c>
      <c r="I38" s="257">
        <v>1736095.5</v>
      </c>
      <c r="J38" s="257">
        <v>0</v>
      </c>
      <c r="K38" s="257">
        <v>7718240.1299999999</v>
      </c>
      <c r="L38" s="257">
        <v>6668585.4900000002</v>
      </c>
      <c r="M38" s="257">
        <v>8320529.3700000001</v>
      </c>
      <c r="N38" s="257">
        <v>8320529.3700000001</v>
      </c>
    </row>
    <row r="39" spans="1:14" s="143" customFormat="1" x14ac:dyDescent="0.25">
      <c r="A39" s="143" t="s">
        <v>70</v>
      </c>
      <c r="B39" s="143" t="s">
        <v>142</v>
      </c>
      <c r="C39" s="143" t="s">
        <v>143</v>
      </c>
      <c r="D39" s="143" t="s">
        <v>69</v>
      </c>
      <c r="E39" s="257">
        <v>100000</v>
      </c>
      <c r="F39" s="257">
        <v>100000</v>
      </c>
      <c r="G39" s="257">
        <v>100000</v>
      </c>
      <c r="H39" s="257">
        <v>0</v>
      </c>
      <c r="I39" s="257">
        <v>0</v>
      </c>
      <c r="J39" s="257">
        <v>0</v>
      </c>
      <c r="K39" s="257">
        <v>0</v>
      </c>
      <c r="L39" s="257">
        <v>0</v>
      </c>
      <c r="M39" s="257">
        <v>100000</v>
      </c>
      <c r="N39" s="257">
        <v>100000</v>
      </c>
    </row>
    <row r="40" spans="1:14" s="143" customFormat="1" x14ac:dyDescent="0.25">
      <c r="A40" s="143" t="s">
        <v>70</v>
      </c>
      <c r="B40" s="143" t="s">
        <v>144</v>
      </c>
      <c r="C40" s="143" t="s">
        <v>145</v>
      </c>
      <c r="D40" s="143" t="s">
        <v>69</v>
      </c>
      <c r="E40" s="257">
        <v>6685715</v>
      </c>
      <c r="F40" s="257">
        <v>6685715</v>
      </c>
      <c r="G40" s="257">
        <v>6685715</v>
      </c>
      <c r="H40" s="257">
        <v>0</v>
      </c>
      <c r="I40" s="257">
        <v>1703215</v>
      </c>
      <c r="J40" s="257">
        <v>0</v>
      </c>
      <c r="K40" s="257">
        <v>4047350</v>
      </c>
      <c r="L40" s="257">
        <v>4020350</v>
      </c>
      <c r="M40" s="257">
        <v>935150</v>
      </c>
      <c r="N40" s="257">
        <v>935150</v>
      </c>
    </row>
    <row r="41" spans="1:14" s="143" customFormat="1" x14ac:dyDescent="0.25">
      <c r="A41" s="143" t="s">
        <v>70</v>
      </c>
      <c r="B41" s="143" t="s">
        <v>146</v>
      </c>
      <c r="C41" s="143" t="s">
        <v>147</v>
      </c>
      <c r="D41" s="143" t="s">
        <v>69</v>
      </c>
      <c r="E41" s="257">
        <v>5170968</v>
      </c>
      <c r="F41" s="257">
        <v>5170968</v>
      </c>
      <c r="G41" s="257">
        <v>5170968</v>
      </c>
      <c r="H41" s="257">
        <v>0</v>
      </c>
      <c r="I41" s="257">
        <v>29629.16</v>
      </c>
      <c r="J41" s="257">
        <v>0</v>
      </c>
      <c r="K41" s="257">
        <v>2021636.72</v>
      </c>
      <c r="L41" s="257">
        <v>998982.08</v>
      </c>
      <c r="M41" s="257">
        <v>3119702.12</v>
      </c>
      <c r="N41" s="257">
        <v>3119702.12</v>
      </c>
    </row>
    <row r="42" spans="1:14" s="143" customFormat="1" x14ac:dyDescent="0.25">
      <c r="A42" s="143" t="s">
        <v>70</v>
      </c>
      <c r="B42" s="143" t="s">
        <v>148</v>
      </c>
      <c r="C42" s="143" t="s">
        <v>149</v>
      </c>
      <c r="D42" s="143" t="s">
        <v>69</v>
      </c>
      <c r="E42" s="257">
        <v>5818182</v>
      </c>
      <c r="F42" s="257">
        <v>5818182</v>
      </c>
      <c r="G42" s="257">
        <v>5818182</v>
      </c>
      <c r="H42" s="257">
        <v>0</v>
      </c>
      <c r="I42" s="257">
        <v>3251.34</v>
      </c>
      <c r="J42" s="257">
        <v>0</v>
      </c>
      <c r="K42" s="257">
        <v>1649253.41</v>
      </c>
      <c r="L42" s="257">
        <v>1649253.41</v>
      </c>
      <c r="M42" s="257">
        <v>4165677.25</v>
      </c>
      <c r="N42" s="257">
        <v>4165677.25</v>
      </c>
    </row>
    <row r="43" spans="1:14" s="143" customFormat="1" x14ac:dyDescent="0.25">
      <c r="A43" s="143" t="s">
        <v>70</v>
      </c>
      <c r="B43" s="143" t="s">
        <v>150</v>
      </c>
      <c r="C43" s="143" t="s">
        <v>151</v>
      </c>
      <c r="D43" s="143" t="s">
        <v>69</v>
      </c>
      <c r="E43" s="257">
        <v>32290000</v>
      </c>
      <c r="F43" s="257">
        <v>32290000</v>
      </c>
      <c r="G43" s="257">
        <v>22599092.969999999</v>
      </c>
      <c r="H43" s="257">
        <v>0</v>
      </c>
      <c r="I43" s="257">
        <v>12248290</v>
      </c>
      <c r="J43" s="257">
        <v>0</v>
      </c>
      <c r="K43" s="257">
        <v>2990873</v>
      </c>
      <c r="L43" s="257">
        <v>2990873</v>
      </c>
      <c r="M43" s="257">
        <v>17050837</v>
      </c>
      <c r="N43" s="257">
        <v>7359929.9699999997</v>
      </c>
    </row>
    <row r="44" spans="1:14" s="143" customFormat="1" x14ac:dyDescent="0.25">
      <c r="A44" s="143" t="s">
        <v>70</v>
      </c>
      <c r="B44" s="143" t="s">
        <v>152</v>
      </c>
      <c r="C44" s="143" t="s">
        <v>153</v>
      </c>
      <c r="D44" s="143" t="s">
        <v>69</v>
      </c>
      <c r="E44" s="257">
        <v>32290000</v>
      </c>
      <c r="F44" s="257">
        <v>32290000</v>
      </c>
      <c r="G44" s="257">
        <v>22599092.969999999</v>
      </c>
      <c r="H44" s="257">
        <v>0</v>
      </c>
      <c r="I44" s="257">
        <v>12248290</v>
      </c>
      <c r="J44" s="257">
        <v>0</v>
      </c>
      <c r="K44" s="257">
        <v>2990873</v>
      </c>
      <c r="L44" s="257">
        <v>2990873</v>
      </c>
      <c r="M44" s="257">
        <v>17050837</v>
      </c>
      <c r="N44" s="257">
        <v>7359929.9699999997</v>
      </c>
    </row>
    <row r="45" spans="1:14" s="143" customFormat="1" x14ac:dyDescent="0.25">
      <c r="A45" s="143" t="s">
        <v>70</v>
      </c>
      <c r="B45" s="143" t="s">
        <v>154</v>
      </c>
      <c r="C45" s="143" t="s">
        <v>155</v>
      </c>
      <c r="D45" s="143" t="s">
        <v>69</v>
      </c>
      <c r="E45" s="257">
        <v>2150000</v>
      </c>
      <c r="F45" s="257">
        <v>1031135</v>
      </c>
      <c r="G45" s="257">
        <v>600000</v>
      </c>
      <c r="H45" s="257">
        <v>0</v>
      </c>
      <c r="I45" s="257">
        <v>500000</v>
      </c>
      <c r="J45" s="257">
        <v>0</v>
      </c>
      <c r="K45" s="257">
        <v>0</v>
      </c>
      <c r="L45" s="257">
        <v>0</v>
      </c>
      <c r="M45" s="257">
        <v>531135</v>
      </c>
      <c r="N45" s="257">
        <v>100000</v>
      </c>
    </row>
    <row r="46" spans="1:14" s="143" customFormat="1" x14ac:dyDescent="0.25">
      <c r="A46" s="143" t="s">
        <v>70</v>
      </c>
      <c r="B46" s="143" t="s">
        <v>156</v>
      </c>
      <c r="C46" s="143" t="s">
        <v>157</v>
      </c>
      <c r="D46" s="143" t="s">
        <v>69</v>
      </c>
      <c r="E46" s="257">
        <v>0</v>
      </c>
      <c r="F46" s="257">
        <v>0</v>
      </c>
      <c r="G46" s="257">
        <v>0</v>
      </c>
      <c r="H46" s="257">
        <v>0</v>
      </c>
      <c r="I46" s="257">
        <v>0</v>
      </c>
      <c r="J46" s="257">
        <v>0</v>
      </c>
      <c r="K46" s="257">
        <v>0</v>
      </c>
      <c r="L46" s="257">
        <v>0</v>
      </c>
      <c r="M46" s="257">
        <v>0</v>
      </c>
      <c r="N46" s="257">
        <v>0</v>
      </c>
    </row>
    <row r="47" spans="1:14" s="143" customFormat="1" x14ac:dyDescent="0.25">
      <c r="A47" s="143" t="s">
        <v>70</v>
      </c>
      <c r="B47" s="143" t="s">
        <v>158</v>
      </c>
      <c r="C47" s="143" t="s">
        <v>159</v>
      </c>
      <c r="D47" s="143" t="s">
        <v>69</v>
      </c>
      <c r="E47" s="257">
        <v>1550000</v>
      </c>
      <c r="F47" s="257">
        <v>431135</v>
      </c>
      <c r="G47" s="257">
        <v>0</v>
      </c>
      <c r="H47" s="257">
        <v>0</v>
      </c>
      <c r="I47" s="257">
        <v>0</v>
      </c>
      <c r="J47" s="257">
        <v>0</v>
      </c>
      <c r="K47" s="257">
        <v>0</v>
      </c>
      <c r="L47" s="257">
        <v>0</v>
      </c>
      <c r="M47" s="257">
        <v>431135</v>
      </c>
      <c r="N47" s="257">
        <v>0</v>
      </c>
    </row>
    <row r="48" spans="1:14" s="143" customFormat="1" x14ac:dyDescent="0.25">
      <c r="A48" s="143" t="s">
        <v>70</v>
      </c>
      <c r="B48" s="143" t="s">
        <v>160</v>
      </c>
      <c r="C48" s="143" t="s">
        <v>161</v>
      </c>
      <c r="D48" s="143" t="s">
        <v>69</v>
      </c>
      <c r="E48" s="257">
        <v>600000</v>
      </c>
      <c r="F48" s="257">
        <v>600000</v>
      </c>
      <c r="G48" s="257">
        <v>600000</v>
      </c>
      <c r="H48" s="257">
        <v>0</v>
      </c>
      <c r="I48" s="257">
        <v>500000</v>
      </c>
      <c r="J48" s="257">
        <v>0</v>
      </c>
      <c r="K48" s="257">
        <v>0</v>
      </c>
      <c r="L48" s="257">
        <v>0</v>
      </c>
      <c r="M48" s="257">
        <v>100000</v>
      </c>
      <c r="N48" s="257">
        <v>100000</v>
      </c>
    </row>
    <row r="49" spans="1:14" s="143" customFormat="1" x14ac:dyDescent="0.25">
      <c r="A49" s="143" t="s">
        <v>70</v>
      </c>
      <c r="B49" s="143" t="s">
        <v>162</v>
      </c>
      <c r="C49" s="143" t="s">
        <v>163</v>
      </c>
      <c r="D49" s="143" t="s">
        <v>69</v>
      </c>
      <c r="E49" s="257">
        <v>17019667</v>
      </c>
      <c r="F49" s="257">
        <v>17019667</v>
      </c>
      <c r="G49" s="257">
        <v>17019667</v>
      </c>
      <c r="H49" s="257">
        <v>0</v>
      </c>
      <c r="I49" s="257">
        <v>2488456</v>
      </c>
      <c r="J49" s="257">
        <v>0</v>
      </c>
      <c r="K49" s="257">
        <v>1335129.3500000001</v>
      </c>
      <c r="L49" s="257">
        <v>1335129.3500000001</v>
      </c>
      <c r="M49" s="257">
        <v>13196081.65</v>
      </c>
      <c r="N49" s="257">
        <v>13196081.65</v>
      </c>
    </row>
    <row r="50" spans="1:14" s="143" customFormat="1" x14ac:dyDescent="0.25">
      <c r="A50" s="143" t="s">
        <v>70</v>
      </c>
      <c r="B50" s="143" t="s">
        <v>164</v>
      </c>
      <c r="C50" s="143" t="s">
        <v>165</v>
      </c>
      <c r="D50" s="143" t="s">
        <v>69</v>
      </c>
      <c r="E50" s="257">
        <v>300000</v>
      </c>
      <c r="F50" s="257">
        <v>300000</v>
      </c>
      <c r="G50" s="257">
        <v>300000</v>
      </c>
      <c r="H50" s="257">
        <v>0</v>
      </c>
      <c r="I50" s="257">
        <v>0</v>
      </c>
      <c r="J50" s="257">
        <v>0</v>
      </c>
      <c r="K50" s="257">
        <v>0</v>
      </c>
      <c r="L50" s="257">
        <v>0</v>
      </c>
      <c r="M50" s="257">
        <v>300000</v>
      </c>
      <c r="N50" s="257">
        <v>300000</v>
      </c>
    </row>
    <row r="51" spans="1:14" s="143" customFormat="1" x14ac:dyDescent="0.25">
      <c r="A51" s="143" t="s">
        <v>70</v>
      </c>
      <c r="B51" s="143" t="s">
        <v>166</v>
      </c>
      <c r="C51" s="143" t="s">
        <v>167</v>
      </c>
      <c r="D51" s="143" t="s">
        <v>69</v>
      </c>
      <c r="E51" s="257">
        <v>9066667</v>
      </c>
      <c r="F51" s="257">
        <v>9066667</v>
      </c>
      <c r="G51" s="257">
        <v>9066667</v>
      </c>
      <c r="H51" s="257">
        <v>0</v>
      </c>
      <c r="I51" s="257">
        <v>1001000</v>
      </c>
      <c r="J51" s="257">
        <v>0</v>
      </c>
      <c r="K51" s="257">
        <v>98201</v>
      </c>
      <c r="L51" s="257">
        <v>98201</v>
      </c>
      <c r="M51" s="257">
        <v>7967466</v>
      </c>
      <c r="N51" s="257">
        <v>7967466</v>
      </c>
    </row>
    <row r="52" spans="1:14" s="143" customFormat="1" x14ac:dyDescent="0.25">
      <c r="A52" s="143" t="s">
        <v>70</v>
      </c>
      <c r="B52" s="143" t="s">
        <v>168</v>
      </c>
      <c r="C52" s="143" t="s">
        <v>169</v>
      </c>
      <c r="D52" s="143" t="s">
        <v>69</v>
      </c>
      <c r="E52" s="257">
        <v>2900000</v>
      </c>
      <c r="F52" s="257">
        <v>2900000</v>
      </c>
      <c r="G52" s="257">
        <v>2900000</v>
      </c>
      <c r="H52" s="257">
        <v>0</v>
      </c>
      <c r="I52" s="257">
        <v>327600</v>
      </c>
      <c r="J52" s="257">
        <v>0</v>
      </c>
      <c r="K52" s="257">
        <v>1093400</v>
      </c>
      <c r="L52" s="257">
        <v>1093400</v>
      </c>
      <c r="M52" s="257">
        <v>1479000</v>
      </c>
      <c r="N52" s="257">
        <v>1479000</v>
      </c>
    </row>
    <row r="53" spans="1:14" s="143" customFormat="1" x14ac:dyDescent="0.25">
      <c r="A53" s="143" t="s">
        <v>70</v>
      </c>
      <c r="B53" s="143" t="s">
        <v>170</v>
      </c>
      <c r="C53" s="143" t="s">
        <v>171</v>
      </c>
      <c r="D53" s="143" t="s">
        <v>69</v>
      </c>
      <c r="E53" s="257">
        <v>393000</v>
      </c>
      <c r="F53" s="257">
        <v>393000</v>
      </c>
      <c r="G53" s="257">
        <v>393000</v>
      </c>
      <c r="H53" s="257">
        <v>0</v>
      </c>
      <c r="I53" s="257">
        <v>0</v>
      </c>
      <c r="J53" s="257">
        <v>0</v>
      </c>
      <c r="K53" s="257">
        <v>0</v>
      </c>
      <c r="L53" s="257">
        <v>0</v>
      </c>
      <c r="M53" s="257">
        <v>393000</v>
      </c>
      <c r="N53" s="257">
        <v>393000</v>
      </c>
    </row>
    <row r="54" spans="1:14" s="143" customFormat="1" x14ac:dyDescent="0.25">
      <c r="A54" s="143" t="s">
        <v>70</v>
      </c>
      <c r="B54" s="143" t="s">
        <v>172</v>
      </c>
      <c r="C54" s="143" t="s">
        <v>173</v>
      </c>
      <c r="D54" s="143" t="s">
        <v>69</v>
      </c>
      <c r="E54" s="257">
        <v>4360000</v>
      </c>
      <c r="F54" s="257">
        <v>4360000</v>
      </c>
      <c r="G54" s="257">
        <v>4360000</v>
      </c>
      <c r="H54" s="257">
        <v>0</v>
      </c>
      <c r="I54" s="257">
        <v>1159856</v>
      </c>
      <c r="J54" s="257">
        <v>0</v>
      </c>
      <c r="K54" s="257">
        <v>143528.35</v>
      </c>
      <c r="L54" s="257">
        <v>143528.35</v>
      </c>
      <c r="M54" s="257">
        <v>3056615.65</v>
      </c>
      <c r="N54" s="257">
        <v>3056615.65</v>
      </c>
    </row>
    <row r="55" spans="1:14" s="143" customFormat="1" x14ac:dyDescent="0.25">
      <c r="A55" s="143" t="s">
        <v>70</v>
      </c>
      <c r="B55" s="143" t="s">
        <v>174</v>
      </c>
      <c r="C55" s="143" t="s">
        <v>175</v>
      </c>
      <c r="D55" s="143" t="s">
        <v>69</v>
      </c>
      <c r="E55" s="257">
        <v>681819</v>
      </c>
      <c r="F55" s="257">
        <v>1250684</v>
      </c>
      <c r="G55" s="257">
        <v>1250684</v>
      </c>
      <c r="H55" s="257">
        <v>0</v>
      </c>
      <c r="I55" s="257">
        <v>961819</v>
      </c>
      <c r="J55" s="257">
        <v>0</v>
      </c>
      <c r="K55" s="257">
        <v>0</v>
      </c>
      <c r="L55" s="257">
        <v>0</v>
      </c>
      <c r="M55" s="257">
        <v>288865</v>
      </c>
      <c r="N55" s="257">
        <v>288865</v>
      </c>
    </row>
    <row r="56" spans="1:14" s="143" customFormat="1" x14ac:dyDescent="0.25">
      <c r="A56" s="143" t="s">
        <v>70</v>
      </c>
      <c r="B56" s="143" t="s">
        <v>176</v>
      </c>
      <c r="C56" s="143" t="s">
        <v>177</v>
      </c>
      <c r="D56" s="143" t="s">
        <v>69</v>
      </c>
      <c r="E56" s="257">
        <v>681819</v>
      </c>
      <c r="F56" s="257">
        <v>1250684</v>
      </c>
      <c r="G56" s="257">
        <v>1250684</v>
      </c>
      <c r="H56" s="257">
        <v>0</v>
      </c>
      <c r="I56" s="257">
        <v>961819</v>
      </c>
      <c r="J56" s="257">
        <v>0</v>
      </c>
      <c r="K56" s="257">
        <v>0</v>
      </c>
      <c r="L56" s="257">
        <v>0</v>
      </c>
      <c r="M56" s="257">
        <v>288865</v>
      </c>
      <c r="N56" s="257">
        <v>288865</v>
      </c>
    </row>
    <row r="57" spans="1:14" s="143" customFormat="1" x14ac:dyDescent="0.25">
      <c r="A57" s="143" t="s">
        <v>70</v>
      </c>
      <c r="B57" s="143" t="s">
        <v>178</v>
      </c>
      <c r="C57" s="143" t="s">
        <v>179</v>
      </c>
      <c r="D57" s="143" t="s">
        <v>69</v>
      </c>
      <c r="E57" s="257">
        <v>1000000</v>
      </c>
      <c r="F57" s="257">
        <v>1000000</v>
      </c>
      <c r="G57" s="257">
        <v>1000000</v>
      </c>
      <c r="H57" s="257">
        <v>0</v>
      </c>
      <c r="I57" s="257">
        <v>1000000</v>
      </c>
      <c r="J57" s="257">
        <v>0</v>
      </c>
      <c r="K57" s="257">
        <v>0</v>
      </c>
      <c r="L57" s="257">
        <v>0</v>
      </c>
      <c r="M57" s="257">
        <v>0</v>
      </c>
      <c r="N57" s="257">
        <v>0</v>
      </c>
    </row>
    <row r="58" spans="1:14" s="143" customFormat="1" x14ac:dyDescent="0.25">
      <c r="A58" s="143" t="s">
        <v>70</v>
      </c>
      <c r="B58" s="143" t="s">
        <v>182</v>
      </c>
      <c r="C58" s="143" t="s">
        <v>183</v>
      </c>
      <c r="D58" s="143" t="s">
        <v>69</v>
      </c>
      <c r="E58" s="257">
        <v>1000000</v>
      </c>
      <c r="F58" s="257">
        <v>1000000</v>
      </c>
      <c r="G58" s="257">
        <v>1000000</v>
      </c>
      <c r="H58" s="257">
        <v>0</v>
      </c>
      <c r="I58" s="257">
        <v>1000000</v>
      </c>
      <c r="J58" s="257">
        <v>0</v>
      </c>
      <c r="K58" s="257">
        <v>0</v>
      </c>
      <c r="L58" s="257">
        <v>0</v>
      </c>
      <c r="M58" s="257">
        <v>0</v>
      </c>
      <c r="N58" s="257">
        <v>0</v>
      </c>
    </row>
    <row r="59" spans="1:14" s="143" customFormat="1" x14ac:dyDescent="0.25">
      <c r="A59" s="143" t="s">
        <v>70</v>
      </c>
      <c r="B59" s="143" t="s">
        <v>184</v>
      </c>
      <c r="C59" s="143" t="s">
        <v>185</v>
      </c>
      <c r="D59" s="143" t="s">
        <v>69</v>
      </c>
      <c r="E59" s="257">
        <v>42229000</v>
      </c>
      <c r="F59" s="257">
        <v>42229000</v>
      </c>
      <c r="G59" s="257">
        <v>38129000</v>
      </c>
      <c r="H59" s="257">
        <v>0</v>
      </c>
      <c r="I59" s="257">
        <v>4314857.12</v>
      </c>
      <c r="J59" s="257">
        <v>685273.83</v>
      </c>
      <c r="K59" s="257">
        <v>17325248.550000001</v>
      </c>
      <c r="L59" s="257">
        <v>16240968.550000001</v>
      </c>
      <c r="M59" s="257">
        <v>19903620.5</v>
      </c>
      <c r="N59" s="257">
        <v>15803620.5</v>
      </c>
    </row>
    <row r="60" spans="1:14" s="143" customFormat="1" x14ac:dyDescent="0.25">
      <c r="A60" s="143" t="s">
        <v>70</v>
      </c>
      <c r="B60" s="143" t="s">
        <v>186</v>
      </c>
      <c r="C60" s="143" t="s">
        <v>187</v>
      </c>
      <c r="D60" s="143" t="s">
        <v>69</v>
      </c>
      <c r="E60" s="257">
        <v>17137000</v>
      </c>
      <c r="F60" s="257">
        <v>17137000</v>
      </c>
      <c r="G60" s="257">
        <v>13037000</v>
      </c>
      <c r="H60" s="257">
        <v>0</v>
      </c>
      <c r="I60" s="257">
        <v>3035488</v>
      </c>
      <c r="J60" s="257">
        <v>0</v>
      </c>
      <c r="K60" s="257">
        <v>9016197</v>
      </c>
      <c r="L60" s="257">
        <v>9016197</v>
      </c>
      <c r="M60" s="257">
        <v>5085315</v>
      </c>
      <c r="N60" s="257">
        <v>985315</v>
      </c>
    </row>
    <row r="61" spans="1:14" s="143" customFormat="1" x14ac:dyDescent="0.25">
      <c r="A61" s="143" t="s">
        <v>70</v>
      </c>
      <c r="B61" s="143" t="s">
        <v>188</v>
      </c>
      <c r="C61" s="143" t="s">
        <v>189</v>
      </c>
      <c r="D61" s="143" t="s">
        <v>69</v>
      </c>
      <c r="E61" s="257">
        <v>11100000</v>
      </c>
      <c r="F61" s="257">
        <v>11100000</v>
      </c>
      <c r="G61" s="257">
        <v>7000000</v>
      </c>
      <c r="H61" s="257">
        <v>0</v>
      </c>
      <c r="I61" s="257">
        <v>3035488</v>
      </c>
      <c r="J61" s="257">
        <v>0</v>
      </c>
      <c r="K61" s="257">
        <v>3964512</v>
      </c>
      <c r="L61" s="257">
        <v>3964512</v>
      </c>
      <c r="M61" s="257">
        <v>4100000</v>
      </c>
      <c r="N61" s="257">
        <v>0</v>
      </c>
    </row>
    <row r="62" spans="1:14" s="143" customFormat="1" x14ac:dyDescent="0.25">
      <c r="A62" s="143" t="s">
        <v>70</v>
      </c>
      <c r="B62" s="143" t="s">
        <v>190</v>
      </c>
      <c r="C62" s="143" t="s">
        <v>191</v>
      </c>
      <c r="D62" s="143" t="s">
        <v>69</v>
      </c>
      <c r="E62" s="257">
        <v>5000000</v>
      </c>
      <c r="F62" s="257">
        <v>5000000</v>
      </c>
      <c r="G62" s="257">
        <v>5000000</v>
      </c>
      <c r="H62" s="257">
        <v>0</v>
      </c>
      <c r="I62" s="257">
        <v>0</v>
      </c>
      <c r="J62" s="257">
        <v>0</v>
      </c>
      <c r="K62" s="257">
        <v>4948905</v>
      </c>
      <c r="L62" s="257">
        <v>4948905</v>
      </c>
      <c r="M62" s="257">
        <v>51095</v>
      </c>
      <c r="N62" s="257">
        <v>51095</v>
      </c>
    </row>
    <row r="63" spans="1:14" s="143" customFormat="1" x14ac:dyDescent="0.25">
      <c r="A63" s="143" t="s">
        <v>70</v>
      </c>
      <c r="B63" s="143" t="s">
        <v>192</v>
      </c>
      <c r="C63" s="143" t="s">
        <v>193</v>
      </c>
      <c r="D63" s="143" t="s">
        <v>69</v>
      </c>
      <c r="E63" s="257">
        <v>126000</v>
      </c>
      <c r="F63" s="257">
        <v>126000</v>
      </c>
      <c r="G63" s="257">
        <v>126000</v>
      </c>
      <c r="H63" s="257">
        <v>0</v>
      </c>
      <c r="I63" s="257">
        <v>0</v>
      </c>
      <c r="J63" s="257">
        <v>0</v>
      </c>
      <c r="K63" s="257">
        <v>102780</v>
      </c>
      <c r="L63" s="257">
        <v>102780</v>
      </c>
      <c r="M63" s="257">
        <v>23220</v>
      </c>
      <c r="N63" s="257">
        <v>23220</v>
      </c>
    </row>
    <row r="64" spans="1:14" s="143" customFormat="1" x14ac:dyDescent="0.25">
      <c r="A64" s="143" t="s">
        <v>70</v>
      </c>
      <c r="B64" s="143" t="s">
        <v>194</v>
      </c>
      <c r="C64" s="143" t="s">
        <v>195</v>
      </c>
      <c r="D64" s="143" t="s">
        <v>69</v>
      </c>
      <c r="E64" s="257">
        <v>911000</v>
      </c>
      <c r="F64" s="257">
        <v>911000</v>
      </c>
      <c r="G64" s="257">
        <v>911000</v>
      </c>
      <c r="H64" s="257">
        <v>0</v>
      </c>
      <c r="I64" s="257">
        <v>0</v>
      </c>
      <c r="J64" s="257">
        <v>0</v>
      </c>
      <c r="K64" s="257">
        <v>0</v>
      </c>
      <c r="L64" s="257">
        <v>0</v>
      </c>
      <c r="M64" s="257">
        <v>911000</v>
      </c>
      <c r="N64" s="257">
        <v>911000</v>
      </c>
    </row>
    <row r="65" spans="1:14" s="143" customFormat="1" x14ac:dyDescent="0.25">
      <c r="A65" s="143" t="s">
        <v>70</v>
      </c>
      <c r="B65" s="143" t="s">
        <v>196</v>
      </c>
      <c r="C65" s="143" t="s">
        <v>197</v>
      </c>
      <c r="D65" s="143" t="s">
        <v>69</v>
      </c>
      <c r="E65" s="257">
        <v>3000000</v>
      </c>
      <c r="F65" s="257">
        <v>3000000</v>
      </c>
      <c r="G65" s="257">
        <v>3000000</v>
      </c>
      <c r="H65" s="257">
        <v>0</v>
      </c>
      <c r="I65" s="257">
        <v>65700</v>
      </c>
      <c r="J65" s="257">
        <v>0</v>
      </c>
      <c r="K65" s="257">
        <v>1373924</v>
      </c>
      <c r="L65" s="257">
        <v>1373924</v>
      </c>
      <c r="M65" s="257">
        <v>1560376</v>
      </c>
      <c r="N65" s="257">
        <v>1560376</v>
      </c>
    </row>
    <row r="66" spans="1:14" s="143" customFormat="1" x14ac:dyDescent="0.25">
      <c r="A66" s="143" t="s">
        <v>70</v>
      </c>
      <c r="B66" s="143" t="s">
        <v>198</v>
      </c>
      <c r="C66" s="143" t="s">
        <v>199</v>
      </c>
      <c r="D66" s="143" t="s">
        <v>69</v>
      </c>
      <c r="E66" s="257">
        <v>3000000</v>
      </c>
      <c r="F66" s="257">
        <v>3000000</v>
      </c>
      <c r="G66" s="257">
        <v>3000000</v>
      </c>
      <c r="H66" s="257">
        <v>0</v>
      </c>
      <c r="I66" s="257">
        <v>65700</v>
      </c>
      <c r="J66" s="257">
        <v>0</v>
      </c>
      <c r="K66" s="257">
        <v>1373924</v>
      </c>
      <c r="L66" s="257">
        <v>1373924</v>
      </c>
      <c r="M66" s="257">
        <v>1560376</v>
      </c>
      <c r="N66" s="257">
        <v>1560376</v>
      </c>
    </row>
    <row r="67" spans="1:14" s="143" customFormat="1" x14ac:dyDescent="0.25">
      <c r="A67" s="143" t="s">
        <v>70</v>
      </c>
      <c r="B67" s="143" t="s">
        <v>200</v>
      </c>
      <c r="C67" s="143" t="s">
        <v>201</v>
      </c>
      <c r="D67" s="143" t="s">
        <v>69</v>
      </c>
      <c r="E67" s="257">
        <v>936000</v>
      </c>
      <c r="F67" s="257">
        <v>936000</v>
      </c>
      <c r="G67" s="257">
        <v>936000</v>
      </c>
      <c r="H67" s="257">
        <v>0</v>
      </c>
      <c r="I67" s="257">
        <v>0</v>
      </c>
      <c r="J67" s="257">
        <v>0</v>
      </c>
      <c r="K67" s="257">
        <v>508225</v>
      </c>
      <c r="L67" s="257">
        <v>508225</v>
      </c>
      <c r="M67" s="257">
        <v>427775</v>
      </c>
      <c r="N67" s="257">
        <v>427775</v>
      </c>
    </row>
    <row r="68" spans="1:14" s="143" customFormat="1" x14ac:dyDescent="0.25">
      <c r="A68" s="143" t="s">
        <v>70</v>
      </c>
      <c r="B68" s="143" t="s">
        <v>202</v>
      </c>
      <c r="C68" s="143" t="s">
        <v>203</v>
      </c>
      <c r="D68" s="143" t="s">
        <v>69</v>
      </c>
      <c r="E68" s="257">
        <v>771000</v>
      </c>
      <c r="F68" s="257">
        <v>771000</v>
      </c>
      <c r="G68" s="257">
        <v>771000</v>
      </c>
      <c r="H68" s="257">
        <v>0</v>
      </c>
      <c r="I68" s="257">
        <v>0</v>
      </c>
      <c r="J68" s="257">
        <v>0</v>
      </c>
      <c r="K68" s="257">
        <v>508225</v>
      </c>
      <c r="L68" s="257">
        <v>508225</v>
      </c>
      <c r="M68" s="257">
        <v>262775</v>
      </c>
      <c r="N68" s="257">
        <v>262775</v>
      </c>
    </row>
    <row r="69" spans="1:14" s="143" customFormat="1" x14ac:dyDescent="0.25">
      <c r="A69" s="143" t="s">
        <v>70</v>
      </c>
      <c r="B69" s="143" t="s">
        <v>204</v>
      </c>
      <c r="C69" s="143" t="s">
        <v>205</v>
      </c>
      <c r="D69" s="143" t="s">
        <v>69</v>
      </c>
      <c r="E69" s="257">
        <v>165000</v>
      </c>
      <c r="F69" s="257">
        <v>165000</v>
      </c>
      <c r="G69" s="257">
        <v>165000</v>
      </c>
      <c r="H69" s="257">
        <v>0</v>
      </c>
      <c r="I69" s="257">
        <v>0</v>
      </c>
      <c r="J69" s="257">
        <v>0</v>
      </c>
      <c r="K69" s="257">
        <v>0</v>
      </c>
      <c r="L69" s="257">
        <v>0</v>
      </c>
      <c r="M69" s="257">
        <v>165000</v>
      </c>
      <c r="N69" s="257">
        <v>165000</v>
      </c>
    </row>
    <row r="70" spans="1:14" s="143" customFormat="1" x14ac:dyDescent="0.25">
      <c r="A70" s="143" t="s">
        <v>70</v>
      </c>
      <c r="B70" s="143" t="s">
        <v>206</v>
      </c>
      <c r="C70" s="143" t="s">
        <v>207</v>
      </c>
      <c r="D70" s="143" t="s">
        <v>69</v>
      </c>
      <c r="E70" s="257">
        <v>312000</v>
      </c>
      <c r="F70" s="257">
        <v>312000</v>
      </c>
      <c r="G70" s="257">
        <v>312000</v>
      </c>
      <c r="H70" s="257">
        <v>0</v>
      </c>
      <c r="I70" s="257">
        <v>0</v>
      </c>
      <c r="J70" s="257">
        <v>0</v>
      </c>
      <c r="K70" s="257">
        <v>0</v>
      </c>
      <c r="L70" s="257">
        <v>0</v>
      </c>
      <c r="M70" s="257">
        <v>312000</v>
      </c>
      <c r="N70" s="257">
        <v>312000</v>
      </c>
    </row>
    <row r="71" spans="1:14" s="143" customFormat="1" x14ac:dyDescent="0.25">
      <c r="A71" s="143" t="s">
        <v>70</v>
      </c>
      <c r="B71" s="143" t="s">
        <v>208</v>
      </c>
      <c r="C71" s="143" t="s">
        <v>209</v>
      </c>
      <c r="D71" s="143" t="s">
        <v>69</v>
      </c>
      <c r="E71" s="257">
        <v>206000</v>
      </c>
      <c r="F71" s="257">
        <v>206000</v>
      </c>
      <c r="G71" s="257">
        <v>206000</v>
      </c>
      <c r="H71" s="257">
        <v>0</v>
      </c>
      <c r="I71" s="257">
        <v>0</v>
      </c>
      <c r="J71" s="257">
        <v>0</v>
      </c>
      <c r="K71" s="257">
        <v>0</v>
      </c>
      <c r="L71" s="257">
        <v>0</v>
      </c>
      <c r="M71" s="257">
        <v>206000</v>
      </c>
      <c r="N71" s="257">
        <v>206000</v>
      </c>
    </row>
    <row r="72" spans="1:14" s="143" customFormat="1" x14ac:dyDescent="0.25">
      <c r="A72" s="143" t="s">
        <v>70</v>
      </c>
      <c r="B72" s="143" t="s">
        <v>210</v>
      </c>
      <c r="C72" s="143" t="s">
        <v>211</v>
      </c>
      <c r="D72" s="143" t="s">
        <v>69</v>
      </c>
      <c r="E72" s="257">
        <v>106000</v>
      </c>
      <c r="F72" s="257">
        <v>106000</v>
      </c>
      <c r="G72" s="257">
        <v>106000</v>
      </c>
      <c r="H72" s="257">
        <v>0</v>
      </c>
      <c r="I72" s="257">
        <v>0</v>
      </c>
      <c r="J72" s="257">
        <v>0</v>
      </c>
      <c r="K72" s="257">
        <v>0</v>
      </c>
      <c r="L72" s="257">
        <v>0</v>
      </c>
      <c r="M72" s="257">
        <v>106000</v>
      </c>
      <c r="N72" s="257">
        <v>106000</v>
      </c>
    </row>
    <row r="73" spans="1:14" s="143" customFormat="1" x14ac:dyDescent="0.25">
      <c r="A73" s="143" t="s">
        <v>70</v>
      </c>
      <c r="B73" s="143" t="s">
        <v>212</v>
      </c>
      <c r="C73" s="143" t="s">
        <v>213</v>
      </c>
      <c r="D73" s="143" t="s">
        <v>69</v>
      </c>
      <c r="E73" s="257">
        <v>20844000</v>
      </c>
      <c r="F73" s="257">
        <v>20844000</v>
      </c>
      <c r="G73" s="257">
        <v>20844000</v>
      </c>
      <c r="H73" s="257">
        <v>0</v>
      </c>
      <c r="I73" s="257">
        <v>1213669.1200000001</v>
      </c>
      <c r="J73" s="257">
        <v>685273.83</v>
      </c>
      <c r="K73" s="257">
        <v>6426902.5499999998</v>
      </c>
      <c r="L73" s="257">
        <v>5342622.55</v>
      </c>
      <c r="M73" s="257">
        <v>12518154.5</v>
      </c>
      <c r="N73" s="257">
        <v>12518154.5</v>
      </c>
    </row>
    <row r="74" spans="1:14" s="143" customFormat="1" x14ac:dyDescent="0.25">
      <c r="A74" s="143" t="s">
        <v>70</v>
      </c>
      <c r="B74" s="143" t="s">
        <v>214</v>
      </c>
      <c r="C74" s="143" t="s">
        <v>215</v>
      </c>
      <c r="D74" s="143" t="s">
        <v>69</v>
      </c>
      <c r="E74" s="257">
        <v>3000000</v>
      </c>
      <c r="F74" s="257">
        <v>3000000</v>
      </c>
      <c r="G74" s="257">
        <v>3000000</v>
      </c>
      <c r="H74" s="257">
        <v>0</v>
      </c>
      <c r="I74" s="257">
        <v>773364.12</v>
      </c>
      <c r="J74" s="257">
        <v>396900</v>
      </c>
      <c r="K74" s="257">
        <v>1089101.52</v>
      </c>
      <c r="L74" s="257">
        <v>777501.52</v>
      </c>
      <c r="M74" s="257">
        <v>740634.36</v>
      </c>
      <c r="N74" s="257">
        <v>740634.36</v>
      </c>
    </row>
    <row r="75" spans="1:14" s="143" customFormat="1" x14ac:dyDescent="0.25">
      <c r="A75" s="143" t="s">
        <v>70</v>
      </c>
      <c r="B75" s="143" t="s">
        <v>216</v>
      </c>
      <c r="C75" s="143" t="s">
        <v>217</v>
      </c>
      <c r="D75" s="143" t="s">
        <v>69</v>
      </c>
      <c r="E75" s="257">
        <v>271000</v>
      </c>
      <c r="F75" s="257">
        <v>271000</v>
      </c>
      <c r="G75" s="257">
        <v>271000</v>
      </c>
      <c r="H75" s="257">
        <v>0</v>
      </c>
      <c r="I75" s="257">
        <v>152000</v>
      </c>
      <c r="J75" s="257">
        <v>0</v>
      </c>
      <c r="K75" s="257">
        <v>112500</v>
      </c>
      <c r="L75" s="257">
        <v>112500</v>
      </c>
      <c r="M75" s="257">
        <v>6500</v>
      </c>
      <c r="N75" s="257">
        <v>6500</v>
      </c>
    </row>
    <row r="76" spans="1:14" s="143" customFormat="1" x14ac:dyDescent="0.25">
      <c r="A76" s="143" t="s">
        <v>70</v>
      </c>
      <c r="B76" s="143" t="s">
        <v>218</v>
      </c>
      <c r="C76" s="143" t="s">
        <v>219</v>
      </c>
      <c r="D76" s="143" t="s">
        <v>69</v>
      </c>
      <c r="E76" s="257">
        <v>12000000</v>
      </c>
      <c r="F76" s="257">
        <v>4000000</v>
      </c>
      <c r="G76" s="257">
        <v>4000000</v>
      </c>
      <c r="H76" s="257">
        <v>0</v>
      </c>
      <c r="I76" s="257">
        <v>177445</v>
      </c>
      <c r="J76" s="257">
        <v>0</v>
      </c>
      <c r="K76" s="257">
        <v>2394350.92</v>
      </c>
      <c r="L76" s="257">
        <v>2394350.92</v>
      </c>
      <c r="M76" s="257">
        <v>1428204.08</v>
      </c>
      <c r="N76" s="257">
        <v>1428204.08</v>
      </c>
    </row>
    <row r="77" spans="1:14" s="143" customFormat="1" x14ac:dyDescent="0.25">
      <c r="A77" s="143" t="s">
        <v>70</v>
      </c>
      <c r="B77" s="143" t="s">
        <v>220</v>
      </c>
      <c r="C77" s="143" t="s">
        <v>221</v>
      </c>
      <c r="D77" s="143" t="s">
        <v>69</v>
      </c>
      <c r="E77" s="257">
        <v>1445000</v>
      </c>
      <c r="F77" s="257">
        <v>1445000</v>
      </c>
      <c r="G77" s="257">
        <v>1445000</v>
      </c>
      <c r="H77" s="257">
        <v>0</v>
      </c>
      <c r="I77" s="257">
        <v>0</v>
      </c>
      <c r="J77" s="257">
        <v>0</v>
      </c>
      <c r="K77" s="257">
        <v>0</v>
      </c>
      <c r="L77" s="257">
        <v>0</v>
      </c>
      <c r="M77" s="257">
        <v>1445000</v>
      </c>
      <c r="N77" s="257">
        <v>1445000</v>
      </c>
    </row>
    <row r="78" spans="1:14" s="143" customFormat="1" x14ac:dyDescent="0.25">
      <c r="A78" s="143" t="s">
        <v>70</v>
      </c>
      <c r="B78" s="143" t="s">
        <v>222</v>
      </c>
      <c r="C78" s="143" t="s">
        <v>223</v>
      </c>
      <c r="D78" s="143" t="s">
        <v>69</v>
      </c>
      <c r="E78" s="257">
        <v>2500000</v>
      </c>
      <c r="F78" s="257">
        <v>10500000</v>
      </c>
      <c r="G78" s="257">
        <v>10500000</v>
      </c>
      <c r="H78" s="257">
        <v>0</v>
      </c>
      <c r="I78" s="257">
        <v>0</v>
      </c>
      <c r="J78" s="257">
        <v>224573.83</v>
      </c>
      <c r="K78" s="257">
        <v>1620580.61</v>
      </c>
      <c r="L78" s="257">
        <v>1620580.61</v>
      </c>
      <c r="M78" s="257">
        <v>8654845.5600000005</v>
      </c>
      <c r="N78" s="257">
        <v>8654845.5600000005</v>
      </c>
    </row>
    <row r="79" spans="1:14" s="143" customFormat="1" x14ac:dyDescent="0.25">
      <c r="A79" s="143" t="s">
        <v>70</v>
      </c>
      <c r="B79" s="143" t="s">
        <v>224</v>
      </c>
      <c r="C79" s="143" t="s">
        <v>225</v>
      </c>
      <c r="D79" s="143" t="s">
        <v>69</v>
      </c>
      <c r="E79" s="257">
        <v>66000</v>
      </c>
      <c r="F79" s="257">
        <v>66000</v>
      </c>
      <c r="G79" s="257">
        <v>66000</v>
      </c>
      <c r="H79" s="257">
        <v>0</v>
      </c>
      <c r="I79" s="257">
        <v>0</v>
      </c>
      <c r="J79" s="257">
        <v>63800</v>
      </c>
      <c r="K79" s="257">
        <v>0</v>
      </c>
      <c r="L79" s="257">
        <v>0</v>
      </c>
      <c r="M79" s="257">
        <v>2200</v>
      </c>
      <c r="N79" s="257">
        <v>2200</v>
      </c>
    </row>
    <row r="80" spans="1:14" s="143" customFormat="1" x14ac:dyDescent="0.25">
      <c r="A80" s="143" t="s">
        <v>70</v>
      </c>
      <c r="B80" s="143" t="s">
        <v>226</v>
      </c>
      <c r="C80" s="143" t="s">
        <v>227</v>
      </c>
      <c r="D80" s="143" t="s">
        <v>69</v>
      </c>
      <c r="E80" s="257">
        <v>562000</v>
      </c>
      <c r="F80" s="257">
        <v>562000</v>
      </c>
      <c r="G80" s="257">
        <v>562000</v>
      </c>
      <c r="H80" s="257">
        <v>0</v>
      </c>
      <c r="I80" s="257">
        <v>0</v>
      </c>
      <c r="J80" s="257">
        <v>0</v>
      </c>
      <c r="K80" s="257">
        <v>328670</v>
      </c>
      <c r="L80" s="257">
        <v>328670</v>
      </c>
      <c r="M80" s="257">
        <v>233330</v>
      </c>
      <c r="N80" s="257">
        <v>233330</v>
      </c>
    </row>
    <row r="81" spans="1:14" s="143" customFormat="1" x14ac:dyDescent="0.25">
      <c r="A81" s="143" t="s">
        <v>70</v>
      </c>
      <c r="B81" s="143" t="s">
        <v>228</v>
      </c>
      <c r="C81" s="143" t="s">
        <v>229</v>
      </c>
      <c r="D81" s="143" t="s">
        <v>69</v>
      </c>
      <c r="E81" s="257">
        <v>1000000</v>
      </c>
      <c r="F81" s="257">
        <v>1000000</v>
      </c>
      <c r="G81" s="257">
        <v>1000000</v>
      </c>
      <c r="H81" s="257">
        <v>0</v>
      </c>
      <c r="I81" s="257">
        <v>110860</v>
      </c>
      <c r="J81" s="257">
        <v>0</v>
      </c>
      <c r="K81" s="257">
        <v>881699.5</v>
      </c>
      <c r="L81" s="257">
        <v>109019.5</v>
      </c>
      <c r="M81" s="257">
        <v>7440.5</v>
      </c>
      <c r="N81" s="257">
        <v>7440.5</v>
      </c>
    </row>
    <row r="82" spans="1:14" s="143" customFormat="1" x14ac:dyDescent="0.25">
      <c r="A82" s="143" t="s">
        <v>70</v>
      </c>
      <c r="B82" s="143" t="s">
        <v>248</v>
      </c>
      <c r="C82" s="143" t="s">
        <v>249</v>
      </c>
      <c r="D82" s="143" t="s">
        <v>69</v>
      </c>
      <c r="E82" s="257">
        <v>731283000</v>
      </c>
      <c r="F82" s="257">
        <v>752902365</v>
      </c>
      <c r="G82" s="257">
        <v>575721518</v>
      </c>
      <c r="H82" s="257">
        <v>0</v>
      </c>
      <c r="I82" s="257">
        <v>130262436.29000001</v>
      </c>
      <c r="J82" s="257">
        <v>0</v>
      </c>
      <c r="K82" s="257">
        <v>440233510.81</v>
      </c>
      <c r="L82" s="257">
        <v>440233510.81</v>
      </c>
      <c r="M82" s="257">
        <v>182406417.90000001</v>
      </c>
      <c r="N82" s="257">
        <v>5225570.9000000004</v>
      </c>
    </row>
    <row r="83" spans="1:14" s="143" customFormat="1" x14ac:dyDescent="0.25">
      <c r="A83" s="143" t="s">
        <v>70</v>
      </c>
      <c r="B83" s="143" t="s">
        <v>250</v>
      </c>
      <c r="C83" s="143" t="s">
        <v>251</v>
      </c>
      <c r="D83" s="143" t="s">
        <v>69</v>
      </c>
      <c r="E83" s="257">
        <v>268185000</v>
      </c>
      <c r="F83" s="257">
        <v>268185000</v>
      </c>
      <c r="G83" s="257">
        <v>196839403.30000001</v>
      </c>
      <c r="H83" s="257">
        <v>0</v>
      </c>
      <c r="I83" s="257">
        <v>43920352.700000003</v>
      </c>
      <c r="J83" s="257">
        <v>0</v>
      </c>
      <c r="K83" s="257">
        <v>152836076.69999999</v>
      </c>
      <c r="L83" s="257">
        <v>152836076.69999999</v>
      </c>
      <c r="M83" s="257">
        <v>71428570.599999994</v>
      </c>
      <c r="N83" s="257">
        <v>82973.899999999994</v>
      </c>
    </row>
    <row r="84" spans="1:14" s="143" customFormat="1" x14ac:dyDescent="0.25">
      <c r="A84" s="143" t="s">
        <v>70</v>
      </c>
      <c r="B84" s="143" t="s">
        <v>252</v>
      </c>
      <c r="C84" s="143" t="s">
        <v>253</v>
      </c>
      <c r="D84" s="143" t="s">
        <v>69</v>
      </c>
      <c r="E84" s="257">
        <v>2000000</v>
      </c>
      <c r="F84" s="257">
        <v>2000000</v>
      </c>
      <c r="G84" s="257">
        <v>2000000</v>
      </c>
      <c r="H84" s="257">
        <v>0</v>
      </c>
      <c r="I84" s="257">
        <v>0</v>
      </c>
      <c r="J84" s="257">
        <v>0</v>
      </c>
      <c r="K84" s="257">
        <v>2000000</v>
      </c>
      <c r="L84" s="257">
        <v>2000000</v>
      </c>
      <c r="M84" s="257">
        <v>0</v>
      </c>
      <c r="N84" s="257">
        <v>0</v>
      </c>
    </row>
    <row r="85" spans="1:14" s="143" customFormat="1" x14ac:dyDescent="0.25">
      <c r="A85" s="143" t="s">
        <v>70</v>
      </c>
      <c r="B85" s="143" t="s">
        <v>254</v>
      </c>
      <c r="C85" s="143" t="s">
        <v>255</v>
      </c>
      <c r="D85" s="143" t="s">
        <v>69</v>
      </c>
      <c r="E85" s="257">
        <v>250000000</v>
      </c>
      <c r="F85" s="257">
        <v>250000000</v>
      </c>
      <c r="G85" s="257">
        <v>178654403.30000001</v>
      </c>
      <c r="H85" s="257">
        <v>0</v>
      </c>
      <c r="I85" s="257">
        <v>35714285.700000003</v>
      </c>
      <c r="J85" s="257">
        <v>0</v>
      </c>
      <c r="K85" s="257">
        <v>142857143.69999999</v>
      </c>
      <c r="L85" s="257">
        <v>142857143.69999999</v>
      </c>
      <c r="M85" s="257">
        <v>71428570.599999994</v>
      </c>
      <c r="N85" s="257">
        <v>82973.899999999994</v>
      </c>
    </row>
    <row r="86" spans="1:14" s="143" customFormat="1" x14ac:dyDescent="0.25">
      <c r="A86" s="143" t="s">
        <v>70</v>
      </c>
      <c r="B86" s="143" t="s">
        <v>256</v>
      </c>
      <c r="C86" s="143" t="s">
        <v>257</v>
      </c>
      <c r="D86" s="143" t="s">
        <v>69</v>
      </c>
      <c r="E86" s="257">
        <v>13470000</v>
      </c>
      <c r="F86" s="257">
        <v>13470000</v>
      </c>
      <c r="G86" s="257">
        <v>13470000</v>
      </c>
      <c r="H86" s="257">
        <v>0</v>
      </c>
      <c r="I86" s="257">
        <v>6829814</v>
      </c>
      <c r="J86" s="257">
        <v>0</v>
      </c>
      <c r="K86" s="257">
        <v>6640186</v>
      </c>
      <c r="L86" s="257">
        <v>6640186</v>
      </c>
      <c r="M86" s="257">
        <v>0</v>
      </c>
      <c r="N86" s="257">
        <v>0</v>
      </c>
    </row>
    <row r="87" spans="1:14" s="143" customFormat="1" x14ac:dyDescent="0.25">
      <c r="A87" s="143" t="s">
        <v>70</v>
      </c>
      <c r="B87" s="143" t="s">
        <v>258</v>
      </c>
      <c r="C87" s="143" t="s">
        <v>259</v>
      </c>
      <c r="D87" s="143" t="s">
        <v>69</v>
      </c>
      <c r="E87" s="257">
        <v>2715000</v>
      </c>
      <c r="F87" s="257">
        <v>2715000</v>
      </c>
      <c r="G87" s="257">
        <v>2715000</v>
      </c>
      <c r="H87" s="257">
        <v>0</v>
      </c>
      <c r="I87" s="257">
        <v>1376253</v>
      </c>
      <c r="J87" s="257">
        <v>0</v>
      </c>
      <c r="K87" s="257">
        <v>1338747</v>
      </c>
      <c r="L87" s="257">
        <v>1338747</v>
      </c>
      <c r="M87" s="257">
        <v>0</v>
      </c>
      <c r="N87" s="257">
        <v>0</v>
      </c>
    </row>
    <row r="88" spans="1:14" s="143" customFormat="1" x14ac:dyDescent="0.25">
      <c r="A88" s="143" t="s">
        <v>70</v>
      </c>
      <c r="B88" s="143" t="s">
        <v>260</v>
      </c>
      <c r="C88" s="143" t="s">
        <v>261</v>
      </c>
      <c r="D88" s="143" t="s">
        <v>69</v>
      </c>
      <c r="E88" s="257">
        <v>39757000</v>
      </c>
      <c r="F88" s="257">
        <v>61376365</v>
      </c>
      <c r="G88" s="257">
        <v>61376364.700000003</v>
      </c>
      <c r="H88" s="257">
        <v>0</v>
      </c>
      <c r="I88" s="257">
        <v>2243530.09</v>
      </c>
      <c r="J88" s="257">
        <v>0</v>
      </c>
      <c r="K88" s="257">
        <v>53990237.609999999</v>
      </c>
      <c r="L88" s="257">
        <v>53990237.609999999</v>
      </c>
      <c r="M88" s="257">
        <v>5142597.3</v>
      </c>
      <c r="N88" s="257">
        <v>5142597</v>
      </c>
    </row>
    <row r="89" spans="1:14" s="143" customFormat="1" x14ac:dyDescent="0.25">
      <c r="A89" s="143" t="s">
        <v>70</v>
      </c>
      <c r="B89" s="143" t="s">
        <v>262</v>
      </c>
      <c r="C89" s="143" t="s">
        <v>263</v>
      </c>
      <c r="D89" s="143" t="s">
        <v>69</v>
      </c>
      <c r="E89" s="257">
        <v>30000000</v>
      </c>
      <c r="F89" s="257">
        <v>51619365</v>
      </c>
      <c r="G89" s="257">
        <v>51619364.700000003</v>
      </c>
      <c r="H89" s="257">
        <v>0</v>
      </c>
      <c r="I89" s="257">
        <v>2243530.09</v>
      </c>
      <c r="J89" s="257">
        <v>0</v>
      </c>
      <c r="K89" s="257">
        <v>49375834.609999999</v>
      </c>
      <c r="L89" s="257">
        <v>49375834.609999999</v>
      </c>
      <c r="M89" s="257">
        <v>0.30000000000000004</v>
      </c>
      <c r="N89" s="257">
        <v>0</v>
      </c>
    </row>
    <row r="90" spans="1:14" s="143" customFormat="1" x14ac:dyDescent="0.25">
      <c r="A90" s="143" t="s">
        <v>70</v>
      </c>
      <c r="B90" s="143" t="s">
        <v>264</v>
      </c>
      <c r="C90" s="143" t="s">
        <v>265</v>
      </c>
      <c r="D90" s="143" t="s">
        <v>69</v>
      </c>
      <c r="E90" s="257">
        <v>9757000</v>
      </c>
      <c r="F90" s="257">
        <v>9757000</v>
      </c>
      <c r="G90" s="257">
        <v>9757000</v>
      </c>
      <c r="H90" s="257">
        <v>0</v>
      </c>
      <c r="I90" s="257">
        <v>0</v>
      </c>
      <c r="J90" s="257">
        <v>0</v>
      </c>
      <c r="K90" s="257">
        <v>4614403</v>
      </c>
      <c r="L90" s="257">
        <v>4614403</v>
      </c>
      <c r="M90" s="257">
        <v>5142597</v>
      </c>
      <c r="N90" s="257">
        <v>5142597</v>
      </c>
    </row>
    <row r="91" spans="1:14" s="143" customFormat="1" x14ac:dyDescent="0.25">
      <c r="A91" s="143" t="s">
        <v>70</v>
      </c>
      <c r="B91" s="143" t="s">
        <v>266</v>
      </c>
      <c r="C91" s="143" t="s">
        <v>267</v>
      </c>
      <c r="D91" s="143" t="s">
        <v>69</v>
      </c>
      <c r="E91" s="257">
        <v>423341000</v>
      </c>
      <c r="F91" s="257">
        <v>423341000</v>
      </c>
      <c r="G91" s="257">
        <v>317505750</v>
      </c>
      <c r="H91" s="257">
        <v>0</v>
      </c>
      <c r="I91" s="257">
        <v>84098553.5</v>
      </c>
      <c r="J91" s="257">
        <v>0</v>
      </c>
      <c r="K91" s="257">
        <v>233407196.5</v>
      </c>
      <c r="L91" s="257">
        <v>233407196.5</v>
      </c>
      <c r="M91" s="257">
        <v>105835250</v>
      </c>
      <c r="N91" s="257">
        <v>0</v>
      </c>
    </row>
    <row r="92" spans="1:14" s="143" customFormat="1" x14ac:dyDescent="0.25">
      <c r="A92" s="143" t="s">
        <v>70</v>
      </c>
      <c r="B92" s="143" t="s">
        <v>268</v>
      </c>
      <c r="C92" s="143" t="s">
        <v>269</v>
      </c>
      <c r="D92" s="143" t="s">
        <v>69</v>
      </c>
      <c r="E92" s="257">
        <v>406300000</v>
      </c>
      <c r="F92" s="257">
        <v>406300000</v>
      </c>
      <c r="G92" s="257">
        <v>300464750</v>
      </c>
      <c r="H92" s="257">
        <v>0</v>
      </c>
      <c r="I92" s="257">
        <v>70556834</v>
      </c>
      <c r="J92" s="257">
        <v>0</v>
      </c>
      <c r="K92" s="257">
        <v>229907916</v>
      </c>
      <c r="L92" s="257">
        <v>229907916</v>
      </c>
      <c r="M92" s="257">
        <v>105835250</v>
      </c>
      <c r="N92" s="257">
        <v>0</v>
      </c>
    </row>
    <row r="93" spans="1:14" s="143" customFormat="1" x14ac:dyDescent="0.25">
      <c r="A93" s="143" t="s">
        <v>70</v>
      </c>
      <c r="B93" s="143" t="s">
        <v>270</v>
      </c>
      <c r="C93" s="143" t="s">
        <v>271</v>
      </c>
      <c r="D93" s="143" t="s">
        <v>69</v>
      </c>
      <c r="E93" s="257">
        <v>13364000</v>
      </c>
      <c r="F93" s="257">
        <v>13364000</v>
      </c>
      <c r="G93" s="257">
        <v>13364000</v>
      </c>
      <c r="H93" s="257">
        <v>0</v>
      </c>
      <c r="I93" s="257">
        <v>13364000</v>
      </c>
      <c r="J93" s="257">
        <v>0</v>
      </c>
      <c r="K93" s="257">
        <v>0</v>
      </c>
      <c r="L93" s="257">
        <v>0</v>
      </c>
      <c r="M93" s="257">
        <v>0</v>
      </c>
      <c r="N93" s="257">
        <v>0</v>
      </c>
    </row>
    <row r="94" spans="1:14" s="143" customFormat="1" x14ac:dyDescent="0.25">
      <c r="A94" s="143" t="s">
        <v>70</v>
      </c>
      <c r="B94" s="143" t="s">
        <v>272</v>
      </c>
      <c r="C94" s="143" t="s">
        <v>273</v>
      </c>
      <c r="D94" s="143" t="s">
        <v>69</v>
      </c>
      <c r="E94" s="257">
        <v>3677000</v>
      </c>
      <c r="F94" s="257">
        <v>3677000</v>
      </c>
      <c r="G94" s="257">
        <v>3677000</v>
      </c>
      <c r="H94" s="257">
        <v>0</v>
      </c>
      <c r="I94" s="257">
        <v>177719.5</v>
      </c>
      <c r="J94" s="257">
        <v>0</v>
      </c>
      <c r="K94" s="257">
        <v>3499280.5</v>
      </c>
      <c r="L94" s="257">
        <v>3499280.5</v>
      </c>
      <c r="M94" s="257">
        <v>0</v>
      </c>
      <c r="N94" s="257">
        <v>0</v>
      </c>
    </row>
    <row r="95" spans="1:14" s="143" customFormat="1" x14ac:dyDescent="0.25">
      <c r="A95" s="143" t="s">
        <v>70</v>
      </c>
      <c r="B95" s="143" t="s">
        <v>230</v>
      </c>
      <c r="C95" s="143" t="s">
        <v>231</v>
      </c>
      <c r="D95" s="143" t="s">
        <v>85</v>
      </c>
      <c r="E95" s="257">
        <v>17098648</v>
      </c>
      <c r="F95" s="257">
        <v>17098648</v>
      </c>
      <c r="G95" s="257">
        <v>17098648</v>
      </c>
      <c r="H95" s="257">
        <v>0</v>
      </c>
      <c r="I95" s="257">
        <v>0</v>
      </c>
      <c r="J95" s="257">
        <v>0</v>
      </c>
      <c r="K95" s="257">
        <v>0</v>
      </c>
      <c r="L95" s="257">
        <v>0</v>
      </c>
      <c r="M95" s="257">
        <v>17098648</v>
      </c>
      <c r="N95" s="257">
        <v>17098648</v>
      </c>
    </row>
    <row r="96" spans="1:14" s="143" customFormat="1" x14ac:dyDescent="0.25">
      <c r="A96" s="143" t="s">
        <v>70</v>
      </c>
      <c r="B96" s="143" t="s">
        <v>232</v>
      </c>
      <c r="C96" s="143" t="s">
        <v>233</v>
      </c>
      <c r="D96" s="143" t="s">
        <v>85</v>
      </c>
      <c r="E96" s="257">
        <v>16598648</v>
      </c>
      <c r="F96" s="257">
        <v>16598648</v>
      </c>
      <c r="G96" s="257">
        <v>16598648</v>
      </c>
      <c r="H96" s="257">
        <v>0</v>
      </c>
      <c r="I96" s="257">
        <v>0</v>
      </c>
      <c r="J96" s="257">
        <v>0</v>
      </c>
      <c r="K96" s="257">
        <v>0</v>
      </c>
      <c r="L96" s="257">
        <v>0</v>
      </c>
      <c r="M96" s="257">
        <v>16598648</v>
      </c>
      <c r="N96" s="257">
        <v>16598648</v>
      </c>
    </row>
    <row r="97" spans="1:14" s="143" customFormat="1" x14ac:dyDescent="0.25">
      <c r="A97" s="143" t="s">
        <v>70</v>
      </c>
      <c r="B97" s="143" t="s">
        <v>234</v>
      </c>
      <c r="C97" s="143" t="s">
        <v>235</v>
      </c>
      <c r="D97" s="143" t="s">
        <v>85</v>
      </c>
      <c r="E97" s="257">
        <v>3000000</v>
      </c>
      <c r="F97" s="257">
        <v>3000000</v>
      </c>
      <c r="G97" s="257">
        <v>3000000</v>
      </c>
      <c r="H97" s="257">
        <v>0</v>
      </c>
      <c r="I97" s="257">
        <v>0</v>
      </c>
      <c r="J97" s="257">
        <v>0</v>
      </c>
      <c r="K97" s="257">
        <v>0</v>
      </c>
      <c r="L97" s="257">
        <v>0</v>
      </c>
      <c r="M97" s="257">
        <v>3000000</v>
      </c>
      <c r="N97" s="257">
        <v>3000000</v>
      </c>
    </row>
    <row r="98" spans="1:14" s="143" customFormat="1" x14ac:dyDescent="0.25">
      <c r="A98" s="143" t="s">
        <v>70</v>
      </c>
      <c r="B98" s="143" t="s">
        <v>236</v>
      </c>
      <c r="C98" s="143" t="s">
        <v>237</v>
      </c>
      <c r="D98" s="143" t="s">
        <v>85</v>
      </c>
      <c r="E98" s="257">
        <v>4000000</v>
      </c>
      <c r="F98" s="257">
        <v>4000000</v>
      </c>
      <c r="G98" s="257">
        <v>4000000</v>
      </c>
      <c r="H98" s="257">
        <v>0</v>
      </c>
      <c r="I98" s="257">
        <v>0</v>
      </c>
      <c r="J98" s="257">
        <v>0</v>
      </c>
      <c r="K98" s="257">
        <v>0</v>
      </c>
      <c r="L98" s="257">
        <v>0</v>
      </c>
      <c r="M98" s="257">
        <v>4000000</v>
      </c>
      <c r="N98" s="257">
        <v>4000000</v>
      </c>
    </row>
    <row r="99" spans="1:14" s="143" customFormat="1" x14ac:dyDescent="0.25">
      <c r="A99" s="143" t="s">
        <v>70</v>
      </c>
      <c r="B99" s="143" t="s">
        <v>238</v>
      </c>
      <c r="C99" s="143" t="s">
        <v>239</v>
      </c>
      <c r="D99" s="143" t="s">
        <v>85</v>
      </c>
      <c r="E99" s="257">
        <v>6337648</v>
      </c>
      <c r="F99" s="257">
        <v>6337648</v>
      </c>
      <c r="G99" s="257">
        <v>6337648</v>
      </c>
      <c r="H99" s="257">
        <v>0</v>
      </c>
      <c r="I99" s="257">
        <v>0</v>
      </c>
      <c r="J99" s="257">
        <v>0</v>
      </c>
      <c r="K99" s="257">
        <v>0</v>
      </c>
      <c r="L99" s="257">
        <v>0</v>
      </c>
      <c r="M99" s="257">
        <v>6337648</v>
      </c>
      <c r="N99" s="257">
        <v>6337648</v>
      </c>
    </row>
    <row r="100" spans="1:14" s="143" customFormat="1" x14ac:dyDescent="0.25">
      <c r="A100" s="143" t="s">
        <v>70</v>
      </c>
      <c r="B100" s="143" t="s">
        <v>240</v>
      </c>
      <c r="C100" s="143" t="s">
        <v>241</v>
      </c>
      <c r="D100" s="143" t="s">
        <v>85</v>
      </c>
      <c r="E100" s="257">
        <v>2261000</v>
      </c>
      <c r="F100" s="257">
        <v>2261000</v>
      </c>
      <c r="G100" s="257">
        <v>2261000</v>
      </c>
      <c r="H100" s="257">
        <v>0</v>
      </c>
      <c r="I100" s="257">
        <v>0</v>
      </c>
      <c r="J100" s="257">
        <v>0</v>
      </c>
      <c r="K100" s="257">
        <v>0</v>
      </c>
      <c r="L100" s="257">
        <v>0</v>
      </c>
      <c r="M100" s="257">
        <v>2261000</v>
      </c>
      <c r="N100" s="257">
        <v>2261000</v>
      </c>
    </row>
    <row r="101" spans="1:14" s="143" customFormat="1" x14ac:dyDescent="0.25">
      <c r="A101" s="143" t="s">
        <v>70</v>
      </c>
      <c r="B101" s="143" t="s">
        <v>242</v>
      </c>
      <c r="C101" s="143" t="s">
        <v>243</v>
      </c>
      <c r="D101" s="143" t="s">
        <v>85</v>
      </c>
      <c r="E101" s="257">
        <v>1000000</v>
      </c>
      <c r="F101" s="257">
        <v>1000000</v>
      </c>
      <c r="G101" s="257">
        <v>1000000</v>
      </c>
      <c r="H101" s="257">
        <v>0</v>
      </c>
      <c r="I101" s="257">
        <v>0</v>
      </c>
      <c r="J101" s="257">
        <v>0</v>
      </c>
      <c r="K101" s="257">
        <v>0</v>
      </c>
      <c r="L101" s="257">
        <v>0</v>
      </c>
      <c r="M101" s="257">
        <v>1000000</v>
      </c>
      <c r="N101" s="257">
        <v>1000000</v>
      </c>
    </row>
    <row r="102" spans="1:14" s="143" customFormat="1" x14ac:dyDescent="0.25">
      <c r="A102" s="143" t="s">
        <v>70</v>
      </c>
      <c r="B102" s="143" t="s">
        <v>244</v>
      </c>
      <c r="C102" s="143" t="s">
        <v>245</v>
      </c>
      <c r="D102" s="143" t="s">
        <v>85</v>
      </c>
      <c r="E102" s="257">
        <v>500000</v>
      </c>
      <c r="F102" s="257">
        <v>500000</v>
      </c>
      <c r="G102" s="257">
        <v>500000</v>
      </c>
      <c r="H102" s="257">
        <v>0</v>
      </c>
      <c r="I102" s="257">
        <v>0</v>
      </c>
      <c r="J102" s="257">
        <v>0</v>
      </c>
      <c r="K102" s="257">
        <v>0</v>
      </c>
      <c r="L102" s="257">
        <v>0</v>
      </c>
      <c r="M102" s="257">
        <v>500000</v>
      </c>
      <c r="N102" s="257">
        <v>500000</v>
      </c>
    </row>
    <row r="103" spans="1:14" s="143" customFormat="1" x14ac:dyDescent="0.25">
      <c r="A103" s="143" t="s">
        <v>70</v>
      </c>
      <c r="B103" s="143" t="s">
        <v>246</v>
      </c>
      <c r="C103" s="143" t="s">
        <v>247</v>
      </c>
      <c r="D103" s="143" t="s">
        <v>85</v>
      </c>
      <c r="E103" s="257">
        <v>500000</v>
      </c>
      <c r="F103" s="257">
        <v>500000</v>
      </c>
      <c r="G103" s="257">
        <v>500000</v>
      </c>
      <c r="H103" s="257">
        <v>0</v>
      </c>
      <c r="I103" s="257">
        <v>0</v>
      </c>
      <c r="J103" s="257">
        <v>0</v>
      </c>
      <c r="K103" s="257">
        <v>0</v>
      </c>
      <c r="L103" s="257">
        <v>0</v>
      </c>
      <c r="M103" s="257">
        <v>500000</v>
      </c>
      <c r="N103" s="257">
        <v>500000</v>
      </c>
    </row>
    <row r="104" spans="1:14" s="143" customFormat="1" x14ac:dyDescent="0.25">
      <c r="A104" s="143">
        <v>214780</v>
      </c>
      <c r="D104" s="143" t="s">
        <v>69</v>
      </c>
      <c r="E104" s="257">
        <v>1241247489</v>
      </c>
      <c r="F104" s="257">
        <v>1241247489</v>
      </c>
      <c r="G104" s="257">
        <v>1174152355.8499999</v>
      </c>
      <c r="H104" s="257">
        <v>8888605.0800000001</v>
      </c>
      <c r="I104" s="257">
        <v>102885820.95</v>
      </c>
      <c r="J104" s="257">
        <v>0</v>
      </c>
      <c r="K104" s="279">
        <v>557011347.32000005</v>
      </c>
      <c r="L104" s="257">
        <v>555484062.91999996</v>
      </c>
      <c r="M104" s="257">
        <v>572461715.64999998</v>
      </c>
      <c r="N104" s="257">
        <v>505366582.5</v>
      </c>
    </row>
    <row r="105" spans="1:14" s="143" customFormat="1" x14ac:dyDescent="0.25">
      <c r="A105" s="143" t="s">
        <v>274</v>
      </c>
      <c r="B105" s="143" t="s">
        <v>71</v>
      </c>
      <c r="C105" s="143" t="s">
        <v>72</v>
      </c>
      <c r="D105" s="143" t="s">
        <v>69</v>
      </c>
      <c r="E105" s="257">
        <v>953910000</v>
      </c>
      <c r="F105" s="257">
        <v>953910000</v>
      </c>
      <c r="G105" s="257">
        <v>953910000</v>
      </c>
      <c r="H105" s="257">
        <v>0</v>
      </c>
      <c r="I105" s="257">
        <v>71059231</v>
      </c>
      <c r="J105" s="257">
        <v>0</v>
      </c>
      <c r="K105" s="257">
        <v>454822832.13999999</v>
      </c>
      <c r="L105" s="257">
        <v>454822832.13999999</v>
      </c>
      <c r="M105" s="257">
        <v>428027936.86000001</v>
      </c>
      <c r="N105" s="257">
        <v>428027936.86000001</v>
      </c>
    </row>
    <row r="106" spans="1:14" s="143" customFormat="1" x14ac:dyDescent="0.25">
      <c r="A106" s="143" t="s">
        <v>274</v>
      </c>
      <c r="B106" s="143" t="s">
        <v>73</v>
      </c>
      <c r="C106" s="143" t="s">
        <v>74</v>
      </c>
      <c r="D106" s="143" t="s">
        <v>69</v>
      </c>
      <c r="E106" s="257">
        <v>383841000</v>
      </c>
      <c r="F106" s="257">
        <v>383841000</v>
      </c>
      <c r="G106" s="257">
        <v>383841000</v>
      </c>
      <c r="H106" s="257">
        <v>0</v>
      </c>
      <c r="I106" s="257">
        <v>0</v>
      </c>
      <c r="J106" s="257">
        <v>0</v>
      </c>
      <c r="K106" s="257">
        <v>192893814.25999999</v>
      </c>
      <c r="L106" s="257">
        <v>192893814.25999999</v>
      </c>
      <c r="M106" s="257">
        <v>190947185.74000001</v>
      </c>
      <c r="N106" s="257">
        <v>190947185.74000001</v>
      </c>
    </row>
    <row r="107" spans="1:14" s="143" customFormat="1" x14ac:dyDescent="0.25">
      <c r="A107" s="143" t="s">
        <v>274</v>
      </c>
      <c r="B107" s="143" t="s">
        <v>75</v>
      </c>
      <c r="C107" s="143" t="s">
        <v>76</v>
      </c>
      <c r="D107" s="143" t="s">
        <v>69</v>
      </c>
      <c r="E107" s="257">
        <v>383841000</v>
      </c>
      <c r="F107" s="257">
        <v>383841000</v>
      </c>
      <c r="G107" s="257">
        <v>383841000</v>
      </c>
      <c r="H107" s="257">
        <v>0</v>
      </c>
      <c r="I107" s="257">
        <v>0</v>
      </c>
      <c r="J107" s="257">
        <v>0</v>
      </c>
      <c r="K107" s="257">
        <v>192893814.25999999</v>
      </c>
      <c r="L107" s="257">
        <v>192893814.25999999</v>
      </c>
      <c r="M107" s="257">
        <v>190947185.74000001</v>
      </c>
      <c r="N107" s="257">
        <v>190947185.74000001</v>
      </c>
    </row>
    <row r="108" spans="1:14" s="143" customFormat="1" x14ac:dyDescent="0.25">
      <c r="A108" s="143" t="s">
        <v>274</v>
      </c>
      <c r="B108" s="143" t="s">
        <v>77</v>
      </c>
      <c r="C108" s="143" t="s">
        <v>78</v>
      </c>
      <c r="D108" s="143" t="s">
        <v>69</v>
      </c>
      <c r="E108" s="257">
        <v>425514000</v>
      </c>
      <c r="F108" s="257">
        <v>425514000</v>
      </c>
      <c r="G108" s="257">
        <v>425514000</v>
      </c>
      <c r="H108" s="257">
        <v>0</v>
      </c>
      <c r="I108" s="257">
        <v>0</v>
      </c>
      <c r="J108" s="257">
        <v>0</v>
      </c>
      <c r="K108" s="257">
        <v>188433248.88</v>
      </c>
      <c r="L108" s="257">
        <v>188433248.88</v>
      </c>
      <c r="M108" s="257">
        <v>237080751.12</v>
      </c>
      <c r="N108" s="257">
        <v>237080751.12</v>
      </c>
    </row>
    <row r="109" spans="1:14" s="143" customFormat="1" x14ac:dyDescent="0.25">
      <c r="A109" s="143" t="s">
        <v>274</v>
      </c>
      <c r="B109" s="143" t="s">
        <v>79</v>
      </c>
      <c r="C109" s="143" t="s">
        <v>80</v>
      </c>
      <c r="D109" s="143" t="s">
        <v>69</v>
      </c>
      <c r="E109" s="257">
        <v>70660000</v>
      </c>
      <c r="F109" s="257">
        <v>70660000</v>
      </c>
      <c r="G109" s="257">
        <v>70660000</v>
      </c>
      <c r="H109" s="257">
        <v>0</v>
      </c>
      <c r="I109" s="257">
        <v>0</v>
      </c>
      <c r="J109" s="257">
        <v>0</v>
      </c>
      <c r="K109" s="257">
        <v>34040935.590000004</v>
      </c>
      <c r="L109" s="257">
        <v>34040935.590000004</v>
      </c>
      <c r="M109" s="257">
        <v>36619064.409999996</v>
      </c>
      <c r="N109" s="257">
        <v>36619064.409999996</v>
      </c>
    </row>
    <row r="110" spans="1:14" s="143" customFormat="1" x14ac:dyDescent="0.25">
      <c r="A110" s="143" t="s">
        <v>274</v>
      </c>
      <c r="B110" s="143" t="s">
        <v>81</v>
      </c>
      <c r="C110" s="143" t="s">
        <v>82</v>
      </c>
      <c r="D110" s="143" t="s">
        <v>69</v>
      </c>
      <c r="E110" s="257">
        <v>211191000</v>
      </c>
      <c r="F110" s="257">
        <v>211191000</v>
      </c>
      <c r="G110" s="257">
        <v>211191000</v>
      </c>
      <c r="H110" s="257">
        <v>0</v>
      </c>
      <c r="I110" s="257">
        <v>0</v>
      </c>
      <c r="J110" s="257">
        <v>0</v>
      </c>
      <c r="K110" s="257">
        <v>92742350.290000007</v>
      </c>
      <c r="L110" s="257">
        <v>92742350.290000007</v>
      </c>
      <c r="M110" s="257">
        <v>118448649.70999999</v>
      </c>
      <c r="N110" s="257">
        <v>118448649.70999999</v>
      </c>
    </row>
    <row r="111" spans="1:14" s="143" customFormat="1" x14ac:dyDescent="0.25">
      <c r="A111" s="143" t="s">
        <v>274</v>
      </c>
      <c r="B111" s="143" t="s">
        <v>86</v>
      </c>
      <c r="C111" s="143" t="s">
        <v>87</v>
      </c>
      <c r="D111" s="143" t="s">
        <v>69</v>
      </c>
      <c r="E111" s="257">
        <v>46480000</v>
      </c>
      <c r="F111" s="257">
        <v>46480000</v>
      </c>
      <c r="G111" s="257">
        <v>46480000</v>
      </c>
      <c r="H111" s="257">
        <v>0</v>
      </c>
      <c r="I111" s="257">
        <v>0</v>
      </c>
      <c r="J111" s="257">
        <v>0</v>
      </c>
      <c r="K111" s="257">
        <v>44448031.07</v>
      </c>
      <c r="L111" s="257">
        <v>44448031.07</v>
      </c>
      <c r="M111" s="257">
        <v>2031968.93</v>
      </c>
      <c r="N111" s="257">
        <v>2031968.93</v>
      </c>
    </row>
    <row r="112" spans="1:14" s="143" customFormat="1" x14ac:dyDescent="0.25">
      <c r="A112" s="143" t="s">
        <v>274</v>
      </c>
      <c r="B112" s="143" t="s">
        <v>88</v>
      </c>
      <c r="C112" s="143" t="s">
        <v>89</v>
      </c>
      <c r="D112" s="143" t="s">
        <v>69</v>
      </c>
      <c r="E112" s="257">
        <v>35665000</v>
      </c>
      <c r="F112" s="257">
        <v>35665000</v>
      </c>
      <c r="G112" s="257">
        <v>35665000</v>
      </c>
      <c r="H112" s="257">
        <v>0</v>
      </c>
      <c r="I112" s="257">
        <v>0</v>
      </c>
      <c r="J112" s="257">
        <v>0</v>
      </c>
      <c r="K112" s="257">
        <v>17201931.93</v>
      </c>
      <c r="L112" s="257">
        <v>17201931.93</v>
      </c>
      <c r="M112" s="257">
        <v>18463068.07</v>
      </c>
      <c r="N112" s="257">
        <v>18463068.07</v>
      </c>
    </row>
    <row r="113" spans="1:14" s="143" customFormat="1" x14ac:dyDescent="0.25">
      <c r="A113" s="143" t="s">
        <v>274</v>
      </c>
      <c r="B113" s="143" t="s">
        <v>83</v>
      </c>
      <c r="C113" s="143" t="s">
        <v>84</v>
      </c>
      <c r="D113" s="143" t="s">
        <v>85</v>
      </c>
      <c r="E113" s="257">
        <v>61518000</v>
      </c>
      <c r="F113" s="257">
        <v>61518000</v>
      </c>
      <c r="G113" s="257">
        <v>61518000</v>
      </c>
      <c r="H113" s="257">
        <v>0</v>
      </c>
      <c r="I113" s="257">
        <v>0</v>
      </c>
      <c r="J113" s="257">
        <v>0</v>
      </c>
      <c r="K113" s="257">
        <v>0</v>
      </c>
      <c r="L113" s="257">
        <v>0</v>
      </c>
      <c r="M113" s="257">
        <v>61518000</v>
      </c>
      <c r="N113" s="257">
        <v>61518000</v>
      </c>
    </row>
    <row r="114" spans="1:14" s="143" customFormat="1" x14ac:dyDescent="0.25">
      <c r="A114" s="143" t="s">
        <v>274</v>
      </c>
      <c r="B114" s="143" t="s">
        <v>90</v>
      </c>
      <c r="C114" s="143" t="s">
        <v>91</v>
      </c>
      <c r="D114" s="143" t="s">
        <v>69</v>
      </c>
      <c r="E114" s="257">
        <v>72913000</v>
      </c>
      <c r="F114" s="257">
        <v>72913000</v>
      </c>
      <c r="G114" s="257">
        <v>72913000</v>
      </c>
      <c r="H114" s="257">
        <v>0</v>
      </c>
      <c r="I114" s="257">
        <v>35839238</v>
      </c>
      <c r="J114" s="257">
        <v>0</v>
      </c>
      <c r="K114" s="257">
        <v>37073762</v>
      </c>
      <c r="L114" s="257">
        <v>37073762</v>
      </c>
      <c r="M114" s="257">
        <v>0</v>
      </c>
      <c r="N114" s="257">
        <v>0</v>
      </c>
    </row>
    <row r="115" spans="1:14" s="143" customFormat="1" x14ac:dyDescent="0.25">
      <c r="A115" s="143" t="s">
        <v>274</v>
      </c>
      <c r="B115" s="143" t="s">
        <v>275</v>
      </c>
      <c r="C115" s="143" t="s">
        <v>93</v>
      </c>
      <c r="D115" s="143" t="s">
        <v>69</v>
      </c>
      <c r="E115" s="257">
        <v>69174000</v>
      </c>
      <c r="F115" s="257">
        <v>69174000</v>
      </c>
      <c r="G115" s="257">
        <v>69174000</v>
      </c>
      <c r="H115" s="257">
        <v>0</v>
      </c>
      <c r="I115" s="257">
        <v>34001057</v>
      </c>
      <c r="J115" s="257">
        <v>0</v>
      </c>
      <c r="K115" s="257">
        <v>35172943</v>
      </c>
      <c r="L115" s="257">
        <v>35172943</v>
      </c>
      <c r="M115" s="257">
        <v>0</v>
      </c>
      <c r="N115" s="257">
        <v>0</v>
      </c>
    </row>
    <row r="116" spans="1:14" s="143" customFormat="1" x14ac:dyDescent="0.25">
      <c r="A116" s="143" t="s">
        <v>274</v>
      </c>
      <c r="B116" s="143" t="s">
        <v>276</v>
      </c>
      <c r="C116" s="143" t="s">
        <v>95</v>
      </c>
      <c r="D116" s="143" t="s">
        <v>69</v>
      </c>
      <c r="E116" s="257">
        <v>3739000</v>
      </c>
      <c r="F116" s="257">
        <v>3739000</v>
      </c>
      <c r="G116" s="257">
        <v>3739000</v>
      </c>
      <c r="H116" s="257">
        <v>0</v>
      </c>
      <c r="I116" s="257">
        <v>1838181</v>
      </c>
      <c r="J116" s="257">
        <v>0</v>
      </c>
      <c r="K116" s="257">
        <v>1900819</v>
      </c>
      <c r="L116" s="257">
        <v>1900819</v>
      </c>
      <c r="M116" s="257">
        <v>0</v>
      </c>
      <c r="N116" s="257">
        <v>0</v>
      </c>
    </row>
    <row r="117" spans="1:14" s="143" customFormat="1" x14ac:dyDescent="0.25">
      <c r="A117" s="143" t="s">
        <v>274</v>
      </c>
      <c r="B117" s="143" t="s">
        <v>96</v>
      </c>
      <c r="C117" s="143" t="s">
        <v>97</v>
      </c>
      <c r="D117" s="143" t="s">
        <v>69</v>
      </c>
      <c r="E117" s="257">
        <v>71642000</v>
      </c>
      <c r="F117" s="257">
        <v>71642000</v>
      </c>
      <c r="G117" s="257">
        <v>71642000</v>
      </c>
      <c r="H117" s="257">
        <v>0</v>
      </c>
      <c r="I117" s="257">
        <v>35219993</v>
      </c>
      <c r="J117" s="257">
        <v>0</v>
      </c>
      <c r="K117" s="257">
        <v>36422007</v>
      </c>
      <c r="L117" s="257">
        <v>36422007</v>
      </c>
      <c r="M117" s="257">
        <v>0</v>
      </c>
      <c r="N117" s="257">
        <v>0</v>
      </c>
    </row>
    <row r="118" spans="1:14" s="143" customFormat="1" x14ac:dyDescent="0.25">
      <c r="A118" s="143" t="s">
        <v>274</v>
      </c>
      <c r="B118" s="143" t="s">
        <v>277</v>
      </c>
      <c r="C118" s="143" t="s">
        <v>99</v>
      </c>
      <c r="D118" s="143" t="s">
        <v>69</v>
      </c>
      <c r="E118" s="257">
        <v>37990000</v>
      </c>
      <c r="F118" s="257">
        <v>37990000</v>
      </c>
      <c r="G118" s="257">
        <v>37990000</v>
      </c>
      <c r="H118" s="257">
        <v>0</v>
      </c>
      <c r="I118" s="257">
        <v>18675317</v>
      </c>
      <c r="J118" s="257">
        <v>0</v>
      </c>
      <c r="K118" s="257">
        <v>19314683</v>
      </c>
      <c r="L118" s="257">
        <v>19314683</v>
      </c>
      <c r="M118" s="257">
        <v>0</v>
      </c>
      <c r="N118" s="257">
        <v>0</v>
      </c>
    </row>
    <row r="119" spans="1:14" s="143" customFormat="1" x14ac:dyDescent="0.25">
      <c r="A119" s="143" t="s">
        <v>274</v>
      </c>
      <c r="B119" s="143" t="s">
        <v>278</v>
      </c>
      <c r="C119" s="143" t="s">
        <v>101</v>
      </c>
      <c r="D119" s="143" t="s">
        <v>69</v>
      </c>
      <c r="E119" s="257">
        <v>11217000</v>
      </c>
      <c r="F119" s="257">
        <v>11217000</v>
      </c>
      <c r="G119" s="257">
        <v>11217000</v>
      </c>
      <c r="H119" s="257">
        <v>0</v>
      </c>
      <c r="I119" s="257">
        <v>5514564</v>
      </c>
      <c r="J119" s="257">
        <v>0</v>
      </c>
      <c r="K119" s="257">
        <v>5702436</v>
      </c>
      <c r="L119" s="257">
        <v>5702436</v>
      </c>
      <c r="M119" s="257">
        <v>0</v>
      </c>
      <c r="N119" s="257">
        <v>0</v>
      </c>
    </row>
    <row r="120" spans="1:14" s="143" customFormat="1" x14ac:dyDescent="0.25">
      <c r="A120" s="143" t="s">
        <v>274</v>
      </c>
      <c r="B120" s="143" t="s">
        <v>279</v>
      </c>
      <c r="C120" s="143" t="s">
        <v>103</v>
      </c>
      <c r="D120" s="143" t="s">
        <v>69</v>
      </c>
      <c r="E120" s="257">
        <v>22435000</v>
      </c>
      <c r="F120" s="257">
        <v>22435000</v>
      </c>
      <c r="G120" s="257">
        <v>22435000</v>
      </c>
      <c r="H120" s="257">
        <v>0</v>
      </c>
      <c r="I120" s="257">
        <v>11030112</v>
      </c>
      <c r="J120" s="257">
        <v>0</v>
      </c>
      <c r="K120" s="257">
        <v>11404888</v>
      </c>
      <c r="L120" s="257">
        <v>11404888</v>
      </c>
      <c r="M120" s="257">
        <v>0</v>
      </c>
      <c r="N120" s="257">
        <v>0</v>
      </c>
    </row>
    <row r="121" spans="1:14" s="143" customFormat="1" x14ac:dyDescent="0.25">
      <c r="A121" s="143" t="s">
        <v>274</v>
      </c>
      <c r="B121" s="143" t="s">
        <v>104</v>
      </c>
      <c r="C121" s="143" t="s">
        <v>105</v>
      </c>
      <c r="D121" s="143" t="s">
        <v>69</v>
      </c>
      <c r="E121" s="257">
        <v>155922650</v>
      </c>
      <c r="F121" s="257">
        <v>155922650</v>
      </c>
      <c r="G121" s="257">
        <v>124297401.84999999</v>
      </c>
      <c r="H121" s="257">
        <v>437500</v>
      </c>
      <c r="I121" s="257">
        <v>17414088.670000002</v>
      </c>
      <c r="J121" s="257">
        <v>0</v>
      </c>
      <c r="K121" s="257">
        <v>59753677.219999999</v>
      </c>
      <c r="L121" s="257">
        <v>58664562.560000002</v>
      </c>
      <c r="M121" s="257">
        <v>78317384.109999999</v>
      </c>
      <c r="N121" s="257">
        <v>46692135.960000001</v>
      </c>
    </row>
    <row r="122" spans="1:14" s="143" customFormat="1" x14ac:dyDescent="0.25">
      <c r="A122" s="143" t="s">
        <v>274</v>
      </c>
      <c r="B122" s="143" t="s">
        <v>106</v>
      </c>
      <c r="C122" s="143" t="s">
        <v>107</v>
      </c>
      <c r="D122" s="143" t="s">
        <v>69</v>
      </c>
      <c r="E122" s="257">
        <v>78966646</v>
      </c>
      <c r="F122" s="257">
        <v>78966646</v>
      </c>
      <c r="G122" s="257">
        <v>69984909</v>
      </c>
      <c r="H122" s="257">
        <v>0</v>
      </c>
      <c r="I122" s="257">
        <v>2408036.69</v>
      </c>
      <c r="J122" s="257">
        <v>0</v>
      </c>
      <c r="K122" s="257">
        <v>40176145.399999999</v>
      </c>
      <c r="L122" s="257">
        <v>40017791.5</v>
      </c>
      <c r="M122" s="257">
        <v>36382463.909999996</v>
      </c>
      <c r="N122" s="257">
        <v>27400726.91</v>
      </c>
    </row>
    <row r="123" spans="1:14" s="143" customFormat="1" x14ac:dyDescent="0.25">
      <c r="A123" s="143" t="s">
        <v>274</v>
      </c>
      <c r="B123" s="143" t="s">
        <v>280</v>
      </c>
      <c r="C123" s="143" t="s">
        <v>281</v>
      </c>
      <c r="D123" s="143" t="s">
        <v>69</v>
      </c>
      <c r="E123" s="257">
        <v>67899341</v>
      </c>
      <c r="F123" s="257">
        <v>67899341</v>
      </c>
      <c r="G123" s="257">
        <v>59048082</v>
      </c>
      <c r="H123" s="257">
        <v>0</v>
      </c>
      <c r="I123" s="257">
        <v>148352.07</v>
      </c>
      <c r="J123" s="257">
        <v>0</v>
      </c>
      <c r="K123" s="257">
        <v>33899455.609999999</v>
      </c>
      <c r="L123" s="257">
        <v>33899455.609999999</v>
      </c>
      <c r="M123" s="257">
        <v>33851533.32</v>
      </c>
      <c r="N123" s="257">
        <v>25000274.32</v>
      </c>
    </row>
    <row r="124" spans="1:14" s="143" customFormat="1" x14ac:dyDescent="0.25">
      <c r="A124" s="143" t="s">
        <v>274</v>
      </c>
      <c r="B124" s="143" t="s">
        <v>108</v>
      </c>
      <c r="C124" s="143" t="s">
        <v>109</v>
      </c>
      <c r="D124" s="143" t="s">
        <v>69</v>
      </c>
      <c r="E124" s="257">
        <v>11067305</v>
      </c>
      <c r="F124" s="257">
        <v>11067305</v>
      </c>
      <c r="G124" s="257">
        <v>10936827</v>
      </c>
      <c r="H124" s="257">
        <v>0</v>
      </c>
      <c r="I124" s="257">
        <v>2259684.62</v>
      </c>
      <c r="J124" s="257">
        <v>0</v>
      </c>
      <c r="K124" s="257">
        <v>6276689.79</v>
      </c>
      <c r="L124" s="257">
        <v>6118335.8899999997</v>
      </c>
      <c r="M124" s="257">
        <v>2530930.59</v>
      </c>
      <c r="N124" s="257">
        <v>2400452.59</v>
      </c>
    </row>
    <row r="125" spans="1:14" s="143" customFormat="1" x14ac:dyDescent="0.25">
      <c r="A125" s="143" t="s">
        <v>274</v>
      </c>
      <c r="B125" s="143" t="s">
        <v>112</v>
      </c>
      <c r="C125" s="143" t="s">
        <v>113</v>
      </c>
      <c r="D125" s="143" t="s">
        <v>69</v>
      </c>
      <c r="E125" s="257">
        <v>14518657</v>
      </c>
      <c r="F125" s="257">
        <v>14482767</v>
      </c>
      <c r="G125" s="257">
        <v>11243775</v>
      </c>
      <c r="H125" s="257">
        <v>0</v>
      </c>
      <c r="I125" s="257">
        <v>1832176.98</v>
      </c>
      <c r="J125" s="257">
        <v>0</v>
      </c>
      <c r="K125" s="257">
        <v>9396540.4499999993</v>
      </c>
      <c r="L125" s="257">
        <v>8465779.6899999995</v>
      </c>
      <c r="M125" s="257">
        <v>3254049.57</v>
      </c>
      <c r="N125" s="257">
        <v>15057.57</v>
      </c>
    </row>
    <row r="126" spans="1:14" s="143" customFormat="1" x14ac:dyDescent="0.25">
      <c r="A126" s="143" t="s">
        <v>274</v>
      </c>
      <c r="B126" s="143" t="s">
        <v>114</v>
      </c>
      <c r="C126" s="143" t="s">
        <v>115</v>
      </c>
      <c r="D126" s="143" t="s">
        <v>69</v>
      </c>
      <c r="E126" s="257">
        <v>1280000</v>
      </c>
      <c r="F126" s="257">
        <v>1244110</v>
      </c>
      <c r="G126" s="257">
        <v>824110</v>
      </c>
      <c r="H126" s="257">
        <v>0</v>
      </c>
      <c r="I126" s="257">
        <v>210421</v>
      </c>
      <c r="J126" s="257">
        <v>0</v>
      </c>
      <c r="K126" s="257">
        <v>599159</v>
      </c>
      <c r="L126" s="257">
        <v>599159</v>
      </c>
      <c r="M126" s="257">
        <v>434530</v>
      </c>
      <c r="N126" s="257">
        <v>14530</v>
      </c>
    </row>
    <row r="127" spans="1:14" s="143" customFormat="1" x14ac:dyDescent="0.25">
      <c r="A127" s="143" t="s">
        <v>274</v>
      </c>
      <c r="B127" s="143" t="s">
        <v>116</v>
      </c>
      <c r="C127" s="143" t="s">
        <v>117</v>
      </c>
      <c r="D127" s="143" t="s">
        <v>69</v>
      </c>
      <c r="E127" s="257">
        <v>3685715</v>
      </c>
      <c r="F127" s="257">
        <v>3685715</v>
      </c>
      <c r="G127" s="257">
        <v>2301429</v>
      </c>
      <c r="H127" s="257">
        <v>0</v>
      </c>
      <c r="I127" s="257">
        <v>533131</v>
      </c>
      <c r="J127" s="257">
        <v>0</v>
      </c>
      <c r="K127" s="257">
        <v>1768198</v>
      </c>
      <c r="L127" s="257">
        <v>1751902</v>
      </c>
      <c r="M127" s="257">
        <v>1384386</v>
      </c>
      <c r="N127" s="257">
        <v>100</v>
      </c>
    </row>
    <row r="128" spans="1:14" s="143" customFormat="1" x14ac:dyDescent="0.25">
      <c r="A128" s="143" t="s">
        <v>274</v>
      </c>
      <c r="B128" s="143" t="s">
        <v>120</v>
      </c>
      <c r="C128" s="143" t="s">
        <v>121</v>
      </c>
      <c r="D128" s="143" t="s">
        <v>69</v>
      </c>
      <c r="E128" s="257">
        <v>9552942</v>
      </c>
      <c r="F128" s="257">
        <v>9552942</v>
      </c>
      <c r="G128" s="257">
        <v>8118236</v>
      </c>
      <c r="H128" s="257">
        <v>0</v>
      </c>
      <c r="I128" s="257">
        <v>1088624.98</v>
      </c>
      <c r="J128" s="257">
        <v>0</v>
      </c>
      <c r="K128" s="257">
        <v>7029183.4500000002</v>
      </c>
      <c r="L128" s="257">
        <v>6114718.6900000004</v>
      </c>
      <c r="M128" s="257">
        <v>1435133.57</v>
      </c>
      <c r="N128" s="257">
        <v>427.57</v>
      </c>
    </row>
    <row r="129" spans="1:14" s="143" customFormat="1" x14ac:dyDescent="0.25">
      <c r="A129" s="143" t="s">
        <v>274</v>
      </c>
      <c r="B129" s="143" t="s">
        <v>124</v>
      </c>
      <c r="C129" s="143" t="s">
        <v>125</v>
      </c>
      <c r="D129" s="143" t="s">
        <v>69</v>
      </c>
      <c r="E129" s="257">
        <v>16719000</v>
      </c>
      <c r="F129" s="257">
        <v>14451000</v>
      </c>
      <c r="G129" s="257">
        <v>8420000</v>
      </c>
      <c r="H129" s="257">
        <v>200000</v>
      </c>
      <c r="I129" s="257">
        <v>0</v>
      </c>
      <c r="J129" s="257">
        <v>0</v>
      </c>
      <c r="K129" s="257">
        <v>5000</v>
      </c>
      <c r="L129" s="257">
        <v>5000</v>
      </c>
      <c r="M129" s="257">
        <v>14246000</v>
      </c>
      <c r="N129" s="257">
        <v>8215000</v>
      </c>
    </row>
    <row r="130" spans="1:14" s="143" customFormat="1" x14ac:dyDescent="0.25">
      <c r="A130" s="143" t="s">
        <v>274</v>
      </c>
      <c r="B130" s="143" t="s">
        <v>126</v>
      </c>
      <c r="C130" s="143" t="s">
        <v>127</v>
      </c>
      <c r="D130" s="143" t="s">
        <v>69</v>
      </c>
      <c r="E130" s="257">
        <v>719000</v>
      </c>
      <c r="F130" s="257">
        <v>519000</v>
      </c>
      <c r="G130" s="257">
        <v>200000</v>
      </c>
      <c r="H130" s="257">
        <v>200000</v>
      </c>
      <c r="I130" s="257">
        <v>0</v>
      </c>
      <c r="J130" s="257">
        <v>0</v>
      </c>
      <c r="K130" s="257">
        <v>0</v>
      </c>
      <c r="L130" s="257">
        <v>0</v>
      </c>
      <c r="M130" s="257">
        <v>319000</v>
      </c>
      <c r="N130" s="257">
        <v>0</v>
      </c>
    </row>
    <row r="131" spans="1:14" s="143" customFormat="1" x14ac:dyDescent="0.25">
      <c r="A131" s="143" t="s">
        <v>274</v>
      </c>
      <c r="B131" s="143" t="s">
        <v>128</v>
      </c>
      <c r="C131" s="143" t="s">
        <v>129</v>
      </c>
      <c r="D131" s="143" t="s">
        <v>69</v>
      </c>
      <c r="E131" s="257">
        <v>16000000</v>
      </c>
      <c r="F131" s="257">
        <v>13932000</v>
      </c>
      <c r="G131" s="257">
        <v>8220000</v>
      </c>
      <c r="H131" s="257">
        <v>0</v>
      </c>
      <c r="I131" s="257">
        <v>0</v>
      </c>
      <c r="J131" s="257">
        <v>0</v>
      </c>
      <c r="K131" s="257">
        <v>5000</v>
      </c>
      <c r="L131" s="257">
        <v>5000</v>
      </c>
      <c r="M131" s="257">
        <v>13927000</v>
      </c>
      <c r="N131" s="257">
        <v>8215000</v>
      </c>
    </row>
    <row r="132" spans="1:14" s="143" customFormat="1" x14ac:dyDescent="0.25">
      <c r="A132" s="143" t="s">
        <v>274</v>
      </c>
      <c r="B132" s="143" t="s">
        <v>134</v>
      </c>
      <c r="C132" s="143" t="s">
        <v>135</v>
      </c>
      <c r="D132" s="143" t="s">
        <v>69</v>
      </c>
      <c r="E132" s="257">
        <v>2200000</v>
      </c>
      <c r="F132" s="257">
        <v>1950000</v>
      </c>
      <c r="G132" s="257">
        <v>1477240</v>
      </c>
      <c r="H132" s="257">
        <v>0</v>
      </c>
      <c r="I132" s="257">
        <v>72510</v>
      </c>
      <c r="J132" s="257">
        <v>0</v>
      </c>
      <c r="K132" s="257">
        <v>1244730</v>
      </c>
      <c r="L132" s="257">
        <v>1244730</v>
      </c>
      <c r="M132" s="257">
        <v>632760</v>
      </c>
      <c r="N132" s="257">
        <v>160000</v>
      </c>
    </row>
    <row r="133" spans="1:14" s="143" customFormat="1" x14ac:dyDescent="0.25">
      <c r="A133" s="143" t="s">
        <v>274</v>
      </c>
      <c r="B133" s="143" t="s">
        <v>136</v>
      </c>
      <c r="C133" s="143" t="s">
        <v>137</v>
      </c>
      <c r="D133" s="143" t="s">
        <v>69</v>
      </c>
      <c r="E133" s="257">
        <v>1200000</v>
      </c>
      <c r="F133" s="257">
        <v>1100000</v>
      </c>
      <c r="G133" s="257">
        <v>1017240</v>
      </c>
      <c r="H133" s="257">
        <v>0</v>
      </c>
      <c r="I133" s="257">
        <v>0</v>
      </c>
      <c r="J133" s="257">
        <v>0</v>
      </c>
      <c r="K133" s="257">
        <v>1017240</v>
      </c>
      <c r="L133" s="257">
        <v>1017240</v>
      </c>
      <c r="M133" s="257">
        <v>82760</v>
      </c>
      <c r="N133" s="257">
        <v>0</v>
      </c>
    </row>
    <row r="134" spans="1:14" s="143" customFormat="1" x14ac:dyDescent="0.25">
      <c r="A134" s="143" t="s">
        <v>274</v>
      </c>
      <c r="B134" s="143" t="s">
        <v>138</v>
      </c>
      <c r="C134" s="143" t="s">
        <v>139</v>
      </c>
      <c r="D134" s="143" t="s">
        <v>69</v>
      </c>
      <c r="E134" s="257">
        <v>1000000</v>
      </c>
      <c r="F134" s="257">
        <v>850000</v>
      </c>
      <c r="G134" s="257">
        <v>460000</v>
      </c>
      <c r="H134" s="257">
        <v>0</v>
      </c>
      <c r="I134" s="257">
        <v>72510</v>
      </c>
      <c r="J134" s="257">
        <v>0</v>
      </c>
      <c r="K134" s="257">
        <v>227490</v>
      </c>
      <c r="L134" s="257">
        <v>227490</v>
      </c>
      <c r="M134" s="257">
        <v>550000</v>
      </c>
      <c r="N134" s="257">
        <v>160000</v>
      </c>
    </row>
    <row r="135" spans="1:14" s="143" customFormat="1" x14ac:dyDescent="0.25">
      <c r="A135" s="143" t="s">
        <v>274</v>
      </c>
      <c r="B135" s="143" t="s">
        <v>140</v>
      </c>
      <c r="C135" s="143" t="s">
        <v>141</v>
      </c>
      <c r="D135" s="143" t="s">
        <v>69</v>
      </c>
      <c r="E135" s="257">
        <v>6813730</v>
      </c>
      <c r="F135" s="257">
        <v>12156620</v>
      </c>
      <c r="G135" s="257">
        <v>11633823</v>
      </c>
      <c r="H135" s="257">
        <v>237500</v>
      </c>
      <c r="I135" s="257">
        <v>4418165</v>
      </c>
      <c r="J135" s="257">
        <v>0</v>
      </c>
      <c r="K135" s="257">
        <v>5218380</v>
      </c>
      <c r="L135" s="257">
        <v>5218380</v>
      </c>
      <c r="M135" s="257">
        <v>2282575</v>
      </c>
      <c r="N135" s="257">
        <v>1759778</v>
      </c>
    </row>
    <row r="136" spans="1:14" s="143" customFormat="1" x14ac:dyDescent="0.25">
      <c r="A136" s="143" t="s">
        <v>274</v>
      </c>
      <c r="B136" s="143" t="s">
        <v>142</v>
      </c>
      <c r="C136" s="143" t="s">
        <v>143</v>
      </c>
      <c r="D136" s="143" t="s">
        <v>69</v>
      </c>
      <c r="E136" s="257">
        <v>250000</v>
      </c>
      <c r="F136" s="257">
        <v>902890</v>
      </c>
      <c r="G136" s="257">
        <v>902890</v>
      </c>
      <c r="H136" s="257">
        <v>0</v>
      </c>
      <c r="I136" s="257">
        <v>473115</v>
      </c>
      <c r="J136" s="257">
        <v>0</v>
      </c>
      <c r="K136" s="257">
        <v>365930</v>
      </c>
      <c r="L136" s="257">
        <v>365930</v>
      </c>
      <c r="M136" s="257">
        <v>63845</v>
      </c>
      <c r="N136" s="257">
        <v>63845</v>
      </c>
    </row>
    <row r="137" spans="1:14" s="143" customFormat="1" x14ac:dyDescent="0.25">
      <c r="A137" s="143" t="s">
        <v>274</v>
      </c>
      <c r="B137" s="143" t="s">
        <v>144</v>
      </c>
      <c r="C137" s="143" t="s">
        <v>145</v>
      </c>
      <c r="D137" s="143" t="s">
        <v>69</v>
      </c>
      <c r="E137" s="257">
        <v>6563730</v>
      </c>
      <c r="F137" s="257">
        <v>11253730</v>
      </c>
      <c r="G137" s="257">
        <v>10730933</v>
      </c>
      <c r="H137" s="257">
        <v>237500</v>
      </c>
      <c r="I137" s="257">
        <v>3945050</v>
      </c>
      <c r="J137" s="257">
        <v>0</v>
      </c>
      <c r="K137" s="257">
        <v>4852450</v>
      </c>
      <c r="L137" s="257">
        <v>4852450</v>
      </c>
      <c r="M137" s="257">
        <v>2218730</v>
      </c>
      <c r="N137" s="257">
        <v>1695933</v>
      </c>
    </row>
    <row r="138" spans="1:14" s="143" customFormat="1" x14ac:dyDescent="0.25">
      <c r="A138" s="143" t="s">
        <v>274</v>
      </c>
      <c r="B138" s="143" t="s">
        <v>150</v>
      </c>
      <c r="C138" s="143" t="s">
        <v>151</v>
      </c>
      <c r="D138" s="143" t="s">
        <v>69</v>
      </c>
      <c r="E138" s="257">
        <v>4277392</v>
      </c>
      <c r="F138" s="257">
        <v>4277392</v>
      </c>
      <c r="G138" s="257">
        <v>2690348</v>
      </c>
      <c r="H138" s="257">
        <v>0</v>
      </c>
      <c r="I138" s="257">
        <v>1425000</v>
      </c>
      <c r="J138" s="257">
        <v>0</v>
      </c>
      <c r="K138" s="257">
        <v>1260694</v>
      </c>
      <c r="L138" s="257">
        <v>1260694</v>
      </c>
      <c r="M138" s="257">
        <v>1591698</v>
      </c>
      <c r="N138" s="257">
        <v>4654</v>
      </c>
    </row>
    <row r="139" spans="1:14" s="143" customFormat="1" x14ac:dyDescent="0.25">
      <c r="A139" s="143" t="s">
        <v>274</v>
      </c>
      <c r="B139" s="143" t="s">
        <v>152</v>
      </c>
      <c r="C139" s="143" t="s">
        <v>153</v>
      </c>
      <c r="D139" s="143" t="s">
        <v>69</v>
      </c>
      <c r="E139" s="257">
        <v>4277392</v>
      </c>
      <c r="F139" s="257">
        <v>4277392</v>
      </c>
      <c r="G139" s="257">
        <v>2690348</v>
      </c>
      <c r="H139" s="257">
        <v>0</v>
      </c>
      <c r="I139" s="257">
        <v>1425000</v>
      </c>
      <c r="J139" s="257">
        <v>0</v>
      </c>
      <c r="K139" s="257">
        <v>1260694</v>
      </c>
      <c r="L139" s="257">
        <v>1260694</v>
      </c>
      <c r="M139" s="257">
        <v>1591698</v>
      </c>
      <c r="N139" s="257">
        <v>4654</v>
      </c>
    </row>
    <row r="140" spans="1:14" s="143" customFormat="1" x14ac:dyDescent="0.25">
      <c r="A140" s="143" t="s">
        <v>274</v>
      </c>
      <c r="B140" s="143" t="s">
        <v>154</v>
      </c>
      <c r="C140" s="143" t="s">
        <v>155</v>
      </c>
      <c r="D140" s="143" t="s">
        <v>69</v>
      </c>
      <c r="E140" s="257">
        <v>12267225</v>
      </c>
      <c r="F140" s="257">
        <v>14282225</v>
      </c>
      <c r="G140" s="257">
        <v>9710807</v>
      </c>
      <c r="H140" s="257">
        <v>0</v>
      </c>
      <c r="I140" s="257">
        <v>2558200</v>
      </c>
      <c r="J140" s="257">
        <v>0</v>
      </c>
      <c r="K140" s="257">
        <v>1536800</v>
      </c>
      <c r="L140" s="257">
        <v>1536800</v>
      </c>
      <c r="M140" s="257">
        <v>10187225</v>
      </c>
      <c r="N140" s="257">
        <v>5615807</v>
      </c>
    </row>
    <row r="141" spans="1:14" s="143" customFormat="1" x14ac:dyDescent="0.25">
      <c r="A141" s="143" t="s">
        <v>274</v>
      </c>
      <c r="B141" s="143" t="s">
        <v>156</v>
      </c>
      <c r="C141" s="143" t="s">
        <v>157</v>
      </c>
      <c r="D141" s="143" t="s">
        <v>69</v>
      </c>
      <c r="E141" s="257">
        <v>12267225</v>
      </c>
      <c r="F141" s="257">
        <v>14282225</v>
      </c>
      <c r="G141" s="257">
        <v>9710807</v>
      </c>
      <c r="H141" s="257">
        <v>0</v>
      </c>
      <c r="I141" s="257">
        <v>2558200</v>
      </c>
      <c r="J141" s="257">
        <v>0</v>
      </c>
      <c r="K141" s="257">
        <v>1536800</v>
      </c>
      <c r="L141" s="257">
        <v>1536800</v>
      </c>
      <c r="M141" s="257">
        <v>10187225</v>
      </c>
      <c r="N141" s="257">
        <v>5615807</v>
      </c>
    </row>
    <row r="142" spans="1:14" s="143" customFormat="1" x14ac:dyDescent="0.25">
      <c r="A142" s="143" t="s">
        <v>274</v>
      </c>
      <c r="B142" s="143" t="s">
        <v>162</v>
      </c>
      <c r="C142" s="143" t="s">
        <v>163</v>
      </c>
      <c r="D142" s="143" t="s">
        <v>69</v>
      </c>
      <c r="E142" s="257">
        <v>17894000</v>
      </c>
      <c r="F142" s="257">
        <v>13797000</v>
      </c>
      <c r="G142" s="257">
        <v>8476500</v>
      </c>
      <c r="H142" s="257">
        <v>0</v>
      </c>
      <c r="I142" s="257">
        <v>4050000</v>
      </c>
      <c r="J142" s="257">
        <v>0</v>
      </c>
      <c r="K142" s="257">
        <v>915387.37</v>
      </c>
      <c r="L142" s="257">
        <v>915387.37</v>
      </c>
      <c r="M142" s="257">
        <v>8831612.6300000008</v>
      </c>
      <c r="N142" s="257">
        <v>3511112.63</v>
      </c>
    </row>
    <row r="143" spans="1:14" s="143" customFormat="1" x14ac:dyDescent="0.25">
      <c r="A143" s="143" t="s">
        <v>274</v>
      </c>
      <c r="B143" s="143" t="s">
        <v>166</v>
      </c>
      <c r="C143" s="143" t="s">
        <v>167</v>
      </c>
      <c r="D143" s="143" t="s">
        <v>69</v>
      </c>
      <c r="E143" s="257">
        <v>7000000</v>
      </c>
      <c r="F143" s="257">
        <v>7000000</v>
      </c>
      <c r="G143" s="257">
        <v>2550000</v>
      </c>
      <c r="H143" s="257">
        <v>0</v>
      </c>
      <c r="I143" s="257">
        <v>2550000</v>
      </c>
      <c r="J143" s="257">
        <v>0</v>
      </c>
      <c r="K143" s="257">
        <v>0</v>
      </c>
      <c r="L143" s="257">
        <v>0</v>
      </c>
      <c r="M143" s="257">
        <v>4450000</v>
      </c>
      <c r="N143" s="257">
        <v>0</v>
      </c>
    </row>
    <row r="144" spans="1:14" s="143" customFormat="1" x14ac:dyDescent="0.25">
      <c r="A144" s="143" t="s">
        <v>274</v>
      </c>
      <c r="B144" s="143" t="s">
        <v>168</v>
      </c>
      <c r="C144" s="143" t="s">
        <v>169</v>
      </c>
      <c r="D144" s="143" t="s">
        <v>69</v>
      </c>
      <c r="E144" s="257">
        <v>3000000</v>
      </c>
      <c r="F144" s="257">
        <v>1953000</v>
      </c>
      <c r="G144" s="257">
        <v>1953000</v>
      </c>
      <c r="H144" s="257">
        <v>0</v>
      </c>
      <c r="I144" s="257">
        <v>0</v>
      </c>
      <c r="J144" s="257">
        <v>0</v>
      </c>
      <c r="K144" s="257">
        <v>0</v>
      </c>
      <c r="L144" s="257">
        <v>0</v>
      </c>
      <c r="M144" s="257">
        <v>1953000</v>
      </c>
      <c r="N144" s="257">
        <v>1953000</v>
      </c>
    </row>
    <row r="145" spans="1:14" s="143" customFormat="1" x14ac:dyDescent="0.25">
      <c r="A145" s="143" t="s">
        <v>274</v>
      </c>
      <c r="B145" s="143" t="s">
        <v>170</v>
      </c>
      <c r="C145" s="143" t="s">
        <v>171</v>
      </c>
      <c r="D145" s="143" t="s">
        <v>69</v>
      </c>
      <c r="E145" s="257">
        <v>4494000</v>
      </c>
      <c r="F145" s="257">
        <v>4494000</v>
      </c>
      <c r="G145" s="257">
        <v>3623500</v>
      </c>
      <c r="H145" s="257">
        <v>0</v>
      </c>
      <c r="I145" s="257">
        <v>1500000</v>
      </c>
      <c r="J145" s="257">
        <v>0</v>
      </c>
      <c r="K145" s="257">
        <v>915387.37</v>
      </c>
      <c r="L145" s="257">
        <v>915387.37</v>
      </c>
      <c r="M145" s="257">
        <v>2078612.63</v>
      </c>
      <c r="N145" s="257">
        <v>1208112.6299999999</v>
      </c>
    </row>
    <row r="146" spans="1:14" s="143" customFormat="1" x14ac:dyDescent="0.25">
      <c r="A146" s="143" t="s">
        <v>274</v>
      </c>
      <c r="B146" s="143" t="s">
        <v>172</v>
      </c>
      <c r="C146" s="143" t="s">
        <v>173</v>
      </c>
      <c r="D146" s="143" t="s">
        <v>69</v>
      </c>
      <c r="E146" s="257">
        <v>3400000</v>
      </c>
      <c r="F146" s="257">
        <v>350000</v>
      </c>
      <c r="G146" s="257">
        <v>350000</v>
      </c>
      <c r="H146" s="257">
        <v>0</v>
      </c>
      <c r="I146" s="257">
        <v>0</v>
      </c>
      <c r="J146" s="257">
        <v>0</v>
      </c>
      <c r="K146" s="257">
        <v>0</v>
      </c>
      <c r="L146" s="257">
        <v>0</v>
      </c>
      <c r="M146" s="257">
        <v>350000</v>
      </c>
      <c r="N146" s="257">
        <v>350000</v>
      </c>
    </row>
    <row r="147" spans="1:14" s="143" customFormat="1" x14ac:dyDescent="0.25">
      <c r="A147" s="143" t="s">
        <v>274</v>
      </c>
      <c r="B147" s="143" t="s">
        <v>174</v>
      </c>
      <c r="C147" s="143" t="s">
        <v>175</v>
      </c>
      <c r="D147" s="143" t="s">
        <v>69</v>
      </c>
      <c r="E147" s="257">
        <v>466000</v>
      </c>
      <c r="F147" s="257">
        <v>299000</v>
      </c>
      <c r="G147" s="257">
        <v>50000</v>
      </c>
      <c r="H147" s="257">
        <v>0</v>
      </c>
      <c r="I147" s="257">
        <v>50000</v>
      </c>
      <c r="J147" s="257">
        <v>0</v>
      </c>
      <c r="K147" s="257">
        <v>0</v>
      </c>
      <c r="L147" s="257">
        <v>0</v>
      </c>
      <c r="M147" s="257">
        <v>249000</v>
      </c>
      <c r="N147" s="257">
        <v>0</v>
      </c>
    </row>
    <row r="148" spans="1:14" s="143" customFormat="1" x14ac:dyDescent="0.25">
      <c r="A148" s="143" t="s">
        <v>274</v>
      </c>
      <c r="B148" s="143" t="s">
        <v>176</v>
      </c>
      <c r="C148" s="143" t="s">
        <v>177</v>
      </c>
      <c r="D148" s="143" t="s">
        <v>69</v>
      </c>
      <c r="E148" s="257">
        <v>466000</v>
      </c>
      <c r="F148" s="257">
        <v>299000</v>
      </c>
      <c r="G148" s="257">
        <v>50000</v>
      </c>
      <c r="H148" s="257">
        <v>0</v>
      </c>
      <c r="I148" s="257">
        <v>50000</v>
      </c>
      <c r="J148" s="257">
        <v>0</v>
      </c>
      <c r="K148" s="257">
        <v>0</v>
      </c>
      <c r="L148" s="257">
        <v>0</v>
      </c>
      <c r="M148" s="257">
        <v>249000</v>
      </c>
      <c r="N148" s="257">
        <v>0</v>
      </c>
    </row>
    <row r="149" spans="1:14" s="143" customFormat="1" x14ac:dyDescent="0.25">
      <c r="A149" s="143" t="s">
        <v>274</v>
      </c>
      <c r="B149" s="143" t="s">
        <v>178</v>
      </c>
      <c r="C149" s="143" t="s">
        <v>179</v>
      </c>
      <c r="D149" s="143" t="s">
        <v>69</v>
      </c>
      <c r="E149" s="257">
        <v>1800000</v>
      </c>
      <c r="F149" s="257">
        <v>1260000</v>
      </c>
      <c r="G149" s="257">
        <v>609999.85</v>
      </c>
      <c r="H149" s="257">
        <v>0</v>
      </c>
      <c r="I149" s="257">
        <v>600000</v>
      </c>
      <c r="J149" s="257">
        <v>0</v>
      </c>
      <c r="K149" s="257">
        <v>0</v>
      </c>
      <c r="L149" s="257">
        <v>0</v>
      </c>
      <c r="M149" s="257">
        <v>660000</v>
      </c>
      <c r="N149" s="257">
        <v>9999.85</v>
      </c>
    </row>
    <row r="150" spans="1:14" s="143" customFormat="1" x14ac:dyDescent="0.25">
      <c r="A150" s="143" t="s">
        <v>274</v>
      </c>
      <c r="B150" s="143" t="s">
        <v>182</v>
      </c>
      <c r="C150" s="143" t="s">
        <v>183</v>
      </c>
      <c r="D150" s="143" t="s">
        <v>69</v>
      </c>
      <c r="E150" s="257">
        <v>1800000</v>
      </c>
      <c r="F150" s="257">
        <v>1260000</v>
      </c>
      <c r="G150" s="257">
        <v>609999.85</v>
      </c>
      <c r="H150" s="257">
        <v>0</v>
      </c>
      <c r="I150" s="257">
        <v>600000</v>
      </c>
      <c r="J150" s="257">
        <v>0</v>
      </c>
      <c r="K150" s="257">
        <v>0</v>
      </c>
      <c r="L150" s="257">
        <v>0</v>
      </c>
      <c r="M150" s="257">
        <v>660000</v>
      </c>
      <c r="N150" s="257">
        <v>9999.85</v>
      </c>
    </row>
    <row r="151" spans="1:14" s="143" customFormat="1" x14ac:dyDescent="0.25">
      <c r="A151" s="143" t="s">
        <v>274</v>
      </c>
      <c r="B151" s="143" t="s">
        <v>184</v>
      </c>
      <c r="C151" s="143" t="s">
        <v>185</v>
      </c>
      <c r="D151" s="143" t="s">
        <v>69</v>
      </c>
      <c r="E151" s="257">
        <v>57954839</v>
      </c>
      <c r="F151" s="257">
        <v>57954839</v>
      </c>
      <c r="G151" s="257">
        <v>36193954</v>
      </c>
      <c r="H151" s="257">
        <v>2938105.08</v>
      </c>
      <c r="I151" s="257">
        <v>5859926.2800000003</v>
      </c>
      <c r="J151" s="257">
        <v>0</v>
      </c>
      <c r="K151" s="257">
        <v>10665832.609999999</v>
      </c>
      <c r="L151" s="257">
        <v>10227662.869999999</v>
      </c>
      <c r="M151" s="257">
        <v>38490975.030000001</v>
      </c>
      <c r="N151" s="257">
        <v>16730090.029999999</v>
      </c>
    </row>
    <row r="152" spans="1:14" s="143" customFormat="1" x14ac:dyDescent="0.25">
      <c r="A152" s="143" t="s">
        <v>274</v>
      </c>
      <c r="B152" s="143" t="s">
        <v>186</v>
      </c>
      <c r="C152" s="143" t="s">
        <v>187</v>
      </c>
      <c r="D152" s="143" t="s">
        <v>69</v>
      </c>
      <c r="E152" s="257">
        <v>17854839</v>
      </c>
      <c r="F152" s="257">
        <v>17803839</v>
      </c>
      <c r="G152" s="257">
        <v>9198210</v>
      </c>
      <c r="H152" s="257">
        <v>1617000</v>
      </c>
      <c r="I152" s="257">
        <v>2697164.94</v>
      </c>
      <c r="J152" s="257">
        <v>0</v>
      </c>
      <c r="K152" s="257">
        <v>1883650.06</v>
      </c>
      <c r="L152" s="257">
        <v>1883650.06</v>
      </c>
      <c r="M152" s="257">
        <v>11606024</v>
      </c>
      <c r="N152" s="257">
        <v>3000395</v>
      </c>
    </row>
    <row r="153" spans="1:14" s="143" customFormat="1" x14ac:dyDescent="0.25">
      <c r="A153" s="143" t="s">
        <v>274</v>
      </c>
      <c r="B153" s="143" t="s">
        <v>188</v>
      </c>
      <c r="C153" s="143" t="s">
        <v>189</v>
      </c>
      <c r="D153" s="143" t="s">
        <v>69</v>
      </c>
      <c r="E153" s="257">
        <v>9354839</v>
      </c>
      <c r="F153" s="257">
        <v>9354839</v>
      </c>
      <c r="G153" s="257">
        <v>3079210</v>
      </c>
      <c r="H153" s="257">
        <v>0</v>
      </c>
      <c r="I153" s="257">
        <v>1195554.94</v>
      </c>
      <c r="J153" s="257">
        <v>0</v>
      </c>
      <c r="K153" s="257">
        <v>1883650.06</v>
      </c>
      <c r="L153" s="257">
        <v>1883650.06</v>
      </c>
      <c r="M153" s="257">
        <v>6275634</v>
      </c>
      <c r="N153" s="257">
        <v>5</v>
      </c>
    </row>
    <row r="154" spans="1:14" s="143" customFormat="1" x14ac:dyDescent="0.25">
      <c r="A154" s="143" t="s">
        <v>274</v>
      </c>
      <c r="B154" s="143" t="s">
        <v>192</v>
      </c>
      <c r="C154" s="143" t="s">
        <v>193</v>
      </c>
      <c r="D154" s="143" t="s">
        <v>69</v>
      </c>
      <c r="E154" s="257">
        <v>8500000</v>
      </c>
      <c r="F154" s="257">
        <v>8449000</v>
      </c>
      <c r="G154" s="257">
        <v>6119000</v>
      </c>
      <c r="H154" s="257">
        <v>1617000</v>
      </c>
      <c r="I154" s="257">
        <v>1501610</v>
      </c>
      <c r="J154" s="257">
        <v>0</v>
      </c>
      <c r="K154" s="257">
        <v>0</v>
      </c>
      <c r="L154" s="257">
        <v>0</v>
      </c>
      <c r="M154" s="257">
        <v>5330390</v>
      </c>
      <c r="N154" s="257">
        <v>3000390</v>
      </c>
    </row>
    <row r="155" spans="1:14" s="143" customFormat="1" x14ac:dyDescent="0.25">
      <c r="A155" s="143" t="s">
        <v>274</v>
      </c>
      <c r="B155" s="143" t="s">
        <v>196</v>
      </c>
      <c r="C155" s="143" t="s">
        <v>197</v>
      </c>
      <c r="D155" s="143" t="s">
        <v>69</v>
      </c>
      <c r="E155" s="257">
        <v>2460000</v>
      </c>
      <c r="F155" s="257">
        <v>5911000</v>
      </c>
      <c r="G155" s="257">
        <v>3765240</v>
      </c>
      <c r="H155" s="257">
        <v>0</v>
      </c>
      <c r="I155" s="257">
        <v>1156976.7</v>
      </c>
      <c r="J155" s="257">
        <v>0</v>
      </c>
      <c r="K155" s="257">
        <v>931082</v>
      </c>
      <c r="L155" s="257">
        <v>931082</v>
      </c>
      <c r="M155" s="257">
        <v>3822941.3</v>
      </c>
      <c r="N155" s="257">
        <v>1677181.3</v>
      </c>
    </row>
    <row r="156" spans="1:14" s="143" customFormat="1" x14ac:dyDescent="0.25">
      <c r="A156" s="143" t="s">
        <v>274</v>
      </c>
      <c r="B156" s="143" t="s">
        <v>198</v>
      </c>
      <c r="C156" s="143" t="s">
        <v>199</v>
      </c>
      <c r="D156" s="143" t="s">
        <v>69</v>
      </c>
      <c r="E156" s="257">
        <v>2460000</v>
      </c>
      <c r="F156" s="257">
        <v>5911000</v>
      </c>
      <c r="G156" s="257">
        <v>3765240</v>
      </c>
      <c r="H156" s="257">
        <v>0</v>
      </c>
      <c r="I156" s="257">
        <v>1156976.7</v>
      </c>
      <c r="J156" s="257">
        <v>0</v>
      </c>
      <c r="K156" s="257">
        <v>931082</v>
      </c>
      <c r="L156" s="257">
        <v>931082</v>
      </c>
      <c r="M156" s="257">
        <v>3822941.3</v>
      </c>
      <c r="N156" s="257">
        <v>1677181.3</v>
      </c>
    </row>
    <row r="157" spans="1:14" s="143" customFormat="1" x14ac:dyDescent="0.25">
      <c r="A157" s="143" t="s">
        <v>274</v>
      </c>
      <c r="B157" s="143" t="s">
        <v>200</v>
      </c>
      <c r="C157" s="143" t="s">
        <v>201</v>
      </c>
      <c r="D157" s="143" t="s">
        <v>69</v>
      </c>
      <c r="E157" s="257">
        <v>2000000</v>
      </c>
      <c r="F157" s="257">
        <v>1950000</v>
      </c>
      <c r="G157" s="257">
        <v>1348000</v>
      </c>
      <c r="H157" s="257">
        <v>577036.07999999996</v>
      </c>
      <c r="I157" s="257">
        <v>105430</v>
      </c>
      <c r="J157" s="257">
        <v>0</v>
      </c>
      <c r="K157" s="257">
        <v>606721.42000000004</v>
      </c>
      <c r="L157" s="257">
        <v>373368.18</v>
      </c>
      <c r="M157" s="257">
        <v>660812.5</v>
      </c>
      <c r="N157" s="257">
        <v>58812.5</v>
      </c>
    </row>
    <row r="158" spans="1:14" s="143" customFormat="1" x14ac:dyDescent="0.25">
      <c r="A158" s="143" t="s">
        <v>274</v>
      </c>
      <c r="B158" s="143" t="s">
        <v>202</v>
      </c>
      <c r="C158" s="143" t="s">
        <v>203</v>
      </c>
      <c r="D158" s="143" t="s">
        <v>69</v>
      </c>
      <c r="E158" s="257">
        <v>2000000</v>
      </c>
      <c r="F158" s="257">
        <v>1950000</v>
      </c>
      <c r="G158" s="257">
        <v>1348000</v>
      </c>
      <c r="H158" s="257">
        <v>577036.07999999996</v>
      </c>
      <c r="I158" s="257">
        <v>105430</v>
      </c>
      <c r="J158" s="257">
        <v>0</v>
      </c>
      <c r="K158" s="257">
        <v>606721.42000000004</v>
      </c>
      <c r="L158" s="257">
        <v>373368.18</v>
      </c>
      <c r="M158" s="257">
        <v>660812.5</v>
      </c>
      <c r="N158" s="257">
        <v>58812.5</v>
      </c>
    </row>
    <row r="159" spans="1:14" s="143" customFormat="1" x14ac:dyDescent="0.25">
      <c r="A159" s="143" t="s">
        <v>274</v>
      </c>
      <c r="B159" s="143" t="s">
        <v>206</v>
      </c>
      <c r="C159" s="143" t="s">
        <v>207</v>
      </c>
      <c r="D159" s="143" t="s">
        <v>69</v>
      </c>
      <c r="E159" s="257">
        <v>6710000</v>
      </c>
      <c r="F159" s="257">
        <v>3860000</v>
      </c>
      <c r="G159" s="257">
        <v>1002132</v>
      </c>
      <c r="H159" s="257">
        <v>0</v>
      </c>
      <c r="I159" s="257">
        <v>0</v>
      </c>
      <c r="J159" s="257">
        <v>0</v>
      </c>
      <c r="K159" s="257">
        <v>0</v>
      </c>
      <c r="L159" s="257">
        <v>0</v>
      </c>
      <c r="M159" s="257">
        <v>3860000</v>
      </c>
      <c r="N159" s="257">
        <v>1002132</v>
      </c>
    </row>
    <row r="160" spans="1:14" s="143" customFormat="1" x14ac:dyDescent="0.25">
      <c r="A160" s="143" t="s">
        <v>274</v>
      </c>
      <c r="B160" s="143" t="s">
        <v>208</v>
      </c>
      <c r="C160" s="143" t="s">
        <v>209</v>
      </c>
      <c r="D160" s="143" t="s">
        <v>69</v>
      </c>
      <c r="E160" s="257">
        <v>3710000</v>
      </c>
      <c r="F160" s="257">
        <v>2210000</v>
      </c>
      <c r="G160" s="257">
        <v>800000</v>
      </c>
      <c r="H160" s="257">
        <v>0</v>
      </c>
      <c r="I160" s="257">
        <v>0</v>
      </c>
      <c r="J160" s="257">
        <v>0</v>
      </c>
      <c r="K160" s="257">
        <v>0</v>
      </c>
      <c r="L160" s="257">
        <v>0</v>
      </c>
      <c r="M160" s="257">
        <v>2210000</v>
      </c>
      <c r="N160" s="257">
        <v>800000</v>
      </c>
    </row>
    <row r="161" spans="1:14" s="143" customFormat="1" x14ac:dyDescent="0.25">
      <c r="A161" s="143" t="s">
        <v>274</v>
      </c>
      <c r="B161" s="143" t="s">
        <v>210</v>
      </c>
      <c r="C161" s="143" t="s">
        <v>211</v>
      </c>
      <c r="D161" s="143" t="s">
        <v>69</v>
      </c>
      <c r="E161" s="257">
        <v>3000000</v>
      </c>
      <c r="F161" s="257">
        <v>1650000</v>
      </c>
      <c r="G161" s="257">
        <v>202132</v>
      </c>
      <c r="H161" s="257">
        <v>0</v>
      </c>
      <c r="I161" s="257">
        <v>0</v>
      </c>
      <c r="J161" s="257">
        <v>0</v>
      </c>
      <c r="K161" s="257">
        <v>0</v>
      </c>
      <c r="L161" s="257">
        <v>0</v>
      </c>
      <c r="M161" s="257">
        <v>1650000</v>
      </c>
      <c r="N161" s="257">
        <v>202132</v>
      </c>
    </row>
    <row r="162" spans="1:14" s="143" customFormat="1" x14ac:dyDescent="0.25">
      <c r="A162" s="143" t="s">
        <v>274</v>
      </c>
      <c r="B162" s="143" t="s">
        <v>212</v>
      </c>
      <c r="C162" s="143" t="s">
        <v>213</v>
      </c>
      <c r="D162" s="143" t="s">
        <v>69</v>
      </c>
      <c r="E162" s="257">
        <v>28930000</v>
      </c>
      <c r="F162" s="257">
        <v>28430000</v>
      </c>
      <c r="G162" s="257">
        <v>20880372</v>
      </c>
      <c r="H162" s="257">
        <v>744069</v>
      </c>
      <c r="I162" s="257">
        <v>1900354.64</v>
      </c>
      <c r="J162" s="257">
        <v>0</v>
      </c>
      <c r="K162" s="257">
        <v>7244379.1299999999</v>
      </c>
      <c r="L162" s="257">
        <v>7039562.6299999999</v>
      </c>
      <c r="M162" s="257">
        <v>18541197.23</v>
      </c>
      <c r="N162" s="257">
        <v>10991569.23</v>
      </c>
    </row>
    <row r="163" spans="1:14" s="143" customFormat="1" x14ac:dyDescent="0.25">
      <c r="A163" s="143" t="s">
        <v>274</v>
      </c>
      <c r="B163" s="143" t="s">
        <v>214</v>
      </c>
      <c r="C163" s="143" t="s">
        <v>215</v>
      </c>
      <c r="D163" s="143" t="s">
        <v>69</v>
      </c>
      <c r="E163" s="257">
        <v>8000000</v>
      </c>
      <c r="F163" s="257">
        <v>7500000</v>
      </c>
      <c r="G163" s="257">
        <v>5000000</v>
      </c>
      <c r="H163" s="257">
        <v>0</v>
      </c>
      <c r="I163" s="257">
        <v>741237.64</v>
      </c>
      <c r="J163" s="257">
        <v>0</v>
      </c>
      <c r="K163" s="257">
        <v>2257864.5299999998</v>
      </c>
      <c r="L163" s="257">
        <v>2257864.5299999998</v>
      </c>
      <c r="M163" s="257">
        <v>4500897.83</v>
      </c>
      <c r="N163" s="257">
        <v>2000897.83</v>
      </c>
    </row>
    <row r="164" spans="1:14" s="143" customFormat="1" x14ac:dyDescent="0.25">
      <c r="A164" s="143" t="s">
        <v>274</v>
      </c>
      <c r="B164" s="143" t="s">
        <v>218</v>
      </c>
      <c r="C164" s="143" t="s">
        <v>219</v>
      </c>
      <c r="D164" s="143" t="s">
        <v>69</v>
      </c>
      <c r="E164" s="257">
        <v>8000000</v>
      </c>
      <c r="F164" s="257">
        <v>7500000</v>
      </c>
      <c r="G164" s="257">
        <v>4800000</v>
      </c>
      <c r="H164" s="257">
        <v>318570</v>
      </c>
      <c r="I164" s="257">
        <v>295000</v>
      </c>
      <c r="J164" s="257">
        <v>0</v>
      </c>
      <c r="K164" s="257">
        <v>2183538.4</v>
      </c>
      <c r="L164" s="257">
        <v>1978721.9</v>
      </c>
      <c r="M164" s="257">
        <v>4702891.5999999996</v>
      </c>
      <c r="N164" s="257">
        <v>2002891.6</v>
      </c>
    </row>
    <row r="165" spans="1:14" s="143" customFormat="1" x14ac:dyDescent="0.25">
      <c r="A165" s="143" t="s">
        <v>274</v>
      </c>
      <c r="B165" s="143" t="s">
        <v>222</v>
      </c>
      <c r="C165" s="143" t="s">
        <v>223</v>
      </c>
      <c r="D165" s="143" t="s">
        <v>69</v>
      </c>
      <c r="E165" s="257">
        <v>4930000</v>
      </c>
      <c r="F165" s="257">
        <v>4430000</v>
      </c>
      <c r="G165" s="257">
        <v>2764372</v>
      </c>
      <c r="H165" s="257">
        <v>425499</v>
      </c>
      <c r="I165" s="257">
        <v>371117</v>
      </c>
      <c r="J165" s="257">
        <v>0</v>
      </c>
      <c r="K165" s="257">
        <v>819226.2</v>
      </c>
      <c r="L165" s="257">
        <v>819226.2</v>
      </c>
      <c r="M165" s="257">
        <v>2814157.8</v>
      </c>
      <c r="N165" s="257">
        <v>1148529.8</v>
      </c>
    </row>
    <row r="166" spans="1:14" s="143" customFormat="1" x14ac:dyDescent="0.25">
      <c r="A166" s="143" t="s">
        <v>274</v>
      </c>
      <c r="B166" s="143" t="s">
        <v>228</v>
      </c>
      <c r="C166" s="143" t="s">
        <v>229</v>
      </c>
      <c r="D166" s="143" t="s">
        <v>69</v>
      </c>
      <c r="E166" s="257">
        <v>8000000</v>
      </c>
      <c r="F166" s="257">
        <v>9000000</v>
      </c>
      <c r="G166" s="257">
        <v>8316000</v>
      </c>
      <c r="H166" s="257">
        <v>0</v>
      </c>
      <c r="I166" s="257">
        <v>493000</v>
      </c>
      <c r="J166" s="257">
        <v>0</v>
      </c>
      <c r="K166" s="257">
        <v>1983750</v>
      </c>
      <c r="L166" s="257">
        <v>1983750</v>
      </c>
      <c r="M166" s="257">
        <v>6523250</v>
      </c>
      <c r="N166" s="257">
        <v>5839250</v>
      </c>
    </row>
    <row r="167" spans="1:14" s="143" customFormat="1" x14ac:dyDescent="0.25">
      <c r="A167" s="143" t="s">
        <v>274</v>
      </c>
      <c r="B167" s="143" t="s">
        <v>248</v>
      </c>
      <c r="C167" s="143" t="s">
        <v>249</v>
      </c>
      <c r="D167" s="143" t="s">
        <v>69</v>
      </c>
      <c r="E167" s="257">
        <v>43960000</v>
      </c>
      <c r="F167" s="257">
        <v>43960000</v>
      </c>
      <c r="G167" s="257">
        <v>36960000</v>
      </c>
      <c r="H167" s="257">
        <v>0</v>
      </c>
      <c r="I167" s="257">
        <v>5477575</v>
      </c>
      <c r="J167" s="257">
        <v>0</v>
      </c>
      <c r="K167" s="257">
        <v>26121814.350000001</v>
      </c>
      <c r="L167" s="257">
        <v>26121814.350000001</v>
      </c>
      <c r="M167" s="257">
        <v>12360610.65</v>
      </c>
      <c r="N167" s="257">
        <v>5360610.6500000004</v>
      </c>
    </row>
    <row r="168" spans="1:14" s="143" customFormat="1" x14ac:dyDescent="0.25">
      <c r="A168" s="143" t="s">
        <v>274</v>
      </c>
      <c r="B168" s="143" t="s">
        <v>250</v>
      </c>
      <c r="C168" s="143" t="s">
        <v>251</v>
      </c>
      <c r="D168" s="143" t="s">
        <v>69</v>
      </c>
      <c r="E168" s="257">
        <v>11142000</v>
      </c>
      <c r="F168" s="257">
        <v>11142000</v>
      </c>
      <c r="G168" s="257">
        <v>11142000</v>
      </c>
      <c r="H168" s="257">
        <v>0</v>
      </c>
      <c r="I168" s="257">
        <v>5477575</v>
      </c>
      <c r="J168" s="257">
        <v>0</v>
      </c>
      <c r="K168" s="257">
        <v>5664425</v>
      </c>
      <c r="L168" s="257">
        <v>5664425</v>
      </c>
      <c r="M168" s="257">
        <v>0</v>
      </c>
      <c r="N168" s="257">
        <v>0</v>
      </c>
    </row>
    <row r="169" spans="1:14" s="143" customFormat="1" x14ac:dyDescent="0.25">
      <c r="A169" s="143" t="s">
        <v>274</v>
      </c>
      <c r="B169" s="143" t="s">
        <v>284</v>
      </c>
      <c r="C169" s="143" t="s">
        <v>257</v>
      </c>
      <c r="D169" s="143" t="s">
        <v>69</v>
      </c>
      <c r="E169" s="257">
        <v>9273000</v>
      </c>
      <c r="F169" s="257">
        <v>9273000</v>
      </c>
      <c r="G169" s="257">
        <v>9273000</v>
      </c>
      <c r="H169" s="257">
        <v>0</v>
      </c>
      <c r="I169" s="257">
        <v>4558980</v>
      </c>
      <c r="J169" s="257">
        <v>0</v>
      </c>
      <c r="K169" s="257">
        <v>4714020</v>
      </c>
      <c r="L169" s="257">
        <v>4714020</v>
      </c>
      <c r="M169" s="257">
        <v>0</v>
      </c>
      <c r="N169" s="257">
        <v>0</v>
      </c>
    </row>
    <row r="170" spans="1:14" s="143" customFormat="1" x14ac:dyDescent="0.25">
      <c r="A170" s="143" t="s">
        <v>274</v>
      </c>
      <c r="B170" s="143" t="s">
        <v>285</v>
      </c>
      <c r="C170" s="143" t="s">
        <v>259</v>
      </c>
      <c r="D170" s="143" t="s">
        <v>69</v>
      </c>
      <c r="E170" s="257">
        <v>1869000</v>
      </c>
      <c r="F170" s="257">
        <v>1869000</v>
      </c>
      <c r="G170" s="257">
        <v>1869000</v>
      </c>
      <c r="H170" s="257">
        <v>0</v>
      </c>
      <c r="I170" s="257">
        <v>918595</v>
      </c>
      <c r="J170" s="257">
        <v>0</v>
      </c>
      <c r="K170" s="257">
        <v>950405</v>
      </c>
      <c r="L170" s="257">
        <v>950405</v>
      </c>
      <c r="M170" s="257">
        <v>0</v>
      </c>
      <c r="N170" s="257">
        <v>0</v>
      </c>
    </row>
    <row r="171" spans="1:14" s="143" customFormat="1" x14ac:dyDescent="0.25">
      <c r="A171" s="143" t="s">
        <v>274</v>
      </c>
      <c r="B171" s="143" t="s">
        <v>260</v>
      </c>
      <c r="C171" s="143" t="s">
        <v>261</v>
      </c>
      <c r="D171" s="143" t="s">
        <v>69</v>
      </c>
      <c r="E171" s="257">
        <v>24818000</v>
      </c>
      <c r="F171" s="257">
        <v>26818000</v>
      </c>
      <c r="G171" s="257">
        <v>25818000</v>
      </c>
      <c r="H171" s="257">
        <v>0</v>
      </c>
      <c r="I171" s="257">
        <v>0</v>
      </c>
      <c r="J171" s="257">
        <v>0</v>
      </c>
      <c r="K171" s="257">
        <v>20457389.350000001</v>
      </c>
      <c r="L171" s="257">
        <v>20457389.350000001</v>
      </c>
      <c r="M171" s="257">
        <v>6360610.6500000004</v>
      </c>
      <c r="N171" s="257">
        <v>5360610.6500000004</v>
      </c>
    </row>
    <row r="172" spans="1:14" s="143" customFormat="1" x14ac:dyDescent="0.25">
      <c r="A172" s="143" t="s">
        <v>274</v>
      </c>
      <c r="B172" s="143" t="s">
        <v>262</v>
      </c>
      <c r="C172" s="143" t="s">
        <v>263</v>
      </c>
      <c r="D172" s="143" t="s">
        <v>69</v>
      </c>
      <c r="E172" s="257">
        <v>17000000</v>
      </c>
      <c r="F172" s="257">
        <v>19000000</v>
      </c>
      <c r="G172" s="257">
        <v>18000000</v>
      </c>
      <c r="H172" s="257">
        <v>0</v>
      </c>
      <c r="I172" s="257">
        <v>0</v>
      </c>
      <c r="J172" s="257">
        <v>0</v>
      </c>
      <c r="K172" s="257">
        <v>16932874.350000001</v>
      </c>
      <c r="L172" s="257">
        <v>16932874.350000001</v>
      </c>
      <c r="M172" s="257">
        <v>2067125.65</v>
      </c>
      <c r="N172" s="257">
        <v>1067125.6499999999</v>
      </c>
    </row>
    <row r="173" spans="1:14" s="143" customFormat="1" x14ac:dyDescent="0.25">
      <c r="A173" s="143" t="s">
        <v>274</v>
      </c>
      <c r="B173" s="143" t="s">
        <v>264</v>
      </c>
      <c r="C173" s="143" t="s">
        <v>265</v>
      </c>
      <c r="D173" s="143" t="s">
        <v>69</v>
      </c>
      <c r="E173" s="257">
        <v>7818000</v>
      </c>
      <c r="F173" s="257">
        <v>7818000</v>
      </c>
      <c r="G173" s="257">
        <v>7818000</v>
      </c>
      <c r="H173" s="257">
        <v>0</v>
      </c>
      <c r="I173" s="257">
        <v>0</v>
      </c>
      <c r="J173" s="257">
        <v>0</v>
      </c>
      <c r="K173" s="257">
        <v>3524515</v>
      </c>
      <c r="L173" s="257">
        <v>3524515</v>
      </c>
      <c r="M173" s="257">
        <v>4293485</v>
      </c>
      <c r="N173" s="257">
        <v>4293485</v>
      </c>
    </row>
    <row r="174" spans="1:14" s="143" customFormat="1" x14ac:dyDescent="0.25">
      <c r="A174" s="143" t="s">
        <v>274</v>
      </c>
      <c r="B174" s="143" t="s">
        <v>286</v>
      </c>
      <c r="C174" s="143" t="s">
        <v>287</v>
      </c>
      <c r="D174" s="143" t="s">
        <v>69</v>
      </c>
      <c r="E174" s="257">
        <v>8000000</v>
      </c>
      <c r="F174" s="257">
        <v>6000000</v>
      </c>
      <c r="G174" s="257">
        <v>0</v>
      </c>
      <c r="H174" s="257">
        <v>0</v>
      </c>
      <c r="I174" s="257">
        <v>0</v>
      </c>
      <c r="J174" s="257">
        <v>0</v>
      </c>
      <c r="K174" s="257">
        <v>0</v>
      </c>
      <c r="L174" s="257">
        <v>0</v>
      </c>
      <c r="M174" s="257">
        <v>6000000</v>
      </c>
      <c r="N174" s="257">
        <v>0</v>
      </c>
    </row>
    <row r="175" spans="1:14" s="143" customFormat="1" x14ac:dyDescent="0.25">
      <c r="A175" s="143" t="s">
        <v>274</v>
      </c>
      <c r="B175" s="143" t="s">
        <v>288</v>
      </c>
      <c r="C175" s="143" t="s">
        <v>289</v>
      </c>
      <c r="D175" s="143" t="s">
        <v>69</v>
      </c>
      <c r="E175" s="257">
        <v>8000000</v>
      </c>
      <c r="F175" s="257">
        <v>6000000</v>
      </c>
      <c r="G175" s="257">
        <v>0</v>
      </c>
      <c r="H175" s="257">
        <v>0</v>
      </c>
      <c r="I175" s="257">
        <v>0</v>
      </c>
      <c r="J175" s="257">
        <v>0</v>
      </c>
      <c r="K175" s="257">
        <v>0</v>
      </c>
      <c r="L175" s="257">
        <v>0</v>
      </c>
      <c r="M175" s="257">
        <v>6000000</v>
      </c>
      <c r="N175" s="257">
        <v>0</v>
      </c>
    </row>
    <row r="176" spans="1:14" s="143" customFormat="1" x14ac:dyDescent="0.25">
      <c r="A176" s="143" t="s">
        <v>274</v>
      </c>
      <c r="B176" s="143" t="s">
        <v>230</v>
      </c>
      <c r="C176" s="143" t="s">
        <v>231</v>
      </c>
      <c r="D176" s="143" t="s">
        <v>85</v>
      </c>
      <c r="E176" s="257">
        <v>29500000</v>
      </c>
      <c r="F176" s="257">
        <v>29500000</v>
      </c>
      <c r="G176" s="257">
        <v>22791000</v>
      </c>
      <c r="H176" s="257">
        <v>5513000</v>
      </c>
      <c r="I176" s="257">
        <v>3075000</v>
      </c>
      <c r="J176" s="257">
        <v>0</v>
      </c>
      <c r="K176" s="257">
        <v>5647191</v>
      </c>
      <c r="L176" s="257">
        <v>5647191</v>
      </c>
      <c r="M176" s="257">
        <v>15264809</v>
      </c>
      <c r="N176" s="257">
        <v>8555809</v>
      </c>
    </row>
    <row r="177" spans="1:14" s="143" customFormat="1" x14ac:dyDescent="0.25">
      <c r="A177" s="143" t="s">
        <v>274</v>
      </c>
      <c r="B177" s="143" t="s">
        <v>232</v>
      </c>
      <c r="C177" s="143" t="s">
        <v>233</v>
      </c>
      <c r="D177" s="143" t="s">
        <v>85</v>
      </c>
      <c r="E177" s="257">
        <v>29500000</v>
      </c>
      <c r="F177" s="257">
        <v>29500000</v>
      </c>
      <c r="G177" s="257">
        <v>22791000</v>
      </c>
      <c r="H177" s="257">
        <v>5513000</v>
      </c>
      <c r="I177" s="257">
        <v>3075000</v>
      </c>
      <c r="J177" s="257">
        <v>0</v>
      </c>
      <c r="K177" s="257">
        <v>5647191</v>
      </c>
      <c r="L177" s="257">
        <v>5647191</v>
      </c>
      <c r="M177" s="257">
        <v>15264809</v>
      </c>
      <c r="N177" s="257">
        <v>8555809</v>
      </c>
    </row>
    <row r="178" spans="1:14" s="143" customFormat="1" x14ac:dyDescent="0.25">
      <c r="A178" s="143" t="s">
        <v>274</v>
      </c>
      <c r="B178" s="143" t="s">
        <v>236</v>
      </c>
      <c r="C178" s="143" t="s">
        <v>237</v>
      </c>
      <c r="D178" s="143" t="s">
        <v>85</v>
      </c>
      <c r="E178" s="257">
        <v>4700000</v>
      </c>
      <c r="F178" s="257">
        <v>6950000</v>
      </c>
      <c r="G178" s="257">
        <v>6445000</v>
      </c>
      <c r="H178" s="257">
        <v>5289000</v>
      </c>
      <c r="I178" s="257">
        <v>0</v>
      </c>
      <c r="J178" s="257">
        <v>0</v>
      </c>
      <c r="K178" s="257">
        <v>777120</v>
      </c>
      <c r="L178" s="257">
        <v>777120</v>
      </c>
      <c r="M178" s="257">
        <v>883880</v>
      </c>
      <c r="N178" s="257">
        <v>378880</v>
      </c>
    </row>
    <row r="179" spans="1:14" s="143" customFormat="1" x14ac:dyDescent="0.25">
      <c r="A179" s="143" t="s">
        <v>274</v>
      </c>
      <c r="B179" s="143" t="s">
        <v>238</v>
      </c>
      <c r="C179" s="143" t="s">
        <v>239</v>
      </c>
      <c r="D179" s="143" t="s">
        <v>85</v>
      </c>
      <c r="E179" s="257">
        <v>3800000</v>
      </c>
      <c r="F179" s="257">
        <v>3300000</v>
      </c>
      <c r="G179" s="257">
        <v>914000</v>
      </c>
      <c r="H179" s="257">
        <v>0</v>
      </c>
      <c r="I179" s="257">
        <v>0</v>
      </c>
      <c r="J179" s="257">
        <v>0</v>
      </c>
      <c r="K179" s="257">
        <v>913570</v>
      </c>
      <c r="L179" s="257">
        <v>913570</v>
      </c>
      <c r="M179" s="257">
        <v>2386430</v>
      </c>
      <c r="N179" s="257">
        <v>430</v>
      </c>
    </row>
    <row r="180" spans="1:14" s="143" customFormat="1" x14ac:dyDescent="0.25">
      <c r="A180" s="143" t="s">
        <v>274</v>
      </c>
      <c r="B180" s="143" t="s">
        <v>282</v>
      </c>
      <c r="C180" s="143" t="s">
        <v>283</v>
      </c>
      <c r="D180" s="143" t="s">
        <v>85</v>
      </c>
      <c r="E180" s="257">
        <v>1000000</v>
      </c>
      <c r="F180" s="257">
        <v>250000</v>
      </c>
      <c r="G180" s="257">
        <v>0</v>
      </c>
      <c r="H180" s="257">
        <v>0</v>
      </c>
      <c r="I180" s="257">
        <v>0</v>
      </c>
      <c r="J180" s="257">
        <v>0</v>
      </c>
      <c r="K180" s="257">
        <v>0</v>
      </c>
      <c r="L180" s="257">
        <v>0</v>
      </c>
      <c r="M180" s="257">
        <v>250000</v>
      </c>
      <c r="N180" s="257">
        <v>0</v>
      </c>
    </row>
    <row r="181" spans="1:14" s="143" customFormat="1" x14ac:dyDescent="0.25">
      <c r="A181" s="143" t="s">
        <v>274</v>
      </c>
      <c r="B181" s="143" t="s">
        <v>240</v>
      </c>
      <c r="C181" s="143" t="s">
        <v>241</v>
      </c>
      <c r="D181" s="143" t="s">
        <v>85</v>
      </c>
      <c r="E181" s="257">
        <v>16000000</v>
      </c>
      <c r="F181" s="257">
        <v>16000000</v>
      </c>
      <c r="G181" s="257">
        <v>14957000</v>
      </c>
      <c r="H181" s="257">
        <v>0</v>
      </c>
      <c r="I181" s="257">
        <v>3075000</v>
      </c>
      <c r="J181" s="257">
        <v>0</v>
      </c>
      <c r="K181" s="257">
        <v>3956501</v>
      </c>
      <c r="L181" s="257">
        <v>3956501</v>
      </c>
      <c r="M181" s="257">
        <v>8968499</v>
      </c>
      <c r="N181" s="257">
        <v>7925499</v>
      </c>
    </row>
    <row r="182" spans="1:14" s="143" customFormat="1" x14ac:dyDescent="0.25">
      <c r="A182" s="143" t="s">
        <v>274</v>
      </c>
      <c r="B182" s="143" t="s">
        <v>242</v>
      </c>
      <c r="C182" s="143" t="s">
        <v>243</v>
      </c>
      <c r="D182" s="143" t="s">
        <v>85</v>
      </c>
      <c r="E182" s="257">
        <v>4000000</v>
      </c>
      <c r="F182" s="257">
        <v>3000000</v>
      </c>
      <c r="G182" s="257">
        <v>475000</v>
      </c>
      <c r="H182" s="257">
        <v>224000</v>
      </c>
      <c r="I182" s="257">
        <v>0</v>
      </c>
      <c r="J182" s="257">
        <v>0</v>
      </c>
      <c r="K182" s="257">
        <v>0</v>
      </c>
      <c r="L182" s="257">
        <v>0</v>
      </c>
      <c r="M182" s="257">
        <v>2776000</v>
      </c>
      <c r="N182" s="257">
        <v>251000</v>
      </c>
    </row>
    <row r="183" spans="1:14" s="143" customFormat="1" x14ac:dyDescent="0.25">
      <c r="A183" s="143">
        <v>214781</v>
      </c>
      <c r="D183" s="143" t="s">
        <v>69</v>
      </c>
      <c r="E183" s="257">
        <v>11325587195</v>
      </c>
      <c r="F183" s="257">
        <v>11325587195</v>
      </c>
      <c r="G183" s="257">
        <v>11019310145</v>
      </c>
      <c r="H183" s="257">
        <v>25313678.690000001</v>
      </c>
      <c r="I183" s="257">
        <v>892140852.87</v>
      </c>
      <c r="J183" s="257">
        <v>34696035.859999999</v>
      </c>
      <c r="K183" s="257">
        <v>5461833951.1599998</v>
      </c>
      <c r="L183" s="257">
        <v>5450338559.5799999</v>
      </c>
      <c r="M183" s="257">
        <v>4911602676.4200001</v>
      </c>
      <c r="N183" s="257">
        <v>4605325626.4200001</v>
      </c>
    </row>
    <row r="184" spans="1:14" s="143" customFormat="1" x14ac:dyDescent="0.25">
      <c r="A184" s="143" t="s">
        <v>290</v>
      </c>
      <c r="B184" s="143" t="s">
        <v>71</v>
      </c>
      <c r="C184" s="143" t="s">
        <v>72</v>
      </c>
      <c r="D184" s="143" t="s">
        <v>69</v>
      </c>
      <c r="E184" s="257">
        <v>9908319000</v>
      </c>
      <c r="F184" s="257">
        <v>9899719000</v>
      </c>
      <c r="G184" s="257">
        <v>9899719000</v>
      </c>
      <c r="H184" s="257">
        <v>0</v>
      </c>
      <c r="I184" s="257">
        <v>711100825.20000005</v>
      </c>
      <c r="J184" s="257">
        <v>0</v>
      </c>
      <c r="K184" s="257">
        <v>4929918775.3699999</v>
      </c>
      <c r="L184" s="257">
        <v>4929918775.3699999</v>
      </c>
      <c r="M184" s="257">
        <v>4258699399.4299998</v>
      </c>
      <c r="N184" s="257">
        <v>4258699399.4299998</v>
      </c>
    </row>
    <row r="185" spans="1:14" s="143" customFormat="1" x14ac:dyDescent="0.25">
      <c r="A185" s="143" t="s">
        <v>290</v>
      </c>
      <c r="B185" s="143" t="s">
        <v>73</v>
      </c>
      <c r="C185" s="143" t="s">
        <v>74</v>
      </c>
      <c r="D185" s="143" t="s">
        <v>69</v>
      </c>
      <c r="E185" s="257">
        <v>3418584000</v>
      </c>
      <c r="F185" s="257">
        <v>3418584000</v>
      </c>
      <c r="G185" s="257">
        <v>3418584000</v>
      </c>
      <c r="H185" s="257">
        <v>0</v>
      </c>
      <c r="I185" s="257">
        <v>764487.75</v>
      </c>
      <c r="J185" s="257">
        <v>0</v>
      </c>
      <c r="K185" s="257">
        <v>1737760701.6500001</v>
      </c>
      <c r="L185" s="257">
        <v>1737760701.6500001</v>
      </c>
      <c r="M185" s="257">
        <v>1680058810.5999999</v>
      </c>
      <c r="N185" s="257">
        <v>1680058810.5999999</v>
      </c>
    </row>
    <row r="186" spans="1:14" s="143" customFormat="1" x14ac:dyDescent="0.25">
      <c r="A186" s="143" t="s">
        <v>290</v>
      </c>
      <c r="B186" s="143" t="s">
        <v>75</v>
      </c>
      <c r="C186" s="143" t="s">
        <v>76</v>
      </c>
      <c r="D186" s="143" t="s">
        <v>69</v>
      </c>
      <c r="E186" s="257">
        <v>3413584000</v>
      </c>
      <c r="F186" s="257">
        <v>3413584000</v>
      </c>
      <c r="G186" s="257">
        <v>3413584000</v>
      </c>
      <c r="H186" s="257">
        <v>0</v>
      </c>
      <c r="I186" s="257">
        <v>764487.75</v>
      </c>
      <c r="J186" s="257">
        <v>0</v>
      </c>
      <c r="K186" s="257">
        <v>1737760701.6500001</v>
      </c>
      <c r="L186" s="257">
        <v>1737760701.6500001</v>
      </c>
      <c r="M186" s="257">
        <v>1675058810.5999999</v>
      </c>
      <c r="N186" s="257">
        <v>1675058810.5999999</v>
      </c>
    </row>
    <row r="187" spans="1:14" s="143" customFormat="1" x14ac:dyDescent="0.25">
      <c r="A187" s="143" t="s">
        <v>290</v>
      </c>
      <c r="B187" s="143" t="s">
        <v>291</v>
      </c>
      <c r="C187" s="143" t="s">
        <v>292</v>
      </c>
      <c r="D187" s="143" t="s">
        <v>69</v>
      </c>
      <c r="E187" s="257">
        <v>5000000</v>
      </c>
      <c r="F187" s="257">
        <v>5000000</v>
      </c>
      <c r="G187" s="257">
        <v>5000000</v>
      </c>
      <c r="H187" s="257">
        <v>0</v>
      </c>
      <c r="I187" s="257">
        <v>0</v>
      </c>
      <c r="J187" s="257">
        <v>0</v>
      </c>
      <c r="K187" s="257">
        <v>0</v>
      </c>
      <c r="L187" s="257">
        <v>0</v>
      </c>
      <c r="M187" s="257">
        <v>5000000</v>
      </c>
      <c r="N187" s="257">
        <v>5000000</v>
      </c>
    </row>
    <row r="188" spans="1:14" s="143" customFormat="1" x14ac:dyDescent="0.25">
      <c r="A188" s="143" t="s">
        <v>290</v>
      </c>
      <c r="B188" s="143" t="s">
        <v>293</v>
      </c>
      <c r="C188" s="143" t="s">
        <v>294</v>
      </c>
      <c r="D188" s="143" t="s">
        <v>69</v>
      </c>
      <c r="E188" s="257">
        <v>11000000</v>
      </c>
      <c r="F188" s="257">
        <v>11000000</v>
      </c>
      <c r="G188" s="257">
        <v>11000000</v>
      </c>
      <c r="H188" s="257">
        <v>0</v>
      </c>
      <c r="I188" s="257">
        <v>0</v>
      </c>
      <c r="J188" s="257">
        <v>0</v>
      </c>
      <c r="K188" s="257">
        <v>3589590.23</v>
      </c>
      <c r="L188" s="257">
        <v>3589590.23</v>
      </c>
      <c r="M188" s="257">
        <v>7410409.7699999996</v>
      </c>
      <c r="N188" s="257">
        <v>7410409.7699999996</v>
      </c>
    </row>
    <row r="189" spans="1:14" s="143" customFormat="1" x14ac:dyDescent="0.25">
      <c r="A189" s="143" t="s">
        <v>290</v>
      </c>
      <c r="B189" s="143" t="s">
        <v>295</v>
      </c>
      <c r="C189" s="143" t="s">
        <v>296</v>
      </c>
      <c r="D189" s="143" t="s">
        <v>69</v>
      </c>
      <c r="E189" s="257">
        <v>11000000</v>
      </c>
      <c r="F189" s="257">
        <v>11000000</v>
      </c>
      <c r="G189" s="257">
        <v>11000000</v>
      </c>
      <c r="H189" s="257">
        <v>0</v>
      </c>
      <c r="I189" s="257">
        <v>0</v>
      </c>
      <c r="J189" s="257">
        <v>0</v>
      </c>
      <c r="K189" s="257">
        <v>3589590.23</v>
      </c>
      <c r="L189" s="257">
        <v>3589590.23</v>
      </c>
      <c r="M189" s="257">
        <v>7410409.7699999996</v>
      </c>
      <c r="N189" s="257">
        <v>7410409.7699999996</v>
      </c>
    </row>
    <row r="190" spans="1:14" s="143" customFormat="1" x14ac:dyDescent="0.25">
      <c r="A190" s="143" t="s">
        <v>290</v>
      </c>
      <c r="B190" s="143" t="s">
        <v>77</v>
      </c>
      <c r="C190" s="143" t="s">
        <v>78</v>
      </c>
      <c r="D190" s="143" t="s">
        <v>69</v>
      </c>
      <c r="E190" s="257">
        <v>4978167000</v>
      </c>
      <c r="F190" s="257">
        <v>4969567000</v>
      </c>
      <c r="G190" s="257">
        <v>4969567000</v>
      </c>
      <c r="H190" s="257">
        <v>0</v>
      </c>
      <c r="I190" s="257">
        <v>1394339.45</v>
      </c>
      <c r="J190" s="257">
        <v>0</v>
      </c>
      <c r="K190" s="257">
        <v>2396942481.4899998</v>
      </c>
      <c r="L190" s="257">
        <v>2396942481.4899998</v>
      </c>
      <c r="M190" s="257">
        <v>2571230179.0599999</v>
      </c>
      <c r="N190" s="257">
        <v>2571230179.0599999</v>
      </c>
    </row>
    <row r="191" spans="1:14" s="143" customFormat="1" x14ac:dyDescent="0.25">
      <c r="A191" s="143" t="s">
        <v>290</v>
      </c>
      <c r="B191" s="143" t="s">
        <v>79</v>
      </c>
      <c r="C191" s="143" t="s">
        <v>80</v>
      </c>
      <c r="D191" s="143" t="s">
        <v>69</v>
      </c>
      <c r="E191" s="257">
        <v>913627000</v>
      </c>
      <c r="F191" s="257">
        <v>905027000</v>
      </c>
      <c r="G191" s="257">
        <v>905027000</v>
      </c>
      <c r="H191" s="257">
        <v>0</v>
      </c>
      <c r="I191" s="257">
        <v>540528.4</v>
      </c>
      <c r="J191" s="257">
        <v>0</v>
      </c>
      <c r="K191" s="257">
        <v>432737846.82999998</v>
      </c>
      <c r="L191" s="257">
        <v>432737846.82999998</v>
      </c>
      <c r="M191" s="257">
        <v>471748624.76999998</v>
      </c>
      <c r="N191" s="257">
        <v>471748624.76999998</v>
      </c>
    </row>
    <row r="192" spans="1:14" s="143" customFormat="1" x14ac:dyDescent="0.25">
      <c r="A192" s="143" t="s">
        <v>290</v>
      </c>
      <c r="B192" s="143" t="s">
        <v>81</v>
      </c>
      <c r="C192" s="143" t="s">
        <v>82</v>
      </c>
      <c r="D192" s="143" t="s">
        <v>69</v>
      </c>
      <c r="E192" s="257">
        <v>2244831000</v>
      </c>
      <c r="F192" s="257">
        <v>2244831000</v>
      </c>
      <c r="G192" s="257">
        <v>2244831000</v>
      </c>
      <c r="H192" s="257">
        <v>0</v>
      </c>
      <c r="I192" s="257">
        <v>616723.5</v>
      </c>
      <c r="J192" s="257">
        <v>0</v>
      </c>
      <c r="K192" s="257">
        <v>1144823683.1600001</v>
      </c>
      <c r="L192" s="257">
        <v>1144823683.1600001</v>
      </c>
      <c r="M192" s="257">
        <v>1099390593.3399999</v>
      </c>
      <c r="N192" s="257">
        <v>1099390593.3399999</v>
      </c>
    </row>
    <row r="193" spans="1:14" s="143" customFormat="1" x14ac:dyDescent="0.25">
      <c r="A193" s="143" t="s">
        <v>290</v>
      </c>
      <c r="B193" s="143" t="s">
        <v>86</v>
      </c>
      <c r="C193" s="143" t="s">
        <v>87</v>
      </c>
      <c r="D193" s="143" t="s">
        <v>69</v>
      </c>
      <c r="E193" s="257">
        <v>540993000</v>
      </c>
      <c r="F193" s="257">
        <v>540993000</v>
      </c>
      <c r="G193" s="257">
        <v>540993000</v>
      </c>
      <c r="H193" s="257">
        <v>0</v>
      </c>
      <c r="I193" s="257">
        <v>5076.4799999999996</v>
      </c>
      <c r="J193" s="257">
        <v>0</v>
      </c>
      <c r="K193" s="257">
        <v>494427385.87</v>
      </c>
      <c r="L193" s="257">
        <v>494427385.87</v>
      </c>
      <c r="M193" s="257">
        <v>46560537.649999999</v>
      </c>
      <c r="N193" s="257">
        <v>46560537.649999999</v>
      </c>
    </row>
    <row r="194" spans="1:14" s="143" customFormat="1" x14ac:dyDescent="0.25">
      <c r="A194" s="143" t="s">
        <v>290</v>
      </c>
      <c r="B194" s="143" t="s">
        <v>88</v>
      </c>
      <c r="C194" s="143" t="s">
        <v>89</v>
      </c>
      <c r="D194" s="143" t="s">
        <v>69</v>
      </c>
      <c r="E194" s="257">
        <v>630877000</v>
      </c>
      <c r="F194" s="257">
        <v>630877000</v>
      </c>
      <c r="G194" s="257">
        <v>630877000</v>
      </c>
      <c r="H194" s="257">
        <v>0</v>
      </c>
      <c r="I194" s="257">
        <v>232006.75</v>
      </c>
      <c r="J194" s="257">
        <v>0</v>
      </c>
      <c r="K194" s="257">
        <v>324157804.75</v>
      </c>
      <c r="L194" s="257">
        <v>324157804.75</v>
      </c>
      <c r="M194" s="257">
        <v>306487188.5</v>
      </c>
      <c r="N194" s="257">
        <v>306487188.5</v>
      </c>
    </row>
    <row r="195" spans="1:14" s="143" customFormat="1" x14ac:dyDescent="0.25">
      <c r="A195" s="143" t="s">
        <v>290</v>
      </c>
      <c r="B195" s="143" t="s">
        <v>83</v>
      </c>
      <c r="C195" s="143" t="s">
        <v>84</v>
      </c>
      <c r="D195" s="143" t="s">
        <v>85</v>
      </c>
      <c r="E195" s="257">
        <v>647839000</v>
      </c>
      <c r="F195" s="257">
        <v>647839000</v>
      </c>
      <c r="G195" s="257">
        <v>647839000</v>
      </c>
      <c r="H195" s="257">
        <v>0</v>
      </c>
      <c r="I195" s="257">
        <v>4.32</v>
      </c>
      <c r="J195" s="257">
        <v>0</v>
      </c>
      <c r="K195" s="257">
        <v>795760.88</v>
      </c>
      <c r="L195" s="257">
        <v>795760.88</v>
      </c>
      <c r="M195" s="257">
        <v>647043234.79999995</v>
      </c>
      <c r="N195" s="257">
        <v>647043234.79999995</v>
      </c>
    </row>
    <row r="196" spans="1:14" s="143" customFormat="1" x14ac:dyDescent="0.25">
      <c r="A196" s="143" t="s">
        <v>290</v>
      </c>
      <c r="B196" s="143" t="s">
        <v>90</v>
      </c>
      <c r="C196" s="143" t="s">
        <v>91</v>
      </c>
      <c r="D196" s="143" t="s">
        <v>69</v>
      </c>
      <c r="E196" s="257">
        <v>756883000</v>
      </c>
      <c r="F196" s="257">
        <v>756883000</v>
      </c>
      <c r="G196" s="257">
        <v>756883000</v>
      </c>
      <c r="H196" s="257">
        <v>0</v>
      </c>
      <c r="I196" s="257">
        <v>354838226</v>
      </c>
      <c r="J196" s="257">
        <v>0</v>
      </c>
      <c r="K196" s="257">
        <v>402044774</v>
      </c>
      <c r="L196" s="257">
        <v>402044774</v>
      </c>
      <c r="M196" s="257">
        <v>0</v>
      </c>
      <c r="N196" s="257">
        <v>0</v>
      </c>
    </row>
    <row r="197" spans="1:14" s="143" customFormat="1" x14ac:dyDescent="0.25">
      <c r="A197" s="143" t="s">
        <v>290</v>
      </c>
      <c r="B197" s="143" t="s">
        <v>297</v>
      </c>
      <c r="C197" s="143" t="s">
        <v>93</v>
      </c>
      <c r="D197" s="143" t="s">
        <v>69</v>
      </c>
      <c r="E197" s="257">
        <v>718069000</v>
      </c>
      <c r="F197" s="257">
        <v>718069000</v>
      </c>
      <c r="G197" s="257">
        <v>718069000</v>
      </c>
      <c r="H197" s="257">
        <v>0</v>
      </c>
      <c r="I197" s="257">
        <v>336639065</v>
      </c>
      <c r="J197" s="257">
        <v>0</v>
      </c>
      <c r="K197" s="257">
        <v>381429935</v>
      </c>
      <c r="L197" s="257">
        <v>381429935</v>
      </c>
      <c r="M197" s="257">
        <v>0</v>
      </c>
      <c r="N197" s="257">
        <v>0</v>
      </c>
    </row>
    <row r="198" spans="1:14" s="143" customFormat="1" x14ac:dyDescent="0.25">
      <c r="A198" s="143" t="s">
        <v>290</v>
      </c>
      <c r="B198" s="143" t="s">
        <v>298</v>
      </c>
      <c r="C198" s="143" t="s">
        <v>95</v>
      </c>
      <c r="D198" s="143" t="s">
        <v>69</v>
      </c>
      <c r="E198" s="257">
        <v>38814000</v>
      </c>
      <c r="F198" s="257">
        <v>38814000</v>
      </c>
      <c r="G198" s="257">
        <v>38814000</v>
      </c>
      <c r="H198" s="257">
        <v>0</v>
      </c>
      <c r="I198" s="257">
        <v>18199161</v>
      </c>
      <c r="J198" s="257">
        <v>0</v>
      </c>
      <c r="K198" s="257">
        <v>20614839</v>
      </c>
      <c r="L198" s="257">
        <v>20614839</v>
      </c>
      <c r="M198" s="257">
        <v>0</v>
      </c>
      <c r="N198" s="257">
        <v>0</v>
      </c>
    </row>
    <row r="199" spans="1:14" s="143" customFormat="1" x14ac:dyDescent="0.25">
      <c r="A199" s="143" t="s">
        <v>290</v>
      </c>
      <c r="B199" s="143" t="s">
        <v>96</v>
      </c>
      <c r="C199" s="143" t="s">
        <v>97</v>
      </c>
      <c r="D199" s="143" t="s">
        <v>69</v>
      </c>
      <c r="E199" s="257">
        <v>743685000</v>
      </c>
      <c r="F199" s="257">
        <v>743685000</v>
      </c>
      <c r="G199" s="257">
        <v>743685000</v>
      </c>
      <c r="H199" s="257">
        <v>0</v>
      </c>
      <c r="I199" s="257">
        <v>354103772</v>
      </c>
      <c r="J199" s="257">
        <v>0</v>
      </c>
      <c r="K199" s="257">
        <v>389581228</v>
      </c>
      <c r="L199" s="257">
        <v>389581228</v>
      </c>
      <c r="M199" s="257">
        <v>0</v>
      </c>
      <c r="N199" s="257">
        <v>0</v>
      </c>
    </row>
    <row r="200" spans="1:14" s="143" customFormat="1" x14ac:dyDescent="0.25">
      <c r="A200" s="143" t="s">
        <v>290</v>
      </c>
      <c r="B200" s="143" t="s">
        <v>299</v>
      </c>
      <c r="C200" s="143" t="s">
        <v>99</v>
      </c>
      <c r="D200" s="143" t="s">
        <v>69</v>
      </c>
      <c r="E200" s="257">
        <v>394355000</v>
      </c>
      <c r="F200" s="257">
        <v>394355000</v>
      </c>
      <c r="G200" s="257">
        <v>394355000</v>
      </c>
      <c r="H200" s="257">
        <v>0</v>
      </c>
      <c r="I200" s="257">
        <v>190306902</v>
      </c>
      <c r="J200" s="257">
        <v>0</v>
      </c>
      <c r="K200" s="257">
        <v>204048098</v>
      </c>
      <c r="L200" s="257">
        <v>204048098</v>
      </c>
      <c r="M200" s="257">
        <v>0</v>
      </c>
      <c r="N200" s="257">
        <v>0</v>
      </c>
    </row>
    <row r="201" spans="1:14" s="143" customFormat="1" x14ac:dyDescent="0.25">
      <c r="A201" s="143" t="s">
        <v>290</v>
      </c>
      <c r="B201" s="143" t="s">
        <v>300</v>
      </c>
      <c r="C201" s="143" t="s">
        <v>101</v>
      </c>
      <c r="D201" s="143" t="s">
        <v>69</v>
      </c>
      <c r="E201" s="257">
        <v>116443000</v>
      </c>
      <c r="F201" s="257">
        <v>116443000</v>
      </c>
      <c r="G201" s="257">
        <v>116443000</v>
      </c>
      <c r="H201" s="257">
        <v>0</v>
      </c>
      <c r="I201" s="257">
        <v>54598675</v>
      </c>
      <c r="J201" s="257">
        <v>0</v>
      </c>
      <c r="K201" s="257">
        <v>61844325</v>
      </c>
      <c r="L201" s="257">
        <v>61844325</v>
      </c>
      <c r="M201" s="257">
        <v>0</v>
      </c>
      <c r="N201" s="257">
        <v>0</v>
      </c>
    </row>
    <row r="202" spans="1:14" s="143" customFormat="1" x14ac:dyDescent="0.25">
      <c r="A202" s="143" t="s">
        <v>290</v>
      </c>
      <c r="B202" s="143" t="s">
        <v>301</v>
      </c>
      <c r="C202" s="143" t="s">
        <v>103</v>
      </c>
      <c r="D202" s="143" t="s">
        <v>69</v>
      </c>
      <c r="E202" s="257">
        <v>232887000</v>
      </c>
      <c r="F202" s="257">
        <v>232887000</v>
      </c>
      <c r="G202" s="257">
        <v>232887000</v>
      </c>
      <c r="H202" s="257">
        <v>0</v>
      </c>
      <c r="I202" s="257">
        <v>109198195</v>
      </c>
      <c r="J202" s="257">
        <v>0</v>
      </c>
      <c r="K202" s="257">
        <v>123688805</v>
      </c>
      <c r="L202" s="257">
        <v>123688805</v>
      </c>
      <c r="M202" s="257">
        <v>0</v>
      </c>
      <c r="N202" s="257">
        <v>0</v>
      </c>
    </row>
    <row r="203" spans="1:14" s="143" customFormat="1" x14ac:dyDescent="0.25">
      <c r="A203" s="143" t="s">
        <v>290</v>
      </c>
      <c r="B203" s="143" t="s">
        <v>104</v>
      </c>
      <c r="C203" s="143" t="s">
        <v>105</v>
      </c>
      <c r="D203" s="143" t="s">
        <v>69</v>
      </c>
      <c r="E203" s="257">
        <v>1006874402</v>
      </c>
      <c r="F203" s="257">
        <v>1006874402</v>
      </c>
      <c r="G203" s="257">
        <v>788665555</v>
      </c>
      <c r="H203" s="257">
        <v>492850</v>
      </c>
      <c r="I203" s="257">
        <v>125129206.23999999</v>
      </c>
      <c r="J203" s="257">
        <v>33176327.460000001</v>
      </c>
      <c r="K203" s="257">
        <v>390326616.56</v>
      </c>
      <c r="L203" s="257">
        <v>378963224.98000002</v>
      </c>
      <c r="M203" s="257">
        <v>457749401.74000001</v>
      </c>
      <c r="N203" s="257">
        <v>239540554.74000001</v>
      </c>
    </row>
    <row r="204" spans="1:14" s="143" customFormat="1" x14ac:dyDescent="0.25">
      <c r="A204" s="143" t="s">
        <v>290</v>
      </c>
      <c r="B204" s="143" t="s">
        <v>106</v>
      </c>
      <c r="C204" s="143" t="s">
        <v>107</v>
      </c>
      <c r="D204" s="143" t="s">
        <v>69</v>
      </c>
      <c r="E204" s="257">
        <v>331717997</v>
      </c>
      <c r="F204" s="257">
        <v>306417997</v>
      </c>
      <c r="G204" s="257">
        <v>235228497</v>
      </c>
      <c r="H204" s="257">
        <v>0</v>
      </c>
      <c r="I204" s="257">
        <v>37480264.530000001</v>
      </c>
      <c r="J204" s="257">
        <v>11624070</v>
      </c>
      <c r="K204" s="257">
        <v>132325108.54000001</v>
      </c>
      <c r="L204" s="257">
        <v>132108773.23999999</v>
      </c>
      <c r="M204" s="257">
        <v>124988553.93000001</v>
      </c>
      <c r="N204" s="257">
        <v>53799053.93</v>
      </c>
    </row>
    <row r="205" spans="1:14" s="143" customFormat="1" x14ac:dyDescent="0.25">
      <c r="A205" s="143" t="s">
        <v>290</v>
      </c>
      <c r="B205" s="143" t="s">
        <v>280</v>
      </c>
      <c r="C205" s="143" t="s">
        <v>281</v>
      </c>
      <c r="D205" s="143" t="s">
        <v>69</v>
      </c>
      <c r="E205" s="257">
        <v>200526630</v>
      </c>
      <c r="F205" s="257">
        <v>163026630</v>
      </c>
      <c r="G205" s="257">
        <v>121084972</v>
      </c>
      <c r="H205" s="257">
        <v>0</v>
      </c>
      <c r="I205" s="257">
        <v>26390550</v>
      </c>
      <c r="J205" s="257">
        <v>11624070</v>
      </c>
      <c r="K205" s="257">
        <v>79081650</v>
      </c>
      <c r="L205" s="257">
        <v>79081650</v>
      </c>
      <c r="M205" s="257">
        <v>45930360</v>
      </c>
      <c r="N205" s="257">
        <v>3988702</v>
      </c>
    </row>
    <row r="206" spans="1:14" s="143" customFormat="1" x14ac:dyDescent="0.25">
      <c r="A206" s="143" t="s">
        <v>290</v>
      </c>
      <c r="B206" s="143" t="s">
        <v>302</v>
      </c>
      <c r="C206" s="143" t="s">
        <v>303</v>
      </c>
      <c r="D206" s="143" t="s">
        <v>69</v>
      </c>
      <c r="E206" s="257">
        <v>3933000</v>
      </c>
      <c r="F206" s="257">
        <v>3333000</v>
      </c>
      <c r="G206" s="257">
        <v>2449750</v>
      </c>
      <c r="H206" s="257">
        <v>0</v>
      </c>
      <c r="I206" s="257">
        <v>918010.79</v>
      </c>
      <c r="J206" s="257">
        <v>0</v>
      </c>
      <c r="K206" s="257">
        <v>1377684.1</v>
      </c>
      <c r="L206" s="257">
        <v>1161348.8</v>
      </c>
      <c r="M206" s="257">
        <v>1037305.11</v>
      </c>
      <c r="N206" s="257">
        <v>154055.10999999999</v>
      </c>
    </row>
    <row r="207" spans="1:14" s="143" customFormat="1" x14ac:dyDescent="0.25">
      <c r="A207" s="143" t="s">
        <v>290</v>
      </c>
      <c r="B207" s="143" t="s">
        <v>108</v>
      </c>
      <c r="C207" s="143" t="s">
        <v>109</v>
      </c>
      <c r="D207" s="143" t="s">
        <v>69</v>
      </c>
      <c r="E207" s="257">
        <v>98126131</v>
      </c>
      <c r="F207" s="257">
        <v>100626131</v>
      </c>
      <c r="G207" s="257">
        <v>78094598</v>
      </c>
      <c r="H207" s="257">
        <v>0</v>
      </c>
      <c r="I207" s="257">
        <v>5794726.6600000001</v>
      </c>
      <c r="J207" s="257">
        <v>0</v>
      </c>
      <c r="K207" s="257">
        <v>39657969.880000003</v>
      </c>
      <c r="L207" s="257">
        <v>39657969.880000003</v>
      </c>
      <c r="M207" s="257">
        <v>55173434.460000001</v>
      </c>
      <c r="N207" s="257">
        <v>32641901.460000001</v>
      </c>
    </row>
    <row r="208" spans="1:14" s="143" customFormat="1" x14ac:dyDescent="0.25">
      <c r="A208" s="143" t="s">
        <v>290</v>
      </c>
      <c r="B208" s="143" t="s">
        <v>304</v>
      </c>
      <c r="C208" s="143" t="s">
        <v>305</v>
      </c>
      <c r="D208" s="143" t="s">
        <v>69</v>
      </c>
      <c r="E208" s="257">
        <v>1774000</v>
      </c>
      <c r="F208" s="257">
        <v>1774000</v>
      </c>
      <c r="G208" s="257">
        <v>1430500</v>
      </c>
      <c r="H208" s="257">
        <v>0</v>
      </c>
      <c r="I208" s="257">
        <v>197369.12</v>
      </c>
      <c r="J208" s="257">
        <v>0</v>
      </c>
      <c r="K208" s="257">
        <v>809748</v>
      </c>
      <c r="L208" s="257">
        <v>809748</v>
      </c>
      <c r="M208" s="257">
        <v>766882.88</v>
      </c>
      <c r="N208" s="257">
        <v>423382.88</v>
      </c>
    </row>
    <row r="209" spans="1:14" s="143" customFormat="1" x14ac:dyDescent="0.25">
      <c r="A209" s="143" t="s">
        <v>290</v>
      </c>
      <c r="B209" s="143" t="s">
        <v>110</v>
      </c>
      <c r="C209" s="143" t="s">
        <v>111</v>
      </c>
      <c r="D209" s="143" t="s">
        <v>69</v>
      </c>
      <c r="E209" s="257">
        <v>27358236</v>
      </c>
      <c r="F209" s="257">
        <v>37658236</v>
      </c>
      <c r="G209" s="257">
        <v>32168677</v>
      </c>
      <c r="H209" s="257">
        <v>0</v>
      </c>
      <c r="I209" s="257">
        <v>4179607.96</v>
      </c>
      <c r="J209" s="257">
        <v>0</v>
      </c>
      <c r="K209" s="257">
        <v>11398056.560000001</v>
      </c>
      <c r="L209" s="257">
        <v>11398056.560000001</v>
      </c>
      <c r="M209" s="257">
        <v>22080571.48</v>
      </c>
      <c r="N209" s="257">
        <v>16591012.48</v>
      </c>
    </row>
    <row r="210" spans="1:14" s="143" customFormat="1" x14ac:dyDescent="0.25">
      <c r="A210" s="143" t="s">
        <v>290</v>
      </c>
      <c r="B210" s="143" t="s">
        <v>112</v>
      </c>
      <c r="C210" s="143" t="s">
        <v>113</v>
      </c>
      <c r="D210" s="143" t="s">
        <v>69</v>
      </c>
      <c r="E210" s="257">
        <v>126929000</v>
      </c>
      <c r="F210" s="257">
        <v>120929000</v>
      </c>
      <c r="G210" s="257">
        <v>94421750</v>
      </c>
      <c r="H210" s="257">
        <v>0</v>
      </c>
      <c r="I210" s="257">
        <v>22295304.510000002</v>
      </c>
      <c r="J210" s="257">
        <v>0</v>
      </c>
      <c r="K210" s="257">
        <v>50427808.369999997</v>
      </c>
      <c r="L210" s="257">
        <v>48722934.049999997</v>
      </c>
      <c r="M210" s="257">
        <v>48205887.119999997</v>
      </c>
      <c r="N210" s="257">
        <v>21698637.120000001</v>
      </c>
    </row>
    <row r="211" spans="1:14" s="143" customFormat="1" x14ac:dyDescent="0.25">
      <c r="A211" s="143" t="s">
        <v>290</v>
      </c>
      <c r="B211" s="143" t="s">
        <v>114</v>
      </c>
      <c r="C211" s="143" t="s">
        <v>115</v>
      </c>
      <c r="D211" s="143" t="s">
        <v>69</v>
      </c>
      <c r="E211" s="257">
        <v>13400000</v>
      </c>
      <c r="F211" s="257">
        <v>18400000</v>
      </c>
      <c r="G211" s="257">
        <v>16550000</v>
      </c>
      <c r="H211" s="257">
        <v>0</v>
      </c>
      <c r="I211" s="257">
        <v>4443805</v>
      </c>
      <c r="J211" s="257">
        <v>0</v>
      </c>
      <c r="K211" s="257">
        <v>8578790</v>
      </c>
      <c r="L211" s="257">
        <v>8578790</v>
      </c>
      <c r="M211" s="257">
        <v>5377405</v>
      </c>
      <c r="N211" s="257">
        <v>3527405</v>
      </c>
    </row>
    <row r="212" spans="1:14" s="143" customFormat="1" x14ac:dyDescent="0.25">
      <c r="A212" s="143" t="s">
        <v>290</v>
      </c>
      <c r="B212" s="143" t="s">
        <v>116</v>
      </c>
      <c r="C212" s="143" t="s">
        <v>117</v>
      </c>
      <c r="D212" s="143" t="s">
        <v>69</v>
      </c>
      <c r="E212" s="257">
        <v>49200000</v>
      </c>
      <c r="F212" s="257">
        <v>40200000</v>
      </c>
      <c r="G212" s="257">
        <v>30750000</v>
      </c>
      <c r="H212" s="257">
        <v>0</v>
      </c>
      <c r="I212" s="257">
        <v>6914815</v>
      </c>
      <c r="J212" s="257">
        <v>0</v>
      </c>
      <c r="K212" s="257">
        <v>21482940</v>
      </c>
      <c r="L212" s="257">
        <v>21482940</v>
      </c>
      <c r="M212" s="257">
        <v>11802245</v>
      </c>
      <c r="N212" s="257">
        <v>2352245</v>
      </c>
    </row>
    <row r="213" spans="1:14" s="143" customFormat="1" x14ac:dyDescent="0.25">
      <c r="A213" s="143" t="s">
        <v>290</v>
      </c>
      <c r="B213" s="143" t="s">
        <v>118</v>
      </c>
      <c r="C213" s="143" t="s">
        <v>119</v>
      </c>
      <c r="D213" s="143" t="s">
        <v>69</v>
      </c>
      <c r="E213" s="257">
        <v>12000000</v>
      </c>
      <c r="F213" s="257">
        <v>10000000</v>
      </c>
      <c r="G213" s="257">
        <v>6775000</v>
      </c>
      <c r="H213" s="257">
        <v>0</v>
      </c>
      <c r="I213" s="257">
        <v>803100</v>
      </c>
      <c r="J213" s="257">
        <v>0</v>
      </c>
      <c r="K213" s="257">
        <v>1405600</v>
      </c>
      <c r="L213" s="257">
        <v>1405600</v>
      </c>
      <c r="M213" s="257">
        <v>7791300</v>
      </c>
      <c r="N213" s="257">
        <v>4566300</v>
      </c>
    </row>
    <row r="214" spans="1:14" s="143" customFormat="1" x14ac:dyDescent="0.25">
      <c r="A214" s="143" t="s">
        <v>290</v>
      </c>
      <c r="B214" s="143" t="s">
        <v>120</v>
      </c>
      <c r="C214" s="143" t="s">
        <v>121</v>
      </c>
      <c r="D214" s="143" t="s">
        <v>69</v>
      </c>
      <c r="E214" s="257">
        <v>47604000</v>
      </c>
      <c r="F214" s="257">
        <v>47604000</v>
      </c>
      <c r="G214" s="257">
        <v>36703000</v>
      </c>
      <c r="H214" s="257">
        <v>0</v>
      </c>
      <c r="I214" s="257">
        <v>9905919.3599999994</v>
      </c>
      <c r="J214" s="257">
        <v>0</v>
      </c>
      <c r="K214" s="257">
        <v>16640677.220000001</v>
      </c>
      <c r="L214" s="257">
        <v>14935802.9</v>
      </c>
      <c r="M214" s="257">
        <v>21057403.420000002</v>
      </c>
      <c r="N214" s="257">
        <v>10156403.42</v>
      </c>
    </row>
    <row r="215" spans="1:14" s="143" customFormat="1" x14ac:dyDescent="0.25">
      <c r="A215" s="143" t="s">
        <v>290</v>
      </c>
      <c r="B215" s="143" t="s">
        <v>122</v>
      </c>
      <c r="C215" s="143" t="s">
        <v>123</v>
      </c>
      <c r="D215" s="143" t="s">
        <v>69</v>
      </c>
      <c r="E215" s="257">
        <v>4725000</v>
      </c>
      <c r="F215" s="257">
        <v>4725000</v>
      </c>
      <c r="G215" s="257">
        <v>3643750</v>
      </c>
      <c r="H215" s="257">
        <v>0</v>
      </c>
      <c r="I215" s="257">
        <v>227665.15</v>
      </c>
      <c r="J215" s="257">
        <v>0</v>
      </c>
      <c r="K215" s="257">
        <v>2319801.15</v>
      </c>
      <c r="L215" s="257">
        <v>2319801.15</v>
      </c>
      <c r="M215" s="257">
        <v>2177533.7000000002</v>
      </c>
      <c r="N215" s="257">
        <v>1096283.7</v>
      </c>
    </row>
    <row r="216" spans="1:14" s="143" customFormat="1" x14ac:dyDescent="0.25">
      <c r="A216" s="143" t="s">
        <v>290</v>
      </c>
      <c r="B216" s="143" t="s">
        <v>124</v>
      </c>
      <c r="C216" s="143" t="s">
        <v>125</v>
      </c>
      <c r="D216" s="143" t="s">
        <v>69</v>
      </c>
      <c r="E216" s="257">
        <v>3746000</v>
      </c>
      <c r="F216" s="257">
        <v>3746000</v>
      </c>
      <c r="G216" s="257">
        <v>2949850</v>
      </c>
      <c r="H216" s="257">
        <v>0</v>
      </c>
      <c r="I216" s="257">
        <v>598474.22</v>
      </c>
      <c r="J216" s="257">
        <v>0</v>
      </c>
      <c r="K216" s="257">
        <v>402669</v>
      </c>
      <c r="L216" s="257">
        <v>339890.65</v>
      </c>
      <c r="M216" s="257">
        <v>2744856.78</v>
      </c>
      <c r="N216" s="257">
        <v>1948706.78</v>
      </c>
    </row>
    <row r="217" spans="1:14" s="143" customFormat="1" x14ac:dyDescent="0.25">
      <c r="A217" s="143" t="s">
        <v>290</v>
      </c>
      <c r="B217" s="143" t="s">
        <v>126</v>
      </c>
      <c r="C217" s="143" t="s">
        <v>127</v>
      </c>
      <c r="D217" s="143" t="s">
        <v>69</v>
      </c>
      <c r="E217" s="257">
        <v>500000</v>
      </c>
      <c r="F217" s="257">
        <v>500000</v>
      </c>
      <c r="G217" s="257">
        <v>465350</v>
      </c>
      <c r="H217" s="257">
        <v>0</v>
      </c>
      <c r="I217" s="257">
        <v>100000</v>
      </c>
      <c r="J217" s="257">
        <v>0</v>
      </c>
      <c r="K217" s="257">
        <v>91030</v>
      </c>
      <c r="L217" s="257">
        <v>91030</v>
      </c>
      <c r="M217" s="257">
        <v>308970</v>
      </c>
      <c r="N217" s="257">
        <v>274320</v>
      </c>
    </row>
    <row r="218" spans="1:14" s="143" customFormat="1" x14ac:dyDescent="0.25">
      <c r="A218" s="143" t="s">
        <v>290</v>
      </c>
      <c r="B218" s="143" t="s">
        <v>128</v>
      </c>
      <c r="C218" s="143" t="s">
        <v>129</v>
      </c>
      <c r="D218" s="143" t="s">
        <v>69</v>
      </c>
      <c r="E218" s="257">
        <v>1000000</v>
      </c>
      <c r="F218" s="257">
        <v>1000000</v>
      </c>
      <c r="G218" s="257">
        <v>750000</v>
      </c>
      <c r="H218" s="257">
        <v>0</v>
      </c>
      <c r="I218" s="257">
        <v>58677</v>
      </c>
      <c r="J218" s="257">
        <v>0</v>
      </c>
      <c r="K218" s="257">
        <v>110273</v>
      </c>
      <c r="L218" s="257">
        <v>110273</v>
      </c>
      <c r="M218" s="257">
        <v>831050</v>
      </c>
      <c r="N218" s="257">
        <v>581050</v>
      </c>
    </row>
    <row r="219" spans="1:14" s="143" customFormat="1" x14ac:dyDescent="0.25">
      <c r="A219" s="143" t="s">
        <v>290</v>
      </c>
      <c r="B219" s="143" t="s">
        <v>130</v>
      </c>
      <c r="C219" s="143" t="s">
        <v>131</v>
      </c>
      <c r="D219" s="143" t="s">
        <v>69</v>
      </c>
      <c r="E219" s="257">
        <v>200000</v>
      </c>
      <c r="F219" s="257">
        <v>200000</v>
      </c>
      <c r="G219" s="257">
        <v>200000</v>
      </c>
      <c r="H219" s="257">
        <v>0</v>
      </c>
      <c r="I219" s="257">
        <v>46609.5</v>
      </c>
      <c r="J219" s="257">
        <v>0</v>
      </c>
      <c r="K219" s="257">
        <v>50622</v>
      </c>
      <c r="L219" s="257">
        <v>50622</v>
      </c>
      <c r="M219" s="257">
        <v>102768.5</v>
      </c>
      <c r="N219" s="257">
        <v>102768.5</v>
      </c>
    </row>
    <row r="220" spans="1:14" s="143" customFormat="1" x14ac:dyDescent="0.25">
      <c r="A220" s="143" t="s">
        <v>290</v>
      </c>
      <c r="B220" s="143" t="s">
        <v>132</v>
      </c>
      <c r="C220" s="143" t="s">
        <v>133</v>
      </c>
      <c r="D220" s="143" t="s">
        <v>69</v>
      </c>
      <c r="E220" s="257">
        <v>2046000</v>
      </c>
      <c r="F220" s="257">
        <v>2046000</v>
      </c>
      <c r="G220" s="257">
        <v>1534500</v>
      </c>
      <c r="H220" s="257">
        <v>0</v>
      </c>
      <c r="I220" s="257">
        <v>393187.72</v>
      </c>
      <c r="J220" s="257">
        <v>0</v>
      </c>
      <c r="K220" s="257">
        <v>150744</v>
      </c>
      <c r="L220" s="257">
        <v>87965.65</v>
      </c>
      <c r="M220" s="257">
        <v>1502068.28</v>
      </c>
      <c r="N220" s="257">
        <v>990568.28</v>
      </c>
    </row>
    <row r="221" spans="1:14" s="143" customFormat="1" x14ac:dyDescent="0.25">
      <c r="A221" s="143" t="s">
        <v>290</v>
      </c>
      <c r="B221" s="143" t="s">
        <v>134</v>
      </c>
      <c r="C221" s="143" t="s">
        <v>135</v>
      </c>
      <c r="D221" s="143" t="s">
        <v>69</v>
      </c>
      <c r="E221" s="257">
        <v>334518795</v>
      </c>
      <c r="F221" s="257">
        <v>361518795</v>
      </c>
      <c r="G221" s="257">
        <v>283181001</v>
      </c>
      <c r="H221" s="257">
        <v>0</v>
      </c>
      <c r="I221" s="257">
        <v>38990333.130000003</v>
      </c>
      <c r="J221" s="257">
        <v>20968761.91</v>
      </c>
      <c r="K221" s="257">
        <v>138684231.41</v>
      </c>
      <c r="L221" s="257">
        <v>131014749.2</v>
      </c>
      <c r="M221" s="257">
        <v>162875468.55000001</v>
      </c>
      <c r="N221" s="257">
        <v>84537674.549999997</v>
      </c>
    </row>
    <row r="222" spans="1:14" s="143" customFormat="1" x14ac:dyDescent="0.25">
      <c r="A222" s="143" t="s">
        <v>290</v>
      </c>
      <c r="B222" s="143" t="s">
        <v>306</v>
      </c>
      <c r="C222" s="143" t="s">
        <v>307</v>
      </c>
      <c r="D222" s="143" t="s">
        <v>69</v>
      </c>
      <c r="E222" s="257">
        <v>2000000</v>
      </c>
      <c r="F222" s="257">
        <v>2000000</v>
      </c>
      <c r="G222" s="257">
        <v>2000000</v>
      </c>
      <c r="H222" s="257">
        <v>0</v>
      </c>
      <c r="I222" s="257">
        <v>0</v>
      </c>
      <c r="J222" s="257">
        <v>0</v>
      </c>
      <c r="K222" s="257">
        <v>0</v>
      </c>
      <c r="L222" s="257">
        <v>0</v>
      </c>
      <c r="M222" s="257">
        <v>2000000</v>
      </c>
      <c r="N222" s="257">
        <v>2000000</v>
      </c>
    </row>
    <row r="223" spans="1:14" s="143" customFormat="1" x14ac:dyDescent="0.25">
      <c r="A223" s="143" t="s">
        <v>290</v>
      </c>
      <c r="B223" s="143" t="s">
        <v>308</v>
      </c>
      <c r="C223" s="143" t="s">
        <v>309</v>
      </c>
      <c r="D223" s="143" t="s">
        <v>69</v>
      </c>
      <c r="E223" s="257">
        <v>5000000</v>
      </c>
      <c r="F223" s="257">
        <v>5000000</v>
      </c>
      <c r="G223" s="257">
        <v>5000000</v>
      </c>
      <c r="H223" s="257">
        <v>0</v>
      </c>
      <c r="I223" s="257">
        <v>4556956</v>
      </c>
      <c r="J223" s="257">
        <v>0</v>
      </c>
      <c r="K223" s="257">
        <v>0</v>
      </c>
      <c r="L223" s="257">
        <v>0</v>
      </c>
      <c r="M223" s="257">
        <v>443044</v>
      </c>
      <c r="N223" s="257">
        <v>443044</v>
      </c>
    </row>
    <row r="224" spans="1:14" s="143" customFormat="1" x14ac:dyDescent="0.25">
      <c r="A224" s="143" t="s">
        <v>290</v>
      </c>
      <c r="B224" s="143" t="s">
        <v>136</v>
      </c>
      <c r="C224" s="143" t="s">
        <v>137</v>
      </c>
      <c r="D224" s="143" t="s">
        <v>69</v>
      </c>
      <c r="E224" s="257">
        <v>319951179</v>
      </c>
      <c r="F224" s="257">
        <v>346951179</v>
      </c>
      <c r="G224" s="257">
        <v>268613385</v>
      </c>
      <c r="H224" s="257">
        <v>0</v>
      </c>
      <c r="I224" s="257">
        <v>32417720.149999999</v>
      </c>
      <c r="J224" s="257">
        <v>20968761.91</v>
      </c>
      <c r="K224" s="257">
        <v>134010144.65000001</v>
      </c>
      <c r="L224" s="257">
        <v>126610871.59999999</v>
      </c>
      <c r="M224" s="257">
        <v>159554552.28999999</v>
      </c>
      <c r="N224" s="257">
        <v>81216758.290000007</v>
      </c>
    </row>
    <row r="225" spans="1:14" s="143" customFormat="1" x14ac:dyDescent="0.25">
      <c r="A225" s="143" t="s">
        <v>290</v>
      </c>
      <c r="B225" s="143" t="s">
        <v>138</v>
      </c>
      <c r="C225" s="143" t="s">
        <v>139</v>
      </c>
      <c r="D225" s="143" t="s">
        <v>69</v>
      </c>
      <c r="E225" s="257">
        <v>7567616</v>
      </c>
      <c r="F225" s="257">
        <v>7567616</v>
      </c>
      <c r="G225" s="257">
        <v>7567616</v>
      </c>
      <c r="H225" s="257">
        <v>0</v>
      </c>
      <c r="I225" s="257">
        <v>2015656.98</v>
      </c>
      <c r="J225" s="257">
        <v>0</v>
      </c>
      <c r="K225" s="257">
        <v>4674086.76</v>
      </c>
      <c r="L225" s="257">
        <v>4403877.5999999996</v>
      </c>
      <c r="M225" s="257">
        <v>877872.26</v>
      </c>
      <c r="N225" s="257">
        <v>877872.26</v>
      </c>
    </row>
    <row r="226" spans="1:14" s="143" customFormat="1" x14ac:dyDescent="0.25">
      <c r="A226" s="143" t="s">
        <v>290</v>
      </c>
      <c r="B226" s="143" t="s">
        <v>140</v>
      </c>
      <c r="C226" s="143" t="s">
        <v>141</v>
      </c>
      <c r="D226" s="143" t="s">
        <v>69</v>
      </c>
      <c r="E226" s="257">
        <v>33445676</v>
      </c>
      <c r="F226" s="257">
        <v>33445676</v>
      </c>
      <c r="G226" s="257">
        <v>29031757</v>
      </c>
      <c r="H226" s="257">
        <v>292850</v>
      </c>
      <c r="I226" s="257">
        <v>6299801.4000000004</v>
      </c>
      <c r="J226" s="257">
        <v>0</v>
      </c>
      <c r="K226" s="257">
        <v>17305571.350000001</v>
      </c>
      <c r="L226" s="257">
        <v>17134421.350000001</v>
      </c>
      <c r="M226" s="257">
        <v>9547453.25</v>
      </c>
      <c r="N226" s="257">
        <v>5133534.25</v>
      </c>
    </row>
    <row r="227" spans="1:14" s="143" customFormat="1" x14ac:dyDescent="0.25">
      <c r="A227" s="143" t="s">
        <v>290</v>
      </c>
      <c r="B227" s="143" t="s">
        <v>142</v>
      </c>
      <c r="C227" s="143" t="s">
        <v>143</v>
      </c>
      <c r="D227" s="143" t="s">
        <v>69</v>
      </c>
      <c r="E227" s="257">
        <v>1700000</v>
      </c>
      <c r="F227" s="257">
        <v>1700000</v>
      </c>
      <c r="G227" s="257">
        <v>1275000</v>
      </c>
      <c r="H227" s="257">
        <v>0</v>
      </c>
      <c r="I227" s="257">
        <v>182205</v>
      </c>
      <c r="J227" s="257">
        <v>0</v>
      </c>
      <c r="K227" s="257">
        <v>563415</v>
      </c>
      <c r="L227" s="257">
        <v>563415</v>
      </c>
      <c r="M227" s="257">
        <v>954380</v>
      </c>
      <c r="N227" s="257">
        <v>529380</v>
      </c>
    </row>
    <row r="228" spans="1:14" s="143" customFormat="1" x14ac:dyDescent="0.25">
      <c r="A228" s="143" t="s">
        <v>290</v>
      </c>
      <c r="B228" s="143" t="s">
        <v>144</v>
      </c>
      <c r="C228" s="143" t="s">
        <v>145</v>
      </c>
      <c r="D228" s="143" t="s">
        <v>69</v>
      </c>
      <c r="E228" s="257">
        <v>24979191</v>
      </c>
      <c r="F228" s="257">
        <v>24979191</v>
      </c>
      <c r="G228" s="257">
        <v>21734393.5</v>
      </c>
      <c r="H228" s="257">
        <v>292850</v>
      </c>
      <c r="I228" s="257">
        <v>6030596</v>
      </c>
      <c r="J228" s="257">
        <v>0</v>
      </c>
      <c r="K228" s="257">
        <v>13579000</v>
      </c>
      <c r="L228" s="257">
        <v>13407850</v>
      </c>
      <c r="M228" s="257">
        <v>5076745</v>
      </c>
      <c r="N228" s="257">
        <v>1831947.5</v>
      </c>
    </row>
    <row r="229" spans="1:14" s="143" customFormat="1" x14ac:dyDescent="0.25">
      <c r="A229" s="143" t="s">
        <v>290</v>
      </c>
      <c r="B229" s="143" t="s">
        <v>146</v>
      </c>
      <c r="C229" s="143" t="s">
        <v>147</v>
      </c>
      <c r="D229" s="143" t="s">
        <v>69</v>
      </c>
      <c r="E229" s="257">
        <v>2035715</v>
      </c>
      <c r="F229" s="257">
        <v>2035715</v>
      </c>
      <c r="G229" s="257">
        <v>1564286.5</v>
      </c>
      <c r="H229" s="257">
        <v>0</v>
      </c>
      <c r="I229" s="257">
        <v>271</v>
      </c>
      <c r="J229" s="257">
        <v>0</v>
      </c>
      <c r="K229" s="257">
        <v>1092467</v>
      </c>
      <c r="L229" s="257">
        <v>1092467</v>
      </c>
      <c r="M229" s="257">
        <v>942977</v>
      </c>
      <c r="N229" s="257">
        <v>471548.5</v>
      </c>
    </row>
    <row r="230" spans="1:14" s="143" customFormat="1" x14ac:dyDescent="0.25">
      <c r="A230" s="143" t="s">
        <v>290</v>
      </c>
      <c r="B230" s="143" t="s">
        <v>148</v>
      </c>
      <c r="C230" s="143" t="s">
        <v>149</v>
      </c>
      <c r="D230" s="143" t="s">
        <v>69</v>
      </c>
      <c r="E230" s="257">
        <v>4730770</v>
      </c>
      <c r="F230" s="257">
        <v>4730770</v>
      </c>
      <c r="G230" s="257">
        <v>4458077</v>
      </c>
      <c r="H230" s="257">
        <v>0</v>
      </c>
      <c r="I230" s="257">
        <v>86729.4</v>
      </c>
      <c r="J230" s="257">
        <v>0</v>
      </c>
      <c r="K230" s="257">
        <v>2070689.35</v>
      </c>
      <c r="L230" s="257">
        <v>2070689.35</v>
      </c>
      <c r="M230" s="257">
        <v>2573351.25</v>
      </c>
      <c r="N230" s="257">
        <v>2300658.25</v>
      </c>
    </row>
    <row r="231" spans="1:14" s="143" customFormat="1" x14ac:dyDescent="0.25">
      <c r="A231" s="143" t="s">
        <v>290</v>
      </c>
      <c r="B231" s="143" t="s">
        <v>150</v>
      </c>
      <c r="C231" s="143" t="s">
        <v>151</v>
      </c>
      <c r="D231" s="143" t="s">
        <v>69</v>
      </c>
      <c r="E231" s="257">
        <v>83546141</v>
      </c>
      <c r="F231" s="257">
        <v>101246141</v>
      </c>
      <c r="G231" s="257">
        <v>80084605</v>
      </c>
      <c r="H231" s="257">
        <v>0</v>
      </c>
      <c r="I231" s="257">
        <v>5426581</v>
      </c>
      <c r="J231" s="257">
        <v>0</v>
      </c>
      <c r="K231" s="257">
        <v>25358126</v>
      </c>
      <c r="L231" s="257">
        <v>25358126</v>
      </c>
      <c r="M231" s="257">
        <v>70461434</v>
      </c>
      <c r="N231" s="257">
        <v>49299898</v>
      </c>
    </row>
    <row r="232" spans="1:14" s="143" customFormat="1" x14ac:dyDescent="0.25">
      <c r="A232" s="143" t="s">
        <v>290</v>
      </c>
      <c r="B232" s="143" t="s">
        <v>152</v>
      </c>
      <c r="C232" s="143" t="s">
        <v>153</v>
      </c>
      <c r="D232" s="143" t="s">
        <v>69</v>
      </c>
      <c r="E232" s="257">
        <v>83546141</v>
      </c>
      <c r="F232" s="257">
        <v>101246141</v>
      </c>
      <c r="G232" s="257">
        <v>80084605</v>
      </c>
      <c r="H232" s="257">
        <v>0</v>
      </c>
      <c r="I232" s="257">
        <v>5426581</v>
      </c>
      <c r="J232" s="257">
        <v>0</v>
      </c>
      <c r="K232" s="257">
        <v>25358126</v>
      </c>
      <c r="L232" s="257">
        <v>25358126</v>
      </c>
      <c r="M232" s="257">
        <v>70461434</v>
      </c>
      <c r="N232" s="257">
        <v>49299898</v>
      </c>
    </row>
    <row r="233" spans="1:14" s="143" customFormat="1" x14ac:dyDescent="0.25">
      <c r="A233" s="143" t="s">
        <v>290</v>
      </c>
      <c r="B233" s="143" t="s">
        <v>154</v>
      </c>
      <c r="C233" s="143" t="s">
        <v>155</v>
      </c>
      <c r="D233" s="143" t="s">
        <v>69</v>
      </c>
      <c r="E233" s="257">
        <v>0</v>
      </c>
      <c r="F233" s="257">
        <v>0</v>
      </c>
      <c r="G233" s="257">
        <v>0</v>
      </c>
      <c r="H233" s="257">
        <v>0</v>
      </c>
      <c r="I233" s="257">
        <v>0</v>
      </c>
      <c r="J233" s="257">
        <v>0</v>
      </c>
      <c r="K233" s="257">
        <v>0</v>
      </c>
      <c r="L233" s="257">
        <v>0</v>
      </c>
      <c r="M233" s="257">
        <v>0</v>
      </c>
      <c r="N233" s="257">
        <v>0</v>
      </c>
    </row>
    <row r="234" spans="1:14" s="143" customFormat="1" x14ac:dyDescent="0.25">
      <c r="A234" s="143" t="s">
        <v>290</v>
      </c>
      <c r="B234" s="143" t="s">
        <v>156</v>
      </c>
      <c r="C234" s="143" t="s">
        <v>157</v>
      </c>
      <c r="D234" s="143" t="s">
        <v>69</v>
      </c>
      <c r="E234" s="257">
        <v>0</v>
      </c>
      <c r="F234" s="257">
        <v>0</v>
      </c>
      <c r="G234" s="257">
        <v>0</v>
      </c>
      <c r="H234" s="257">
        <v>0</v>
      </c>
      <c r="I234" s="257">
        <v>0</v>
      </c>
      <c r="J234" s="257">
        <v>0</v>
      </c>
      <c r="K234" s="257">
        <v>0</v>
      </c>
      <c r="L234" s="257">
        <v>0</v>
      </c>
      <c r="M234" s="257">
        <v>0</v>
      </c>
      <c r="N234" s="257">
        <v>0</v>
      </c>
    </row>
    <row r="235" spans="1:14" s="143" customFormat="1" x14ac:dyDescent="0.25">
      <c r="A235" s="143" t="s">
        <v>290</v>
      </c>
      <c r="B235" s="143" t="s">
        <v>162</v>
      </c>
      <c r="C235" s="143" t="s">
        <v>163</v>
      </c>
      <c r="D235" s="143" t="s">
        <v>69</v>
      </c>
      <c r="E235" s="257">
        <v>89480793</v>
      </c>
      <c r="F235" s="257">
        <v>76080793</v>
      </c>
      <c r="G235" s="257">
        <v>61050595</v>
      </c>
      <c r="H235" s="257">
        <v>200000</v>
      </c>
      <c r="I235" s="257">
        <v>13900439.67</v>
      </c>
      <c r="J235" s="257">
        <v>583495.55000000005</v>
      </c>
      <c r="K235" s="257">
        <v>25822901.890000001</v>
      </c>
      <c r="L235" s="257">
        <v>24284130.489999998</v>
      </c>
      <c r="M235" s="257">
        <v>35573955.890000001</v>
      </c>
      <c r="N235" s="257">
        <v>20543757.890000001</v>
      </c>
    </row>
    <row r="236" spans="1:14" s="143" customFormat="1" x14ac:dyDescent="0.25">
      <c r="A236" s="143" t="s">
        <v>290</v>
      </c>
      <c r="B236" s="143" t="s">
        <v>310</v>
      </c>
      <c r="C236" s="143" t="s">
        <v>311</v>
      </c>
      <c r="D236" s="143" t="s">
        <v>69</v>
      </c>
      <c r="E236" s="257">
        <v>13000000</v>
      </c>
      <c r="F236" s="257">
        <v>13000000</v>
      </c>
      <c r="G236" s="257">
        <v>10500000</v>
      </c>
      <c r="H236" s="257">
        <v>0</v>
      </c>
      <c r="I236" s="257">
        <v>1815150.05</v>
      </c>
      <c r="J236" s="257">
        <v>0</v>
      </c>
      <c r="K236" s="257">
        <v>5113889.62</v>
      </c>
      <c r="L236" s="257">
        <v>5113889.62</v>
      </c>
      <c r="M236" s="257">
        <v>6070960.3300000001</v>
      </c>
      <c r="N236" s="257">
        <v>3570960.33</v>
      </c>
    </row>
    <row r="237" spans="1:14" s="143" customFormat="1" x14ac:dyDescent="0.25">
      <c r="A237" s="143" t="s">
        <v>290</v>
      </c>
      <c r="B237" s="143" t="s">
        <v>164</v>
      </c>
      <c r="C237" s="143" t="s">
        <v>165</v>
      </c>
      <c r="D237" s="143" t="s">
        <v>69</v>
      </c>
      <c r="E237" s="257">
        <v>1918000</v>
      </c>
      <c r="F237" s="257">
        <v>1918000</v>
      </c>
      <c r="G237" s="257">
        <v>1638500</v>
      </c>
      <c r="H237" s="257">
        <v>0</v>
      </c>
      <c r="I237" s="257">
        <v>31643.5</v>
      </c>
      <c r="J237" s="257">
        <v>0</v>
      </c>
      <c r="K237" s="257">
        <v>1124143.75</v>
      </c>
      <c r="L237" s="257">
        <v>1124143.75</v>
      </c>
      <c r="M237" s="257">
        <v>762212.75</v>
      </c>
      <c r="N237" s="257">
        <v>482712.75</v>
      </c>
    </row>
    <row r="238" spans="1:14" s="143" customFormat="1" x14ac:dyDescent="0.25">
      <c r="A238" s="143" t="s">
        <v>290</v>
      </c>
      <c r="B238" s="143" t="s">
        <v>166</v>
      </c>
      <c r="C238" s="143" t="s">
        <v>167</v>
      </c>
      <c r="D238" s="143" t="s">
        <v>69</v>
      </c>
      <c r="E238" s="257">
        <v>25420000</v>
      </c>
      <c r="F238" s="257">
        <v>15420000</v>
      </c>
      <c r="G238" s="257">
        <v>14040000</v>
      </c>
      <c r="H238" s="257">
        <v>0</v>
      </c>
      <c r="I238" s="257">
        <v>10792989</v>
      </c>
      <c r="J238" s="257">
        <v>0</v>
      </c>
      <c r="K238" s="257">
        <v>1133135</v>
      </c>
      <c r="L238" s="257">
        <v>1133135</v>
      </c>
      <c r="M238" s="257">
        <v>3493876</v>
      </c>
      <c r="N238" s="257">
        <v>2113876</v>
      </c>
    </row>
    <row r="239" spans="1:14" s="143" customFormat="1" x14ac:dyDescent="0.25">
      <c r="A239" s="143" t="s">
        <v>290</v>
      </c>
      <c r="B239" s="143" t="s">
        <v>312</v>
      </c>
      <c r="C239" s="143" t="s">
        <v>313</v>
      </c>
      <c r="D239" s="143" t="s">
        <v>69</v>
      </c>
      <c r="E239" s="257">
        <v>7181770</v>
      </c>
      <c r="F239" s="257">
        <v>7181770</v>
      </c>
      <c r="G239" s="257">
        <v>5386327</v>
      </c>
      <c r="H239" s="257">
        <v>0</v>
      </c>
      <c r="I239" s="257">
        <v>597135.52</v>
      </c>
      <c r="J239" s="257">
        <v>0</v>
      </c>
      <c r="K239" s="257">
        <v>2507667.2000000002</v>
      </c>
      <c r="L239" s="257">
        <v>2507667.2000000002</v>
      </c>
      <c r="M239" s="257">
        <v>4076967.28</v>
      </c>
      <c r="N239" s="257">
        <v>2281524.2799999998</v>
      </c>
    </row>
    <row r="240" spans="1:14" s="143" customFormat="1" x14ac:dyDescent="0.25">
      <c r="A240" s="143" t="s">
        <v>290</v>
      </c>
      <c r="B240" s="143" t="s">
        <v>168</v>
      </c>
      <c r="C240" s="143" t="s">
        <v>169</v>
      </c>
      <c r="D240" s="143" t="s">
        <v>69</v>
      </c>
      <c r="E240" s="257">
        <v>8196286</v>
      </c>
      <c r="F240" s="257">
        <v>10196286</v>
      </c>
      <c r="G240" s="257">
        <v>8147215</v>
      </c>
      <c r="H240" s="257">
        <v>0</v>
      </c>
      <c r="I240" s="257">
        <v>663521.6</v>
      </c>
      <c r="J240" s="257">
        <v>0</v>
      </c>
      <c r="K240" s="257">
        <v>3257438.59</v>
      </c>
      <c r="L240" s="257">
        <v>2528667.19</v>
      </c>
      <c r="M240" s="257">
        <v>6275325.8099999996</v>
      </c>
      <c r="N240" s="257">
        <v>4226254.8099999996</v>
      </c>
    </row>
    <row r="241" spans="1:14" s="143" customFormat="1" x14ac:dyDescent="0.25">
      <c r="A241" s="143" t="s">
        <v>290</v>
      </c>
      <c r="B241" s="143" t="s">
        <v>170</v>
      </c>
      <c r="C241" s="143" t="s">
        <v>171</v>
      </c>
      <c r="D241" s="143" t="s">
        <v>69</v>
      </c>
      <c r="E241" s="257">
        <v>28160737</v>
      </c>
      <c r="F241" s="257">
        <v>23460737</v>
      </c>
      <c r="G241" s="257">
        <v>17835553</v>
      </c>
      <c r="H241" s="257">
        <v>0</v>
      </c>
      <c r="I241" s="257">
        <v>0</v>
      </c>
      <c r="J241" s="257">
        <v>0</v>
      </c>
      <c r="K241" s="257">
        <v>12145012.48</v>
      </c>
      <c r="L241" s="257">
        <v>11335012.48</v>
      </c>
      <c r="M241" s="257">
        <v>11315724.52</v>
      </c>
      <c r="N241" s="257">
        <v>5690540.5199999996</v>
      </c>
    </row>
    <row r="242" spans="1:14" s="143" customFormat="1" x14ac:dyDescent="0.25">
      <c r="A242" s="143" t="s">
        <v>290</v>
      </c>
      <c r="B242" s="143" t="s">
        <v>172</v>
      </c>
      <c r="C242" s="143" t="s">
        <v>173</v>
      </c>
      <c r="D242" s="143" t="s">
        <v>69</v>
      </c>
      <c r="E242" s="257">
        <v>5604000</v>
      </c>
      <c r="F242" s="257">
        <v>4904000</v>
      </c>
      <c r="G242" s="257">
        <v>3503000</v>
      </c>
      <c r="H242" s="257">
        <v>200000</v>
      </c>
      <c r="I242" s="257">
        <v>0</v>
      </c>
      <c r="J242" s="257">
        <v>583495.55000000005</v>
      </c>
      <c r="K242" s="257">
        <v>541615.25</v>
      </c>
      <c r="L242" s="257">
        <v>541615.25</v>
      </c>
      <c r="M242" s="257">
        <v>3578889.2</v>
      </c>
      <c r="N242" s="257">
        <v>2177889.2000000002</v>
      </c>
    </row>
    <row r="243" spans="1:14" s="143" customFormat="1" x14ac:dyDescent="0.25">
      <c r="A243" s="143" t="s">
        <v>290</v>
      </c>
      <c r="B243" s="143" t="s">
        <v>174</v>
      </c>
      <c r="C243" s="143" t="s">
        <v>175</v>
      </c>
      <c r="D243" s="143" t="s">
        <v>69</v>
      </c>
      <c r="E243" s="257">
        <v>1340000</v>
      </c>
      <c r="F243" s="257">
        <v>1340000</v>
      </c>
      <c r="G243" s="257">
        <v>1305000</v>
      </c>
      <c r="H243" s="257">
        <v>0</v>
      </c>
      <c r="I243" s="257">
        <v>24800</v>
      </c>
      <c r="J243" s="257">
        <v>0</v>
      </c>
      <c r="K243" s="257">
        <v>200</v>
      </c>
      <c r="L243" s="257">
        <v>200</v>
      </c>
      <c r="M243" s="257">
        <v>1315000</v>
      </c>
      <c r="N243" s="257">
        <v>1280000</v>
      </c>
    </row>
    <row r="244" spans="1:14" s="143" customFormat="1" x14ac:dyDescent="0.25">
      <c r="A244" s="143" t="s">
        <v>290</v>
      </c>
      <c r="B244" s="143" t="s">
        <v>176</v>
      </c>
      <c r="C244" s="143" t="s">
        <v>177</v>
      </c>
      <c r="D244" s="143" t="s">
        <v>69</v>
      </c>
      <c r="E244" s="257">
        <v>1340000</v>
      </c>
      <c r="F244" s="257">
        <v>1340000</v>
      </c>
      <c r="G244" s="257">
        <v>1305000</v>
      </c>
      <c r="H244" s="257">
        <v>0</v>
      </c>
      <c r="I244" s="257">
        <v>24800</v>
      </c>
      <c r="J244" s="257">
        <v>0</v>
      </c>
      <c r="K244" s="257">
        <v>200</v>
      </c>
      <c r="L244" s="257">
        <v>200</v>
      </c>
      <c r="M244" s="257">
        <v>1315000</v>
      </c>
      <c r="N244" s="257">
        <v>1280000</v>
      </c>
    </row>
    <row r="245" spans="1:14" s="143" customFormat="1" x14ac:dyDescent="0.25">
      <c r="A245" s="143" t="s">
        <v>290</v>
      </c>
      <c r="B245" s="143" t="s">
        <v>178</v>
      </c>
      <c r="C245" s="143" t="s">
        <v>179</v>
      </c>
      <c r="D245" s="143" t="s">
        <v>69</v>
      </c>
      <c r="E245" s="257">
        <v>2150000</v>
      </c>
      <c r="F245" s="257">
        <v>2150000</v>
      </c>
      <c r="G245" s="257">
        <v>1412500</v>
      </c>
      <c r="H245" s="257">
        <v>0</v>
      </c>
      <c r="I245" s="257">
        <v>113207.78</v>
      </c>
      <c r="J245" s="257">
        <v>0</v>
      </c>
      <c r="K245" s="257">
        <v>0</v>
      </c>
      <c r="L245" s="257">
        <v>0</v>
      </c>
      <c r="M245" s="257">
        <v>2036792.22</v>
      </c>
      <c r="N245" s="257">
        <v>1299292.22</v>
      </c>
    </row>
    <row r="246" spans="1:14" s="143" customFormat="1" x14ac:dyDescent="0.25">
      <c r="A246" s="143" t="s">
        <v>290</v>
      </c>
      <c r="B246" s="143" t="s">
        <v>180</v>
      </c>
      <c r="C246" s="143" t="s">
        <v>181</v>
      </c>
      <c r="D246" s="143" t="s">
        <v>69</v>
      </c>
      <c r="E246" s="257">
        <v>150000</v>
      </c>
      <c r="F246" s="257">
        <v>150000</v>
      </c>
      <c r="G246" s="257">
        <v>150000</v>
      </c>
      <c r="H246" s="257">
        <v>0</v>
      </c>
      <c r="I246" s="257">
        <v>113207.78</v>
      </c>
      <c r="J246" s="257">
        <v>0</v>
      </c>
      <c r="K246" s="257">
        <v>0</v>
      </c>
      <c r="L246" s="257">
        <v>0</v>
      </c>
      <c r="M246" s="257">
        <v>36792.22</v>
      </c>
      <c r="N246" s="257">
        <v>36792.22</v>
      </c>
    </row>
    <row r="247" spans="1:14" s="143" customFormat="1" x14ac:dyDescent="0.25">
      <c r="A247" s="143" t="s">
        <v>290</v>
      </c>
      <c r="B247" s="143" t="s">
        <v>182</v>
      </c>
      <c r="C247" s="143" t="s">
        <v>183</v>
      </c>
      <c r="D247" s="143" t="s">
        <v>69</v>
      </c>
      <c r="E247" s="257">
        <v>2000000</v>
      </c>
      <c r="F247" s="257">
        <v>2000000</v>
      </c>
      <c r="G247" s="257">
        <v>1262500</v>
      </c>
      <c r="H247" s="257">
        <v>0</v>
      </c>
      <c r="I247" s="257">
        <v>0</v>
      </c>
      <c r="J247" s="257">
        <v>0</v>
      </c>
      <c r="K247" s="257">
        <v>0</v>
      </c>
      <c r="L247" s="257">
        <v>0</v>
      </c>
      <c r="M247" s="257">
        <v>2000000</v>
      </c>
      <c r="N247" s="257">
        <v>1262500</v>
      </c>
    </row>
    <row r="248" spans="1:14" s="143" customFormat="1" x14ac:dyDescent="0.25">
      <c r="A248" s="143" t="s">
        <v>290</v>
      </c>
      <c r="B248" s="143" t="s">
        <v>184</v>
      </c>
      <c r="C248" s="143" t="s">
        <v>185</v>
      </c>
      <c r="D248" s="143" t="s">
        <v>69</v>
      </c>
      <c r="E248" s="257">
        <v>65233793</v>
      </c>
      <c r="F248" s="257">
        <v>65233793</v>
      </c>
      <c r="G248" s="257">
        <v>44111594</v>
      </c>
      <c r="H248" s="257">
        <v>2337045.0299999998</v>
      </c>
      <c r="I248" s="257">
        <v>1670518.36</v>
      </c>
      <c r="J248" s="257">
        <v>1519708.4</v>
      </c>
      <c r="K248" s="257">
        <v>11642537.699999999</v>
      </c>
      <c r="L248" s="257">
        <v>11510537.699999999</v>
      </c>
      <c r="M248" s="257">
        <v>48063983.509999998</v>
      </c>
      <c r="N248" s="257">
        <v>26941784.510000002</v>
      </c>
    </row>
    <row r="249" spans="1:14" s="143" customFormat="1" x14ac:dyDescent="0.25">
      <c r="A249" s="143" t="s">
        <v>290</v>
      </c>
      <c r="B249" s="143" t="s">
        <v>186</v>
      </c>
      <c r="C249" s="143" t="s">
        <v>187</v>
      </c>
      <c r="D249" s="143" t="s">
        <v>69</v>
      </c>
      <c r="E249" s="257">
        <v>34706100</v>
      </c>
      <c r="F249" s="257">
        <v>34706100</v>
      </c>
      <c r="G249" s="257">
        <v>23805824</v>
      </c>
      <c r="H249" s="257">
        <v>1892340</v>
      </c>
      <c r="I249" s="257">
        <v>1151803.3600000001</v>
      </c>
      <c r="J249" s="257">
        <v>0</v>
      </c>
      <c r="K249" s="257">
        <v>8544266.6400000006</v>
      </c>
      <c r="L249" s="257">
        <v>8544266.6400000006</v>
      </c>
      <c r="M249" s="257">
        <v>23117690</v>
      </c>
      <c r="N249" s="257">
        <v>12217414</v>
      </c>
    </row>
    <row r="250" spans="1:14" s="143" customFormat="1" x14ac:dyDescent="0.25">
      <c r="A250" s="143" t="s">
        <v>290</v>
      </c>
      <c r="B250" s="143" t="s">
        <v>188</v>
      </c>
      <c r="C250" s="143" t="s">
        <v>189</v>
      </c>
      <c r="D250" s="143" t="s">
        <v>69</v>
      </c>
      <c r="E250" s="257">
        <v>26298967</v>
      </c>
      <c r="F250" s="257">
        <v>26298967</v>
      </c>
      <c r="G250" s="257">
        <v>18424225</v>
      </c>
      <c r="H250" s="257">
        <v>264240</v>
      </c>
      <c r="I250" s="257">
        <v>1151803.3600000001</v>
      </c>
      <c r="J250" s="257">
        <v>0</v>
      </c>
      <c r="K250" s="257">
        <v>8544266.6400000006</v>
      </c>
      <c r="L250" s="257">
        <v>8544266.6400000006</v>
      </c>
      <c r="M250" s="257">
        <v>16338657</v>
      </c>
      <c r="N250" s="257">
        <v>8463915</v>
      </c>
    </row>
    <row r="251" spans="1:14" s="143" customFormat="1" x14ac:dyDescent="0.25">
      <c r="A251" s="143" t="s">
        <v>290</v>
      </c>
      <c r="B251" s="143" t="s">
        <v>192</v>
      </c>
      <c r="C251" s="143" t="s">
        <v>193</v>
      </c>
      <c r="D251" s="143" t="s">
        <v>69</v>
      </c>
      <c r="E251" s="257">
        <v>8102133</v>
      </c>
      <c r="F251" s="257">
        <v>8102133</v>
      </c>
      <c r="G251" s="257">
        <v>5076599</v>
      </c>
      <c r="H251" s="257">
        <v>1399100</v>
      </c>
      <c r="I251" s="257">
        <v>0</v>
      </c>
      <c r="J251" s="257">
        <v>0</v>
      </c>
      <c r="K251" s="257">
        <v>0</v>
      </c>
      <c r="L251" s="257">
        <v>0</v>
      </c>
      <c r="M251" s="257">
        <v>6703033</v>
      </c>
      <c r="N251" s="257">
        <v>3677499</v>
      </c>
    </row>
    <row r="252" spans="1:14" s="143" customFormat="1" x14ac:dyDescent="0.25">
      <c r="A252" s="143" t="s">
        <v>290</v>
      </c>
      <c r="B252" s="143" t="s">
        <v>194</v>
      </c>
      <c r="C252" s="143" t="s">
        <v>195</v>
      </c>
      <c r="D252" s="143" t="s">
        <v>69</v>
      </c>
      <c r="E252" s="257">
        <v>305000</v>
      </c>
      <c r="F252" s="257">
        <v>305000</v>
      </c>
      <c r="G252" s="257">
        <v>305000</v>
      </c>
      <c r="H252" s="257">
        <v>229000</v>
      </c>
      <c r="I252" s="257">
        <v>0</v>
      </c>
      <c r="J252" s="257">
        <v>0</v>
      </c>
      <c r="K252" s="257">
        <v>0</v>
      </c>
      <c r="L252" s="257">
        <v>0</v>
      </c>
      <c r="M252" s="257">
        <v>76000</v>
      </c>
      <c r="N252" s="257">
        <v>76000</v>
      </c>
    </row>
    <row r="253" spans="1:14" s="143" customFormat="1" x14ac:dyDescent="0.25">
      <c r="A253" s="143" t="s">
        <v>290</v>
      </c>
      <c r="B253" s="143" t="s">
        <v>200</v>
      </c>
      <c r="C253" s="143" t="s">
        <v>201</v>
      </c>
      <c r="D253" s="143" t="s">
        <v>69</v>
      </c>
      <c r="E253" s="257">
        <v>2978000</v>
      </c>
      <c r="F253" s="257">
        <v>2978000</v>
      </c>
      <c r="G253" s="257">
        <v>2000250</v>
      </c>
      <c r="H253" s="257">
        <v>66246.320000000007</v>
      </c>
      <c r="I253" s="257">
        <v>0</v>
      </c>
      <c r="J253" s="257">
        <v>0</v>
      </c>
      <c r="K253" s="257">
        <v>0</v>
      </c>
      <c r="L253" s="257">
        <v>0</v>
      </c>
      <c r="M253" s="257">
        <v>2911753.68</v>
      </c>
      <c r="N253" s="257">
        <v>1934003.68</v>
      </c>
    </row>
    <row r="254" spans="1:14" s="143" customFormat="1" x14ac:dyDescent="0.25">
      <c r="A254" s="143" t="s">
        <v>290</v>
      </c>
      <c r="B254" s="143" t="s">
        <v>314</v>
      </c>
      <c r="C254" s="143" t="s">
        <v>315</v>
      </c>
      <c r="D254" s="143" t="s">
        <v>69</v>
      </c>
      <c r="E254" s="257">
        <v>830000</v>
      </c>
      <c r="F254" s="257">
        <v>830000</v>
      </c>
      <c r="G254" s="257">
        <v>522500</v>
      </c>
      <c r="H254" s="257">
        <v>0</v>
      </c>
      <c r="I254" s="257">
        <v>0</v>
      </c>
      <c r="J254" s="257">
        <v>0</v>
      </c>
      <c r="K254" s="257">
        <v>0</v>
      </c>
      <c r="L254" s="257">
        <v>0</v>
      </c>
      <c r="M254" s="257">
        <v>830000</v>
      </c>
      <c r="N254" s="257">
        <v>522500</v>
      </c>
    </row>
    <row r="255" spans="1:14" s="143" customFormat="1" x14ac:dyDescent="0.25">
      <c r="A255" s="143" t="s">
        <v>290</v>
      </c>
      <c r="B255" s="143" t="s">
        <v>316</v>
      </c>
      <c r="C255" s="143" t="s">
        <v>317</v>
      </c>
      <c r="D255" s="143" t="s">
        <v>69</v>
      </c>
      <c r="E255" s="257">
        <v>67000</v>
      </c>
      <c r="F255" s="257">
        <v>67000</v>
      </c>
      <c r="G255" s="257">
        <v>67000</v>
      </c>
      <c r="H255" s="257">
        <v>66246.320000000007</v>
      </c>
      <c r="I255" s="257">
        <v>0</v>
      </c>
      <c r="J255" s="257">
        <v>0</v>
      </c>
      <c r="K255" s="257">
        <v>0</v>
      </c>
      <c r="L255" s="257">
        <v>0</v>
      </c>
      <c r="M255" s="257">
        <v>753.68</v>
      </c>
      <c r="N255" s="257">
        <v>753.68</v>
      </c>
    </row>
    <row r="256" spans="1:14" s="143" customFormat="1" x14ac:dyDescent="0.25">
      <c r="A256" s="143" t="s">
        <v>290</v>
      </c>
      <c r="B256" s="143" t="s">
        <v>318</v>
      </c>
      <c r="C256" s="143" t="s">
        <v>319</v>
      </c>
      <c r="D256" s="143" t="s">
        <v>69</v>
      </c>
      <c r="E256" s="257">
        <v>99000</v>
      </c>
      <c r="F256" s="257">
        <v>99000</v>
      </c>
      <c r="G256" s="257">
        <v>74250</v>
      </c>
      <c r="H256" s="257">
        <v>0</v>
      </c>
      <c r="I256" s="257">
        <v>0</v>
      </c>
      <c r="J256" s="257">
        <v>0</v>
      </c>
      <c r="K256" s="257">
        <v>0</v>
      </c>
      <c r="L256" s="257">
        <v>0</v>
      </c>
      <c r="M256" s="257">
        <v>99000</v>
      </c>
      <c r="N256" s="257">
        <v>74250</v>
      </c>
    </row>
    <row r="257" spans="1:14" s="143" customFormat="1" x14ac:dyDescent="0.25">
      <c r="A257" s="143" t="s">
        <v>290</v>
      </c>
      <c r="B257" s="143" t="s">
        <v>202</v>
      </c>
      <c r="C257" s="143" t="s">
        <v>203</v>
      </c>
      <c r="D257" s="143" t="s">
        <v>69</v>
      </c>
      <c r="E257" s="257">
        <v>1345000</v>
      </c>
      <c r="F257" s="257">
        <v>1345000</v>
      </c>
      <c r="G257" s="257">
        <v>858750</v>
      </c>
      <c r="H257" s="257">
        <v>0</v>
      </c>
      <c r="I257" s="257">
        <v>0</v>
      </c>
      <c r="J257" s="257">
        <v>0</v>
      </c>
      <c r="K257" s="257">
        <v>0</v>
      </c>
      <c r="L257" s="257">
        <v>0</v>
      </c>
      <c r="M257" s="257">
        <v>1345000</v>
      </c>
      <c r="N257" s="257">
        <v>858750</v>
      </c>
    </row>
    <row r="258" spans="1:14" s="143" customFormat="1" x14ac:dyDescent="0.25">
      <c r="A258" s="143" t="s">
        <v>290</v>
      </c>
      <c r="B258" s="143" t="s">
        <v>320</v>
      </c>
      <c r="C258" s="143" t="s">
        <v>321</v>
      </c>
      <c r="D258" s="143" t="s">
        <v>69</v>
      </c>
      <c r="E258" s="257">
        <v>40000</v>
      </c>
      <c r="F258" s="257">
        <v>40000</v>
      </c>
      <c r="G258" s="257">
        <v>30000</v>
      </c>
      <c r="H258" s="257">
        <v>0</v>
      </c>
      <c r="I258" s="257">
        <v>0</v>
      </c>
      <c r="J258" s="257">
        <v>0</v>
      </c>
      <c r="K258" s="257">
        <v>0</v>
      </c>
      <c r="L258" s="257">
        <v>0</v>
      </c>
      <c r="M258" s="257">
        <v>40000</v>
      </c>
      <c r="N258" s="257">
        <v>30000</v>
      </c>
    </row>
    <row r="259" spans="1:14" s="143" customFormat="1" x14ac:dyDescent="0.25">
      <c r="A259" s="143" t="s">
        <v>290</v>
      </c>
      <c r="B259" s="143" t="s">
        <v>204</v>
      </c>
      <c r="C259" s="143" t="s">
        <v>205</v>
      </c>
      <c r="D259" s="143" t="s">
        <v>69</v>
      </c>
      <c r="E259" s="257">
        <v>198000</v>
      </c>
      <c r="F259" s="257">
        <v>198000</v>
      </c>
      <c r="G259" s="257">
        <v>148500</v>
      </c>
      <c r="H259" s="257">
        <v>0</v>
      </c>
      <c r="I259" s="257">
        <v>0</v>
      </c>
      <c r="J259" s="257">
        <v>0</v>
      </c>
      <c r="K259" s="257">
        <v>0</v>
      </c>
      <c r="L259" s="257">
        <v>0</v>
      </c>
      <c r="M259" s="257">
        <v>198000</v>
      </c>
      <c r="N259" s="257">
        <v>148500</v>
      </c>
    </row>
    <row r="260" spans="1:14" s="143" customFormat="1" x14ac:dyDescent="0.25">
      <c r="A260" s="143" t="s">
        <v>290</v>
      </c>
      <c r="B260" s="143" t="s">
        <v>322</v>
      </c>
      <c r="C260" s="143" t="s">
        <v>323</v>
      </c>
      <c r="D260" s="143" t="s">
        <v>69</v>
      </c>
      <c r="E260" s="257">
        <v>399000</v>
      </c>
      <c r="F260" s="257">
        <v>399000</v>
      </c>
      <c r="G260" s="257">
        <v>299250</v>
      </c>
      <c r="H260" s="257">
        <v>0</v>
      </c>
      <c r="I260" s="257">
        <v>0</v>
      </c>
      <c r="J260" s="257">
        <v>0</v>
      </c>
      <c r="K260" s="257">
        <v>0</v>
      </c>
      <c r="L260" s="257">
        <v>0</v>
      </c>
      <c r="M260" s="257">
        <v>399000</v>
      </c>
      <c r="N260" s="257">
        <v>299250</v>
      </c>
    </row>
    <row r="261" spans="1:14" s="143" customFormat="1" x14ac:dyDescent="0.25">
      <c r="A261" s="143" t="s">
        <v>290</v>
      </c>
      <c r="B261" s="143" t="s">
        <v>206</v>
      </c>
      <c r="C261" s="143" t="s">
        <v>207</v>
      </c>
      <c r="D261" s="143" t="s">
        <v>69</v>
      </c>
      <c r="E261" s="257">
        <v>3047000</v>
      </c>
      <c r="F261" s="257">
        <v>3047000</v>
      </c>
      <c r="G261" s="257">
        <v>1960250</v>
      </c>
      <c r="H261" s="257">
        <v>248958.71</v>
      </c>
      <c r="I261" s="257">
        <v>0</v>
      </c>
      <c r="J261" s="257">
        <v>0</v>
      </c>
      <c r="K261" s="257">
        <v>0</v>
      </c>
      <c r="L261" s="257">
        <v>0</v>
      </c>
      <c r="M261" s="257">
        <v>2798041.29</v>
      </c>
      <c r="N261" s="257">
        <v>1711291.29</v>
      </c>
    </row>
    <row r="262" spans="1:14" s="143" customFormat="1" x14ac:dyDescent="0.25">
      <c r="A262" s="143" t="s">
        <v>290</v>
      </c>
      <c r="B262" s="143" t="s">
        <v>208</v>
      </c>
      <c r="C262" s="143" t="s">
        <v>209</v>
      </c>
      <c r="D262" s="143" t="s">
        <v>69</v>
      </c>
      <c r="E262" s="257">
        <v>251000</v>
      </c>
      <c r="F262" s="257">
        <v>251000</v>
      </c>
      <c r="G262" s="257">
        <v>188250</v>
      </c>
      <c r="H262" s="257">
        <v>0</v>
      </c>
      <c r="I262" s="257">
        <v>0</v>
      </c>
      <c r="J262" s="257">
        <v>0</v>
      </c>
      <c r="K262" s="257">
        <v>0</v>
      </c>
      <c r="L262" s="257">
        <v>0</v>
      </c>
      <c r="M262" s="257">
        <v>251000</v>
      </c>
      <c r="N262" s="257">
        <v>188250</v>
      </c>
    </row>
    <row r="263" spans="1:14" s="143" customFormat="1" x14ac:dyDescent="0.25">
      <c r="A263" s="143" t="s">
        <v>290</v>
      </c>
      <c r="B263" s="143" t="s">
        <v>210</v>
      </c>
      <c r="C263" s="143" t="s">
        <v>211</v>
      </c>
      <c r="D263" s="143" t="s">
        <v>69</v>
      </c>
      <c r="E263" s="257">
        <v>2796000</v>
      </c>
      <c r="F263" s="257">
        <v>2796000</v>
      </c>
      <c r="G263" s="257">
        <v>1772000</v>
      </c>
      <c r="H263" s="257">
        <v>248958.71</v>
      </c>
      <c r="I263" s="257">
        <v>0</v>
      </c>
      <c r="J263" s="257">
        <v>0</v>
      </c>
      <c r="K263" s="257">
        <v>0</v>
      </c>
      <c r="L263" s="257">
        <v>0</v>
      </c>
      <c r="M263" s="257">
        <v>2547041.29</v>
      </c>
      <c r="N263" s="257">
        <v>1523041.29</v>
      </c>
    </row>
    <row r="264" spans="1:14" s="143" customFormat="1" x14ac:dyDescent="0.25">
      <c r="A264" s="143" t="s">
        <v>290</v>
      </c>
      <c r="B264" s="143" t="s">
        <v>212</v>
      </c>
      <c r="C264" s="143" t="s">
        <v>213</v>
      </c>
      <c r="D264" s="143" t="s">
        <v>69</v>
      </c>
      <c r="E264" s="257">
        <v>24502693</v>
      </c>
      <c r="F264" s="257">
        <v>24502693</v>
      </c>
      <c r="G264" s="257">
        <v>16345270</v>
      </c>
      <c r="H264" s="257">
        <v>129500</v>
      </c>
      <c r="I264" s="257">
        <v>518715</v>
      </c>
      <c r="J264" s="257">
        <v>1519708.4</v>
      </c>
      <c r="K264" s="257">
        <v>3098271.06</v>
      </c>
      <c r="L264" s="257">
        <v>2966271.06</v>
      </c>
      <c r="M264" s="257">
        <v>19236498.539999999</v>
      </c>
      <c r="N264" s="257">
        <v>11079075.539999999</v>
      </c>
    </row>
    <row r="265" spans="1:14" s="143" customFormat="1" x14ac:dyDescent="0.25">
      <c r="A265" s="143" t="s">
        <v>290</v>
      </c>
      <c r="B265" s="143" t="s">
        <v>214</v>
      </c>
      <c r="C265" s="143" t="s">
        <v>215</v>
      </c>
      <c r="D265" s="143" t="s">
        <v>69</v>
      </c>
      <c r="E265" s="257">
        <v>7116000</v>
      </c>
      <c r="F265" s="257">
        <v>7116000</v>
      </c>
      <c r="G265" s="257">
        <v>5812000</v>
      </c>
      <c r="H265" s="257">
        <v>0</v>
      </c>
      <c r="I265" s="257">
        <v>0</v>
      </c>
      <c r="J265" s="257">
        <v>289852.21999999997</v>
      </c>
      <c r="K265" s="257">
        <v>1969871.06</v>
      </c>
      <c r="L265" s="257">
        <v>1969871.06</v>
      </c>
      <c r="M265" s="257">
        <v>4856276.72</v>
      </c>
      <c r="N265" s="257">
        <v>3552276.72</v>
      </c>
    </row>
    <row r="266" spans="1:14" s="143" customFormat="1" x14ac:dyDescent="0.25">
      <c r="A266" s="143" t="s">
        <v>290</v>
      </c>
      <c r="B266" s="143" t="s">
        <v>216</v>
      </c>
      <c r="C266" s="143" t="s">
        <v>217</v>
      </c>
      <c r="D266" s="143" t="s">
        <v>69</v>
      </c>
      <c r="E266" s="257">
        <v>0</v>
      </c>
      <c r="F266" s="257">
        <v>0</v>
      </c>
      <c r="G266" s="257">
        <v>0</v>
      </c>
      <c r="H266" s="257">
        <v>0</v>
      </c>
      <c r="I266" s="257">
        <v>0</v>
      </c>
      <c r="J266" s="257">
        <v>0</v>
      </c>
      <c r="K266" s="257">
        <v>0</v>
      </c>
      <c r="L266" s="257">
        <v>0</v>
      </c>
      <c r="M266" s="257">
        <v>0</v>
      </c>
      <c r="N266" s="257">
        <v>0</v>
      </c>
    </row>
    <row r="267" spans="1:14" s="143" customFormat="1" x14ac:dyDescent="0.25">
      <c r="A267" s="143" t="s">
        <v>290</v>
      </c>
      <c r="B267" s="143" t="s">
        <v>218</v>
      </c>
      <c r="C267" s="143" t="s">
        <v>219</v>
      </c>
      <c r="D267" s="143" t="s">
        <v>69</v>
      </c>
      <c r="E267" s="257">
        <v>15203693</v>
      </c>
      <c r="F267" s="257">
        <v>15203693</v>
      </c>
      <c r="G267" s="257">
        <v>8837770</v>
      </c>
      <c r="H267" s="257">
        <v>0</v>
      </c>
      <c r="I267" s="257">
        <v>381375</v>
      </c>
      <c r="J267" s="257">
        <v>1229856.18</v>
      </c>
      <c r="K267" s="257">
        <v>737000</v>
      </c>
      <c r="L267" s="257">
        <v>605000</v>
      </c>
      <c r="M267" s="257">
        <v>12855461.82</v>
      </c>
      <c r="N267" s="257">
        <v>6489538.8200000003</v>
      </c>
    </row>
    <row r="268" spans="1:14" s="143" customFormat="1" x14ac:dyDescent="0.25">
      <c r="A268" s="143" t="s">
        <v>290</v>
      </c>
      <c r="B268" s="143" t="s">
        <v>220</v>
      </c>
      <c r="C268" s="143" t="s">
        <v>221</v>
      </c>
      <c r="D268" s="143" t="s">
        <v>69</v>
      </c>
      <c r="E268" s="257">
        <v>133000</v>
      </c>
      <c r="F268" s="257">
        <v>133000</v>
      </c>
      <c r="G268" s="257">
        <v>133000</v>
      </c>
      <c r="H268" s="257">
        <v>129500</v>
      </c>
      <c r="I268" s="257">
        <v>0</v>
      </c>
      <c r="J268" s="257">
        <v>0</v>
      </c>
      <c r="K268" s="257">
        <v>0</v>
      </c>
      <c r="L268" s="257">
        <v>0</v>
      </c>
      <c r="M268" s="257">
        <v>3500</v>
      </c>
      <c r="N268" s="257">
        <v>3500</v>
      </c>
    </row>
    <row r="269" spans="1:14" s="143" customFormat="1" x14ac:dyDescent="0.25">
      <c r="A269" s="143" t="s">
        <v>290</v>
      </c>
      <c r="B269" s="143" t="s">
        <v>222</v>
      </c>
      <c r="C269" s="143" t="s">
        <v>223</v>
      </c>
      <c r="D269" s="143" t="s">
        <v>69</v>
      </c>
      <c r="E269" s="257">
        <v>1356000</v>
      </c>
      <c r="F269" s="257">
        <v>1356000</v>
      </c>
      <c r="G269" s="257">
        <v>1042000</v>
      </c>
      <c r="H269" s="257">
        <v>0</v>
      </c>
      <c r="I269" s="257">
        <v>0</v>
      </c>
      <c r="J269" s="257">
        <v>0</v>
      </c>
      <c r="K269" s="257">
        <v>386600</v>
      </c>
      <c r="L269" s="257">
        <v>386600</v>
      </c>
      <c r="M269" s="257">
        <v>969400</v>
      </c>
      <c r="N269" s="257">
        <v>655400</v>
      </c>
    </row>
    <row r="270" spans="1:14" s="143" customFormat="1" x14ac:dyDescent="0.25">
      <c r="A270" s="143" t="s">
        <v>290</v>
      </c>
      <c r="B270" s="143" t="s">
        <v>224</v>
      </c>
      <c r="C270" s="143" t="s">
        <v>225</v>
      </c>
      <c r="D270" s="143" t="s">
        <v>69</v>
      </c>
      <c r="E270" s="257">
        <v>123000</v>
      </c>
      <c r="F270" s="257">
        <v>123000</v>
      </c>
      <c r="G270" s="257">
        <v>92250</v>
      </c>
      <c r="H270" s="257">
        <v>0</v>
      </c>
      <c r="I270" s="257">
        <v>0</v>
      </c>
      <c r="J270" s="257">
        <v>0</v>
      </c>
      <c r="K270" s="257">
        <v>4800</v>
      </c>
      <c r="L270" s="257">
        <v>4800</v>
      </c>
      <c r="M270" s="257">
        <v>118200</v>
      </c>
      <c r="N270" s="257">
        <v>87450</v>
      </c>
    </row>
    <row r="271" spans="1:14" s="143" customFormat="1" x14ac:dyDescent="0.25">
      <c r="A271" s="143" t="s">
        <v>290</v>
      </c>
      <c r="B271" s="143" t="s">
        <v>228</v>
      </c>
      <c r="C271" s="143" t="s">
        <v>229</v>
      </c>
      <c r="D271" s="143" t="s">
        <v>69</v>
      </c>
      <c r="E271" s="257">
        <v>571000</v>
      </c>
      <c r="F271" s="257">
        <v>571000</v>
      </c>
      <c r="G271" s="257">
        <v>428250</v>
      </c>
      <c r="H271" s="257">
        <v>0</v>
      </c>
      <c r="I271" s="257">
        <v>137340</v>
      </c>
      <c r="J271" s="257">
        <v>0</v>
      </c>
      <c r="K271" s="257">
        <v>0</v>
      </c>
      <c r="L271" s="257">
        <v>0</v>
      </c>
      <c r="M271" s="257">
        <v>433660</v>
      </c>
      <c r="N271" s="257">
        <v>290910</v>
      </c>
    </row>
    <row r="272" spans="1:14" s="143" customFormat="1" x14ac:dyDescent="0.25">
      <c r="A272" s="143" t="s">
        <v>290</v>
      </c>
      <c r="B272" s="143" t="s">
        <v>248</v>
      </c>
      <c r="C272" s="143" t="s">
        <v>249</v>
      </c>
      <c r="D272" s="143" t="s">
        <v>69</v>
      </c>
      <c r="E272" s="257">
        <v>298129000</v>
      </c>
      <c r="F272" s="257">
        <v>306729000</v>
      </c>
      <c r="G272" s="257">
        <v>239782996</v>
      </c>
      <c r="H272" s="257">
        <v>0</v>
      </c>
      <c r="I272" s="257">
        <v>54240303.07</v>
      </c>
      <c r="J272" s="257">
        <v>0</v>
      </c>
      <c r="K272" s="257">
        <v>107895581.69</v>
      </c>
      <c r="L272" s="257">
        <v>107895581.69</v>
      </c>
      <c r="M272" s="257">
        <v>144593115.24000001</v>
      </c>
      <c r="N272" s="257">
        <v>77647111.239999995</v>
      </c>
    </row>
    <row r="273" spans="1:14" s="143" customFormat="1" x14ac:dyDescent="0.25">
      <c r="A273" s="143" t="s">
        <v>290</v>
      </c>
      <c r="B273" s="143" t="s">
        <v>250</v>
      </c>
      <c r="C273" s="143" t="s">
        <v>251</v>
      </c>
      <c r="D273" s="143" t="s">
        <v>69</v>
      </c>
      <c r="E273" s="257">
        <v>115667000</v>
      </c>
      <c r="F273" s="257">
        <v>115667000</v>
      </c>
      <c r="G273" s="257">
        <v>115667000</v>
      </c>
      <c r="H273" s="257">
        <v>0</v>
      </c>
      <c r="I273" s="257">
        <v>54234921.060000002</v>
      </c>
      <c r="J273" s="257">
        <v>0</v>
      </c>
      <c r="K273" s="257">
        <v>61432078.939999998</v>
      </c>
      <c r="L273" s="257">
        <v>61432078.939999998</v>
      </c>
      <c r="M273" s="257">
        <v>0</v>
      </c>
      <c r="N273" s="257">
        <v>0</v>
      </c>
    </row>
    <row r="274" spans="1:14" s="143" customFormat="1" x14ac:dyDescent="0.25">
      <c r="A274" s="143" t="s">
        <v>290</v>
      </c>
      <c r="B274" s="143" t="s">
        <v>332</v>
      </c>
      <c r="C274" s="143" t="s">
        <v>257</v>
      </c>
      <c r="D274" s="143" t="s">
        <v>69</v>
      </c>
      <c r="E274" s="257">
        <v>96260000</v>
      </c>
      <c r="F274" s="257">
        <v>96260000</v>
      </c>
      <c r="G274" s="257">
        <v>96260000</v>
      </c>
      <c r="H274" s="257">
        <v>0</v>
      </c>
      <c r="I274" s="257">
        <v>45135316.869999997</v>
      </c>
      <c r="J274" s="257">
        <v>0</v>
      </c>
      <c r="K274" s="257">
        <v>51124683.130000003</v>
      </c>
      <c r="L274" s="257">
        <v>51124683.130000003</v>
      </c>
      <c r="M274" s="257">
        <v>0</v>
      </c>
      <c r="N274" s="257">
        <v>0</v>
      </c>
    </row>
    <row r="275" spans="1:14" s="143" customFormat="1" x14ac:dyDescent="0.25">
      <c r="A275" s="143" t="s">
        <v>290</v>
      </c>
      <c r="B275" s="143" t="s">
        <v>333</v>
      </c>
      <c r="C275" s="143" t="s">
        <v>259</v>
      </c>
      <c r="D275" s="143" t="s">
        <v>69</v>
      </c>
      <c r="E275" s="257">
        <v>19407000</v>
      </c>
      <c r="F275" s="257">
        <v>19407000</v>
      </c>
      <c r="G275" s="257">
        <v>19407000</v>
      </c>
      <c r="H275" s="257">
        <v>0</v>
      </c>
      <c r="I275" s="257">
        <v>9099604.1899999995</v>
      </c>
      <c r="J275" s="257">
        <v>0</v>
      </c>
      <c r="K275" s="257">
        <v>10307395.810000001</v>
      </c>
      <c r="L275" s="257">
        <v>10307395.810000001</v>
      </c>
      <c r="M275" s="257">
        <v>0</v>
      </c>
      <c r="N275" s="257">
        <v>0</v>
      </c>
    </row>
    <row r="276" spans="1:14" s="143" customFormat="1" x14ac:dyDescent="0.25">
      <c r="A276" s="143" t="s">
        <v>290</v>
      </c>
      <c r="B276" s="143" t="s">
        <v>260</v>
      </c>
      <c r="C276" s="143" t="s">
        <v>261</v>
      </c>
      <c r="D276" s="143" t="s">
        <v>69</v>
      </c>
      <c r="E276" s="257">
        <v>179462000</v>
      </c>
      <c r="F276" s="257">
        <v>179462000</v>
      </c>
      <c r="G276" s="257">
        <v>112515996</v>
      </c>
      <c r="H276" s="257">
        <v>0</v>
      </c>
      <c r="I276" s="257">
        <v>5382.01</v>
      </c>
      <c r="J276" s="257">
        <v>0</v>
      </c>
      <c r="K276" s="257">
        <v>35074039.490000002</v>
      </c>
      <c r="L276" s="257">
        <v>35074039.490000002</v>
      </c>
      <c r="M276" s="257">
        <v>144382578.5</v>
      </c>
      <c r="N276" s="257">
        <v>77436574.5</v>
      </c>
    </row>
    <row r="277" spans="1:14" s="143" customFormat="1" x14ac:dyDescent="0.25">
      <c r="A277" s="143" t="s">
        <v>290</v>
      </c>
      <c r="B277" s="143" t="s">
        <v>262</v>
      </c>
      <c r="C277" s="143" t="s">
        <v>263</v>
      </c>
      <c r="D277" s="143" t="s">
        <v>69</v>
      </c>
      <c r="E277" s="257">
        <v>150000000</v>
      </c>
      <c r="F277" s="257">
        <v>150000000</v>
      </c>
      <c r="G277" s="257">
        <v>83053996</v>
      </c>
      <c r="H277" s="257">
        <v>0</v>
      </c>
      <c r="I277" s="257">
        <v>5382.01</v>
      </c>
      <c r="J277" s="257">
        <v>0</v>
      </c>
      <c r="K277" s="257">
        <v>16857945.489999998</v>
      </c>
      <c r="L277" s="257">
        <v>16857945.489999998</v>
      </c>
      <c r="M277" s="257">
        <v>133136672.5</v>
      </c>
      <c r="N277" s="257">
        <v>66190668.5</v>
      </c>
    </row>
    <row r="278" spans="1:14" s="143" customFormat="1" x14ac:dyDescent="0.25">
      <c r="A278" s="143" t="s">
        <v>290</v>
      </c>
      <c r="B278" s="143" t="s">
        <v>264</v>
      </c>
      <c r="C278" s="143" t="s">
        <v>265</v>
      </c>
      <c r="D278" s="143" t="s">
        <v>69</v>
      </c>
      <c r="E278" s="257">
        <v>29462000</v>
      </c>
      <c r="F278" s="257">
        <v>29462000</v>
      </c>
      <c r="G278" s="257">
        <v>29462000</v>
      </c>
      <c r="H278" s="257">
        <v>0</v>
      </c>
      <c r="I278" s="257">
        <v>0</v>
      </c>
      <c r="J278" s="257">
        <v>0</v>
      </c>
      <c r="K278" s="257">
        <v>18216094</v>
      </c>
      <c r="L278" s="257">
        <v>18216094</v>
      </c>
      <c r="M278" s="257">
        <v>11245906</v>
      </c>
      <c r="N278" s="257">
        <v>11245906</v>
      </c>
    </row>
    <row r="279" spans="1:14" s="143" customFormat="1" x14ac:dyDescent="0.25">
      <c r="A279" s="143" t="s">
        <v>290</v>
      </c>
      <c r="B279" s="143" t="s">
        <v>286</v>
      </c>
      <c r="C279" s="143" t="s">
        <v>287</v>
      </c>
      <c r="D279" s="143" t="s">
        <v>69</v>
      </c>
      <c r="E279" s="257">
        <v>3000000</v>
      </c>
      <c r="F279" s="257">
        <v>11600000</v>
      </c>
      <c r="G279" s="257">
        <v>11600000</v>
      </c>
      <c r="H279" s="257">
        <v>0</v>
      </c>
      <c r="I279" s="257">
        <v>0</v>
      </c>
      <c r="J279" s="257">
        <v>0</v>
      </c>
      <c r="K279" s="257">
        <v>11389463.26</v>
      </c>
      <c r="L279" s="257">
        <v>11389463.26</v>
      </c>
      <c r="M279" s="257">
        <v>210536.74</v>
      </c>
      <c r="N279" s="257">
        <v>210536.74</v>
      </c>
    </row>
    <row r="280" spans="1:14" s="143" customFormat="1" x14ac:dyDescent="0.25">
      <c r="A280" s="143" t="s">
        <v>290</v>
      </c>
      <c r="B280" s="143" t="s">
        <v>288</v>
      </c>
      <c r="C280" s="143" t="s">
        <v>289</v>
      </c>
      <c r="D280" s="143" t="s">
        <v>69</v>
      </c>
      <c r="E280" s="257">
        <v>3000000</v>
      </c>
      <c r="F280" s="257">
        <v>11600000</v>
      </c>
      <c r="G280" s="257">
        <v>11600000</v>
      </c>
      <c r="H280" s="257">
        <v>0</v>
      </c>
      <c r="I280" s="257">
        <v>0</v>
      </c>
      <c r="J280" s="257">
        <v>0</v>
      </c>
      <c r="K280" s="257">
        <v>11389463.26</v>
      </c>
      <c r="L280" s="257">
        <v>11389463.26</v>
      </c>
      <c r="M280" s="257">
        <v>210536.74</v>
      </c>
      <c r="N280" s="257">
        <v>210536.74</v>
      </c>
    </row>
    <row r="281" spans="1:14" s="143" customFormat="1" x14ac:dyDescent="0.25">
      <c r="A281" s="143" t="s">
        <v>290</v>
      </c>
      <c r="B281" s="143" t="s">
        <v>230</v>
      </c>
      <c r="C281" s="143" t="s">
        <v>231</v>
      </c>
      <c r="D281" s="143" t="s">
        <v>85</v>
      </c>
      <c r="E281" s="257">
        <v>47031000</v>
      </c>
      <c r="F281" s="257">
        <v>47031000</v>
      </c>
      <c r="G281" s="257">
        <v>47031000</v>
      </c>
      <c r="H281" s="257">
        <v>22483783.66</v>
      </c>
      <c r="I281" s="257">
        <v>0</v>
      </c>
      <c r="J281" s="257">
        <v>0</v>
      </c>
      <c r="K281" s="257">
        <v>22050439.84</v>
      </c>
      <c r="L281" s="257">
        <v>22050439.84</v>
      </c>
      <c r="M281" s="257">
        <v>2496776.5</v>
      </c>
      <c r="N281" s="257">
        <v>2496776.5</v>
      </c>
    </row>
    <row r="282" spans="1:14" s="143" customFormat="1" x14ac:dyDescent="0.25">
      <c r="A282" s="143" t="s">
        <v>290</v>
      </c>
      <c r="B282" s="143" t="s">
        <v>232</v>
      </c>
      <c r="C282" s="143" t="s">
        <v>233</v>
      </c>
      <c r="D282" s="143" t="s">
        <v>85</v>
      </c>
      <c r="E282" s="257">
        <v>25000000</v>
      </c>
      <c r="F282" s="257">
        <v>17047517.809999999</v>
      </c>
      <c r="G282" s="257">
        <v>17047517.809999999</v>
      </c>
      <c r="H282" s="257">
        <v>3030538</v>
      </c>
      <c r="I282" s="257">
        <v>0</v>
      </c>
      <c r="J282" s="257">
        <v>0</v>
      </c>
      <c r="K282" s="257">
        <v>13762283.65</v>
      </c>
      <c r="L282" s="257">
        <v>13762283.65</v>
      </c>
      <c r="M282" s="257">
        <v>254696.16</v>
      </c>
      <c r="N282" s="257">
        <v>254696.16</v>
      </c>
    </row>
    <row r="283" spans="1:14" s="143" customFormat="1" x14ac:dyDescent="0.25">
      <c r="A283" s="143" t="s">
        <v>290</v>
      </c>
      <c r="B283" s="143" t="s">
        <v>324</v>
      </c>
      <c r="C283" s="143" t="s">
        <v>325</v>
      </c>
      <c r="D283" s="143" t="s">
        <v>85</v>
      </c>
      <c r="E283" s="257">
        <v>15000000</v>
      </c>
      <c r="F283" s="257">
        <v>13762284</v>
      </c>
      <c r="G283" s="257">
        <v>13762284</v>
      </c>
      <c r="H283" s="257">
        <v>0</v>
      </c>
      <c r="I283" s="257">
        <v>0</v>
      </c>
      <c r="J283" s="257">
        <v>0</v>
      </c>
      <c r="K283" s="257">
        <v>13762283.65</v>
      </c>
      <c r="L283" s="257">
        <v>13762283.65</v>
      </c>
      <c r="M283" s="257">
        <v>0.35</v>
      </c>
      <c r="N283" s="257">
        <v>0.35</v>
      </c>
    </row>
    <row r="284" spans="1:14" s="143" customFormat="1" x14ac:dyDescent="0.25">
      <c r="A284" s="143" t="s">
        <v>290</v>
      </c>
      <c r="B284" s="143" t="s">
        <v>236</v>
      </c>
      <c r="C284" s="143" t="s">
        <v>237</v>
      </c>
      <c r="D284" s="143" t="s">
        <v>85</v>
      </c>
      <c r="E284" s="257">
        <v>0</v>
      </c>
      <c r="F284" s="257">
        <v>0</v>
      </c>
      <c r="G284" s="257">
        <v>0</v>
      </c>
      <c r="H284" s="257">
        <v>0</v>
      </c>
      <c r="I284" s="257">
        <v>0</v>
      </c>
      <c r="J284" s="257">
        <v>0</v>
      </c>
      <c r="K284" s="257">
        <v>0</v>
      </c>
      <c r="L284" s="257">
        <v>0</v>
      </c>
      <c r="M284" s="257">
        <v>0</v>
      </c>
      <c r="N284" s="257">
        <v>0</v>
      </c>
    </row>
    <row r="285" spans="1:14" s="143" customFormat="1" x14ac:dyDescent="0.25">
      <c r="A285" s="143" t="s">
        <v>290</v>
      </c>
      <c r="B285" s="143" t="s">
        <v>238</v>
      </c>
      <c r="C285" s="143" t="s">
        <v>239</v>
      </c>
      <c r="D285" s="143" t="s">
        <v>85</v>
      </c>
      <c r="E285" s="257">
        <v>0</v>
      </c>
      <c r="F285" s="257">
        <v>0</v>
      </c>
      <c r="G285" s="257">
        <v>0</v>
      </c>
      <c r="H285" s="257">
        <v>0</v>
      </c>
      <c r="I285" s="257">
        <v>0</v>
      </c>
      <c r="J285" s="257">
        <v>0</v>
      </c>
      <c r="K285" s="257">
        <v>0</v>
      </c>
      <c r="L285" s="257">
        <v>0</v>
      </c>
      <c r="M285" s="257">
        <v>0</v>
      </c>
      <c r="N285" s="257">
        <v>0</v>
      </c>
    </row>
    <row r="286" spans="1:14" s="143" customFormat="1" x14ac:dyDescent="0.25">
      <c r="A286" s="143" t="s">
        <v>290</v>
      </c>
      <c r="B286" s="143" t="s">
        <v>282</v>
      </c>
      <c r="C286" s="143" t="s">
        <v>283</v>
      </c>
      <c r="D286" s="143" t="s">
        <v>85</v>
      </c>
      <c r="E286" s="257">
        <v>10000000</v>
      </c>
      <c r="F286" s="257">
        <v>2585233.81</v>
      </c>
      <c r="G286" s="257">
        <v>2585233.81</v>
      </c>
      <c r="H286" s="257">
        <v>2399168</v>
      </c>
      <c r="I286" s="257">
        <v>0</v>
      </c>
      <c r="J286" s="257">
        <v>0</v>
      </c>
      <c r="K286" s="257">
        <v>0</v>
      </c>
      <c r="L286" s="257">
        <v>0</v>
      </c>
      <c r="M286" s="257">
        <v>186065.81</v>
      </c>
      <c r="N286" s="257">
        <v>186065.81</v>
      </c>
    </row>
    <row r="287" spans="1:14" s="143" customFormat="1" x14ac:dyDescent="0.25">
      <c r="A287" s="143" t="s">
        <v>290</v>
      </c>
      <c r="B287" s="143" t="s">
        <v>326</v>
      </c>
      <c r="C287" s="143" t="s">
        <v>327</v>
      </c>
      <c r="D287" s="143" t="s">
        <v>85</v>
      </c>
      <c r="E287" s="257">
        <v>0</v>
      </c>
      <c r="F287" s="257">
        <v>0</v>
      </c>
      <c r="G287" s="257">
        <v>0</v>
      </c>
      <c r="H287" s="257">
        <v>0</v>
      </c>
      <c r="I287" s="257">
        <v>0</v>
      </c>
      <c r="J287" s="257">
        <v>0</v>
      </c>
      <c r="K287" s="257">
        <v>0</v>
      </c>
      <c r="L287" s="257">
        <v>0</v>
      </c>
      <c r="M287" s="257">
        <v>0</v>
      </c>
      <c r="N287" s="257">
        <v>0</v>
      </c>
    </row>
    <row r="288" spans="1:14" s="143" customFormat="1" x14ac:dyDescent="0.25">
      <c r="A288" s="143" t="s">
        <v>290</v>
      </c>
      <c r="B288" s="143" t="s">
        <v>242</v>
      </c>
      <c r="C288" s="143" t="s">
        <v>243</v>
      </c>
      <c r="D288" s="143" t="s">
        <v>85</v>
      </c>
      <c r="E288" s="257">
        <v>0</v>
      </c>
      <c r="F288" s="257">
        <v>700000</v>
      </c>
      <c r="G288" s="257">
        <v>700000</v>
      </c>
      <c r="H288" s="257">
        <v>631370</v>
      </c>
      <c r="I288" s="257">
        <v>0</v>
      </c>
      <c r="J288" s="257">
        <v>0</v>
      </c>
      <c r="K288" s="257">
        <v>0</v>
      </c>
      <c r="L288" s="257">
        <v>0</v>
      </c>
      <c r="M288" s="257">
        <v>68630</v>
      </c>
      <c r="N288" s="257">
        <v>68630</v>
      </c>
    </row>
    <row r="289" spans="1:14" s="143" customFormat="1" x14ac:dyDescent="0.25">
      <c r="A289" s="143" t="s">
        <v>290</v>
      </c>
      <c r="B289" s="143" t="s">
        <v>328</v>
      </c>
      <c r="C289" s="143" t="s">
        <v>329</v>
      </c>
      <c r="D289" s="143" t="s">
        <v>85</v>
      </c>
      <c r="E289" s="257">
        <v>0</v>
      </c>
      <c r="F289" s="257">
        <v>1350982.19</v>
      </c>
      <c r="G289" s="257">
        <v>1350982.19</v>
      </c>
      <c r="H289" s="257">
        <v>0</v>
      </c>
      <c r="I289" s="257">
        <v>0</v>
      </c>
      <c r="J289" s="257">
        <v>0</v>
      </c>
      <c r="K289" s="257">
        <v>1350982.19</v>
      </c>
      <c r="L289" s="257">
        <v>1350982.19</v>
      </c>
      <c r="M289" s="257">
        <v>0</v>
      </c>
      <c r="N289" s="257">
        <v>0</v>
      </c>
    </row>
    <row r="290" spans="1:14" s="143" customFormat="1" x14ac:dyDescent="0.25">
      <c r="A290" s="143" t="s">
        <v>290</v>
      </c>
      <c r="B290" s="143" t="s">
        <v>330</v>
      </c>
      <c r="C290" s="143" t="s">
        <v>331</v>
      </c>
      <c r="D290" s="143" t="s">
        <v>85</v>
      </c>
      <c r="E290" s="257">
        <v>0</v>
      </c>
      <c r="F290" s="257">
        <v>1350982.19</v>
      </c>
      <c r="G290" s="257">
        <v>1350982.19</v>
      </c>
      <c r="H290" s="257">
        <v>0</v>
      </c>
      <c r="I290" s="257">
        <v>0</v>
      </c>
      <c r="J290" s="257">
        <v>0</v>
      </c>
      <c r="K290" s="257">
        <v>1350982.19</v>
      </c>
      <c r="L290" s="257">
        <v>1350982.19</v>
      </c>
      <c r="M290" s="257">
        <v>0</v>
      </c>
      <c r="N290" s="257">
        <v>0</v>
      </c>
    </row>
    <row r="291" spans="1:14" s="143" customFormat="1" x14ac:dyDescent="0.25">
      <c r="A291" s="143" t="s">
        <v>290</v>
      </c>
      <c r="B291" s="143" t="s">
        <v>244</v>
      </c>
      <c r="C291" s="143" t="s">
        <v>245</v>
      </c>
      <c r="D291" s="143" t="s">
        <v>85</v>
      </c>
      <c r="E291" s="257">
        <v>22031000</v>
      </c>
      <c r="F291" s="257">
        <v>28632500</v>
      </c>
      <c r="G291" s="257">
        <v>28632500</v>
      </c>
      <c r="H291" s="257">
        <v>19453245.66</v>
      </c>
      <c r="I291" s="257">
        <v>0</v>
      </c>
      <c r="J291" s="257">
        <v>0</v>
      </c>
      <c r="K291" s="257">
        <v>6937174</v>
      </c>
      <c r="L291" s="257">
        <v>6937174</v>
      </c>
      <c r="M291" s="257">
        <v>2242080.34</v>
      </c>
      <c r="N291" s="257">
        <v>2242080.34</v>
      </c>
    </row>
    <row r="292" spans="1:14" s="143" customFormat="1" x14ac:dyDescent="0.25">
      <c r="A292" s="143" t="s">
        <v>290</v>
      </c>
      <c r="B292" s="143" t="s">
        <v>246</v>
      </c>
      <c r="C292" s="143" t="s">
        <v>247</v>
      </c>
      <c r="D292" s="143" t="s">
        <v>85</v>
      </c>
      <c r="E292" s="257">
        <v>22031000</v>
      </c>
      <c r="F292" s="257">
        <v>28632500</v>
      </c>
      <c r="G292" s="257">
        <v>28632500</v>
      </c>
      <c r="H292" s="257">
        <v>19453245.66</v>
      </c>
      <c r="I292" s="257">
        <v>0</v>
      </c>
      <c r="J292" s="257">
        <v>0</v>
      </c>
      <c r="K292" s="257">
        <v>6937174</v>
      </c>
      <c r="L292" s="257">
        <v>6937174</v>
      </c>
      <c r="M292" s="257">
        <v>2242080.34</v>
      </c>
      <c r="N292" s="257">
        <v>2242080.34</v>
      </c>
    </row>
    <row r="293" spans="1:14" s="143" customFormat="1" x14ac:dyDescent="0.25">
      <c r="A293" s="143">
        <v>214783</v>
      </c>
      <c r="D293" s="143" t="s">
        <v>69</v>
      </c>
      <c r="E293" s="257">
        <v>106163237755</v>
      </c>
      <c r="F293" s="257">
        <v>112163237755</v>
      </c>
      <c r="G293" s="257">
        <v>104411102686.89999</v>
      </c>
      <c r="H293" s="257">
        <v>199961198.59999999</v>
      </c>
      <c r="I293" s="257">
        <v>17567914897.830002</v>
      </c>
      <c r="J293" s="257">
        <v>320483196.42000002</v>
      </c>
      <c r="K293" s="279">
        <v>49897536213.580002</v>
      </c>
      <c r="L293" s="257">
        <v>49395435868.010002</v>
      </c>
      <c r="M293" s="257">
        <v>44177342248.57</v>
      </c>
      <c r="N293" s="257">
        <v>36425207180.470001</v>
      </c>
    </row>
    <row r="294" spans="1:14" s="143" customFormat="1" x14ac:dyDescent="0.25">
      <c r="A294" s="143" t="s">
        <v>334</v>
      </c>
      <c r="B294" s="143" t="s">
        <v>71</v>
      </c>
      <c r="C294" s="143" t="s">
        <v>72</v>
      </c>
      <c r="D294" s="143" t="s">
        <v>69</v>
      </c>
      <c r="E294" s="257">
        <v>69224041000</v>
      </c>
      <c r="F294" s="257">
        <v>69224041000</v>
      </c>
      <c r="G294" s="257">
        <v>69224041000</v>
      </c>
      <c r="H294" s="257">
        <v>0</v>
      </c>
      <c r="I294" s="257">
        <v>4450549652.5</v>
      </c>
      <c r="J294" s="257">
        <v>0</v>
      </c>
      <c r="K294" s="257">
        <v>35576957849.019997</v>
      </c>
      <c r="L294" s="257">
        <v>35576957849.019997</v>
      </c>
      <c r="M294" s="257">
        <v>29196533498.48</v>
      </c>
      <c r="N294" s="257">
        <v>29196533498.48</v>
      </c>
    </row>
    <row r="295" spans="1:14" s="143" customFormat="1" x14ac:dyDescent="0.25">
      <c r="A295" s="143" t="s">
        <v>334</v>
      </c>
      <c r="B295" s="143" t="s">
        <v>73</v>
      </c>
      <c r="C295" s="143" t="s">
        <v>74</v>
      </c>
      <c r="D295" s="143" t="s">
        <v>69</v>
      </c>
      <c r="E295" s="257">
        <v>25618223000</v>
      </c>
      <c r="F295" s="257">
        <v>25618223000</v>
      </c>
      <c r="G295" s="257">
        <v>25618223000</v>
      </c>
      <c r="H295" s="257">
        <v>0</v>
      </c>
      <c r="I295" s="257">
        <v>160325</v>
      </c>
      <c r="J295" s="257">
        <v>0</v>
      </c>
      <c r="K295" s="257">
        <v>12880027566.940001</v>
      </c>
      <c r="L295" s="257">
        <v>12880027566.940001</v>
      </c>
      <c r="M295" s="257">
        <v>12738035108.059999</v>
      </c>
      <c r="N295" s="257">
        <v>12738035108.059999</v>
      </c>
    </row>
    <row r="296" spans="1:14" s="143" customFormat="1" x14ac:dyDescent="0.25">
      <c r="A296" s="143" t="s">
        <v>334</v>
      </c>
      <c r="B296" s="143" t="s">
        <v>75</v>
      </c>
      <c r="C296" s="143" t="s">
        <v>76</v>
      </c>
      <c r="D296" s="143" t="s">
        <v>69</v>
      </c>
      <c r="E296" s="257">
        <v>25601107000</v>
      </c>
      <c r="F296" s="257">
        <v>25601107000</v>
      </c>
      <c r="G296" s="257">
        <v>25601107000</v>
      </c>
      <c r="H296" s="257">
        <v>0</v>
      </c>
      <c r="I296" s="257">
        <v>160325</v>
      </c>
      <c r="J296" s="257">
        <v>0</v>
      </c>
      <c r="K296" s="257">
        <v>12864755766.940001</v>
      </c>
      <c r="L296" s="257">
        <v>12864755766.940001</v>
      </c>
      <c r="M296" s="257">
        <v>12736190908.059999</v>
      </c>
      <c r="N296" s="257">
        <v>12736190908.059999</v>
      </c>
    </row>
    <row r="297" spans="1:14" s="143" customFormat="1" x14ac:dyDescent="0.25">
      <c r="A297" s="143" t="s">
        <v>334</v>
      </c>
      <c r="B297" s="143" t="s">
        <v>335</v>
      </c>
      <c r="C297" s="143" t="s">
        <v>336</v>
      </c>
      <c r="D297" s="143" t="s">
        <v>69</v>
      </c>
      <c r="E297" s="257">
        <v>17116000</v>
      </c>
      <c r="F297" s="257">
        <v>17116000</v>
      </c>
      <c r="G297" s="257">
        <v>17116000</v>
      </c>
      <c r="H297" s="257">
        <v>0</v>
      </c>
      <c r="I297" s="257">
        <v>0</v>
      </c>
      <c r="J297" s="257">
        <v>0</v>
      </c>
      <c r="K297" s="257">
        <v>15271800</v>
      </c>
      <c r="L297" s="257">
        <v>15271800</v>
      </c>
      <c r="M297" s="257">
        <v>1844200</v>
      </c>
      <c r="N297" s="257">
        <v>1844200</v>
      </c>
    </row>
    <row r="298" spans="1:14" s="143" customFormat="1" x14ac:dyDescent="0.25">
      <c r="A298" s="143" t="s">
        <v>334</v>
      </c>
      <c r="B298" s="143" t="s">
        <v>293</v>
      </c>
      <c r="C298" s="143" t="s">
        <v>294</v>
      </c>
      <c r="D298" s="143" t="s">
        <v>69</v>
      </c>
      <c r="E298" s="257">
        <v>3406791000</v>
      </c>
      <c r="F298" s="257">
        <v>3606791000</v>
      </c>
      <c r="G298" s="257">
        <v>3606791000</v>
      </c>
      <c r="H298" s="257">
        <v>0</v>
      </c>
      <c r="I298" s="257">
        <v>40081.25</v>
      </c>
      <c r="J298" s="257">
        <v>0</v>
      </c>
      <c r="K298" s="257">
        <v>1956729228.4200001</v>
      </c>
      <c r="L298" s="257">
        <v>1956729228.4200001</v>
      </c>
      <c r="M298" s="257">
        <v>1650021690.3299999</v>
      </c>
      <c r="N298" s="257">
        <v>1650021690.3299999</v>
      </c>
    </row>
    <row r="299" spans="1:14" s="143" customFormat="1" x14ac:dyDescent="0.25">
      <c r="A299" s="143" t="s">
        <v>334</v>
      </c>
      <c r="B299" s="143" t="s">
        <v>295</v>
      </c>
      <c r="C299" s="143" t="s">
        <v>296</v>
      </c>
      <c r="D299" s="143" t="s">
        <v>69</v>
      </c>
      <c r="E299" s="257">
        <v>8000000</v>
      </c>
      <c r="F299" s="257">
        <v>8000000</v>
      </c>
      <c r="G299" s="257">
        <v>8000000</v>
      </c>
      <c r="H299" s="257">
        <v>0</v>
      </c>
      <c r="I299" s="257">
        <v>0</v>
      </c>
      <c r="J299" s="257">
        <v>0</v>
      </c>
      <c r="K299" s="257">
        <v>3008346.56</v>
      </c>
      <c r="L299" s="257">
        <v>3008346.56</v>
      </c>
      <c r="M299" s="257">
        <v>4991653.4400000004</v>
      </c>
      <c r="N299" s="257">
        <v>4991653.4400000004</v>
      </c>
    </row>
    <row r="300" spans="1:14" s="143" customFormat="1" x14ac:dyDescent="0.25">
      <c r="A300" s="143" t="s">
        <v>334</v>
      </c>
      <c r="B300" s="143" t="s">
        <v>337</v>
      </c>
      <c r="C300" s="143" t="s">
        <v>338</v>
      </c>
      <c r="D300" s="143" t="s">
        <v>69</v>
      </c>
      <c r="E300" s="257">
        <v>24994000</v>
      </c>
      <c r="F300" s="257">
        <v>24994000</v>
      </c>
      <c r="G300" s="257">
        <v>24994000</v>
      </c>
      <c r="H300" s="257">
        <v>0</v>
      </c>
      <c r="I300" s="257">
        <v>0</v>
      </c>
      <c r="J300" s="257">
        <v>0</v>
      </c>
      <c r="K300" s="257">
        <v>3451575</v>
      </c>
      <c r="L300" s="257">
        <v>3451575</v>
      </c>
      <c r="M300" s="257">
        <v>21542425</v>
      </c>
      <c r="N300" s="257">
        <v>21542425</v>
      </c>
    </row>
    <row r="301" spans="1:14" s="143" customFormat="1" x14ac:dyDescent="0.25">
      <c r="A301" s="143" t="s">
        <v>334</v>
      </c>
      <c r="B301" s="143" t="s">
        <v>339</v>
      </c>
      <c r="C301" s="143" t="s">
        <v>340</v>
      </c>
      <c r="D301" s="143" t="s">
        <v>69</v>
      </c>
      <c r="E301" s="257">
        <v>3373797000</v>
      </c>
      <c r="F301" s="257">
        <v>3573797000</v>
      </c>
      <c r="G301" s="257">
        <v>3573797000</v>
      </c>
      <c r="H301" s="257">
        <v>0</v>
      </c>
      <c r="I301" s="257">
        <v>40081.25</v>
      </c>
      <c r="J301" s="257">
        <v>0</v>
      </c>
      <c r="K301" s="257">
        <v>1950269306.8599999</v>
      </c>
      <c r="L301" s="257">
        <v>1950269306.8599999</v>
      </c>
      <c r="M301" s="257">
        <v>1623487611.8900001</v>
      </c>
      <c r="N301" s="257">
        <v>1623487611.8900001</v>
      </c>
    </row>
    <row r="302" spans="1:14" s="143" customFormat="1" x14ac:dyDescent="0.25">
      <c r="A302" s="143" t="s">
        <v>334</v>
      </c>
      <c r="B302" s="143" t="s">
        <v>77</v>
      </c>
      <c r="C302" s="143" t="s">
        <v>78</v>
      </c>
      <c r="D302" s="143" t="s">
        <v>69</v>
      </c>
      <c r="E302" s="257">
        <v>29694590000</v>
      </c>
      <c r="F302" s="257">
        <v>29494590000</v>
      </c>
      <c r="G302" s="257">
        <v>29494590000</v>
      </c>
      <c r="H302" s="257">
        <v>0</v>
      </c>
      <c r="I302" s="257">
        <v>118113.25</v>
      </c>
      <c r="J302" s="257">
        <v>0</v>
      </c>
      <c r="K302" s="257">
        <v>14685995186.66</v>
      </c>
      <c r="L302" s="257">
        <v>14685995186.66</v>
      </c>
      <c r="M302" s="257">
        <v>14808476700.09</v>
      </c>
      <c r="N302" s="257">
        <v>14808476700.09</v>
      </c>
    </row>
    <row r="303" spans="1:14" s="143" customFormat="1" x14ac:dyDescent="0.25">
      <c r="A303" s="143" t="s">
        <v>334</v>
      </c>
      <c r="B303" s="143" t="s">
        <v>79</v>
      </c>
      <c r="C303" s="143" t="s">
        <v>80</v>
      </c>
      <c r="D303" s="143" t="s">
        <v>69</v>
      </c>
      <c r="E303" s="257">
        <v>9856906000</v>
      </c>
      <c r="F303" s="257">
        <v>9656906000</v>
      </c>
      <c r="G303" s="257">
        <v>9656906000</v>
      </c>
      <c r="H303" s="257">
        <v>0</v>
      </c>
      <c r="I303" s="257">
        <v>49881.5</v>
      </c>
      <c r="J303" s="257">
        <v>0</v>
      </c>
      <c r="K303" s="257">
        <v>5016673585.4499998</v>
      </c>
      <c r="L303" s="257">
        <v>5016673585.4499998</v>
      </c>
      <c r="M303" s="257">
        <v>4640182533.0500002</v>
      </c>
      <c r="N303" s="257">
        <v>4640182533.0500002</v>
      </c>
    </row>
    <row r="304" spans="1:14" s="143" customFormat="1" x14ac:dyDescent="0.25">
      <c r="A304" s="143" t="s">
        <v>334</v>
      </c>
      <c r="B304" s="143" t="s">
        <v>81</v>
      </c>
      <c r="C304" s="143" t="s">
        <v>82</v>
      </c>
      <c r="D304" s="143" t="s">
        <v>69</v>
      </c>
      <c r="E304" s="257">
        <v>3637068000</v>
      </c>
      <c r="F304" s="257">
        <v>3637068000</v>
      </c>
      <c r="G304" s="257">
        <v>3637068000</v>
      </c>
      <c r="H304" s="257">
        <v>0</v>
      </c>
      <c r="I304" s="257">
        <v>0</v>
      </c>
      <c r="J304" s="257">
        <v>0</v>
      </c>
      <c r="K304" s="257">
        <v>1754512925.1099999</v>
      </c>
      <c r="L304" s="257">
        <v>1754512925.1099999</v>
      </c>
      <c r="M304" s="257">
        <v>1882555074.8900001</v>
      </c>
      <c r="N304" s="257">
        <v>1882555074.8900001</v>
      </c>
    </row>
    <row r="305" spans="1:14" s="143" customFormat="1" x14ac:dyDescent="0.25">
      <c r="A305" s="143" t="s">
        <v>334</v>
      </c>
      <c r="B305" s="143" t="s">
        <v>86</v>
      </c>
      <c r="C305" s="143" t="s">
        <v>87</v>
      </c>
      <c r="D305" s="143" t="s">
        <v>69</v>
      </c>
      <c r="E305" s="257">
        <v>3859929000</v>
      </c>
      <c r="F305" s="257">
        <v>3859929000</v>
      </c>
      <c r="G305" s="257">
        <v>3859929000</v>
      </c>
      <c r="H305" s="257">
        <v>0</v>
      </c>
      <c r="I305" s="257">
        <v>0</v>
      </c>
      <c r="J305" s="257">
        <v>0</v>
      </c>
      <c r="K305" s="257">
        <v>3840961894.8699999</v>
      </c>
      <c r="L305" s="257">
        <v>3840961894.8699999</v>
      </c>
      <c r="M305" s="257">
        <v>18967105.129999999</v>
      </c>
      <c r="N305" s="257">
        <v>18967105.129999999</v>
      </c>
    </row>
    <row r="306" spans="1:14" s="143" customFormat="1" x14ac:dyDescent="0.25">
      <c r="A306" s="143" t="s">
        <v>334</v>
      </c>
      <c r="B306" s="143" t="s">
        <v>88</v>
      </c>
      <c r="C306" s="143" t="s">
        <v>89</v>
      </c>
      <c r="D306" s="143" t="s">
        <v>69</v>
      </c>
      <c r="E306" s="257">
        <v>7961754000</v>
      </c>
      <c r="F306" s="257">
        <v>7961754000</v>
      </c>
      <c r="G306" s="257">
        <v>7961754000</v>
      </c>
      <c r="H306" s="257">
        <v>0</v>
      </c>
      <c r="I306" s="257">
        <v>68231.75</v>
      </c>
      <c r="J306" s="257">
        <v>0</v>
      </c>
      <c r="K306" s="257">
        <v>4068017024.8499999</v>
      </c>
      <c r="L306" s="257">
        <v>4068017024.8499999</v>
      </c>
      <c r="M306" s="257">
        <v>3893668743.4000001</v>
      </c>
      <c r="N306" s="257">
        <v>3893668743.4000001</v>
      </c>
    </row>
    <row r="307" spans="1:14" s="143" customFormat="1" x14ac:dyDescent="0.25">
      <c r="A307" s="143" t="s">
        <v>334</v>
      </c>
      <c r="B307" s="143" t="s">
        <v>83</v>
      </c>
      <c r="C307" s="143" t="s">
        <v>84</v>
      </c>
      <c r="D307" s="143" t="s">
        <v>85</v>
      </c>
      <c r="E307" s="257">
        <v>4378933000</v>
      </c>
      <c r="F307" s="257">
        <v>4378933000</v>
      </c>
      <c r="G307" s="257">
        <v>4378933000</v>
      </c>
      <c r="H307" s="257">
        <v>0</v>
      </c>
      <c r="I307" s="257">
        <v>0</v>
      </c>
      <c r="J307" s="257">
        <v>0</v>
      </c>
      <c r="K307" s="257">
        <v>5829756.3799999999</v>
      </c>
      <c r="L307" s="257">
        <v>5829756.3799999999</v>
      </c>
      <c r="M307" s="257">
        <v>4373103243.6199999</v>
      </c>
      <c r="N307" s="257">
        <v>4373103243.6199999</v>
      </c>
    </row>
    <row r="308" spans="1:14" s="143" customFormat="1" x14ac:dyDescent="0.25">
      <c r="A308" s="143" t="s">
        <v>334</v>
      </c>
      <c r="B308" s="143" t="s">
        <v>90</v>
      </c>
      <c r="C308" s="143" t="s">
        <v>91</v>
      </c>
      <c r="D308" s="143" t="s">
        <v>69</v>
      </c>
      <c r="E308" s="257">
        <v>5298410000</v>
      </c>
      <c r="F308" s="257">
        <v>5298410000</v>
      </c>
      <c r="G308" s="257">
        <v>5298410000</v>
      </c>
      <c r="H308" s="257">
        <v>0</v>
      </c>
      <c r="I308" s="257">
        <v>2243984262</v>
      </c>
      <c r="J308" s="257">
        <v>0</v>
      </c>
      <c r="K308" s="257">
        <v>3054425738</v>
      </c>
      <c r="L308" s="257">
        <v>3054425738</v>
      </c>
      <c r="M308" s="257">
        <v>0</v>
      </c>
      <c r="N308" s="257">
        <v>0</v>
      </c>
    </row>
    <row r="309" spans="1:14" s="143" customFormat="1" x14ac:dyDescent="0.25">
      <c r="A309" s="143" t="s">
        <v>334</v>
      </c>
      <c r="B309" s="143" t="s">
        <v>341</v>
      </c>
      <c r="C309" s="143" t="s">
        <v>93</v>
      </c>
      <c r="D309" s="143" t="s">
        <v>69</v>
      </c>
      <c r="E309" s="257">
        <v>5026697000</v>
      </c>
      <c r="F309" s="257">
        <v>5026697000</v>
      </c>
      <c r="G309" s="257">
        <v>5026697000</v>
      </c>
      <c r="H309" s="257">
        <v>0</v>
      </c>
      <c r="I309" s="257">
        <v>2128878352</v>
      </c>
      <c r="J309" s="257">
        <v>0</v>
      </c>
      <c r="K309" s="257">
        <v>2897818648</v>
      </c>
      <c r="L309" s="257">
        <v>2897818648</v>
      </c>
      <c r="M309" s="257">
        <v>0</v>
      </c>
      <c r="N309" s="257">
        <v>0</v>
      </c>
    </row>
    <row r="310" spans="1:14" s="143" customFormat="1" x14ac:dyDescent="0.25">
      <c r="A310" s="143" t="s">
        <v>334</v>
      </c>
      <c r="B310" s="143" t="s">
        <v>342</v>
      </c>
      <c r="C310" s="143" t="s">
        <v>95</v>
      </c>
      <c r="D310" s="143" t="s">
        <v>69</v>
      </c>
      <c r="E310" s="257">
        <v>271713000</v>
      </c>
      <c r="F310" s="257">
        <v>271713000</v>
      </c>
      <c r="G310" s="257">
        <v>271713000</v>
      </c>
      <c r="H310" s="257">
        <v>0</v>
      </c>
      <c r="I310" s="257">
        <v>115105910</v>
      </c>
      <c r="J310" s="257">
        <v>0</v>
      </c>
      <c r="K310" s="257">
        <v>156607090</v>
      </c>
      <c r="L310" s="257">
        <v>156607090</v>
      </c>
      <c r="M310" s="257">
        <v>0</v>
      </c>
      <c r="N310" s="257">
        <v>0</v>
      </c>
    </row>
    <row r="311" spans="1:14" s="143" customFormat="1" x14ac:dyDescent="0.25">
      <c r="A311" s="143" t="s">
        <v>334</v>
      </c>
      <c r="B311" s="143" t="s">
        <v>96</v>
      </c>
      <c r="C311" s="143" t="s">
        <v>97</v>
      </c>
      <c r="D311" s="143" t="s">
        <v>69</v>
      </c>
      <c r="E311" s="257">
        <v>5206027000</v>
      </c>
      <c r="F311" s="257">
        <v>5206027000</v>
      </c>
      <c r="G311" s="257">
        <v>5206027000</v>
      </c>
      <c r="H311" s="257">
        <v>0</v>
      </c>
      <c r="I311" s="257">
        <v>2206246871</v>
      </c>
      <c r="J311" s="257">
        <v>0</v>
      </c>
      <c r="K311" s="257">
        <v>2999780129</v>
      </c>
      <c r="L311" s="257">
        <v>2999780129</v>
      </c>
      <c r="M311" s="257">
        <v>0</v>
      </c>
      <c r="N311" s="257">
        <v>0</v>
      </c>
    </row>
    <row r="312" spans="1:14" s="143" customFormat="1" x14ac:dyDescent="0.25">
      <c r="A312" s="143" t="s">
        <v>334</v>
      </c>
      <c r="B312" s="143" t="s">
        <v>343</v>
      </c>
      <c r="C312" s="143" t="s">
        <v>99</v>
      </c>
      <c r="D312" s="143" t="s">
        <v>69</v>
      </c>
      <c r="E312" s="257">
        <v>2760607000</v>
      </c>
      <c r="F312" s="257">
        <v>2760607000</v>
      </c>
      <c r="G312" s="257">
        <v>2760607000</v>
      </c>
      <c r="H312" s="257">
        <v>0</v>
      </c>
      <c r="I312" s="257">
        <v>1170293920</v>
      </c>
      <c r="J312" s="257">
        <v>0</v>
      </c>
      <c r="K312" s="257">
        <v>1590313080</v>
      </c>
      <c r="L312" s="257">
        <v>1590313080</v>
      </c>
      <c r="M312" s="257">
        <v>0</v>
      </c>
      <c r="N312" s="257">
        <v>0</v>
      </c>
    </row>
    <row r="313" spans="1:14" s="143" customFormat="1" x14ac:dyDescent="0.25">
      <c r="A313" s="143" t="s">
        <v>334</v>
      </c>
      <c r="B313" s="143" t="s">
        <v>344</v>
      </c>
      <c r="C313" s="143" t="s">
        <v>101</v>
      </c>
      <c r="D313" s="143" t="s">
        <v>69</v>
      </c>
      <c r="E313" s="257">
        <v>815140000</v>
      </c>
      <c r="F313" s="257">
        <v>815140000</v>
      </c>
      <c r="G313" s="257">
        <v>815140000</v>
      </c>
      <c r="H313" s="257">
        <v>0</v>
      </c>
      <c r="I313" s="257">
        <v>345317095</v>
      </c>
      <c r="J313" s="257">
        <v>0</v>
      </c>
      <c r="K313" s="257">
        <v>469822905</v>
      </c>
      <c r="L313" s="257">
        <v>469822905</v>
      </c>
      <c r="M313" s="257">
        <v>0</v>
      </c>
      <c r="N313" s="257">
        <v>0</v>
      </c>
    </row>
    <row r="314" spans="1:14" s="143" customFormat="1" x14ac:dyDescent="0.25">
      <c r="A314" s="143" t="s">
        <v>334</v>
      </c>
      <c r="B314" s="143" t="s">
        <v>345</v>
      </c>
      <c r="C314" s="143" t="s">
        <v>103</v>
      </c>
      <c r="D314" s="143" t="s">
        <v>69</v>
      </c>
      <c r="E314" s="257">
        <v>1630280000</v>
      </c>
      <c r="F314" s="257">
        <v>1630280000</v>
      </c>
      <c r="G314" s="257">
        <v>1630280000</v>
      </c>
      <c r="H314" s="257">
        <v>0</v>
      </c>
      <c r="I314" s="257">
        <v>690635856</v>
      </c>
      <c r="J314" s="257">
        <v>0</v>
      </c>
      <c r="K314" s="257">
        <v>939644144</v>
      </c>
      <c r="L314" s="257">
        <v>939644144</v>
      </c>
      <c r="M314" s="257">
        <v>0</v>
      </c>
      <c r="N314" s="257">
        <v>0</v>
      </c>
    </row>
    <row r="315" spans="1:14" s="143" customFormat="1" x14ac:dyDescent="0.25">
      <c r="A315" s="143" t="s">
        <v>334</v>
      </c>
      <c r="B315" s="143" t="s">
        <v>104</v>
      </c>
      <c r="C315" s="143" t="s">
        <v>105</v>
      </c>
      <c r="D315" s="143" t="s">
        <v>69</v>
      </c>
      <c r="E315" s="257">
        <v>9869454182</v>
      </c>
      <c r="F315" s="257">
        <v>13869454182</v>
      </c>
      <c r="G315" s="257">
        <v>11094656639.4</v>
      </c>
      <c r="H315" s="257">
        <v>2791950</v>
      </c>
      <c r="I315" s="257">
        <v>1391175754.2</v>
      </c>
      <c r="J315" s="257">
        <v>25830841.32</v>
      </c>
      <c r="K315" s="257">
        <v>6038617876.21</v>
      </c>
      <c r="L315" s="257">
        <v>5900284463.04</v>
      </c>
      <c r="M315" s="257">
        <v>6411037760.2700005</v>
      </c>
      <c r="N315" s="257">
        <v>3636240217.6700001</v>
      </c>
    </row>
    <row r="316" spans="1:14" s="143" customFormat="1" x14ac:dyDescent="0.25">
      <c r="A316" s="143" t="s">
        <v>334</v>
      </c>
      <c r="B316" s="143" t="s">
        <v>106</v>
      </c>
      <c r="C316" s="143" t="s">
        <v>107</v>
      </c>
      <c r="D316" s="143" t="s">
        <v>69</v>
      </c>
      <c r="E316" s="257">
        <v>3181468559</v>
      </c>
      <c r="F316" s="257">
        <v>7181468559</v>
      </c>
      <c r="G316" s="257">
        <v>6353943668.8999996</v>
      </c>
      <c r="H316" s="257">
        <v>0</v>
      </c>
      <c r="I316" s="257">
        <v>230587310.80000001</v>
      </c>
      <c r="J316" s="257">
        <v>0</v>
      </c>
      <c r="K316" s="257">
        <v>3115938792.4099998</v>
      </c>
      <c r="L316" s="257">
        <v>3044613257.6500001</v>
      </c>
      <c r="M316" s="257">
        <v>3834942455.79</v>
      </c>
      <c r="N316" s="257">
        <v>3007417565.6900001</v>
      </c>
    </row>
    <row r="317" spans="1:14" s="143" customFormat="1" x14ac:dyDescent="0.25">
      <c r="A317" s="143" t="s">
        <v>334</v>
      </c>
      <c r="B317" s="143" t="s">
        <v>280</v>
      </c>
      <c r="C317" s="143" t="s">
        <v>281</v>
      </c>
      <c r="D317" s="143" t="s">
        <v>69</v>
      </c>
      <c r="E317" s="257">
        <v>431740903</v>
      </c>
      <c r="F317" s="257">
        <v>431740903</v>
      </c>
      <c r="G317" s="257">
        <v>315870451.80000001</v>
      </c>
      <c r="H317" s="257">
        <v>0</v>
      </c>
      <c r="I317" s="257">
        <v>3693568</v>
      </c>
      <c r="J317" s="257">
        <v>0</v>
      </c>
      <c r="K317" s="257">
        <v>211948722.06999999</v>
      </c>
      <c r="L317" s="257">
        <v>211416718.09</v>
      </c>
      <c r="M317" s="257">
        <v>216098612.93000001</v>
      </c>
      <c r="N317" s="257">
        <v>100228161.73</v>
      </c>
    </row>
    <row r="318" spans="1:14" s="143" customFormat="1" x14ac:dyDescent="0.25">
      <c r="A318" s="143" t="s">
        <v>334</v>
      </c>
      <c r="B318" s="143" t="s">
        <v>108</v>
      </c>
      <c r="C318" s="143" t="s">
        <v>109</v>
      </c>
      <c r="D318" s="143" t="s">
        <v>69</v>
      </c>
      <c r="E318" s="257">
        <v>719138329</v>
      </c>
      <c r="F318" s="257">
        <v>719138329</v>
      </c>
      <c r="G318" s="257">
        <v>719138328.29999995</v>
      </c>
      <c r="H318" s="257">
        <v>0</v>
      </c>
      <c r="I318" s="257">
        <v>113697658.94</v>
      </c>
      <c r="J318" s="257">
        <v>0</v>
      </c>
      <c r="K318" s="257">
        <v>307295286.08999997</v>
      </c>
      <c r="L318" s="257">
        <v>272164144.31</v>
      </c>
      <c r="M318" s="257">
        <v>298145383.97000003</v>
      </c>
      <c r="N318" s="257">
        <v>298145383.26999998</v>
      </c>
    </row>
    <row r="319" spans="1:14" s="143" customFormat="1" x14ac:dyDescent="0.25">
      <c r="A319" s="143" t="s">
        <v>334</v>
      </c>
      <c r="B319" s="143" t="s">
        <v>304</v>
      </c>
      <c r="C319" s="143" t="s">
        <v>305</v>
      </c>
      <c r="D319" s="143" t="s">
        <v>69</v>
      </c>
      <c r="E319" s="257">
        <v>23472000</v>
      </c>
      <c r="F319" s="257">
        <v>23472000</v>
      </c>
      <c r="G319" s="257">
        <v>23472000</v>
      </c>
      <c r="H319" s="257">
        <v>0</v>
      </c>
      <c r="I319" s="257">
        <v>3475687.79</v>
      </c>
      <c r="J319" s="257">
        <v>0</v>
      </c>
      <c r="K319" s="257">
        <v>5006080.67</v>
      </c>
      <c r="L319" s="257">
        <v>5006080.67</v>
      </c>
      <c r="M319" s="257">
        <v>14990231.539999999</v>
      </c>
      <c r="N319" s="257">
        <v>14990231.539999999</v>
      </c>
    </row>
    <row r="320" spans="1:14" s="143" customFormat="1" x14ac:dyDescent="0.25">
      <c r="A320" s="143" t="s">
        <v>334</v>
      </c>
      <c r="B320" s="143" t="s">
        <v>110</v>
      </c>
      <c r="C320" s="143" t="s">
        <v>111</v>
      </c>
      <c r="D320" s="143" t="s">
        <v>69</v>
      </c>
      <c r="E320" s="257">
        <v>2007117327</v>
      </c>
      <c r="F320" s="257">
        <v>2007117327</v>
      </c>
      <c r="G320" s="257">
        <v>1295462888.8</v>
      </c>
      <c r="H320" s="257">
        <v>0</v>
      </c>
      <c r="I320" s="257">
        <v>109720396.06999999</v>
      </c>
      <c r="J320" s="257">
        <v>0</v>
      </c>
      <c r="K320" s="257">
        <v>387628758.57999998</v>
      </c>
      <c r="L320" s="257">
        <v>351966369.57999998</v>
      </c>
      <c r="M320" s="257">
        <v>1509768172.3499999</v>
      </c>
      <c r="N320" s="257">
        <v>798113734.14999998</v>
      </c>
    </row>
    <row r="321" spans="1:14" s="143" customFormat="1" x14ac:dyDescent="0.25">
      <c r="A321" s="143" t="s">
        <v>334</v>
      </c>
      <c r="B321" s="143" t="s">
        <v>110</v>
      </c>
      <c r="C321" s="143" t="s">
        <v>111</v>
      </c>
      <c r="D321" s="143" t="s">
        <v>85</v>
      </c>
      <c r="E321" s="257">
        <v>0</v>
      </c>
      <c r="F321" s="257">
        <v>4000000000</v>
      </c>
      <c r="G321" s="257">
        <v>4000000000</v>
      </c>
      <c r="H321" s="257">
        <v>0</v>
      </c>
      <c r="I321" s="257">
        <v>0</v>
      </c>
      <c r="J321" s="257">
        <v>0</v>
      </c>
      <c r="K321" s="257">
        <v>2204059945</v>
      </c>
      <c r="L321" s="257">
        <v>2204059945</v>
      </c>
      <c r="M321" s="257">
        <v>1795940055</v>
      </c>
      <c r="N321" s="257">
        <v>1795940055</v>
      </c>
    </row>
    <row r="322" spans="1:14" s="143" customFormat="1" x14ac:dyDescent="0.25">
      <c r="A322" s="143" t="s">
        <v>334</v>
      </c>
      <c r="B322" s="143" t="s">
        <v>112</v>
      </c>
      <c r="C322" s="143" t="s">
        <v>113</v>
      </c>
      <c r="D322" s="143" t="s">
        <v>69</v>
      </c>
      <c r="E322" s="257">
        <v>4328674526</v>
      </c>
      <c r="F322" s="257">
        <v>4329984526</v>
      </c>
      <c r="G322" s="257">
        <v>3546829232.5</v>
      </c>
      <c r="H322" s="257">
        <v>0</v>
      </c>
      <c r="I322" s="257">
        <v>854090196.66999996</v>
      </c>
      <c r="J322" s="257">
        <v>0</v>
      </c>
      <c r="K322" s="257">
        <v>2523956764.8299999</v>
      </c>
      <c r="L322" s="257">
        <v>2471818474.8299999</v>
      </c>
      <c r="M322" s="257">
        <v>951937564.5</v>
      </c>
      <c r="N322" s="257">
        <v>168782271</v>
      </c>
    </row>
    <row r="323" spans="1:14" s="143" customFormat="1" x14ac:dyDescent="0.25">
      <c r="A323" s="143" t="s">
        <v>334</v>
      </c>
      <c r="B323" s="143" t="s">
        <v>114</v>
      </c>
      <c r="C323" s="143" t="s">
        <v>115</v>
      </c>
      <c r="D323" s="143" t="s">
        <v>69</v>
      </c>
      <c r="E323" s="257">
        <v>2503011786</v>
      </c>
      <c r="F323" s="257">
        <v>2503011786</v>
      </c>
      <c r="G323" s="257">
        <v>2117921646.5</v>
      </c>
      <c r="H323" s="257">
        <v>0</v>
      </c>
      <c r="I323" s="257">
        <v>712646464.5</v>
      </c>
      <c r="J323" s="257">
        <v>0</v>
      </c>
      <c r="K323" s="257">
        <v>1405062859</v>
      </c>
      <c r="L323" s="257">
        <v>1404915014</v>
      </c>
      <c r="M323" s="257">
        <v>385302462.5</v>
      </c>
      <c r="N323" s="257">
        <v>212323</v>
      </c>
    </row>
    <row r="324" spans="1:14" s="143" customFormat="1" x14ac:dyDescent="0.25">
      <c r="A324" s="143" t="s">
        <v>334</v>
      </c>
      <c r="B324" s="143" t="s">
        <v>116</v>
      </c>
      <c r="C324" s="143" t="s">
        <v>117</v>
      </c>
      <c r="D324" s="143" t="s">
        <v>69</v>
      </c>
      <c r="E324" s="257">
        <v>973642474</v>
      </c>
      <c r="F324" s="257">
        <v>973642474</v>
      </c>
      <c r="G324" s="257">
        <v>763884570.5</v>
      </c>
      <c r="H324" s="257">
        <v>0</v>
      </c>
      <c r="I324" s="257">
        <v>18999955.440000001</v>
      </c>
      <c r="J324" s="257">
        <v>0</v>
      </c>
      <c r="K324" s="257">
        <v>744458235.05999994</v>
      </c>
      <c r="L324" s="257">
        <v>695056110.05999994</v>
      </c>
      <c r="M324" s="257">
        <v>210184283.5</v>
      </c>
      <c r="N324" s="257">
        <v>426380</v>
      </c>
    </row>
    <row r="325" spans="1:14" s="143" customFormat="1" x14ac:dyDescent="0.25">
      <c r="A325" s="143" t="s">
        <v>334</v>
      </c>
      <c r="B325" s="143" t="s">
        <v>118</v>
      </c>
      <c r="C325" s="143" t="s">
        <v>119</v>
      </c>
      <c r="D325" s="143" t="s">
        <v>69</v>
      </c>
      <c r="E325" s="257">
        <v>3942858</v>
      </c>
      <c r="F325" s="257">
        <v>3942858</v>
      </c>
      <c r="G325" s="257">
        <v>3942857.5</v>
      </c>
      <c r="H325" s="257">
        <v>0</v>
      </c>
      <c r="I325" s="257">
        <v>2568022.5</v>
      </c>
      <c r="J325" s="257">
        <v>0</v>
      </c>
      <c r="K325" s="257">
        <v>935940</v>
      </c>
      <c r="L325" s="257">
        <v>477870</v>
      </c>
      <c r="M325" s="257">
        <v>438895.5</v>
      </c>
      <c r="N325" s="257">
        <v>438895</v>
      </c>
    </row>
    <row r="326" spans="1:14" s="143" customFormat="1" x14ac:dyDescent="0.25">
      <c r="A326" s="143" t="s">
        <v>334</v>
      </c>
      <c r="B326" s="143" t="s">
        <v>120</v>
      </c>
      <c r="C326" s="143" t="s">
        <v>121</v>
      </c>
      <c r="D326" s="143" t="s">
        <v>69</v>
      </c>
      <c r="E326" s="257">
        <v>753229000</v>
      </c>
      <c r="F326" s="257">
        <v>753229000</v>
      </c>
      <c r="G326" s="257">
        <v>564921750</v>
      </c>
      <c r="H326" s="257">
        <v>0</v>
      </c>
      <c r="I326" s="257">
        <v>107457672.31999999</v>
      </c>
      <c r="J326" s="257">
        <v>0</v>
      </c>
      <c r="K326" s="257">
        <v>314177515.92000002</v>
      </c>
      <c r="L326" s="257">
        <v>314177515.92000002</v>
      </c>
      <c r="M326" s="257">
        <v>331593811.75999999</v>
      </c>
      <c r="N326" s="257">
        <v>143286561.75999999</v>
      </c>
    </row>
    <row r="327" spans="1:14" s="143" customFormat="1" x14ac:dyDescent="0.25">
      <c r="A327" s="143" t="s">
        <v>334</v>
      </c>
      <c r="B327" s="143" t="s">
        <v>122</v>
      </c>
      <c r="C327" s="143" t="s">
        <v>123</v>
      </c>
      <c r="D327" s="143" t="s">
        <v>69</v>
      </c>
      <c r="E327" s="257">
        <v>94848408</v>
      </c>
      <c r="F327" s="257">
        <v>96158408</v>
      </c>
      <c r="G327" s="257">
        <v>96158408</v>
      </c>
      <c r="H327" s="257">
        <v>0</v>
      </c>
      <c r="I327" s="257">
        <v>12418081.91</v>
      </c>
      <c r="J327" s="257">
        <v>0</v>
      </c>
      <c r="K327" s="257">
        <v>59322214.850000001</v>
      </c>
      <c r="L327" s="257">
        <v>57191964.850000001</v>
      </c>
      <c r="M327" s="257">
        <v>24418111.239999998</v>
      </c>
      <c r="N327" s="257">
        <v>24418111.239999998</v>
      </c>
    </row>
    <row r="328" spans="1:14" s="143" customFormat="1" x14ac:dyDescent="0.25">
      <c r="A328" s="143" t="s">
        <v>334</v>
      </c>
      <c r="B328" s="143" t="s">
        <v>124</v>
      </c>
      <c r="C328" s="143" t="s">
        <v>125</v>
      </c>
      <c r="D328" s="143" t="s">
        <v>69</v>
      </c>
      <c r="E328" s="257">
        <v>4451091</v>
      </c>
      <c r="F328" s="257">
        <v>3141091</v>
      </c>
      <c r="G328" s="257">
        <v>3141090.75</v>
      </c>
      <c r="H328" s="257">
        <v>0</v>
      </c>
      <c r="I328" s="257">
        <v>926640</v>
      </c>
      <c r="J328" s="257">
        <v>0</v>
      </c>
      <c r="K328" s="257">
        <v>951790</v>
      </c>
      <c r="L328" s="257">
        <v>951790</v>
      </c>
      <c r="M328" s="257">
        <v>1262661</v>
      </c>
      <c r="N328" s="257">
        <v>1262660.75</v>
      </c>
    </row>
    <row r="329" spans="1:14" s="143" customFormat="1" x14ac:dyDescent="0.25">
      <c r="A329" s="143" t="s">
        <v>334</v>
      </c>
      <c r="B329" s="143" t="s">
        <v>126</v>
      </c>
      <c r="C329" s="143" t="s">
        <v>127</v>
      </c>
      <c r="D329" s="143" t="s">
        <v>69</v>
      </c>
      <c r="E329" s="257">
        <v>1831091</v>
      </c>
      <c r="F329" s="257">
        <v>1831091</v>
      </c>
      <c r="G329" s="257">
        <v>1831090.75</v>
      </c>
      <c r="H329" s="257">
        <v>0</v>
      </c>
      <c r="I329" s="257">
        <v>0</v>
      </c>
      <c r="J329" s="257">
        <v>0</v>
      </c>
      <c r="K329" s="257">
        <v>871790</v>
      </c>
      <c r="L329" s="257">
        <v>871790</v>
      </c>
      <c r="M329" s="257">
        <v>959301</v>
      </c>
      <c r="N329" s="257">
        <v>959300.75</v>
      </c>
    </row>
    <row r="330" spans="1:14" s="143" customFormat="1" x14ac:dyDescent="0.25">
      <c r="A330" s="143" t="s">
        <v>334</v>
      </c>
      <c r="B330" s="143" t="s">
        <v>128</v>
      </c>
      <c r="C330" s="143" t="s">
        <v>129</v>
      </c>
      <c r="D330" s="143" t="s">
        <v>69</v>
      </c>
      <c r="E330" s="257">
        <v>2620000</v>
      </c>
      <c r="F330" s="257">
        <v>1310000</v>
      </c>
      <c r="G330" s="257">
        <v>1310000</v>
      </c>
      <c r="H330" s="257">
        <v>0</v>
      </c>
      <c r="I330" s="257">
        <v>926640</v>
      </c>
      <c r="J330" s="257">
        <v>0</v>
      </c>
      <c r="K330" s="257">
        <v>80000</v>
      </c>
      <c r="L330" s="257">
        <v>80000</v>
      </c>
      <c r="M330" s="257">
        <v>303360</v>
      </c>
      <c r="N330" s="257">
        <v>303360</v>
      </c>
    </row>
    <row r="331" spans="1:14" s="143" customFormat="1" x14ac:dyDescent="0.25">
      <c r="A331" s="143" t="s">
        <v>334</v>
      </c>
      <c r="B331" s="143" t="s">
        <v>134</v>
      </c>
      <c r="C331" s="143" t="s">
        <v>135</v>
      </c>
      <c r="D331" s="143" t="s">
        <v>69</v>
      </c>
      <c r="E331" s="257">
        <v>310063679</v>
      </c>
      <c r="F331" s="257">
        <v>304063679</v>
      </c>
      <c r="G331" s="257">
        <v>246033928.68000001</v>
      </c>
      <c r="H331" s="257">
        <v>0</v>
      </c>
      <c r="I331" s="257">
        <v>48257533.759999998</v>
      </c>
      <c r="J331" s="257">
        <v>0</v>
      </c>
      <c r="K331" s="257">
        <v>71482211.989999995</v>
      </c>
      <c r="L331" s="257">
        <v>65619221.990000002</v>
      </c>
      <c r="M331" s="257">
        <v>184323933.25</v>
      </c>
      <c r="N331" s="257">
        <v>126294182.93000001</v>
      </c>
    </row>
    <row r="332" spans="1:14" s="143" customFormat="1" x14ac:dyDescent="0.25">
      <c r="A332" s="143" t="s">
        <v>334</v>
      </c>
      <c r="B332" s="143" t="s">
        <v>346</v>
      </c>
      <c r="C332" s="143" t="s">
        <v>347</v>
      </c>
      <c r="D332" s="143" t="s">
        <v>69</v>
      </c>
      <c r="E332" s="257">
        <v>21381819</v>
      </c>
      <c r="F332" s="257">
        <v>21381819</v>
      </c>
      <c r="G332" s="257">
        <v>21381818.75</v>
      </c>
      <c r="H332" s="257">
        <v>0</v>
      </c>
      <c r="I332" s="257">
        <v>14288264</v>
      </c>
      <c r="J332" s="257">
        <v>0</v>
      </c>
      <c r="K332" s="257">
        <v>7016088</v>
      </c>
      <c r="L332" s="257">
        <v>4166088</v>
      </c>
      <c r="M332" s="257">
        <v>77467</v>
      </c>
      <c r="N332" s="257">
        <v>77466.75</v>
      </c>
    </row>
    <row r="333" spans="1:14" s="143" customFormat="1" x14ac:dyDescent="0.25">
      <c r="A333" s="143" t="s">
        <v>334</v>
      </c>
      <c r="B333" s="143" t="s">
        <v>308</v>
      </c>
      <c r="C333" s="143" t="s">
        <v>309</v>
      </c>
      <c r="D333" s="143" t="s">
        <v>69</v>
      </c>
      <c r="E333" s="257">
        <v>106119000</v>
      </c>
      <c r="F333" s="257">
        <v>106119000</v>
      </c>
      <c r="G333" s="257">
        <v>79589250</v>
      </c>
      <c r="H333" s="257">
        <v>0</v>
      </c>
      <c r="I333" s="257">
        <v>29261837.780000001</v>
      </c>
      <c r="J333" s="257">
        <v>0</v>
      </c>
      <c r="K333" s="257">
        <v>9962425</v>
      </c>
      <c r="L333" s="257">
        <v>7182425</v>
      </c>
      <c r="M333" s="257">
        <v>66894737.219999999</v>
      </c>
      <c r="N333" s="257">
        <v>40364987.219999999</v>
      </c>
    </row>
    <row r="334" spans="1:14" s="143" customFormat="1" x14ac:dyDescent="0.25">
      <c r="A334" s="143" t="s">
        <v>334</v>
      </c>
      <c r="B334" s="143" t="s">
        <v>136</v>
      </c>
      <c r="C334" s="143" t="s">
        <v>137</v>
      </c>
      <c r="D334" s="143" t="s">
        <v>69</v>
      </c>
      <c r="E334" s="257">
        <v>126000000</v>
      </c>
      <c r="F334" s="257">
        <v>120000000</v>
      </c>
      <c r="G334" s="257">
        <v>88500000</v>
      </c>
      <c r="H334" s="257">
        <v>0</v>
      </c>
      <c r="I334" s="257">
        <v>1888001.9</v>
      </c>
      <c r="J334" s="257">
        <v>0</v>
      </c>
      <c r="K334" s="257">
        <v>44935165.090000004</v>
      </c>
      <c r="L334" s="257">
        <v>44935165.090000004</v>
      </c>
      <c r="M334" s="257">
        <v>73176833.010000005</v>
      </c>
      <c r="N334" s="257">
        <v>41676833.009999998</v>
      </c>
    </row>
    <row r="335" spans="1:14" s="143" customFormat="1" x14ac:dyDescent="0.25">
      <c r="A335" s="143" t="s">
        <v>334</v>
      </c>
      <c r="B335" s="143" t="s">
        <v>138</v>
      </c>
      <c r="C335" s="143" t="s">
        <v>139</v>
      </c>
      <c r="D335" s="143" t="s">
        <v>69</v>
      </c>
      <c r="E335" s="257">
        <v>56562860</v>
      </c>
      <c r="F335" s="257">
        <v>56562860</v>
      </c>
      <c r="G335" s="257">
        <v>56562859.93</v>
      </c>
      <c r="H335" s="257">
        <v>0</v>
      </c>
      <c r="I335" s="257">
        <v>2819430.08</v>
      </c>
      <c r="J335" s="257">
        <v>0</v>
      </c>
      <c r="K335" s="257">
        <v>9568533.9000000004</v>
      </c>
      <c r="L335" s="257">
        <v>9335543.9000000004</v>
      </c>
      <c r="M335" s="257">
        <v>44174896.020000003</v>
      </c>
      <c r="N335" s="257">
        <v>44174895.950000003</v>
      </c>
    </row>
    <row r="336" spans="1:14" s="143" customFormat="1" x14ac:dyDescent="0.25">
      <c r="A336" s="143" t="s">
        <v>334</v>
      </c>
      <c r="B336" s="143" t="s">
        <v>140</v>
      </c>
      <c r="C336" s="143" t="s">
        <v>141</v>
      </c>
      <c r="D336" s="143" t="s">
        <v>69</v>
      </c>
      <c r="E336" s="257">
        <v>128523280</v>
      </c>
      <c r="F336" s="257">
        <v>128523280</v>
      </c>
      <c r="G336" s="257">
        <v>98744687.019999996</v>
      </c>
      <c r="H336" s="257">
        <v>612700</v>
      </c>
      <c r="I336" s="257">
        <v>25354160</v>
      </c>
      <c r="J336" s="257">
        <v>0</v>
      </c>
      <c r="K336" s="257">
        <v>49451670</v>
      </c>
      <c r="L336" s="257">
        <v>49263800</v>
      </c>
      <c r="M336" s="257">
        <v>53104750</v>
      </c>
      <c r="N336" s="257">
        <v>23326157.02</v>
      </c>
    </row>
    <row r="337" spans="1:14" s="143" customFormat="1" x14ac:dyDescent="0.25">
      <c r="A337" s="143" t="s">
        <v>334</v>
      </c>
      <c r="B337" s="143" t="s">
        <v>142</v>
      </c>
      <c r="C337" s="143" t="s">
        <v>143</v>
      </c>
      <c r="D337" s="143" t="s">
        <v>69</v>
      </c>
      <c r="E337" s="257">
        <v>4829000</v>
      </c>
      <c r="F337" s="257">
        <v>4829000</v>
      </c>
      <c r="G337" s="257">
        <v>4829000</v>
      </c>
      <c r="H337" s="257">
        <v>0</v>
      </c>
      <c r="I337" s="257">
        <v>1357960</v>
      </c>
      <c r="J337" s="257">
        <v>0</v>
      </c>
      <c r="K337" s="257">
        <v>1576525</v>
      </c>
      <c r="L337" s="257">
        <v>1568705</v>
      </c>
      <c r="M337" s="257">
        <v>1894515</v>
      </c>
      <c r="N337" s="257">
        <v>1894515</v>
      </c>
    </row>
    <row r="338" spans="1:14" s="143" customFormat="1" x14ac:dyDescent="0.25">
      <c r="A338" s="143" t="s">
        <v>334</v>
      </c>
      <c r="B338" s="143" t="s">
        <v>144</v>
      </c>
      <c r="C338" s="143" t="s">
        <v>145</v>
      </c>
      <c r="D338" s="143" t="s">
        <v>69</v>
      </c>
      <c r="E338" s="257">
        <v>119154137</v>
      </c>
      <c r="F338" s="257">
        <v>119154137</v>
      </c>
      <c r="G338" s="257">
        <v>92780651.269999996</v>
      </c>
      <c r="H338" s="257">
        <v>612700</v>
      </c>
      <c r="I338" s="257">
        <v>23996200</v>
      </c>
      <c r="J338" s="257">
        <v>0</v>
      </c>
      <c r="K338" s="257">
        <v>47875145</v>
      </c>
      <c r="L338" s="257">
        <v>47695095</v>
      </c>
      <c r="M338" s="257">
        <v>46670092</v>
      </c>
      <c r="N338" s="257">
        <v>20296606.27</v>
      </c>
    </row>
    <row r="339" spans="1:14" s="143" customFormat="1" x14ac:dyDescent="0.25">
      <c r="A339" s="143" t="s">
        <v>334</v>
      </c>
      <c r="B339" s="143" t="s">
        <v>146</v>
      </c>
      <c r="C339" s="143" t="s">
        <v>147</v>
      </c>
      <c r="D339" s="143" t="s">
        <v>69</v>
      </c>
      <c r="E339" s="257">
        <v>2851000</v>
      </c>
      <c r="F339" s="257">
        <v>2851000</v>
      </c>
      <c r="G339" s="257">
        <v>712750</v>
      </c>
      <c r="H339" s="257">
        <v>0</v>
      </c>
      <c r="I339" s="257">
        <v>0</v>
      </c>
      <c r="J339" s="257">
        <v>0</v>
      </c>
      <c r="K339" s="257">
        <v>0</v>
      </c>
      <c r="L339" s="257">
        <v>0</v>
      </c>
      <c r="M339" s="257">
        <v>2851000</v>
      </c>
      <c r="N339" s="257">
        <v>712750</v>
      </c>
    </row>
    <row r="340" spans="1:14" s="143" customFormat="1" x14ac:dyDescent="0.25">
      <c r="A340" s="143" t="s">
        <v>334</v>
      </c>
      <c r="B340" s="143" t="s">
        <v>148</v>
      </c>
      <c r="C340" s="143" t="s">
        <v>149</v>
      </c>
      <c r="D340" s="143" t="s">
        <v>69</v>
      </c>
      <c r="E340" s="257">
        <v>1689143</v>
      </c>
      <c r="F340" s="257">
        <v>1689143</v>
      </c>
      <c r="G340" s="257">
        <v>422285.75</v>
      </c>
      <c r="H340" s="257">
        <v>0</v>
      </c>
      <c r="I340" s="257">
        <v>0</v>
      </c>
      <c r="J340" s="257">
        <v>0</v>
      </c>
      <c r="K340" s="257">
        <v>0</v>
      </c>
      <c r="L340" s="257">
        <v>0</v>
      </c>
      <c r="M340" s="257">
        <v>1689143</v>
      </c>
      <c r="N340" s="257">
        <v>422285.75</v>
      </c>
    </row>
    <row r="341" spans="1:14" s="143" customFormat="1" x14ac:dyDescent="0.25">
      <c r="A341" s="143" t="s">
        <v>334</v>
      </c>
      <c r="B341" s="143" t="s">
        <v>150</v>
      </c>
      <c r="C341" s="143" t="s">
        <v>151</v>
      </c>
      <c r="D341" s="143" t="s">
        <v>69</v>
      </c>
      <c r="E341" s="257">
        <v>1290997262</v>
      </c>
      <c r="F341" s="257">
        <v>1244459372.29</v>
      </c>
      <c r="G341" s="257">
        <v>247929108.78999999</v>
      </c>
      <c r="H341" s="257">
        <v>0</v>
      </c>
      <c r="I341" s="257">
        <v>127063500.40000001</v>
      </c>
      <c r="J341" s="257">
        <v>0</v>
      </c>
      <c r="K341" s="257">
        <v>112496187.59999999</v>
      </c>
      <c r="L341" s="257">
        <v>112496187.59999999</v>
      </c>
      <c r="M341" s="257">
        <v>1004899684.29</v>
      </c>
      <c r="N341" s="257">
        <v>8369420.79</v>
      </c>
    </row>
    <row r="342" spans="1:14" s="143" customFormat="1" x14ac:dyDescent="0.25">
      <c r="A342" s="143" t="s">
        <v>334</v>
      </c>
      <c r="B342" s="143" t="s">
        <v>152</v>
      </c>
      <c r="C342" s="143" t="s">
        <v>153</v>
      </c>
      <c r="D342" s="143" t="s">
        <v>69</v>
      </c>
      <c r="E342" s="257">
        <v>1290997262</v>
      </c>
      <c r="F342" s="257">
        <v>1244459372.29</v>
      </c>
      <c r="G342" s="257">
        <v>247929108.78999999</v>
      </c>
      <c r="H342" s="257">
        <v>0</v>
      </c>
      <c r="I342" s="257">
        <v>127063500.40000001</v>
      </c>
      <c r="J342" s="257">
        <v>0</v>
      </c>
      <c r="K342" s="257">
        <v>112496187.59999999</v>
      </c>
      <c r="L342" s="257">
        <v>112496187.59999999</v>
      </c>
      <c r="M342" s="257">
        <v>1004899684.29</v>
      </c>
      <c r="N342" s="257">
        <v>8369420.79</v>
      </c>
    </row>
    <row r="343" spans="1:14" s="143" customFormat="1" x14ac:dyDescent="0.25">
      <c r="A343" s="143" t="s">
        <v>334</v>
      </c>
      <c r="B343" s="143" t="s">
        <v>154</v>
      </c>
      <c r="C343" s="143" t="s">
        <v>155</v>
      </c>
      <c r="D343" s="143" t="s">
        <v>69</v>
      </c>
      <c r="E343" s="257">
        <v>1413715</v>
      </c>
      <c r="F343" s="257">
        <v>1413715</v>
      </c>
      <c r="G343" s="257">
        <v>1413714.75</v>
      </c>
      <c r="H343" s="257">
        <v>270000</v>
      </c>
      <c r="I343" s="257">
        <v>0</v>
      </c>
      <c r="J343" s="257">
        <v>0</v>
      </c>
      <c r="K343" s="257">
        <v>0</v>
      </c>
      <c r="L343" s="257">
        <v>0</v>
      </c>
      <c r="M343" s="257">
        <v>1143715</v>
      </c>
      <c r="N343" s="257">
        <v>1143714.75</v>
      </c>
    </row>
    <row r="344" spans="1:14" s="143" customFormat="1" x14ac:dyDescent="0.25">
      <c r="A344" s="143" t="s">
        <v>334</v>
      </c>
      <c r="B344" s="143" t="s">
        <v>156</v>
      </c>
      <c r="C344" s="143" t="s">
        <v>157</v>
      </c>
      <c r="D344" s="143" t="s">
        <v>69</v>
      </c>
      <c r="E344" s="257">
        <v>1413715</v>
      </c>
      <c r="F344" s="257">
        <v>1413715</v>
      </c>
      <c r="G344" s="257">
        <v>1413714.75</v>
      </c>
      <c r="H344" s="257">
        <v>270000</v>
      </c>
      <c r="I344" s="257">
        <v>0</v>
      </c>
      <c r="J344" s="257">
        <v>0</v>
      </c>
      <c r="K344" s="257">
        <v>0</v>
      </c>
      <c r="L344" s="257">
        <v>0</v>
      </c>
      <c r="M344" s="257">
        <v>1143715</v>
      </c>
      <c r="N344" s="257">
        <v>1143714.75</v>
      </c>
    </row>
    <row r="345" spans="1:14" s="143" customFormat="1" x14ac:dyDescent="0.25">
      <c r="A345" s="143" t="s">
        <v>334</v>
      </c>
      <c r="B345" s="143" t="s">
        <v>162</v>
      </c>
      <c r="C345" s="143" t="s">
        <v>163</v>
      </c>
      <c r="D345" s="143" t="s">
        <v>69</v>
      </c>
      <c r="E345" s="257">
        <v>594069615</v>
      </c>
      <c r="F345" s="257">
        <v>600069615</v>
      </c>
      <c r="G345" s="257">
        <v>527483105.55000001</v>
      </c>
      <c r="H345" s="257">
        <v>1909250</v>
      </c>
      <c r="I345" s="257">
        <v>94091851.079999998</v>
      </c>
      <c r="J345" s="257">
        <v>25830841.32</v>
      </c>
      <c r="K345" s="257">
        <v>157904411.46000001</v>
      </c>
      <c r="L345" s="257">
        <v>149085683.05000001</v>
      </c>
      <c r="M345" s="257">
        <v>320333261.13999999</v>
      </c>
      <c r="N345" s="257">
        <v>247746751.69</v>
      </c>
    </row>
    <row r="346" spans="1:14" s="143" customFormat="1" x14ac:dyDescent="0.25">
      <c r="A346" s="143" t="s">
        <v>334</v>
      </c>
      <c r="B346" s="143" t="s">
        <v>310</v>
      </c>
      <c r="C346" s="143" t="s">
        <v>311</v>
      </c>
      <c r="D346" s="143" t="s">
        <v>69</v>
      </c>
      <c r="E346" s="257">
        <v>125656000</v>
      </c>
      <c r="F346" s="257">
        <v>125656000</v>
      </c>
      <c r="G346" s="257">
        <v>62828000</v>
      </c>
      <c r="H346" s="257">
        <v>110000</v>
      </c>
      <c r="I346" s="257">
        <v>0</v>
      </c>
      <c r="J346" s="257">
        <v>0</v>
      </c>
      <c r="K346" s="257">
        <v>13349017</v>
      </c>
      <c r="L346" s="257">
        <v>13349017</v>
      </c>
      <c r="M346" s="257">
        <v>112196983</v>
      </c>
      <c r="N346" s="257">
        <v>49368983</v>
      </c>
    </row>
    <row r="347" spans="1:14" s="143" customFormat="1" x14ac:dyDescent="0.25">
      <c r="A347" s="143" t="s">
        <v>334</v>
      </c>
      <c r="B347" s="143" t="s">
        <v>164</v>
      </c>
      <c r="C347" s="143" t="s">
        <v>165</v>
      </c>
      <c r="D347" s="143" t="s">
        <v>69</v>
      </c>
      <c r="E347" s="257">
        <v>188229817</v>
      </c>
      <c r="F347" s="257">
        <v>188229817</v>
      </c>
      <c r="G347" s="257">
        <v>188229817</v>
      </c>
      <c r="H347" s="257">
        <v>0</v>
      </c>
      <c r="I347" s="257">
        <v>14362336.939999999</v>
      </c>
      <c r="J347" s="257">
        <v>23226841.32</v>
      </c>
      <c r="K347" s="257">
        <v>88948791.480000004</v>
      </c>
      <c r="L347" s="257">
        <v>83071594.379999995</v>
      </c>
      <c r="M347" s="257">
        <v>61691847.259999998</v>
      </c>
      <c r="N347" s="257">
        <v>61691847.259999998</v>
      </c>
    </row>
    <row r="348" spans="1:14" s="143" customFormat="1" x14ac:dyDescent="0.25">
      <c r="A348" s="143" t="s">
        <v>334</v>
      </c>
      <c r="B348" s="143" t="s">
        <v>166</v>
      </c>
      <c r="C348" s="143" t="s">
        <v>167</v>
      </c>
      <c r="D348" s="143" t="s">
        <v>69</v>
      </c>
      <c r="E348" s="257">
        <v>95028648</v>
      </c>
      <c r="F348" s="257">
        <v>95028648</v>
      </c>
      <c r="G348" s="257">
        <v>95028648</v>
      </c>
      <c r="H348" s="257">
        <v>0</v>
      </c>
      <c r="I348" s="257">
        <v>23071896.559999999</v>
      </c>
      <c r="J348" s="257">
        <v>2604000</v>
      </c>
      <c r="K348" s="257">
        <v>27572276.879999999</v>
      </c>
      <c r="L348" s="257">
        <v>25017745.57</v>
      </c>
      <c r="M348" s="257">
        <v>41780474.560000002</v>
      </c>
      <c r="N348" s="257">
        <v>41780474.560000002</v>
      </c>
    </row>
    <row r="349" spans="1:14" s="143" customFormat="1" x14ac:dyDescent="0.25">
      <c r="A349" s="143" t="s">
        <v>334</v>
      </c>
      <c r="B349" s="143" t="s">
        <v>312</v>
      </c>
      <c r="C349" s="143" t="s">
        <v>313</v>
      </c>
      <c r="D349" s="143" t="s">
        <v>69</v>
      </c>
      <c r="E349" s="257">
        <v>6300000</v>
      </c>
      <c r="F349" s="257">
        <v>6300000</v>
      </c>
      <c r="G349" s="257">
        <v>6300000</v>
      </c>
      <c r="H349" s="257">
        <v>1799250</v>
      </c>
      <c r="I349" s="257">
        <v>0</v>
      </c>
      <c r="J349" s="257">
        <v>0</v>
      </c>
      <c r="K349" s="257">
        <v>0</v>
      </c>
      <c r="L349" s="257">
        <v>0</v>
      </c>
      <c r="M349" s="257">
        <v>4500750</v>
      </c>
      <c r="N349" s="257">
        <v>4500750</v>
      </c>
    </row>
    <row r="350" spans="1:14" s="143" customFormat="1" x14ac:dyDescent="0.25">
      <c r="A350" s="143" t="s">
        <v>334</v>
      </c>
      <c r="B350" s="143" t="s">
        <v>168</v>
      </c>
      <c r="C350" s="143" t="s">
        <v>169</v>
      </c>
      <c r="D350" s="143" t="s">
        <v>69</v>
      </c>
      <c r="E350" s="257">
        <v>11141667</v>
      </c>
      <c r="F350" s="257">
        <v>11141667</v>
      </c>
      <c r="G350" s="257">
        <v>11141666.75</v>
      </c>
      <c r="H350" s="257">
        <v>0</v>
      </c>
      <c r="I350" s="257">
        <v>0</v>
      </c>
      <c r="J350" s="257">
        <v>0</v>
      </c>
      <c r="K350" s="257">
        <v>3564000</v>
      </c>
      <c r="L350" s="257">
        <v>3564000</v>
      </c>
      <c r="M350" s="257">
        <v>7577667</v>
      </c>
      <c r="N350" s="257">
        <v>7577666.75</v>
      </c>
    </row>
    <row r="351" spans="1:14" s="143" customFormat="1" x14ac:dyDescent="0.25">
      <c r="A351" s="143" t="s">
        <v>334</v>
      </c>
      <c r="B351" s="143" t="s">
        <v>170</v>
      </c>
      <c r="C351" s="143" t="s">
        <v>171</v>
      </c>
      <c r="D351" s="143" t="s">
        <v>69</v>
      </c>
      <c r="E351" s="257">
        <v>40562000</v>
      </c>
      <c r="F351" s="257">
        <v>40562000</v>
      </c>
      <c r="G351" s="257">
        <v>30803491</v>
      </c>
      <c r="H351" s="257">
        <v>0</v>
      </c>
      <c r="I351" s="257">
        <v>82500</v>
      </c>
      <c r="J351" s="257">
        <v>0</v>
      </c>
      <c r="K351" s="257">
        <v>4519712.9800000004</v>
      </c>
      <c r="L351" s="257">
        <v>4519712.9800000004</v>
      </c>
      <c r="M351" s="257">
        <v>35959787.020000003</v>
      </c>
      <c r="N351" s="257">
        <v>26201278.02</v>
      </c>
    </row>
    <row r="352" spans="1:14" s="143" customFormat="1" x14ac:dyDescent="0.25">
      <c r="A352" s="143" t="s">
        <v>334</v>
      </c>
      <c r="B352" s="143" t="s">
        <v>172</v>
      </c>
      <c r="C352" s="143" t="s">
        <v>173</v>
      </c>
      <c r="D352" s="143" t="s">
        <v>69</v>
      </c>
      <c r="E352" s="257">
        <v>127151483</v>
      </c>
      <c r="F352" s="257">
        <v>133151483</v>
      </c>
      <c r="G352" s="257">
        <v>133151482.8</v>
      </c>
      <c r="H352" s="257">
        <v>0</v>
      </c>
      <c r="I352" s="257">
        <v>56575117.579999998</v>
      </c>
      <c r="J352" s="257">
        <v>0</v>
      </c>
      <c r="K352" s="257">
        <v>19950613.120000001</v>
      </c>
      <c r="L352" s="257">
        <v>19563613.120000001</v>
      </c>
      <c r="M352" s="257">
        <v>56625752.299999997</v>
      </c>
      <c r="N352" s="257">
        <v>56625752.100000001</v>
      </c>
    </row>
    <row r="353" spans="1:14" s="143" customFormat="1" x14ac:dyDescent="0.25">
      <c r="A353" s="143" t="s">
        <v>334</v>
      </c>
      <c r="B353" s="143" t="s">
        <v>174</v>
      </c>
      <c r="C353" s="143" t="s">
        <v>175</v>
      </c>
      <c r="D353" s="143" t="s">
        <v>69</v>
      </c>
      <c r="E353" s="257">
        <v>11126154</v>
      </c>
      <c r="F353" s="257">
        <v>11126154</v>
      </c>
      <c r="G353" s="257">
        <v>11126153.5</v>
      </c>
      <c r="H353" s="257">
        <v>0</v>
      </c>
      <c r="I353" s="257">
        <v>1732219</v>
      </c>
      <c r="J353" s="257">
        <v>0</v>
      </c>
      <c r="K353" s="257">
        <v>78882</v>
      </c>
      <c r="L353" s="257">
        <v>78882</v>
      </c>
      <c r="M353" s="257">
        <v>9315053</v>
      </c>
      <c r="N353" s="257">
        <v>9315052.5</v>
      </c>
    </row>
    <row r="354" spans="1:14" s="143" customFormat="1" x14ac:dyDescent="0.25">
      <c r="A354" s="143" t="s">
        <v>334</v>
      </c>
      <c r="B354" s="143" t="s">
        <v>176</v>
      </c>
      <c r="C354" s="143" t="s">
        <v>177</v>
      </c>
      <c r="D354" s="143" t="s">
        <v>69</v>
      </c>
      <c r="E354" s="257">
        <v>11126154</v>
      </c>
      <c r="F354" s="257">
        <v>11126154</v>
      </c>
      <c r="G354" s="257">
        <v>11126153.5</v>
      </c>
      <c r="H354" s="257">
        <v>0</v>
      </c>
      <c r="I354" s="257">
        <v>1732219</v>
      </c>
      <c r="J354" s="257">
        <v>0</v>
      </c>
      <c r="K354" s="257">
        <v>78882</v>
      </c>
      <c r="L354" s="257">
        <v>78882</v>
      </c>
      <c r="M354" s="257">
        <v>9315053</v>
      </c>
      <c r="N354" s="257">
        <v>9315052.5</v>
      </c>
    </row>
    <row r="355" spans="1:14" s="143" customFormat="1" x14ac:dyDescent="0.25">
      <c r="A355" s="143" t="s">
        <v>334</v>
      </c>
      <c r="B355" s="143" t="s">
        <v>178</v>
      </c>
      <c r="C355" s="143" t="s">
        <v>179</v>
      </c>
      <c r="D355" s="143" t="s">
        <v>69</v>
      </c>
      <c r="E355" s="257">
        <v>18666301</v>
      </c>
      <c r="F355" s="257">
        <v>65204190.710000001</v>
      </c>
      <c r="G355" s="257">
        <v>58011948.960000001</v>
      </c>
      <c r="H355" s="257">
        <v>0</v>
      </c>
      <c r="I355" s="257">
        <v>9072342.4900000002</v>
      </c>
      <c r="J355" s="257">
        <v>0</v>
      </c>
      <c r="K355" s="257">
        <v>6357165.9199999999</v>
      </c>
      <c r="L355" s="257">
        <v>6357165.9199999999</v>
      </c>
      <c r="M355" s="257">
        <v>49774682.299999997</v>
      </c>
      <c r="N355" s="257">
        <v>42582440.549999997</v>
      </c>
    </row>
    <row r="356" spans="1:14" s="143" customFormat="1" x14ac:dyDescent="0.25">
      <c r="A356" s="143" t="s">
        <v>334</v>
      </c>
      <c r="B356" s="143" t="s">
        <v>348</v>
      </c>
      <c r="C356" s="143" t="s">
        <v>349</v>
      </c>
      <c r="D356" s="143" t="s">
        <v>69</v>
      </c>
      <c r="E356" s="257">
        <v>3000000</v>
      </c>
      <c r="F356" s="257">
        <v>3000000</v>
      </c>
      <c r="G356" s="257">
        <v>3000000</v>
      </c>
      <c r="H356" s="257">
        <v>0</v>
      </c>
      <c r="I356" s="257">
        <v>66726.789999999994</v>
      </c>
      <c r="J356" s="257">
        <v>0</v>
      </c>
      <c r="K356" s="257">
        <v>2421563.65</v>
      </c>
      <c r="L356" s="257">
        <v>2421563.65</v>
      </c>
      <c r="M356" s="257">
        <v>511709.56</v>
      </c>
      <c r="N356" s="257">
        <v>511709.56</v>
      </c>
    </row>
    <row r="357" spans="1:14" s="143" customFormat="1" x14ac:dyDescent="0.25">
      <c r="A357" s="143" t="s">
        <v>334</v>
      </c>
      <c r="B357" s="143" t="s">
        <v>180</v>
      </c>
      <c r="C357" s="143" t="s">
        <v>181</v>
      </c>
      <c r="D357" s="143" t="s">
        <v>69</v>
      </c>
      <c r="E357" s="257">
        <v>1275676</v>
      </c>
      <c r="F357" s="257">
        <v>47166460.710000001</v>
      </c>
      <c r="G357" s="257">
        <v>39974219.710000001</v>
      </c>
      <c r="H357" s="257">
        <v>0</v>
      </c>
      <c r="I357" s="257">
        <v>6063952.7000000002</v>
      </c>
      <c r="J357" s="257">
        <v>0</v>
      </c>
      <c r="K357" s="257">
        <v>771847.27</v>
      </c>
      <c r="L357" s="257">
        <v>771847.27</v>
      </c>
      <c r="M357" s="257">
        <v>40330660.740000002</v>
      </c>
      <c r="N357" s="257">
        <v>33138419.739999998</v>
      </c>
    </row>
    <row r="358" spans="1:14" s="143" customFormat="1" x14ac:dyDescent="0.25">
      <c r="A358" s="143" t="s">
        <v>334</v>
      </c>
      <c r="B358" s="143" t="s">
        <v>182</v>
      </c>
      <c r="C358" s="143" t="s">
        <v>183</v>
      </c>
      <c r="D358" s="143" t="s">
        <v>69</v>
      </c>
      <c r="E358" s="257">
        <v>14390625</v>
      </c>
      <c r="F358" s="257">
        <v>15037730</v>
      </c>
      <c r="G358" s="257">
        <v>15037729.25</v>
      </c>
      <c r="H358" s="257">
        <v>0</v>
      </c>
      <c r="I358" s="257">
        <v>2941663</v>
      </c>
      <c r="J358" s="257">
        <v>0</v>
      </c>
      <c r="K358" s="257">
        <v>3163755</v>
      </c>
      <c r="L358" s="257">
        <v>3163755</v>
      </c>
      <c r="M358" s="257">
        <v>8932312</v>
      </c>
      <c r="N358" s="257">
        <v>8932311.25</v>
      </c>
    </row>
    <row r="359" spans="1:14" s="143" customFormat="1" x14ac:dyDescent="0.25">
      <c r="A359" s="143" t="s">
        <v>334</v>
      </c>
      <c r="B359" s="143" t="s">
        <v>184</v>
      </c>
      <c r="C359" s="143" t="s">
        <v>185</v>
      </c>
      <c r="D359" s="143" t="s">
        <v>69</v>
      </c>
      <c r="E359" s="257">
        <v>14015826994</v>
      </c>
      <c r="F359" s="257">
        <v>14015826994</v>
      </c>
      <c r="G359" s="257">
        <v>11010050862.5</v>
      </c>
      <c r="H359" s="257">
        <v>60266791.5</v>
      </c>
      <c r="I359" s="257">
        <v>2165566446.7199998</v>
      </c>
      <c r="J359" s="257">
        <v>248884355.09999999</v>
      </c>
      <c r="K359" s="257">
        <v>6001960791.6899996</v>
      </c>
      <c r="L359" s="257">
        <v>5698000197.9300003</v>
      </c>
      <c r="M359" s="257">
        <v>5539148608.9899998</v>
      </c>
      <c r="N359" s="257">
        <v>2533372477.4899998</v>
      </c>
    </row>
    <row r="360" spans="1:14" s="143" customFormat="1" x14ac:dyDescent="0.25">
      <c r="A360" s="143" t="s">
        <v>334</v>
      </c>
      <c r="B360" s="143" t="s">
        <v>186</v>
      </c>
      <c r="C360" s="143" t="s">
        <v>187</v>
      </c>
      <c r="D360" s="143" t="s">
        <v>69</v>
      </c>
      <c r="E360" s="257">
        <v>777682724</v>
      </c>
      <c r="F360" s="257">
        <v>777682724</v>
      </c>
      <c r="G360" s="257">
        <v>646928543</v>
      </c>
      <c r="H360" s="257">
        <v>6747000</v>
      </c>
      <c r="I360" s="257">
        <v>62717217.359999999</v>
      </c>
      <c r="J360" s="257">
        <v>0</v>
      </c>
      <c r="K360" s="257">
        <v>394405170.74000001</v>
      </c>
      <c r="L360" s="257">
        <v>390109130.74000001</v>
      </c>
      <c r="M360" s="257">
        <v>313813335.89999998</v>
      </c>
      <c r="N360" s="257">
        <v>183059154.90000001</v>
      </c>
    </row>
    <row r="361" spans="1:14" s="143" customFormat="1" x14ac:dyDescent="0.25">
      <c r="A361" s="143" t="s">
        <v>334</v>
      </c>
      <c r="B361" s="143" t="s">
        <v>188</v>
      </c>
      <c r="C361" s="143" t="s">
        <v>189</v>
      </c>
      <c r="D361" s="143" t="s">
        <v>69</v>
      </c>
      <c r="E361" s="257">
        <v>543016724</v>
      </c>
      <c r="F361" s="257">
        <v>543016724</v>
      </c>
      <c r="G361" s="257">
        <v>412262543</v>
      </c>
      <c r="H361" s="257">
        <v>0</v>
      </c>
      <c r="I361" s="257">
        <v>62575470.939999998</v>
      </c>
      <c r="J361" s="257">
        <v>0</v>
      </c>
      <c r="K361" s="257">
        <v>307111254.5</v>
      </c>
      <c r="L361" s="257">
        <v>307111254.5</v>
      </c>
      <c r="M361" s="257">
        <v>173329998.56</v>
      </c>
      <c r="N361" s="257">
        <v>42575817.560000002</v>
      </c>
    </row>
    <row r="362" spans="1:14" s="143" customFormat="1" x14ac:dyDescent="0.25">
      <c r="A362" s="143" t="s">
        <v>334</v>
      </c>
      <c r="B362" s="143" t="s">
        <v>190</v>
      </c>
      <c r="C362" s="143" t="s">
        <v>191</v>
      </c>
      <c r="D362" s="143" t="s">
        <v>69</v>
      </c>
      <c r="E362" s="257">
        <v>195656000</v>
      </c>
      <c r="F362" s="257">
        <v>195656000</v>
      </c>
      <c r="G362" s="257">
        <v>195656000</v>
      </c>
      <c r="H362" s="257">
        <v>6747000</v>
      </c>
      <c r="I362" s="257">
        <v>0</v>
      </c>
      <c r="J362" s="257">
        <v>0</v>
      </c>
      <c r="K362" s="257">
        <v>74248900</v>
      </c>
      <c r="L362" s="257">
        <v>70771800</v>
      </c>
      <c r="M362" s="257">
        <v>114660100</v>
      </c>
      <c r="N362" s="257">
        <v>114660100</v>
      </c>
    </row>
    <row r="363" spans="1:14" s="143" customFormat="1" x14ac:dyDescent="0.25">
      <c r="A363" s="143" t="s">
        <v>334</v>
      </c>
      <c r="B363" s="143" t="s">
        <v>350</v>
      </c>
      <c r="C363" s="143" t="s">
        <v>351</v>
      </c>
      <c r="D363" s="143" t="s">
        <v>69</v>
      </c>
      <c r="E363" s="257">
        <v>2674000</v>
      </c>
      <c r="F363" s="257">
        <v>2674000</v>
      </c>
      <c r="G363" s="257">
        <v>2674000</v>
      </c>
      <c r="H363" s="257">
        <v>0</v>
      </c>
      <c r="I363" s="257">
        <v>141746</v>
      </c>
      <c r="J363" s="257">
        <v>0</v>
      </c>
      <c r="K363" s="257">
        <v>77925</v>
      </c>
      <c r="L363" s="257">
        <v>77925</v>
      </c>
      <c r="M363" s="257">
        <v>2454329</v>
      </c>
      <c r="N363" s="257">
        <v>2454329</v>
      </c>
    </row>
    <row r="364" spans="1:14" s="143" customFormat="1" x14ac:dyDescent="0.25">
      <c r="A364" s="143" t="s">
        <v>334</v>
      </c>
      <c r="B364" s="143" t="s">
        <v>192</v>
      </c>
      <c r="C364" s="143" t="s">
        <v>193</v>
      </c>
      <c r="D364" s="143" t="s">
        <v>69</v>
      </c>
      <c r="E364" s="257">
        <v>30373000</v>
      </c>
      <c r="F364" s="257">
        <v>30373000</v>
      </c>
      <c r="G364" s="257">
        <v>30373000</v>
      </c>
      <c r="H364" s="257">
        <v>0</v>
      </c>
      <c r="I364" s="257">
        <v>0.42</v>
      </c>
      <c r="J364" s="257">
        <v>0</v>
      </c>
      <c r="K364" s="257">
        <v>12967091.24</v>
      </c>
      <c r="L364" s="257">
        <v>12148151.24</v>
      </c>
      <c r="M364" s="257">
        <v>17405908.34</v>
      </c>
      <c r="N364" s="257">
        <v>17405908.34</v>
      </c>
    </row>
    <row r="365" spans="1:14" s="143" customFormat="1" x14ac:dyDescent="0.25">
      <c r="A365" s="143" t="s">
        <v>334</v>
      </c>
      <c r="B365" s="143" t="s">
        <v>194</v>
      </c>
      <c r="C365" s="143" t="s">
        <v>195</v>
      </c>
      <c r="D365" s="143" t="s">
        <v>69</v>
      </c>
      <c r="E365" s="257">
        <v>5963000</v>
      </c>
      <c r="F365" s="257">
        <v>5963000</v>
      </c>
      <c r="G365" s="257">
        <v>5963000</v>
      </c>
      <c r="H365" s="257">
        <v>0</v>
      </c>
      <c r="I365" s="257">
        <v>0</v>
      </c>
      <c r="J365" s="257">
        <v>0</v>
      </c>
      <c r="K365" s="257">
        <v>0</v>
      </c>
      <c r="L365" s="257">
        <v>0</v>
      </c>
      <c r="M365" s="257">
        <v>5963000</v>
      </c>
      <c r="N365" s="257">
        <v>5963000</v>
      </c>
    </row>
    <row r="366" spans="1:14" s="143" customFormat="1" x14ac:dyDescent="0.25">
      <c r="A366" s="143" t="s">
        <v>334</v>
      </c>
      <c r="B366" s="143" t="s">
        <v>196</v>
      </c>
      <c r="C366" s="143" t="s">
        <v>197</v>
      </c>
      <c r="D366" s="143" t="s">
        <v>69</v>
      </c>
      <c r="E366" s="257">
        <v>10984366500</v>
      </c>
      <c r="F366" s="257">
        <v>10984366500</v>
      </c>
      <c r="G366" s="257">
        <v>8241185000</v>
      </c>
      <c r="H366" s="257">
        <v>0</v>
      </c>
      <c r="I366" s="257">
        <v>1566479487.0899999</v>
      </c>
      <c r="J366" s="257">
        <v>233324261.81999999</v>
      </c>
      <c r="K366" s="257">
        <v>4737542853.3199997</v>
      </c>
      <c r="L366" s="257">
        <v>4503613790.5200005</v>
      </c>
      <c r="M366" s="257">
        <v>4447019897.7700005</v>
      </c>
      <c r="N366" s="257">
        <v>1703838397.77</v>
      </c>
    </row>
    <row r="367" spans="1:14" s="143" customFormat="1" x14ac:dyDescent="0.25">
      <c r="A367" s="143" t="s">
        <v>334</v>
      </c>
      <c r="B367" s="143" t="s">
        <v>198</v>
      </c>
      <c r="C367" s="143" t="s">
        <v>199</v>
      </c>
      <c r="D367" s="143" t="s">
        <v>69</v>
      </c>
      <c r="E367" s="257">
        <v>10972726000</v>
      </c>
      <c r="F367" s="257">
        <v>10972726000</v>
      </c>
      <c r="G367" s="257">
        <v>8229544500</v>
      </c>
      <c r="H367" s="257">
        <v>0</v>
      </c>
      <c r="I367" s="257">
        <v>1564251987.0899999</v>
      </c>
      <c r="J367" s="257">
        <v>233324261.81999999</v>
      </c>
      <c r="K367" s="257">
        <v>4733950353.3199997</v>
      </c>
      <c r="L367" s="257">
        <v>4500021290.5200005</v>
      </c>
      <c r="M367" s="257">
        <v>4441199397.7700005</v>
      </c>
      <c r="N367" s="257">
        <v>1698017897.77</v>
      </c>
    </row>
    <row r="368" spans="1:14" s="143" customFormat="1" x14ac:dyDescent="0.25">
      <c r="A368" s="143" t="s">
        <v>334</v>
      </c>
      <c r="B368" s="143" t="s">
        <v>352</v>
      </c>
      <c r="C368" s="143" t="s">
        <v>353</v>
      </c>
      <c r="D368" s="143" t="s">
        <v>69</v>
      </c>
      <c r="E368" s="257">
        <v>11640500</v>
      </c>
      <c r="F368" s="257">
        <v>11640500</v>
      </c>
      <c r="G368" s="257">
        <v>11640500</v>
      </c>
      <c r="H368" s="257">
        <v>0</v>
      </c>
      <c r="I368" s="257">
        <v>2227500</v>
      </c>
      <c r="J368" s="257">
        <v>0</v>
      </c>
      <c r="K368" s="257">
        <v>3592500</v>
      </c>
      <c r="L368" s="257">
        <v>3592500</v>
      </c>
      <c r="M368" s="257">
        <v>5820500</v>
      </c>
      <c r="N368" s="257">
        <v>5820500</v>
      </c>
    </row>
    <row r="369" spans="1:14" s="143" customFormat="1" x14ac:dyDescent="0.25">
      <c r="A369" s="143" t="s">
        <v>334</v>
      </c>
      <c r="B369" s="143" t="s">
        <v>200</v>
      </c>
      <c r="C369" s="143" t="s">
        <v>201</v>
      </c>
      <c r="D369" s="143" t="s">
        <v>69</v>
      </c>
      <c r="E369" s="257">
        <v>446867786</v>
      </c>
      <c r="F369" s="257">
        <v>442289969</v>
      </c>
      <c r="G369" s="257">
        <v>367242785.5</v>
      </c>
      <c r="H369" s="257">
        <v>34117981.5</v>
      </c>
      <c r="I369" s="257">
        <v>19159882.629999999</v>
      </c>
      <c r="J369" s="257">
        <v>1354987.8</v>
      </c>
      <c r="K369" s="257">
        <v>104769216.06</v>
      </c>
      <c r="L369" s="257">
        <v>69699790.129999995</v>
      </c>
      <c r="M369" s="257">
        <v>282887901.00999999</v>
      </c>
      <c r="N369" s="257">
        <v>207840717.50999999</v>
      </c>
    </row>
    <row r="370" spans="1:14" s="143" customFormat="1" x14ac:dyDescent="0.25">
      <c r="A370" s="143" t="s">
        <v>334</v>
      </c>
      <c r="B370" s="143" t="s">
        <v>314</v>
      </c>
      <c r="C370" s="143" t="s">
        <v>315</v>
      </c>
      <c r="D370" s="143" t="s">
        <v>69</v>
      </c>
      <c r="E370" s="257">
        <v>122902000</v>
      </c>
      <c r="F370" s="257">
        <v>122902000</v>
      </c>
      <c r="G370" s="257">
        <v>96261314</v>
      </c>
      <c r="H370" s="257">
        <v>0</v>
      </c>
      <c r="I370" s="257">
        <v>2884724</v>
      </c>
      <c r="J370" s="257">
        <v>0</v>
      </c>
      <c r="K370" s="257">
        <v>8371052.8099999996</v>
      </c>
      <c r="L370" s="257">
        <v>8371052.8099999996</v>
      </c>
      <c r="M370" s="257">
        <v>111646223.19</v>
      </c>
      <c r="N370" s="257">
        <v>85005537.189999998</v>
      </c>
    </row>
    <row r="371" spans="1:14" s="143" customFormat="1" x14ac:dyDescent="0.25">
      <c r="A371" s="143" t="s">
        <v>334</v>
      </c>
      <c r="B371" s="143" t="s">
        <v>316</v>
      </c>
      <c r="C371" s="143" t="s">
        <v>317</v>
      </c>
      <c r="D371" s="143" t="s">
        <v>69</v>
      </c>
      <c r="E371" s="257">
        <v>50168000</v>
      </c>
      <c r="F371" s="257">
        <v>50168000</v>
      </c>
      <c r="G371" s="257">
        <v>37626000</v>
      </c>
      <c r="H371" s="257">
        <v>9998800</v>
      </c>
      <c r="I371" s="257">
        <v>0</v>
      </c>
      <c r="J371" s="257">
        <v>0</v>
      </c>
      <c r="K371" s="257">
        <v>3935643</v>
      </c>
      <c r="L371" s="257">
        <v>3935643</v>
      </c>
      <c r="M371" s="257">
        <v>36233557</v>
      </c>
      <c r="N371" s="257">
        <v>23691557</v>
      </c>
    </row>
    <row r="372" spans="1:14" s="143" customFormat="1" x14ac:dyDescent="0.25">
      <c r="A372" s="143" t="s">
        <v>334</v>
      </c>
      <c r="B372" s="143" t="s">
        <v>318</v>
      </c>
      <c r="C372" s="143" t="s">
        <v>319</v>
      </c>
      <c r="D372" s="143" t="s">
        <v>69</v>
      </c>
      <c r="E372" s="257">
        <v>89195672</v>
      </c>
      <c r="F372" s="257">
        <v>89195672</v>
      </c>
      <c r="G372" s="257">
        <v>72520647</v>
      </c>
      <c r="H372" s="257">
        <v>0</v>
      </c>
      <c r="I372" s="257">
        <v>0</v>
      </c>
      <c r="J372" s="257">
        <v>0</v>
      </c>
      <c r="K372" s="257">
        <v>53066598</v>
      </c>
      <c r="L372" s="257">
        <v>45866598</v>
      </c>
      <c r="M372" s="257">
        <v>36129074</v>
      </c>
      <c r="N372" s="257">
        <v>19454049</v>
      </c>
    </row>
    <row r="373" spans="1:14" s="143" customFormat="1" x14ac:dyDescent="0.25">
      <c r="A373" s="143" t="s">
        <v>334</v>
      </c>
      <c r="B373" s="143" t="s">
        <v>202</v>
      </c>
      <c r="C373" s="143" t="s">
        <v>203</v>
      </c>
      <c r="D373" s="143" t="s">
        <v>69</v>
      </c>
      <c r="E373" s="257">
        <v>90316000</v>
      </c>
      <c r="F373" s="257">
        <v>90316000</v>
      </c>
      <c r="G373" s="257">
        <v>90316000</v>
      </c>
      <c r="H373" s="257">
        <v>21245381.5</v>
      </c>
      <c r="I373" s="257">
        <v>16275158.630000001</v>
      </c>
      <c r="J373" s="257">
        <v>1048491</v>
      </c>
      <c r="K373" s="257">
        <v>23280813.280000001</v>
      </c>
      <c r="L373" s="257">
        <v>11321108.539999999</v>
      </c>
      <c r="M373" s="257">
        <v>28466155.59</v>
      </c>
      <c r="N373" s="257">
        <v>28466155.59</v>
      </c>
    </row>
    <row r="374" spans="1:14" s="143" customFormat="1" x14ac:dyDescent="0.25">
      <c r="A374" s="143" t="s">
        <v>334</v>
      </c>
      <c r="B374" s="143" t="s">
        <v>320</v>
      </c>
      <c r="C374" s="143" t="s">
        <v>321</v>
      </c>
      <c r="D374" s="143" t="s">
        <v>69</v>
      </c>
      <c r="E374" s="257">
        <v>7059000</v>
      </c>
      <c r="F374" s="257">
        <v>2481183</v>
      </c>
      <c r="G374" s="257">
        <v>2481183</v>
      </c>
      <c r="H374" s="257">
        <v>2291500</v>
      </c>
      <c r="I374" s="257">
        <v>0</v>
      </c>
      <c r="J374" s="257">
        <v>0</v>
      </c>
      <c r="K374" s="257">
        <v>185000</v>
      </c>
      <c r="L374" s="257">
        <v>185000</v>
      </c>
      <c r="M374" s="257">
        <v>4683</v>
      </c>
      <c r="N374" s="257">
        <v>4683</v>
      </c>
    </row>
    <row r="375" spans="1:14" s="143" customFormat="1" x14ac:dyDescent="0.25">
      <c r="A375" s="143" t="s">
        <v>334</v>
      </c>
      <c r="B375" s="143" t="s">
        <v>204</v>
      </c>
      <c r="C375" s="143" t="s">
        <v>205</v>
      </c>
      <c r="D375" s="143" t="s">
        <v>69</v>
      </c>
      <c r="E375" s="257">
        <v>61279000</v>
      </c>
      <c r="F375" s="257">
        <v>61279000</v>
      </c>
      <c r="G375" s="257">
        <v>42089528</v>
      </c>
      <c r="H375" s="257">
        <v>582300</v>
      </c>
      <c r="I375" s="257">
        <v>0</v>
      </c>
      <c r="J375" s="257">
        <v>306496.8</v>
      </c>
      <c r="K375" s="257">
        <v>15930108.970000001</v>
      </c>
      <c r="L375" s="257">
        <v>20387.78</v>
      </c>
      <c r="M375" s="257">
        <v>44460094.229999997</v>
      </c>
      <c r="N375" s="257">
        <v>25270622.23</v>
      </c>
    </row>
    <row r="376" spans="1:14" s="143" customFormat="1" x14ac:dyDescent="0.25">
      <c r="A376" s="143" t="s">
        <v>334</v>
      </c>
      <c r="B376" s="143" t="s">
        <v>322</v>
      </c>
      <c r="C376" s="143" t="s">
        <v>323</v>
      </c>
      <c r="D376" s="143" t="s">
        <v>69</v>
      </c>
      <c r="E376" s="257">
        <v>25948114</v>
      </c>
      <c r="F376" s="257">
        <v>25948114</v>
      </c>
      <c r="G376" s="257">
        <v>25948113.5</v>
      </c>
      <c r="H376" s="257">
        <v>0</v>
      </c>
      <c r="I376" s="257">
        <v>0</v>
      </c>
      <c r="J376" s="257">
        <v>0</v>
      </c>
      <c r="K376" s="257">
        <v>0</v>
      </c>
      <c r="L376" s="257">
        <v>0</v>
      </c>
      <c r="M376" s="257">
        <v>25948114</v>
      </c>
      <c r="N376" s="257">
        <v>25948113.5</v>
      </c>
    </row>
    <row r="377" spans="1:14" s="143" customFormat="1" x14ac:dyDescent="0.25">
      <c r="A377" s="143" t="s">
        <v>334</v>
      </c>
      <c r="B377" s="143" t="s">
        <v>206</v>
      </c>
      <c r="C377" s="143" t="s">
        <v>207</v>
      </c>
      <c r="D377" s="143" t="s">
        <v>69</v>
      </c>
      <c r="E377" s="257">
        <v>150560000</v>
      </c>
      <c r="F377" s="257">
        <v>150560000</v>
      </c>
      <c r="G377" s="257">
        <v>138306860</v>
      </c>
      <c r="H377" s="257">
        <v>6470740</v>
      </c>
      <c r="I377" s="257">
        <v>34961262.590000004</v>
      </c>
      <c r="J377" s="257">
        <v>3973475</v>
      </c>
      <c r="K377" s="257">
        <v>56447352.420000002</v>
      </c>
      <c r="L377" s="257">
        <v>54616249.390000001</v>
      </c>
      <c r="M377" s="257">
        <v>48707169.990000002</v>
      </c>
      <c r="N377" s="257">
        <v>36454029.990000002</v>
      </c>
    </row>
    <row r="378" spans="1:14" s="143" customFormat="1" x14ac:dyDescent="0.25">
      <c r="A378" s="143" t="s">
        <v>334</v>
      </c>
      <c r="B378" s="143" t="s">
        <v>208</v>
      </c>
      <c r="C378" s="143" t="s">
        <v>209</v>
      </c>
      <c r="D378" s="143" t="s">
        <v>69</v>
      </c>
      <c r="E378" s="257">
        <v>53615000</v>
      </c>
      <c r="F378" s="257">
        <v>53615000</v>
      </c>
      <c r="G378" s="257">
        <v>41361860</v>
      </c>
      <c r="H378" s="257">
        <v>0</v>
      </c>
      <c r="I378" s="257">
        <v>42000</v>
      </c>
      <c r="J378" s="257">
        <v>0</v>
      </c>
      <c r="K378" s="257">
        <v>16813580</v>
      </c>
      <c r="L378" s="257">
        <v>16813580</v>
      </c>
      <c r="M378" s="257">
        <v>36759420</v>
      </c>
      <c r="N378" s="257">
        <v>24506280</v>
      </c>
    </row>
    <row r="379" spans="1:14" s="143" customFormat="1" x14ac:dyDescent="0.25">
      <c r="A379" s="143" t="s">
        <v>334</v>
      </c>
      <c r="B379" s="143" t="s">
        <v>210</v>
      </c>
      <c r="C379" s="143" t="s">
        <v>211</v>
      </c>
      <c r="D379" s="143" t="s">
        <v>69</v>
      </c>
      <c r="E379" s="257">
        <v>96945000</v>
      </c>
      <c r="F379" s="257">
        <v>96945000</v>
      </c>
      <c r="G379" s="257">
        <v>96945000</v>
      </c>
      <c r="H379" s="257">
        <v>6470740</v>
      </c>
      <c r="I379" s="257">
        <v>34919262.590000004</v>
      </c>
      <c r="J379" s="257">
        <v>3973475</v>
      </c>
      <c r="K379" s="257">
        <v>39633772.420000002</v>
      </c>
      <c r="L379" s="257">
        <v>37802669.390000001</v>
      </c>
      <c r="M379" s="257">
        <v>11947749.99</v>
      </c>
      <c r="N379" s="257">
        <v>11947749.99</v>
      </c>
    </row>
    <row r="380" spans="1:14" s="143" customFormat="1" x14ac:dyDescent="0.25">
      <c r="A380" s="143" t="s">
        <v>334</v>
      </c>
      <c r="B380" s="143" t="s">
        <v>354</v>
      </c>
      <c r="C380" s="143" t="s">
        <v>355</v>
      </c>
      <c r="D380" s="143" t="s">
        <v>69</v>
      </c>
      <c r="E380" s="257">
        <v>0</v>
      </c>
      <c r="F380" s="257">
        <v>4577817</v>
      </c>
      <c r="G380" s="257">
        <v>4577817</v>
      </c>
      <c r="H380" s="257">
        <v>0</v>
      </c>
      <c r="I380" s="257">
        <v>0</v>
      </c>
      <c r="J380" s="257">
        <v>0</v>
      </c>
      <c r="K380" s="257">
        <v>0</v>
      </c>
      <c r="L380" s="257">
        <v>0</v>
      </c>
      <c r="M380" s="257">
        <v>4577817</v>
      </c>
      <c r="N380" s="257">
        <v>4577817</v>
      </c>
    </row>
    <row r="381" spans="1:14" s="143" customFormat="1" x14ac:dyDescent="0.25">
      <c r="A381" s="143" t="s">
        <v>334</v>
      </c>
      <c r="B381" s="143" t="s">
        <v>356</v>
      </c>
      <c r="C381" s="143" t="s">
        <v>357</v>
      </c>
      <c r="D381" s="143" t="s">
        <v>69</v>
      </c>
      <c r="E381" s="257">
        <v>0</v>
      </c>
      <c r="F381" s="257">
        <v>4577817</v>
      </c>
      <c r="G381" s="257">
        <v>4577817</v>
      </c>
      <c r="H381" s="257">
        <v>0</v>
      </c>
      <c r="I381" s="257">
        <v>0</v>
      </c>
      <c r="J381" s="257">
        <v>0</v>
      </c>
      <c r="K381" s="257">
        <v>0</v>
      </c>
      <c r="L381" s="257">
        <v>0</v>
      </c>
      <c r="M381" s="257">
        <v>4577817</v>
      </c>
      <c r="N381" s="257">
        <v>4577817</v>
      </c>
    </row>
    <row r="382" spans="1:14" s="143" customFormat="1" x14ac:dyDescent="0.25">
      <c r="A382" s="143" t="s">
        <v>334</v>
      </c>
      <c r="B382" s="143" t="s">
        <v>212</v>
      </c>
      <c r="C382" s="143" t="s">
        <v>213</v>
      </c>
      <c r="D382" s="143" t="s">
        <v>69</v>
      </c>
      <c r="E382" s="257">
        <v>1656349984</v>
      </c>
      <c r="F382" s="257">
        <v>1656349984</v>
      </c>
      <c r="G382" s="257">
        <v>1611809857</v>
      </c>
      <c r="H382" s="257">
        <v>12931070</v>
      </c>
      <c r="I382" s="257">
        <v>482248597.05000001</v>
      </c>
      <c r="J382" s="257">
        <v>10231630.48</v>
      </c>
      <c r="K382" s="257">
        <v>708796199.14999998</v>
      </c>
      <c r="L382" s="257">
        <v>679961237.14999998</v>
      </c>
      <c r="M382" s="257">
        <v>442142487.31999999</v>
      </c>
      <c r="N382" s="257">
        <v>397602360.31999999</v>
      </c>
    </row>
    <row r="383" spans="1:14" s="143" customFormat="1" x14ac:dyDescent="0.25">
      <c r="A383" s="143" t="s">
        <v>334</v>
      </c>
      <c r="B383" s="143" t="s">
        <v>214</v>
      </c>
      <c r="C383" s="143" t="s">
        <v>215</v>
      </c>
      <c r="D383" s="143" t="s">
        <v>69</v>
      </c>
      <c r="E383" s="257">
        <v>34070136</v>
      </c>
      <c r="F383" s="257">
        <v>34070136</v>
      </c>
      <c r="G383" s="257">
        <v>25552602</v>
      </c>
      <c r="H383" s="257">
        <v>0</v>
      </c>
      <c r="I383" s="257">
        <v>100800</v>
      </c>
      <c r="J383" s="257">
        <v>0</v>
      </c>
      <c r="K383" s="257">
        <v>715487</v>
      </c>
      <c r="L383" s="257">
        <v>715487</v>
      </c>
      <c r="M383" s="257">
        <v>33253849</v>
      </c>
      <c r="N383" s="257">
        <v>24736315</v>
      </c>
    </row>
    <row r="384" spans="1:14" s="143" customFormat="1" x14ac:dyDescent="0.25">
      <c r="A384" s="143" t="s">
        <v>334</v>
      </c>
      <c r="B384" s="143" t="s">
        <v>216</v>
      </c>
      <c r="C384" s="143" t="s">
        <v>217</v>
      </c>
      <c r="D384" s="143" t="s">
        <v>69</v>
      </c>
      <c r="E384" s="257">
        <v>65363019</v>
      </c>
      <c r="F384" s="257">
        <v>65363019</v>
      </c>
      <c r="G384" s="257">
        <v>52522263.75</v>
      </c>
      <c r="H384" s="257">
        <v>0</v>
      </c>
      <c r="I384" s="257">
        <v>107123.71</v>
      </c>
      <c r="J384" s="257">
        <v>55630.48</v>
      </c>
      <c r="K384" s="257">
        <v>5277259.2699999996</v>
      </c>
      <c r="L384" s="257">
        <v>5277259.2699999996</v>
      </c>
      <c r="M384" s="257">
        <v>59923005.539999999</v>
      </c>
      <c r="N384" s="257">
        <v>47082250.289999999</v>
      </c>
    </row>
    <row r="385" spans="1:14" s="143" customFormat="1" x14ac:dyDescent="0.25">
      <c r="A385" s="143" t="s">
        <v>334</v>
      </c>
      <c r="B385" s="143" t="s">
        <v>218</v>
      </c>
      <c r="C385" s="143" t="s">
        <v>219</v>
      </c>
      <c r="D385" s="143" t="s">
        <v>69</v>
      </c>
      <c r="E385" s="257">
        <v>146259000</v>
      </c>
      <c r="F385" s="257">
        <v>146259000</v>
      </c>
      <c r="G385" s="257">
        <v>146259000</v>
      </c>
      <c r="H385" s="257">
        <v>928800</v>
      </c>
      <c r="I385" s="257">
        <v>47031823.119999997</v>
      </c>
      <c r="J385" s="257">
        <v>10176000</v>
      </c>
      <c r="K385" s="257">
        <v>13166148.220000001</v>
      </c>
      <c r="L385" s="257">
        <v>10062468.220000001</v>
      </c>
      <c r="M385" s="257">
        <v>74956228.659999996</v>
      </c>
      <c r="N385" s="257">
        <v>74956228.659999996</v>
      </c>
    </row>
    <row r="386" spans="1:14" s="143" customFormat="1" x14ac:dyDescent="0.25">
      <c r="A386" s="143" t="s">
        <v>334</v>
      </c>
      <c r="B386" s="143" t="s">
        <v>220</v>
      </c>
      <c r="C386" s="143" t="s">
        <v>221</v>
      </c>
      <c r="D386" s="143" t="s">
        <v>69</v>
      </c>
      <c r="E386" s="257">
        <v>643150000</v>
      </c>
      <c r="F386" s="257">
        <v>643150000</v>
      </c>
      <c r="G386" s="257">
        <v>643150000</v>
      </c>
      <c r="H386" s="257">
        <v>1169000</v>
      </c>
      <c r="I386" s="257">
        <v>275700807.70999998</v>
      </c>
      <c r="J386" s="257">
        <v>0</v>
      </c>
      <c r="K386" s="257">
        <v>301580993.99000001</v>
      </c>
      <c r="L386" s="257">
        <v>301580993.99000001</v>
      </c>
      <c r="M386" s="257">
        <v>64699198.299999997</v>
      </c>
      <c r="N386" s="257">
        <v>64699198.299999997</v>
      </c>
    </row>
    <row r="387" spans="1:14" s="143" customFormat="1" x14ac:dyDescent="0.25">
      <c r="A387" s="143" t="s">
        <v>334</v>
      </c>
      <c r="B387" s="143" t="s">
        <v>222</v>
      </c>
      <c r="C387" s="143" t="s">
        <v>223</v>
      </c>
      <c r="D387" s="143" t="s">
        <v>69</v>
      </c>
      <c r="E387" s="257">
        <v>302355000</v>
      </c>
      <c r="F387" s="257">
        <v>302355000</v>
      </c>
      <c r="G387" s="257">
        <v>302355000</v>
      </c>
      <c r="H387" s="257">
        <v>0</v>
      </c>
      <c r="I387" s="257">
        <v>87989385.299999997</v>
      </c>
      <c r="J387" s="257">
        <v>0</v>
      </c>
      <c r="K387" s="257">
        <v>144455735.50999999</v>
      </c>
      <c r="L387" s="257">
        <v>118724453.51000001</v>
      </c>
      <c r="M387" s="257">
        <v>69909879.189999998</v>
      </c>
      <c r="N387" s="257">
        <v>69909879.189999998</v>
      </c>
    </row>
    <row r="388" spans="1:14" s="143" customFormat="1" x14ac:dyDescent="0.25">
      <c r="A388" s="143" t="s">
        <v>334</v>
      </c>
      <c r="B388" s="143" t="s">
        <v>224</v>
      </c>
      <c r="C388" s="143" t="s">
        <v>225</v>
      </c>
      <c r="D388" s="143" t="s">
        <v>69</v>
      </c>
      <c r="E388" s="257">
        <v>182921000</v>
      </c>
      <c r="F388" s="257">
        <v>182921000</v>
      </c>
      <c r="G388" s="257">
        <v>182921000</v>
      </c>
      <c r="H388" s="257">
        <v>10303770</v>
      </c>
      <c r="I388" s="257">
        <v>26945634.989999998</v>
      </c>
      <c r="J388" s="257">
        <v>0</v>
      </c>
      <c r="K388" s="257">
        <v>132984463.25</v>
      </c>
      <c r="L388" s="257">
        <v>132984463.25</v>
      </c>
      <c r="M388" s="257">
        <v>12687131.76</v>
      </c>
      <c r="N388" s="257">
        <v>12687131.76</v>
      </c>
    </row>
    <row r="389" spans="1:14" s="143" customFormat="1" x14ac:dyDescent="0.25">
      <c r="A389" s="143" t="s">
        <v>334</v>
      </c>
      <c r="B389" s="143" t="s">
        <v>226</v>
      </c>
      <c r="C389" s="143" t="s">
        <v>227</v>
      </c>
      <c r="D389" s="143" t="s">
        <v>69</v>
      </c>
      <c r="E389" s="257">
        <v>92727347</v>
      </c>
      <c r="F389" s="257">
        <v>92727347</v>
      </c>
      <c r="G389" s="257">
        <v>69545509.75</v>
      </c>
      <c r="H389" s="257">
        <v>0</v>
      </c>
      <c r="I389" s="257">
        <v>17137098.280000001</v>
      </c>
      <c r="J389" s="257">
        <v>0</v>
      </c>
      <c r="K389" s="257">
        <v>16868478.489999998</v>
      </c>
      <c r="L389" s="257">
        <v>16868478.489999998</v>
      </c>
      <c r="M389" s="257">
        <v>58721770.229999997</v>
      </c>
      <c r="N389" s="257">
        <v>35539932.979999997</v>
      </c>
    </row>
    <row r="390" spans="1:14" s="143" customFormat="1" x14ac:dyDescent="0.25">
      <c r="A390" s="143" t="s">
        <v>334</v>
      </c>
      <c r="B390" s="143" t="s">
        <v>228</v>
      </c>
      <c r="C390" s="143" t="s">
        <v>229</v>
      </c>
      <c r="D390" s="143" t="s">
        <v>69</v>
      </c>
      <c r="E390" s="257">
        <v>189504482</v>
      </c>
      <c r="F390" s="257">
        <v>189504482</v>
      </c>
      <c r="G390" s="257">
        <v>189504481.5</v>
      </c>
      <c r="H390" s="257">
        <v>529500</v>
      </c>
      <c r="I390" s="257">
        <v>27235923.940000001</v>
      </c>
      <c r="J390" s="257">
        <v>0</v>
      </c>
      <c r="K390" s="257">
        <v>93747633.420000002</v>
      </c>
      <c r="L390" s="257">
        <v>93747633.420000002</v>
      </c>
      <c r="M390" s="257">
        <v>67991424.640000001</v>
      </c>
      <c r="N390" s="257">
        <v>67991424.140000001</v>
      </c>
    </row>
    <row r="391" spans="1:14" s="143" customFormat="1" x14ac:dyDescent="0.25">
      <c r="A391" s="143" t="s">
        <v>334</v>
      </c>
      <c r="B391" s="143" t="s">
        <v>230</v>
      </c>
      <c r="C391" s="143" t="s">
        <v>231</v>
      </c>
      <c r="D391" s="143" t="s">
        <v>69</v>
      </c>
      <c r="E391" s="257">
        <v>883769579</v>
      </c>
      <c r="F391" s="257">
        <v>2629734727</v>
      </c>
      <c r="G391" s="257">
        <v>1611520504.75</v>
      </c>
      <c r="H391" s="257">
        <v>136902457.09999999</v>
      </c>
      <c r="I391" s="257">
        <v>137640122.09999999</v>
      </c>
      <c r="J391" s="257">
        <v>45768000</v>
      </c>
      <c r="K391" s="257">
        <v>753103991.26999998</v>
      </c>
      <c r="L391" s="257">
        <v>738297652.63</v>
      </c>
      <c r="M391" s="257">
        <v>1556320156.53</v>
      </c>
      <c r="N391" s="257">
        <v>538105934.27999997</v>
      </c>
    </row>
    <row r="392" spans="1:14" s="143" customFormat="1" x14ac:dyDescent="0.25">
      <c r="A392" s="143" t="s">
        <v>334</v>
      </c>
      <c r="B392" s="143" t="s">
        <v>232</v>
      </c>
      <c r="C392" s="143" t="s">
        <v>233</v>
      </c>
      <c r="D392" s="143" t="s">
        <v>69</v>
      </c>
      <c r="E392" s="257">
        <v>667187579</v>
      </c>
      <c r="F392" s="257">
        <v>667187579</v>
      </c>
      <c r="G392" s="257">
        <v>667187578.75</v>
      </c>
      <c r="H392" s="257">
        <v>136902457.09999999</v>
      </c>
      <c r="I392" s="257">
        <v>126972801.54000001</v>
      </c>
      <c r="J392" s="257">
        <v>45768000</v>
      </c>
      <c r="K392" s="257">
        <v>128614931.86</v>
      </c>
      <c r="L392" s="257">
        <v>128614931.86</v>
      </c>
      <c r="M392" s="257">
        <v>228929388.5</v>
      </c>
      <c r="N392" s="257">
        <v>228929388.25</v>
      </c>
    </row>
    <row r="393" spans="1:14" s="143" customFormat="1" x14ac:dyDescent="0.25">
      <c r="A393" s="143" t="s">
        <v>334</v>
      </c>
      <c r="B393" s="143" t="s">
        <v>236</v>
      </c>
      <c r="C393" s="143" t="s">
        <v>237</v>
      </c>
      <c r="D393" s="143" t="s">
        <v>69</v>
      </c>
      <c r="E393" s="257">
        <v>0</v>
      </c>
      <c r="F393" s="257">
        <v>0</v>
      </c>
      <c r="G393" s="257">
        <v>0</v>
      </c>
      <c r="H393" s="257">
        <v>0</v>
      </c>
      <c r="I393" s="257">
        <v>0</v>
      </c>
      <c r="J393" s="257">
        <v>0</v>
      </c>
      <c r="K393" s="257">
        <v>0</v>
      </c>
      <c r="L393" s="257">
        <v>0</v>
      </c>
      <c r="M393" s="257">
        <v>0</v>
      </c>
      <c r="N393" s="257">
        <v>0</v>
      </c>
    </row>
    <row r="394" spans="1:14" s="143" customFormat="1" x14ac:dyDescent="0.25">
      <c r="A394" s="143" t="s">
        <v>334</v>
      </c>
      <c r="B394" s="143" t="s">
        <v>238</v>
      </c>
      <c r="C394" s="143" t="s">
        <v>239</v>
      </c>
      <c r="D394" s="143" t="s">
        <v>69</v>
      </c>
      <c r="E394" s="257">
        <v>0</v>
      </c>
      <c r="F394" s="257">
        <v>0</v>
      </c>
      <c r="G394" s="257">
        <v>0</v>
      </c>
      <c r="H394" s="257">
        <v>0</v>
      </c>
      <c r="I394" s="257">
        <v>0</v>
      </c>
      <c r="J394" s="257">
        <v>0</v>
      </c>
      <c r="K394" s="257">
        <v>0</v>
      </c>
      <c r="L394" s="257">
        <v>0</v>
      </c>
      <c r="M394" s="257">
        <v>0</v>
      </c>
      <c r="N394" s="257">
        <v>0</v>
      </c>
    </row>
    <row r="395" spans="1:14" s="143" customFormat="1" x14ac:dyDescent="0.25">
      <c r="A395" s="143" t="s">
        <v>334</v>
      </c>
      <c r="B395" s="143" t="s">
        <v>234</v>
      </c>
      <c r="C395" s="143" t="s">
        <v>235</v>
      </c>
      <c r="D395" s="143" t="s">
        <v>85</v>
      </c>
      <c r="E395" s="257">
        <v>33062000</v>
      </c>
      <c r="F395" s="257">
        <v>19951724</v>
      </c>
      <c r="G395" s="257">
        <v>19951724</v>
      </c>
      <c r="H395" s="257">
        <v>8296467.0999999996</v>
      </c>
      <c r="I395" s="257">
        <v>0</v>
      </c>
      <c r="J395" s="257">
        <v>0</v>
      </c>
      <c r="K395" s="257">
        <v>0</v>
      </c>
      <c r="L395" s="257">
        <v>0</v>
      </c>
      <c r="M395" s="257">
        <v>11655256.9</v>
      </c>
      <c r="N395" s="257">
        <v>11655256.9</v>
      </c>
    </row>
    <row r="396" spans="1:14" s="143" customFormat="1" x14ac:dyDescent="0.25">
      <c r="A396" s="143" t="s">
        <v>334</v>
      </c>
      <c r="B396" s="143" t="s">
        <v>324</v>
      </c>
      <c r="C396" s="143" t="s">
        <v>325</v>
      </c>
      <c r="D396" s="143" t="s">
        <v>85</v>
      </c>
      <c r="E396" s="257">
        <v>72100000</v>
      </c>
      <c r="F396" s="257">
        <v>72100000</v>
      </c>
      <c r="G396" s="257">
        <v>72100000</v>
      </c>
      <c r="H396" s="257">
        <v>0</v>
      </c>
      <c r="I396" s="257">
        <v>0</v>
      </c>
      <c r="J396" s="257">
        <v>0</v>
      </c>
      <c r="K396" s="257">
        <v>16883370</v>
      </c>
      <c r="L396" s="257">
        <v>16883370</v>
      </c>
      <c r="M396" s="257">
        <v>55216630</v>
      </c>
      <c r="N396" s="257">
        <v>55216630</v>
      </c>
    </row>
    <row r="397" spans="1:14" s="143" customFormat="1" x14ac:dyDescent="0.25">
      <c r="A397" s="143" t="s">
        <v>334</v>
      </c>
      <c r="B397" s="143" t="s">
        <v>236</v>
      </c>
      <c r="C397" s="143" t="s">
        <v>237</v>
      </c>
      <c r="D397" s="143" t="s">
        <v>85</v>
      </c>
      <c r="E397" s="257">
        <v>147248000</v>
      </c>
      <c r="F397" s="257">
        <v>141523000</v>
      </c>
      <c r="G397" s="257">
        <v>141523000</v>
      </c>
      <c r="H397" s="257">
        <v>650000</v>
      </c>
      <c r="I397" s="257">
        <v>85844244.590000004</v>
      </c>
      <c r="J397" s="257">
        <v>0</v>
      </c>
      <c r="K397" s="257">
        <v>7645100</v>
      </c>
      <c r="L397" s="257">
        <v>7645100</v>
      </c>
      <c r="M397" s="257">
        <v>47383655.409999996</v>
      </c>
      <c r="N397" s="257">
        <v>47383655.409999996</v>
      </c>
    </row>
    <row r="398" spans="1:14" s="143" customFormat="1" x14ac:dyDescent="0.25">
      <c r="A398" s="143" t="s">
        <v>334</v>
      </c>
      <c r="B398" s="143" t="s">
        <v>238</v>
      </c>
      <c r="C398" s="143" t="s">
        <v>239</v>
      </c>
      <c r="D398" s="143" t="s">
        <v>85</v>
      </c>
      <c r="E398" s="257">
        <v>69415579</v>
      </c>
      <c r="F398" s="257">
        <v>88250855</v>
      </c>
      <c r="G398" s="257">
        <v>88250854.75</v>
      </c>
      <c r="H398" s="257">
        <v>0</v>
      </c>
      <c r="I398" s="257">
        <v>1091800</v>
      </c>
      <c r="J398" s="257">
        <v>0</v>
      </c>
      <c r="K398" s="257">
        <v>14204254</v>
      </c>
      <c r="L398" s="257">
        <v>14204254</v>
      </c>
      <c r="M398" s="257">
        <v>72954801</v>
      </c>
      <c r="N398" s="257">
        <v>72954800.75</v>
      </c>
    </row>
    <row r="399" spans="1:14" s="143" customFormat="1" x14ac:dyDescent="0.25">
      <c r="A399" s="143" t="s">
        <v>334</v>
      </c>
      <c r="B399" s="143" t="s">
        <v>282</v>
      </c>
      <c r="C399" s="143" t="s">
        <v>283</v>
      </c>
      <c r="D399" s="143" t="s">
        <v>85</v>
      </c>
      <c r="E399" s="257">
        <v>21137000</v>
      </c>
      <c r="F399" s="257">
        <v>21137000</v>
      </c>
      <c r="G399" s="257">
        <v>21137000</v>
      </c>
      <c r="H399" s="257">
        <v>0</v>
      </c>
      <c r="I399" s="257">
        <v>0</v>
      </c>
      <c r="J399" s="257">
        <v>0</v>
      </c>
      <c r="K399" s="257">
        <v>13982594.789999999</v>
      </c>
      <c r="L399" s="257">
        <v>13982594.789999999</v>
      </c>
      <c r="M399" s="257">
        <v>7154405.21</v>
      </c>
      <c r="N399" s="257">
        <v>7154405.21</v>
      </c>
    </row>
    <row r="400" spans="1:14" s="143" customFormat="1" x14ac:dyDescent="0.25">
      <c r="A400" s="143" t="s">
        <v>334</v>
      </c>
      <c r="B400" s="143" t="s">
        <v>326</v>
      </c>
      <c r="C400" s="143" t="s">
        <v>327</v>
      </c>
      <c r="D400" s="143" t="s">
        <v>85</v>
      </c>
      <c r="E400" s="257">
        <v>29458000</v>
      </c>
      <c r="F400" s="257">
        <v>29458000</v>
      </c>
      <c r="G400" s="257">
        <v>29458000</v>
      </c>
      <c r="H400" s="257">
        <v>13109310</v>
      </c>
      <c r="I400" s="257">
        <v>0</v>
      </c>
      <c r="J400" s="257">
        <v>0</v>
      </c>
      <c r="K400" s="257">
        <v>16265225.01</v>
      </c>
      <c r="L400" s="257">
        <v>16265225.01</v>
      </c>
      <c r="M400" s="257">
        <v>83464.990000000005</v>
      </c>
      <c r="N400" s="257">
        <v>83464.990000000005</v>
      </c>
    </row>
    <row r="401" spans="1:14" s="143" customFormat="1" x14ac:dyDescent="0.25">
      <c r="A401" s="143" t="s">
        <v>334</v>
      </c>
      <c r="B401" s="143" t="s">
        <v>240</v>
      </c>
      <c r="C401" s="143" t="s">
        <v>241</v>
      </c>
      <c r="D401" s="143" t="s">
        <v>85</v>
      </c>
      <c r="E401" s="257">
        <v>5405000</v>
      </c>
      <c r="F401" s="257">
        <v>5405000</v>
      </c>
      <c r="G401" s="257">
        <v>5405000</v>
      </c>
      <c r="H401" s="257">
        <v>0</v>
      </c>
      <c r="I401" s="257">
        <v>0</v>
      </c>
      <c r="J401" s="257">
        <v>0</v>
      </c>
      <c r="K401" s="257">
        <v>3981450</v>
      </c>
      <c r="L401" s="257">
        <v>3981450</v>
      </c>
      <c r="M401" s="257">
        <v>1423550</v>
      </c>
      <c r="N401" s="257">
        <v>1423550</v>
      </c>
    </row>
    <row r="402" spans="1:14" s="143" customFormat="1" x14ac:dyDescent="0.25">
      <c r="A402" s="143" t="s">
        <v>334</v>
      </c>
      <c r="B402" s="143" t="s">
        <v>242</v>
      </c>
      <c r="C402" s="143" t="s">
        <v>243</v>
      </c>
      <c r="D402" s="143" t="s">
        <v>85</v>
      </c>
      <c r="E402" s="257">
        <v>289362000</v>
      </c>
      <c r="F402" s="257">
        <v>289362000</v>
      </c>
      <c r="G402" s="257">
        <v>289362000</v>
      </c>
      <c r="H402" s="257">
        <v>114846680</v>
      </c>
      <c r="I402" s="257">
        <v>40036756.950000003</v>
      </c>
      <c r="J402" s="257">
        <v>45768000</v>
      </c>
      <c r="K402" s="257">
        <v>55652938.060000002</v>
      </c>
      <c r="L402" s="257">
        <v>55652938.060000002</v>
      </c>
      <c r="M402" s="257">
        <v>33057624.989999998</v>
      </c>
      <c r="N402" s="257">
        <v>33057624.989999998</v>
      </c>
    </row>
    <row r="403" spans="1:14" s="143" customFormat="1" x14ac:dyDescent="0.25">
      <c r="A403" s="143" t="s">
        <v>334</v>
      </c>
      <c r="B403" s="143" t="s">
        <v>244</v>
      </c>
      <c r="C403" s="143" t="s">
        <v>245</v>
      </c>
      <c r="D403" s="143" t="s">
        <v>69</v>
      </c>
      <c r="E403" s="257">
        <v>208494000</v>
      </c>
      <c r="F403" s="257">
        <v>208494000</v>
      </c>
      <c r="G403" s="257">
        <v>208494000</v>
      </c>
      <c r="H403" s="257">
        <v>0</v>
      </c>
      <c r="I403" s="257">
        <v>2490015.69</v>
      </c>
      <c r="J403" s="257">
        <v>0</v>
      </c>
      <c r="K403" s="257">
        <v>3472139.2</v>
      </c>
      <c r="L403" s="257">
        <v>3472139.2</v>
      </c>
      <c r="M403" s="257">
        <v>202531845.11000001</v>
      </c>
      <c r="N403" s="257">
        <v>202531845.11000001</v>
      </c>
    </row>
    <row r="404" spans="1:14" s="143" customFormat="1" x14ac:dyDescent="0.25">
      <c r="A404" s="143" t="s">
        <v>334</v>
      </c>
      <c r="B404" s="143" t="s">
        <v>246</v>
      </c>
      <c r="C404" s="143" t="s">
        <v>247</v>
      </c>
      <c r="D404" s="143" t="s">
        <v>69</v>
      </c>
      <c r="E404" s="257">
        <v>0</v>
      </c>
      <c r="F404" s="257">
        <v>0</v>
      </c>
      <c r="G404" s="257">
        <v>0</v>
      </c>
      <c r="H404" s="257">
        <v>0</v>
      </c>
      <c r="I404" s="257">
        <v>0</v>
      </c>
      <c r="J404" s="257">
        <v>0</v>
      </c>
      <c r="K404" s="257">
        <v>0</v>
      </c>
      <c r="L404" s="257">
        <v>0</v>
      </c>
      <c r="M404" s="257">
        <v>0</v>
      </c>
      <c r="N404" s="257">
        <v>0</v>
      </c>
    </row>
    <row r="405" spans="1:14" s="143" customFormat="1" x14ac:dyDescent="0.25">
      <c r="A405" s="143" t="s">
        <v>334</v>
      </c>
      <c r="B405" s="143" t="s">
        <v>246</v>
      </c>
      <c r="C405" s="143" t="s">
        <v>247</v>
      </c>
      <c r="D405" s="143" t="s">
        <v>85</v>
      </c>
      <c r="E405" s="257">
        <v>208494000</v>
      </c>
      <c r="F405" s="257">
        <v>208494000</v>
      </c>
      <c r="G405" s="257">
        <v>208494000</v>
      </c>
      <c r="H405" s="257">
        <v>0</v>
      </c>
      <c r="I405" s="257">
        <v>2490015.69</v>
      </c>
      <c r="J405" s="257">
        <v>0</v>
      </c>
      <c r="K405" s="257">
        <v>3472139.2</v>
      </c>
      <c r="L405" s="257">
        <v>3472139.2</v>
      </c>
      <c r="M405" s="257">
        <v>202531845.11000001</v>
      </c>
      <c r="N405" s="257">
        <v>202531845.11000001</v>
      </c>
    </row>
    <row r="406" spans="1:14" s="143" customFormat="1" x14ac:dyDescent="0.25">
      <c r="A406" s="143" t="s">
        <v>334</v>
      </c>
      <c r="B406" s="143" t="s">
        <v>328</v>
      </c>
      <c r="C406" s="143" t="s">
        <v>329</v>
      </c>
      <c r="D406" s="143" t="s">
        <v>85</v>
      </c>
      <c r="E406" s="257">
        <v>8088000</v>
      </c>
      <c r="F406" s="257">
        <v>1754053148</v>
      </c>
      <c r="G406" s="257">
        <v>735838926</v>
      </c>
      <c r="H406" s="257">
        <v>0</v>
      </c>
      <c r="I406" s="257">
        <v>8177304.8700000001</v>
      </c>
      <c r="J406" s="257">
        <v>0</v>
      </c>
      <c r="K406" s="257">
        <v>621016920.21000004</v>
      </c>
      <c r="L406" s="257">
        <v>606210581.57000005</v>
      </c>
      <c r="M406" s="257">
        <v>1124858922.9200001</v>
      </c>
      <c r="N406" s="257">
        <v>106644700.92</v>
      </c>
    </row>
    <row r="407" spans="1:14" s="143" customFormat="1" x14ac:dyDescent="0.25">
      <c r="A407" s="143" t="s">
        <v>334</v>
      </c>
      <c r="B407" s="143" t="s">
        <v>330</v>
      </c>
      <c r="C407" s="143" t="s">
        <v>331</v>
      </c>
      <c r="D407" s="143" t="s">
        <v>85</v>
      </c>
      <c r="E407" s="257">
        <v>0</v>
      </c>
      <c r="F407" s="257">
        <v>1745965148</v>
      </c>
      <c r="G407" s="257">
        <v>727750926</v>
      </c>
      <c r="H407" s="257">
        <v>0</v>
      </c>
      <c r="I407" s="257">
        <v>8177304.8700000001</v>
      </c>
      <c r="J407" s="257">
        <v>0</v>
      </c>
      <c r="K407" s="257">
        <v>618994921.21000004</v>
      </c>
      <c r="L407" s="257">
        <v>604188582.57000005</v>
      </c>
      <c r="M407" s="257">
        <v>1118792921.9200001</v>
      </c>
      <c r="N407" s="257">
        <v>100578699.92</v>
      </c>
    </row>
    <row r="408" spans="1:14" s="143" customFormat="1" x14ac:dyDescent="0.25">
      <c r="A408" s="143" t="s">
        <v>334</v>
      </c>
      <c r="B408" s="143" t="s">
        <v>358</v>
      </c>
      <c r="C408" s="143" t="s">
        <v>359</v>
      </c>
      <c r="D408" s="143" t="s">
        <v>85</v>
      </c>
      <c r="E408" s="257">
        <v>8088000</v>
      </c>
      <c r="F408" s="257">
        <v>8088000</v>
      </c>
      <c r="G408" s="257">
        <v>8088000</v>
      </c>
      <c r="H408" s="257">
        <v>0</v>
      </c>
      <c r="I408" s="257">
        <v>0</v>
      </c>
      <c r="J408" s="257">
        <v>0</v>
      </c>
      <c r="K408" s="257">
        <v>2021999</v>
      </c>
      <c r="L408" s="257">
        <v>2021999</v>
      </c>
      <c r="M408" s="257">
        <v>6066001</v>
      </c>
      <c r="N408" s="257">
        <v>6066001</v>
      </c>
    </row>
    <row r="409" spans="1:14" s="143" customFormat="1" x14ac:dyDescent="0.25">
      <c r="A409" s="143" t="s">
        <v>334</v>
      </c>
      <c r="B409" s="143" t="s">
        <v>248</v>
      </c>
      <c r="C409" s="143" t="s">
        <v>249</v>
      </c>
      <c r="D409" s="143" t="s">
        <v>69</v>
      </c>
      <c r="E409" s="257">
        <v>11597046000</v>
      </c>
      <c r="F409" s="257">
        <v>11597046000</v>
      </c>
      <c r="G409" s="257">
        <v>11048816660.25</v>
      </c>
      <c r="H409" s="257">
        <v>0</v>
      </c>
      <c r="I409" s="257">
        <v>9422982922.3099995</v>
      </c>
      <c r="J409" s="257">
        <v>0</v>
      </c>
      <c r="K409" s="257">
        <v>1526895705.3900001</v>
      </c>
      <c r="L409" s="257">
        <v>1481895705.3900001</v>
      </c>
      <c r="M409" s="257">
        <v>647167372.29999995</v>
      </c>
      <c r="N409" s="257">
        <v>98938032.549999997</v>
      </c>
    </row>
    <row r="410" spans="1:14" s="143" customFormat="1" x14ac:dyDescent="0.25">
      <c r="A410" s="143" t="s">
        <v>334</v>
      </c>
      <c r="B410" s="143" t="s">
        <v>250</v>
      </c>
      <c r="C410" s="143" t="s">
        <v>251</v>
      </c>
      <c r="D410" s="143" t="s">
        <v>69</v>
      </c>
      <c r="E410" s="257">
        <v>9955805000</v>
      </c>
      <c r="F410" s="257">
        <v>9915805000</v>
      </c>
      <c r="G410" s="257">
        <v>9875805000</v>
      </c>
      <c r="H410" s="257">
        <v>0</v>
      </c>
      <c r="I410" s="257">
        <v>9409116786</v>
      </c>
      <c r="J410" s="257">
        <v>0</v>
      </c>
      <c r="K410" s="257">
        <v>466688214</v>
      </c>
      <c r="L410" s="257">
        <v>466688214</v>
      </c>
      <c r="M410" s="257">
        <v>40000000</v>
      </c>
      <c r="N410" s="257">
        <v>0</v>
      </c>
    </row>
    <row r="411" spans="1:14" s="143" customFormat="1" x14ac:dyDescent="0.25">
      <c r="A411" s="143" t="s">
        <v>334</v>
      </c>
      <c r="B411" s="143" t="s">
        <v>360</v>
      </c>
      <c r="C411" s="143" t="s">
        <v>361</v>
      </c>
      <c r="D411" s="143" t="s">
        <v>69</v>
      </c>
      <c r="E411" s="257">
        <v>80000000</v>
      </c>
      <c r="F411" s="257">
        <v>40000000</v>
      </c>
      <c r="G411" s="257">
        <v>0</v>
      </c>
      <c r="H411" s="257">
        <v>0</v>
      </c>
      <c r="I411" s="257">
        <v>0</v>
      </c>
      <c r="J411" s="257">
        <v>0</v>
      </c>
      <c r="K411" s="257">
        <v>0</v>
      </c>
      <c r="L411" s="257">
        <v>0</v>
      </c>
      <c r="M411" s="257">
        <v>40000000</v>
      </c>
      <c r="N411" s="257">
        <v>0</v>
      </c>
    </row>
    <row r="412" spans="1:14" s="143" customFormat="1" x14ac:dyDescent="0.25">
      <c r="A412" s="143" t="s">
        <v>334</v>
      </c>
      <c r="B412" s="143" t="s">
        <v>362</v>
      </c>
      <c r="C412" s="143" t="s">
        <v>257</v>
      </c>
      <c r="D412" s="143" t="s">
        <v>69</v>
      </c>
      <c r="E412" s="257">
        <v>673849000</v>
      </c>
      <c r="F412" s="257">
        <v>673849000</v>
      </c>
      <c r="G412" s="257">
        <v>673849000</v>
      </c>
      <c r="H412" s="257">
        <v>0</v>
      </c>
      <c r="I412" s="257">
        <v>285464177</v>
      </c>
      <c r="J412" s="257">
        <v>0</v>
      </c>
      <c r="K412" s="257">
        <v>388384823</v>
      </c>
      <c r="L412" s="257">
        <v>388384823</v>
      </c>
      <c r="M412" s="257">
        <v>0</v>
      </c>
      <c r="N412" s="257">
        <v>0</v>
      </c>
    </row>
    <row r="413" spans="1:14" s="143" customFormat="1" x14ac:dyDescent="0.25">
      <c r="A413" s="143" t="s">
        <v>334</v>
      </c>
      <c r="B413" s="143" t="s">
        <v>363</v>
      </c>
      <c r="C413" s="143" t="s">
        <v>259</v>
      </c>
      <c r="D413" s="143" t="s">
        <v>69</v>
      </c>
      <c r="E413" s="257">
        <v>135856000</v>
      </c>
      <c r="F413" s="257">
        <v>135856000</v>
      </c>
      <c r="G413" s="257">
        <v>135856000</v>
      </c>
      <c r="H413" s="257">
        <v>0</v>
      </c>
      <c r="I413" s="257">
        <v>57552609</v>
      </c>
      <c r="J413" s="257">
        <v>0</v>
      </c>
      <c r="K413" s="257">
        <v>78303391</v>
      </c>
      <c r="L413" s="257">
        <v>78303391</v>
      </c>
      <c r="M413" s="257">
        <v>0</v>
      </c>
      <c r="N413" s="257">
        <v>0</v>
      </c>
    </row>
    <row r="414" spans="1:14" s="143" customFormat="1" x14ac:dyDescent="0.25">
      <c r="A414" s="143" t="s">
        <v>334</v>
      </c>
      <c r="B414" s="143" t="s">
        <v>364</v>
      </c>
      <c r="C414" s="143" t="s">
        <v>365</v>
      </c>
      <c r="D414" s="143" t="s">
        <v>85</v>
      </c>
      <c r="E414" s="257">
        <v>9066100000</v>
      </c>
      <c r="F414" s="257">
        <v>9066100000</v>
      </c>
      <c r="G414" s="257">
        <v>9066100000</v>
      </c>
      <c r="H414" s="257">
        <v>0</v>
      </c>
      <c r="I414" s="257">
        <v>9066100000</v>
      </c>
      <c r="J414" s="257">
        <v>0</v>
      </c>
      <c r="K414" s="257">
        <v>0</v>
      </c>
      <c r="L414" s="257">
        <v>0</v>
      </c>
      <c r="M414" s="257">
        <v>0</v>
      </c>
      <c r="N414" s="257">
        <v>0</v>
      </c>
    </row>
    <row r="415" spans="1:14" s="143" customFormat="1" x14ac:dyDescent="0.25">
      <c r="A415" s="143" t="s">
        <v>334</v>
      </c>
      <c r="B415" s="143" t="s">
        <v>366</v>
      </c>
      <c r="C415" s="143" t="s">
        <v>367</v>
      </c>
      <c r="D415" s="143" t="s">
        <v>69</v>
      </c>
      <c r="E415" s="257">
        <v>550000000</v>
      </c>
      <c r="F415" s="257">
        <v>550000000</v>
      </c>
      <c r="G415" s="257">
        <v>315000000</v>
      </c>
      <c r="H415" s="257">
        <v>0</v>
      </c>
      <c r="I415" s="257">
        <v>0</v>
      </c>
      <c r="J415" s="257">
        <v>0</v>
      </c>
      <c r="K415" s="257">
        <v>315000000</v>
      </c>
      <c r="L415" s="257">
        <v>270000000</v>
      </c>
      <c r="M415" s="257">
        <v>235000000</v>
      </c>
      <c r="N415" s="257">
        <v>0</v>
      </c>
    </row>
    <row r="416" spans="1:14" s="143" customFormat="1" x14ac:dyDescent="0.25">
      <c r="A416" s="143" t="s">
        <v>334</v>
      </c>
      <c r="B416" s="143" t="s">
        <v>368</v>
      </c>
      <c r="C416" s="143" t="s">
        <v>369</v>
      </c>
      <c r="D416" s="143" t="s">
        <v>69</v>
      </c>
      <c r="E416" s="257">
        <v>550000000</v>
      </c>
      <c r="F416" s="257">
        <v>550000000</v>
      </c>
      <c r="G416" s="257">
        <v>315000000</v>
      </c>
      <c r="H416" s="257">
        <v>0</v>
      </c>
      <c r="I416" s="257">
        <v>0</v>
      </c>
      <c r="J416" s="257">
        <v>0</v>
      </c>
      <c r="K416" s="257">
        <v>315000000</v>
      </c>
      <c r="L416" s="257">
        <v>270000000</v>
      </c>
      <c r="M416" s="257">
        <v>235000000</v>
      </c>
      <c r="N416" s="257">
        <v>0</v>
      </c>
    </row>
    <row r="417" spans="1:14" s="143" customFormat="1" x14ac:dyDescent="0.25">
      <c r="A417" s="143" t="s">
        <v>334</v>
      </c>
      <c r="B417" s="143" t="s">
        <v>260</v>
      </c>
      <c r="C417" s="143" t="s">
        <v>261</v>
      </c>
      <c r="D417" s="143" t="s">
        <v>69</v>
      </c>
      <c r="E417" s="257">
        <v>1002889000</v>
      </c>
      <c r="F417" s="257">
        <v>1002889000</v>
      </c>
      <c r="G417" s="257">
        <v>741335660.25</v>
      </c>
      <c r="H417" s="257">
        <v>0</v>
      </c>
      <c r="I417" s="257">
        <v>611835.76</v>
      </c>
      <c r="J417" s="257">
        <v>0</v>
      </c>
      <c r="K417" s="257">
        <v>668461791.94000006</v>
      </c>
      <c r="L417" s="257">
        <v>668461791.94000006</v>
      </c>
      <c r="M417" s="257">
        <v>333815372.30000001</v>
      </c>
      <c r="N417" s="257">
        <v>72262032.549999997</v>
      </c>
    </row>
    <row r="418" spans="1:14" s="143" customFormat="1" x14ac:dyDescent="0.25">
      <c r="A418" s="143" t="s">
        <v>334</v>
      </c>
      <c r="B418" s="143" t="s">
        <v>262</v>
      </c>
      <c r="C418" s="143" t="s">
        <v>263</v>
      </c>
      <c r="D418" s="143" t="s">
        <v>69</v>
      </c>
      <c r="E418" s="257">
        <v>657462000</v>
      </c>
      <c r="F418" s="257">
        <v>657462000</v>
      </c>
      <c r="G418" s="257">
        <v>459216115</v>
      </c>
      <c r="H418" s="257">
        <v>0</v>
      </c>
      <c r="I418" s="257">
        <v>611835.76</v>
      </c>
      <c r="J418" s="257">
        <v>0</v>
      </c>
      <c r="K418" s="257">
        <v>458604279.24000001</v>
      </c>
      <c r="L418" s="257">
        <v>458604279.24000001</v>
      </c>
      <c r="M418" s="257">
        <v>198245885</v>
      </c>
      <c r="N418" s="257">
        <v>0</v>
      </c>
    </row>
    <row r="419" spans="1:14" s="143" customFormat="1" x14ac:dyDescent="0.25">
      <c r="A419" s="143" t="s">
        <v>334</v>
      </c>
      <c r="B419" s="143" t="s">
        <v>264</v>
      </c>
      <c r="C419" s="143" t="s">
        <v>265</v>
      </c>
      <c r="D419" s="143" t="s">
        <v>69</v>
      </c>
      <c r="E419" s="257">
        <v>345427000</v>
      </c>
      <c r="F419" s="257">
        <v>345427000</v>
      </c>
      <c r="G419" s="257">
        <v>282119545.25</v>
      </c>
      <c r="H419" s="257">
        <v>0</v>
      </c>
      <c r="I419" s="257">
        <v>0</v>
      </c>
      <c r="J419" s="257">
        <v>0</v>
      </c>
      <c r="K419" s="257">
        <v>209857512.69999999</v>
      </c>
      <c r="L419" s="257">
        <v>209857512.69999999</v>
      </c>
      <c r="M419" s="257">
        <v>135569487.30000001</v>
      </c>
      <c r="N419" s="257">
        <v>72262032.549999997</v>
      </c>
    </row>
    <row r="420" spans="1:14" s="143" customFormat="1" x14ac:dyDescent="0.25">
      <c r="A420" s="143" t="s">
        <v>334</v>
      </c>
      <c r="B420" s="143" t="s">
        <v>286</v>
      </c>
      <c r="C420" s="143" t="s">
        <v>287</v>
      </c>
      <c r="D420" s="143" t="s">
        <v>69</v>
      </c>
      <c r="E420" s="257">
        <v>88352000</v>
      </c>
      <c r="F420" s="257">
        <v>128352000</v>
      </c>
      <c r="G420" s="257">
        <v>116676000</v>
      </c>
      <c r="H420" s="257">
        <v>0</v>
      </c>
      <c r="I420" s="257">
        <v>13254300.550000001</v>
      </c>
      <c r="J420" s="257">
        <v>0</v>
      </c>
      <c r="K420" s="257">
        <v>76745699.450000003</v>
      </c>
      <c r="L420" s="257">
        <v>76745699.450000003</v>
      </c>
      <c r="M420" s="257">
        <v>38352000</v>
      </c>
      <c r="N420" s="257">
        <v>26676000</v>
      </c>
    </row>
    <row r="421" spans="1:14" s="143" customFormat="1" x14ac:dyDescent="0.25">
      <c r="A421" s="143" t="s">
        <v>334</v>
      </c>
      <c r="B421" s="143" t="s">
        <v>288</v>
      </c>
      <c r="C421" s="143" t="s">
        <v>289</v>
      </c>
      <c r="D421" s="143" t="s">
        <v>69</v>
      </c>
      <c r="E421" s="257">
        <v>65000000</v>
      </c>
      <c r="F421" s="257">
        <v>105000000</v>
      </c>
      <c r="G421" s="257">
        <v>105000000</v>
      </c>
      <c r="H421" s="257">
        <v>0</v>
      </c>
      <c r="I421" s="257">
        <v>8762771.3900000006</v>
      </c>
      <c r="J421" s="257">
        <v>0</v>
      </c>
      <c r="K421" s="257">
        <v>76237228.609999999</v>
      </c>
      <c r="L421" s="257">
        <v>76237228.609999999</v>
      </c>
      <c r="M421" s="257">
        <v>20000000</v>
      </c>
      <c r="N421" s="257">
        <v>20000000</v>
      </c>
    </row>
    <row r="422" spans="1:14" s="143" customFormat="1" x14ac:dyDescent="0.25">
      <c r="A422" s="143" t="s">
        <v>334</v>
      </c>
      <c r="B422" s="143" t="s">
        <v>370</v>
      </c>
      <c r="C422" s="143" t="s">
        <v>371</v>
      </c>
      <c r="D422" s="143" t="s">
        <v>69</v>
      </c>
      <c r="E422" s="257">
        <v>23352000</v>
      </c>
      <c r="F422" s="257">
        <v>23352000</v>
      </c>
      <c r="G422" s="257">
        <v>11676000</v>
      </c>
      <c r="H422" s="257">
        <v>0</v>
      </c>
      <c r="I422" s="257">
        <v>4491529.16</v>
      </c>
      <c r="J422" s="257">
        <v>0</v>
      </c>
      <c r="K422" s="257">
        <v>508470.84</v>
      </c>
      <c r="L422" s="257">
        <v>508470.84</v>
      </c>
      <c r="M422" s="257">
        <v>18352000</v>
      </c>
      <c r="N422" s="257">
        <v>6676000</v>
      </c>
    </row>
    <row r="423" spans="1:14" s="143" customFormat="1" x14ac:dyDescent="0.25">
      <c r="A423" s="143" t="s">
        <v>334</v>
      </c>
      <c r="B423" s="143" t="s">
        <v>372</v>
      </c>
      <c r="C423" s="143" t="s">
        <v>373</v>
      </c>
      <c r="D423" s="143" t="s">
        <v>85</v>
      </c>
      <c r="E423" s="257">
        <v>573100000</v>
      </c>
      <c r="F423" s="257">
        <v>827134852</v>
      </c>
      <c r="G423" s="257">
        <v>422017020</v>
      </c>
      <c r="H423" s="257">
        <v>0</v>
      </c>
      <c r="I423" s="257">
        <v>0</v>
      </c>
      <c r="J423" s="257">
        <v>0</v>
      </c>
      <c r="K423" s="257">
        <v>0</v>
      </c>
      <c r="L423" s="257">
        <v>0</v>
      </c>
      <c r="M423" s="257">
        <v>827134852</v>
      </c>
      <c r="N423" s="257">
        <v>422017020</v>
      </c>
    </row>
    <row r="424" spans="1:14" s="143" customFormat="1" x14ac:dyDescent="0.25">
      <c r="A424" s="143" t="s">
        <v>334</v>
      </c>
      <c r="B424" s="143" t="s">
        <v>374</v>
      </c>
      <c r="C424" s="143" t="s">
        <v>375</v>
      </c>
      <c r="D424" s="143" t="s">
        <v>85</v>
      </c>
      <c r="E424" s="257">
        <v>573100000</v>
      </c>
      <c r="F424" s="257">
        <v>827134852</v>
      </c>
      <c r="G424" s="257">
        <v>422017020</v>
      </c>
      <c r="H424" s="257">
        <v>0</v>
      </c>
      <c r="I424" s="257">
        <v>0</v>
      </c>
      <c r="J424" s="257">
        <v>0</v>
      </c>
      <c r="K424" s="257">
        <v>0</v>
      </c>
      <c r="L424" s="257">
        <v>0</v>
      </c>
      <c r="M424" s="257">
        <v>827134852</v>
      </c>
      <c r="N424" s="257">
        <v>422017020</v>
      </c>
    </row>
    <row r="425" spans="1:14" s="143" customFormat="1" x14ac:dyDescent="0.25">
      <c r="A425" s="143" t="s">
        <v>334</v>
      </c>
      <c r="B425" s="143" t="s">
        <v>376</v>
      </c>
      <c r="C425" s="143" t="s">
        <v>377</v>
      </c>
      <c r="D425" s="143" t="s">
        <v>85</v>
      </c>
      <c r="E425" s="257">
        <v>573100000</v>
      </c>
      <c r="F425" s="257">
        <v>827134852</v>
      </c>
      <c r="G425" s="257">
        <v>422017020</v>
      </c>
      <c r="H425" s="257">
        <v>0</v>
      </c>
      <c r="I425" s="257">
        <v>0</v>
      </c>
      <c r="J425" s="257">
        <v>0</v>
      </c>
      <c r="K425" s="257">
        <v>0</v>
      </c>
      <c r="L425" s="257">
        <v>0</v>
      </c>
      <c r="M425" s="257">
        <v>827134852</v>
      </c>
      <c r="N425" s="257">
        <v>422017020</v>
      </c>
    </row>
    <row r="426" spans="1:14" s="143" customFormat="1" x14ac:dyDescent="0.25">
      <c r="A426" s="143">
        <v>214784</v>
      </c>
      <c r="D426" s="143" t="s">
        <v>69</v>
      </c>
      <c r="E426" s="257">
        <v>13837611334</v>
      </c>
      <c r="F426" s="257">
        <v>13837611334</v>
      </c>
      <c r="G426" s="257">
        <v>13751959037</v>
      </c>
      <c r="H426" s="257">
        <v>0</v>
      </c>
      <c r="I426" s="257">
        <v>1126371379.74</v>
      </c>
      <c r="J426" s="257">
        <v>0</v>
      </c>
      <c r="K426" s="257">
        <v>7209451464.1099997</v>
      </c>
      <c r="L426" s="257">
        <v>7209451464.1099997</v>
      </c>
      <c r="M426" s="257">
        <v>5501788490.1499996</v>
      </c>
      <c r="N426" s="257">
        <v>5416136193.1499996</v>
      </c>
    </row>
    <row r="427" spans="1:14" s="143" customFormat="1" x14ac:dyDescent="0.25">
      <c r="A427" s="143" t="s">
        <v>378</v>
      </c>
      <c r="B427" s="143" t="s">
        <v>71</v>
      </c>
      <c r="C427" s="143" t="s">
        <v>72</v>
      </c>
      <c r="D427" s="143" t="s">
        <v>69</v>
      </c>
      <c r="E427" s="257">
        <v>13313316000</v>
      </c>
      <c r="F427" s="257">
        <v>13313316000</v>
      </c>
      <c r="G427" s="257">
        <v>13313316000</v>
      </c>
      <c r="H427" s="257">
        <v>0</v>
      </c>
      <c r="I427" s="257">
        <v>953998478.50999999</v>
      </c>
      <c r="J427" s="257">
        <v>0</v>
      </c>
      <c r="K427" s="257">
        <v>6972803128.5500002</v>
      </c>
      <c r="L427" s="257">
        <v>6972803128.5500002</v>
      </c>
      <c r="M427" s="257">
        <v>5386514392.9399996</v>
      </c>
      <c r="N427" s="257">
        <v>5386514392.9399996</v>
      </c>
    </row>
    <row r="428" spans="1:14" s="143" customFormat="1" x14ac:dyDescent="0.25">
      <c r="A428" s="143" t="s">
        <v>378</v>
      </c>
      <c r="B428" s="143" t="s">
        <v>73</v>
      </c>
      <c r="C428" s="143" t="s">
        <v>74</v>
      </c>
      <c r="D428" s="143" t="s">
        <v>69</v>
      </c>
      <c r="E428" s="257">
        <v>4473382000</v>
      </c>
      <c r="F428" s="257">
        <v>4473382000</v>
      </c>
      <c r="G428" s="257">
        <v>4473382000</v>
      </c>
      <c r="H428" s="257">
        <v>0</v>
      </c>
      <c r="I428" s="257">
        <v>180140</v>
      </c>
      <c r="J428" s="257">
        <v>0</v>
      </c>
      <c r="K428" s="257">
        <v>2331652354.9899998</v>
      </c>
      <c r="L428" s="257">
        <v>2331652354.9899998</v>
      </c>
      <c r="M428" s="257">
        <v>2141549505.01</v>
      </c>
      <c r="N428" s="257">
        <v>2141549505.01</v>
      </c>
    </row>
    <row r="429" spans="1:14" s="143" customFormat="1" x14ac:dyDescent="0.25">
      <c r="A429" s="143" t="s">
        <v>378</v>
      </c>
      <c r="B429" s="143" t="s">
        <v>75</v>
      </c>
      <c r="C429" s="143" t="s">
        <v>76</v>
      </c>
      <c r="D429" s="143" t="s">
        <v>69</v>
      </c>
      <c r="E429" s="257">
        <v>4473382000</v>
      </c>
      <c r="F429" s="257">
        <v>4473382000</v>
      </c>
      <c r="G429" s="257">
        <v>4473382000</v>
      </c>
      <c r="H429" s="257">
        <v>0</v>
      </c>
      <c r="I429" s="257">
        <v>180140</v>
      </c>
      <c r="J429" s="257">
        <v>0</v>
      </c>
      <c r="K429" s="257">
        <v>2331652354.9899998</v>
      </c>
      <c r="L429" s="257">
        <v>2331652354.9899998</v>
      </c>
      <c r="M429" s="257">
        <v>2141549505.01</v>
      </c>
      <c r="N429" s="257">
        <v>2141549505.01</v>
      </c>
    </row>
    <row r="430" spans="1:14" s="143" customFormat="1" x14ac:dyDescent="0.25">
      <c r="A430" s="143" t="s">
        <v>378</v>
      </c>
      <c r="B430" s="143" t="s">
        <v>77</v>
      </c>
      <c r="C430" s="143" t="s">
        <v>78</v>
      </c>
      <c r="D430" s="143" t="s">
        <v>69</v>
      </c>
      <c r="E430" s="257">
        <v>6745487000</v>
      </c>
      <c r="F430" s="257">
        <v>6745487000</v>
      </c>
      <c r="G430" s="257">
        <v>6745487000</v>
      </c>
      <c r="H430" s="257">
        <v>0</v>
      </c>
      <c r="I430" s="257">
        <v>220373</v>
      </c>
      <c r="J430" s="257">
        <v>0</v>
      </c>
      <c r="K430" s="257">
        <v>3500301739.0700002</v>
      </c>
      <c r="L430" s="257">
        <v>3500301739.0700002</v>
      </c>
      <c r="M430" s="257">
        <v>3244964887.9299998</v>
      </c>
      <c r="N430" s="257">
        <v>3244964887.9299998</v>
      </c>
    </row>
    <row r="431" spans="1:14" s="143" customFormat="1" x14ac:dyDescent="0.25">
      <c r="A431" s="143" t="s">
        <v>378</v>
      </c>
      <c r="B431" s="143" t="s">
        <v>79</v>
      </c>
      <c r="C431" s="143" t="s">
        <v>80</v>
      </c>
      <c r="D431" s="143" t="s">
        <v>69</v>
      </c>
      <c r="E431" s="257">
        <v>1460185000</v>
      </c>
      <c r="F431" s="257">
        <v>1460185000</v>
      </c>
      <c r="G431" s="257">
        <v>1460185000</v>
      </c>
      <c r="H431" s="257">
        <v>0</v>
      </c>
      <c r="I431" s="257">
        <v>121296</v>
      </c>
      <c r="J431" s="257">
        <v>0</v>
      </c>
      <c r="K431" s="257">
        <v>755269394.59000003</v>
      </c>
      <c r="L431" s="257">
        <v>755269394.59000003</v>
      </c>
      <c r="M431" s="257">
        <v>704794309.40999997</v>
      </c>
      <c r="N431" s="257">
        <v>704794309.40999997</v>
      </c>
    </row>
    <row r="432" spans="1:14" s="143" customFormat="1" x14ac:dyDescent="0.25">
      <c r="A432" s="143" t="s">
        <v>378</v>
      </c>
      <c r="B432" s="143" t="s">
        <v>81</v>
      </c>
      <c r="C432" s="143" t="s">
        <v>82</v>
      </c>
      <c r="D432" s="143" t="s">
        <v>69</v>
      </c>
      <c r="E432" s="257">
        <v>2519609000</v>
      </c>
      <c r="F432" s="257">
        <v>2519609000</v>
      </c>
      <c r="G432" s="257">
        <v>2519609000</v>
      </c>
      <c r="H432" s="257">
        <v>0</v>
      </c>
      <c r="I432" s="257">
        <v>54042</v>
      </c>
      <c r="J432" s="257">
        <v>0</v>
      </c>
      <c r="K432" s="257">
        <v>1356758793.6800001</v>
      </c>
      <c r="L432" s="257">
        <v>1356758793.6800001</v>
      </c>
      <c r="M432" s="257">
        <v>1162796164.3199999</v>
      </c>
      <c r="N432" s="257">
        <v>1162796164.3199999</v>
      </c>
    </row>
    <row r="433" spans="1:14" s="143" customFormat="1" x14ac:dyDescent="0.25">
      <c r="A433" s="143" t="s">
        <v>378</v>
      </c>
      <c r="B433" s="143" t="s">
        <v>86</v>
      </c>
      <c r="C433" s="143" t="s">
        <v>87</v>
      </c>
      <c r="D433" s="143" t="s">
        <v>69</v>
      </c>
      <c r="E433" s="257">
        <v>738904000</v>
      </c>
      <c r="F433" s="257">
        <v>738904000</v>
      </c>
      <c r="G433" s="257">
        <v>738904000</v>
      </c>
      <c r="H433" s="257">
        <v>0</v>
      </c>
      <c r="I433" s="257">
        <v>0</v>
      </c>
      <c r="J433" s="257">
        <v>0</v>
      </c>
      <c r="K433" s="257">
        <v>737019487.25</v>
      </c>
      <c r="L433" s="257">
        <v>737019487.25</v>
      </c>
      <c r="M433" s="257">
        <v>1884512.75</v>
      </c>
      <c r="N433" s="257">
        <v>1884512.75</v>
      </c>
    </row>
    <row r="434" spans="1:14" s="143" customFormat="1" x14ac:dyDescent="0.25">
      <c r="A434" s="143" t="s">
        <v>378</v>
      </c>
      <c r="B434" s="143" t="s">
        <v>88</v>
      </c>
      <c r="C434" s="143" t="s">
        <v>89</v>
      </c>
      <c r="D434" s="143" t="s">
        <v>69</v>
      </c>
      <c r="E434" s="257">
        <v>1196454000</v>
      </c>
      <c r="F434" s="257">
        <v>1196454000</v>
      </c>
      <c r="G434" s="257">
        <v>1196454000</v>
      </c>
      <c r="H434" s="257">
        <v>0</v>
      </c>
      <c r="I434" s="257">
        <v>45035</v>
      </c>
      <c r="J434" s="257">
        <v>0</v>
      </c>
      <c r="K434" s="257">
        <v>651036990.62</v>
      </c>
      <c r="L434" s="257">
        <v>651036990.62</v>
      </c>
      <c r="M434" s="257">
        <v>545371974.38</v>
      </c>
      <c r="N434" s="257">
        <v>545371974.38</v>
      </c>
    </row>
    <row r="435" spans="1:14" s="143" customFormat="1" x14ac:dyDescent="0.25">
      <c r="A435" s="143" t="s">
        <v>378</v>
      </c>
      <c r="B435" s="143" t="s">
        <v>83</v>
      </c>
      <c r="C435" s="143" t="s">
        <v>84</v>
      </c>
      <c r="D435" s="143" t="s">
        <v>85</v>
      </c>
      <c r="E435" s="257">
        <v>830335000</v>
      </c>
      <c r="F435" s="257">
        <v>830335000</v>
      </c>
      <c r="G435" s="257">
        <v>830335000</v>
      </c>
      <c r="H435" s="257">
        <v>0</v>
      </c>
      <c r="I435" s="257">
        <v>0</v>
      </c>
      <c r="J435" s="257">
        <v>0</v>
      </c>
      <c r="K435" s="257">
        <v>217072.93</v>
      </c>
      <c r="L435" s="257">
        <v>217072.93</v>
      </c>
      <c r="M435" s="257">
        <v>830117927.07000005</v>
      </c>
      <c r="N435" s="257">
        <v>830117927.07000005</v>
      </c>
    </row>
    <row r="436" spans="1:14" s="143" customFormat="1" x14ac:dyDescent="0.25">
      <c r="A436" s="143" t="s">
        <v>378</v>
      </c>
      <c r="B436" s="143" t="s">
        <v>90</v>
      </c>
      <c r="C436" s="143" t="s">
        <v>91</v>
      </c>
      <c r="D436" s="143" t="s">
        <v>69</v>
      </c>
      <c r="E436" s="257">
        <v>1012881000</v>
      </c>
      <c r="F436" s="257">
        <v>1012881000</v>
      </c>
      <c r="G436" s="257">
        <v>1012881000</v>
      </c>
      <c r="H436" s="257">
        <v>0</v>
      </c>
      <c r="I436" s="257">
        <v>442664322</v>
      </c>
      <c r="J436" s="257">
        <v>0</v>
      </c>
      <c r="K436" s="257">
        <v>570216678</v>
      </c>
      <c r="L436" s="257">
        <v>570216678</v>
      </c>
      <c r="M436" s="257">
        <v>0</v>
      </c>
      <c r="N436" s="257">
        <v>0</v>
      </c>
    </row>
    <row r="437" spans="1:14" s="143" customFormat="1" x14ac:dyDescent="0.25">
      <c r="A437" s="143" t="s">
        <v>378</v>
      </c>
      <c r="B437" s="143" t="s">
        <v>379</v>
      </c>
      <c r="C437" s="143" t="s">
        <v>93</v>
      </c>
      <c r="D437" s="143" t="s">
        <v>69</v>
      </c>
      <c r="E437" s="257">
        <v>960939000</v>
      </c>
      <c r="F437" s="257">
        <v>960939000</v>
      </c>
      <c r="G437" s="257">
        <v>960939000</v>
      </c>
      <c r="H437" s="257">
        <v>0</v>
      </c>
      <c r="I437" s="257">
        <v>419963348</v>
      </c>
      <c r="J437" s="257">
        <v>0</v>
      </c>
      <c r="K437" s="257">
        <v>540975652</v>
      </c>
      <c r="L437" s="257">
        <v>540975652</v>
      </c>
      <c r="M437" s="257">
        <v>0</v>
      </c>
      <c r="N437" s="257">
        <v>0</v>
      </c>
    </row>
    <row r="438" spans="1:14" s="143" customFormat="1" x14ac:dyDescent="0.25">
      <c r="A438" s="143" t="s">
        <v>378</v>
      </c>
      <c r="B438" s="143" t="s">
        <v>380</v>
      </c>
      <c r="C438" s="143" t="s">
        <v>95</v>
      </c>
      <c r="D438" s="143" t="s">
        <v>69</v>
      </c>
      <c r="E438" s="257">
        <v>51942000</v>
      </c>
      <c r="F438" s="257">
        <v>51942000</v>
      </c>
      <c r="G438" s="257">
        <v>51942000</v>
      </c>
      <c r="H438" s="257">
        <v>0</v>
      </c>
      <c r="I438" s="257">
        <v>22700974</v>
      </c>
      <c r="J438" s="257">
        <v>0</v>
      </c>
      <c r="K438" s="257">
        <v>29241026</v>
      </c>
      <c r="L438" s="257">
        <v>29241026</v>
      </c>
      <c r="M438" s="257">
        <v>0</v>
      </c>
      <c r="N438" s="257">
        <v>0</v>
      </c>
    </row>
    <row r="439" spans="1:14" s="143" customFormat="1" x14ac:dyDescent="0.25">
      <c r="A439" s="143" t="s">
        <v>378</v>
      </c>
      <c r="B439" s="143" t="s">
        <v>96</v>
      </c>
      <c r="C439" s="143" t="s">
        <v>97</v>
      </c>
      <c r="D439" s="143" t="s">
        <v>69</v>
      </c>
      <c r="E439" s="257">
        <v>1081566000</v>
      </c>
      <c r="F439" s="257">
        <v>1081566000</v>
      </c>
      <c r="G439" s="257">
        <v>1081566000</v>
      </c>
      <c r="H439" s="257">
        <v>0</v>
      </c>
      <c r="I439" s="257">
        <v>510933643.50999999</v>
      </c>
      <c r="J439" s="257">
        <v>0</v>
      </c>
      <c r="K439" s="257">
        <v>570632356.49000001</v>
      </c>
      <c r="L439" s="257">
        <v>570632356.49000001</v>
      </c>
      <c r="M439" s="257">
        <v>0</v>
      </c>
      <c r="N439" s="257">
        <v>0</v>
      </c>
    </row>
    <row r="440" spans="1:14" s="143" customFormat="1" x14ac:dyDescent="0.25">
      <c r="A440" s="143" t="s">
        <v>378</v>
      </c>
      <c r="B440" s="143" t="s">
        <v>381</v>
      </c>
      <c r="C440" s="143" t="s">
        <v>99</v>
      </c>
      <c r="D440" s="143" t="s">
        <v>69</v>
      </c>
      <c r="E440" s="257">
        <v>527737000</v>
      </c>
      <c r="F440" s="257">
        <v>527737000</v>
      </c>
      <c r="G440" s="257">
        <v>527737000</v>
      </c>
      <c r="H440" s="257">
        <v>0</v>
      </c>
      <c r="I440" s="257">
        <v>271850199</v>
      </c>
      <c r="J440" s="257">
        <v>0</v>
      </c>
      <c r="K440" s="257">
        <v>255886801</v>
      </c>
      <c r="L440" s="257">
        <v>255886801</v>
      </c>
      <c r="M440" s="257">
        <v>0</v>
      </c>
      <c r="N440" s="257">
        <v>0</v>
      </c>
    </row>
    <row r="441" spans="1:14" s="143" customFormat="1" x14ac:dyDescent="0.25">
      <c r="A441" s="143" t="s">
        <v>378</v>
      </c>
      <c r="B441" s="143" t="s">
        <v>382</v>
      </c>
      <c r="C441" s="143" t="s">
        <v>101</v>
      </c>
      <c r="D441" s="143" t="s">
        <v>69</v>
      </c>
      <c r="E441" s="257">
        <v>155828000</v>
      </c>
      <c r="F441" s="257">
        <v>155828000</v>
      </c>
      <c r="G441" s="257">
        <v>155828000</v>
      </c>
      <c r="H441" s="257">
        <v>0</v>
      </c>
      <c r="I441" s="257">
        <v>68104838</v>
      </c>
      <c r="J441" s="257">
        <v>0</v>
      </c>
      <c r="K441" s="257">
        <v>87723162</v>
      </c>
      <c r="L441" s="257">
        <v>87723162</v>
      </c>
      <c r="M441" s="257">
        <v>0</v>
      </c>
      <c r="N441" s="257">
        <v>0</v>
      </c>
    </row>
    <row r="442" spans="1:14" s="143" customFormat="1" x14ac:dyDescent="0.25">
      <c r="A442" s="143" t="s">
        <v>378</v>
      </c>
      <c r="B442" s="143" t="s">
        <v>383</v>
      </c>
      <c r="C442" s="143" t="s">
        <v>103</v>
      </c>
      <c r="D442" s="143" t="s">
        <v>69</v>
      </c>
      <c r="E442" s="257">
        <v>311656000</v>
      </c>
      <c r="F442" s="257">
        <v>311656000</v>
      </c>
      <c r="G442" s="257">
        <v>311656000</v>
      </c>
      <c r="H442" s="257">
        <v>0</v>
      </c>
      <c r="I442" s="257">
        <v>136209780</v>
      </c>
      <c r="J442" s="257">
        <v>0</v>
      </c>
      <c r="K442" s="257">
        <v>175446220</v>
      </c>
      <c r="L442" s="257">
        <v>175446220</v>
      </c>
      <c r="M442" s="257">
        <v>0</v>
      </c>
      <c r="N442" s="257">
        <v>0</v>
      </c>
    </row>
    <row r="443" spans="1:14" s="143" customFormat="1" x14ac:dyDescent="0.25">
      <c r="A443" s="143" t="s">
        <v>378</v>
      </c>
      <c r="B443" s="143" t="s">
        <v>384</v>
      </c>
      <c r="C443" s="143" t="s">
        <v>385</v>
      </c>
      <c r="D443" s="143" t="s">
        <v>69</v>
      </c>
      <c r="E443" s="257">
        <v>86345000</v>
      </c>
      <c r="F443" s="257">
        <v>86345000</v>
      </c>
      <c r="G443" s="257">
        <v>86345000</v>
      </c>
      <c r="H443" s="257">
        <v>0</v>
      </c>
      <c r="I443" s="257">
        <v>34768826.509999998</v>
      </c>
      <c r="J443" s="257">
        <v>0</v>
      </c>
      <c r="K443" s="257">
        <v>51576173.490000002</v>
      </c>
      <c r="L443" s="257">
        <v>51576173.490000002</v>
      </c>
      <c r="M443" s="257">
        <v>0</v>
      </c>
      <c r="N443" s="257">
        <v>0</v>
      </c>
    </row>
    <row r="444" spans="1:14" s="143" customFormat="1" x14ac:dyDescent="0.25">
      <c r="A444" s="143" t="s">
        <v>378</v>
      </c>
      <c r="B444" s="143" t="s">
        <v>104</v>
      </c>
      <c r="C444" s="143" t="s">
        <v>105</v>
      </c>
      <c r="D444" s="143" t="s">
        <v>69</v>
      </c>
      <c r="E444" s="257">
        <v>31730334</v>
      </c>
      <c r="F444" s="257">
        <v>31730334</v>
      </c>
      <c r="G444" s="257">
        <v>31730334</v>
      </c>
      <c r="H444" s="257">
        <v>0</v>
      </c>
      <c r="I444" s="257">
        <v>31730334</v>
      </c>
      <c r="J444" s="257">
        <v>0</v>
      </c>
      <c r="K444" s="257">
        <v>0</v>
      </c>
      <c r="L444" s="257">
        <v>0</v>
      </c>
      <c r="M444" s="257">
        <v>0</v>
      </c>
      <c r="N444" s="257">
        <v>0</v>
      </c>
    </row>
    <row r="445" spans="1:14" s="143" customFormat="1" x14ac:dyDescent="0.25">
      <c r="A445" s="143" t="s">
        <v>378</v>
      </c>
      <c r="B445" s="143" t="s">
        <v>150</v>
      </c>
      <c r="C445" s="143" t="s">
        <v>151</v>
      </c>
      <c r="D445" s="143" t="s">
        <v>69</v>
      </c>
      <c r="E445" s="257">
        <v>31730334</v>
      </c>
      <c r="F445" s="257">
        <v>31730334</v>
      </c>
      <c r="G445" s="257">
        <v>31730334</v>
      </c>
      <c r="H445" s="257">
        <v>0</v>
      </c>
      <c r="I445" s="257">
        <v>31730334</v>
      </c>
      <c r="J445" s="257">
        <v>0</v>
      </c>
      <c r="K445" s="257">
        <v>0</v>
      </c>
      <c r="L445" s="257">
        <v>0</v>
      </c>
      <c r="M445" s="257">
        <v>0</v>
      </c>
      <c r="N445" s="257">
        <v>0</v>
      </c>
    </row>
    <row r="446" spans="1:14" s="143" customFormat="1" x14ac:dyDescent="0.25">
      <c r="A446" s="143" t="s">
        <v>378</v>
      </c>
      <c r="B446" s="143" t="s">
        <v>152</v>
      </c>
      <c r="C446" s="143" t="s">
        <v>153</v>
      </c>
      <c r="D446" s="143" t="s">
        <v>69</v>
      </c>
      <c r="E446" s="257">
        <v>31730334</v>
      </c>
      <c r="F446" s="257">
        <v>31730334</v>
      </c>
      <c r="G446" s="257">
        <v>31730334</v>
      </c>
      <c r="H446" s="257">
        <v>0</v>
      </c>
      <c r="I446" s="257">
        <v>31730334</v>
      </c>
      <c r="J446" s="257">
        <v>0</v>
      </c>
      <c r="K446" s="257">
        <v>0</v>
      </c>
      <c r="L446" s="257">
        <v>0</v>
      </c>
      <c r="M446" s="257">
        <v>0</v>
      </c>
      <c r="N446" s="257">
        <v>0</v>
      </c>
    </row>
    <row r="447" spans="1:14" s="143" customFormat="1" x14ac:dyDescent="0.25">
      <c r="A447" s="143" t="s">
        <v>378</v>
      </c>
      <c r="B447" s="143" t="s">
        <v>248</v>
      </c>
      <c r="C447" s="143" t="s">
        <v>249</v>
      </c>
      <c r="D447" s="143" t="s">
        <v>69</v>
      </c>
      <c r="E447" s="257">
        <v>492565000</v>
      </c>
      <c r="F447" s="257">
        <v>492565000</v>
      </c>
      <c r="G447" s="257">
        <v>406912703</v>
      </c>
      <c r="H447" s="257">
        <v>0</v>
      </c>
      <c r="I447" s="257">
        <v>140642567.22999999</v>
      </c>
      <c r="J447" s="257">
        <v>0</v>
      </c>
      <c r="K447" s="257">
        <v>236648335.56</v>
      </c>
      <c r="L447" s="257">
        <v>236648335.56</v>
      </c>
      <c r="M447" s="257">
        <v>115274097.20999999</v>
      </c>
      <c r="N447" s="257">
        <v>29621800.210000001</v>
      </c>
    </row>
    <row r="448" spans="1:14" s="143" customFormat="1" x14ac:dyDescent="0.25">
      <c r="A448" s="143" t="s">
        <v>378</v>
      </c>
      <c r="B448" s="143" t="s">
        <v>250</v>
      </c>
      <c r="C448" s="143" t="s">
        <v>251</v>
      </c>
      <c r="D448" s="143" t="s">
        <v>69</v>
      </c>
      <c r="E448" s="257">
        <v>154788000</v>
      </c>
      <c r="F448" s="257">
        <v>154788000</v>
      </c>
      <c r="G448" s="257">
        <v>154788000</v>
      </c>
      <c r="H448" s="257">
        <v>0</v>
      </c>
      <c r="I448" s="257">
        <v>77442033.390000001</v>
      </c>
      <c r="J448" s="257">
        <v>0</v>
      </c>
      <c r="K448" s="257">
        <v>77345966.609999999</v>
      </c>
      <c r="L448" s="257">
        <v>77345966.609999999</v>
      </c>
      <c r="M448" s="257">
        <v>0</v>
      </c>
      <c r="N448" s="257">
        <v>0</v>
      </c>
    </row>
    <row r="449" spans="1:14" s="143" customFormat="1" x14ac:dyDescent="0.25">
      <c r="A449" s="143" t="s">
        <v>378</v>
      </c>
      <c r="B449" s="143" t="s">
        <v>386</v>
      </c>
      <c r="C449" s="143" t="s">
        <v>257</v>
      </c>
      <c r="D449" s="143" t="s">
        <v>69</v>
      </c>
      <c r="E449" s="257">
        <v>128817000</v>
      </c>
      <c r="F449" s="257">
        <v>128817000</v>
      </c>
      <c r="G449" s="257">
        <v>128817000</v>
      </c>
      <c r="H449" s="257">
        <v>0</v>
      </c>
      <c r="I449" s="257">
        <v>66091622.240000002</v>
      </c>
      <c r="J449" s="257">
        <v>0</v>
      </c>
      <c r="K449" s="257">
        <v>62725377.759999998</v>
      </c>
      <c r="L449" s="257">
        <v>62725377.759999998</v>
      </c>
      <c r="M449" s="257">
        <v>0</v>
      </c>
      <c r="N449" s="257">
        <v>0</v>
      </c>
    </row>
    <row r="450" spans="1:14" s="143" customFormat="1" x14ac:dyDescent="0.25">
      <c r="A450" s="143" t="s">
        <v>378</v>
      </c>
      <c r="B450" s="143" t="s">
        <v>387</v>
      </c>
      <c r="C450" s="143" t="s">
        <v>259</v>
      </c>
      <c r="D450" s="143" t="s">
        <v>69</v>
      </c>
      <c r="E450" s="257">
        <v>25971000</v>
      </c>
      <c r="F450" s="257">
        <v>25971000</v>
      </c>
      <c r="G450" s="257">
        <v>25971000</v>
      </c>
      <c r="H450" s="257">
        <v>0</v>
      </c>
      <c r="I450" s="257">
        <v>11350411.15</v>
      </c>
      <c r="J450" s="257">
        <v>0</v>
      </c>
      <c r="K450" s="257">
        <v>14620588.85</v>
      </c>
      <c r="L450" s="257">
        <v>14620588.85</v>
      </c>
      <c r="M450" s="257">
        <v>0</v>
      </c>
      <c r="N450" s="257">
        <v>0</v>
      </c>
    </row>
    <row r="451" spans="1:14" s="143" customFormat="1" x14ac:dyDescent="0.25">
      <c r="A451" s="143" t="s">
        <v>378</v>
      </c>
      <c r="B451" s="143" t="s">
        <v>260</v>
      </c>
      <c r="C451" s="143" t="s">
        <v>261</v>
      </c>
      <c r="D451" s="143" t="s">
        <v>69</v>
      </c>
      <c r="E451" s="257">
        <v>312777000</v>
      </c>
      <c r="F451" s="257">
        <v>307777000</v>
      </c>
      <c r="G451" s="257">
        <v>222124703</v>
      </c>
      <c r="H451" s="257">
        <v>0</v>
      </c>
      <c r="I451" s="257">
        <v>56976948.450000003</v>
      </c>
      <c r="J451" s="257">
        <v>0</v>
      </c>
      <c r="K451" s="257">
        <v>135525954.34</v>
      </c>
      <c r="L451" s="257">
        <v>135525954.34</v>
      </c>
      <c r="M451" s="257">
        <v>115274097.20999999</v>
      </c>
      <c r="N451" s="257">
        <v>29621800.210000001</v>
      </c>
    </row>
    <row r="452" spans="1:14" x14ac:dyDescent="0.25">
      <c r="A452" s="143" t="s">
        <v>378</v>
      </c>
      <c r="B452" s="143" t="s">
        <v>262</v>
      </c>
      <c r="C452" s="143" t="s">
        <v>263</v>
      </c>
      <c r="D452" s="143" t="s">
        <v>69</v>
      </c>
      <c r="E452" s="257">
        <v>239389000</v>
      </c>
      <c r="F452" s="257">
        <v>239389000</v>
      </c>
      <c r="G452" s="257">
        <v>165359168</v>
      </c>
      <c r="H452" s="257">
        <v>0</v>
      </c>
      <c r="I452" s="257">
        <v>56876820.450000003</v>
      </c>
      <c r="J452" s="257">
        <v>0</v>
      </c>
      <c r="K452" s="257">
        <v>108482345.55</v>
      </c>
      <c r="L452" s="257">
        <v>108482345.55</v>
      </c>
      <c r="M452" s="257">
        <v>74029834</v>
      </c>
      <c r="N452" s="257">
        <v>2</v>
      </c>
    </row>
    <row r="453" spans="1:14" x14ac:dyDescent="0.25">
      <c r="A453" s="143" t="s">
        <v>378</v>
      </c>
      <c r="B453" s="143" t="s">
        <v>264</v>
      </c>
      <c r="C453" s="143" t="s">
        <v>265</v>
      </c>
      <c r="D453" s="143" t="s">
        <v>69</v>
      </c>
      <c r="E453" s="257">
        <v>73388000</v>
      </c>
      <c r="F453" s="257">
        <v>68388000</v>
      </c>
      <c r="G453" s="257">
        <v>56765535</v>
      </c>
      <c r="H453" s="257">
        <v>0</v>
      </c>
      <c r="I453" s="257">
        <v>100128</v>
      </c>
      <c r="J453" s="257">
        <v>0</v>
      </c>
      <c r="K453" s="257">
        <v>27043608.789999999</v>
      </c>
      <c r="L453" s="257">
        <v>27043608.789999999</v>
      </c>
      <c r="M453" s="257">
        <v>41244263.210000001</v>
      </c>
      <c r="N453" s="257">
        <v>29621798.210000001</v>
      </c>
    </row>
    <row r="454" spans="1:14" x14ac:dyDescent="0.25">
      <c r="A454" s="143" t="s">
        <v>378</v>
      </c>
      <c r="B454" s="143" t="s">
        <v>286</v>
      </c>
      <c r="C454" s="143" t="s">
        <v>287</v>
      </c>
      <c r="D454" s="143" t="s">
        <v>69</v>
      </c>
      <c r="E454" s="257">
        <v>25000000</v>
      </c>
      <c r="F454" s="257">
        <v>30000000</v>
      </c>
      <c r="G454" s="257">
        <v>30000000</v>
      </c>
      <c r="H454" s="257">
        <v>0</v>
      </c>
      <c r="I454" s="257">
        <v>6223585.3899999997</v>
      </c>
      <c r="J454" s="257">
        <v>0</v>
      </c>
      <c r="K454" s="257">
        <v>23776414.609999999</v>
      </c>
      <c r="L454" s="257">
        <v>23776414.609999999</v>
      </c>
      <c r="M454" s="257">
        <v>0</v>
      </c>
      <c r="N454" s="257">
        <v>0</v>
      </c>
    </row>
    <row r="455" spans="1:14" s="143" customFormat="1" x14ac:dyDescent="0.25">
      <c r="A455" s="143" t="s">
        <v>378</v>
      </c>
      <c r="B455" s="143" t="s">
        <v>288</v>
      </c>
      <c r="C455" s="143" t="s">
        <v>289</v>
      </c>
      <c r="D455" s="143" t="s">
        <v>69</v>
      </c>
      <c r="E455" s="257">
        <v>10000000</v>
      </c>
      <c r="F455" s="257">
        <v>10000000</v>
      </c>
      <c r="G455" s="257">
        <v>10000000</v>
      </c>
      <c r="H455" s="257">
        <v>0</v>
      </c>
      <c r="I455" s="257">
        <v>335433.57</v>
      </c>
      <c r="J455" s="257">
        <v>0</v>
      </c>
      <c r="K455" s="257">
        <v>9664566.4299999997</v>
      </c>
      <c r="L455" s="257">
        <v>9664566.4299999997</v>
      </c>
      <c r="M455" s="257">
        <v>0</v>
      </c>
      <c r="N455" s="257">
        <v>0</v>
      </c>
    </row>
    <row r="456" spans="1:14" x14ac:dyDescent="0.25">
      <c r="A456" s="143" t="s">
        <v>378</v>
      </c>
      <c r="B456" s="143" t="s">
        <v>370</v>
      </c>
      <c r="C456" s="143" t="s">
        <v>371</v>
      </c>
      <c r="D456" s="143" t="s">
        <v>69</v>
      </c>
      <c r="E456" s="257">
        <v>15000000</v>
      </c>
      <c r="F456" s="257">
        <v>20000000</v>
      </c>
      <c r="G456" s="257">
        <v>20000000</v>
      </c>
      <c r="H456" s="257">
        <v>0</v>
      </c>
      <c r="I456" s="257">
        <v>5888151.8200000003</v>
      </c>
      <c r="J456" s="257">
        <v>0</v>
      </c>
      <c r="K456" s="257">
        <v>14111848.18</v>
      </c>
      <c r="L456" s="257">
        <v>14111848.18</v>
      </c>
      <c r="M456" s="257">
        <v>0</v>
      </c>
      <c r="N456" s="257">
        <v>0</v>
      </c>
    </row>
    <row r="457" spans="1:14" x14ac:dyDescent="0.25">
      <c r="A457" s="53"/>
      <c r="B457" s="53"/>
      <c r="C457" s="53"/>
      <c r="D457" s="53"/>
      <c r="E457" s="54">
        <v>675435665000</v>
      </c>
      <c r="F457" s="54">
        <v>705435665000</v>
      </c>
      <c r="G457" s="54">
        <v>663061734803.75</v>
      </c>
      <c r="H457" s="54">
        <v>1170817411.8499999</v>
      </c>
      <c r="I457" s="54">
        <v>100035139295.05</v>
      </c>
      <c r="J457" s="54">
        <v>1779322530.55</v>
      </c>
      <c r="K457" s="54">
        <v>321653098971.25</v>
      </c>
      <c r="L457" s="54">
        <v>319051811669.65002</v>
      </c>
      <c r="M457" s="54">
        <v>280797286791.29999</v>
      </c>
      <c r="N457" s="54">
        <v>238423356595.04999</v>
      </c>
    </row>
  </sheetData>
  <sheetProtection selectLockedCells="1" selectUnlockedCells="1"/>
  <conditionalFormatting sqref="K2:K451">
    <cfRule type="cellIs" dxfId="8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7"/>
  <sheetViews>
    <sheetView zoomScaleNormal="100" workbookViewId="0"/>
  </sheetViews>
  <sheetFormatPr baseColWidth="10" defaultColWidth="36.28515625" defaultRowHeight="15" x14ac:dyDescent="0.25"/>
  <cols>
    <col min="1" max="1" width="13" customWidth="1"/>
    <col min="2" max="2" width="18.140625" customWidth="1"/>
    <col min="3" max="3" width="74.140625" customWidth="1"/>
    <col min="4" max="4" width="6.5703125" customWidth="1"/>
    <col min="5" max="5" width="18.7109375" customWidth="1"/>
    <col min="6" max="7" width="18.5703125" customWidth="1"/>
    <col min="8" max="8" width="17.42578125" customWidth="1"/>
    <col min="9" max="9" width="18.5703125" customWidth="1"/>
    <col min="10" max="10" width="20" customWidth="1"/>
    <col min="11" max="12" width="18.5703125" customWidth="1"/>
    <col min="13" max="13" width="21.5703125" customWidth="1"/>
    <col min="14" max="14" width="18.5703125" customWidth="1"/>
  </cols>
  <sheetData>
    <row r="1" spans="1:14" x14ac:dyDescent="0.25">
      <c r="A1" s="144" t="s">
        <v>52</v>
      </c>
      <c r="B1" s="144" t="s">
        <v>53</v>
      </c>
      <c r="C1" s="144" t="s">
        <v>54</v>
      </c>
      <c r="D1" s="144" t="s">
        <v>55</v>
      </c>
      <c r="E1" s="144" t="s">
        <v>56</v>
      </c>
      <c r="F1" s="144" t="s">
        <v>57</v>
      </c>
      <c r="G1" s="144" t="s">
        <v>58</v>
      </c>
      <c r="H1" s="144" t="s">
        <v>59</v>
      </c>
      <c r="I1" s="144" t="s">
        <v>60</v>
      </c>
      <c r="J1" s="144" t="s">
        <v>61</v>
      </c>
      <c r="K1" s="144" t="s">
        <v>12</v>
      </c>
      <c r="L1" s="144" t="s">
        <v>63</v>
      </c>
      <c r="M1" s="144" t="s">
        <v>65</v>
      </c>
      <c r="N1" s="144" t="s">
        <v>67</v>
      </c>
    </row>
    <row r="2" spans="1:14" s="143" customFormat="1" x14ac:dyDescent="0.25">
      <c r="A2" s="143" t="s">
        <v>68</v>
      </c>
      <c r="D2" s="143" t="s">
        <v>69</v>
      </c>
      <c r="E2" s="257">
        <v>135087133000</v>
      </c>
      <c r="F2" s="257">
        <v>141087133000</v>
      </c>
      <c r="G2" s="257">
        <v>126570163980.75</v>
      </c>
      <c r="H2" s="257">
        <v>155039859.97999999</v>
      </c>
      <c r="I2" s="257">
        <v>13104571416.23</v>
      </c>
      <c r="J2" s="257">
        <v>413587339.02999997</v>
      </c>
      <c r="K2" s="257">
        <v>56939013539.5</v>
      </c>
      <c r="L2" s="257">
        <v>56496238612.129997</v>
      </c>
      <c r="M2" s="257">
        <v>70474920845.259995</v>
      </c>
      <c r="N2" s="257">
        <v>55957951826.010002</v>
      </c>
    </row>
    <row r="3" spans="1:14" s="143" customFormat="1" x14ac:dyDescent="0.25">
      <c r="A3" s="143">
        <v>214779</v>
      </c>
      <c r="D3" s="143" t="s">
        <v>69</v>
      </c>
      <c r="E3" s="257">
        <v>2519449227</v>
      </c>
      <c r="F3" s="257">
        <v>2519449227</v>
      </c>
      <c r="G3" s="257">
        <v>2243822736</v>
      </c>
      <c r="H3" s="257">
        <v>1471090</v>
      </c>
      <c r="I3" s="257">
        <v>199710878.00999999</v>
      </c>
      <c r="J3" s="257">
        <v>2915877.79</v>
      </c>
      <c r="K3" s="257">
        <v>1038308271.0700001</v>
      </c>
      <c r="L3" s="257">
        <v>1033479868.0700001</v>
      </c>
      <c r="M3" s="257">
        <v>1277043110.1300001</v>
      </c>
      <c r="N3" s="257">
        <v>1001416619.13</v>
      </c>
    </row>
    <row r="4" spans="1:14" s="143" customFormat="1" x14ac:dyDescent="0.25">
      <c r="A4" s="143" t="s">
        <v>70</v>
      </c>
      <c r="B4" s="143" t="s">
        <v>71</v>
      </c>
      <c r="C4" s="143" t="s">
        <v>72</v>
      </c>
      <c r="D4" s="143" t="s">
        <v>69</v>
      </c>
      <c r="E4" s="257">
        <v>1386097000</v>
      </c>
      <c r="F4" s="257">
        <v>1364477635</v>
      </c>
      <c r="G4" s="257">
        <v>1364477635</v>
      </c>
      <c r="H4" s="257">
        <v>0</v>
      </c>
      <c r="I4" s="257">
        <v>119218175</v>
      </c>
      <c r="J4" s="257">
        <v>0</v>
      </c>
      <c r="K4" s="257">
        <v>552035173.19000006</v>
      </c>
      <c r="L4" s="257">
        <v>552035173.19000006</v>
      </c>
      <c r="M4" s="257">
        <v>693224286.80999994</v>
      </c>
      <c r="N4" s="257">
        <v>693224286.80999994</v>
      </c>
    </row>
    <row r="5" spans="1:14" s="143" customFormat="1" x14ac:dyDescent="0.25">
      <c r="A5" s="143" t="s">
        <v>70</v>
      </c>
      <c r="B5" s="143" t="s">
        <v>73</v>
      </c>
      <c r="C5" s="143" t="s">
        <v>74</v>
      </c>
      <c r="D5" s="143" t="s">
        <v>69</v>
      </c>
      <c r="E5" s="257">
        <v>526394000</v>
      </c>
      <c r="F5" s="257">
        <v>513555100</v>
      </c>
      <c r="G5" s="257">
        <v>513555100</v>
      </c>
      <c r="H5" s="257">
        <v>0</v>
      </c>
      <c r="I5" s="257">
        <v>0</v>
      </c>
      <c r="J5" s="257">
        <v>0</v>
      </c>
      <c r="K5" s="257">
        <v>220835425.19999999</v>
      </c>
      <c r="L5" s="257">
        <v>220835425.19999999</v>
      </c>
      <c r="M5" s="257">
        <v>292719674.80000001</v>
      </c>
      <c r="N5" s="257">
        <v>292719674.80000001</v>
      </c>
    </row>
    <row r="6" spans="1:14" s="143" customFormat="1" x14ac:dyDescent="0.25">
      <c r="A6" s="143" t="s">
        <v>70</v>
      </c>
      <c r="B6" s="143" t="s">
        <v>75</v>
      </c>
      <c r="C6" s="143" t="s">
        <v>76</v>
      </c>
      <c r="D6" s="143" t="s">
        <v>69</v>
      </c>
      <c r="E6" s="257">
        <v>526394000</v>
      </c>
      <c r="F6" s="257">
        <v>513555100</v>
      </c>
      <c r="G6" s="257">
        <v>513555100</v>
      </c>
      <c r="H6" s="257">
        <v>0</v>
      </c>
      <c r="I6" s="257">
        <v>0</v>
      </c>
      <c r="J6" s="257">
        <v>0</v>
      </c>
      <c r="K6" s="257">
        <v>220835425.19999999</v>
      </c>
      <c r="L6" s="257">
        <v>220835425.19999999</v>
      </c>
      <c r="M6" s="257">
        <v>292719674.80000001</v>
      </c>
      <c r="N6" s="257">
        <v>292719674.80000001</v>
      </c>
    </row>
    <row r="7" spans="1:14" s="143" customFormat="1" x14ac:dyDescent="0.25">
      <c r="A7" s="143" t="s">
        <v>70</v>
      </c>
      <c r="B7" s="143" t="s">
        <v>77</v>
      </c>
      <c r="C7" s="143" t="s">
        <v>78</v>
      </c>
      <c r="D7" s="143" t="s">
        <v>69</v>
      </c>
      <c r="E7" s="257">
        <v>649722000</v>
      </c>
      <c r="F7" s="257">
        <v>640941535</v>
      </c>
      <c r="G7" s="257">
        <v>640941535</v>
      </c>
      <c r="H7" s="257">
        <v>0</v>
      </c>
      <c r="I7" s="257">
        <v>0</v>
      </c>
      <c r="J7" s="257">
        <v>0</v>
      </c>
      <c r="K7" s="257">
        <v>240436922.99000001</v>
      </c>
      <c r="L7" s="257">
        <v>240436922.99000001</v>
      </c>
      <c r="M7" s="257">
        <v>400504612.00999999</v>
      </c>
      <c r="N7" s="257">
        <v>400504612.00999999</v>
      </c>
    </row>
    <row r="8" spans="1:14" s="143" customFormat="1" x14ac:dyDescent="0.25">
      <c r="A8" s="143" t="s">
        <v>70</v>
      </c>
      <c r="B8" s="143" t="s">
        <v>79</v>
      </c>
      <c r="C8" s="143" t="s">
        <v>80</v>
      </c>
      <c r="D8" s="143" t="s">
        <v>69</v>
      </c>
      <c r="E8" s="257">
        <v>138872000</v>
      </c>
      <c r="F8" s="257">
        <v>137710900</v>
      </c>
      <c r="G8" s="257">
        <v>137710900</v>
      </c>
      <c r="H8" s="257">
        <v>0</v>
      </c>
      <c r="I8" s="257">
        <v>0</v>
      </c>
      <c r="J8" s="257">
        <v>0</v>
      </c>
      <c r="K8" s="257">
        <v>47455779.630000003</v>
      </c>
      <c r="L8" s="257">
        <v>47455779.630000003</v>
      </c>
      <c r="M8" s="257">
        <v>90255120.370000005</v>
      </c>
      <c r="N8" s="257">
        <v>90255120.370000005</v>
      </c>
    </row>
    <row r="9" spans="1:14" s="143" customFormat="1" x14ac:dyDescent="0.25">
      <c r="A9" s="143" t="s">
        <v>70</v>
      </c>
      <c r="B9" s="143" t="s">
        <v>81</v>
      </c>
      <c r="C9" s="143" t="s">
        <v>82</v>
      </c>
      <c r="D9" s="143" t="s">
        <v>69</v>
      </c>
      <c r="E9" s="257">
        <v>289755000</v>
      </c>
      <c r="F9" s="257">
        <v>282135635</v>
      </c>
      <c r="G9" s="257">
        <v>282135635</v>
      </c>
      <c r="H9" s="257">
        <v>0</v>
      </c>
      <c r="I9" s="257">
        <v>0</v>
      </c>
      <c r="J9" s="257">
        <v>0</v>
      </c>
      <c r="K9" s="257">
        <v>100616921.14</v>
      </c>
      <c r="L9" s="257">
        <v>100616921.14</v>
      </c>
      <c r="M9" s="257">
        <v>181518713.86000001</v>
      </c>
      <c r="N9" s="257">
        <v>181518713.86000001</v>
      </c>
    </row>
    <row r="10" spans="1:14" s="143" customFormat="1" x14ac:dyDescent="0.25">
      <c r="A10" s="143" t="s">
        <v>70</v>
      </c>
      <c r="B10" s="143" t="s">
        <v>86</v>
      </c>
      <c r="C10" s="143" t="s">
        <v>87</v>
      </c>
      <c r="D10" s="143" t="s">
        <v>69</v>
      </c>
      <c r="E10" s="257">
        <v>83881000</v>
      </c>
      <c r="F10" s="257">
        <v>83881000</v>
      </c>
      <c r="G10" s="257">
        <v>83881000</v>
      </c>
      <c r="H10" s="257">
        <v>0</v>
      </c>
      <c r="I10" s="257">
        <v>0</v>
      </c>
      <c r="J10" s="257">
        <v>0</v>
      </c>
      <c r="K10" s="257">
        <v>74682002.099999994</v>
      </c>
      <c r="L10" s="257">
        <v>74682002.099999994</v>
      </c>
      <c r="M10" s="257">
        <v>9198997.9000000004</v>
      </c>
      <c r="N10" s="257">
        <v>9198997.9000000004</v>
      </c>
    </row>
    <row r="11" spans="1:14" s="143" customFormat="1" x14ac:dyDescent="0.25">
      <c r="A11" s="143" t="s">
        <v>70</v>
      </c>
      <c r="B11" s="143" t="s">
        <v>88</v>
      </c>
      <c r="C11" s="143" t="s">
        <v>89</v>
      </c>
      <c r="D11" s="143" t="s">
        <v>69</v>
      </c>
      <c r="E11" s="257">
        <v>47407000</v>
      </c>
      <c r="F11" s="257">
        <v>47407000</v>
      </c>
      <c r="G11" s="257">
        <v>47407000</v>
      </c>
      <c r="H11" s="257">
        <v>0</v>
      </c>
      <c r="I11" s="257">
        <v>0</v>
      </c>
      <c r="J11" s="257">
        <v>0</v>
      </c>
      <c r="K11" s="257">
        <v>17682220.120000001</v>
      </c>
      <c r="L11" s="257">
        <v>17682220.120000001</v>
      </c>
      <c r="M11" s="257">
        <v>29724779.879999999</v>
      </c>
      <c r="N11" s="257">
        <v>29724779.879999999</v>
      </c>
    </row>
    <row r="12" spans="1:14" s="143" customFormat="1" x14ac:dyDescent="0.25">
      <c r="A12" s="143" t="s">
        <v>70</v>
      </c>
      <c r="B12" s="143" t="s">
        <v>83</v>
      </c>
      <c r="C12" s="143" t="s">
        <v>84</v>
      </c>
      <c r="D12" s="143" t="s">
        <v>85</v>
      </c>
      <c r="E12" s="257">
        <v>89807000</v>
      </c>
      <c r="F12" s="257">
        <v>89807000</v>
      </c>
      <c r="G12" s="257">
        <v>89807000</v>
      </c>
      <c r="H12" s="257">
        <v>0</v>
      </c>
      <c r="I12" s="257">
        <v>0</v>
      </c>
      <c r="J12" s="257">
        <v>0</v>
      </c>
      <c r="K12" s="257">
        <v>0</v>
      </c>
      <c r="L12" s="257">
        <v>0</v>
      </c>
      <c r="M12" s="257">
        <v>89807000</v>
      </c>
      <c r="N12" s="257">
        <v>89807000</v>
      </c>
    </row>
    <row r="13" spans="1:14" s="143" customFormat="1" x14ac:dyDescent="0.25">
      <c r="A13" s="143" t="s">
        <v>70</v>
      </c>
      <c r="B13" s="143" t="s">
        <v>90</v>
      </c>
      <c r="C13" s="143" t="s">
        <v>91</v>
      </c>
      <c r="D13" s="143" t="s">
        <v>69</v>
      </c>
      <c r="E13" s="257">
        <v>105914000</v>
      </c>
      <c r="F13" s="257">
        <v>105914000</v>
      </c>
      <c r="G13" s="257">
        <v>105914000</v>
      </c>
      <c r="H13" s="257">
        <v>0</v>
      </c>
      <c r="I13" s="257">
        <v>60133475</v>
      </c>
      <c r="J13" s="257">
        <v>0</v>
      </c>
      <c r="K13" s="257">
        <v>45780525</v>
      </c>
      <c r="L13" s="257">
        <v>45780525</v>
      </c>
      <c r="M13" s="257">
        <v>0</v>
      </c>
      <c r="N13" s="257">
        <v>0</v>
      </c>
    </row>
    <row r="14" spans="1:14" s="143" customFormat="1" x14ac:dyDescent="0.25">
      <c r="A14" s="143" t="s">
        <v>70</v>
      </c>
      <c r="B14" s="143" t="s">
        <v>92</v>
      </c>
      <c r="C14" s="143" t="s">
        <v>93</v>
      </c>
      <c r="D14" s="143" t="s">
        <v>69</v>
      </c>
      <c r="E14" s="257">
        <v>100483000</v>
      </c>
      <c r="F14" s="257">
        <v>100483000</v>
      </c>
      <c r="G14" s="257">
        <v>100483000</v>
      </c>
      <c r="H14" s="257">
        <v>0</v>
      </c>
      <c r="I14" s="257">
        <v>57050207</v>
      </c>
      <c r="J14" s="257">
        <v>0</v>
      </c>
      <c r="K14" s="257">
        <v>43432793</v>
      </c>
      <c r="L14" s="257">
        <v>43432793</v>
      </c>
      <c r="M14" s="257">
        <v>0</v>
      </c>
      <c r="N14" s="257">
        <v>0</v>
      </c>
    </row>
    <row r="15" spans="1:14" s="143" customFormat="1" x14ac:dyDescent="0.25">
      <c r="A15" s="143" t="s">
        <v>70</v>
      </c>
      <c r="B15" s="143" t="s">
        <v>94</v>
      </c>
      <c r="C15" s="143" t="s">
        <v>95</v>
      </c>
      <c r="D15" s="143" t="s">
        <v>69</v>
      </c>
      <c r="E15" s="257">
        <v>5431000</v>
      </c>
      <c r="F15" s="257">
        <v>5431000</v>
      </c>
      <c r="G15" s="257">
        <v>5431000</v>
      </c>
      <c r="H15" s="257">
        <v>0</v>
      </c>
      <c r="I15" s="257">
        <v>3083268</v>
      </c>
      <c r="J15" s="257">
        <v>0</v>
      </c>
      <c r="K15" s="257">
        <v>2347732</v>
      </c>
      <c r="L15" s="257">
        <v>2347732</v>
      </c>
      <c r="M15" s="257">
        <v>0</v>
      </c>
      <c r="N15" s="257">
        <v>0</v>
      </c>
    </row>
    <row r="16" spans="1:14" s="143" customFormat="1" x14ac:dyDescent="0.25">
      <c r="A16" s="143" t="s">
        <v>70</v>
      </c>
      <c r="B16" s="143" t="s">
        <v>96</v>
      </c>
      <c r="C16" s="143" t="s">
        <v>97</v>
      </c>
      <c r="D16" s="143" t="s">
        <v>69</v>
      </c>
      <c r="E16" s="257">
        <v>104067000</v>
      </c>
      <c r="F16" s="257">
        <v>104067000</v>
      </c>
      <c r="G16" s="257">
        <v>104067000</v>
      </c>
      <c r="H16" s="257">
        <v>0</v>
      </c>
      <c r="I16" s="257">
        <v>59084700</v>
      </c>
      <c r="J16" s="257">
        <v>0</v>
      </c>
      <c r="K16" s="257">
        <v>44982300</v>
      </c>
      <c r="L16" s="257">
        <v>44982300</v>
      </c>
      <c r="M16" s="257">
        <v>0</v>
      </c>
      <c r="N16" s="257">
        <v>0</v>
      </c>
    </row>
    <row r="17" spans="1:14" s="143" customFormat="1" x14ac:dyDescent="0.25">
      <c r="A17" s="143" t="s">
        <v>70</v>
      </c>
      <c r="B17" s="143" t="s">
        <v>98</v>
      </c>
      <c r="C17" s="143" t="s">
        <v>99</v>
      </c>
      <c r="D17" s="143" t="s">
        <v>69</v>
      </c>
      <c r="E17" s="257">
        <v>55184000</v>
      </c>
      <c r="F17" s="257">
        <v>55184000</v>
      </c>
      <c r="G17" s="257">
        <v>55184000</v>
      </c>
      <c r="H17" s="257">
        <v>0</v>
      </c>
      <c r="I17" s="257">
        <v>31331179</v>
      </c>
      <c r="J17" s="257">
        <v>0</v>
      </c>
      <c r="K17" s="257">
        <v>23852821</v>
      </c>
      <c r="L17" s="257">
        <v>23852821</v>
      </c>
      <c r="M17" s="257">
        <v>0</v>
      </c>
      <c r="N17" s="257">
        <v>0</v>
      </c>
    </row>
    <row r="18" spans="1:14" s="143" customFormat="1" x14ac:dyDescent="0.25">
      <c r="A18" s="143" t="s">
        <v>70</v>
      </c>
      <c r="B18" s="143" t="s">
        <v>100</v>
      </c>
      <c r="C18" s="143" t="s">
        <v>101</v>
      </c>
      <c r="D18" s="143" t="s">
        <v>69</v>
      </c>
      <c r="E18" s="257">
        <v>16294000</v>
      </c>
      <c r="F18" s="257">
        <v>16294000</v>
      </c>
      <c r="G18" s="257">
        <v>16294000</v>
      </c>
      <c r="H18" s="257">
        <v>0</v>
      </c>
      <c r="I18" s="257">
        <v>9250843</v>
      </c>
      <c r="J18" s="257">
        <v>0</v>
      </c>
      <c r="K18" s="257">
        <v>7043157</v>
      </c>
      <c r="L18" s="257">
        <v>7043157</v>
      </c>
      <c r="M18" s="257">
        <v>0</v>
      </c>
      <c r="N18" s="257">
        <v>0</v>
      </c>
    </row>
    <row r="19" spans="1:14" s="143" customFormat="1" x14ac:dyDescent="0.25">
      <c r="A19" s="143" t="s">
        <v>70</v>
      </c>
      <c r="B19" s="143" t="s">
        <v>102</v>
      </c>
      <c r="C19" s="143" t="s">
        <v>103</v>
      </c>
      <c r="D19" s="143" t="s">
        <v>69</v>
      </c>
      <c r="E19" s="257">
        <v>32589000</v>
      </c>
      <c r="F19" s="257">
        <v>32589000</v>
      </c>
      <c r="G19" s="257">
        <v>32589000</v>
      </c>
      <c r="H19" s="257">
        <v>0</v>
      </c>
      <c r="I19" s="257">
        <v>18502678</v>
      </c>
      <c r="J19" s="257">
        <v>0</v>
      </c>
      <c r="K19" s="257">
        <v>14086322</v>
      </c>
      <c r="L19" s="257">
        <v>14086322</v>
      </c>
      <c r="M19" s="257">
        <v>0</v>
      </c>
      <c r="N19" s="257">
        <v>0</v>
      </c>
    </row>
    <row r="20" spans="1:14" s="143" customFormat="1" x14ac:dyDescent="0.25">
      <c r="A20" s="143" t="s">
        <v>70</v>
      </c>
      <c r="B20" s="143" t="s">
        <v>104</v>
      </c>
      <c r="C20" s="143" t="s">
        <v>105</v>
      </c>
      <c r="D20" s="143" t="s">
        <v>69</v>
      </c>
      <c r="E20" s="257">
        <v>342741579</v>
      </c>
      <c r="F20" s="257">
        <v>342741579</v>
      </c>
      <c r="G20" s="257">
        <v>242695935</v>
      </c>
      <c r="H20" s="257">
        <v>314650</v>
      </c>
      <c r="I20" s="257">
        <v>47292003.119999997</v>
      </c>
      <c r="J20" s="257">
        <v>1284009</v>
      </c>
      <c r="K20" s="257">
        <v>92211730.370000005</v>
      </c>
      <c r="L20" s="257">
        <v>88127094.370000005</v>
      </c>
      <c r="M20" s="257">
        <v>201639186.50999999</v>
      </c>
      <c r="N20" s="257">
        <v>101593542.51000001</v>
      </c>
    </row>
    <row r="21" spans="1:14" s="143" customFormat="1" x14ac:dyDescent="0.25">
      <c r="A21" s="143" t="s">
        <v>70</v>
      </c>
      <c r="B21" s="143" t="s">
        <v>106</v>
      </c>
      <c r="C21" s="143" t="s">
        <v>107</v>
      </c>
      <c r="D21" s="143" t="s">
        <v>69</v>
      </c>
      <c r="E21" s="257">
        <v>125845446</v>
      </c>
      <c r="F21" s="257">
        <v>125845446</v>
      </c>
      <c r="G21" s="257">
        <v>95218768.030000001</v>
      </c>
      <c r="H21" s="257">
        <v>0</v>
      </c>
      <c r="I21" s="257">
        <v>20274826.149999999</v>
      </c>
      <c r="J21" s="257">
        <v>30000</v>
      </c>
      <c r="K21" s="257">
        <v>41774794.600000001</v>
      </c>
      <c r="L21" s="257">
        <v>41745368.600000001</v>
      </c>
      <c r="M21" s="257">
        <v>63765825.25</v>
      </c>
      <c r="N21" s="257">
        <v>33139147.280000001</v>
      </c>
    </row>
    <row r="22" spans="1:14" s="143" customFormat="1" x14ac:dyDescent="0.25">
      <c r="A22" s="143" t="s">
        <v>70</v>
      </c>
      <c r="B22" s="143" t="s">
        <v>108</v>
      </c>
      <c r="C22" s="143" t="s">
        <v>109</v>
      </c>
      <c r="D22" s="143" t="s">
        <v>69</v>
      </c>
      <c r="E22" s="257">
        <v>125765446</v>
      </c>
      <c r="F22" s="257">
        <v>125765446</v>
      </c>
      <c r="G22" s="257">
        <v>95138768.030000001</v>
      </c>
      <c r="H22" s="257">
        <v>0</v>
      </c>
      <c r="I22" s="257">
        <v>20194826.149999999</v>
      </c>
      <c r="J22" s="257">
        <v>30000</v>
      </c>
      <c r="K22" s="257">
        <v>41774794.600000001</v>
      </c>
      <c r="L22" s="257">
        <v>41745368.600000001</v>
      </c>
      <c r="M22" s="257">
        <v>63765825.25</v>
      </c>
      <c r="N22" s="257">
        <v>33139147.280000001</v>
      </c>
    </row>
    <row r="23" spans="1:14" s="143" customFormat="1" x14ac:dyDescent="0.25">
      <c r="A23" s="143" t="s">
        <v>70</v>
      </c>
      <c r="B23" s="143" t="s">
        <v>110</v>
      </c>
      <c r="C23" s="143" t="s">
        <v>111</v>
      </c>
      <c r="D23" s="143" t="s">
        <v>69</v>
      </c>
      <c r="E23" s="257">
        <v>80000</v>
      </c>
      <c r="F23" s="257">
        <v>80000</v>
      </c>
      <c r="G23" s="257">
        <v>80000</v>
      </c>
      <c r="H23" s="257">
        <v>0</v>
      </c>
      <c r="I23" s="257">
        <v>80000</v>
      </c>
      <c r="J23" s="257">
        <v>0</v>
      </c>
      <c r="K23" s="257">
        <v>0</v>
      </c>
      <c r="L23" s="257">
        <v>0</v>
      </c>
      <c r="M23" s="257">
        <v>0</v>
      </c>
      <c r="N23" s="257">
        <v>0</v>
      </c>
    </row>
    <row r="24" spans="1:14" s="143" customFormat="1" x14ac:dyDescent="0.25">
      <c r="A24" s="143" t="s">
        <v>70</v>
      </c>
      <c r="B24" s="143" t="s">
        <v>112</v>
      </c>
      <c r="C24" s="143" t="s">
        <v>113</v>
      </c>
      <c r="D24" s="143" t="s">
        <v>69</v>
      </c>
      <c r="E24" s="257">
        <v>131428353</v>
      </c>
      <c r="F24" s="257">
        <v>131428353</v>
      </c>
      <c r="G24" s="257">
        <v>75351429</v>
      </c>
      <c r="H24" s="257">
        <v>0</v>
      </c>
      <c r="I24" s="257">
        <v>13094333.859999999</v>
      </c>
      <c r="J24" s="257">
        <v>0</v>
      </c>
      <c r="K24" s="257">
        <v>41415665.939999998</v>
      </c>
      <c r="L24" s="257">
        <v>37405455.939999998</v>
      </c>
      <c r="M24" s="257">
        <v>76918353.200000003</v>
      </c>
      <c r="N24" s="257">
        <v>20841429.199999999</v>
      </c>
    </row>
    <row r="25" spans="1:14" s="143" customFormat="1" x14ac:dyDescent="0.25">
      <c r="A25" s="143" t="s">
        <v>70</v>
      </c>
      <c r="B25" s="143" t="s">
        <v>114</v>
      </c>
      <c r="C25" s="143" t="s">
        <v>115</v>
      </c>
      <c r="D25" s="143" t="s">
        <v>69</v>
      </c>
      <c r="E25" s="257">
        <v>4971429</v>
      </c>
      <c r="F25" s="257">
        <v>8971429</v>
      </c>
      <c r="G25" s="257">
        <v>4971429</v>
      </c>
      <c r="H25" s="257">
        <v>0</v>
      </c>
      <c r="I25" s="257">
        <v>9639</v>
      </c>
      <c r="J25" s="257">
        <v>0</v>
      </c>
      <c r="K25" s="257">
        <v>2390361</v>
      </c>
      <c r="L25" s="257">
        <v>2390361</v>
      </c>
      <c r="M25" s="257">
        <v>6571429</v>
      </c>
      <c r="N25" s="257">
        <v>2571429</v>
      </c>
    </row>
    <row r="26" spans="1:14" s="143" customFormat="1" x14ac:dyDescent="0.25">
      <c r="A26" s="143" t="s">
        <v>70</v>
      </c>
      <c r="B26" s="143" t="s">
        <v>116</v>
      </c>
      <c r="C26" s="143" t="s">
        <v>117</v>
      </c>
      <c r="D26" s="143" t="s">
        <v>69</v>
      </c>
      <c r="E26" s="257">
        <v>56000000</v>
      </c>
      <c r="F26" s="257">
        <v>56000000</v>
      </c>
      <c r="G26" s="257">
        <v>40000000</v>
      </c>
      <c r="H26" s="257">
        <v>0</v>
      </c>
      <c r="I26" s="257">
        <v>4001250</v>
      </c>
      <c r="J26" s="257">
        <v>0</v>
      </c>
      <c r="K26" s="257">
        <v>22998750</v>
      </c>
      <c r="L26" s="257">
        <v>18988540</v>
      </c>
      <c r="M26" s="257">
        <v>29000000</v>
      </c>
      <c r="N26" s="257">
        <v>13000000</v>
      </c>
    </row>
    <row r="27" spans="1:14" s="143" customFormat="1" x14ac:dyDescent="0.25">
      <c r="A27" s="143" t="s">
        <v>70</v>
      </c>
      <c r="B27" s="143" t="s">
        <v>118</v>
      </c>
      <c r="C27" s="143" t="s">
        <v>119</v>
      </c>
      <c r="D27" s="143" t="s">
        <v>69</v>
      </c>
      <c r="E27" s="257">
        <v>20000</v>
      </c>
      <c r="F27" s="257">
        <v>20000</v>
      </c>
      <c r="G27" s="257">
        <v>20000</v>
      </c>
      <c r="H27" s="257">
        <v>0</v>
      </c>
      <c r="I27" s="257">
        <v>3600</v>
      </c>
      <c r="J27" s="257">
        <v>0</v>
      </c>
      <c r="K27" s="257">
        <v>16400</v>
      </c>
      <c r="L27" s="257">
        <v>16400</v>
      </c>
      <c r="M27" s="257">
        <v>0</v>
      </c>
      <c r="N27" s="257">
        <v>0</v>
      </c>
    </row>
    <row r="28" spans="1:14" s="143" customFormat="1" x14ac:dyDescent="0.25">
      <c r="A28" s="143" t="s">
        <v>70</v>
      </c>
      <c r="B28" s="143" t="s">
        <v>120</v>
      </c>
      <c r="C28" s="143" t="s">
        <v>121</v>
      </c>
      <c r="D28" s="143" t="s">
        <v>69</v>
      </c>
      <c r="E28" s="257">
        <v>70076924</v>
      </c>
      <c r="F28" s="257">
        <v>66076924</v>
      </c>
      <c r="G28" s="257">
        <v>30000000</v>
      </c>
      <c r="H28" s="257">
        <v>0</v>
      </c>
      <c r="I28" s="257">
        <v>9017644.8599999994</v>
      </c>
      <c r="J28" s="257">
        <v>0</v>
      </c>
      <c r="K28" s="257">
        <v>15982354.939999999</v>
      </c>
      <c r="L28" s="257">
        <v>15982354.939999999</v>
      </c>
      <c r="M28" s="257">
        <v>41076924.200000003</v>
      </c>
      <c r="N28" s="257">
        <v>5000000.2</v>
      </c>
    </row>
    <row r="29" spans="1:14" s="143" customFormat="1" x14ac:dyDescent="0.25">
      <c r="A29" s="143" t="s">
        <v>70</v>
      </c>
      <c r="B29" s="143" t="s">
        <v>122</v>
      </c>
      <c r="C29" s="143" t="s">
        <v>123</v>
      </c>
      <c r="D29" s="143" t="s">
        <v>69</v>
      </c>
      <c r="E29" s="257">
        <v>360000</v>
      </c>
      <c r="F29" s="257">
        <v>360000</v>
      </c>
      <c r="G29" s="257">
        <v>360000</v>
      </c>
      <c r="H29" s="257">
        <v>0</v>
      </c>
      <c r="I29" s="257">
        <v>62200</v>
      </c>
      <c r="J29" s="257">
        <v>0</v>
      </c>
      <c r="K29" s="257">
        <v>27800</v>
      </c>
      <c r="L29" s="257">
        <v>27800</v>
      </c>
      <c r="M29" s="257">
        <v>270000</v>
      </c>
      <c r="N29" s="257">
        <v>270000</v>
      </c>
    </row>
    <row r="30" spans="1:14" s="143" customFormat="1" x14ac:dyDescent="0.25">
      <c r="A30" s="143" t="s">
        <v>70</v>
      </c>
      <c r="B30" s="143" t="s">
        <v>124</v>
      </c>
      <c r="C30" s="143" t="s">
        <v>125</v>
      </c>
      <c r="D30" s="143" t="s">
        <v>69</v>
      </c>
      <c r="E30" s="257">
        <v>8700000</v>
      </c>
      <c r="F30" s="257">
        <v>9250000</v>
      </c>
      <c r="G30" s="257">
        <v>9250000</v>
      </c>
      <c r="H30" s="257">
        <v>0</v>
      </c>
      <c r="I30" s="257">
        <v>6874940.2599999998</v>
      </c>
      <c r="J30" s="257">
        <v>0</v>
      </c>
      <c r="K30" s="257">
        <v>544320</v>
      </c>
      <c r="L30" s="257">
        <v>544320</v>
      </c>
      <c r="M30" s="257">
        <v>1830739.74</v>
      </c>
      <c r="N30" s="257">
        <v>1830739.74</v>
      </c>
    </row>
    <row r="31" spans="1:14" s="143" customFormat="1" x14ac:dyDescent="0.25">
      <c r="A31" s="143" t="s">
        <v>70</v>
      </c>
      <c r="B31" s="143" t="s">
        <v>126</v>
      </c>
      <c r="C31" s="143" t="s">
        <v>127</v>
      </c>
      <c r="D31" s="143" t="s">
        <v>69</v>
      </c>
      <c r="E31" s="257">
        <v>7000000</v>
      </c>
      <c r="F31" s="257">
        <v>7000000</v>
      </c>
      <c r="G31" s="257">
        <v>7000000</v>
      </c>
      <c r="H31" s="257">
        <v>0</v>
      </c>
      <c r="I31" s="257">
        <v>6824940.2599999998</v>
      </c>
      <c r="J31" s="257">
        <v>0</v>
      </c>
      <c r="K31" s="257">
        <v>169320</v>
      </c>
      <c r="L31" s="257">
        <v>169320</v>
      </c>
      <c r="M31" s="257">
        <v>5739.74</v>
      </c>
      <c r="N31" s="257">
        <v>5739.74</v>
      </c>
    </row>
    <row r="32" spans="1:14" s="143" customFormat="1" x14ac:dyDescent="0.25">
      <c r="A32" s="143" t="s">
        <v>70</v>
      </c>
      <c r="B32" s="143" t="s">
        <v>128</v>
      </c>
      <c r="C32" s="143" t="s">
        <v>129</v>
      </c>
      <c r="D32" s="143" t="s">
        <v>69</v>
      </c>
      <c r="E32" s="257">
        <v>1650000</v>
      </c>
      <c r="F32" s="257">
        <v>1650000</v>
      </c>
      <c r="G32" s="257">
        <v>1650000</v>
      </c>
      <c r="H32" s="257">
        <v>0</v>
      </c>
      <c r="I32" s="257">
        <v>0</v>
      </c>
      <c r="J32" s="257">
        <v>0</v>
      </c>
      <c r="K32" s="257">
        <v>375000</v>
      </c>
      <c r="L32" s="257">
        <v>375000</v>
      </c>
      <c r="M32" s="257">
        <v>1275000</v>
      </c>
      <c r="N32" s="257">
        <v>1275000</v>
      </c>
    </row>
    <row r="33" spans="1:14" s="143" customFormat="1" x14ac:dyDescent="0.25">
      <c r="A33" s="143" t="s">
        <v>70</v>
      </c>
      <c r="B33" s="143" t="s">
        <v>130</v>
      </c>
      <c r="C33" s="143" t="s">
        <v>131</v>
      </c>
      <c r="D33" s="143" t="s">
        <v>69</v>
      </c>
      <c r="E33" s="257">
        <v>50000</v>
      </c>
      <c r="F33" s="257">
        <v>50000</v>
      </c>
      <c r="G33" s="257">
        <v>50000</v>
      </c>
      <c r="H33" s="257">
        <v>0</v>
      </c>
      <c r="I33" s="257">
        <v>50000</v>
      </c>
      <c r="J33" s="257">
        <v>0</v>
      </c>
      <c r="K33" s="257">
        <v>0</v>
      </c>
      <c r="L33" s="257">
        <v>0</v>
      </c>
      <c r="M33" s="257">
        <v>0</v>
      </c>
      <c r="N33" s="257">
        <v>0</v>
      </c>
    </row>
    <row r="34" spans="1:14" s="143" customFormat="1" x14ac:dyDescent="0.25">
      <c r="A34" s="143" t="s">
        <v>70</v>
      </c>
      <c r="B34" s="143" t="s">
        <v>132</v>
      </c>
      <c r="C34" s="143" t="s">
        <v>133</v>
      </c>
      <c r="D34" s="143" t="s">
        <v>69</v>
      </c>
      <c r="E34" s="257">
        <v>0</v>
      </c>
      <c r="F34" s="257">
        <v>550000</v>
      </c>
      <c r="G34" s="257">
        <v>550000</v>
      </c>
      <c r="H34" s="257">
        <v>0</v>
      </c>
      <c r="I34" s="257">
        <v>0</v>
      </c>
      <c r="J34" s="257">
        <v>0</v>
      </c>
      <c r="K34" s="257">
        <v>0</v>
      </c>
      <c r="L34" s="257">
        <v>0</v>
      </c>
      <c r="M34" s="257">
        <v>550000</v>
      </c>
      <c r="N34" s="257">
        <v>550000</v>
      </c>
    </row>
    <row r="35" spans="1:14" s="143" customFormat="1" x14ac:dyDescent="0.25">
      <c r="A35" s="143" t="s">
        <v>70</v>
      </c>
      <c r="B35" s="143" t="s">
        <v>134</v>
      </c>
      <c r="C35" s="143" t="s">
        <v>135</v>
      </c>
      <c r="D35" s="143" t="s">
        <v>69</v>
      </c>
      <c r="E35" s="257">
        <v>5851429</v>
      </c>
      <c r="F35" s="257">
        <v>5851429</v>
      </c>
      <c r="G35" s="257">
        <v>3631429</v>
      </c>
      <c r="H35" s="257">
        <v>0</v>
      </c>
      <c r="I35" s="257">
        <v>683088</v>
      </c>
      <c r="J35" s="257">
        <v>282009</v>
      </c>
      <c r="K35" s="257">
        <v>336989</v>
      </c>
      <c r="L35" s="257">
        <v>336989</v>
      </c>
      <c r="M35" s="257">
        <v>4549343</v>
      </c>
      <c r="N35" s="257">
        <v>2329343</v>
      </c>
    </row>
    <row r="36" spans="1:14" s="143" customFormat="1" x14ac:dyDescent="0.25">
      <c r="A36" s="143" t="s">
        <v>70</v>
      </c>
      <c r="B36" s="143" t="s">
        <v>136</v>
      </c>
      <c r="C36" s="143" t="s">
        <v>137</v>
      </c>
      <c r="D36" s="143" t="s">
        <v>69</v>
      </c>
      <c r="E36" s="257">
        <v>3080000</v>
      </c>
      <c r="F36" s="257">
        <v>3080000</v>
      </c>
      <c r="G36" s="257">
        <v>860000</v>
      </c>
      <c r="H36" s="257">
        <v>0</v>
      </c>
      <c r="I36" s="257">
        <v>0</v>
      </c>
      <c r="J36" s="257">
        <v>0</v>
      </c>
      <c r="K36" s="257">
        <v>0</v>
      </c>
      <c r="L36" s="257">
        <v>0</v>
      </c>
      <c r="M36" s="257">
        <v>3080000</v>
      </c>
      <c r="N36" s="257">
        <v>860000</v>
      </c>
    </row>
    <row r="37" spans="1:14" s="143" customFormat="1" x14ac:dyDescent="0.25">
      <c r="A37" s="143" t="s">
        <v>70</v>
      </c>
      <c r="B37" s="143" t="s">
        <v>138</v>
      </c>
      <c r="C37" s="143" t="s">
        <v>139</v>
      </c>
      <c r="D37" s="143" t="s">
        <v>69</v>
      </c>
      <c r="E37" s="257">
        <v>2771429</v>
      </c>
      <c r="F37" s="257">
        <v>2771429</v>
      </c>
      <c r="G37" s="257">
        <v>2771429</v>
      </c>
      <c r="H37" s="257">
        <v>0</v>
      </c>
      <c r="I37" s="257">
        <v>683088</v>
      </c>
      <c r="J37" s="257">
        <v>282009</v>
      </c>
      <c r="K37" s="257">
        <v>336989</v>
      </c>
      <c r="L37" s="257">
        <v>336989</v>
      </c>
      <c r="M37" s="257">
        <v>1469343</v>
      </c>
      <c r="N37" s="257">
        <v>1469343</v>
      </c>
    </row>
    <row r="38" spans="1:14" s="143" customFormat="1" x14ac:dyDescent="0.25">
      <c r="A38" s="143" t="s">
        <v>70</v>
      </c>
      <c r="B38" s="143" t="s">
        <v>140</v>
      </c>
      <c r="C38" s="143" t="s">
        <v>141</v>
      </c>
      <c r="D38" s="143" t="s">
        <v>69</v>
      </c>
      <c r="E38" s="257">
        <v>17774865</v>
      </c>
      <c r="F38" s="257">
        <v>17774865</v>
      </c>
      <c r="G38" s="257">
        <v>17774865</v>
      </c>
      <c r="H38" s="257">
        <v>314650</v>
      </c>
      <c r="I38" s="257">
        <v>2915567.05</v>
      </c>
      <c r="J38" s="257">
        <v>0</v>
      </c>
      <c r="K38" s="257">
        <v>4880886.83</v>
      </c>
      <c r="L38" s="257">
        <v>4835886.83</v>
      </c>
      <c r="M38" s="257">
        <v>9663761.1199999992</v>
      </c>
      <c r="N38" s="257">
        <v>9663761.1199999992</v>
      </c>
    </row>
    <row r="39" spans="1:14" s="143" customFormat="1" x14ac:dyDescent="0.25">
      <c r="A39" s="143" t="s">
        <v>70</v>
      </c>
      <c r="B39" s="143" t="s">
        <v>142</v>
      </c>
      <c r="C39" s="143" t="s">
        <v>143</v>
      </c>
      <c r="D39" s="143" t="s">
        <v>69</v>
      </c>
      <c r="E39" s="257">
        <v>100000</v>
      </c>
      <c r="F39" s="257">
        <v>100000</v>
      </c>
      <c r="G39" s="257">
        <v>100000</v>
      </c>
      <c r="H39" s="257">
        <v>0</v>
      </c>
      <c r="I39" s="257">
        <v>0</v>
      </c>
      <c r="J39" s="257">
        <v>0</v>
      </c>
      <c r="K39" s="257">
        <v>0</v>
      </c>
      <c r="L39" s="257">
        <v>0</v>
      </c>
      <c r="M39" s="257">
        <v>100000</v>
      </c>
      <c r="N39" s="257">
        <v>100000</v>
      </c>
    </row>
    <row r="40" spans="1:14" s="143" customFormat="1" x14ac:dyDescent="0.25">
      <c r="A40" s="143" t="s">
        <v>70</v>
      </c>
      <c r="B40" s="143" t="s">
        <v>144</v>
      </c>
      <c r="C40" s="143" t="s">
        <v>145</v>
      </c>
      <c r="D40" s="143" t="s">
        <v>69</v>
      </c>
      <c r="E40" s="257">
        <v>6685715</v>
      </c>
      <c r="F40" s="257">
        <v>6685715</v>
      </c>
      <c r="G40" s="257">
        <v>6685715</v>
      </c>
      <c r="H40" s="257">
        <v>314650</v>
      </c>
      <c r="I40" s="257">
        <v>563300</v>
      </c>
      <c r="J40" s="257">
        <v>0</v>
      </c>
      <c r="K40" s="257">
        <v>3129400</v>
      </c>
      <c r="L40" s="257">
        <v>3084400</v>
      </c>
      <c r="M40" s="257">
        <v>2678365</v>
      </c>
      <c r="N40" s="257">
        <v>2678365</v>
      </c>
    </row>
    <row r="41" spans="1:14" s="143" customFormat="1" x14ac:dyDescent="0.25">
      <c r="A41" s="143" t="s">
        <v>70</v>
      </c>
      <c r="B41" s="143" t="s">
        <v>146</v>
      </c>
      <c r="C41" s="143" t="s">
        <v>147</v>
      </c>
      <c r="D41" s="143" t="s">
        <v>69</v>
      </c>
      <c r="E41" s="257">
        <v>5170968</v>
      </c>
      <c r="F41" s="257">
        <v>5170968</v>
      </c>
      <c r="G41" s="257">
        <v>5170968</v>
      </c>
      <c r="H41" s="257">
        <v>0</v>
      </c>
      <c r="I41" s="257">
        <v>1104771.8</v>
      </c>
      <c r="J41" s="257">
        <v>0</v>
      </c>
      <c r="K41" s="257">
        <v>998982.08</v>
      </c>
      <c r="L41" s="257">
        <v>998982.08</v>
      </c>
      <c r="M41" s="257">
        <v>3067214.12</v>
      </c>
      <c r="N41" s="257">
        <v>3067214.12</v>
      </c>
    </row>
    <row r="42" spans="1:14" s="143" customFormat="1" x14ac:dyDescent="0.25">
      <c r="A42" s="143" t="s">
        <v>70</v>
      </c>
      <c r="B42" s="143" t="s">
        <v>148</v>
      </c>
      <c r="C42" s="143" t="s">
        <v>149</v>
      </c>
      <c r="D42" s="143" t="s">
        <v>69</v>
      </c>
      <c r="E42" s="257">
        <v>5818182</v>
      </c>
      <c r="F42" s="257">
        <v>5818182</v>
      </c>
      <c r="G42" s="257">
        <v>5818182</v>
      </c>
      <c r="H42" s="257">
        <v>0</v>
      </c>
      <c r="I42" s="257">
        <v>1247495.25</v>
      </c>
      <c r="J42" s="257">
        <v>0</v>
      </c>
      <c r="K42" s="257">
        <v>752504.75</v>
      </c>
      <c r="L42" s="257">
        <v>752504.75</v>
      </c>
      <c r="M42" s="257">
        <v>3818182</v>
      </c>
      <c r="N42" s="257">
        <v>3818182</v>
      </c>
    </row>
    <row r="43" spans="1:14" s="143" customFormat="1" x14ac:dyDescent="0.25">
      <c r="A43" s="143" t="s">
        <v>70</v>
      </c>
      <c r="B43" s="143" t="s">
        <v>150</v>
      </c>
      <c r="C43" s="143" t="s">
        <v>151</v>
      </c>
      <c r="D43" s="143" t="s">
        <v>69</v>
      </c>
      <c r="E43" s="257">
        <v>32290000</v>
      </c>
      <c r="F43" s="257">
        <v>32290000</v>
      </c>
      <c r="G43" s="257">
        <v>22599092.969999999</v>
      </c>
      <c r="H43" s="257">
        <v>0</v>
      </c>
      <c r="I43" s="257">
        <v>612040</v>
      </c>
      <c r="J43" s="257">
        <v>0</v>
      </c>
      <c r="K43" s="257">
        <v>2990873</v>
      </c>
      <c r="L43" s="257">
        <v>2990873</v>
      </c>
      <c r="M43" s="257">
        <v>28687087</v>
      </c>
      <c r="N43" s="257">
        <v>18996179.969999999</v>
      </c>
    </row>
    <row r="44" spans="1:14" s="143" customFormat="1" x14ac:dyDescent="0.25">
      <c r="A44" s="143" t="s">
        <v>70</v>
      </c>
      <c r="B44" s="143" t="s">
        <v>152</v>
      </c>
      <c r="C44" s="143" t="s">
        <v>153</v>
      </c>
      <c r="D44" s="143" t="s">
        <v>69</v>
      </c>
      <c r="E44" s="257">
        <v>32290000</v>
      </c>
      <c r="F44" s="257">
        <v>32290000</v>
      </c>
      <c r="G44" s="257">
        <v>22599092.969999999</v>
      </c>
      <c r="H44" s="257">
        <v>0</v>
      </c>
      <c r="I44" s="257">
        <v>612040</v>
      </c>
      <c r="J44" s="257">
        <v>0</v>
      </c>
      <c r="K44" s="257">
        <v>2990873</v>
      </c>
      <c r="L44" s="257">
        <v>2990873</v>
      </c>
      <c r="M44" s="257">
        <v>28687087</v>
      </c>
      <c r="N44" s="257">
        <v>18996179.969999999</v>
      </c>
    </row>
    <row r="45" spans="1:14" s="143" customFormat="1" x14ac:dyDescent="0.25">
      <c r="A45" s="143" t="s">
        <v>70</v>
      </c>
      <c r="B45" s="143" t="s">
        <v>154</v>
      </c>
      <c r="C45" s="143" t="s">
        <v>155</v>
      </c>
      <c r="D45" s="143" t="s">
        <v>69</v>
      </c>
      <c r="E45" s="257">
        <v>2150000</v>
      </c>
      <c r="F45" s="257">
        <v>1031135</v>
      </c>
      <c r="G45" s="257">
        <v>600000</v>
      </c>
      <c r="H45" s="257">
        <v>0</v>
      </c>
      <c r="I45" s="257">
        <v>500000</v>
      </c>
      <c r="J45" s="257">
        <v>0</v>
      </c>
      <c r="K45" s="257">
        <v>0</v>
      </c>
      <c r="L45" s="257">
        <v>0</v>
      </c>
      <c r="M45" s="257">
        <v>531135</v>
      </c>
      <c r="N45" s="257">
        <v>100000</v>
      </c>
    </row>
    <row r="46" spans="1:14" s="143" customFormat="1" x14ac:dyDescent="0.25">
      <c r="A46" s="143" t="s">
        <v>70</v>
      </c>
      <c r="B46" s="143" t="s">
        <v>156</v>
      </c>
      <c r="C46" s="143" t="s">
        <v>157</v>
      </c>
      <c r="D46" s="143" t="s">
        <v>69</v>
      </c>
      <c r="E46" s="257">
        <v>0</v>
      </c>
      <c r="F46" s="257">
        <v>0</v>
      </c>
      <c r="G46" s="257">
        <v>0</v>
      </c>
      <c r="H46" s="257">
        <v>0</v>
      </c>
      <c r="I46" s="257">
        <v>0</v>
      </c>
      <c r="J46" s="257">
        <v>0</v>
      </c>
      <c r="K46" s="257">
        <v>0</v>
      </c>
      <c r="L46" s="257">
        <v>0</v>
      </c>
      <c r="M46" s="257">
        <v>0</v>
      </c>
      <c r="N46" s="257">
        <v>0</v>
      </c>
    </row>
    <row r="47" spans="1:14" s="143" customFormat="1" x14ac:dyDescent="0.25">
      <c r="A47" s="143" t="s">
        <v>70</v>
      </c>
      <c r="B47" s="143" t="s">
        <v>158</v>
      </c>
      <c r="C47" s="143" t="s">
        <v>159</v>
      </c>
      <c r="D47" s="143" t="s">
        <v>69</v>
      </c>
      <c r="E47" s="257">
        <v>1550000</v>
      </c>
      <c r="F47" s="257">
        <v>431135</v>
      </c>
      <c r="G47" s="257">
        <v>0</v>
      </c>
      <c r="H47" s="257">
        <v>0</v>
      </c>
      <c r="I47" s="257">
        <v>0</v>
      </c>
      <c r="J47" s="257">
        <v>0</v>
      </c>
      <c r="K47" s="257">
        <v>0</v>
      </c>
      <c r="L47" s="257">
        <v>0</v>
      </c>
      <c r="M47" s="257">
        <v>431135</v>
      </c>
      <c r="N47" s="257">
        <v>0</v>
      </c>
    </row>
    <row r="48" spans="1:14" s="143" customFormat="1" x14ac:dyDescent="0.25">
      <c r="A48" s="143" t="s">
        <v>70</v>
      </c>
      <c r="B48" s="143" t="s">
        <v>160</v>
      </c>
      <c r="C48" s="143" t="s">
        <v>161</v>
      </c>
      <c r="D48" s="143" t="s">
        <v>69</v>
      </c>
      <c r="E48" s="257">
        <v>600000</v>
      </c>
      <c r="F48" s="257">
        <v>600000</v>
      </c>
      <c r="G48" s="257">
        <v>600000</v>
      </c>
      <c r="H48" s="257">
        <v>0</v>
      </c>
      <c r="I48" s="257">
        <v>500000</v>
      </c>
      <c r="J48" s="257">
        <v>0</v>
      </c>
      <c r="K48" s="257">
        <v>0</v>
      </c>
      <c r="L48" s="257">
        <v>0</v>
      </c>
      <c r="M48" s="257">
        <v>100000</v>
      </c>
      <c r="N48" s="257">
        <v>100000</v>
      </c>
    </row>
    <row r="49" spans="1:14" s="143" customFormat="1" x14ac:dyDescent="0.25">
      <c r="A49" s="143" t="s">
        <v>70</v>
      </c>
      <c r="B49" s="143" t="s">
        <v>162</v>
      </c>
      <c r="C49" s="143" t="s">
        <v>163</v>
      </c>
      <c r="D49" s="143" t="s">
        <v>69</v>
      </c>
      <c r="E49" s="257">
        <v>17019667</v>
      </c>
      <c r="F49" s="257">
        <v>17019667</v>
      </c>
      <c r="G49" s="257">
        <v>17019667</v>
      </c>
      <c r="H49" s="257">
        <v>0</v>
      </c>
      <c r="I49" s="257">
        <v>1655388.8</v>
      </c>
      <c r="J49" s="257">
        <v>972000</v>
      </c>
      <c r="K49" s="257">
        <v>268201</v>
      </c>
      <c r="L49" s="257">
        <v>268201</v>
      </c>
      <c r="M49" s="257">
        <v>14124077.199999999</v>
      </c>
      <c r="N49" s="257">
        <v>14124077.199999999</v>
      </c>
    </row>
    <row r="50" spans="1:14" s="143" customFormat="1" x14ac:dyDescent="0.25">
      <c r="A50" s="143" t="s">
        <v>70</v>
      </c>
      <c r="B50" s="143" t="s">
        <v>164</v>
      </c>
      <c r="C50" s="143" t="s">
        <v>165</v>
      </c>
      <c r="D50" s="143" t="s">
        <v>69</v>
      </c>
      <c r="E50" s="257">
        <v>300000</v>
      </c>
      <c r="F50" s="257">
        <v>300000</v>
      </c>
      <c r="G50" s="257">
        <v>300000</v>
      </c>
      <c r="H50" s="257">
        <v>0</v>
      </c>
      <c r="I50" s="257">
        <v>0</v>
      </c>
      <c r="J50" s="257">
        <v>0</v>
      </c>
      <c r="K50" s="257">
        <v>0</v>
      </c>
      <c r="L50" s="257">
        <v>0</v>
      </c>
      <c r="M50" s="257">
        <v>300000</v>
      </c>
      <c r="N50" s="257">
        <v>300000</v>
      </c>
    </row>
    <row r="51" spans="1:14" s="143" customFormat="1" x14ac:dyDescent="0.25">
      <c r="A51" s="143" t="s">
        <v>70</v>
      </c>
      <c r="B51" s="143" t="s">
        <v>166</v>
      </c>
      <c r="C51" s="143" t="s">
        <v>167</v>
      </c>
      <c r="D51" s="143" t="s">
        <v>69</v>
      </c>
      <c r="E51" s="257">
        <v>9066667</v>
      </c>
      <c r="F51" s="257">
        <v>9066667</v>
      </c>
      <c r="G51" s="257">
        <v>9066667</v>
      </c>
      <c r="H51" s="257">
        <v>0</v>
      </c>
      <c r="I51" s="257">
        <v>0</v>
      </c>
      <c r="J51" s="257">
        <v>0</v>
      </c>
      <c r="K51" s="257">
        <v>98201</v>
      </c>
      <c r="L51" s="257">
        <v>98201</v>
      </c>
      <c r="M51" s="257">
        <v>8968466</v>
      </c>
      <c r="N51" s="257">
        <v>8968466</v>
      </c>
    </row>
    <row r="52" spans="1:14" s="143" customFormat="1" x14ac:dyDescent="0.25">
      <c r="A52" s="143" t="s">
        <v>70</v>
      </c>
      <c r="B52" s="143" t="s">
        <v>168</v>
      </c>
      <c r="C52" s="143" t="s">
        <v>169</v>
      </c>
      <c r="D52" s="143" t="s">
        <v>69</v>
      </c>
      <c r="E52" s="257">
        <v>2900000</v>
      </c>
      <c r="F52" s="257">
        <v>2900000</v>
      </c>
      <c r="G52" s="257">
        <v>2900000</v>
      </c>
      <c r="H52" s="257">
        <v>0</v>
      </c>
      <c r="I52" s="257">
        <v>327600</v>
      </c>
      <c r="J52" s="257">
        <v>972000</v>
      </c>
      <c r="K52" s="257">
        <v>170000</v>
      </c>
      <c r="L52" s="257">
        <v>170000</v>
      </c>
      <c r="M52" s="257">
        <v>1430400</v>
      </c>
      <c r="N52" s="257">
        <v>1430400</v>
      </c>
    </row>
    <row r="53" spans="1:14" s="143" customFormat="1" x14ac:dyDescent="0.25">
      <c r="A53" s="143" t="s">
        <v>70</v>
      </c>
      <c r="B53" s="143" t="s">
        <v>170</v>
      </c>
      <c r="C53" s="143" t="s">
        <v>171</v>
      </c>
      <c r="D53" s="143" t="s">
        <v>69</v>
      </c>
      <c r="E53" s="257">
        <v>393000</v>
      </c>
      <c r="F53" s="257">
        <v>393000</v>
      </c>
      <c r="G53" s="257">
        <v>393000</v>
      </c>
      <c r="H53" s="257">
        <v>0</v>
      </c>
      <c r="I53" s="257">
        <v>0</v>
      </c>
      <c r="J53" s="257">
        <v>0</v>
      </c>
      <c r="K53" s="257">
        <v>0</v>
      </c>
      <c r="L53" s="257">
        <v>0</v>
      </c>
      <c r="M53" s="257">
        <v>393000</v>
      </c>
      <c r="N53" s="257">
        <v>393000</v>
      </c>
    </row>
    <row r="54" spans="1:14" s="143" customFormat="1" x14ac:dyDescent="0.25">
      <c r="A54" s="143" t="s">
        <v>70</v>
      </c>
      <c r="B54" s="143" t="s">
        <v>172</v>
      </c>
      <c r="C54" s="143" t="s">
        <v>173</v>
      </c>
      <c r="D54" s="143" t="s">
        <v>69</v>
      </c>
      <c r="E54" s="257">
        <v>4360000</v>
      </c>
      <c r="F54" s="257">
        <v>4360000</v>
      </c>
      <c r="G54" s="257">
        <v>4360000</v>
      </c>
      <c r="H54" s="257">
        <v>0</v>
      </c>
      <c r="I54" s="257">
        <v>1327788.8</v>
      </c>
      <c r="J54" s="257">
        <v>0</v>
      </c>
      <c r="K54" s="257">
        <v>0</v>
      </c>
      <c r="L54" s="257">
        <v>0</v>
      </c>
      <c r="M54" s="257">
        <v>3032211.2</v>
      </c>
      <c r="N54" s="257">
        <v>3032211.2</v>
      </c>
    </row>
    <row r="55" spans="1:14" s="143" customFormat="1" x14ac:dyDescent="0.25">
      <c r="A55" s="143" t="s">
        <v>70</v>
      </c>
      <c r="B55" s="143" t="s">
        <v>174</v>
      </c>
      <c r="C55" s="143" t="s">
        <v>175</v>
      </c>
      <c r="D55" s="143" t="s">
        <v>69</v>
      </c>
      <c r="E55" s="257">
        <v>681819</v>
      </c>
      <c r="F55" s="257">
        <v>1250684</v>
      </c>
      <c r="G55" s="257">
        <v>1250684</v>
      </c>
      <c r="H55" s="257">
        <v>0</v>
      </c>
      <c r="I55" s="257">
        <v>681819</v>
      </c>
      <c r="J55" s="257">
        <v>0</v>
      </c>
      <c r="K55" s="257">
        <v>0</v>
      </c>
      <c r="L55" s="257">
        <v>0</v>
      </c>
      <c r="M55" s="257">
        <v>568865</v>
      </c>
      <c r="N55" s="257">
        <v>568865</v>
      </c>
    </row>
    <row r="56" spans="1:14" s="143" customFormat="1" x14ac:dyDescent="0.25">
      <c r="A56" s="143" t="s">
        <v>70</v>
      </c>
      <c r="B56" s="143" t="s">
        <v>176</v>
      </c>
      <c r="C56" s="143" t="s">
        <v>177</v>
      </c>
      <c r="D56" s="143" t="s">
        <v>69</v>
      </c>
      <c r="E56" s="257">
        <v>681819</v>
      </c>
      <c r="F56" s="257">
        <v>1250684</v>
      </c>
      <c r="G56" s="257">
        <v>1250684</v>
      </c>
      <c r="H56" s="257">
        <v>0</v>
      </c>
      <c r="I56" s="257">
        <v>681819</v>
      </c>
      <c r="J56" s="257">
        <v>0</v>
      </c>
      <c r="K56" s="257">
        <v>0</v>
      </c>
      <c r="L56" s="257">
        <v>0</v>
      </c>
      <c r="M56" s="257">
        <v>568865</v>
      </c>
      <c r="N56" s="257">
        <v>568865</v>
      </c>
    </row>
    <row r="57" spans="1:14" s="143" customFormat="1" x14ac:dyDescent="0.25">
      <c r="A57" s="143" t="s">
        <v>70</v>
      </c>
      <c r="B57" s="143" t="s">
        <v>178</v>
      </c>
      <c r="C57" s="143" t="s">
        <v>179</v>
      </c>
      <c r="D57" s="143" t="s">
        <v>69</v>
      </c>
      <c r="E57" s="257">
        <v>1000000</v>
      </c>
      <c r="F57" s="257">
        <v>1000000</v>
      </c>
      <c r="G57" s="257">
        <v>0</v>
      </c>
      <c r="H57" s="257">
        <v>0</v>
      </c>
      <c r="I57" s="257">
        <v>0</v>
      </c>
      <c r="J57" s="257">
        <v>0</v>
      </c>
      <c r="K57" s="257">
        <v>0</v>
      </c>
      <c r="L57" s="257">
        <v>0</v>
      </c>
      <c r="M57" s="257">
        <v>1000000</v>
      </c>
      <c r="N57" s="257">
        <v>0</v>
      </c>
    </row>
    <row r="58" spans="1:14" s="143" customFormat="1" x14ac:dyDescent="0.25">
      <c r="A58" s="143" t="s">
        <v>70</v>
      </c>
      <c r="B58" s="143" t="s">
        <v>182</v>
      </c>
      <c r="C58" s="143" t="s">
        <v>183</v>
      </c>
      <c r="D58" s="143" t="s">
        <v>69</v>
      </c>
      <c r="E58" s="257">
        <v>1000000</v>
      </c>
      <c r="F58" s="257">
        <v>1000000</v>
      </c>
      <c r="G58" s="257">
        <v>0</v>
      </c>
      <c r="H58" s="257">
        <v>0</v>
      </c>
      <c r="I58" s="257">
        <v>0</v>
      </c>
      <c r="J58" s="257">
        <v>0</v>
      </c>
      <c r="K58" s="257">
        <v>0</v>
      </c>
      <c r="L58" s="257">
        <v>0</v>
      </c>
      <c r="M58" s="257">
        <v>1000000</v>
      </c>
      <c r="N58" s="257">
        <v>0</v>
      </c>
    </row>
    <row r="59" spans="1:14" s="143" customFormat="1" x14ac:dyDescent="0.25">
      <c r="A59" s="143" t="s">
        <v>70</v>
      </c>
      <c r="B59" s="143" t="s">
        <v>184</v>
      </c>
      <c r="C59" s="143" t="s">
        <v>185</v>
      </c>
      <c r="D59" s="143" t="s">
        <v>69</v>
      </c>
      <c r="E59" s="257">
        <v>42229000</v>
      </c>
      <c r="F59" s="257">
        <v>42229000</v>
      </c>
      <c r="G59" s="257">
        <v>30129000</v>
      </c>
      <c r="H59" s="257">
        <v>1156440</v>
      </c>
      <c r="I59" s="257">
        <v>8210651.29</v>
      </c>
      <c r="J59" s="257">
        <v>1631868.79</v>
      </c>
      <c r="K59" s="257">
        <v>8874528.5500000007</v>
      </c>
      <c r="L59" s="257">
        <v>8130761.5499999998</v>
      </c>
      <c r="M59" s="257">
        <v>22355511.370000001</v>
      </c>
      <c r="N59" s="257">
        <v>10255511.369999999</v>
      </c>
    </row>
    <row r="60" spans="1:14" s="143" customFormat="1" x14ac:dyDescent="0.25">
      <c r="A60" s="143" t="s">
        <v>70</v>
      </c>
      <c r="B60" s="143" t="s">
        <v>186</v>
      </c>
      <c r="C60" s="143" t="s">
        <v>187</v>
      </c>
      <c r="D60" s="143" t="s">
        <v>69</v>
      </c>
      <c r="E60" s="257">
        <v>17137000</v>
      </c>
      <c r="F60" s="257">
        <v>17137000</v>
      </c>
      <c r="G60" s="257">
        <v>13037000</v>
      </c>
      <c r="H60" s="257">
        <v>0</v>
      </c>
      <c r="I60" s="257">
        <v>5554657</v>
      </c>
      <c r="J60" s="257">
        <v>0</v>
      </c>
      <c r="K60" s="257">
        <v>3313248</v>
      </c>
      <c r="L60" s="257">
        <v>3313248</v>
      </c>
      <c r="M60" s="257">
        <v>8269095</v>
      </c>
      <c r="N60" s="257">
        <v>4169095</v>
      </c>
    </row>
    <row r="61" spans="1:14" s="143" customFormat="1" x14ac:dyDescent="0.25">
      <c r="A61" s="143" t="s">
        <v>70</v>
      </c>
      <c r="B61" s="143" t="s">
        <v>188</v>
      </c>
      <c r="C61" s="143" t="s">
        <v>189</v>
      </c>
      <c r="D61" s="143" t="s">
        <v>69</v>
      </c>
      <c r="E61" s="257">
        <v>11100000</v>
      </c>
      <c r="F61" s="257">
        <v>11100000</v>
      </c>
      <c r="G61" s="257">
        <v>7000000</v>
      </c>
      <c r="H61" s="257">
        <v>0</v>
      </c>
      <c r="I61" s="257">
        <v>589532</v>
      </c>
      <c r="J61" s="257">
        <v>0</v>
      </c>
      <c r="K61" s="257">
        <v>3210468</v>
      </c>
      <c r="L61" s="257">
        <v>3210468</v>
      </c>
      <c r="M61" s="257">
        <v>7300000</v>
      </c>
      <c r="N61" s="257">
        <v>3200000</v>
      </c>
    </row>
    <row r="62" spans="1:14" s="143" customFormat="1" x14ac:dyDescent="0.25">
      <c r="A62" s="143" t="s">
        <v>70</v>
      </c>
      <c r="B62" s="143" t="s">
        <v>190</v>
      </c>
      <c r="C62" s="143" t="s">
        <v>191</v>
      </c>
      <c r="D62" s="143" t="s">
        <v>69</v>
      </c>
      <c r="E62" s="257">
        <v>5000000</v>
      </c>
      <c r="F62" s="257">
        <v>5000000</v>
      </c>
      <c r="G62" s="257">
        <v>5000000</v>
      </c>
      <c r="H62" s="257">
        <v>0</v>
      </c>
      <c r="I62" s="257">
        <v>4948905</v>
      </c>
      <c r="J62" s="257">
        <v>0</v>
      </c>
      <c r="K62" s="257">
        <v>0</v>
      </c>
      <c r="L62" s="257">
        <v>0</v>
      </c>
      <c r="M62" s="257">
        <v>51095</v>
      </c>
      <c r="N62" s="257">
        <v>51095</v>
      </c>
    </row>
    <row r="63" spans="1:14" s="143" customFormat="1" x14ac:dyDescent="0.25">
      <c r="A63" s="143" t="s">
        <v>70</v>
      </c>
      <c r="B63" s="143" t="s">
        <v>192</v>
      </c>
      <c r="C63" s="143" t="s">
        <v>193</v>
      </c>
      <c r="D63" s="143" t="s">
        <v>69</v>
      </c>
      <c r="E63" s="257">
        <v>126000</v>
      </c>
      <c r="F63" s="257">
        <v>126000</v>
      </c>
      <c r="G63" s="257">
        <v>126000</v>
      </c>
      <c r="H63" s="257">
        <v>0</v>
      </c>
      <c r="I63" s="257">
        <v>16220</v>
      </c>
      <c r="J63" s="257">
        <v>0</v>
      </c>
      <c r="K63" s="257">
        <v>102780</v>
      </c>
      <c r="L63" s="257">
        <v>102780</v>
      </c>
      <c r="M63" s="257">
        <v>7000</v>
      </c>
      <c r="N63" s="257">
        <v>7000</v>
      </c>
    </row>
    <row r="64" spans="1:14" s="143" customFormat="1" x14ac:dyDescent="0.25">
      <c r="A64" s="143" t="s">
        <v>70</v>
      </c>
      <c r="B64" s="143" t="s">
        <v>194</v>
      </c>
      <c r="C64" s="143" t="s">
        <v>195</v>
      </c>
      <c r="D64" s="143" t="s">
        <v>69</v>
      </c>
      <c r="E64" s="257">
        <v>911000</v>
      </c>
      <c r="F64" s="257">
        <v>911000</v>
      </c>
      <c r="G64" s="257">
        <v>911000</v>
      </c>
      <c r="H64" s="257">
        <v>0</v>
      </c>
      <c r="I64" s="257">
        <v>0</v>
      </c>
      <c r="J64" s="257">
        <v>0</v>
      </c>
      <c r="K64" s="257">
        <v>0</v>
      </c>
      <c r="L64" s="257">
        <v>0</v>
      </c>
      <c r="M64" s="257">
        <v>911000</v>
      </c>
      <c r="N64" s="257">
        <v>911000</v>
      </c>
    </row>
    <row r="65" spans="1:14" s="143" customFormat="1" x14ac:dyDescent="0.25">
      <c r="A65" s="143" t="s">
        <v>70</v>
      </c>
      <c r="B65" s="143" t="s">
        <v>196</v>
      </c>
      <c r="C65" s="143" t="s">
        <v>197</v>
      </c>
      <c r="D65" s="143" t="s">
        <v>69</v>
      </c>
      <c r="E65" s="257">
        <v>3000000</v>
      </c>
      <c r="F65" s="257">
        <v>3000000</v>
      </c>
      <c r="G65" s="257">
        <v>3000000</v>
      </c>
      <c r="H65" s="257">
        <v>0</v>
      </c>
      <c r="I65" s="257">
        <v>0</v>
      </c>
      <c r="J65" s="257">
        <v>0</v>
      </c>
      <c r="K65" s="257">
        <v>1373924</v>
      </c>
      <c r="L65" s="257">
        <v>673282</v>
      </c>
      <c r="M65" s="257">
        <v>1626076</v>
      </c>
      <c r="N65" s="257">
        <v>1626076</v>
      </c>
    </row>
    <row r="66" spans="1:14" s="143" customFormat="1" x14ac:dyDescent="0.25">
      <c r="A66" s="143" t="s">
        <v>70</v>
      </c>
      <c r="B66" s="143" t="s">
        <v>198</v>
      </c>
      <c r="C66" s="143" t="s">
        <v>199</v>
      </c>
      <c r="D66" s="143" t="s">
        <v>69</v>
      </c>
      <c r="E66" s="257">
        <v>3000000</v>
      </c>
      <c r="F66" s="257">
        <v>3000000</v>
      </c>
      <c r="G66" s="257">
        <v>3000000</v>
      </c>
      <c r="H66" s="257">
        <v>0</v>
      </c>
      <c r="I66" s="257">
        <v>0</v>
      </c>
      <c r="J66" s="257">
        <v>0</v>
      </c>
      <c r="K66" s="257">
        <v>1373924</v>
      </c>
      <c r="L66" s="257">
        <v>673282</v>
      </c>
      <c r="M66" s="257">
        <v>1626076</v>
      </c>
      <c r="N66" s="257">
        <v>1626076</v>
      </c>
    </row>
    <row r="67" spans="1:14" s="143" customFormat="1" x14ac:dyDescent="0.25">
      <c r="A67" s="143" t="s">
        <v>70</v>
      </c>
      <c r="B67" s="143" t="s">
        <v>200</v>
      </c>
      <c r="C67" s="143" t="s">
        <v>201</v>
      </c>
      <c r="D67" s="143" t="s">
        <v>69</v>
      </c>
      <c r="E67" s="257">
        <v>936000</v>
      </c>
      <c r="F67" s="257">
        <v>936000</v>
      </c>
      <c r="G67" s="257">
        <v>936000</v>
      </c>
      <c r="H67" s="257">
        <v>0</v>
      </c>
      <c r="I67" s="257">
        <v>0</v>
      </c>
      <c r="J67" s="257">
        <v>465100</v>
      </c>
      <c r="K67" s="257">
        <v>43125</v>
      </c>
      <c r="L67" s="257">
        <v>0</v>
      </c>
      <c r="M67" s="257">
        <v>427775</v>
      </c>
      <c r="N67" s="257">
        <v>427775</v>
      </c>
    </row>
    <row r="68" spans="1:14" s="143" customFormat="1" x14ac:dyDescent="0.25">
      <c r="A68" s="143" t="s">
        <v>70</v>
      </c>
      <c r="B68" s="143" t="s">
        <v>202</v>
      </c>
      <c r="C68" s="143" t="s">
        <v>203</v>
      </c>
      <c r="D68" s="143" t="s">
        <v>69</v>
      </c>
      <c r="E68" s="257">
        <v>771000</v>
      </c>
      <c r="F68" s="257">
        <v>771000</v>
      </c>
      <c r="G68" s="257">
        <v>771000</v>
      </c>
      <c r="H68" s="257">
        <v>0</v>
      </c>
      <c r="I68" s="257">
        <v>0</v>
      </c>
      <c r="J68" s="257">
        <v>465100</v>
      </c>
      <c r="K68" s="257">
        <v>43125</v>
      </c>
      <c r="L68" s="257">
        <v>0</v>
      </c>
      <c r="M68" s="257">
        <v>262775</v>
      </c>
      <c r="N68" s="257">
        <v>262775</v>
      </c>
    </row>
    <row r="69" spans="1:14" s="143" customFormat="1" x14ac:dyDescent="0.25">
      <c r="A69" s="143" t="s">
        <v>70</v>
      </c>
      <c r="B69" s="143" t="s">
        <v>204</v>
      </c>
      <c r="C69" s="143" t="s">
        <v>205</v>
      </c>
      <c r="D69" s="143" t="s">
        <v>69</v>
      </c>
      <c r="E69" s="257">
        <v>165000</v>
      </c>
      <c r="F69" s="257">
        <v>165000</v>
      </c>
      <c r="G69" s="257">
        <v>165000</v>
      </c>
      <c r="H69" s="257">
        <v>0</v>
      </c>
      <c r="I69" s="257">
        <v>0</v>
      </c>
      <c r="J69" s="257">
        <v>0</v>
      </c>
      <c r="K69" s="257">
        <v>0</v>
      </c>
      <c r="L69" s="257">
        <v>0</v>
      </c>
      <c r="M69" s="257">
        <v>165000</v>
      </c>
      <c r="N69" s="257">
        <v>165000</v>
      </c>
    </row>
    <row r="70" spans="1:14" s="143" customFormat="1" x14ac:dyDescent="0.25">
      <c r="A70" s="143" t="s">
        <v>70</v>
      </c>
      <c r="B70" s="143" t="s">
        <v>206</v>
      </c>
      <c r="C70" s="143" t="s">
        <v>207</v>
      </c>
      <c r="D70" s="143" t="s">
        <v>69</v>
      </c>
      <c r="E70" s="257">
        <v>312000</v>
      </c>
      <c r="F70" s="257">
        <v>312000</v>
      </c>
      <c r="G70" s="257">
        <v>312000</v>
      </c>
      <c r="H70" s="257">
        <v>0</v>
      </c>
      <c r="I70" s="257">
        <v>0</v>
      </c>
      <c r="J70" s="257">
        <v>0</v>
      </c>
      <c r="K70" s="257">
        <v>0</v>
      </c>
      <c r="L70" s="257">
        <v>0</v>
      </c>
      <c r="M70" s="257">
        <v>312000</v>
      </c>
      <c r="N70" s="257">
        <v>312000</v>
      </c>
    </row>
    <row r="71" spans="1:14" s="143" customFormat="1" x14ac:dyDescent="0.25">
      <c r="A71" s="143" t="s">
        <v>70</v>
      </c>
      <c r="B71" s="143" t="s">
        <v>208</v>
      </c>
      <c r="C71" s="143" t="s">
        <v>209</v>
      </c>
      <c r="D71" s="143" t="s">
        <v>69</v>
      </c>
      <c r="E71" s="257">
        <v>206000</v>
      </c>
      <c r="F71" s="257">
        <v>206000</v>
      </c>
      <c r="G71" s="257">
        <v>206000</v>
      </c>
      <c r="H71" s="257">
        <v>0</v>
      </c>
      <c r="I71" s="257">
        <v>0</v>
      </c>
      <c r="J71" s="257">
        <v>0</v>
      </c>
      <c r="K71" s="257">
        <v>0</v>
      </c>
      <c r="L71" s="257">
        <v>0</v>
      </c>
      <c r="M71" s="257">
        <v>206000</v>
      </c>
      <c r="N71" s="257">
        <v>206000</v>
      </c>
    </row>
    <row r="72" spans="1:14" s="143" customFormat="1" x14ac:dyDescent="0.25">
      <c r="A72" s="143" t="s">
        <v>70</v>
      </c>
      <c r="B72" s="143" t="s">
        <v>210</v>
      </c>
      <c r="C72" s="143" t="s">
        <v>211</v>
      </c>
      <c r="D72" s="143" t="s">
        <v>69</v>
      </c>
      <c r="E72" s="257">
        <v>106000</v>
      </c>
      <c r="F72" s="257">
        <v>106000</v>
      </c>
      <c r="G72" s="257">
        <v>106000</v>
      </c>
      <c r="H72" s="257">
        <v>0</v>
      </c>
      <c r="I72" s="257">
        <v>0</v>
      </c>
      <c r="J72" s="257">
        <v>0</v>
      </c>
      <c r="K72" s="257">
        <v>0</v>
      </c>
      <c r="L72" s="257">
        <v>0</v>
      </c>
      <c r="M72" s="257">
        <v>106000</v>
      </c>
      <c r="N72" s="257">
        <v>106000</v>
      </c>
    </row>
    <row r="73" spans="1:14" s="143" customFormat="1" x14ac:dyDescent="0.25">
      <c r="A73" s="143" t="s">
        <v>70</v>
      </c>
      <c r="B73" s="143" t="s">
        <v>212</v>
      </c>
      <c r="C73" s="143" t="s">
        <v>213</v>
      </c>
      <c r="D73" s="143" t="s">
        <v>69</v>
      </c>
      <c r="E73" s="257">
        <v>20844000</v>
      </c>
      <c r="F73" s="257">
        <v>20844000</v>
      </c>
      <c r="G73" s="257">
        <v>12844000</v>
      </c>
      <c r="H73" s="257">
        <v>1156440</v>
      </c>
      <c r="I73" s="257">
        <v>2655994.29</v>
      </c>
      <c r="J73" s="257">
        <v>1166768.79</v>
      </c>
      <c r="K73" s="257">
        <v>4144231.55</v>
      </c>
      <c r="L73" s="257">
        <v>4144231.55</v>
      </c>
      <c r="M73" s="257">
        <v>11720565.369999999</v>
      </c>
      <c r="N73" s="257">
        <v>3720565.37</v>
      </c>
    </row>
    <row r="74" spans="1:14" s="143" customFormat="1" x14ac:dyDescent="0.25">
      <c r="A74" s="143" t="s">
        <v>70</v>
      </c>
      <c r="B74" s="143" t="s">
        <v>214</v>
      </c>
      <c r="C74" s="143" t="s">
        <v>215</v>
      </c>
      <c r="D74" s="143" t="s">
        <v>69</v>
      </c>
      <c r="E74" s="257">
        <v>3000000</v>
      </c>
      <c r="F74" s="257">
        <v>3000000</v>
      </c>
      <c r="G74" s="257">
        <v>3000000</v>
      </c>
      <c r="H74" s="257">
        <v>1156440</v>
      </c>
      <c r="I74" s="257">
        <v>715064.12</v>
      </c>
      <c r="J74" s="257">
        <v>0</v>
      </c>
      <c r="K74" s="257">
        <v>777501.52</v>
      </c>
      <c r="L74" s="257">
        <v>777501.52</v>
      </c>
      <c r="M74" s="257">
        <v>350994.36</v>
      </c>
      <c r="N74" s="257">
        <v>350994.36</v>
      </c>
    </row>
    <row r="75" spans="1:14" s="143" customFormat="1" x14ac:dyDescent="0.25">
      <c r="A75" s="143" t="s">
        <v>70</v>
      </c>
      <c r="B75" s="143" t="s">
        <v>216</v>
      </c>
      <c r="C75" s="143" t="s">
        <v>217</v>
      </c>
      <c r="D75" s="143" t="s">
        <v>69</v>
      </c>
      <c r="E75" s="257">
        <v>271000</v>
      </c>
      <c r="F75" s="257">
        <v>271000</v>
      </c>
      <c r="G75" s="257">
        <v>271000</v>
      </c>
      <c r="H75" s="257">
        <v>0</v>
      </c>
      <c r="I75" s="257">
        <v>152000</v>
      </c>
      <c r="J75" s="257">
        <v>0</v>
      </c>
      <c r="K75" s="257">
        <v>112500</v>
      </c>
      <c r="L75" s="257">
        <v>112500</v>
      </c>
      <c r="M75" s="257">
        <v>6500</v>
      </c>
      <c r="N75" s="257">
        <v>6500</v>
      </c>
    </row>
    <row r="76" spans="1:14" s="143" customFormat="1" x14ac:dyDescent="0.25">
      <c r="A76" s="143" t="s">
        <v>70</v>
      </c>
      <c r="B76" s="143" t="s">
        <v>218</v>
      </c>
      <c r="C76" s="143" t="s">
        <v>219</v>
      </c>
      <c r="D76" s="143" t="s">
        <v>69</v>
      </c>
      <c r="E76" s="257">
        <v>12000000</v>
      </c>
      <c r="F76" s="257">
        <v>4000000</v>
      </c>
      <c r="G76" s="257">
        <v>4000000</v>
      </c>
      <c r="H76" s="257">
        <v>0</v>
      </c>
      <c r="I76" s="257">
        <v>610378.88</v>
      </c>
      <c r="J76" s="257">
        <v>0</v>
      </c>
      <c r="K76" s="257">
        <v>2328350.92</v>
      </c>
      <c r="L76" s="257">
        <v>2328350.92</v>
      </c>
      <c r="M76" s="257">
        <v>1061270.2</v>
      </c>
      <c r="N76" s="257">
        <v>1061270.2</v>
      </c>
    </row>
    <row r="77" spans="1:14" s="143" customFormat="1" x14ac:dyDescent="0.25">
      <c r="A77" s="143" t="s">
        <v>70</v>
      </c>
      <c r="B77" s="143" t="s">
        <v>220</v>
      </c>
      <c r="C77" s="143" t="s">
        <v>221</v>
      </c>
      <c r="D77" s="143" t="s">
        <v>69</v>
      </c>
      <c r="E77" s="257">
        <v>1445000</v>
      </c>
      <c r="F77" s="257">
        <v>1445000</v>
      </c>
      <c r="G77" s="257">
        <v>1445000</v>
      </c>
      <c r="H77" s="257">
        <v>0</v>
      </c>
      <c r="I77" s="257">
        <v>0</v>
      </c>
      <c r="J77" s="257">
        <v>0</v>
      </c>
      <c r="K77" s="257">
        <v>0</v>
      </c>
      <c r="L77" s="257">
        <v>0</v>
      </c>
      <c r="M77" s="257">
        <v>1445000</v>
      </c>
      <c r="N77" s="257">
        <v>1445000</v>
      </c>
    </row>
    <row r="78" spans="1:14" s="143" customFormat="1" x14ac:dyDescent="0.25">
      <c r="A78" s="143" t="s">
        <v>70</v>
      </c>
      <c r="B78" s="143" t="s">
        <v>222</v>
      </c>
      <c r="C78" s="143" t="s">
        <v>223</v>
      </c>
      <c r="D78" s="143" t="s">
        <v>69</v>
      </c>
      <c r="E78" s="257">
        <v>2500000</v>
      </c>
      <c r="F78" s="257">
        <v>10500000</v>
      </c>
      <c r="G78" s="257">
        <v>2500000</v>
      </c>
      <c r="H78" s="257">
        <v>0</v>
      </c>
      <c r="I78" s="257">
        <v>231211.29</v>
      </c>
      <c r="J78" s="257">
        <v>838098.79</v>
      </c>
      <c r="K78" s="257">
        <v>816859.61</v>
      </c>
      <c r="L78" s="257">
        <v>816859.61</v>
      </c>
      <c r="M78" s="257">
        <v>8613830.3100000005</v>
      </c>
      <c r="N78" s="257">
        <v>613830.31000000006</v>
      </c>
    </row>
    <row r="79" spans="1:14" s="143" customFormat="1" x14ac:dyDescent="0.25">
      <c r="A79" s="143" t="s">
        <v>70</v>
      </c>
      <c r="B79" s="143" t="s">
        <v>224</v>
      </c>
      <c r="C79" s="143" t="s">
        <v>225</v>
      </c>
      <c r="D79" s="143" t="s">
        <v>69</v>
      </c>
      <c r="E79" s="257">
        <v>66000</v>
      </c>
      <c r="F79" s="257">
        <v>66000</v>
      </c>
      <c r="G79" s="257">
        <v>66000</v>
      </c>
      <c r="H79" s="257">
        <v>0</v>
      </c>
      <c r="I79" s="257">
        <v>63800</v>
      </c>
      <c r="J79" s="257">
        <v>0</v>
      </c>
      <c r="K79" s="257">
        <v>0</v>
      </c>
      <c r="L79" s="257">
        <v>0</v>
      </c>
      <c r="M79" s="257">
        <v>2200</v>
      </c>
      <c r="N79" s="257">
        <v>2200</v>
      </c>
    </row>
    <row r="80" spans="1:14" s="143" customFormat="1" x14ac:dyDescent="0.25">
      <c r="A80" s="143" t="s">
        <v>70</v>
      </c>
      <c r="B80" s="143" t="s">
        <v>226</v>
      </c>
      <c r="C80" s="143" t="s">
        <v>227</v>
      </c>
      <c r="D80" s="143" t="s">
        <v>69</v>
      </c>
      <c r="E80" s="257">
        <v>562000</v>
      </c>
      <c r="F80" s="257">
        <v>562000</v>
      </c>
      <c r="G80" s="257">
        <v>562000</v>
      </c>
      <c r="H80" s="257">
        <v>0</v>
      </c>
      <c r="I80" s="257">
        <v>0</v>
      </c>
      <c r="J80" s="257">
        <v>328670</v>
      </c>
      <c r="K80" s="257">
        <v>0</v>
      </c>
      <c r="L80" s="257">
        <v>0</v>
      </c>
      <c r="M80" s="257">
        <v>233330</v>
      </c>
      <c r="N80" s="257">
        <v>233330</v>
      </c>
    </row>
    <row r="81" spans="1:14" s="143" customFormat="1" x14ac:dyDescent="0.25">
      <c r="A81" s="143" t="s">
        <v>70</v>
      </c>
      <c r="B81" s="143" t="s">
        <v>228</v>
      </c>
      <c r="C81" s="143" t="s">
        <v>229</v>
      </c>
      <c r="D81" s="143" t="s">
        <v>69</v>
      </c>
      <c r="E81" s="257">
        <v>1000000</v>
      </c>
      <c r="F81" s="257">
        <v>1000000</v>
      </c>
      <c r="G81" s="257">
        <v>1000000</v>
      </c>
      <c r="H81" s="257">
        <v>0</v>
      </c>
      <c r="I81" s="257">
        <v>883540</v>
      </c>
      <c r="J81" s="257">
        <v>0</v>
      </c>
      <c r="K81" s="257">
        <v>109019.5</v>
      </c>
      <c r="L81" s="257">
        <v>109019.5</v>
      </c>
      <c r="M81" s="257">
        <v>7440.5</v>
      </c>
      <c r="N81" s="257">
        <v>7440.5</v>
      </c>
    </row>
    <row r="82" spans="1:14" s="143" customFormat="1" x14ac:dyDescent="0.25">
      <c r="A82" s="143" t="s">
        <v>70</v>
      </c>
      <c r="B82" s="143" t="s">
        <v>248</v>
      </c>
      <c r="C82" s="143" t="s">
        <v>249</v>
      </c>
      <c r="D82" s="143" t="s">
        <v>69</v>
      </c>
      <c r="E82" s="257">
        <v>731283000</v>
      </c>
      <c r="F82" s="257">
        <v>752902365</v>
      </c>
      <c r="G82" s="257">
        <v>589421518</v>
      </c>
      <c r="H82" s="257">
        <v>0</v>
      </c>
      <c r="I82" s="257">
        <v>24990048.600000001</v>
      </c>
      <c r="J82" s="257">
        <v>0</v>
      </c>
      <c r="K82" s="257">
        <v>385186838.95999998</v>
      </c>
      <c r="L82" s="257">
        <v>385186838.95999998</v>
      </c>
      <c r="M82" s="257">
        <v>342725477.44</v>
      </c>
      <c r="N82" s="257">
        <v>179244630.44</v>
      </c>
    </row>
    <row r="83" spans="1:14" s="143" customFormat="1" x14ac:dyDescent="0.25">
      <c r="A83" s="143" t="s">
        <v>70</v>
      </c>
      <c r="B83" s="143" t="s">
        <v>250</v>
      </c>
      <c r="C83" s="143" t="s">
        <v>251</v>
      </c>
      <c r="D83" s="143" t="s">
        <v>69</v>
      </c>
      <c r="E83" s="257">
        <v>268185000</v>
      </c>
      <c r="F83" s="257">
        <v>268185000</v>
      </c>
      <c r="G83" s="257">
        <v>212339403.30000001</v>
      </c>
      <c r="H83" s="257">
        <v>0</v>
      </c>
      <c r="I83" s="257">
        <v>9204799.0099999998</v>
      </c>
      <c r="J83" s="257">
        <v>0</v>
      </c>
      <c r="K83" s="257">
        <v>133996201.84999999</v>
      </c>
      <c r="L83" s="257">
        <v>133996201.84999999</v>
      </c>
      <c r="M83" s="257">
        <v>124983999.14</v>
      </c>
      <c r="N83" s="257">
        <v>69138402.439999998</v>
      </c>
    </row>
    <row r="84" spans="1:14" s="143" customFormat="1" x14ac:dyDescent="0.25">
      <c r="A84" s="143" t="s">
        <v>70</v>
      </c>
      <c r="B84" s="143" t="s">
        <v>252</v>
      </c>
      <c r="C84" s="143" t="s">
        <v>253</v>
      </c>
      <c r="D84" s="143" t="s">
        <v>69</v>
      </c>
      <c r="E84" s="257">
        <v>2000000</v>
      </c>
      <c r="F84" s="257">
        <v>2000000</v>
      </c>
      <c r="G84" s="257">
        <v>2000000</v>
      </c>
      <c r="H84" s="257">
        <v>0</v>
      </c>
      <c r="I84" s="257">
        <v>0</v>
      </c>
      <c r="J84" s="257">
        <v>0</v>
      </c>
      <c r="K84" s="257">
        <v>2000000</v>
      </c>
      <c r="L84" s="257">
        <v>2000000</v>
      </c>
      <c r="M84" s="257">
        <v>0</v>
      </c>
      <c r="N84" s="257">
        <v>0</v>
      </c>
    </row>
    <row r="85" spans="1:14" s="143" customFormat="1" x14ac:dyDescent="0.25">
      <c r="A85" s="143" t="s">
        <v>70</v>
      </c>
      <c r="B85" s="143" t="s">
        <v>254</v>
      </c>
      <c r="C85" s="143" t="s">
        <v>255</v>
      </c>
      <c r="D85" s="143" t="s">
        <v>69</v>
      </c>
      <c r="E85" s="257">
        <v>250000000</v>
      </c>
      <c r="F85" s="257">
        <v>250000000</v>
      </c>
      <c r="G85" s="257">
        <v>194154403.30000001</v>
      </c>
      <c r="H85" s="257">
        <v>0</v>
      </c>
      <c r="I85" s="257">
        <v>16000.01</v>
      </c>
      <c r="J85" s="257">
        <v>0</v>
      </c>
      <c r="K85" s="257">
        <v>125000000.84999999</v>
      </c>
      <c r="L85" s="257">
        <v>125000000.84999999</v>
      </c>
      <c r="M85" s="257">
        <v>124983999.14</v>
      </c>
      <c r="N85" s="257">
        <v>69138402.439999998</v>
      </c>
    </row>
    <row r="86" spans="1:14" s="143" customFormat="1" x14ac:dyDescent="0.25">
      <c r="A86" s="143" t="s">
        <v>70</v>
      </c>
      <c r="B86" s="143" t="s">
        <v>256</v>
      </c>
      <c r="C86" s="143" t="s">
        <v>257</v>
      </c>
      <c r="D86" s="143" t="s">
        <v>69</v>
      </c>
      <c r="E86" s="257">
        <v>13470000</v>
      </c>
      <c r="F86" s="257">
        <v>13470000</v>
      </c>
      <c r="G86" s="257">
        <v>13470000</v>
      </c>
      <c r="H86" s="257">
        <v>0</v>
      </c>
      <c r="I86" s="257">
        <v>7647658</v>
      </c>
      <c r="J86" s="257">
        <v>0</v>
      </c>
      <c r="K86" s="257">
        <v>5822342</v>
      </c>
      <c r="L86" s="257">
        <v>5822342</v>
      </c>
      <c r="M86" s="257">
        <v>0</v>
      </c>
      <c r="N86" s="257">
        <v>0</v>
      </c>
    </row>
    <row r="87" spans="1:14" s="143" customFormat="1" x14ac:dyDescent="0.25">
      <c r="A87" s="143" t="s">
        <v>70</v>
      </c>
      <c r="B87" s="143" t="s">
        <v>258</v>
      </c>
      <c r="C87" s="143" t="s">
        <v>259</v>
      </c>
      <c r="D87" s="143" t="s">
        <v>69</v>
      </c>
      <c r="E87" s="257">
        <v>2715000</v>
      </c>
      <c r="F87" s="257">
        <v>2715000</v>
      </c>
      <c r="G87" s="257">
        <v>2715000</v>
      </c>
      <c r="H87" s="257">
        <v>0</v>
      </c>
      <c r="I87" s="257">
        <v>1541141</v>
      </c>
      <c r="J87" s="257">
        <v>0</v>
      </c>
      <c r="K87" s="257">
        <v>1173859</v>
      </c>
      <c r="L87" s="257">
        <v>1173859</v>
      </c>
      <c r="M87" s="257">
        <v>0</v>
      </c>
      <c r="N87" s="257">
        <v>0</v>
      </c>
    </row>
    <row r="88" spans="1:14" s="143" customFormat="1" x14ac:dyDescent="0.25">
      <c r="A88" s="143" t="s">
        <v>70</v>
      </c>
      <c r="B88" s="143" t="s">
        <v>260</v>
      </c>
      <c r="C88" s="143" t="s">
        <v>261</v>
      </c>
      <c r="D88" s="143" t="s">
        <v>69</v>
      </c>
      <c r="E88" s="257">
        <v>39757000</v>
      </c>
      <c r="F88" s="257">
        <v>61376365</v>
      </c>
      <c r="G88" s="257">
        <v>59576364.700000003</v>
      </c>
      <c r="H88" s="257">
        <v>0</v>
      </c>
      <c r="I88" s="257">
        <v>2243530.09</v>
      </c>
      <c r="J88" s="257">
        <v>0</v>
      </c>
      <c r="K88" s="257">
        <v>53061856.609999999</v>
      </c>
      <c r="L88" s="257">
        <v>53061856.609999999</v>
      </c>
      <c r="M88" s="257">
        <v>6070978.2999999998</v>
      </c>
      <c r="N88" s="257">
        <v>4270978</v>
      </c>
    </row>
    <row r="89" spans="1:14" s="143" customFormat="1" x14ac:dyDescent="0.25">
      <c r="A89" s="143" t="s">
        <v>70</v>
      </c>
      <c r="B89" s="143" t="s">
        <v>262</v>
      </c>
      <c r="C89" s="143" t="s">
        <v>263</v>
      </c>
      <c r="D89" s="143" t="s">
        <v>69</v>
      </c>
      <c r="E89" s="257">
        <v>30000000</v>
      </c>
      <c r="F89" s="257">
        <v>51619365</v>
      </c>
      <c r="G89" s="257">
        <v>51619364.700000003</v>
      </c>
      <c r="H89" s="257">
        <v>0</v>
      </c>
      <c r="I89" s="257">
        <v>2243530.09</v>
      </c>
      <c r="J89" s="257">
        <v>0</v>
      </c>
      <c r="K89" s="257">
        <v>49375834.609999999</v>
      </c>
      <c r="L89" s="257">
        <v>49375834.609999999</v>
      </c>
      <c r="M89" s="257">
        <v>0.30000000000000004</v>
      </c>
      <c r="N89" s="257">
        <v>0</v>
      </c>
    </row>
    <row r="90" spans="1:14" s="143" customFormat="1" x14ac:dyDescent="0.25">
      <c r="A90" s="143" t="s">
        <v>70</v>
      </c>
      <c r="B90" s="143" t="s">
        <v>264</v>
      </c>
      <c r="C90" s="143" t="s">
        <v>265</v>
      </c>
      <c r="D90" s="143" t="s">
        <v>69</v>
      </c>
      <c r="E90" s="257">
        <v>9757000</v>
      </c>
      <c r="F90" s="257">
        <v>9757000</v>
      </c>
      <c r="G90" s="257">
        <v>7957000</v>
      </c>
      <c r="H90" s="257">
        <v>0</v>
      </c>
      <c r="I90" s="257">
        <v>0</v>
      </c>
      <c r="J90" s="257">
        <v>0</v>
      </c>
      <c r="K90" s="257">
        <v>3686022</v>
      </c>
      <c r="L90" s="257">
        <v>3686022</v>
      </c>
      <c r="M90" s="257">
        <v>6070978</v>
      </c>
      <c r="N90" s="257">
        <v>4270978</v>
      </c>
    </row>
    <row r="91" spans="1:14" s="143" customFormat="1" x14ac:dyDescent="0.25">
      <c r="A91" s="143" t="s">
        <v>70</v>
      </c>
      <c r="B91" s="143" t="s">
        <v>266</v>
      </c>
      <c r="C91" s="143" t="s">
        <v>267</v>
      </c>
      <c r="D91" s="143" t="s">
        <v>69</v>
      </c>
      <c r="E91" s="257">
        <v>423341000</v>
      </c>
      <c r="F91" s="257">
        <v>423341000</v>
      </c>
      <c r="G91" s="257">
        <v>317505750</v>
      </c>
      <c r="H91" s="257">
        <v>0</v>
      </c>
      <c r="I91" s="257">
        <v>13541719.5</v>
      </c>
      <c r="J91" s="257">
        <v>0</v>
      </c>
      <c r="K91" s="257">
        <v>198128780.5</v>
      </c>
      <c r="L91" s="257">
        <v>198128780.5</v>
      </c>
      <c r="M91" s="257">
        <v>211670500</v>
      </c>
      <c r="N91" s="257">
        <v>105835250</v>
      </c>
    </row>
    <row r="92" spans="1:14" s="143" customFormat="1" x14ac:dyDescent="0.25">
      <c r="A92" s="143" t="s">
        <v>70</v>
      </c>
      <c r="B92" s="143" t="s">
        <v>268</v>
      </c>
      <c r="C92" s="143" t="s">
        <v>269</v>
      </c>
      <c r="D92" s="143" t="s">
        <v>69</v>
      </c>
      <c r="E92" s="257">
        <v>406300000</v>
      </c>
      <c r="F92" s="257">
        <v>406300000</v>
      </c>
      <c r="G92" s="257">
        <v>300464750</v>
      </c>
      <c r="H92" s="257">
        <v>0</v>
      </c>
      <c r="I92" s="257">
        <v>0</v>
      </c>
      <c r="J92" s="257">
        <v>0</v>
      </c>
      <c r="K92" s="257">
        <v>194629500</v>
      </c>
      <c r="L92" s="257">
        <v>194629500</v>
      </c>
      <c r="M92" s="257">
        <v>211670500</v>
      </c>
      <c r="N92" s="257">
        <v>105835250</v>
      </c>
    </row>
    <row r="93" spans="1:14" s="143" customFormat="1" x14ac:dyDescent="0.25">
      <c r="A93" s="143" t="s">
        <v>70</v>
      </c>
      <c r="B93" s="143" t="s">
        <v>270</v>
      </c>
      <c r="C93" s="143" t="s">
        <v>271</v>
      </c>
      <c r="D93" s="143" t="s">
        <v>69</v>
      </c>
      <c r="E93" s="257">
        <v>13364000</v>
      </c>
      <c r="F93" s="257">
        <v>13364000</v>
      </c>
      <c r="G93" s="257">
        <v>13364000</v>
      </c>
      <c r="H93" s="257">
        <v>0</v>
      </c>
      <c r="I93" s="257">
        <v>13364000</v>
      </c>
      <c r="J93" s="257">
        <v>0</v>
      </c>
      <c r="K93" s="257">
        <v>0</v>
      </c>
      <c r="L93" s="257">
        <v>0</v>
      </c>
      <c r="M93" s="257">
        <v>0</v>
      </c>
      <c r="N93" s="257">
        <v>0</v>
      </c>
    </row>
    <row r="94" spans="1:14" s="143" customFormat="1" x14ac:dyDescent="0.25">
      <c r="A94" s="143" t="s">
        <v>70</v>
      </c>
      <c r="B94" s="143" t="s">
        <v>272</v>
      </c>
      <c r="C94" s="143" t="s">
        <v>273</v>
      </c>
      <c r="D94" s="143" t="s">
        <v>69</v>
      </c>
      <c r="E94" s="257">
        <v>3677000</v>
      </c>
      <c r="F94" s="257">
        <v>3677000</v>
      </c>
      <c r="G94" s="257">
        <v>3677000</v>
      </c>
      <c r="H94" s="257">
        <v>0</v>
      </c>
      <c r="I94" s="257">
        <v>177719.5</v>
      </c>
      <c r="J94" s="257">
        <v>0</v>
      </c>
      <c r="K94" s="257">
        <v>3499280.5</v>
      </c>
      <c r="L94" s="257">
        <v>3499280.5</v>
      </c>
      <c r="M94" s="257">
        <v>0</v>
      </c>
      <c r="N94" s="257">
        <v>0</v>
      </c>
    </row>
    <row r="95" spans="1:14" s="143" customFormat="1" x14ac:dyDescent="0.25">
      <c r="A95" s="143" t="s">
        <v>70</v>
      </c>
      <c r="B95" s="143" t="s">
        <v>230</v>
      </c>
      <c r="C95" s="143" t="s">
        <v>231</v>
      </c>
      <c r="D95" s="143" t="s">
        <v>85</v>
      </c>
      <c r="E95" s="257">
        <v>17098648</v>
      </c>
      <c r="F95" s="257">
        <v>17098648</v>
      </c>
      <c r="G95" s="257">
        <v>17098648</v>
      </c>
      <c r="H95" s="257">
        <v>0</v>
      </c>
      <c r="I95" s="257">
        <v>0</v>
      </c>
      <c r="J95" s="257">
        <v>0</v>
      </c>
      <c r="K95" s="257">
        <v>0</v>
      </c>
      <c r="L95" s="257">
        <v>0</v>
      </c>
      <c r="M95" s="257">
        <v>17098648</v>
      </c>
      <c r="N95" s="257">
        <v>17098648</v>
      </c>
    </row>
    <row r="96" spans="1:14" s="143" customFormat="1" x14ac:dyDescent="0.25">
      <c r="A96" s="143" t="s">
        <v>70</v>
      </c>
      <c r="B96" s="143" t="s">
        <v>232</v>
      </c>
      <c r="C96" s="143" t="s">
        <v>233</v>
      </c>
      <c r="D96" s="143" t="s">
        <v>85</v>
      </c>
      <c r="E96" s="257">
        <v>16598648</v>
      </c>
      <c r="F96" s="257">
        <v>16598648</v>
      </c>
      <c r="G96" s="257">
        <v>16598648</v>
      </c>
      <c r="H96" s="257">
        <v>0</v>
      </c>
      <c r="I96" s="257">
        <v>0</v>
      </c>
      <c r="J96" s="257">
        <v>0</v>
      </c>
      <c r="K96" s="257">
        <v>0</v>
      </c>
      <c r="L96" s="257">
        <v>0</v>
      </c>
      <c r="M96" s="257">
        <v>16598648</v>
      </c>
      <c r="N96" s="257">
        <v>16598648</v>
      </c>
    </row>
    <row r="97" spans="1:14" s="143" customFormat="1" x14ac:dyDescent="0.25">
      <c r="A97" s="143" t="s">
        <v>70</v>
      </c>
      <c r="B97" s="143" t="s">
        <v>234</v>
      </c>
      <c r="C97" s="143" t="s">
        <v>235</v>
      </c>
      <c r="D97" s="143" t="s">
        <v>85</v>
      </c>
      <c r="E97" s="257">
        <v>3000000</v>
      </c>
      <c r="F97" s="257">
        <v>3000000</v>
      </c>
      <c r="G97" s="257">
        <v>3000000</v>
      </c>
      <c r="H97" s="257">
        <v>0</v>
      </c>
      <c r="I97" s="257">
        <v>0</v>
      </c>
      <c r="J97" s="257">
        <v>0</v>
      </c>
      <c r="K97" s="257">
        <v>0</v>
      </c>
      <c r="L97" s="257">
        <v>0</v>
      </c>
      <c r="M97" s="257">
        <v>3000000</v>
      </c>
      <c r="N97" s="257">
        <v>3000000</v>
      </c>
    </row>
    <row r="98" spans="1:14" s="143" customFormat="1" x14ac:dyDescent="0.25">
      <c r="A98" s="143" t="s">
        <v>70</v>
      </c>
      <c r="B98" s="143" t="s">
        <v>236</v>
      </c>
      <c r="C98" s="143" t="s">
        <v>237</v>
      </c>
      <c r="D98" s="143" t="s">
        <v>85</v>
      </c>
      <c r="E98" s="257">
        <v>4000000</v>
      </c>
      <c r="F98" s="257">
        <v>4000000</v>
      </c>
      <c r="G98" s="257">
        <v>4000000</v>
      </c>
      <c r="H98" s="257">
        <v>0</v>
      </c>
      <c r="I98" s="257">
        <v>0</v>
      </c>
      <c r="J98" s="257">
        <v>0</v>
      </c>
      <c r="K98" s="257">
        <v>0</v>
      </c>
      <c r="L98" s="257">
        <v>0</v>
      </c>
      <c r="M98" s="257">
        <v>4000000</v>
      </c>
      <c r="N98" s="257">
        <v>4000000</v>
      </c>
    </row>
    <row r="99" spans="1:14" s="143" customFormat="1" x14ac:dyDescent="0.25">
      <c r="A99" s="143" t="s">
        <v>70</v>
      </c>
      <c r="B99" s="143" t="s">
        <v>238</v>
      </c>
      <c r="C99" s="143" t="s">
        <v>239</v>
      </c>
      <c r="D99" s="143" t="s">
        <v>85</v>
      </c>
      <c r="E99" s="257">
        <v>6337648</v>
      </c>
      <c r="F99" s="257">
        <v>6337648</v>
      </c>
      <c r="G99" s="257">
        <v>6337648</v>
      </c>
      <c r="H99" s="257">
        <v>0</v>
      </c>
      <c r="I99" s="257">
        <v>0</v>
      </c>
      <c r="J99" s="257">
        <v>0</v>
      </c>
      <c r="K99" s="257">
        <v>0</v>
      </c>
      <c r="L99" s="257">
        <v>0</v>
      </c>
      <c r="M99" s="257">
        <v>6337648</v>
      </c>
      <c r="N99" s="257">
        <v>6337648</v>
      </c>
    </row>
    <row r="100" spans="1:14" s="143" customFormat="1" x14ac:dyDescent="0.25">
      <c r="A100" s="143" t="s">
        <v>70</v>
      </c>
      <c r="B100" s="143" t="s">
        <v>240</v>
      </c>
      <c r="C100" s="143" t="s">
        <v>241</v>
      </c>
      <c r="D100" s="143" t="s">
        <v>85</v>
      </c>
      <c r="E100" s="257">
        <v>2261000</v>
      </c>
      <c r="F100" s="257">
        <v>2261000</v>
      </c>
      <c r="G100" s="257">
        <v>2261000</v>
      </c>
      <c r="H100" s="257">
        <v>0</v>
      </c>
      <c r="I100" s="257">
        <v>0</v>
      </c>
      <c r="J100" s="257">
        <v>0</v>
      </c>
      <c r="K100" s="257">
        <v>0</v>
      </c>
      <c r="L100" s="257">
        <v>0</v>
      </c>
      <c r="M100" s="257">
        <v>2261000</v>
      </c>
      <c r="N100" s="257">
        <v>2261000</v>
      </c>
    </row>
    <row r="101" spans="1:14" s="143" customFormat="1" x14ac:dyDescent="0.25">
      <c r="A101" s="143" t="s">
        <v>70</v>
      </c>
      <c r="B101" s="143" t="s">
        <v>242</v>
      </c>
      <c r="C101" s="143" t="s">
        <v>243</v>
      </c>
      <c r="D101" s="143" t="s">
        <v>85</v>
      </c>
      <c r="E101" s="257">
        <v>1000000</v>
      </c>
      <c r="F101" s="257">
        <v>1000000</v>
      </c>
      <c r="G101" s="257">
        <v>1000000</v>
      </c>
      <c r="H101" s="257">
        <v>0</v>
      </c>
      <c r="I101" s="257">
        <v>0</v>
      </c>
      <c r="J101" s="257">
        <v>0</v>
      </c>
      <c r="K101" s="257">
        <v>0</v>
      </c>
      <c r="L101" s="257">
        <v>0</v>
      </c>
      <c r="M101" s="257">
        <v>1000000</v>
      </c>
      <c r="N101" s="257">
        <v>1000000</v>
      </c>
    </row>
    <row r="102" spans="1:14" s="143" customFormat="1" x14ac:dyDescent="0.25">
      <c r="A102" s="143" t="s">
        <v>70</v>
      </c>
      <c r="B102" s="143" t="s">
        <v>244</v>
      </c>
      <c r="C102" s="143" t="s">
        <v>245</v>
      </c>
      <c r="D102" s="143" t="s">
        <v>85</v>
      </c>
      <c r="E102" s="257">
        <v>500000</v>
      </c>
      <c r="F102" s="257">
        <v>500000</v>
      </c>
      <c r="G102" s="257">
        <v>500000</v>
      </c>
      <c r="H102" s="257">
        <v>0</v>
      </c>
      <c r="I102" s="257">
        <v>0</v>
      </c>
      <c r="J102" s="257">
        <v>0</v>
      </c>
      <c r="K102" s="257">
        <v>0</v>
      </c>
      <c r="L102" s="257">
        <v>0</v>
      </c>
      <c r="M102" s="257">
        <v>500000</v>
      </c>
      <c r="N102" s="257">
        <v>500000</v>
      </c>
    </row>
    <row r="103" spans="1:14" s="143" customFormat="1" x14ac:dyDescent="0.25">
      <c r="A103" s="143" t="s">
        <v>70</v>
      </c>
      <c r="B103" s="143" t="s">
        <v>246</v>
      </c>
      <c r="C103" s="143" t="s">
        <v>247</v>
      </c>
      <c r="D103" s="143" t="s">
        <v>85</v>
      </c>
      <c r="E103" s="257">
        <v>500000</v>
      </c>
      <c r="F103" s="257">
        <v>500000</v>
      </c>
      <c r="G103" s="257">
        <v>500000</v>
      </c>
      <c r="H103" s="257">
        <v>0</v>
      </c>
      <c r="I103" s="257">
        <v>0</v>
      </c>
      <c r="J103" s="257">
        <v>0</v>
      </c>
      <c r="K103" s="257">
        <v>0</v>
      </c>
      <c r="L103" s="257">
        <v>0</v>
      </c>
      <c r="M103" s="257">
        <v>500000</v>
      </c>
      <c r="N103" s="257">
        <v>500000</v>
      </c>
    </row>
    <row r="104" spans="1:14" s="143" customFormat="1" x14ac:dyDescent="0.25">
      <c r="A104" s="143">
        <v>214780</v>
      </c>
      <c r="D104" s="143" t="s">
        <v>69</v>
      </c>
      <c r="E104" s="257">
        <v>1241247489</v>
      </c>
      <c r="F104" s="257">
        <v>1241247489</v>
      </c>
      <c r="G104" s="257">
        <v>1163570875.8499999</v>
      </c>
      <c r="H104" s="257">
        <v>8052854</v>
      </c>
      <c r="I104" s="257">
        <v>110215668.5</v>
      </c>
      <c r="J104" s="257">
        <v>311100.45</v>
      </c>
      <c r="K104" s="257">
        <v>484930047.67000002</v>
      </c>
      <c r="L104" s="257">
        <v>481250496.80000001</v>
      </c>
      <c r="M104" s="257">
        <v>637737818.38</v>
      </c>
      <c r="N104" s="257">
        <v>560061205.23000002</v>
      </c>
    </row>
    <row r="105" spans="1:14" s="143" customFormat="1" x14ac:dyDescent="0.25">
      <c r="A105" s="143" t="s">
        <v>274</v>
      </c>
      <c r="B105" s="143" t="s">
        <v>71</v>
      </c>
      <c r="C105" s="143" t="s">
        <v>72</v>
      </c>
      <c r="D105" s="143" t="s">
        <v>69</v>
      </c>
      <c r="E105" s="257">
        <v>953910000</v>
      </c>
      <c r="F105" s="257">
        <v>953910000</v>
      </c>
      <c r="G105" s="257">
        <v>953910000</v>
      </c>
      <c r="H105" s="257">
        <v>0</v>
      </c>
      <c r="I105" s="257">
        <v>80826184</v>
      </c>
      <c r="J105" s="257">
        <v>0</v>
      </c>
      <c r="K105" s="257">
        <v>394179302.67000002</v>
      </c>
      <c r="L105" s="257">
        <v>394179302.67000002</v>
      </c>
      <c r="M105" s="257">
        <v>478904513.32999998</v>
      </c>
      <c r="N105" s="257">
        <v>478904513.32999998</v>
      </c>
    </row>
    <row r="106" spans="1:14" s="143" customFormat="1" x14ac:dyDescent="0.25">
      <c r="A106" s="143" t="s">
        <v>274</v>
      </c>
      <c r="B106" s="143" t="s">
        <v>73</v>
      </c>
      <c r="C106" s="143" t="s">
        <v>74</v>
      </c>
      <c r="D106" s="143" t="s">
        <v>69</v>
      </c>
      <c r="E106" s="257">
        <v>383841000</v>
      </c>
      <c r="F106" s="257">
        <v>383841000</v>
      </c>
      <c r="G106" s="257">
        <v>383841000</v>
      </c>
      <c r="H106" s="257">
        <v>0</v>
      </c>
      <c r="I106" s="257">
        <v>0</v>
      </c>
      <c r="J106" s="257">
        <v>0</v>
      </c>
      <c r="K106" s="257">
        <v>163374637.53</v>
      </c>
      <c r="L106" s="257">
        <v>163374637.53</v>
      </c>
      <c r="M106" s="257">
        <v>220466362.47</v>
      </c>
      <c r="N106" s="257">
        <v>220466362.47</v>
      </c>
    </row>
    <row r="107" spans="1:14" s="143" customFormat="1" x14ac:dyDescent="0.25">
      <c r="A107" s="143" t="s">
        <v>274</v>
      </c>
      <c r="B107" s="143" t="s">
        <v>75</v>
      </c>
      <c r="C107" s="143" t="s">
        <v>76</v>
      </c>
      <c r="D107" s="143" t="s">
        <v>69</v>
      </c>
      <c r="E107" s="257">
        <v>383841000</v>
      </c>
      <c r="F107" s="257">
        <v>383841000</v>
      </c>
      <c r="G107" s="257">
        <v>383841000</v>
      </c>
      <c r="H107" s="257">
        <v>0</v>
      </c>
      <c r="I107" s="257">
        <v>0</v>
      </c>
      <c r="J107" s="257">
        <v>0</v>
      </c>
      <c r="K107" s="257">
        <v>163374637.53</v>
      </c>
      <c r="L107" s="257">
        <v>163374637.53</v>
      </c>
      <c r="M107" s="257">
        <v>220466362.47</v>
      </c>
      <c r="N107" s="257">
        <v>220466362.47</v>
      </c>
    </row>
    <row r="108" spans="1:14" s="143" customFormat="1" x14ac:dyDescent="0.25">
      <c r="A108" s="143" t="s">
        <v>274</v>
      </c>
      <c r="B108" s="143" t="s">
        <v>77</v>
      </c>
      <c r="C108" s="143" t="s">
        <v>78</v>
      </c>
      <c r="D108" s="143" t="s">
        <v>69</v>
      </c>
      <c r="E108" s="257">
        <v>425514000</v>
      </c>
      <c r="F108" s="257">
        <v>425514000</v>
      </c>
      <c r="G108" s="257">
        <v>425514000</v>
      </c>
      <c r="H108" s="257">
        <v>0</v>
      </c>
      <c r="I108" s="257">
        <v>0</v>
      </c>
      <c r="J108" s="257">
        <v>0</v>
      </c>
      <c r="K108" s="257">
        <v>167075849.13999999</v>
      </c>
      <c r="L108" s="257">
        <v>167075849.13999999</v>
      </c>
      <c r="M108" s="257">
        <v>258438150.86000001</v>
      </c>
      <c r="N108" s="257">
        <v>258438150.86000001</v>
      </c>
    </row>
    <row r="109" spans="1:14" s="143" customFormat="1" x14ac:dyDescent="0.25">
      <c r="A109" s="143" t="s">
        <v>274</v>
      </c>
      <c r="B109" s="143" t="s">
        <v>79</v>
      </c>
      <c r="C109" s="143" t="s">
        <v>80</v>
      </c>
      <c r="D109" s="143" t="s">
        <v>69</v>
      </c>
      <c r="E109" s="257">
        <v>70660000</v>
      </c>
      <c r="F109" s="257">
        <v>70660000</v>
      </c>
      <c r="G109" s="257">
        <v>70660000</v>
      </c>
      <c r="H109" s="257">
        <v>0</v>
      </c>
      <c r="I109" s="257">
        <v>0</v>
      </c>
      <c r="J109" s="257">
        <v>0</v>
      </c>
      <c r="K109" s="257">
        <v>28491770.620000001</v>
      </c>
      <c r="L109" s="257">
        <v>28491770.620000001</v>
      </c>
      <c r="M109" s="257">
        <v>42168229.380000003</v>
      </c>
      <c r="N109" s="257">
        <v>42168229.380000003</v>
      </c>
    </row>
    <row r="110" spans="1:14" s="143" customFormat="1" x14ac:dyDescent="0.25">
      <c r="A110" s="143" t="s">
        <v>274</v>
      </c>
      <c r="B110" s="143" t="s">
        <v>81</v>
      </c>
      <c r="C110" s="143" t="s">
        <v>82</v>
      </c>
      <c r="D110" s="143" t="s">
        <v>69</v>
      </c>
      <c r="E110" s="257">
        <v>211191000</v>
      </c>
      <c r="F110" s="257">
        <v>211191000</v>
      </c>
      <c r="G110" s="257">
        <v>211191000</v>
      </c>
      <c r="H110" s="257">
        <v>0</v>
      </c>
      <c r="I110" s="257">
        <v>0</v>
      </c>
      <c r="J110" s="257">
        <v>0</v>
      </c>
      <c r="K110" s="257">
        <v>79313532.780000001</v>
      </c>
      <c r="L110" s="257">
        <v>79313532.780000001</v>
      </c>
      <c r="M110" s="257">
        <v>131877467.22</v>
      </c>
      <c r="N110" s="257">
        <v>131877467.22</v>
      </c>
    </row>
    <row r="111" spans="1:14" s="143" customFormat="1" x14ac:dyDescent="0.25">
      <c r="A111" s="143" t="s">
        <v>274</v>
      </c>
      <c r="B111" s="143" t="s">
        <v>86</v>
      </c>
      <c r="C111" s="143" t="s">
        <v>87</v>
      </c>
      <c r="D111" s="143" t="s">
        <v>69</v>
      </c>
      <c r="E111" s="257">
        <v>46480000</v>
      </c>
      <c r="F111" s="257">
        <v>46480000</v>
      </c>
      <c r="G111" s="257">
        <v>46480000</v>
      </c>
      <c r="H111" s="257">
        <v>0</v>
      </c>
      <c r="I111" s="257">
        <v>0</v>
      </c>
      <c r="J111" s="257">
        <v>0</v>
      </c>
      <c r="K111" s="257">
        <v>44448031.07</v>
      </c>
      <c r="L111" s="257">
        <v>44448031.07</v>
      </c>
      <c r="M111" s="257">
        <v>2031968.93</v>
      </c>
      <c r="N111" s="257">
        <v>2031968.93</v>
      </c>
    </row>
    <row r="112" spans="1:14" s="143" customFormat="1" x14ac:dyDescent="0.25">
      <c r="A112" s="143" t="s">
        <v>274</v>
      </c>
      <c r="B112" s="143" t="s">
        <v>88</v>
      </c>
      <c r="C112" s="143" t="s">
        <v>89</v>
      </c>
      <c r="D112" s="143" t="s">
        <v>69</v>
      </c>
      <c r="E112" s="257">
        <v>35665000</v>
      </c>
      <c r="F112" s="257">
        <v>35665000</v>
      </c>
      <c r="G112" s="257">
        <v>35665000</v>
      </c>
      <c r="H112" s="257">
        <v>0</v>
      </c>
      <c r="I112" s="257">
        <v>0</v>
      </c>
      <c r="J112" s="257">
        <v>0</v>
      </c>
      <c r="K112" s="257">
        <v>14822514.67</v>
      </c>
      <c r="L112" s="257">
        <v>14822514.67</v>
      </c>
      <c r="M112" s="257">
        <v>20842485.329999998</v>
      </c>
      <c r="N112" s="257">
        <v>20842485.329999998</v>
      </c>
    </row>
    <row r="113" spans="1:14" s="143" customFormat="1" x14ac:dyDescent="0.25">
      <c r="A113" s="143" t="s">
        <v>274</v>
      </c>
      <c r="B113" s="143" t="s">
        <v>83</v>
      </c>
      <c r="C113" s="143" t="s">
        <v>84</v>
      </c>
      <c r="D113" s="143" t="s">
        <v>85</v>
      </c>
      <c r="E113" s="257">
        <v>61518000</v>
      </c>
      <c r="F113" s="257">
        <v>61518000</v>
      </c>
      <c r="G113" s="257">
        <v>61518000</v>
      </c>
      <c r="H113" s="257">
        <v>0</v>
      </c>
      <c r="I113" s="257">
        <v>0</v>
      </c>
      <c r="J113" s="257">
        <v>0</v>
      </c>
      <c r="K113" s="257">
        <v>0</v>
      </c>
      <c r="L113" s="257">
        <v>0</v>
      </c>
      <c r="M113" s="257">
        <v>61518000</v>
      </c>
      <c r="N113" s="257">
        <v>61518000</v>
      </c>
    </row>
    <row r="114" spans="1:14" s="143" customFormat="1" x14ac:dyDescent="0.25">
      <c r="A114" s="143" t="s">
        <v>274</v>
      </c>
      <c r="B114" s="143" t="s">
        <v>90</v>
      </c>
      <c r="C114" s="143" t="s">
        <v>91</v>
      </c>
      <c r="D114" s="143" t="s">
        <v>69</v>
      </c>
      <c r="E114" s="257">
        <v>72913000</v>
      </c>
      <c r="F114" s="257">
        <v>72913000</v>
      </c>
      <c r="G114" s="257">
        <v>72913000</v>
      </c>
      <c r="H114" s="257">
        <v>0</v>
      </c>
      <c r="I114" s="257">
        <v>40765662</v>
      </c>
      <c r="J114" s="257">
        <v>0</v>
      </c>
      <c r="K114" s="257">
        <v>32147338</v>
      </c>
      <c r="L114" s="257">
        <v>32147338</v>
      </c>
      <c r="M114" s="257">
        <v>0</v>
      </c>
      <c r="N114" s="257">
        <v>0</v>
      </c>
    </row>
    <row r="115" spans="1:14" s="143" customFormat="1" x14ac:dyDescent="0.25">
      <c r="A115" s="143" t="s">
        <v>274</v>
      </c>
      <c r="B115" s="143" t="s">
        <v>275</v>
      </c>
      <c r="C115" s="143" t="s">
        <v>93</v>
      </c>
      <c r="D115" s="143" t="s">
        <v>69</v>
      </c>
      <c r="E115" s="257">
        <v>69174000</v>
      </c>
      <c r="F115" s="257">
        <v>69174000</v>
      </c>
      <c r="G115" s="257">
        <v>69174000</v>
      </c>
      <c r="H115" s="257">
        <v>0</v>
      </c>
      <c r="I115" s="257">
        <v>38674841</v>
      </c>
      <c r="J115" s="257">
        <v>0</v>
      </c>
      <c r="K115" s="257">
        <v>30499159</v>
      </c>
      <c r="L115" s="257">
        <v>30499159</v>
      </c>
      <c r="M115" s="257">
        <v>0</v>
      </c>
      <c r="N115" s="257">
        <v>0</v>
      </c>
    </row>
    <row r="116" spans="1:14" s="143" customFormat="1" x14ac:dyDescent="0.25">
      <c r="A116" s="143" t="s">
        <v>274</v>
      </c>
      <c r="B116" s="143" t="s">
        <v>276</v>
      </c>
      <c r="C116" s="143" t="s">
        <v>95</v>
      </c>
      <c r="D116" s="143" t="s">
        <v>69</v>
      </c>
      <c r="E116" s="257">
        <v>3739000</v>
      </c>
      <c r="F116" s="257">
        <v>3739000</v>
      </c>
      <c r="G116" s="257">
        <v>3739000</v>
      </c>
      <c r="H116" s="257">
        <v>0</v>
      </c>
      <c r="I116" s="257">
        <v>2090821</v>
      </c>
      <c r="J116" s="257">
        <v>0</v>
      </c>
      <c r="K116" s="257">
        <v>1648179</v>
      </c>
      <c r="L116" s="257">
        <v>1648179</v>
      </c>
      <c r="M116" s="257">
        <v>0</v>
      </c>
      <c r="N116" s="257">
        <v>0</v>
      </c>
    </row>
    <row r="117" spans="1:14" s="143" customFormat="1" x14ac:dyDescent="0.25">
      <c r="A117" s="143" t="s">
        <v>274</v>
      </c>
      <c r="B117" s="143" t="s">
        <v>96</v>
      </c>
      <c r="C117" s="143" t="s">
        <v>97</v>
      </c>
      <c r="D117" s="143" t="s">
        <v>69</v>
      </c>
      <c r="E117" s="257">
        <v>71642000</v>
      </c>
      <c r="F117" s="257">
        <v>71642000</v>
      </c>
      <c r="G117" s="257">
        <v>71642000</v>
      </c>
      <c r="H117" s="257">
        <v>0</v>
      </c>
      <c r="I117" s="257">
        <v>40060522</v>
      </c>
      <c r="J117" s="257">
        <v>0</v>
      </c>
      <c r="K117" s="257">
        <v>31581478</v>
      </c>
      <c r="L117" s="257">
        <v>31581478</v>
      </c>
      <c r="M117" s="257">
        <v>0</v>
      </c>
      <c r="N117" s="257">
        <v>0</v>
      </c>
    </row>
    <row r="118" spans="1:14" s="143" customFormat="1" x14ac:dyDescent="0.25">
      <c r="A118" s="143" t="s">
        <v>274</v>
      </c>
      <c r="B118" s="143" t="s">
        <v>277</v>
      </c>
      <c r="C118" s="143" t="s">
        <v>99</v>
      </c>
      <c r="D118" s="143" t="s">
        <v>69</v>
      </c>
      <c r="E118" s="257">
        <v>37990000</v>
      </c>
      <c r="F118" s="257">
        <v>37990000</v>
      </c>
      <c r="G118" s="257">
        <v>37990000</v>
      </c>
      <c r="H118" s="257">
        <v>0</v>
      </c>
      <c r="I118" s="257">
        <v>21242110</v>
      </c>
      <c r="J118" s="257">
        <v>0</v>
      </c>
      <c r="K118" s="257">
        <v>16747890</v>
      </c>
      <c r="L118" s="257">
        <v>16747890</v>
      </c>
      <c r="M118" s="257">
        <v>0</v>
      </c>
      <c r="N118" s="257">
        <v>0</v>
      </c>
    </row>
    <row r="119" spans="1:14" s="143" customFormat="1" x14ac:dyDescent="0.25">
      <c r="A119" s="143" t="s">
        <v>274</v>
      </c>
      <c r="B119" s="143" t="s">
        <v>278</v>
      </c>
      <c r="C119" s="143" t="s">
        <v>101</v>
      </c>
      <c r="D119" s="143" t="s">
        <v>69</v>
      </c>
      <c r="E119" s="257">
        <v>11217000</v>
      </c>
      <c r="F119" s="257">
        <v>11217000</v>
      </c>
      <c r="G119" s="257">
        <v>11217000</v>
      </c>
      <c r="H119" s="257">
        <v>0</v>
      </c>
      <c r="I119" s="257">
        <v>6272476</v>
      </c>
      <c r="J119" s="257">
        <v>0</v>
      </c>
      <c r="K119" s="257">
        <v>4944524</v>
      </c>
      <c r="L119" s="257">
        <v>4944524</v>
      </c>
      <c r="M119" s="257">
        <v>0</v>
      </c>
      <c r="N119" s="257">
        <v>0</v>
      </c>
    </row>
    <row r="120" spans="1:14" s="143" customFormat="1" x14ac:dyDescent="0.25">
      <c r="A120" s="143" t="s">
        <v>274</v>
      </c>
      <c r="B120" s="143" t="s">
        <v>279</v>
      </c>
      <c r="C120" s="143" t="s">
        <v>103</v>
      </c>
      <c r="D120" s="143" t="s">
        <v>69</v>
      </c>
      <c r="E120" s="257">
        <v>22435000</v>
      </c>
      <c r="F120" s="257">
        <v>22435000</v>
      </c>
      <c r="G120" s="257">
        <v>22435000</v>
      </c>
      <c r="H120" s="257">
        <v>0</v>
      </c>
      <c r="I120" s="257">
        <v>12545936</v>
      </c>
      <c r="J120" s="257">
        <v>0</v>
      </c>
      <c r="K120" s="257">
        <v>9889064</v>
      </c>
      <c r="L120" s="257">
        <v>9889064</v>
      </c>
      <c r="M120" s="257">
        <v>0</v>
      </c>
      <c r="N120" s="257">
        <v>0</v>
      </c>
    </row>
    <row r="121" spans="1:14" s="143" customFormat="1" x14ac:dyDescent="0.25">
      <c r="A121" s="143" t="s">
        <v>274</v>
      </c>
      <c r="B121" s="143" t="s">
        <v>104</v>
      </c>
      <c r="C121" s="143" t="s">
        <v>105</v>
      </c>
      <c r="D121" s="143" t="s">
        <v>69</v>
      </c>
      <c r="E121" s="257">
        <v>155922650</v>
      </c>
      <c r="F121" s="257">
        <v>155922650</v>
      </c>
      <c r="G121" s="257">
        <v>116330161.84999999</v>
      </c>
      <c r="H121" s="257">
        <v>108800</v>
      </c>
      <c r="I121" s="257">
        <v>17560331.300000001</v>
      </c>
      <c r="J121" s="257">
        <v>0</v>
      </c>
      <c r="K121" s="257">
        <v>50533138.289999999</v>
      </c>
      <c r="L121" s="257">
        <v>48340160.979999997</v>
      </c>
      <c r="M121" s="257">
        <v>87720380.409999996</v>
      </c>
      <c r="N121" s="257">
        <v>48127892.259999998</v>
      </c>
    </row>
    <row r="122" spans="1:14" s="143" customFormat="1" x14ac:dyDescent="0.25">
      <c r="A122" s="143" t="s">
        <v>274</v>
      </c>
      <c r="B122" s="143" t="s">
        <v>106</v>
      </c>
      <c r="C122" s="143" t="s">
        <v>107</v>
      </c>
      <c r="D122" s="143" t="s">
        <v>69</v>
      </c>
      <c r="E122" s="257">
        <v>78966646</v>
      </c>
      <c r="F122" s="257">
        <v>78966646</v>
      </c>
      <c r="G122" s="257">
        <v>69984909</v>
      </c>
      <c r="H122" s="257">
        <v>0</v>
      </c>
      <c r="I122" s="257">
        <v>6021058.6200000001</v>
      </c>
      <c r="J122" s="257">
        <v>0</v>
      </c>
      <c r="K122" s="257">
        <v>33268177.170000002</v>
      </c>
      <c r="L122" s="257">
        <v>33145310.050000001</v>
      </c>
      <c r="M122" s="257">
        <v>39677410.210000001</v>
      </c>
      <c r="N122" s="257">
        <v>30695673.210000001</v>
      </c>
    </row>
    <row r="123" spans="1:14" s="143" customFormat="1" x14ac:dyDescent="0.25">
      <c r="A123" s="143" t="s">
        <v>274</v>
      </c>
      <c r="B123" s="143" t="s">
        <v>280</v>
      </c>
      <c r="C123" s="143" t="s">
        <v>281</v>
      </c>
      <c r="D123" s="143" t="s">
        <v>69</v>
      </c>
      <c r="E123" s="257">
        <v>67899341</v>
      </c>
      <c r="F123" s="257">
        <v>67899341</v>
      </c>
      <c r="G123" s="257">
        <v>59048082</v>
      </c>
      <c r="H123" s="257">
        <v>0</v>
      </c>
      <c r="I123" s="257">
        <v>4477544.0599999996</v>
      </c>
      <c r="J123" s="257">
        <v>0</v>
      </c>
      <c r="K123" s="257">
        <v>28390263.620000001</v>
      </c>
      <c r="L123" s="257">
        <v>28390263.620000001</v>
      </c>
      <c r="M123" s="257">
        <v>35031533.32</v>
      </c>
      <c r="N123" s="257">
        <v>26180274.32</v>
      </c>
    </row>
    <row r="124" spans="1:14" s="143" customFormat="1" x14ac:dyDescent="0.25">
      <c r="A124" s="143" t="s">
        <v>274</v>
      </c>
      <c r="B124" s="143" t="s">
        <v>108</v>
      </c>
      <c r="C124" s="143" t="s">
        <v>109</v>
      </c>
      <c r="D124" s="143" t="s">
        <v>69</v>
      </c>
      <c r="E124" s="257">
        <v>11067305</v>
      </c>
      <c r="F124" s="257">
        <v>11067305</v>
      </c>
      <c r="G124" s="257">
        <v>10936827</v>
      </c>
      <c r="H124" s="257">
        <v>0</v>
      </c>
      <c r="I124" s="257">
        <v>1543514.56</v>
      </c>
      <c r="J124" s="257">
        <v>0</v>
      </c>
      <c r="K124" s="257">
        <v>4877913.55</v>
      </c>
      <c r="L124" s="257">
        <v>4755046.43</v>
      </c>
      <c r="M124" s="257">
        <v>4645876.8899999997</v>
      </c>
      <c r="N124" s="257">
        <v>4515398.8899999997</v>
      </c>
    </row>
    <row r="125" spans="1:14" s="143" customFormat="1" x14ac:dyDescent="0.25">
      <c r="A125" s="143" t="s">
        <v>274</v>
      </c>
      <c r="B125" s="143" t="s">
        <v>112</v>
      </c>
      <c r="C125" s="143" t="s">
        <v>113</v>
      </c>
      <c r="D125" s="143" t="s">
        <v>69</v>
      </c>
      <c r="E125" s="257">
        <v>14518657</v>
      </c>
      <c r="F125" s="257">
        <v>14482767</v>
      </c>
      <c r="G125" s="257">
        <v>9243775</v>
      </c>
      <c r="H125" s="257">
        <v>0</v>
      </c>
      <c r="I125" s="257">
        <v>643952.68000000005</v>
      </c>
      <c r="J125" s="257">
        <v>0</v>
      </c>
      <c r="K125" s="257">
        <v>7754764.75</v>
      </c>
      <c r="L125" s="257">
        <v>6970856.9299999997</v>
      </c>
      <c r="M125" s="257">
        <v>6084049.5700000003</v>
      </c>
      <c r="N125" s="257">
        <v>845057.57</v>
      </c>
    </row>
    <row r="126" spans="1:14" s="143" customFormat="1" x14ac:dyDescent="0.25">
      <c r="A126" s="143" t="s">
        <v>274</v>
      </c>
      <c r="B126" s="143" t="s">
        <v>114</v>
      </c>
      <c r="C126" s="143" t="s">
        <v>115</v>
      </c>
      <c r="D126" s="143" t="s">
        <v>69</v>
      </c>
      <c r="E126" s="257">
        <v>1280000</v>
      </c>
      <c r="F126" s="257">
        <v>1244110</v>
      </c>
      <c r="G126" s="257">
        <v>824110</v>
      </c>
      <c r="H126" s="257">
        <v>0</v>
      </c>
      <c r="I126" s="257">
        <v>280545</v>
      </c>
      <c r="J126" s="257">
        <v>0</v>
      </c>
      <c r="K126" s="257">
        <v>329035</v>
      </c>
      <c r="L126" s="257">
        <v>329035</v>
      </c>
      <c r="M126" s="257">
        <v>634530</v>
      </c>
      <c r="N126" s="257">
        <v>214530</v>
      </c>
    </row>
    <row r="127" spans="1:14" s="143" customFormat="1" x14ac:dyDescent="0.25">
      <c r="A127" s="143" t="s">
        <v>274</v>
      </c>
      <c r="B127" s="143" t="s">
        <v>116</v>
      </c>
      <c r="C127" s="143" t="s">
        <v>117</v>
      </c>
      <c r="D127" s="143" t="s">
        <v>69</v>
      </c>
      <c r="E127" s="257">
        <v>3685715</v>
      </c>
      <c r="F127" s="257">
        <v>3685715</v>
      </c>
      <c r="G127" s="257">
        <v>2301429</v>
      </c>
      <c r="H127" s="257">
        <v>0</v>
      </c>
      <c r="I127" s="257">
        <v>212702</v>
      </c>
      <c r="J127" s="257">
        <v>0</v>
      </c>
      <c r="K127" s="257">
        <v>1458627</v>
      </c>
      <c r="L127" s="257">
        <v>1458627</v>
      </c>
      <c r="M127" s="257">
        <v>2014386</v>
      </c>
      <c r="N127" s="257">
        <v>630100</v>
      </c>
    </row>
    <row r="128" spans="1:14" s="143" customFormat="1" x14ac:dyDescent="0.25">
      <c r="A128" s="143" t="s">
        <v>274</v>
      </c>
      <c r="B128" s="143" t="s">
        <v>120</v>
      </c>
      <c r="C128" s="143" t="s">
        <v>121</v>
      </c>
      <c r="D128" s="143" t="s">
        <v>69</v>
      </c>
      <c r="E128" s="257">
        <v>9552942</v>
      </c>
      <c r="F128" s="257">
        <v>9552942</v>
      </c>
      <c r="G128" s="257">
        <v>6118236</v>
      </c>
      <c r="H128" s="257">
        <v>0</v>
      </c>
      <c r="I128" s="257">
        <v>150705.68</v>
      </c>
      <c r="J128" s="257">
        <v>0</v>
      </c>
      <c r="K128" s="257">
        <v>5967102.75</v>
      </c>
      <c r="L128" s="257">
        <v>5183194.93</v>
      </c>
      <c r="M128" s="257">
        <v>3435133.57</v>
      </c>
      <c r="N128" s="257">
        <v>427.57</v>
      </c>
    </row>
    <row r="129" spans="1:14" s="143" customFormat="1" x14ac:dyDescent="0.25">
      <c r="A129" s="143" t="s">
        <v>274</v>
      </c>
      <c r="B129" s="143" t="s">
        <v>124</v>
      </c>
      <c r="C129" s="143" t="s">
        <v>125</v>
      </c>
      <c r="D129" s="143" t="s">
        <v>69</v>
      </c>
      <c r="E129" s="257">
        <v>16719000</v>
      </c>
      <c r="F129" s="257">
        <v>14451000</v>
      </c>
      <c r="G129" s="257">
        <v>8420000</v>
      </c>
      <c r="H129" s="257">
        <v>0</v>
      </c>
      <c r="I129" s="257">
        <v>0</v>
      </c>
      <c r="J129" s="257">
        <v>0</v>
      </c>
      <c r="K129" s="257">
        <v>5000</v>
      </c>
      <c r="L129" s="257">
        <v>5000</v>
      </c>
      <c r="M129" s="257">
        <v>14446000</v>
      </c>
      <c r="N129" s="257">
        <v>8415000</v>
      </c>
    </row>
    <row r="130" spans="1:14" s="143" customFormat="1" x14ac:dyDescent="0.25">
      <c r="A130" s="143" t="s">
        <v>274</v>
      </c>
      <c r="B130" s="143" t="s">
        <v>126</v>
      </c>
      <c r="C130" s="143" t="s">
        <v>127</v>
      </c>
      <c r="D130" s="143" t="s">
        <v>69</v>
      </c>
      <c r="E130" s="257">
        <v>719000</v>
      </c>
      <c r="F130" s="257">
        <v>519000</v>
      </c>
      <c r="G130" s="257">
        <v>200000</v>
      </c>
      <c r="H130" s="257">
        <v>0</v>
      </c>
      <c r="I130" s="257">
        <v>0</v>
      </c>
      <c r="J130" s="257">
        <v>0</v>
      </c>
      <c r="K130" s="257">
        <v>0</v>
      </c>
      <c r="L130" s="257">
        <v>0</v>
      </c>
      <c r="M130" s="257">
        <v>519000</v>
      </c>
      <c r="N130" s="257">
        <v>200000</v>
      </c>
    </row>
    <row r="131" spans="1:14" s="143" customFormat="1" x14ac:dyDescent="0.25">
      <c r="A131" s="143" t="s">
        <v>274</v>
      </c>
      <c r="B131" s="143" t="s">
        <v>128</v>
      </c>
      <c r="C131" s="143" t="s">
        <v>129</v>
      </c>
      <c r="D131" s="143" t="s">
        <v>69</v>
      </c>
      <c r="E131" s="257">
        <v>16000000</v>
      </c>
      <c r="F131" s="257">
        <v>13932000</v>
      </c>
      <c r="G131" s="257">
        <v>8220000</v>
      </c>
      <c r="H131" s="257">
        <v>0</v>
      </c>
      <c r="I131" s="257">
        <v>0</v>
      </c>
      <c r="J131" s="257">
        <v>0</v>
      </c>
      <c r="K131" s="257">
        <v>5000</v>
      </c>
      <c r="L131" s="257">
        <v>5000</v>
      </c>
      <c r="M131" s="257">
        <v>13927000</v>
      </c>
      <c r="N131" s="257">
        <v>8215000</v>
      </c>
    </row>
    <row r="132" spans="1:14" s="143" customFormat="1" x14ac:dyDescent="0.25">
      <c r="A132" s="143" t="s">
        <v>274</v>
      </c>
      <c r="B132" s="143" t="s">
        <v>134</v>
      </c>
      <c r="C132" s="143" t="s">
        <v>135</v>
      </c>
      <c r="D132" s="143" t="s">
        <v>69</v>
      </c>
      <c r="E132" s="257">
        <v>2200000</v>
      </c>
      <c r="F132" s="257">
        <v>1950000</v>
      </c>
      <c r="G132" s="257">
        <v>1477240</v>
      </c>
      <c r="H132" s="257">
        <v>0</v>
      </c>
      <c r="I132" s="257">
        <v>136255</v>
      </c>
      <c r="J132" s="257">
        <v>0</v>
      </c>
      <c r="K132" s="257">
        <v>1180985</v>
      </c>
      <c r="L132" s="257">
        <v>1167240</v>
      </c>
      <c r="M132" s="257">
        <v>632760</v>
      </c>
      <c r="N132" s="257">
        <v>160000</v>
      </c>
    </row>
    <row r="133" spans="1:14" s="143" customFormat="1" x14ac:dyDescent="0.25">
      <c r="A133" s="143" t="s">
        <v>274</v>
      </c>
      <c r="B133" s="143" t="s">
        <v>136</v>
      </c>
      <c r="C133" s="143" t="s">
        <v>137</v>
      </c>
      <c r="D133" s="143" t="s">
        <v>69</v>
      </c>
      <c r="E133" s="257">
        <v>1200000</v>
      </c>
      <c r="F133" s="257">
        <v>1100000</v>
      </c>
      <c r="G133" s="257">
        <v>1017240</v>
      </c>
      <c r="H133" s="257">
        <v>0</v>
      </c>
      <c r="I133" s="257">
        <v>0</v>
      </c>
      <c r="J133" s="257">
        <v>0</v>
      </c>
      <c r="K133" s="257">
        <v>1017240</v>
      </c>
      <c r="L133" s="257">
        <v>1017240</v>
      </c>
      <c r="M133" s="257">
        <v>82760</v>
      </c>
      <c r="N133" s="257">
        <v>0</v>
      </c>
    </row>
    <row r="134" spans="1:14" s="143" customFormat="1" x14ac:dyDescent="0.25">
      <c r="A134" s="143" t="s">
        <v>274</v>
      </c>
      <c r="B134" s="143" t="s">
        <v>138</v>
      </c>
      <c r="C134" s="143" t="s">
        <v>139</v>
      </c>
      <c r="D134" s="143" t="s">
        <v>69</v>
      </c>
      <c r="E134" s="257">
        <v>1000000</v>
      </c>
      <c r="F134" s="257">
        <v>850000</v>
      </c>
      <c r="G134" s="257">
        <v>460000</v>
      </c>
      <c r="H134" s="257">
        <v>0</v>
      </c>
      <c r="I134" s="257">
        <v>136255</v>
      </c>
      <c r="J134" s="257">
        <v>0</v>
      </c>
      <c r="K134" s="257">
        <v>163745</v>
      </c>
      <c r="L134" s="257">
        <v>150000</v>
      </c>
      <c r="M134" s="257">
        <v>550000</v>
      </c>
      <c r="N134" s="257">
        <v>160000</v>
      </c>
    </row>
    <row r="135" spans="1:14" s="143" customFormat="1" x14ac:dyDescent="0.25">
      <c r="A135" s="143" t="s">
        <v>274</v>
      </c>
      <c r="B135" s="143" t="s">
        <v>140</v>
      </c>
      <c r="C135" s="143" t="s">
        <v>141</v>
      </c>
      <c r="D135" s="143" t="s">
        <v>69</v>
      </c>
      <c r="E135" s="257">
        <v>6813730</v>
      </c>
      <c r="F135" s="257">
        <v>12156620</v>
      </c>
      <c r="G135" s="257">
        <v>9583823</v>
      </c>
      <c r="H135" s="257">
        <v>108800</v>
      </c>
      <c r="I135" s="257">
        <v>2836165</v>
      </c>
      <c r="J135" s="257">
        <v>0</v>
      </c>
      <c r="K135" s="257">
        <v>4726030</v>
      </c>
      <c r="L135" s="257">
        <v>4492960</v>
      </c>
      <c r="M135" s="257">
        <v>4485625</v>
      </c>
      <c r="N135" s="257">
        <v>1912828</v>
      </c>
    </row>
    <row r="136" spans="1:14" s="143" customFormat="1" x14ac:dyDescent="0.25">
      <c r="A136" s="143" t="s">
        <v>274</v>
      </c>
      <c r="B136" s="143" t="s">
        <v>142</v>
      </c>
      <c r="C136" s="143" t="s">
        <v>143</v>
      </c>
      <c r="D136" s="143" t="s">
        <v>69</v>
      </c>
      <c r="E136" s="257">
        <v>250000</v>
      </c>
      <c r="F136" s="257">
        <v>902890</v>
      </c>
      <c r="G136" s="257">
        <v>852890</v>
      </c>
      <c r="H136" s="257">
        <v>0</v>
      </c>
      <c r="I136" s="257">
        <v>340115</v>
      </c>
      <c r="J136" s="257">
        <v>0</v>
      </c>
      <c r="K136" s="257">
        <v>198930</v>
      </c>
      <c r="L136" s="257">
        <v>191060</v>
      </c>
      <c r="M136" s="257">
        <v>363845</v>
      </c>
      <c r="N136" s="257">
        <v>313845</v>
      </c>
    </row>
    <row r="137" spans="1:14" s="143" customFormat="1" x14ac:dyDescent="0.25">
      <c r="A137" s="143" t="s">
        <v>274</v>
      </c>
      <c r="B137" s="143" t="s">
        <v>144</v>
      </c>
      <c r="C137" s="143" t="s">
        <v>145</v>
      </c>
      <c r="D137" s="143" t="s">
        <v>69</v>
      </c>
      <c r="E137" s="257">
        <v>6563730</v>
      </c>
      <c r="F137" s="257">
        <v>11253730</v>
      </c>
      <c r="G137" s="257">
        <v>8730933</v>
      </c>
      <c r="H137" s="257">
        <v>108800</v>
      </c>
      <c r="I137" s="257">
        <v>2496050</v>
      </c>
      <c r="J137" s="257">
        <v>0</v>
      </c>
      <c r="K137" s="257">
        <v>4527100</v>
      </c>
      <c r="L137" s="257">
        <v>4301900</v>
      </c>
      <c r="M137" s="257">
        <v>4121780</v>
      </c>
      <c r="N137" s="257">
        <v>1598983</v>
      </c>
    </row>
    <row r="138" spans="1:14" s="143" customFormat="1" x14ac:dyDescent="0.25">
      <c r="A138" s="143" t="s">
        <v>274</v>
      </c>
      <c r="B138" s="143" t="s">
        <v>150</v>
      </c>
      <c r="C138" s="143" t="s">
        <v>151</v>
      </c>
      <c r="D138" s="143" t="s">
        <v>69</v>
      </c>
      <c r="E138" s="257">
        <v>4277392</v>
      </c>
      <c r="F138" s="257">
        <v>4277392</v>
      </c>
      <c r="G138" s="257">
        <v>2690348</v>
      </c>
      <c r="H138" s="257">
        <v>0</v>
      </c>
      <c r="I138" s="257">
        <v>550000</v>
      </c>
      <c r="J138" s="257">
        <v>0</v>
      </c>
      <c r="K138" s="257">
        <v>1260694</v>
      </c>
      <c r="L138" s="257">
        <v>1260694</v>
      </c>
      <c r="M138" s="257">
        <v>2466698</v>
      </c>
      <c r="N138" s="257">
        <v>879654</v>
      </c>
    </row>
    <row r="139" spans="1:14" s="143" customFormat="1" x14ac:dyDescent="0.25">
      <c r="A139" s="143" t="s">
        <v>274</v>
      </c>
      <c r="B139" s="143" t="s">
        <v>152</v>
      </c>
      <c r="C139" s="143" t="s">
        <v>153</v>
      </c>
      <c r="D139" s="143" t="s">
        <v>69</v>
      </c>
      <c r="E139" s="257">
        <v>4277392</v>
      </c>
      <c r="F139" s="257">
        <v>4277392</v>
      </c>
      <c r="G139" s="257">
        <v>2690348</v>
      </c>
      <c r="H139" s="257">
        <v>0</v>
      </c>
      <c r="I139" s="257">
        <v>550000</v>
      </c>
      <c r="J139" s="257">
        <v>0</v>
      </c>
      <c r="K139" s="257">
        <v>1260694</v>
      </c>
      <c r="L139" s="257">
        <v>1260694</v>
      </c>
      <c r="M139" s="257">
        <v>2466698</v>
      </c>
      <c r="N139" s="257">
        <v>879654</v>
      </c>
    </row>
    <row r="140" spans="1:14" s="143" customFormat="1" x14ac:dyDescent="0.25">
      <c r="A140" s="143" t="s">
        <v>274</v>
      </c>
      <c r="B140" s="143" t="s">
        <v>154</v>
      </c>
      <c r="C140" s="143" t="s">
        <v>155</v>
      </c>
      <c r="D140" s="143" t="s">
        <v>69</v>
      </c>
      <c r="E140" s="257">
        <v>12267225</v>
      </c>
      <c r="F140" s="257">
        <v>14282225</v>
      </c>
      <c r="G140" s="257">
        <v>8095807</v>
      </c>
      <c r="H140" s="257">
        <v>0</v>
      </c>
      <c r="I140" s="257">
        <v>2672900</v>
      </c>
      <c r="J140" s="257">
        <v>0</v>
      </c>
      <c r="K140" s="257">
        <v>1422100</v>
      </c>
      <c r="L140" s="257">
        <v>1298100</v>
      </c>
      <c r="M140" s="257">
        <v>10187225</v>
      </c>
      <c r="N140" s="257">
        <v>4000807</v>
      </c>
    </row>
    <row r="141" spans="1:14" s="143" customFormat="1" x14ac:dyDescent="0.25">
      <c r="A141" s="143" t="s">
        <v>274</v>
      </c>
      <c r="B141" s="143" t="s">
        <v>156</v>
      </c>
      <c r="C141" s="143" t="s">
        <v>157</v>
      </c>
      <c r="D141" s="143" t="s">
        <v>69</v>
      </c>
      <c r="E141" s="257">
        <v>12267225</v>
      </c>
      <c r="F141" s="257">
        <v>14282225</v>
      </c>
      <c r="G141" s="257">
        <v>8095807</v>
      </c>
      <c r="H141" s="257">
        <v>0</v>
      </c>
      <c r="I141" s="257">
        <v>2672900</v>
      </c>
      <c r="J141" s="257">
        <v>0</v>
      </c>
      <c r="K141" s="257">
        <v>1422100</v>
      </c>
      <c r="L141" s="257">
        <v>1298100</v>
      </c>
      <c r="M141" s="257">
        <v>10187225</v>
      </c>
      <c r="N141" s="257">
        <v>4000807</v>
      </c>
    </row>
    <row r="142" spans="1:14" s="143" customFormat="1" x14ac:dyDescent="0.25">
      <c r="A142" s="143" t="s">
        <v>274</v>
      </c>
      <c r="B142" s="143" t="s">
        <v>162</v>
      </c>
      <c r="C142" s="143" t="s">
        <v>163</v>
      </c>
      <c r="D142" s="143" t="s">
        <v>69</v>
      </c>
      <c r="E142" s="257">
        <v>17894000</v>
      </c>
      <c r="F142" s="257">
        <v>13797000</v>
      </c>
      <c r="G142" s="257">
        <v>6174260</v>
      </c>
      <c r="H142" s="257">
        <v>0</v>
      </c>
      <c r="I142" s="257">
        <v>4050000</v>
      </c>
      <c r="J142" s="257">
        <v>0</v>
      </c>
      <c r="K142" s="257">
        <v>915387.37</v>
      </c>
      <c r="L142" s="257">
        <v>0</v>
      </c>
      <c r="M142" s="257">
        <v>8831612.6300000008</v>
      </c>
      <c r="N142" s="257">
        <v>1208872.6299999999</v>
      </c>
    </row>
    <row r="143" spans="1:14" s="143" customFormat="1" x14ac:dyDescent="0.25">
      <c r="A143" s="143" t="s">
        <v>274</v>
      </c>
      <c r="B143" s="143" t="s">
        <v>166</v>
      </c>
      <c r="C143" s="143" t="s">
        <v>167</v>
      </c>
      <c r="D143" s="143" t="s">
        <v>69</v>
      </c>
      <c r="E143" s="257">
        <v>7000000</v>
      </c>
      <c r="F143" s="257">
        <v>7000000</v>
      </c>
      <c r="G143" s="257">
        <v>2550000</v>
      </c>
      <c r="H143" s="257">
        <v>0</v>
      </c>
      <c r="I143" s="257">
        <v>2550000</v>
      </c>
      <c r="J143" s="257">
        <v>0</v>
      </c>
      <c r="K143" s="257">
        <v>0</v>
      </c>
      <c r="L143" s="257">
        <v>0</v>
      </c>
      <c r="M143" s="257">
        <v>4450000</v>
      </c>
      <c r="N143" s="257">
        <v>0</v>
      </c>
    </row>
    <row r="144" spans="1:14" s="143" customFormat="1" x14ac:dyDescent="0.25">
      <c r="A144" s="143" t="s">
        <v>274</v>
      </c>
      <c r="B144" s="143" t="s">
        <v>168</v>
      </c>
      <c r="C144" s="143" t="s">
        <v>169</v>
      </c>
      <c r="D144" s="143" t="s">
        <v>69</v>
      </c>
      <c r="E144" s="257">
        <v>3000000</v>
      </c>
      <c r="F144" s="257">
        <v>1953000</v>
      </c>
      <c r="G144" s="257">
        <v>760</v>
      </c>
      <c r="H144" s="257">
        <v>0</v>
      </c>
      <c r="I144" s="257">
        <v>0</v>
      </c>
      <c r="J144" s="257">
        <v>0</v>
      </c>
      <c r="K144" s="257">
        <v>0</v>
      </c>
      <c r="L144" s="257">
        <v>0</v>
      </c>
      <c r="M144" s="257">
        <v>1953000</v>
      </c>
      <c r="N144" s="257">
        <v>760</v>
      </c>
    </row>
    <row r="145" spans="1:14" s="143" customFormat="1" x14ac:dyDescent="0.25">
      <c r="A145" s="143" t="s">
        <v>274</v>
      </c>
      <c r="B145" s="143" t="s">
        <v>170</v>
      </c>
      <c r="C145" s="143" t="s">
        <v>171</v>
      </c>
      <c r="D145" s="143" t="s">
        <v>69</v>
      </c>
      <c r="E145" s="257">
        <v>4494000</v>
      </c>
      <c r="F145" s="257">
        <v>4494000</v>
      </c>
      <c r="G145" s="257">
        <v>3623500</v>
      </c>
      <c r="H145" s="257">
        <v>0</v>
      </c>
      <c r="I145" s="257">
        <v>1500000</v>
      </c>
      <c r="J145" s="257">
        <v>0</v>
      </c>
      <c r="K145" s="257">
        <v>915387.37</v>
      </c>
      <c r="L145" s="257">
        <v>0</v>
      </c>
      <c r="M145" s="257">
        <v>2078612.63</v>
      </c>
      <c r="N145" s="257">
        <v>1208112.6299999999</v>
      </c>
    </row>
    <row r="146" spans="1:14" s="143" customFormat="1" x14ac:dyDescent="0.25">
      <c r="A146" s="143" t="s">
        <v>274</v>
      </c>
      <c r="B146" s="143" t="s">
        <v>172</v>
      </c>
      <c r="C146" s="143" t="s">
        <v>173</v>
      </c>
      <c r="D146" s="143" t="s">
        <v>69</v>
      </c>
      <c r="E146" s="257">
        <v>3400000</v>
      </c>
      <c r="F146" s="257">
        <v>350000</v>
      </c>
      <c r="G146" s="257">
        <v>0</v>
      </c>
      <c r="H146" s="257">
        <v>0</v>
      </c>
      <c r="I146" s="257">
        <v>0</v>
      </c>
      <c r="J146" s="257">
        <v>0</v>
      </c>
      <c r="K146" s="257">
        <v>0</v>
      </c>
      <c r="L146" s="257">
        <v>0</v>
      </c>
      <c r="M146" s="257">
        <v>350000</v>
      </c>
      <c r="N146" s="257">
        <v>0</v>
      </c>
    </row>
    <row r="147" spans="1:14" s="143" customFormat="1" x14ac:dyDescent="0.25">
      <c r="A147" s="143" t="s">
        <v>274</v>
      </c>
      <c r="B147" s="143" t="s">
        <v>174</v>
      </c>
      <c r="C147" s="143" t="s">
        <v>175</v>
      </c>
      <c r="D147" s="143" t="s">
        <v>69</v>
      </c>
      <c r="E147" s="257">
        <v>466000</v>
      </c>
      <c r="F147" s="257">
        <v>299000</v>
      </c>
      <c r="G147" s="257">
        <v>50000</v>
      </c>
      <c r="H147" s="257">
        <v>0</v>
      </c>
      <c r="I147" s="257">
        <v>50000</v>
      </c>
      <c r="J147" s="257">
        <v>0</v>
      </c>
      <c r="K147" s="257">
        <v>0</v>
      </c>
      <c r="L147" s="257">
        <v>0</v>
      </c>
      <c r="M147" s="257">
        <v>249000</v>
      </c>
      <c r="N147" s="257">
        <v>0</v>
      </c>
    </row>
    <row r="148" spans="1:14" s="143" customFormat="1" x14ac:dyDescent="0.25">
      <c r="A148" s="143" t="s">
        <v>274</v>
      </c>
      <c r="B148" s="143" t="s">
        <v>176</v>
      </c>
      <c r="C148" s="143" t="s">
        <v>177</v>
      </c>
      <c r="D148" s="143" t="s">
        <v>69</v>
      </c>
      <c r="E148" s="257">
        <v>466000</v>
      </c>
      <c r="F148" s="257">
        <v>299000</v>
      </c>
      <c r="G148" s="257">
        <v>50000</v>
      </c>
      <c r="H148" s="257">
        <v>0</v>
      </c>
      <c r="I148" s="257">
        <v>50000</v>
      </c>
      <c r="J148" s="257">
        <v>0</v>
      </c>
      <c r="K148" s="257">
        <v>0</v>
      </c>
      <c r="L148" s="257">
        <v>0</v>
      </c>
      <c r="M148" s="257">
        <v>249000</v>
      </c>
      <c r="N148" s="257">
        <v>0</v>
      </c>
    </row>
    <row r="149" spans="1:14" s="143" customFormat="1" x14ac:dyDescent="0.25">
      <c r="A149" s="143" t="s">
        <v>274</v>
      </c>
      <c r="B149" s="143" t="s">
        <v>178</v>
      </c>
      <c r="C149" s="143" t="s">
        <v>179</v>
      </c>
      <c r="D149" s="143" t="s">
        <v>69</v>
      </c>
      <c r="E149" s="257">
        <v>1800000</v>
      </c>
      <c r="F149" s="257">
        <v>1260000</v>
      </c>
      <c r="G149" s="257">
        <v>609999.85</v>
      </c>
      <c r="H149" s="257">
        <v>0</v>
      </c>
      <c r="I149" s="257">
        <v>600000</v>
      </c>
      <c r="J149" s="257">
        <v>0</v>
      </c>
      <c r="K149" s="257">
        <v>0</v>
      </c>
      <c r="L149" s="257">
        <v>0</v>
      </c>
      <c r="M149" s="257">
        <v>660000</v>
      </c>
      <c r="N149" s="257">
        <v>9999.85</v>
      </c>
    </row>
    <row r="150" spans="1:14" s="143" customFormat="1" x14ac:dyDescent="0.25">
      <c r="A150" s="143" t="s">
        <v>274</v>
      </c>
      <c r="B150" s="143" t="s">
        <v>182</v>
      </c>
      <c r="C150" s="143" t="s">
        <v>183</v>
      </c>
      <c r="D150" s="143" t="s">
        <v>69</v>
      </c>
      <c r="E150" s="257">
        <v>1800000</v>
      </c>
      <c r="F150" s="257">
        <v>1260000</v>
      </c>
      <c r="G150" s="257">
        <v>609999.85</v>
      </c>
      <c r="H150" s="257">
        <v>0</v>
      </c>
      <c r="I150" s="257">
        <v>600000</v>
      </c>
      <c r="J150" s="257">
        <v>0</v>
      </c>
      <c r="K150" s="257">
        <v>0</v>
      </c>
      <c r="L150" s="257">
        <v>0</v>
      </c>
      <c r="M150" s="257">
        <v>660000</v>
      </c>
      <c r="N150" s="257">
        <v>9999.85</v>
      </c>
    </row>
    <row r="151" spans="1:14" s="143" customFormat="1" x14ac:dyDescent="0.25">
      <c r="A151" s="143" t="s">
        <v>274</v>
      </c>
      <c r="B151" s="143" t="s">
        <v>184</v>
      </c>
      <c r="C151" s="143" t="s">
        <v>185</v>
      </c>
      <c r="D151" s="143" t="s">
        <v>69</v>
      </c>
      <c r="E151" s="257">
        <v>57954839</v>
      </c>
      <c r="F151" s="257">
        <v>57954839</v>
      </c>
      <c r="G151" s="257">
        <v>33579714</v>
      </c>
      <c r="H151" s="257">
        <v>3519774</v>
      </c>
      <c r="I151" s="257">
        <v>5598720.2000000002</v>
      </c>
      <c r="J151" s="257">
        <v>311100.45</v>
      </c>
      <c r="K151" s="257">
        <v>9358287.3599999994</v>
      </c>
      <c r="L151" s="257">
        <v>7871713.7999999998</v>
      </c>
      <c r="M151" s="257">
        <v>39166956.990000002</v>
      </c>
      <c r="N151" s="257">
        <v>14791831.99</v>
      </c>
    </row>
    <row r="152" spans="1:14" s="143" customFormat="1" x14ac:dyDescent="0.25">
      <c r="A152" s="143" t="s">
        <v>274</v>
      </c>
      <c r="B152" s="143" t="s">
        <v>186</v>
      </c>
      <c r="C152" s="143" t="s">
        <v>187</v>
      </c>
      <c r="D152" s="143" t="s">
        <v>69</v>
      </c>
      <c r="E152" s="257">
        <v>17854839</v>
      </c>
      <c r="F152" s="257">
        <v>17803839</v>
      </c>
      <c r="G152" s="257">
        <v>9198210</v>
      </c>
      <c r="H152" s="257">
        <v>1617000</v>
      </c>
      <c r="I152" s="257">
        <v>2455440</v>
      </c>
      <c r="J152" s="257">
        <v>0</v>
      </c>
      <c r="K152" s="257">
        <v>1325375</v>
      </c>
      <c r="L152" s="257">
        <v>1325375</v>
      </c>
      <c r="M152" s="257">
        <v>12406024</v>
      </c>
      <c r="N152" s="257">
        <v>3800395</v>
      </c>
    </row>
    <row r="153" spans="1:14" s="143" customFormat="1" x14ac:dyDescent="0.25">
      <c r="A153" s="143" t="s">
        <v>274</v>
      </c>
      <c r="B153" s="143" t="s">
        <v>188</v>
      </c>
      <c r="C153" s="143" t="s">
        <v>189</v>
      </c>
      <c r="D153" s="143" t="s">
        <v>69</v>
      </c>
      <c r="E153" s="257">
        <v>9354839</v>
      </c>
      <c r="F153" s="257">
        <v>9354839</v>
      </c>
      <c r="G153" s="257">
        <v>3079210</v>
      </c>
      <c r="H153" s="257">
        <v>0</v>
      </c>
      <c r="I153" s="257">
        <v>953830</v>
      </c>
      <c r="J153" s="257">
        <v>0</v>
      </c>
      <c r="K153" s="257">
        <v>1325375</v>
      </c>
      <c r="L153" s="257">
        <v>1325375</v>
      </c>
      <c r="M153" s="257">
        <v>7075634</v>
      </c>
      <c r="N153" s="257">
        <v>800005</v>
      </c>
    </row>
    <row r="154" spans="1:14" s="143" customFormat="1" x14ac:dyDescent="0.25">
      <c r="A154" s="143" t="s">
        <v>274</v>
      </c>
      <c r="B154" s="143" t="s">
        <v>192</v>
      </c>
      <c r="C154" s="143" t="s">
        <v>193</v>
      </c>
      <c r="D154" s="143" t="s">
        <v>69</v>
      </c>
      <c r="E154" s="257">
        <v>8500000</v>
      </c>
      <c r="F154" s="257">
        <v>8449000</v>
      </c>
      <c r="G154" s="257">
        <v>6119000</v>
      </c>
      <c r="H154" s="257">
        <v>1617000</v>
      </c>
      <c r="I154" s="257">
        <v>1501610</v>
      </c>
      <c r="J154" s="257">
        <v>0</v>
      </c>
      <c r="K154" s="257">
        <v>0</v>
      </c>
      <c r="L154" s="257">
        <v>0</v>
      </c>
      <c r="M154" s="257">
        <v>5330390</v>
      </c>
      <c r="N154" s="257">
        <v>3000390</v>
      </c>
    </row>
    <row r="155" spans="1:14" s="143" customFormat="1" x14ac:dyDescent="0.25">
      <c r="A155" s="143" t="s">
        <v>274</v>
      </c>
      <c r="B155" s="143" t="s">
        <v>196</v>
      </c>
      <c r="C155" s="143" t="s">
        <v>197</v>
      </c>
      <c r="D155" s="143" t="s">
        <v>69</v>
      </c>
      <c r="E155" s="257">
        <v>2460000</v>
      </c>
      <c r="F155" s="257">
        <v>5911000</v>
      </c>
      <c r="G155" s="257">
        <v>2151000</v>
      </c>
      <c r="H155" s="257">
        <v>0</v>
      </c>
      <c r="I155" s="257">
        <v>1156976.7</v>
      </c>
      <c r="J155" s="257">
        <v>0</v>
      </c>
      <c r="K155" s="257">
        <v>931082</v>
      </c>
      <c r="L155" s="257">
        <v>353217</v>
      </c>
      <c r="M155" s="257">
        <v>3822941.3</v>
      </c>
      <c r="N155" s="257">
        <v>62941.3</v>
      </c>
    </row>
    <row r="156" spans="1:14" s="143" customFormat="1" x14ac:dyDescent="0.25">
      <c r="A156" s="143" t="s">
        <v>274</v>
      </c>
      <c r="B156" s="143" t="s">
        <v>198</v>
      </c>
      <c r="C156" s="143" t="s">
        <v>199</v>
      </c>
      <c r="D156" s="143" t="s">
        <v>69</v>
      </c>
      <c r="E156" s="257">
        <v>2460000</v>
      </c>
      <c r="F156" s="257">
        <v>5911000</v>
      </c>
      <c r="G156" s="257">
        <v>2151000</v>
      </c>
      <c r="H156" s="257">
        <v>0</v>
      </c>
      <c r="I156" s="257">
        <v>1156976.7</v>
      </c>
      <c r="J156" s="257">
        <v>0</v>
      </c>
      <c r="K156" s="257">
        <v>931082</v>
      </c>
      <c r="L156" s="257">
        <v>353217</v>
      </c>
      <c r="M156" s="257">
        <v>3822941.3</v>
      </c>
      <c r="N156" s="257">
        <v>62941.3</v>
      </c>
    </row>
    <row r="157" spans="1:14" s="143" customFormat="1" x14ac:dyDescent="0.25">
      <c r="A157" s="143" t="s">
        <v>274</v>
      </c>
      <c r="B157" s="143" t="s">
        <v>200</v>
      </c>
      <c r="C157" s="143" t="s">
        <v>201</v>
      </c>
      <c r="D157" s="143" t="s">
        <v>69</v>
      </c>
      <c r="E157" s="257">
        <v>2000000</v>
      </c>
      <c r="F157" s="257">
        <v>1950000</v>
      </c>
      <c r="G157" s="257">
        <v>1348000</v>
      </c>
      <c r="H157" s="257">
        <v>0</v>
      </c>
      <c r="I157" s="257">
        <v>374132.35</v>
      </c>
      <c r="J157" s="257">
        <v>0</v>
      </c>
      <c r="K157" s="257">
        <v>373368.18</v>
      </c>
      <c r="L157" s="257">
        <v>373368.18</v>
      </c>
      <c r="M157" s="257">
        <v>1202499.47</v>
      </c>
      <c r="N157" s="257">
        <v>600499.47</v>
      </c>
    </row>
    <row r="158" spans="1:14" s="143" customFormat="1" x14ac:dyDescent="0.25">
      <c r="A158" s="143" t="s">
        <v>274</v>
      </c>
      <c r="B158" s="143" t="s">
        <v>202</v>
      </c>
      <c r="C158" s="143" t="s">
        <v>203</v>
      </c>
      <c r="D158" s="143" t="s">
        <v>69</v>
      </c>
      <c r="E158" s="257">
        <v>2000000</v>
      </c>
      <c r="F158" s="257">
        <v>1950000</v>
      </c>
      <c r="G158" s="257">
        <v>1348000</v>
      </c>
      <c r="H158" s="257">
        <v>0</v>
      </c>
      <c r="I158" s="257">
        <v>374132.35</v>
      </c>
      <c r="J158" s="257">
        <v>0</v>
      </c>
      <c r="K158" s="257">
        <v>373368.18</v>
      </c>
      <c r="L158" s="257">
        <v>373368.18</v>
      </c>
      <c r="M158" s="257">
        <v>1202499.47</v>
      </c>
      <c r="N158" s="257">
        <v>600499.47</v>
      </c>
    </row>
    <row r="159" spans="1:14" s="143" customFormat="1" x14ac:dyDescent="0.25">
      <c r="A159" s="143" t="s">
        <v>274</v>
      </c>
      <c r="B159" s="143" t="s">
        <v>206</v>
      </c>
      <c r="C159" s="143" t="s">
        <v>207</v>
      </c>
      <c r="D159" s="143" t="s">
        <v>69</v>
      </c>
      <c r="E159" s="257">
        <v>6710000</v>
      </c>
      <c r="F159" s="257">
        <v>3860000</v>
      </c>
      <c r="G159" s="257">
        <v>1002132</v>
      </c>
      <c r="H159" s="257">
        <v>0</v>
      </c>
      <c r="I159" s="257">
        <v>0</v>
      </c>
      <c r="J159" s="257">
        <v>0</v>
      </c>
      <c r="K159" s="257">
        <v>0</v>
      </c>
      <c r="L159" s="257">
        <v>0</v>
      </c>
      <c r="M159" s="257">
        <v>3860000</v>
      </c>
      <c r="N159" s="257">
        <v>1002132</v>
      </c>
    </row>
    <row r="160" spans="1:14" s="143" customFormat="1" x14ac:dyDescent="0.25">
      <c r="A160" s="143" t="s">
        <v>274</v>
      </c>
      <c r="B160" s="143" t="s">
        <v>208</v>
      </c>
      <c r="C160" s="143" t="s">
        <v>209</v>
      </c>
      <c r="D160" s="143" t="s">
        <v>69</v>
      </c>
      <c r="E160" s="257">
        <v>3710000</v>
      </c>
      <c r="F160" s="257">
        <v>2210000</v>
      </c>
      <c r="G160" s="257">
        <v>800000</v>
      </c>
      <c r="H160" s="257">
        <v>0</v>
      </c>
      <c r="I160" s="257">
        <v>0</v>
      </c>
      <c r="J160" s="257">
        <v>0</v>
      </c>
      <c r="K160" s="257">
        <v>0</v>
      </c>
      <c r="L160" s="257">
        <v>0</v>
      </c>
      <c r="M160" s="257">
        <v>2210000</v>
      </c>
      <c r="N160" s="257">
        <v>800000</v>
      </c>
    </row>
    <row r="161" spans="1:14" s="143" customFormat="1" x14ac:dyDescent="0.25">
      <c r="A161" s="143" t="s">
        <v>274</v>
      </c>
      <c r="B161" s="143" t="s">
        <v>210</v>
      </c>
      <c r="C161" s="143" t="s">
        <v>211</v>
      </c>
      <c r="D161" s="143" t="s">
        <v>69</v>
      </c>
      <c r="E161" s="257">
        <v>3000000</v>
      </c>
      <c r="F161" s="257">
        <v>1650000</v>
      </c>
      <c r="G161" s="257">
        <v>202132</v>
      </c>
      <c r="H161" s="257">
        <v>0</v>
      </c>
      <c r="I161" s="257">
        <v>0</v>
      </c>
      <c r="J161" s="257">
        <v>0</v>
      </c>
      <c r="K161" s="257">
        <v>0</v>
      </c>
      <c r="L161" s="257">
        <v>0</v>
      </c>
      <c r="M161" s="257">
        <v>1650000</v>
      </c>
      <c r="N161" s="257">
        <v>202132</v>
      </c>
    </row>
    <row r="162" spans="1:14" s="143" customFormat="1" x14ac:dyDescent="0.25">
      <c r="A162" s="143" t="s">
        <v>274</v>
      </c>
      <c r="B162" s="143" t="s">
        <v>212</v>
      </c>
      <c r="C162" s="143" t="s">
        <v>213</v>
      </c>
      <c r="D162" s="143" t="s">
        <v>69</v>
      </c>
      <c r="E162" s="257">
        <v>28930000</v>
      </c>
      <c r="F162" s="257">
        <v>28430000</v>
      </c>
      <c r="G162" s="257">
        <v>19880372</v>
      </c>
      <c r="H162" s="257">
        <v>1902774</v>
      </c>
      <c r="I162" s="257">
        <v>1612171.15</v>
      </c>
      <c r="J162" s="257">
        <v>311100.45</v>
      </c>
      <c r="K162" s="257">
        <v>6728462.1799999997</v>
      </c>
      <c r="L162" s="257">
        <v>5819753.6200000001</v>
      </c>
      <c r="M162" s="257">
        <v>17875492.219999999</v>
      </c>
      <c r="N162" s="257">
        <v>9325864.2200000007</v>
      </c>
    </row>
    <row r="163" spans="1:14" s="143" customFormat="1" x14ac:dyDescent="0.25">
      <c r="A163" s="143" t="s">
        <v>274</v>
      </c>
      <c r="B163" s="143" t="s">
        <v>214</v>
      </c>
      <c r="C163" s="143" t="s">
        <v>215</v>
      </c>
      <c r="D163" s="143" t="s">
        <v>69</v>
      </c>
      <c r="E163" s="257">
        <v>8000000</v>
      </c>
      <c r="F163" s="257">
        <v>7500000</v>
      </c>
      <c r="G163" s="257">
        <v>5000000</v>
      </c>
      <c r="H163" s="257">
        <v>0</v>
      </c>
      <c r="I163" s="257">
        <v>741237.64</v>
      </c>
      <c r="J163" s="257">
        <v>294295.2</v>
      </c>
      <c r="K163" s="257">
        <v>1963569.33</v>
      </c>
      <c r="L163" s="257">
        <v>1591410.77</v>
      </c>
      <c r="M163" s="257">
        <v>4500897.83</v>
      </c>
      <c r="N163" s="257">
        <v>2000897.83</v>
      </c>
    </row>
    <row r="164" spans="1:14" s="143" customFormat="1" x14ac:dyDescent="0.25">
      <c r="A164" s="143" t="s">
        <v>274</v>
      </c>
      <c r="B164" s="143" t="s">
        <v>218</v>
      </c>
      <c r="C164" s="143" t="s">
        <v>219</v>
      </c>
      <c r="D164" s="143" t="s">
        <v>69</v>
      </c>
      <c r="E164" s="257">
        <v>8000000</v>
      </c>
      <c r="F164" s="257">
        <v>7500000</v>
      </c>
      <c r="G164" s="257">
        <v>4800000</v>
      </c>
      <c r="H164" s="257">
        <v>0</v>
      </c>
      <c r="I164" s="257">
        <v>499816.51</v>
      </c>
      <c r="J164" s="257">
        <v>16805.25</v>
      </c>
      <c r="K164" s="257">
        <v>1961916.65</v>
      </c>
      <c r="L164" s="257">
        <v>1961916.65</v>
      </c>
      <c r="M164" s="257">
        <v>5021461.59</v>
      </c>
      <c r="N164" s="257">
        <v>2321461.59</v>
      </c>
    </row>
    <row r="165" spans="1:14" s="143" customFormat="1" x14ac:dyDescent="0.25">
      <c r="A165" s="143" t="s">
        <v>274</v>
      </c>
      <c r="B165" s="143" t="s">
        <v>222</v>
      </c>
      <c r="C165" s="143" t="s">
        <v>223</v>
      </c>
      <c r="D165" s="143" t="s">
        <v>69</v>
      </c>
      <c r="E165" s="257">
        <v>4930000</v>
      </c>
      <c r="F165" s="257">
        <v>4430000</v>
      </c>
      <c r="G165" s="257">
        <v>1764372</v>
      </c>
      <c r="H165" s="257">
        <v>572774</v>
      </c>
      <c r="I165" s="257">
        <v>371117</v>
      </c>
      <c r="J165" s="257">
        <v>0</v>
      </c>
      <c r="K165" s="257">
        <v>819226.2</v>
      </c>
      <c r="L165" s="257">
        <v>605026.19999999995</v>
      </c>
      <c r="M165" s="257">
        <v>2666882.7999999998</v>
      </c>
      <c r="N165" s="257">
        <v>1254.8</v>
      </c>
    </row>
    <row r="166" spans="1:14" s="143" customFormat="1" x14ac:dyDescent="0.25">
      <c r="A166" s="143" t="s">
        <v>274</v>
      </c>
      <c r="B166" s="143" t="s">
        <v>228</v>
      </c>
      <c r="C166" s="143" t="s">
        <v>229</v>
      </c>
      <c r="D166" s="143" t="s">
        <v>69</v>
      </c>
      <c r="E166" s="257">
        <v>8000000</v>
      </c>
      <c r="F166" s="257">
        <v>9000000</v>
      </c>
      <c r="G166" s="257">
        <v>8316000</v>
      </c>
      <c r="H166" s="257">
        <v>1330000</v>
      </c>
      <c r="I166" s="257">
        <v>0</v>
      </c>
      <c r="J166" s="257">
        <v>0</v>
      </c>
      <c r="K166" s="257">
        <v>1983750</v>
      </c>
      <c r="L166" s="257">
        <v>1661400</v>
      </c>
      <c r="M166" s="257">
        <v>5686250</v>
      </c>
      <c r="N166" s="257">
        <v>5002250</v>
      </c>
    </row>
    <row r="167" spans="1:14" s="143" customFormat="1" x14ac:dyDescent="0.25">
      <c r="A167" s="143" t="s">
        <v>274</v>
      </c>
      <c r="B167" s="143" t="s">
        <v>248</v>
      </c>
      <c r="C167" s="143" t="s">
        <v>249</v>
      </c>
      <c r="D167" s="143" t="s">
        <v>69</v>
      </c>
      <c r="E167" s="257">
        <v>43960000</v>
      </c>
      <c r="F167" s="257">
        <v>43960000</v>
      </c>
      <c r="G167" s="257">
        <v>36960000</v>
      </c>
      <c r="H167" s="257">
        <v>0</v>
      </c>
      <c r="I167" s="257">
        <v>6230433</v>
      </c>
      <c r="J167" s="257">
        <v>0</v>
      </c>
      <c r="K167" s="257">
        <v>25212128.350000001</v>
      </c>
      <c r="L167" s="257">
        <v>25212128.350000001</v>
      </c>
      <c r="M167" s="257">
        <v>12517438.65</v>
      </c>
      <c r="N167" s="257">
        <v>5517438.6500000004</v>
      </c>
    </row>
    <row r="168" spans="1:14" s="143" customFormat="1" x14ac:dyDescent="0.25">
      <c r="A168" s="143" t="s">
        <v>274</v>
      </c>
      <c r="B168" s="143" t="s">
        <v>250</v>
      </c>
      <c r="C168" s="143" t="s">
        <v>251</v>
      </c>
      <c r="D168" s="143" t="s">
        <v>69</v>
      </c>
      <c r="E168" s="257">
        <v>11142000</v>
      </c>
      <c r="F168" s="257">
        <v>11142000</v>
      </c>
      <c r="G168" s="257">
        <v>11142000</v>
      </c>
      <c r="H168" s="257">
        <v>0</v>
      </c>
      <c r="I168" s="257">
        <v>6230433</v>
      </c>
      <c r="J168" s="257">
        <v>0</v>
      </c>
      <c r="K168" s="257">
        <v>4911567</v>
      </c>
      <c r="L168" s="257">
        <v>4911567</v>
      </c>
      <c r="M168" s="257">
        <v>0</v>
      </c>
      <c r="N168" s="257">
        <v>0</v>
      </c>
    </row>
    <row r="169" spans="1:14" s="143" customFormat="1" x14ac:dyDescent="0.25">
      <c r="A169" s="143" t="s">
        <v>274</v>
      </c>
      <c r="B169" s="143" t="s">
        <v>284</v>
      </c>
      <c r="C169" s="143" t="s">
        <v>257</v>
      </c>
      <c r="D169" s="143" t="s">
        <v>69</v>
      </c>
      <c r="E169" s="257">
        <v>9273000</v>
      </c>
      <c r="F169" s="257">
        <v>9273000</v>
      </c>
      <c r="G169" s="257">
        <v>9273000</v>
      </c>
      <c r="H169" s="257">
        <v>0</v>
      </c>
      <c r="I169" s="257">
        <v>5185520</v>
      </c>
      <c r="J169" s="257">
        <v>0</v>
      </c>
      <c r="K169" s="257">
        <v>4087480</v>
      </c>
      <c r="L169" s="257">
        <v>4087480</v>
      </c>
      <c r="M169" s="257">
        <v>0</v>
      </c>
      <c r="N169" s="257">
        <v>0</v>
      </c>
    </row>
    <row r="170" spans="1:14" s="143" customFormat="1" x14ac:dyDescent="0.25">
      <c r="A170" s="143" t="s">
        <v>274</v>
      </c>
      <c r="B170" s="143" t="s">
        <v>285</v>
      </c>
      <c r="C170" s="143" t="s">
        <v>259</v>
      </c>
      <c r="D170" s="143" t="s">
        <v>69</v>
      </c>
      <c r="E170" s="257">
        <v>1869000</v>
      </c>
      <c r="F170" s="257">
        <v>1869000</v>
      </c>
      <c r="G170" s="257">
        <v>1869000</v>
      </c>
      <c r="H170" s="257">
        <v>0</v>
      </c>
      <c r="I170" s="257">
        <v>1044913</v>
      </c>
      <c r="J170" s="257">
        <v>0</v>
      </c>
      <c r="K170" s="257">
        <v>824087</v>
      </c>
      <c r="L170" s="257">
        <v>824087</v>
      </c>
      <c r="M170" s="257">
        <v>0</v>
      </c>
      <c r="N170" s="257">
        <v>0</v>
      </c>
    </row>
    <row r="171" spans="1:14" s="143" customFormat="1" x14ac:dyDescent="0.25">
      <c r="A171" s="143" t="s">
        <v>274</v>
      </c>
      <c r="B171" s="143" t="s">
        <v>260</v>
      </c>
      <c r="C171" s="143" t="s">
        <v>261</v>
      </c>
      <c r="D171" s="143" t="s">
        <v>69</v>
      </c>
      <c r="E171" s="257">
        <v>24818000</v>
      </c>
      <c r="F171" s="257">
        <v>26818000</v>
      </c>
      <c r="G171" s="257">
        <v>25818000</v>
      </c>
      <c r="H171" s="257">
        <v>0</v>
      </c>
      <c r="I171" s="257">
        <v>0</v>
      </c>
      <c r="J171" s="257">
        <v>0</v>
      </c>
      <c r="K171" s="257">
        <v>20300561.350000001</v>
      </c>
      <c r="L171" s="257">
        <v>20300561.350000001</v>
      </c>
      <c r="M171" s="257">
        <v>6517438.6500000004</v>
      </c>
      <c r="N171" s="257">
        <v>5517438.6500000004</v>
      </c>
    </row>
    <row r="172" spans="1:14" s="143" customFormat="1" x14ac:dyDescent="0.25">
      <c r="A172" s="143" t="s">
        <v>274</v>
      </c>
      <c r="B172" s="143" t="s">
        <v>262</v>
      </c>
      <c r="C172" s="143" t="s">
        <v>263</v>
      </c>
      <c r="D172" s="143" t="s">
        <v>69</v>
      </c>
      <c r="E172" s="257">
        <v>17000000</v>
      </c>
      <c r="F172" s="257">
        <v>19000000</v>
      </c>
      <c r="G172" s="257">
        <v>18000000</v>
      </c>
      <c r="H172" s="257">
        <v>0</v>
      </c>
      <c r="I172" s="257">
        <v>0</v>
      </c>
      <c r="J172" s="257">
        <v>0</v>
      </c>
      <c r="K172" s="257">
        <v>16932874.350000001</v>
      </c>
      <c r="L172" s="257">
        <v>16932874.350000001</v>
      </c>
      <c r="M172" s="257">
        <v>2067125.65</v>
      </c>
      <c r="N172" s="257">
        <v>1067125.6499999999</v>
      </c>
    </row>
    <row r="173" spans="1:14" s="143" customFormat="1" x14ac:dyDescent="0.25">
      <c r="A173" s="143" t="s">
        <v>274</v>
      </c>
      <c r="B173" s="143" t="s">
        <v>264</v>
      </c>
      <c r="C173" s="143" t="s">
        <v>265</v>
      </c>
      <c r="D173" s="143" t="s">
        <v>69</v>
      </c>
      <c r="E173" s="257">
        <v>7818000</v>
      </c>
      <c r="F173" s="257">
        <v>7818000</v>
      </c>
      <c r="G173" s="257">
        <v>7818000</v>
      </c>
      <c r="H173" s="257">
        <v>0</v>
      </c>
      <c r="I173" s="257">
        <v>0</v>
      </c>
      <c r="J173" s="257">
        <v>0</v>
      </c>
      <c r="K173" s="257">
        <v>3367687</v>
      </c>
      <c r="L173" s="257">
        <v>3367687</v>
      </c>
      <c r="M173" s="257">
        <v>4450313</v>
      </c>
      <c r="N173" s="257">
        <v>4450313</v>
      </c>
    </row>
    <row r="174" spans="1:14" s="143" customFormat="1" x14ac:dyDescent="0.25">
      <c r="A174" s="143" t="s">
        <v>274</v>
      </c>
      <c r="B174" s="143" t="s">
        <v>286</v>
      </c>
      <c r="C174" s="143" t="s">
        <v>287</v>
      </c>
      <c r="D174" s="143" t="s">
        <v>69</v>
      </c>
      <c r="E174" s="257">
        <v>8000000</v>
      </c>
      <c r="F174" s="257">
        <v>6000000</v>
      </c>
      <c r="G174" s="257">
        <v>0</v>
      </c>
      <c r="H174" s="257">
        <v>0</v>
      </c>
      <c r="I174" s="257">
        <v>0</v>
      </c>
      <c r="J174" s="257">
        <v>0</v>
      </c>
      <c r="K174" s="257">
        <v>0</v>
      </c>
      <c r="L174" s="257">
        <v>0</v>
      </c>
      <c r="M174" s="257">
        <v>6000000</v>
      </c>
      <c r="N174" s="257">
        <v>0</v>
      </c>
    </row>
    <row r="175" spans="1:14" s="143" customFormat="1" x14ac:dyDescent="0.25">
      <c r="A175" s="143" t="s">
        <v>274</v>
      </c>
      <c r="B175" s="143" t="s">
        <v>288</v>
      </c>
      <c r="C175" s="143" t="s">
        <v>289</v>
      </c>
      <c r="D175" s="143" t="s">
        <v>69</v>
      </c>
      <c r="E175" s="257">
        <v>8000000</v>
      </c>
      <c r="F175" s="257">
        <v>6000000</v>
      </c>
      <c r="G175" s="257">
        <v>0</v>
      </c>
      <c r="H175" s="257">
        <v>0</v>
      </c>
      <c r="I175" s="257">
        <v>0</v>
      </c>
      <c r="J175" s="257">
        <v>0</v>
      </c>
      <c r="K175" s="257">
        <v>0</v>
      </c>
      <c r="L175" s="257">
        <v>0</v>
      </c>
      <c r="M175" s="257">
        <v>6000000</v>
      </c>
      <c r="N175" s="257">
        <v>0</v>
      </c>
    </row>
    <row r="176" spans="1:14" s="143" customFormat="1" x14ac:dyDescent="0.25">
      <c r="A176" s="143" t="s">
        <v>274</v>
      </c>
      <c r="B176" s="143" t="s">
        <v>230</v>
      </c>
      <c r="C176" s="143" t="s">
        <v>231</v>
      </c>
      <c r="D176" s="143" t="s">
        <v>85</v>
      </c>
      <c r="E176" s="257">
        <v>29500000</v>
      </c>
      <c r="F176" s="257">
        <v>29500000</v>
      </c>
      <c r="G176" s="257">
        <v>22791000</v>
      </c>
      <c r="H176" s="257">
        <v>4424280</v>
      </c>
      <c r="I176" s="257">
        <v>0</v>
      </c>
      <c r="J176" s="257">
        <v>0</v>
      </c>
      <c r="K176" s="257">
        <v>5647191</v>
      </c>
      <c r="L176" s="257">
        <v>5647191</v>
      </c>
      <c r="M176" s="257">
        <v>19428529</v>
      </c>
      <c r="N176" s="257">
        <v>12719529</v>
      </c>
    </row>
    <row r="177" spans="1:14" s="143" customFormat="1" x14ac:dyDescent="0.25">
      <c r="A177" s="143" t="s">
        <v>274</v>
      </c>
      <c r="B177" s="143" t="s">
        <v>232</v>
      </c>
      <c r="C177" s="143" t="s">
        <v>233</v>
      </c>
      <c r="D177" s="143" t="s">
        <v>85</v>
      </c>
      <c r="E177" s="257">
        <v>29500000</v>
      </c>
      <c r="F177" s="257">
        <v>29500000</v>
      </c>
      <c r="G177" s="257">
        <v>22791000</v>
      </c>
      <c r="H177" s="257">
        <v>4424280</v>
      </c>
      <c r="I177" s="257">
        <v>0</v>
      </c>
      <c r="J177" s="257">
        <v>0</v>
      </c>
      <c r="K177" s="257">
        <v>5647191</v>
      </c>
      <c r="L177" s="257">
        <v>5647191</v>
      </c>
      <c r="M177" s="257">
        <v>19428529</v>
      </c>
      <c r="N177" s="257">
        <v>12719529</v>
      </c>
    </row>
    <row r="178" spans="1:14" s="143" customFormat="1" x14ac:dyDescent="0.25">
      <c r="A178" s="143" t="s">
        <v>274</v>
      </c>
      <c r="B178" s="143" t="s">
        <v>236</v>
      </c>
      <c r="C178" s="143" t="s">
        <v>237</v>
      </c>
      <c r="D178" s="143" t="s">
        <v>85</v>
      </c>
      <c r="E178" s="257">
        <v>4700000</v>
      </c>
      <c r="F178" s="257">
        <v>6950000</v>
      </c>
      <c r="G178" s="257">
        <v>6445000</v>
      </c>
      <c r="H178" s="257">
        <v>689000</v>
      </c>
      <c r="I178" s="257">
        <v>0</v>
      </c>
      <c r="J178" s="257">
        <v>0</v>
      </c>
      <c r="K178" s="257">
        <v>777120</v>
      </c>
      <c r="L178" s="257">
        <v>777120</v>
      </c>
      <c r="M178" s="257">
        <v>5483880</v>
      </c>
      <c r="N178" s="257">
        <v>4978880</v>
      </c>
    </row>
    <row r="179" spans="1:14" s="143" customFormat="1" x14ac:dyDescent="0.25">
      <c r="A179" s="143" t="s">
        <v>274</v>
      </c>
      <c r="B179" s="143" t="s">
        <v>238</v>
      </c>
      <c r="C179" s="143" t="s">
        <v>239</v>
      </c>
      <c r="D179" s="143" t="s">
        <v>85</v>
      </c>
      <c r="E179" s="257">
        <v>3800000</v>
      </c>
      <c r="F179" s="257">
        <v>3300000</v>
      </c>
      <c r="G179" s="257">
        <v>914000</v>
      </c>
      <c r="H179" s="257">
        <v>0</v>
      </c>
      <c r="I179" s="257">
        <v>0</v>
      </c>
      <c r="J179" s="257">
        <v>0</v>
      </c>
      <c r="K179" s="257">
        <v>913570</v>
      </c>
      <c r="L179" s="257">
        <v>913570</v>
      </c>
      <c r="M179" s="257">
        <v>2386430</v>
      </c>
      <c r="N179" s="257">
        <v>430</v>
      </c>
    </row>
    <row r="180" spans="1:14" s="143" customFormat="1" x14ac:dyDescent="0.25">
      <c r="A180" s="143" t="s">
        <v>274</v>
      </c>
      <c r="B180" s="143" t="s">
        <v>282</v>
      </c>
      <c r="C180" s="143" t="s">
        <v>283</v>
      </c>
      <c r="D180" s="143" t="s">
        <v>85</v>
      </c>
      <c r="E180" s="257">
        <v>1000000</v>
      </c>
      <c r="F180" s="257">
        <v>250000</v>
      </c>
      <c r="G180" s="257">
        <v>0</v>
      </c>
      <c r="H180" s="257">
        <v>0</v>
      </c>
      <c r="I180" s="257">
        <v>0</v>
      </c>
      <c r="J180" s="257">
        <v>0</v>
      </c>
      <c r="K180" s="257">
        <v>0</v>
      </c>
      <c r="L180" s="257">
        <v>0</v>
      </c>
      <c r="M180" s="257">
        <v>250000</v>
      </c>
      <c r="N180" s="257">
        <v>0</v>
      </c>
    </row>
    <row r="181" spans="1:14" s="143" customFormat="1" x14ac:dyDescent="0.25">
      <c r="A181" s="143" t="s">
        <v>274</v>
      </c>
      <c r="B181" s="143" t="s">
        <v>240</v>
      </c>
      <c r="C181" s="143" t="s">
        <v>241</v>
      </c>
      <c r="D181" s="143" t="s">
        <v>85</v>
      </c>
      <c r="E181" s="257">
        <v>16000000</v>
      </c>
      <c r="F181" s="257">
        <v>16000000</v>
      </c>
      <c r="G181" s="257">
        <v>14957000</v>
      </c>
      <c r="H181" s="257">
        <v>3266280</v>
      </c>
      <c r="I181" s="257">
        <v>0</v>
      </c>
      <c r="J181" s="257">
        <v>0</v>
      </c>
      <c r="K181" s="257">
        <v>3956501</v>
      </c>
      <c r="L181" s="257">
        <v>3956501</v>
      </c>
      <c r="M181" s="257">
        <v>8777219</v>
      </c>
      <c r="N181" s="257">
        <v>7734219</v>
      </c>
    </row>
    <row r="182" spans="1:14" s="143" customFormat="1" x14ac:dyDescent="0.25">
      <c r="A182" s="143" t="s">
        <v>274</v>
      </c>
      <c r="B182" s="143" t="s">
        <v>242</v>
      </c>
      <c r="C182" s="143" t="s">
        <v>243</v>
      </c>
      <c r="D182" s="143" t="s">
        <v>85</v>
      </c>
      <c r="E182" s="257">
        <v>4000000</v>
      </c>
      <c r="F182" s="257">
        <v>3000000</v>
      </c>
      <c r="G182" s="257">
        <v>475000</v>
      </c>
      <c r="H182" s="257">
        <v>469000</v>
      </c>
      <c r="I182" s="257">
        <v>0</v>
      </c>
      <c r="J182" s="257">
        <v>0</v>
      </c>
      <c r="K182" s="257">
        <v>0</v>
      </c>
      <c r="L182" s="257">
        <v>0</v>
      </c>
      <c r="M182" s="257">
        <v>2531000</v>
      </c>
      <c r="N182" s="257">
        <v>6000</v>
      </c>
    </row>
    <row r="183" spans="1:14" s="143" customFormat="1" x14ac:dyDescent="0.25">
      <c r="A183" s="143">
        <v>214781</v>
      </c>
      <c r="D183" s="143" t="s">
        <v>69</v>
      </c>
      <c r="E183" s="257">
        <v>11325587195</v>
      </c>
      <c r="F183" s="257">
        <v>11325587195</v>
      </c>
      <c r="G183" s="257">
        <v>10999708645</v>
      </c>
      <c r="H183" s="257">
        <v>1351122.71</v>
      </c>
      <c r="I183" s="257">
        <v>958764652.22000003</v>
      </c>
      <c r="J183" s="257">
        <v>8583941.0099999998</v>
      </c>
      <c r="K183" s="257">
        <v>4782080452.3500004</v>
      </c>
      <c r="L183" s="257">
        <v>4761897175.9300003</v>
      </c>
      <c r="M183" s="257">
        <v>5574807026.71</v>
      </c>
      <c r="N183" s="257">
        <v>5248928476.71</v>
      </c>
    </row>
    <row r="184" spans="1:14" s="143" customFormat="1" x14ac:dyDescent="0.25">
      <c r="A184" s="143" t="s">
        <v>290</v>
      </c>
      <c r="B184" s="143" t="s">
        <v>71</v>
      </c>
      <c r="C184" s="143" t="s">
        <v>72</v>
      </c>
      <c r="D184" s="143" t="s">
        <v>69</v>
      </c>
      <c r="E184" s="257">
        <v>9908319000</v>
      </c>
      <c r="F184" s="257">
        <v>9899719000</v>
      </c>
      <c r="G184" s="257">
        <v>9899719000</v>
      </c>
      <c r="H184" s="257">
        <v>0</v>
      </c>
      <c r="I184" s="257">
        <v>810073356</v>
      </c>
      <c r="J184" s="257">
        <v>0</v>
      </c>
      <c r="K184" s="257">
        <v>4297079309.75</v>
      </c>
      <c r="L184" s="257">
        <v>4297079309.75</v>
      </c>
      <c r="M184" s="257">
        <v>4792566334.25</v>
      </c>
      <c r="N184" s="257">
        <v>4792566334.25</v>
      </c>
    </row>
    <row r="185" spans="1:14" s="143" customFormat="1" x14ac:dyDescent="0.25">
      <c r="A185" s="143" t="s">
        <v>290</v>
      </c>
      <c r="B185" s="143" t="s">
        <v>73</v>
      </c>
      <c r="C185" s="143" t="s">
        <v>74</v>
      </c>
      <c r="D185" s="143" t="s">
        <v>69</v>
      </c>
      <c r="E185" s="257">
        <v>3418584000</v>
      </c>
      <c r="F185" s="257">
        <v>3418584000</v>
      </c>
      <c r="G185" s="257">
        <v>3418584000</v>
      </c>
      <c r="H185" s="257">
        <v>0</v>
      </c>
      <c r="I185" s="257">
        <v>764487.75</v>
      </c>
      <c r="J185" s="257">
        <v>0</v>
      </c>
      <c r="K185" s="257">
        <v>1481650868.95</v>
      </c>
      <c r="L185" s="257">
        <v>1481650868.95</v>
      </c>
      <c r="M185" s="257">
        <v>1936168643.3</v>
      </c>
      <c r="N185" s="257">
        <v>1936168643.3</v>
      </c>
    </row>
    <row r="186" spans="1:14" s="143" customFormat="1" x14ac:dyDescent="0.25">
      <c r="A186" s="143" t="s">
        <v>290</v>
      </c>
      <c r="B186" s="143" t="s">
        <v>75</v>
      </c>
      <c r="C186" s="143" t="s">
        <v>76</v>
      </c>
      <c r="D186" s="143" t="s">
        <v>69</v>
      </c>
      <c r="E186" s="257">
        <v>3413584000</v>
      </c>
      <c r="F186" s="257">
        <v>3413584000</v>
      </c>
      <c r="G186" s="257">
        <v>3413584000</v>
      </c>
      <c r="H186" s="257">
        <v>0</v>
      </c>
      <c r="I186" s="257">
        <v>764487.75</v>
      </c>
      <c r="J186" s="257">
        <v>0</v>
      </c>
      <c r="K186" s="257">
        <v>1481650868.95</v>
      </c>
      <c r="L186" s="257">
        <v>1481650868.95</v>
      </c>
      <c r="M186" s="257">
        <v>1931168643.3</v>
      </c>
      <c r="N186" s="257">
        <v>1931168643.3</v>
      </c>
    </row>
    <row r="187" spans="1:14" s="143" customFormat="1" x14ac:dyDescent="0.25">
      <c r="A187" s="143" t="s">
        <v>290</v>
      </c>
      <c r="B187" s="143" t="s">
        <v>291</v>
      </c>
      <c r="C187" s="143" t="s">
        <v>292</v>
      </c>
      <c r="D187" s="143" t="s">
        <v>69</v>
      </c>
      <c r="E187" s="257">
        <v>5000000</v>
      </c>
      <c r="F187" s="257">
        <v>5000000</v>
      </c>
      <c r="G187" s="257">
        <v>5000000</v>
      </c>
      <c r="H187" s="257">
        <v>0</v>
      </c>
      <c r="I187" s="257">
        <v>0</v>
      </c>
      <c r="J187" s="257">
        <v>0</v>
      </c>
      <c r="K187" s="257">
        <v>0</v>
      </c>
      <c r="L187" s="257">
        <v>0</v>
      </c>
      <c r="M187" s="257">
        <v>5000000</v>
      </c>
      <c r="N187" s="257">
        <v>5000000</v>
      </c>
    </row>
    <row r="188" spans="1:14" s="143" customFormat="1" x14ac:dyDescent="0.25">
      <c r="A188" s="143" t="s">
        <v>290</v>
      </c>
      <c r="B188" s="143" t="s">
        <v>293</v>
      </c>
      <c r="C188" s="143" t="s">
        <v>294</v>
      </c>
      <c r="D188" s="143" t="s">
        <v>69</v>
      </c>
      <c r="E188" s="257">
        <v>11000000</v>
      </c>
      <c r="F188" s="257">
        <v>11000000</v>
      </c>
      <c r="G188" s="257">
        <v>11000000</v>
      </c>
      <c r="H188" s="257">
        <v>0</v>
      </c>
      <c r="I188" s="257">
        <v>0</v>
      </c>
      <c r="J188" s="257">
        <v>0</v>
      </c>
      <c r="K188" s="257">
        <v>3150639.41</v>
      </c>
      <c r="L188" s="257">
        <v>3150639.41</v>
      </c>
      <c r="M188" s="257">
        <v>7849360.5899999999</v>
      </c>
      <c r="N188" s="257">
        <v>7849360.5899999999</v>
      </c>
    </row>
    <row r="189" spans="1:14" s="143" customFormat="1" x14ac:dyDescent="0.25">
      <c r="A189" s="143" t="s">
        <v>290</v>
      </c>
      <c r="B189" s="143" t="s">
        <v>295</v>
      </c>
      <c r="C189" s="143" t="s">
        <v>296</v>
      </c>
      <c r="D189" s="143" t="s">
        <v>69</v>
      </c>
      <c r="E189" s="257">
        <v>11000000</v>
      </c>
      <c r="F189" s="257">
        <v>11000000</v>
      </c>
      <c r="G189" s="257">
        <v>11000000</v>
      </c>
      <c r="H189" s="257">
        <v>0</v>
      </c>
      <c r="I189" s="257">
        <v>0</v>
      </c>
      <c r="J189" s="257">
        <v>0</v>
      </c>
      <c r="K189" s="257">
        <v>3150639.41</v>
      </c>
      <c r="L189" s="257">
        <v>3150639.41</v>
      </c>
      <c r="M189" s="257">
        <v>7849360.5899999999</v>
      </c>
      <c r="N189" s="257">
        <v>7849360.5899999999</v>
      </c>
    </row>
    <row r="190" spans="1:14" s="143" customFormat="1" x14ac:dyDescent="0.25">
      <c r="A190" s="143" t="s">
        <v>290</v>
      </c>
      <c r="B190" s="143" t="s">
        <v>77</v>
      </c>
      <c r="C190" s="143" t="s">
        <v>78</v>
      </c>
      <c r="D190" s="143" t="s">
        <v>69</v>
      </c>
      <c r="E190" s="257">
        <v>4978167000</v>
      </c>
      <c r="F190" s="257">
        <v>4969567000</v>
      </c>
      <c r="G190" s="257">
        <v>4969567000</v>
      </c>
      <c r="H190" s="257">
        <v>0</v>
      </c>
      <c r="I190" s="257">
        <v>1327404.25</v>
      </c>
      <c r="J190" s="257">
        <v>0</v>
      </c>
      <c r="K190" s="257">
        <v>2119691265.3900001</v>
      </c>
      <c r="L190" s="257">
        <v>2119691265.3900001</v>
      </c>
      <c r="M190" s="257">
        <v>2848548330.3600001</v>
      </c>
      <c r="N190" s="257">
        <v>2848548330.3600001</v>
      </c>
    </row>
    <row r="191" spans="1:14" s="143" customFormat="1" x14ac:dyDescent="0.25">
      <c r="A191" s="143" t="s">
        <v>290</v>
      </c>
      <c r="B191" s="143" t="s">
        <v>79</v>
      </c>
      <c r="C191" s="143" t="s">
        <v>80</v>
      </c>
      <c r="D191" s="143" t="s">
        <v>69</v>
      </c>
      <c r="E191" s="257">
        <v>913627000</v>
      </c>
      <c r="F191" s="257">
        <v>905027000</v>
      </c>
      <c r="G191" s="257">
        <v>905027000</v>
      </c>
      <c r="H191" s="257">
        <v>0</v>
      </c>
      <c r="I191" s="257">
        <v>478674</v>
      </c>
      <c r="J191" s="257">
        <v>0</v>
      </c>
      <c r="K191" s="257">
        <v>370864454.44</v>
      </c>
      <c r="L191" s="257">
        <v>370864454.44</v>
      </c>
      <c r="M191" s="257">
        <v>533683871.56</v>
      </c>
      <c r="N191" s="257">
        <v>533683871.56</v>
      </c>
    </row>
    <row r="192" spans="1:14" s="143" customFormat="1" x14ac:dyDescent="0.25">
      <c r="A192" s="143" t="s">
        <v>290</v>
      </c>
      <c r="B192" s="143" t="s">
        <v>81</v>
      </c>
      <c r="C192" s="143" t="s">
        <v>82</v>
      </c>
      <c r="D192" s="143" t="s">
        <v>69</v>
      </c>
      <c r="E192" s="257">
        <v>2244831000</v>
      </c>
      <c r="F192" s="257">
        <v>2244831000</v>
      </c>
      <c r="G192" s="257">
        <v>2244831000</v>
      </c>
      <c r="H192" s="257">
        <v>0</v>
      </c>
      <c r="I192" s="257">
        <v>616723.5</v>
      </c>
      <c r="J192" s="257">
        <v>0</v>
      </c>
      <c r="K192" s="257">
        <v>976585164.53999996</v>
      </c>
      <c r="L192" s="257">
        <v>976585164.53999996</v>
      </c>
      <c r="M192" s="257">
        <v>1267629111.96</v>
      </c>
      <c r="N192" s="257">
        <v>1267629111.96</v>
      </c>
    </row>
    <row r="193" spans="1:14" s="143" customFormat="1" x14ac:dyDescent="0.25">
      <c r="A193" s="143" t="s">
        <v>290</v>
      </c>
      <c r="B193" s="143" t="s">
        <v>86</v>
      </c>
      <c r="C193" s="143" t="s">
        <v>87</v>
      </c>
      <c r="D193" s="143" t="s">
        <v>69</v>
      </c>
      <c r="E193" s="257">
        <v>540993000</v>
      </c>
      <c r="F193" s="257">
        <v>540993000</v>
      </c>
      <c r="G193" s="257">
        <v>540993000</v>
      </c>
      <c r="H193" s="257">
        <v>0</v>
      </c>
      <c r="I193" s="257">
        <v>0</v>
      </c>
      <c r="J193" s="257">
        <v>0</v>
      </c>
      <c r="K193" s="257">
        <v>493915397.87</v>
      </c>
      <c r="L193" s="257">
        <v>493915397.87</v>
      </c>
      <c r="M193" s="257">
        <v>47077602.130000003</v>
      </c>
      <c r="N193" s="257">
        <v>47077602.130000003</v>
      </c>
    </row>
    <row r="194" spans="1:14" s="143" customFormat="1" x14ac:dyDescent="0.25">
      <c r="A194" s="143" t="s">
        <v>290</v>
      </c>
      <c r="B194" s="143" t="s">
        <v>88</v>
      </c>
      <c r="C194" s="143" t="s">
        <v>89</v>
      </c>
      <c r="D194" s="143" t="s">
        <v>69</v>
      </c>
      <c r="E194" s="257">
        <v>630877000</v>
      </c>
      <c r="F194" s="257">
        <v>630877000</v>
      </c>
      <c r="G194" s="257">
        <v>630877000</v>
      </c>
      <c r="H194" s="257">
        <v>0</v>
      </c>
      <c r="I194" s="257">
        <v>232006.75</v>
      </c>
      <c r="J194" s="257">
        <v>0</v>
      </c>
      <c r="K194" s="257">
        <v>278326248.54000002</v>
      </c>
      <c r="L194" s="257">
        <v>278326248.54000002</v>
      </c>
      <c r="M194" s="257">
        <v>352318744.70999998</v>
      </c>
      <c r="N194" s="257">
        <v>352318744.70999998</v>
      </c>
    </row>
    <row r="195" spans="1:14" s="143" customFormat="1" x14ac:dyDescent="0.25">
      <c r="A195" s="143" t="s">
        <v>290</v>
      </c>
      <c r="B195" s="143" t="s">
        <v>83</v>
      </c>
      <c r="C195" s="143" t="s">
        <v>84</v>
      </c>
      <c r="D195" s="143" t="s">
        <v>85</v>
      </c>
      <c r="E195" s="257">
        <v>647839000</v>
      </c>
      <c r="F195" s="257">
        <v>647839000</v>
      </c>
      <c r="G195" s="257">
        <v>647839000</v>
      </c>
      <c r="H195" s="257">
        <v>0</v>
      </c>
      <c r="I195" s="257">
        <v>0</v>
      </c>
      <c r="J195" s="257">
        <v>0</v>
      </c>
      <c r="K195" s="257">
        <v>0</v>
      </c>
      <c r="L195" s="257">
        <v>0</v>
      </c>
      <c r="M195" s="257">
        <v>647839000</v>
      </c>
      <c r="N195" s="257">
        <v>647839000</v>
      </c>
    </row>
    <row r="196" spans="1:14" s="143" customFormat="1" x14ac:dyDescent="0.25">
      <c r="A196" s="143" t="s">
        <v>290</v>
      </c>
      <c r="B196" s="143" t="s">
        <v>90</v>
      </c>
      <c r="C196" s="143" t="s">
        <v>91</v>
      </c>
      <c r="D196" s="143" t="s">
        <v>69</v>
      </c>
      <c r="E196" s="257">
        <v>756883000</v>
      </c>
      <c r="F196" s="257">
        <v>756883000</v>
      </c>
      <c r="G196" s="257">
        <v>756883000</v>
      </c>
      <c r="H196" s="257">
        <v>0</v>
      </c>
      <c r="I196" s="257">
        <v>405137780</v>
      </c>
      <c r="J196" s="257">
        <v>0</v>
      </c>
      <c r="K196" s="257">
        <v>351745220</v>
      </c>
      <c r="L196" s="257">
        <v>351745220</v>
      </c>
      <c r="M196" s="257">
        <v>0</v>
      </c>
      <c r="N196" s="257">
        <v>0</v>
      </c>
    </row>
    <row r="197" spans="1:14" s="143" customFormat="1" x14ac:dyDescent="0.25">
      <c r="A197" s="143" t="s">
        <v>290</v>
      </c>
      <c r="B197" s="143" t="s">
        <v>297</v>
      </c>
      <c r="C197" s="143" t="s">
        <v>93</v>
      </c>
      <c r="D197" s="143" t="s">
        <v>69</v>
      </c>
      <c r="E197" s="257">
        <v>718069000</v>
      </c>
      <c r="F197" s="257">
        <v>718069000</v>
      </c>
      <c r="G197" s="257">
        <v>718069000</v>
      </c>
      <c r="H197" s="257">
        <v>0</v>
      </c>
      <c r="I197" s="257">
        <v>384360181</v>
      </c>
      <c r="J197" s="257">
        <v>0</v>
      </c>
      <c r="K197" s="257">
        <v>333708819</v>
      </c>
      <c r="L197" s="257">
        <v>333708819</v>
      </c>
      <c r="M197" s="257">
        <v>0</v>
      </c>
      <c r="N197" s="257">
        <v>0</v>
      </c>
    </row>
    <row r="198" spans="1:14" s="143" customFormat="1" x14ac:dyDescent="0.25">
      <c r="A198" s="143" t="s">
        <v>290</v>
      </c>
      <c r="B198" s="143" t="s">
        <v>298</v>
      </c>
      <c r="C198" s="143" t="s">
        <v>95</v>
      </c>
      <c r="D198" s="143" t="s">
        <v>69</v>
      </c>
      <c r="E198" s="257">
        <v>38814000</v>
      </c>
      <c r="F198" s="257">
        <v>38814000</v>
      </c>
      <c r="G198" s="257">
        <v>38814000</v>
      </c>
      <c r="H198" s="257">
        <v>0</v>
      </c>
      <c r="I198" s="257">
        <v>20777599</v>
      </c>
      <c r="J198" s="257">
        <v>0</v>
      </c>
      <c r="K198" s="257">
        <v>18036401</v>
      </c>
      <c r="L198" s="257">
        <v>18036401</v>
      </c>
      <c r="M198" s="257">
        <v>0</v>
      </c>
      <c r="N198" s="257">
        <v>0</v>
      </c>
    </row>
    <row r="199" spans="1:14" s="143" customFormat="1" x14ac:dyDescent="0.25">
      <c r="A199" s="143" t="s">
        <v>290</v>
      </c>
      <c r="B199" s="143" t="s">
        <v>96</v>
      </c>
      <c r="C199" s="143" t="s">
        <v>97</v>
      </c>
      <c r="D199" s="143" t="s">
        <v>69</v>
      </c>
      <c r="E199" s="257">
        <v>743685000</v>
      </c>
      <c r="F199" s="257">
        <v>743685000</v>
      </c>
      <c r="G199" s="257">
        <v>743685000</v>
      </c>
      <c r="H199" s="257">
        <v>0</v>
      </c>
      <c r="I199" s="257">
        <v>402843684</v>
      </c>
      <c r="J199" s="257">
        <v>0</v>
      </c>
      <c r="K199" s="257">
        <v>340841316</v>
      </c>
      <c r="L199" s="257">
        <v>340841316</v>
      </c>
      <c r="M199" s="257">
        <v>0</v>
      </c>
      <c r="N199" s="257">
        <v>0</v>
      </c>
    </row>
    <row r="200" spans="1:14" s="143" customFormat="1" x14ac:dyDescent="0.25">
      <c r="A200" s="143" t="s">
        <v>290</v>
      </c>
      <c r="B200" s="143" t="s">
        <v>299</v>
      </c>
      <c r="C200" s="143" t="s">
        <v>99</v>
      </c>
      <c r="D200" s="143" t="s">
        <v>69</v>
      </c>
      <c r="E200" s="257">
        <v>394355000</v>
      </c>
      <c r="F200" s="257">
        <v>394355000</v>
      </c>
      <c r="G200" s="257">
        <v>394355000</v>
      </c>
      <c r="H200" s="257">
        <v>0</v>
      </c>
      <c r="I200" s="257">
        <v>215840907</v>
      </c>
      <c r="J200" s="257">
        <v>0</v>
      </c>
      <c r="K200" s="257">
        <v>178514093</v>
      </c>
      <c r="L200" s="257">
        <v>178514093</v>
      </c>
      <c r="M200" s="257">
        <v>0</v>
      </c>
      <c r="N200" s="257">
        <v>0</v>
      </c>
    </row>
    <row r="201" spans="1:14" s="143" customFormat="1" x14ac:dyDescent="0.25">
      <c r="A201" s="143" t="s">
        <v>290</v>
      </c>
      <c r="B201" s="143" t="s">
        <v>300</v>
      </c>
      <c r="C201" s="143" t="s">
        <v>101</v>
      </c>
      <c r="D201" s="143" t="s">
        <v>69</v>
      </c>
      <c r="E201" s="257">
        <v>116443000</v>
      </c>
      <c r="F201" s="257">
        <v>116443000</v>
      </c>
      <c r="G201" s="257">
        <v>116443000</v>
      </c>
      <c r="H201" s="257">
        <v>0</v>
      </c>
      <c r="I201" s="257">
        <v>62333973</v>
      </c>
      <c r="J201" s="257">
        <v>0</v>
      </c>
      <c r="K201" s="257">
        <v>54109027</v>
      </c>
      <c r="L201" s="257">
        <v>54109027</v>
      </c>
      <c r="M201" s="257">
        <v>0</v>
      </c>
      <c r="N201" s="257">
        <v>0</v>
      </c>
    </row>
    <row r="202" spans="1:14" s="143" customFormat="1" x14ac:dyDescent="0.25">
      <c r="A202" s="143" t="s">
        <v>290</v>
      </c>
      <c r="B202" s="143" t="s">
        <v>301</v>
      </c>
      <c r="C202" s="143" t="s">
        <v>103</v>
      </c>
      <c r="D202" s="143" t="s">
        <v>69</v>
      </c>
      <c r="E202" s="257">
        <v>232887000</v>
      </c>
      <c r="F202" s="257">
        <v>232887000</v>
      </c>
      <c r="G202" s="257">
        <v>232887000</v>
      </c>
      <c r="H202" s="257">
        <v>0</v>
      </c>
      <c r="I202" s="257">
        <v>124668804</v>
      </c>
      <c r="J202" s="257">
        <v>0</v>
      </c>
      <c r="K202" s="257">
        <v>108218196</v>
      </c>
      <c r="L202" s="257">
        <v>108218196</v>
      </c>
      <c r="M202" s="257">
        <v>0</v>
      </c>
      <c r="N202" s="257">
        <v>0</v>
      </c>
    </row>
    <row r="203" spans="1:14" s="143" customFormat="1" x14ac:dyDescent="0.25">
      <c r="A203" s="143" t="s">
        <v>290</v>
      </c>
      <c r="B203" s="143" t="s">
        <v>104</v>
      </c>
      <c r="C203" s="143" t="s">
        <v>105</v>
      </c>
      <c r="D203" s="143" t="s">
        <v>69</v>
      </c>
      <c r="E203" s="257">
        <v>1006874402</v>
      </c>
      <c r="F203" s="257">
        <v>1006874402</v>
      </c>
      <c r="G203" s="257">
        <v>775823651</v>
      </c>
      <c r="H203" s="257">
        <v>1102164</v>
      </c>
      <c r="I203" s="257">
        <v>82212635.409999996</v>
      </c>
      <c r="J203" s="257">
        <v>821089.29</v>
      </c>
      <c r="K203" s="257">
        <v>363907568.49000001</v>
      </c>
      <c r="L203" s="257">
        <v>345017474.06999999</v>
      </c>
      <c r="M203" s="257">
        <v>558830944.80999994</v>
      </c>
      <c r="N203" s="257">
        <v>327780193.81</v>
      </c>
    </row>
    <row r="204" spans="1:14" s="143" customFormat="1" x14ac:dyDescent="0.25">
      <c r="A204" s="143" t="s">
        <v>290</v>
      </c>
      <c r="B204" s="143" t="s">
        <v>106</v>
      </c>
      <c r="C204" s="143" t="s">
        <v>107</v>
      </c>
      <c r="D204" s="143" t="s">
        <v>69</v>
      </c>
      <c r="E204" s="257">
        <v>331717997</v>
      </c>
      <c r="F204" s="257">
        <v>306417997</v>
      </c>
      <c r="G204" s="257">
        <v>224928497</v>
      </c>
      <c r="H204" s="257">
        <v>0</v>
      </c>
      <c r="I204" s="257">
        <v>15828780.029999999</v>
      </c>
      <c r="J204" s="257">
        <v>0</v>
      </c>
      <c r="K204" s="257">
        <v>126852568.23999999</v>
      </c>
      <c r="L204" s="257">
        <v>121439557.23999999</v>
      </c>
      <c r="M204" s="257">
        <v>163736648.72999999</v>
      </c>
      <c r="N204" s="257">
        <v>82247148.730000004</v>
      </c>
    </row>
    <row r="205" spans="1:14" s="143" customFormat="1" x14ac:dyDescent="0.25">
      <c r="A205" s="143" t="s">
        <v>290</v>
      </c>
      <c r="B205" s="143" t="s">
        <v>280</v>
      </c>
      <c r="C205" s="143" t="s">
        <v>281</v>
      </c>
      <c r="D205" s="143" t="s">
        <v>69</v>
      </c>
      <c r="E205" s="257">
        <v>200526630</v>
      </c>
      <c r="F205" s="257">
        <v>163026630</v>
      </c>
      <c r="G205" s="257">
        <v>121084972</v>
      </c>
      <c r="H205" s="257">
        <v>0</v>
      </c>
      <c r="I205" s="257">
        <v>5286205</v>
      </c>
      <c r="J205" s="257">
        <v>0</v>
      </c>
      <c r="K205" s="257">
        <v>73825445</v>
      </c>
      <c r="L205" s="257">
        <v>73825445</v>
      </c>
      <c r="M205" s="257">
        <v>83914980</v>
      </c>
      <c r="N205" s="257">
        <v>41973322</v>
      </c>
    </row>
    <row r="206" spans="1:14" s="143" customFormat="1" x14ac:dyDescent="0.25">
      <c r="A206" s="143" t="s">
        <v>290</v>
      </c>
      <c r="B206" s="143" t="s">
        <v>302</v>
      </c>
      <c r="C206" s="143" t="s">
        <v>303</v>
      </c>
      <c r="D206" s="143" t="s">
        <v>69</v>
      </c>
      <c r="E206" s="257">
        <v>3933000</v>
      </c>
      <c r="F206" s="257">
        <v>3333000</v>
      </c>
      <c r="G206" s="257">
        <v>2449750</v>
      </c>
      <c r="H206" s="257">
        <v>0</v>
      </c>
      <c r="I206" s="257">
        <v>370871.29</v>
      </c>
      <c r="J206" s="257">
        <v>0</v>
      </c>
      <c r="K206" s="257">
        <v>1161348.8</v>
      </c>
      <c r="L206" s="257">
        <v>938571.71</v>
      </c>
      <c r="M206" s="257">
        <v>1800779.91</v>
      </c>
      <c r="N206" s="257">
        <v>917529.91</v>
      </c>
    </row>
    <row r="207" spans="1:14" s="143" customFormat="1" x14ac:dyDescent="0.25">
      <c r="A207" s="143" t="s">
        <v>290</v>
      </c>
      <c r="B207" s="143" t="s">
        <v>108</v>
      </c>
      <c r="C207" s="143" t="s">
        <v>109</v>
      </c>
      <c r="D207" s="143" t="s">
        <v>69</v>
      </c>
      <c r="E207" s="257">
        <v>98126131</v>
      </c>
      <c r="F207" s="257">
        <v>100626131</v>
      </c>
      <c r="G207" s="257">
        <v>78094598</v>
      </c>
      <c r="H207" s="257">
        <v>0</v>
      </c>
      <c r="I207" s="257">
        <v>5794726.6600000001</v>
      </c>
      <c r="J207" s="257">
        <v>0</v>
      </c>
      <c r="K207" s="257">
        <v>39657969.880000003</v>
      </c>
      <c r="L207" s="257">
        <v>36704940.829999998</v>
      </c>
      <c r="M207" s="257">
        <v>55173434.460000001</v>
      </c>
      <c r="N207" s="257">
        <v>32641901.460000001</v>
      </c>
    </row>
    <row r="208" spans="1:14" s="143" customFormat="1" x14ac:dyDescent="0.25">
      <c r="A208" s="143" t="s">
        <v>290</v>
      </c>
      <c r="B208" s="143" t="s">
        <v>304</v>
      </c>
      <c r="C208" s="143" t="s">
        <v>305</v>
      </c>
      <c r="D208" s="143" t="s">
        <v>69</v>
      </c>
      <c r="E208" s="257">
        <v>1774000</v>
      </c>
      <c r="F208" s="257">
        <v>1774000</v>
      </c>
      <c r="G208" s="257">
        <v>1430500</v>
      </c>
      <c r="H208" s="257">
        <v>0</v>
      </c>
      <c r="I208" s="257">
        <v>197369.12</v>
      </c>
      <c r="J208" s="257">
        <v>0</v>
      </c>
      <c r="K208" s="257">
        <v>809748</v>
      </c>
      <c r="L208" s="257">
        <v>809748</v>
      </c>
      <c r="M208" s="257">
        <v>766882.88</v>
      </c>
      <c r="N208" s="257">
        <v>423382.88</v>
      </c>
    </row>
    <row r="209" spans="1:14" s="143" customFormat="1" x14ac:dyDescent="0.25">
      <c r="A209" s="143" t="s">
        <v>290</v>
      </c>
      <c r="B209" s="143" t="s">
        <v>110</v>
      </c>
      <c r="C209" s="143" t="s">
        <v>111</v>
      </c>
      <c r="D209" s="143" t="s">
        <v>69</v>
      </c>
      <c r="E209" s="257">
        <v>27358236</v>
      </c>
      <c r="F209" s="257">
        <v>37658236</v>
      </c>
      <c r="G209" s="257">
        <v>21868677</v>
      </c>
      <c r="H209" s="257">
        <v>0</v>
      </c>
      <c r="I209" s="257">
        <v>4179607.96</v>
      </c>
      <c r="J209" s="257">
        <v>0</v>
      </c>
      <c r="K209" s="257">
        <v>11398056.560000001</v>
      </c>
      <c r="L209" s="257">
        <v>9160851.6999999993</v>
      </c>
      <c r="M209" s="257">
        <v>22080571.48</v>
      </c>
      <c r="N209" s="257">
        <v>6291012.4800000004</v>
      </c>
    </row>
    <row r="210" spans="1:14" s="143" customFormat="1" x14ac:dyDescent="0.25">
      <c r="A210" s="143" t="s">
        <v>290</v>
      </c>
      <c r="B210" s="143" t="s">
        <v>112</v>
      </c>
      <c r="C210" s="143" t="s">
        <v>113</v>
      </c>
      <c r="D210" s="143" t="s">
        <v>69</v>
      </c>
      <c r="E210" s="257">
        <v>126929000</v>
      </c>
      <c r="F210" s="257">
        <v>120929000</v>
      </c>
      <c r="G210" s="257">
        <v>94421750</v>
      </c>
      <c r="H210" s="257">
        <v>0</v>
      </c>
      <c r="I210" s="257">
        <v>14114898.51</v>
      </c>
      <c r="J210" s="257">
        <v>0</v>
      </c>
      <c r="K210" s="257">
        <v>44108214.369999997</v>
      </c>
      <c r="L210" s="257">
        <v>43181382.780000001</v>
      </c>
      <c r="M210" s="257">
        <v>62705887.119999997</v>
      </c>
      <c r="N210" s="257">
        <v>36198637.119999997</v>
      </c>
    </row>
    <row r="211" spans="1:14" s="143" customFormat="1" x14ac:dyDescent="0.25">
      <c r="A211" s="143" t="s">
        <v>290</v>
      </c>
      <c r="B211" s="143" t="s">
        <v>114</v>
      </c>
      <c r="C211" s="143" t="s">
        <v>115</v>
      </c>
      <c r="D211" s="143" t="s">
        <v>69</v>
      </c>
      <c r="E211" s="257">
        <v>13400000</v>
      </c>
      <c r="F211" s="257">
        <v>18400000</v>
      </c>
      <c r="G211" s="257">
        <v>16550000</v>
      </c>
      <c r="H211" s="257">
        <v>0</v>
      </c>
      <c r="I211" s="257">
        <v>4443805</v>
      </c>
      <c r="J211" s="257">
        <v>0</v>
      </c>
      <c r="K211" s="257">
        <v>8578790</v>
      </c>
      <c r="L211" s="257">
        <v>8578790</v>
      </c>
      <c r="M211" s="257">
        <v>5377405</v>
      </c>
      <c r="N211" s="257">
        <v>3527405</v>
      </c>
    </row>
    <row r="212" spans="1:14" s="143" customFormat="1" x14ac:dyDescent="0.25">
      <c r="A212" s="143" t="s">
        <v>290</v>
      </c>
      <c r="B212" s="143" t="s">
        <v>116</v>
      </c>
      <c r="C212" s="143" t="s">
        <v>117</v>
      </c>
      <c r="D212" s="143" t="s">
        <v>69</v>
      </c>
      <c r="E212" s="257">
        <v>49200000</v>
      </c>
      <c r="F212" s="257">
        <v>40200000</v>
      </c>
      <c r="G212" s="257">
        <v>30750000</v>
      </c>
      <c r="H212" s="257">
        <v>0</v>
      </c>
      <c r="I212" s="257">
        <v>2568900</v>
      </c>
      <c r="J212" s="257">
        <v>0</v>
      </c>
      <c r="K212" s="257">
        <v>18328855</v>
      </c>
      <c r="L212" s="257">
        <v>18328855</v>
      </c>
      <c r="M212" s="257">
        <v>19302245</v>
      </c>
      <c r="N212" s="257">
        <v>9852245</v>
      </c>
    </row>
    <row r="213" spans="1:14" s="143" customFormat="1" x14ac:dyDescent="0.25">
      <c r="A213" s="143" t="s">
        <v>290</v>
      </c>
      <c r="B213" s="143" t="s">
        <v>118</v>
      </c>
      <c r="C213" s="143" t="s">
        <v>119</v>
      </c>
      <c r="D213" s="143" t="s">
        <v>69</v>
      </c>
      <c r="E213" s="257">
        <v>12000000</v>
      </c>
      <c r="F213" s="257">
        <v>10000000</v>
      </c>
      <c r="G213" s="257">
        <v>6775000</v>
      </c>
      <c r="H213" s="257">
        <v>0</v>
      </c>
      <c r="I213" s="257">
        <v>803100</v>
      </c>
      <c r="J213" s="257">
        <v>0</v>
      </c>
      <c r="K213" s="257">
        <v>1405600</v>
      </c>
      <c r="L213" s="257">
        <v>731520</v>
      </c>
      <c r="M213" s="257">
        <v>7791300</v>
      </c>
      <c r="N213" s="257">
        <v>4566300</v>
      </c>
    </row>
    <row r="214" spans="1:14" s="143" customFormat="1" x14ac:dyDescent="0.25">
      <c r="A214" s="143" t="s">
        <v>290</v>
      </c>
      <c r="B214" s="143" t="s">
        <v>120</v>
      </c>
      <c r="C214" s="143" t="s">
        <v>121</v>
      </c>
      <c r="D214" s="143" t="s">
        <v>69</v>
      </c>
      <c r="E214" s="257">
        <v>47604000</v>
      </c>
      <c r="F214" s="257">
        <v>47604000</v>
      </c>
      <c r="G214" s="257">
        <v>36703000</v>
      </c>
      <c r="H214" s="257">
        <v>0</v>
      </c>
      <c r="I214" s="257">
        <v>6071428.3600000003</v>
      </c>
      <c r="J214" s="257">
        <v>0</v>
      </c>
      <c r="K214" s="257">
        <v>13475168.220000001</v>
      </c>
      <c r="L214" s="257">
        <v>13222416.630000001</v>
      </c>
      <c r="M214" s="257">
        <v>28057403.420000002</v>
      </c>
      <c r="N214" s="257">
        <v>17156403.420000002</v>
      </c>
    </row>
    <row r="215" spans="1:14" s="143" customFormat="1" x14ac:dyDescent="0.25">
      <c r="A215" s="143" t="s">
        <v>290</v>
      </c>
      <c r="B215" s="143" t="s">
        <v>122</v>
      </c>
      <c r="C215" s="143" t="s">
        <v>123</v>
      </c>
      <c r="D215" s="143" t="s">
        <v>69</v>
      </c>
      <c r="E215" s="257">
        <v>4725000</v>
      </c>
      <c r="F215" s="257">
        <v>4725000</v>
      </c>
      <c r="G215" s="257">
        <v>3643750</v>
      </c>
      <c r="H215" s="257">
        <v>0</v>
      </c>
      <c r="I215" s="257">
        <v>227665.15</v>
      </c>
      <c r="J215" s="257">
        <v>0</v>
      </c>
      <c r="K215" s="257">
        <v>2319801.15</v>
      </c>
      <c r="L215" s="257">
        <v>2319801.15</v>
      </c>
      <c r="M215" s="257">
        <v>2177533.7000000002</v>
      </c>
      <c r="N215" s="257">
        <v>1096283.7</v>
      </c>
    </row>
    <row r="216" spans="1:14" s="143" customFormat="1" x14ac:dyDescent="0.25">
      <c r="A216" s="143" t="s">
        <v>290</v>
      </c>
      <c r="B216" s="143" t="s">
        <v>124</v>
      </c>
      <c r="C216" s="143" t="s">
        <v>125</v>
      </c>
      <c r="D216" s="143" t="s">
        <v>69</v>
      </c>
      <c r="E216" s="257">
        <v>3746000</v>
      </c>
      <c r="F216" s="257">
        <v>3746000</v>
      </c>
      <c r="G216" s="257">
        <v>2949850</v>
      </c>
      <c r="H216" s="257">
        <v>0</v>
      </c>
      <c r="I216" s="257">
        <v>586349.56999999995</v>
      </c>
      <c r="J216" s="257">
        <v>0</v>
      </c>
      <c r="K216" s="257">
        <v>313733.65000000002</v>
      </c>
      <c r="L216" s="257">
        <v>313733.65000000002</v>
      </c>
      <c r="M216" s="257">
        <v>2845916.78</v>
      </c>
      <c r="N216" s="257">
        <v>2049766.78</v>
      </c>
    </row>
    <row r="217" spans="1:14" s="143" customFormat="1" x14ac:dyDescent="0.25">
      <c r="A217" s="143" t="s">
        <v>290</v>
      </c>
      <c r="B217" s="143" t="s">
        <v>126</v>
      </c>
      <c r="C217" s="143" t="s">
        <v>127</v>
      </c>
      <c r="D217" s="143" t="s">
        <v>69</v>
      </c>
      <c r="E217" s="257">
        <v>500000</v>
      </c>
      <c r="F217" s="257">
        <v>500000</v>
      </c>
      <c r="G217" s="257">
        <v>465350</v>
      </c>
      <c r="H217" s="257">
        <v>0</v>
      </c>
      <c r="I217" s="257">
        <v>100000</v>
      </c>
      <c r="J217" s="257">
        <v>0</v>
      </c>
      <c r="K217" s="257">
        <v>71970</v>
      </c>
      <c r="L217" s="257">
        <v>71970</v>
      </c>
      <c r="M217" s="257">
        <v>328030</v>
      </c>
      <c r="N217" s="257">
        <v>293380</v>
      </c>
    </row>
    <row r="218" spans="1:14" s="143" customFormat="1" x14ac:dyDescent="0.25">
      <c r="A218" s="143" t="s">
        <v>290</v>
      </c>
      <c r="B218" s="143" t="s">
        <v>128</v>
      </c>
      <c r="C218" s="143" t="s">
        <v>129</v>
      </c>
      <c r="D218" s="143" t="s">
        <v>69</v>
      </c>
      <c r="E218" s="257">
        <v>1000000</v>
      </c>
      <c r="F218" s="257">
        <v>1000000</v>
      </c>
      <c r="G218" s="257">
        <v>750000</v>
      </c>
      <c r="H218" s="257">
        <v>0</v>
      </c>
      <c r="I218" s="257">
        <v>58677</v>
      </c>
      <c r="J218" s="257">
        <v>0</v>
      </c>
      <c r="K218" s="257">
        <v>110273</v>
      </c>
      <c r="L218" s="257">
        <v>110273</v>
      </c>
      <c r="M218" s="257">
        <v>831050</v>
      </c>
      <c r="N218" s="257">
        <v>581050</v>
      </c>
    </row>
    <row r="219" spans="1:14" s="143" customFormat="1" x14ac:dyDescent="0.25">
      <c r="A219" s="143" t="s">
        <v>290</v>
      </c>
      <c r="B219" s="143" t="s">
        <v>130</v>
      </c>
      <c r="C219" s="143" t="s">
        <v>131</v>
      </c>
      <c r="D219" s="143" t="s">
        <v>69</v>
      </c>
      <c r="E219" s="257">
        <v>200000</v>
      </c>
      <c r="F219" s="257">
        <v>200000</v>
      </c>
      <c r="G219" s="257">
        <v>200000</v>
      </c>
      <c r="H219" s="257">
        <v>0</v>
      </c>
      <c r="I219" s="257">
        <v>53706.5</v>
      </c>
      <c r="J219" s="257">
        <v>0</v>
      </c>
      <c r="K219" s="257">
        <v>43525</v>
      </c>
      <c r="L219" s="257">
        <v>43525</v>
      </c>
      <c r="M219" s="257">
        <v>102768.5</v>
      </c>
      <c r="N219" s="257">
        <v>102768.5</v>
      </c>
    </row>
    <row r="220" spans="1:14" s="143" customFormat="1" x14ac:dyDescent="0.25">
      <c r="A220" s="143" t="s">
        <v>290</v>
      </c>
      <c r="B220" s="143" t="s">
        <v>132</v>
      </c>
      <c r="C220" s="143" t="s">
        <v>133</v>
      </c>
      <c r="D220" s="143" t="s">
        <v>69</v>
      </c>
      <c r="E220" s="257">
        <v>2046000</v>
      </c>
      <c r="F220" s="257">
        <v>2046000</v>
      </c>
      <c r="G220" s="257">
        <v>1534500</v>
      </c>
      <c r="H220" s="257">
        <v>0</v>
      </c>
      <c r="I220" s="257">
        <v>373966.07</v>
      </c>
      <c r="J220" s="257">
        <v>0</v>
      </c>
      <c r="K220" s="257">
        <v>87965.65</v>
      </c>
      <c r="L220" s="257">
        <v>87965.65</v>
      </c>
      <c r="M220" s="257">
        <v>1584068.28</v>
      </c>
      <c r="N220" s="257">
        <v>1072568.28</v>
      </c>
    </row>
    <row r="221" spans="1:14" s="143" customFormat="1" x14ac:dyDescent="0.25">
      <c r="A221" s="143" t="s">
        <v>290</v>
      </c>
      <c r="B221" s="143" t="s">
        <v>134</v>
      </c>
      <c r="C221" s="143" t="s">
        <v>135</v>
      </c>
      <c r="D221" s="143" t="s">
        <v>69</v>
      </c>
      <c r="E221" s="257">
        <v>334518795</v>
      </c>
      <c r="F221" s="257">
        <v>361518795</v>
      </c>
      <c r="G221" s="257">
        <v>280639097</v>
      </c>
      <c r="H221" s="257">
        <v>602164</v>
      </c>
      <c r="I221" s="257">
        <v>25653030.969999999</v>
      </c>
      <c r="J221" s="257">
        <v>0</v>
      </c>
      <c r="K221" s="257">
        <v>129034029.68000001</v>
      </c>
      <c r="L221" s="257">
        <v>123071195.55</v>
      </c>
      <c r="M221" s="257">
        <v>206229570.34999999</v>
      </c>
      <c r="N221" s="257">
        <v>125349872.34999999</v>
      </c>
    </row>
    <row r="222" spans="1:14" s="143" customFormat="1" x14ac:dyDescent="0.25">
      <c r="A222" s="143" t="s">
        <v>290</v>
      </c>
      <c r="B222" s="143" t="s">
        <v>306</v>
      </c>
      <c r="C222" s="143" t="s">
        <v>307</v>
      </c>
      <c r="D222" s="143" t="s">
        <v>69</v>
      </c>
      <c r="E222" s="257">
        <v>2000000</v>
      </c>
      <c r="F222" s="257">
        <v>2000000</v>
      </c>
      <c r="G222" s="257">
        <v>0</v>
      </c>
      <c r="H222" s="257">
        <v>0</v>
      </c>
      <c r="I222" s="257">
        <v>0</v>
      </c>
      <c r="J222" s="257">
        <v>0</v>
      </c>
      <c r="K222" s="257">
        <v>0</v>
      </c>
      <c r="L222" s="257">
        <v>0</v>
      </c>
      <c r="M222" s="257">
        <v>2000000</v>
      </c>
      <c r="N222" s="257">
        <v>0</v>
      </c>
    </row>
    <row r="223" spans="1:14" s="143" customFormat="1" x14ac:dyDescent="0.25">
      <c r="A223" s="143" t="s">
        <v>290</v>
      </c>
      <c r="B223" s="143" t="s">
        <v>308</v>
      </c>
      <c r="C223" s="143" t="s">
        <v>309</v>
      </c>
      <c r="D223" s="143" t="s">
        <v>69</v>
      </c>
      <c r="E223" s="257">
        <v>5000000</v>
      </c>
      <c r="F223" s="257">
        <v>5000000</v>
      </c>
      <c r="G223" s="257">
        <v>5000000</v>
      </c>
      <c r="H223" s="257">
        <v>0</v>
      </c>
      <c r="I223" s="257">
        <v>4556956</v>
      </c>
      <c r="J223" s="257">
        <v>0</v>
      </c>
      <c r="K223" s="257">
        <v>0</v>
      </c>
      <c r="L223" s="257">
        <v>0</v>
      </c>
      <c r="M223" s="257">
        <v>443044</v>
      </c>
      <c r="N223" s="257">
        <v>443044</v>
      </c>
    </row>
    <row r="224" spans="1:14" s="143" customFormat="1" x14ac:dyDescent="0.25">
      <c r="A224" s="143" t="s">
        <v>290</v>
      </c>
      <c r="B224" s="143" t="s">
        <v>136</v>
      </c>
      <c r="C224" s="143" t="s">
        <v>137</v>
      </c>
      <c r="D224" s="143" t="s">
        <v>69</v>
      </c>
      <c r="E224" s="257">
        <v>319951179</v>
      </c>
      <c r="F224" s="257">
        <v>346951179</v>
      </c>
      <c r="G224" s="257">
        <v>268613385</v>
      </c>
      <c r="H224" s="257">
        <v>0</v>
      </c>
      <c r="I224" s="257">
        <v>19421445.050000001</v>
      </c>
      <c r="J224" s="257">
        <v>0</v>
      </c>
      <c r="K224" s="257">
        <v>124903295.59999999</v>
      </c>
      <c r="L224" s="257">
        <v>119243163.55</v>
      </c>
      <c r="M224" s="257">
        <v>202626438.34999999</v>
      </c>
      <c r="N224" s="257">
        <v>124288644.34999999</v>
      </c>
    </row>
    <row r="225" spans="1:14" s="143" customFormat="1" x14ac:dyDescent="0.25">
      <c r="A225" s="143" t="s">
        <v>290</v>
      </c>
      <c r="B225" s="143" t="s">
        <v>138</v>
      </c>
      <c r="C225" s="143" t="s">
        <v>139</v>
      </c>
      <c r="D225" s="143" t="s">
        <v>69</v>
      </c>
      <c r="E225" s="257">
        <v>7567616</v>
      </c>
      <c r="F225" s="257">
        <v>7567616</v>
      </c>
      <c r="G225" s="257">
        <v>7025712</v>
      </c>
      <c r="H225" s="257">
        <v>602164</v>
      </c>
      <c r="I225" s="257">
        <v>1674629.92</v>
      </c>
      <c r="J225" s="257">
        <v>0</v>
      </c>
      <c r="K225" s="257">
        <v>4130734.0800000001</v>
      </c>
      <c r="L225" s="257">
        <v>3828032</v>
      </c>
      <c r="M225" s="257">
        <v>1160088</v>
      </c>
      <c r="N225" s="257">
        <v>618184</v>
      </c>
    </row>
    <row r="226" spans="1:14" s="143" customFormat="1" x14ac:dyDescent="0.25">
      <c r="A226" s="143" t="s">
        <v>290</v>
      </c>
      <c r="B226" s="143" t="s">
        <v>140</v>
      </c>
      <c r="C226" s="143" t="s">
        <v>141</v>
      </c>
      <c r="D226" s="143" t="s">
        <v>69</v>
      </c>
      <c r="E226" s="257">
        <v>33445676</v>
      </c>
      <c r="F226" s="257">
        <v>33445676</v>
      </c>
      <c r="G226" s="257">
        <v>29031757</v>
      </c>
      <c r="H226" s="257">
        <v>0</v>
      </c>
      <c r="I226" s="257">
        <v>3561136.4</v>
      </c>
      <c r="J226" s="257">
        <v>0</v>
      </c>
      <c r="K226" s="257">
        <v>15855682.300000001</v>
      </c>
      <c r="L226" s="257">
        <v>15735882.300000001</v>
      </c>
      <c r="M226" s="257">
        <v>14028857.300000001</v>
      </c>
      <c r="N226" s="257">
        <v>9614938.3000000007</v>
      </c>
    </row>
    <row r="227" spans="1:14" s="143" customFormat="1" x14ac:dyDescent="0.25">
      <c r="A227" s="143" t="s">
        <v>290</v>
      </c>
      <c r="B227" s="143" t="s">
        <v>142</v>
      </c>
      <c r="C227" s="143" t="s">
        <v>143</v>
      </c>
      <c r="D227" s="143" t="s">
        <v>69</v>
      </c>
      <c r="E227" s="257">
        <v>1700000</v>
      </c>
      <c r="F227" s="257">
        <v>1700000</v>
      </c>
      <c r="G227" s="257">
        <v>1275000</v>
      </c>
      <c r="H227" s="257">
        <v>0</v>
      </c>
      <c r="I227" s="257">
        <v>260640</v>
      </c>
      <c r="J227" s="257">
        <v>0</v>
      </c>
      <c r="K227" s="257">
        <v>484980</v>
      </c>
      <c r="L227" s="257">
        <v>484980</v>
      </c>
      <c r="M227" s="257">
        <v>954380</v>
      </c>
      <c r="N227" s="257">
        <v>529380</v>
      </c>
    </row>
    <row r="228" spans="1:14" s="143" customFormat="1" x14ac:dyDescent="0.25">
      <c r="A228" s="143" t="s">
        <v>290</v>
      </c>
      <c r="B228" s="143" t="s">
        <v>144</v>
      </c>
      <c r="C228" s="143" t="s">
        <v>145</v>
      </c>
      <c r="D228" s="143" t="s">
        <v>69</v>
      </c>
      <c r="E228" s="257">
        <v>24979191</v>
      </c>
      <c r="F228" s="257">
        <v>24979191</v>
      </c>
      <c r="G228" s="257">
        <v>21734393.5</v>
      </c>
      <c r="H228" s="257">
        <v>0</v>
      </c>
      <c r="I228" s="257">
        <v>3213496</v>
      </c>
      <c r="J228" s="257">
        <v>0</v>
      </c>
      <c r="K228" s="257">
        <v>12096600</v>
      </c>
      <c r="L228" s="257">
        <v>11976800</v>
      </c>
      <c r="M228" s="257">
        <v>9669095</v>
      </c>
      <c r="N228" s="257">
        <v>6424297.5</v>
      </c>
    </row>
    <row r="229" spans="1:14" s="143" customFormat="1" x14ac:dyDescent="0.25">
      <c r="A229" s="143" t="s">
        <v>290</v>
      </c>
      <c r="B229" s="143" t="s">
        <v>146</v>
      </c>
      <c r="C229" s="143" t="s">
        <v>147</v>
      </c>
      <c r="D229" s="143" t="s">
        <v>69</v>
      </c>
      <c r="E229" s="257">
        <v>2035715</v>
      </c>
      <c r="F229" s="257">
        <v>2035715</v>
      </c>
      <c r="G229" s="257">
        <v>1564286.5</v>
      </c>
      <c r="H229" s="257">
        <v>0</v>
      </c>
      <c r="I229" s="257">
        <v>271</v>
      </c>
      <c r="J229" s="257">
        <v>0</v>
      </c>
      <c r="K229" s="257">
        <v>1092467</v>
      </c>
      <c r="L229" s="257">
        <v>1092467</v>
      </c>
      <c r="M229" s="257">
        <v>942977</v>
      </c>
      <c r="N229" s="257">
        <v>471548.5</v>
      </c>
    </row>
    <row r="230" spans="1:14" s="143" customFormat="1" x14ac:dyDescent="0.25">
      <c r="A230" s="143" t="s">
        <v>290</v>
      </c>
      <c r="B230" s="143" t="s">
        <v>148</v>
      </c>
      <c r="C230" s="143" t="s">
        <v>149</v>
      </c>
      <c r="D230" s="143" t="s">
        <v>69</v>
      </c>
      <c r="E230" s="257">
        <v>4730770</v>
      </c>
      <c r="F230" s="257">
        <v>4730770</v>
      </c>
      <c r="G230" s="257">
        <v>4458077</v>
      </c>
      <c r="H230" s="257">
        <v>0</v>
      </c>
      <c r="I230" s="257">
        <v>86729.4</v>
      </c>
      <c r="J230" s="257">
        <v>0</v>
      </c>
      <c r="K230" s="257">
        <v>2181635.2999999998</v>
      </c>
      <c r="L230" s="257">
        <v>2181635.2999999998</v>
      </c>
      <c r="M230" s="257">
        <v>2462405.2999999998</v>
      </c>
      <c r="N230" s="257">
        <v>2189712.2999999998</v>
      </c>
    </row>
    <row r="231" spans="1:14" s="143" customFormat="1" x14ac:dyDescent="0.25">
      <c r="A231" s="143" t="s">
        <v>290</v>
      </c>
      <c r="B231" s="143" t="s">
        <v>150</v>
      </c>
      <c r="C231" s="143" t="s">
        <v>151</v>
      </c>
      <c r="D231" s="143" t="s">
        <v>69</v>
      </c>
      <c r="E231" s="257">
        <v>83546141</v>
      </c>
      <c r="F231" s="257">
        <v>101246141</v>
      </c>
      <c r="G231" s="257">
        <v>80084605</v>
      </c>
      <c r="H231" s="257">
        <v>0</v>
      </c>
      <c r="I231" s="257">
        <v>5426581</v>
      </c>
      <c r="J231" s="257">
        <v>0</v>
      </c>
      <c r="K231" s="257">
        <v>25358126</v>
      </c>
      <c r="L231" s="257">
        <v>25358126</v>
      </c>
      <c r="M231" s="257">
        <v>70461434</v>
      </c>
      <c r="N231" s="257">
        <v>49299898</v>
      </c>
    </row>
    <row r="232" spans="1:14" s="143" customFormat="1" x14ac:dyDescent="0.25">
      <c r="A232" s="143" t="s">
        <v>290</v>
      </c>
      <c r="B232" s="143" t="s">
        <v>152</v>
      </c>
      <c r="C232" s="143" t="s">
        <v>153</v>
      </c>
      <c r="D232" s="143" t="s">
        <v>69</v>
      </c>
      <c r="E232" s="257">
        <v>83546141</v>
      </c>
      <c r="F232" s="257">
        <v>101246141</v>
      </c>
      <c r="G232" s="257">
        <v>80084605</v>
      </c>
      <c r="H232" s="257">
        <v>0</v>
      </c>
      <c r="I232" s="257">
        <v>5426581</v>
      </c>
      <c r="J232" s="257">
        <v>0</v>
      </c>
      <c r="K232" s="257">
        <v>25358126</v>
      </c>
      <c r="L232" s="257">
        <v>25358126</v>
      </c>
      <c r="M232" s="257">
        <v>70461434</v>
      </c>
      <c r="N232" s="257">
        <v>49299898</v>
      </c>
    </row>
    <row r="233" spans="1:14" s="143" customFormat="1" x14ac:dyDescent="0.25">
      <c r="A233" s="143" t="s">
        <v>290</v>
      </c>
      <c r="B233" s="143" t="s">
        <v>154</v>
      </c>
      <c r="C233" s="143" t="s">
        <v>155</v>
      </c>
      <c r="D233" s="143" t="s">
        <v>69</v>
      </c>
      <c r="E233" s="257">
        <v>0</v>
      </c>
      <c r="F233" s="257">
        <v>0</v>
      </c>
      <c r="G233" s="257">
        <v>0</v>
      </c>
      <c r="H233" s="257">
        <v>0</v>
      </c>
      <c r="I233" s="257">
        <v>0</v>
      </c>
      <c r="J233" s="257">
        <v>0</v>
      </c>
      <c r="K233" s="257">
        <v>0</v>
      </c>
      <c r="L233" s="257">
        <v>0</v>
      </c>
      <c r="M233" s="257">
        <v>0</v>
      </c>
      <c r="N233" s="257">
        <v>0</v>
      </c>
    </row>
    <row r="234" spans="1:14" s="143" customFormat="1" x14ac:dyDescent="0.25">
      <c r="A234" s="143" t="s">
        <v>290</v>
      </c>
      <c r="B234" s="143" t="s">
        <v>156</v>
      </c>
      <c r="C234" s="143" t="s">
        <v>157</v>
      </c>
      <c r="D234" s="143" t="s">
        <v>69</v>
      </c>
      <c r="E234" s="257">
        <v>0</v>
      </c>
      <c r="F234" s="257">
        <v>0</v>
      </c>
      <c r="G234" s="257">
        <v>0</v>
      </c>
      <c r="H234" s="257">
        <v>0</v>
      </c>
      <c r="I234" s="257">
        <v>0</v>
      </c>
      <c r="J234" s="257">
        <v>0</v>
      </c>
      <c r="K234" s="257">
        <v>0</v>
      </c>
      <c r="L234" s="257">
        <v>0</v>
      </c>
      <c r="M234" s="257">
        <v>0</v>
      </c>
      <c r="N234" s="257">
        <v>0</v>
      </c>
    </row>
    <row r="235" spans="1:14" s="143" customFormat="1" x14ac:dyDescent="0.25">
      <c r="A235" s="143" t="s">
        <v>290</v>
      </c>
      <c r="B235" s="143" t="s">
        <v>162</v>
      </c>
      <c r="C235" s="143" t="s">
        <v>163</v>
      </c>
      <c r="D235" s="143" t="s">
        <v>69</v>
      </c>
      <c r="E235" s="257">
        <v>89480793</v>
      </c>
      <c r="F235" s="257">
        <v>76080793</v>
      </c>
      <c r="G235" s="257">
        <v>61050595</v>
      </c>
      <c r="H235" s="257">
        <v>500000</v>
      </c>
      <c r="I235" s="257">
        <v>16903851.149999999</v>
      </c>
      <c r="J235" s="257">
        <v>821089.29</v>
      </c>
      <c r="K235" s="257">
        <v>22385014.25</v>
      </c>
      <c r="L235" s="257">
        <v>15917396.550000001</v>
      </c>
      <c r="M235" s="257">
        <v>35470838.310000002</v>
      </c>
      <c r="N235" s="257">
        <v>20440640.309999999</v>
      </c>
    </row>
    <row r="236" spans="1:14" s="143" customFormat="1" x14ac:dyDescent="0.25">
      <c r="A236" s="143" t="s">
        <v>290</v>
      </c>
      <c r="B236" s="143" t="s">
        <v>310</v>
      </c>
      <c r="C236" s="143" t="s">
        <v>311</v>
      </c>
      <c r="D236" s="143" t="s">
        <v>69</v>
      </c>
      <c r="E236" s="257">
        <v>13000000</v>
      </c>
      <c r="F236" s="257">
        <v>13000000</v>
      </c>
      <c r="G236" s="257">
        <v>10500000</v>
      </c>
      <c r="H236" s="257">
        <v>0</v>
      </c>
      <c r="I236" s="257">
        <v>2951032.05</v>
      </c>
      <c r="J236" s="257">
        <v>0</v>
      </c>
      <c r="K236" s="257">
        <v>3978007.62</v>
      </c>
      <c r="L236" s="257">
        <v>3670594.62</v>
      </c>
      <c r="M236" s="257">
        <v>6070960.3300000001</v>
      </c>
      <c r="N236" s="257">
        <v>3570960.33</v>
      </c>
    </row>
    <row r="237" spans="1:14" s="143" customFormat="1" x14ac:dyDescent="0.25">
      <c r="A237" s="143" t="s">
        <v>290</v>
      </c>
      <c r="B237" s="143" t="s">
        <v>164</v>
      </c>
      <c r="C237" s="143" t="s">
        <v>165</v>
      </c>
      <c r="D237" s="143" t="s">
        <v>69</v>
      </c>
      <c r="E237" s="257">
        <v>1918000</v>
      </c>
      <c r="F237" s="257">
        <v>1918000</v>
      </c>
      <c r="G237" s="257">
        <v>1638500</v>
      </c>
      <c r="H237" s="257">
        <v>0</v>
      </c>
      <c r="I237" s="257">
        <v>31643.5</v>
      </c>
      <c r="J237" s="257">
        <v>0</v>
      </c>
      <c r="K237" s="257">
        <v>1124143.75</v>
      </c>
      <c r="L237" s="257">
        <v>756606.25</v>
      </c>
      <c r="M237" s="257">
        <v>762212.75</v>
      </c>
      <c r="N237" s="257">
        <v>482712.75</v>
      </c>
    </row>
    <row r="238" spans="1:14" s="143" customFormat="1" x14ac:dyDescent="0.25">
      <c r="A238" s="143" t="s">
        <v>290</v>
      </c>
      <c r="B238" s="143" t="s">
        <v>166</v>
      </c>
      <c r="C238" s="143" t="s">
        <v>167</v>
      </c>
      <c r="D238" s="143" t="s">
        <v>69</v>
      </c>
      <c r="E238" s="257">
        <v>25420000</v>
      </c>
      <c r="F238" s="257">
        <v>15420000</v>
      </c>
      <c r="G238" s="257">
        <v>14040000</v>
      </c>
      <c r="H238" s="257">
        <v>0</v>
      </c>
      <c r="I238" s="257">
        <v>10792989</v>
      </c>
      <c r="J238" s="257">
        <v>0</v>
      </c>
      <c r="K238" s="257">
        <v>1133135</v>
      </c>
      <c r="L238" s="257">
        <v>1133135</v>
      </c>
      <c r="M238" s="257">
        <v>3493876</v>
      </c>
      <c r="N238" s="257">
        <v>2113876</v>
      </c>
    </row>
    <row r="239" spans="1:14" s="143" customFormat="1" x14ac:dyDescent="0.25">
      <c r="A239" s="143" t="s">
        <v>290</v>
      </c>
      <c r="B239" s="143" t="s">
        <v>312</v>
      </c>
      <c r="C239" s="143" t="s">
        <v>313</v>
      </c>
      <c r="D239" s="143" t="s">
        <v>69</v>
      </c>
      <c r="E239" s="257">
        <v>7181770</v>
      </c>
      <c r="F239" s="257">
        <v>7181770</v>
      </c>
      <c r="G239" s="257">
        <v>5386327</v>
      </c>
      <c r="H239" s="257">
        <v>300000</v>
      </c>
      <c r="I239" s="257">
        <v>316319.52</v>
      </c>
      <c r="J239" s="257">
        <v>0</v>
      </c>
      <c r="K239" s="257">
        <v>2507667.2000000002</v>
      </c>
      <c r="L239" s="257">
        <v>800000</v>
      </c>
      <c r="M239" s="257">
        <v>4057783.28</v>
      </c>
      <c r="N239" s="257">
        <v>2262340.2799999998</v>
      </c>
    </row>
    <row r="240" spans="1:14" s="143" customFormat="1" x14ac:dyDescent="0.25">
      <c r="A240" s="143" t="s">
        <v>290</v>
      </c>
      <c r="B240" s="143" t="s">
        <v>168</v>
      </c>
      <c r="C240" s="143" t="s">
        <v>169</v>
      </c>
      <c r="D240" s="143" t="s">
        <v>69</v>
      </c>
      <c r="E240" s="257">
        <v>8196286</v>
      </c>
      <c r="F240" s="257">
        <v>10196286</v>
      </c>
      <c r="G240" s="257">
        <v>8147215</v>
      </c>
      <c r="H240" s="257">
        <v>0</v>
      </c>
      <c r="I240" s="257">
        <v>1392293</v>
      </c>
      <c r="J240" s="257">
        <v>221618.99</v>
      </c>
      <c r="K240" s="257">
        <v>2307048.2000000002</v>
      </c>
      <c r="L240" s="257">
        <v>2247048.2000000002</v>
      </c>
      <c r="M240" s="257">
        <v>6275325.8099999996</v>
      </c>
      <c r="N240" s="257">
        <v>4226254.8099999996</v>
      </c>
    </row>
    <row r="241" spans="1:14" s="143" customFormat="1" x14ac:dyDescent="0.25">
      <c r="A241" s="143" t="s">
        <v>290</v>
      </c>
      <c r="B241" s="143" t="s">
        <v>170</v>
      </c>
      <c r="C241" s="143" t="s">
        <v>171</v>
      </c>
      <c r="D241" s="143" t="s">
        <v>69</v>
      </c>
      <c r="E241" s="257">
        <v>28160737</v>
      </c>
      <c r="F241" s="257">
        <v>23460737</v>
      </c>
      <c r="G241" s="257">
        <v>17835553</v>
      </c>
      <c r="H241" s="257">
        <v>0</v>
      </c>
      <c r="I241" s="257">
        <v>810000</v>
      </c>
      <c r="J241" s="257">
        <v>0</v>
      </c>
      <c r="K241" s="257">
        <v>11335012.48</v>
      </c>
      <c r="L241" s="257">
        <v>7310012.4800000004</v>
      </c>
      <c r="M241" s="257">
        <v>11315724.52</v>
      </c>
      <c r="N241" s="257">
        <v>5690540.5199999996</v>
      </c>
    </row>
    <row r="242" spans="1:14" s="143" customFormat="1" x14ac:dyDescent="0.25">
      <c r="A242" s="143" t="s">
        <v>290</v>
      </c>
      <c r="B242" s="143" t="s">
        <v>172</v>
      </c>
      <c r="C242" s="143" t="s">
        <v>173</v>
      </c>
      <c r="D242" s="143" t="s">
        <v>69</v>
      </c>
      <c r="E242" s="257">
        <v>5604000</v>
      </c>
      <c r="F242" s="257">
        <v>4904000</v>
      </c>
      <c r="G242" s="257">
        <v>3503000</v>
      </c>
      <c r="H242" s="257">
        <v>200000</v>
      </c>
      <c r="I242" s="257">
        <v>609574.07999999996</v>
      </c>
      <c r="J242" s="257">
        <v>599470.30000000005</v>
      </c>
      <c r="K242" s="257">
        <v>0</v>
      </c>
      <c r="L242" s="257">
        <v>0</v>
      </c>
      <c r="M242" s="257">
        <v>3494955.62</v>
      </c>
      <c r="N242" s="257">
        <v>2093955.62</v>
      </c>
    </row>
    <row r="243" spans="1:14" s="143" customFormat="1" x14ac:dyDescent="0.25">
      <c r="A243" s="143" t="s">
        <v>290</v>
      </c>
      <c r="B243" s="143" t="s">
        <v>174</v>
      </c>
      <c r="C243" s="143" t="s">
        <v>175</v>
      </c>
      <c r="D243" s="143" t="s">
        <v>69</v>
      </c>
      <c r="E243" s="257">
        <v>1340000</v>
      </c>
      <c r="F243" s="257">
        <v>1340000</v>
      </c>
      <c r="G243" s="257">
        <v>1305000</v>
      </c>
      <c r="H243" s="257">
        <v>0</v>
      </c>
      <c r="I243" s="257">
        <v>24800</v>
      </c>
      <c r="J243" s="257">
        <v>0</v>
      </c>
      <c r="K243" s="257">
        <v>200</v>
      </c>
      <c r="L243" s="257">
        <v>200</v>
      </c>
      <c r="M243" s="257">
        <v>1315000</v>
      </c>
      <c r="N243" s="257">
        <v>1280000</v>
      </c>
    </row>
    <row r="244" spans="1:14" s="143" customFormat="1" x14ac:dyDescent="0.25">
      <c r="A244" s="143" t="s">
        <v>290</v>
      </c>
      <c r="B244" s="143" t="s">
        <v>176</v>
      </c>
      <c r="C244" s="143" t="s">
        <v>177</v>
      </c>
      <c r="D244" s="143" t="s">
        <v>69</v>
      </c>
      <c r="E244" s="257">
        <v>1340000</v>
      </c>
      <c r="F244" s="257">
        <v>1340000</v>
      </c>
      <c r="G244" s="257">
        <v>1305000</v>
      </c>
      <c r="H244" s="257">
        <v>0</v>
      </c>
      <c r="I244" s="257">
        <v>24800</v>
      </c>
      <c r="J244" s="257">
        <v>0</v>
      </c>
      <c r="K244" s="257">
        <v>200</v>
      </c>
      <c r="L244" s="257">
        <v>200</v>
      </c>
      <c r="M244" s="257">
        <v>1315000</v>
      </c>
      <c r="N244" s="257">
        <v>1280000</v>
      </c>
    </row>
    <row r="245" spans="1:14" s="143" customFormat="1" x14ac:dyDescent="0.25">
      <c r="A245" s="143" t="s">
        <v>290</v>
      </c>
      <c r="B245" s="143" t="s">
        <v>178</v>
      </c>
      <c r="C245" s="143" t="s">
        <v>179</v>
      </c>
      <c r="D245" s="143" t="s">
        <v>69</v>
      </c>
      <c r="E245" s="257">
        <v>2150000</v>
      </c>
      <c r="F245" s="257">
        <v>2150000</v>
      </c>
      <c r="G245" s="257">
        <v>1412500</v>
      </c>
      <c r="H245" s="257">
        <v>0</v>
      </c>
      <c r="I245" s="257">
        <v>113207.78</v>
      </c>
      <c r="J245" s="257">
        <v>0</v>
      </c>
      <c r="K245" s="257">
        <v>0</v>
      </c>
      <c r="L245" s="257">
        <v>0</v>
      </c>
      <c r="M245" s="257">
        <v>2036792.22</v>
      </c>
      <c r="N245" s="257">
        <v>1299292.22</v>
      </c>
    </row>
    <row r="246" spans="1:14" s="143" customFormat="1" x14ac:dyDescent="0.25">
      <c r="A246" s="143" t="s">
        <v>290</v>
      </c>
      <c r="B246" s="143" t="s">
        <v>180</v>
      </c>
      <c r="C246" s="143" t="s">
        <v>181</v>
      </c>
      <c r="D246" s="143" t="s">
        <v>69</v>
      </c>
      <c r="E246" s="257">
        <v>150000</v>
      </c>
      <c r="F246" s="257">
        <v>150000</v>
      </c>
      <c r="G246" s="257">
        <v>150000</v>
      </c>
      <c r="H246" s="257">
        <v>0</v>
      </c>
      <c r="I246" s="257">
        <v>113207.78</v>
      </c>
      <c r="J246" s="257">
        <v>0</v>
      </c>
      <c r="K246" s="257">
        <v>0</v>
      </c>
      <c r="L246" s="257">
        <v>0</v>
      </c>
      <c r="M246" s="257">
        <v>36792.22</v>
      </c>
      <c r="N246" s="257">
        <v>36792.22</v>
      </c>
    </row>
    <row r="247" spans="1:14" s="143" customFormat="1" x14ac:dyDescent="0.25">
      <c r="A247" s="143" t="s">
        <v>290</v>
      </c>
      <c r="B247" s="143" t="s">
        <v>182</v>
      </c>
      <c r="C247" s="143" t="s">
        <v>183</v>
      </c>
      <c r="D247" s="143" t="s">
        <v>69</v>
      </c>
      <c r="E247" s="257">
        <v>2000000</v>
      </c>
      <c r="F247" s="257">
        <v>2000000</v>
      </c>
      <c r="G247" s="257">
        <v>1262500</v>
      </c>
      <c r="H247" s="257">
        <v>0</v>
      </c>
      <c r="I247" s="257">
        <v>0</v>
      </c>
      <c r="J247" s="257">
        <v>0</v>
      </c>
      <c r="K247" s="257">
        <v>0</v>
      </c>
      <c r="L247" s="257">
        <v>0</v>
      </c>
      <c r="M247" s="257">
        <v>2000000</v>
      </c>
      <c r="N247" s="257">
        <v>1262500</v>
      </c>
    </row>
    <row r="248" spans="1:14" s="143" customFormat="1" x14ac:dyDescent="0.25">
      <c r="A248" s="143" t="s">
        <v>290</v>
      </c>
      <c r="B248" s="143" t="s">
        <v>184</v>
      </c>
      <c r="C248" s="143" t="s">
        <v>185</v>
      </c>
      <c r="D248" s="143" t="s">
        <v>69</v>
      </c>
      <c r="E248" s="257">
        <v>65233793</v>
      </c>
      <c r="F248" s="257">
        <v>65233793</v>
      </c>
      <c r="G248" s="257">
        <v>43985344</v>
      </c>
      <c r="H248" s="257">
        <v>248958.71</v>
      </c>
      <c r="I248" s="257">
        <v>4554625.76</v>
      </c>
      <c r="J248" s="257">
        <v>1850871.06</v>
      </c>
      <c r="K248" s="257">
        <v>8139267.6399999997</v>
      </c>
      <c r="L248" s="257">
        <v>8139267.6399999997</v>
      </c>
      <c r="M248" s="257">
        <v>50440069.829999998</v>
      </c>
      <c r="N248" s="257">
        <v>29191620.829999998</v>
      </c>
    </row>
    <row r="249" spans="1:14" s="143" customFormat="1" x14ac:dyDescent="0.25">
      <c r="A249" s="143" t="s">
        <v>290</v>
      </c>
      <c r="B249" s="143" t="s">
        <v>186</v>
      </c>
      <c r="C249" s="143" t="s">
        <v>187</v>
      </c>
      <c r="D249" s="143" t="s">
        <v>69</v>
      </c>
      <c r="E249" s="257">
        <v>34706100</v>
      </c>
      <c r="F249" s="257">
        <v>34706100</v>
      </c>
      <c r="G249" s="257">
        <v>23729574</v>
      </c>
      <c r="H249" s="257">
        <v>0</v>
      </c>
      <c r="I249" s="257">
        <v>2477202.36</v>
      </c>
      <c r="J249" s="257">
        <v>0</v>
      </c>
      <c r="K249" s="257">
        <v>7218867.6399999997</v>
      </c>
      <c r="L249" s="257">
        <v>7218867.6399999997</v>
      </c>
      <c r="M249" s="257">
        <v>25010030</v>
      </c>
      <c r="N249" s="257">
        <v>14033504</v>
      </c>
    </row>
    <row r="250" spans="1:14" s="143" customFormat="1" x14ac:dyDescent="0.25">
      <c r="A250" s="143" t="s">
        <v>290</v>
      </c>
      <c r="B250" s="143" t="s">
        <v>188</v>
      </c>
      <c r="C250" s="143" t="s">
        <v>189</v>
      </c>
      <c r="D250" s="143" t="s">
        <v>69</v>
      </c>
      <c r="E250" s="257">
        <v>26298967</v>
      </c>
      <c r="F250" s="257">
        <v>26298967</v>
      </c>
      <c r="G250" s="257">
        <v>18424225</v>
      </c>
      <c r="H250" s="257">
        <v>0</v>
      </c>
      <c r="I250" s="257">
        <v>2477202.36</v>
      </c>
      <c r="J250" s="257">
        <v>0</v>
      </c>
      <c r="K250" s="257">
        <v>7218867.6399999997</v>
      </c>
      <c r="L250" s="257">
        <v>7218867.6399999997</v>
      </c>
      <c r="M250" s="257">
        <v>16602897</v>
      </c>
      <c r="N250" s="257">
        <v>8728155</v>
      </c>
    </row>
    <row r="251" spans="1:14" s="143" customFormat="1" x14ac:dyDescent="0.25">
      <c r="A251" s="143" t="s">
        <v>290</v>
      </c>
      <c r="B251" s="143" t="s">
        <v>192</v>
      </c>
      <c r="C251" s="143" t="s">
        <v>193</v>
      </c>
      <c r="D251" s="143" t="s">
        <v>69</v>
      </c>
      <c r="E251" s="257">
        <v>8102133</v>
      </c>
      <c r="F251" s="257">
        <v>8102133</v>
      </c>
      <c r="G251" s="257">
        <v>5076599</v>
      </c>
      <c r="H251" s="257">
        <v>0</v>
      </c>
      <c r="I251" s="257">
        <v>0</v>
      </c>
      <c r="J251" s="257">
        <v>0</v>
      </c>
      <c r="K251" s="257">
        <v>0</v>
      </c>
      <c r="L251" s="257">
        <v>0</v>
      </c>
      <c r="M251" s="257">
        <v>8102133</v>
      </c>
      <c r="N251" s="257">
        <v>5076599</v>
      </c>
    </row>
    <row r="252" spans="1:14" s="143" customFormat="1" x14ac:dyDescent="0.25">
      <c r="A252" s="143" t="s">
        <v>290</v>
      </c>
      <c r="B252" s="143" t="s">
        <v>194</v>
      </c>
      <c r="C252" s="143" t="s">
        <v>195</v>
      </c>
      <c r="D252" s="143" t="s">
        <v>69</v>
      </c>
      <c r="E252" s="257">
        <v>305000</v>
      </c>
      <c r="F252" s="257">
        <v>305000</v>
      </c>
      <c r="G252" s="257">
        <v>228750</v>
      </c>
      <c r="H252" s="257">
        <v>0</v>
      </c>
      <c r="I252" s="257">
        <v>0</v>
      </c>
      <c r="J252" s="257">
        <v>0</v>
      </c>
      <c r="K252" s="257">
        <v>0</v>
      </c>
      <c r="L252" s="257">
        <v>0</v>
      </c>
      <c r="M252" s="257">
        <v>305000</v>
      </c>
      <c r="N252" s="257">
        <v>228750</v>
      </c>
    </row>
    <row r="253" spans="1:14" s="143" customFormat="1" x14ac:dyDescent="0.25">
      <c r="A253" s="143" t="s">
        <v>290</v>
      </c>
      <c r="B253" s="143" t="s">
        <v>200</v>
      </c>
      <c r="C253" s="143" t="s">
        <v>201</v>
      </c>
      <c r="D253" s="143" t="s">
        <v>69</v>
      </c>
      <c r="E253" s="257">
        <v>2978000</v>
      </c>
      <c r="F253" s="257">
        <v>2978000</v>
      </c>
      <c r="G253" s="257">
        <v>1983500</v>
      </c>
      <c r="H253" s="257">
        <v>0</v>
      </c>
      <c r="I253" s="257">
        <v>0</v>
      </c>
      <c r="J253" s="257">
        <v>0</v>
      </c>
      <c r="K253" s="257">
        <v>0</v>
      </c>
      <c r="L253" s="257">
        <v>0</v>
      </c>
      <c r="M253" s="257">
        <v>2978000</v>
      </c>
      <c r="N253" s="257">
        <v>1983500</v>
      </c>
    </row>
    <row r="254" spans="1:14" s="143" customFormat="1" x14ac:dyDescent="0.25">
      <c r="A254" s="143" t="s">
        <v>290</v>
      </c>
      <c r="B254" s="143" t="s">
        <v>314</v>
      </c>
      <c r="C254" s="143" t="s">
        <v>315</v>
      </c>
      <c r="D254" s="143" t="s">
        <v>69</v>
      </c>
      <c r="E254" s="257">
        <v>830000</v>
      </c>
      <c r="F254" s="257">
        <v>830000</v>
      </c>
      <c r="G254" s="257">
        <v>522500</v>
      </c>
      <c r="H254" s="257">
        <v>0</v>
      </c>
      <c r="I254" s="257">
        <v>0</v>
      </c>
      <c r="J254" s="257">
        <v>0</v>
      </c>
      <c r="K254" s="257">
        <v>0</v>
      </c>
      <c r="L254" s="257">
        <v>0</v>
      </c>
      <c r="M254" s="257">
        <v>830000</v>
      </c>
      <c r="N254" s="257">
        <v>522500</v>
      </c>
    </row>
    <row r="255" spans="1:14" s="143" customFormat="1" x14ac:dyDescent="0.25">
      <c r="A255" s="143" t="s">
        <v>290</v>
      </c>
      <c r="B255" s="143" t="s">
        <v>316</v>
      </c>
      <c r="C255" s="143" t="s">
        <v>317</v>
      </c>
      <c r="D255" s="143" t="s">
        <v>69</v>
      </c>
      <c r="E255" s="257">
        <v>67000</v>
      </c>
      <c r="F255" s="257">
        <v>67000</v>
      </c>
      <c r="G255" s="257">
        <v>50250</v>
      </c>
      <c r="H255" s="257">
        <v>0</v>
      </c>
      <c r="I255" s="257">
        <v>0</v>
      </c>
      <c r="J255" s="257">
        <v>0</v>
      </c>
      <c r="K255" s="257">
        <v>0</v>
      </c>
      <c r="L255" s="257">
        <v>0</v>
      </c>
      <c r="M255" s="257">
        <v>67000</v>
      </c>
      <c r="N255" s="257">
        <v>50250</v>
      </c>
    </row>
    <row r="256" spans="1:14" s="143" customFormat="1" x14ac:dyDescent="0.25">
      <c r="A256" s="143" t="s">
        <v>290</v>
      </c>
      <c r="B256" s="143" t="s">
        <v>318</v>
      </c>
      <c r="C256" s="143" t="s">
        <v>319</v>
      </c>
      <c r="D256" s="143" t="s">
        <v>69</v>
      </c>
      <c r="E256" s="257">
        <v>99000</v>
      </c>
      <c r="F256" s="257">
        <v>99000</v>
      </c>
      <c r="G256" s="257">
        <v>74250</v>
      </c>
      <c r="H256" s="257">
        <v>0</v>
      </c>
      <c r="I256" s="257">
        <v>0</v>
      </c>
      <c r="J256" s="257">
        <v>0</v>
      </c>
      <c r="K256" s="257">
        <v>0</v>
      </c>
      <c r="L256" s="257">
        <v>0</v>
      </c>
      <c r="M256" s="257">
        <v>99000</v>
      </c>
      <c r="N256" s="257">
        <v>74250</v>
      </c>
    </row>
    <row r="257" spans="1:14" s="143" customFormat="1" x14ac:dyDescent="0.25">
      <c r="A257" s="143" t="s">
        <v>290</v>
      </c>
      <c r="B257" s="143" t="s">
        <v>202</v>
      </c>
      <c r="C257" s="143" t="s">
        <v>203</v>
      </c>
      <c r="D257" s="143" t="s">
        <v>69</v>
      </c>
      <c r="E257" s="257">
        <v>1345000</v>
      </c>
      <c r="F257" s="257">
        <v>1345000</v>
      </c>
      <c r="G257" s="257">
        <v>858750</v>
      </c>
      <c r="H257" s="257">
        <v>0</v>
      </c>
      <c r="I257" s="257">
        <v>0</v>
      </c>
      <c r="J257" s="257">
        <v>0</v>
      </c>
      <c r="K257" s="257">
        <v>0</v>
      </c>
      <c r="L257" s="257">
        <v>0</v>
      </c>
      <c r="M257" s="257">
        <v>1345000</v>
      </c>
      <c r="N257" s="257">
        <v>858750</v>
      </c>
    </row>
    <row r="258" spans="1:14" s="143" customFormat="1" x14ac:dyDescent="0.25">
      <c r="A258" s="143" t="s">
        <v>290</v>
      </c>
      <c r="B258" s="143" t="s">
        <v>320</v>
      </c>
      <c r="C258" s="143" t="s">
        <v>321</v>
      </c>
      <c r="D258" s="143" t="s">
        <v>69</v>
      </c>
      <c r="E258" s="257">
        <v>40000</v>
      </c>
      <c r="F258" s="257">
        <v>40000</v>
      </c>
      <c r="G258" s="257">
        <v>30000</v>
      </c>
      <c r="H258" s="257">
        <v>0</v>
      </c>
      <c r="I258" s="257">
        <v>0</v>
      </c>
      <c r="J258" s="257">
        <v>0</v>
      </c>
      <c r="K258" s="257">
        <v>0</v>
      </c>
      <c r="L258" s="257">
        <v>0</v>
      </c>
      <c r="M258" s="257">
        <v>40000</v>
      </c>
      <c r="N258" s="257">
        <v>30000</v>
      </c>
    </row>
    <row r="259" spans="1:14" s="143" customFormat="1" x14ac:dyDescent="0.25">
      <c r="A259" s="143" t="s">
        <v>290</v>
      </c>
      <c r="B259" s="143" t="s">
        <v>204</v>
      </c>
      <c r="C259" s="143" t="s">
        <v>205</v>
      </c>
      <c r="D259" s="143" t="s">
        <v>69</v>
      </c>
      <c r="E259" s="257">
        <v>198000</v>
      </c>
      <c r="F259" s="257">
        <v>198000</v>
      </c>
      <c r="G259" s="257">
        <v>148500</v>
      </c>
      <c r="H259" s="257">
        <v>0</v>
      </c>
      <c r="I259" s="257">
        <v>0</v>
      </c>
      <c r="J259" s="257">
        <v>0</v>
      </c>
      <c r="K259" s="257">
        <v>0</v>
      </c>
      <c r="L259" s="257">
        <v>0</v>
      </c>
      <c r="M259" s="257">
        <v>198000</v>
      </c>
      <c r="N259" s="257">
        <v>148500</v>
      </c>
    </row>
    <row r="260" spans="1:14" s="143" customFormat="1" x14ac:dyDescent="0.25">
      <c r="A260" s="143" t="s">
        <v>290</v>
      </c>
      <c r="B260" s="143" t="s">
        <v>322</v>
      </c>
      <c r="C260" s="143" t="s">
        <v>323</v>
      </c>
      <c r="D260" s="143" t="s">
        <v>69</v>
      </c>
      <c r="E260" s="257">
        <v>399000</v>
      </c>
      <c r="F260" s="257">
        <v>399000</v>
      </c>
      <c r="G260" s="257">
        <v>299250</v>
      </c>
      <c r="H260" s="257">
        <v>0</v>
      </c>
      <c r="I260" s="257">
        <v>0</v>
      </c>
      <c r="J260" s="257">
        <v>0</v>
      </c>
      <c r="K260" s="257">
        <v>0</v>
      </c>
      <c r="L260" s="257">
        <v>0</v>
      </c>
      <c r="M260" s="257">
        <v>399000</v>
      </c>
      <c r="N260" s="257">
        <v>299250</v>
      </c>
    </row>
    <row r="261" spans="1:14" s="143" customFormat="1" x14ac:dyDescent="0.25">
      <c r="A261" s="143" t="s">
        <v>290</v>
      </c>
      <c r="B261" s="143" t="s">
        <v>206</v>
      </c>
      <c r="C261" s="143" t="s">
        <v>207</v>
      </c>
      <c r="D261" s="143" t="s">
        <v>69</v>
      </c>
      <c r="E261" s="257">
        <v>3047000</v>
      </c>
      <c r="F261" s="257">
        <v>3047000</v>
      </c>
      <c r="G261" s="257">
        <v>1960250</v>
      </c>
      <c r="H261" s="257">
        <v>248958.71</v>
      </c>
      <c r="I261" s="257">
        <v>0</v>
      </c>
      <c r="J261" s="257">
        <v>0</v>
      </c>
      <c r="K261" s="257">
        <v>0</v>
      </c>
      <c r="L261" s="257">
        <v>0</v>
      </c>
      <c r="M261" s="257">
        <v>2798041.29</v>
      </c>
      <c r="N261" s="257">
        <v>1711291.29</v>
      </c>
    </row>
    <row r="262" spans="1:14" s="143" customFormat="1" x14ac:dyDescent="0.25">
      <c r="A262" s="143" t="s">
        <v>290</v>
      </c>
      <c r="B262" s="143" t="s">
        <v>208</v>
      </c>
      <c r="C262" s="143" t="s">
        <v>209</v>
      </c>
      <c r="D262" s="143" t="s">
        <v>69</v>
      </c>
      <c r="E262" s="257">
        <v>251000</v>
      </c>
      <c r="F262" s="257">
        <v>251000</v>
      </c>
      <c r="G262" s="257">
        <v>188250</v>
      </c>
      <c r="H262" s="257">
        <v>0</v>
      </c>
      <c r="I262" s="257">
        <v>0</v>
      </c>
      <c r="J262" s="257">
        <v>0</v>
      </c>
      <c r="K262" s="257">
        <v>0</v>
      </c>
      <c r="L262" s="257">
        <v>0</v>
      </c>
      <c r="M262" s="257">
        <v>251000</v>
      </c>
      <c r="N262" s="257">
        <v>188250</v>
      </c>
    </row>
    <row r="263" spans="1:14" s="143" customFormat="1" x14ac:dyDescent="0.25">
      <c r="A263" s="143" t="s">
        <v>290</v>
      </c>
      <c r="B263" s="143" t="s">
        <v>210</v>
      </c>
      <c r="C263" s="143" t="s">
        <v>211</v>
      </c>
      <c r="D263" s="143" t="s">
        <v>69</v>
      </c>
      <c r="E263" s="257">
        <v>2796000</v>
      </c>
      <c r="F263" s="257">
        <v>2796000</v>
      </c>
      <c r="G263" s="257">
        <v>1772000</v>
      </c>
      <c r="H263" s="257">
        <v>248958.71</v>
      </c>
      <c r="I263" s="257">
        <v>0</v>
      </c>
      <c r="J263" s="257">
        <v>0</v>
      </c>
      <c r="K263" s="257">
        <v>0</v>
      </c>
      <c r="L263" s="257">
        <v>0</v>
      </c>
      <c r="M263" s="257">
        <v>2547041.29</v>
      </c>
      <c r="N263" s="257">
        <v>1523041.29</v>
      </c>
    </row>
    <row r="264" spans="1:14" s="143" customFormat="1" x14ac:dyDescent="0.25">
      <c r="A264" s="143" t="s">
        <v>290</v>
      </c>
      <c r="B264" s="143" t="s">
        <v>212</v>
      </c>
      <c r="C264" s="143" t="s">
        <v>213</v>
      </c>
      <c r="D264" s="143" t="s">
        <v>69</v>
      </c>
      <c r="E264" s="257">
        <v>24502693</v>
      </c>
      <c r="F264" s="257">
        <v>24502693</v>
      </c>
      <c r="G264" s="257">
        <v>16312020</v>
      </c>
      <c r="H264" s="257">
        <v>0</v>
      </c>
      <c r="I264" s="257">
        <v>2077423.4</v>
      </c>
      <c r="J264" s="257">
        <v>1850871.06</v>
      </c>
      <c r="K264" s="257">
        <v>920400</v>
      </c>
      <c r="L264" s="257">
        <v>920400</v>
      </c>
      <c r="M264" s="257">
        <v>19653998.539999999</v>
      </c>
      <c r="N264" s="257">
        <v>11463325.539999999</v>
      </c>
    </row>
    <row r="265" spans="1:14" s="143" customFormat="1" x14ac:dyDescent="0.25">
      <c r="A265" s="143" t="s">
        <v>290</v>
      </c>
      <c r="B265" s="143" t="s">
        <v>214</v>
      </c>
      <c r="C265" s="143" t="s">
        <v>215</v>
      </c>
      <c r="D265" s="143" t="s">
        <v>69</v>
      </c>
      <c r="E265" s="257">
        <v>7116000</v>
      </c>
      <c r="F265" s="257">
        <v>7116000</v>
      </c>
      <c r="G265" s="257">
        <v>5812000</v>
      </c>
      <c r="H265" s="257">
        <v>0</v>
      </c>
      <c r="I265" s="257">
        <v>289852.21999999997</v>
      </c>
      <c r="J265" s="257">
        <v>1850871.06</v>
      </c>
      <c r="K265" s="257">
        <v>119000</v>
      </c>
      <c r="L265" s="257">
        <v>119000</v>
      </c>
      <c r="M265" s="257">
        <v>4856276.72</v>
      </c>
      <c r="N265" s="257">
        <v>3552276.72</v>
      </c>
    </row>
    <row r="266" spans="1:14" s="143" customFormat="1" x14ac:dyDescent="0.25">
      <c r="A266" s="143" t="s">
        <v>290</v>
      </c>
      <c r="B266" s="143" t="s">
        <v>216</v>
      </c>
      <c r="C266" s="143" t="s">
        <v>217</v>
      </c>
      <c r="D266" s="143" t="s">
        <v>69</v>
      </c>
      <c r="E266" s="257">
        <v>0</v>
      </c>
      <c r="F266" s="257">
        <v>0</v>
      </c>
      <c r="G266" s="257">
        <v>0</v>
      </c>
      <c r="H266" s="257">
        <v>0</v>
      </c>
      <c r="I266" s="257">
        <v>0</v>
      </c>
      <c r="J266" s="257">
        <v>0</v>
      </c>
      <c r="K266" s="257">
        <v>0</v>
      </c>
      <c r="L266" s="257">
        <v>0</v>
      </c>
      <c r="M266" s="257">
        <v>0</v>
      </c>
      <c r="N266" s="257">
        <v>0</v>
      </c>
    </row>
    <row r="267" spans="1:14" s="143" customFormat="1" x14ac:dyDescent="0.25">
      <c r="A267" s="143" t="s">
        <v>290</v>
      </c>
      <c r="B267" s="143" t="s">
        <v>218</v>
      </c>
      <c r="C267" s="143" t="s">
        <v>219</v>
      </c>
      <c r="D267" s="143" t="s">
        <v>69</v>
      </c>
      <c r="E267" s="257">
        <v>15203693</v>
      </c>
      <c r="F267" s="257">
        <v>15203693</v>
      </c>
      <c r="G267" s="257">
        <v>8837770</v>
      </c>
      <c r="H267" s="257">
        <v>0</v>
      </c>
      <c r="I267" s="257">
        <v>1650231.18</v>
      </c>
      <c r="J267" s="257">
        <v>0</v>
      </c>
      <c r="K267" s="257">
        <v>410000</v>
      </c>
      <c r="L267" s="257">
        <v>410000</v>
      </c>
      <c r="M267" s="257">
        <v>13143461.82</v>
      </c>
      <c r="N267" s="257">
        <v>6777538.8200000003</v>
      </c>
    </row>
    <row r="268" spans="1:14" s="143" customFormat="1" x14ac:dyDescent="0.25">
      <c r="A268" s="143" t="s">
        <v>290</v>
      </c>
      <c r="B268" s="143" t="s">
        <v>220</v>
      </c>
      <c r="C268" s="143" t="s">
        <v>221</v>
      </c>
      <c r="D268" s="143" t="s">
        <v>69</v>
      </c>
      <c r="E268" s="257">
        <v>133000</v>
      </c>
      <c r="F268" s="257">
        <v>133000</v>
      </c>
      <c r="G268" s="257">
        <v>99750</v>
      </c>
      <c r="H268" s="257">
        <v>0</v>
      </c>
      <c r="I268" s="257">
        <v>0</v>
      </c>
      <c r="J268" s="257">
        <v>0</v>
      </c>
      <c r="K268" s="257">
        <v>0</v>
      </c>
      <c r="L268" s="257">
        <v>0</v>
      </c>
      <c r="M268" s="257">
        <v>133000</v>
      </c>
      <c r="N268" s="257">
        <v>99750</v>
      </c>
    </row>
    <row r="269" spans="1:14" s="143" customFormat="1" x14ac:dyDescent="0.25">
      <c r="A269" s="143" t="s">
        <v>290</v>
      </c>
      <c r="B269" s="143" t="s">
        <v>222</v>
      </c>
      <c r="C269" s="143" t="s">
        <v>223</v>
      </c>
      <c r="D269" s="143" t="s">
        <v>69</v>
      </c>
      <c r="E269" s="257">
        <v>1356000</v>
      </c>
      <c r="F269" s="257">
        <v>1356000</v>
      </c>
      <c r="G269" s="257">
        <v>1042000</v>
      </c>
      <c r="H269" s="257">
        <v>0</v>
      </c>
      <c r="I269" s="257">
        <v>0</v>
      </c>
      <c r="J269" s="257">
        <v>0</v>
      </c>
      <c r="K269" s="257">
        <v>386600</v>
      </c>
      <c r="L269" s="257">
        <v>386600</v>
      </c>
      <c r="M269" s="257">
        <v>969400</v>
      </c>
      <c r="N269" s="257">
        <v>655400</v>
      </c>
    </row>
    <row r="270" spans="1:14" s="143" customFormat="1" x14ac:dyDescent="0.25">
      <c r="A270" s="143" t="s">
        <v>290</v>
      </c>
      <c r="B270" s="143" t="s">
        <v>224</v>
      </c>
      <c r="C270" s="143" t="s">
        <v>225</v>
      </c>
      <c r="D270" s="143" t="s">
        <v>69</v>
      </c>
      <c r="E270" s="257">
        <v>123000</v>
      </c>
      <c r="F270" s="257">
        <v>123000</v>
      </c>
      <c r="G270" s="257">
        <v>92250</v>
      </c>
      <c r="H270" s="257">
        <v>0</v>
      </c>
      <c r="I270" s="257">
        <v>0</v>
      </c>
      <c r="J270" s="257">
        <v>0</v>
      </c>
      <c r="K270" s="257">
        <v>4800</v>
      </c>
      <c r="L270" s="257">
        <v>4800</v>
      </c>
      <c r="M270" s="257">
        <v>118200</v>
      </c>
      <c r="N270" s="257">
        <v>87450</v>
      </c>
    </row>
    <row r="271" spans="1:14" s="143" customFormat="1" x14ac:dyDescent="0.25">
      <c r="A271" s="143" t="s">
        <v>290</v>
      </c>
      <c r="B271" s="143" t="s">
        <v>228</v>
      </c>
      <c r="C271" s="143" t="s">
        <v>229</v>
      </c>
      <c r="D271" s="143" t="s">
        <v>69</v>
      </c>
      <c r="E271" s="257">
        <v>571000</v>
      </c>
      <c r="F271" s="257">
        <v>571000</v>
      </c>
      <c r="G271" s="257">
        <v>428250</v>
      </c>
      <c r="H271" s="257">
        <v>0</v>
      </c>
      <c r="I271" s="257">
        <v>137340</v>
      </c>
      <c r="J271" s="257">
        <v>0</v>
      </c>
      <c r="K271" s="257">
        <v>0</v>
      </c>
      <c r="L271" s="257">
        <v>0</v>
      </c>
      <c r="M271" s="257">
        <v>433660</v>
      </c>
      <c r="N271" s="257">
        <v>290910</v>
      </c>
    </row>
    <row r="272" spans="1:14" s="143" customFormat="1" x14ac:dyDescent="0.25">
      <c r="A272" s="143" t="s">
        <v>290</v>
      </c>
      <c r="B272" s="143" t="s">
        <v>248</v>
      </c>
      <c r="C272" s="143" t="s">
        <v>249</v>
      </c>
      <c r="D272" s="143" t="s">
        <v>69</v>
      </c>
      <c r="E272" s="257">
        <v>298129000</v>
      </c>
      <c r="F272" s="257">
        <v>306729000</v>
      </c>
      <c r="G272" s="257">
        <v>240451150</v>
      </c>
      <c r="H272" s="257">
        <v>0</v>
      </c>
      <c r="I272" s="257">
        <v>61924035.049999997</v>
      </c>
      <c r="J272" s="257">
        <v>0</v>
      </c>
      <c r="K272" s="257">
        <v>96299210.709999993</v>
      </c>
      <c r="L272" s="257">
        <v>96299210.709999993</v>
      </c>
      <c r="M272" s="257">
        <v>148505754.24000001</v>
      </c>
      <c r="N272" s="257">
        <v>82227904.239999995</v>
      </c>
    </row>
    <row r="273" spans="1:14" s="143" customFormat="1" x14ac:dyDescent="0.25">
      <c r="A273" s="143" t="s">
        <v>290</v>
      </c>
      <c r="B273" s="143" t="s">
        <v>250</v>
      </c>
      <c r="C273" s="143" t="s">
        <v>251</v>
      </c>
      <c r="D273" s="143" t="s">
        <v>69</v>
      </c>
      <c r="E273" s="257">
        <v>115667000</v>
      </c>
      <c r="F273" s="257">
        <v>115667000</v>
      </c>
      <c r="G273" s="257">
        <v>115667000</v>
      </c>
      <c r="H273" s="257">
        <v>0</v>
      </c>
      <c r="I273" s="257">
        <v>61918653.039999999</v>
      </c>
      <c r="J273" s="257">
        <v>0</v>
      </c>
      <c r="K273" s="257">
        <v>53748346.960000001</v>
      </c>
      <c r="L273" s="257">
        <v>53748346.960000001</v>
      </c>
      <c r="M273" s="257">
        <v>0</v>
      </c>
      <c r="N273" s="257">
        <v>0</v>
      </c>
    </row>
    <row r="274" spans="1:14" s="143" customFormat="1" x14ac:dyDescent="0.25">
      <c r="A274" s="143" t="s">
        <v>290</v>
      </c>
      <c r="B274" s="143" t="s">
        <v>332</v>
      </c>
      <c r="C274" s="143" t="s">
        <v>257</v>
      </c>
      <c r="D274" s="143" t="s">
        <v>69</v>
      </c>
      <c r="E274" s="257">
        <v>96260000</v>
      </c>
      <c r="F274" s="257">
        <v>96260000</v>
      </c>
      <c r="G274" s="257">
        <v>96260000</v>
      </c>
      <c r="H274" s="257">
        <v>0</v>
      </c>
      <c r="I274" s="257">
        <v>51529832.07</v>
      </c>
      <c r="J274" s="257">
        <v>0</v>
      </c>
      <c r="K274" s="257">
        <v>44730167.93</v>
      </c>
      <c r="L274" s="257">
        <v>44730167.93</v>
      </c>
      <c r="M274" s="257">
        <v>0</v>
      </c>
      <c r="N274" s="257">
        <v>0</v>
      </c>
    </row>
    <row r="275" spans="1:14" s="143" customFormat="1" x14ac:dyDescent="0.25">
      <c r="A275" s="143" t="s">
        <v>290</v>
      </c>
      <c r="B275" s="143" t="s">
        <v>333</v>
      </c>
      <c r="C275" s="143" t="s">
        <v>259</v>
      </c>
      <c r="D275" s="143" t="s">
        <v>69</v>
      </c>
      <c r="E275" s="257">
        <v>19407000</v>
      </c>
      <c r="F275" s="257">
        <v>19407000</v>
      </c>
      <c r="G275" s="257">
        <v>19407000</v>
      </c>
      <c r="H275" s="257">
        <v>0</v>
      </c>
      <c r="I275" s="257">
        <v>10388820.970000001</v>
      </c>
      <c r="J275" s="257">
        <v>0</v>
      </c>
      <c r="K275" s="257">
        <v>9018179.0299999993</v>
      </c>
      <c r="L275" s="257">
        <v>9018179.0299999993</v>
      </c>
      <c r="M275" s="257">
        <v>0</v>
      </c>
      <c r="N275" s="257">
        <v>0</v>
      </c>
    </row>
    <row r="276" spans="1:14" s="143" customFormat="1" x14ac:dyDescent="0.25">
      <c r="A276" s="143" t="s">
        <v>290</v>
      </c>
      <c r="B276" s="143" t="s">
        <v>260</v>
      </c>
      <c r="C276" s="143" t="s">
        <v>261</v>
      </c>
      <c r="D276" s="143" t="s">
        <v>69</v>
      </c>
      <c r="E276" s="257">
        <v>179462000</v>
      </c>
      <c r="F276" s="257">
        <v>179462000</v>
      </c>
      <c r="G276" s="257">
        <v>113184150</v>
      </c>
      <c r="H276" s="257">
        <v>0</v>
      </c>
      <c r="I276" s="257">
        <v>5382.01</v>
      </c>
      <c r="J276" s="257">
        <v>0</v>
      </c>
      <c r="K276" s="257">
        <v>31161400.489999998</v>
      </c>
      <c r="L276" s="257">
        <v>31161400.489999998</v>
      </c>
      <c r="M276" s="257">
        <v>148295217.5</v>
      </c>
      <c r="N276" s="257">
        <v>82017367.5</v>
      </c>
    </row>
    <row r="277" spans="1:14" s="143" customFormat="1" x14ac:dyDescent="0.25">
      <c r="A277" s="143" t="s">
        <v>290</v>
      </c>
      <c r="B277" s="143" t="s">
        <v>262</v>
      </c>
      <c r="C277" s="143" t="s">
        <v>263</v>
      </c>
      <c r="D277" s="143" t="s">
        <v>69</v>
      </c>
      <c r="E277" s="257">
        <v>150000000</v>
      </c>
      <c r="F277" s="257">
        <v>150000000</v>
      </c>
      <c r="G277" s="257">
        <v>83722150</v>
      </c>
      <c r="H277" s="257">
        <v>0</v>
      </c>
      <c r="I277" s="257">
        <v>5382.01</v>
      </c>
      <c r="J277" s="257">
        <v>0</v>
      </c>
      <c r="K277" s="257">
        <v>16857945.489999998</v>
      </c>
      <c r="L277" s="257">
        <v>16857945.489999998</v>
      </c>
      <c r="M277" s="257">
        <v>133136672.5</v>
      </c>
      <c r="N277" s="257">
        <v>66858822.5</v>
      </c>
    </row>
    <row r="278" spans="1:14" s="143" customFormat="1" x14ac:dyDescent="0.25">
      <c r="A278" s="143" t="s">
        <v>290</v>
      </c>
      <c r="B278" s="143" t="s">
        <v>264</v>
      </c>
      <c r="C278" s="143" t="s">
        <v>265</v>
      </c>
      <c r="D278" s="143" t="s">
        <v>69</v>
      </c>
      <c r="E278" s="257">
        <v>29462000</v>
      </c>
      <c r="F278" s="257">
        <v>29462000</v>
      </c>
      <c r="G278" s="257">
        <v>29462000</v>
      </c>
      <c r="H278" s="257">
        <v>0</v>
      </c>
      <c r="I278" s="257">
        <v>0</v>
      </c>
      <c r="J278" s="257">
        <v>0</v>
      </c>
      <c r="K278" s="257">
        <v>14303455</v>
      </c>
      <c r="L278" s="257">
        <v>14303455</v>
      </c>
      <c r="M278" s="257">
        <v>15158545</v>
      </c>
      <c r="N278" s="257">
        <v>15158545</v>
      </c>
    </row>
    <row r="279" spans="1:14" s="143" customFormat="1" x14ac:dyDescent="0.25">
      <c r="A279" s="143" t="s">
        <v>290</v>
      </c>
      <c r="B279" s="143" t="s">
        <v>286</v>
      </c>
      <c r="C279" s="143" t="s">
        <v>287</v>
      </c>
      <c r="D279" s="143" t="s">
        <v>69</v>
      </c>
      <c r="E279" s="257">
        <v>3000000</v>
      </c>
      <c r="F279" s="257">
        <v>11600000</v>
      </c>
      <c r="G279" s="257">
        <v>11600000</v>
      </c>
      <c r="H279" s="257">
        <v>0</v>
      </c>
      <c r="I279" s="257">
        <v>0</v>
      </c>
      <c r="J279" s="257">
        <v>0</v>
      </c>
      <c r="K279" s="257">
        <v>11389463.26</v>
      </c>
      <c r="L279" s="257">
        <v>11389463.26</v>
      </c>
      <c r="M279" s="257">
        <v>210536.74</v>
      </c>
      <c r="N279" s="257">
        <v>210536.74</v>
      </c>
    </row>
    <row r="280" spans="1:14" s="143" customFormat="1" x14ac:dyDescent="0.25">
      <c r="A280" s="143" t="s">
        <v>290</v>
      </c>
      <c r="B280" s="143" t="s">
        <v>288</v>
      </c>
      <c r="C280" s="143" t="s">
        <v>289</v>
      </c>
      <c r="D280" s="143" t="s">
        <v>69</v>
      </c>
      <c r="E280" s="257">
        <v>3000000</v>
      </c>
      <c r="F280" s="257">
        <v>11600000</v>
      </c>
      <c r="G280" s="257">
        <v>11600000</v>
      </c>
      <c r="H280" s="257">
        <v>0</v>
      </c>
      <c r="I280" s="257">
        <v>0</v>
      </c>
      <c r="J280" s="257">
        <v>0</v>
      </c>
      <c r="K280" s="257">
        <v>11389463.26</v>
      </c>
      <c r="L280" s="257">
        <v>11389463.26</v>
      </c>
      <c r="M280" s="257">
        <v>210536.74</v>
      </c>
      <c r="N280" s="257">
        <v>210536.74</v>
      </c>
    </row>
    <row r="281" spans="1:14" s="143" customFormat="1" x14ac:dyDescent="0.25">
      <c r="A281" s="143" t="s">
        <v>290</v>
      </c>
      <c r="B281" s="143" t="s">
        <v>230</v>
      </c>
      <c r="C281" s="143" t="s">
        <v>231</v>
      </c>
      <c r="D281" s="143" t="s">
        <v>85</v>
      </c>
      <c r="E281" s="257">
        <v>47031000</v>
      </c>
      <c r="F281" s="257">
        <v>47031000</v>
      </c>
      <c r="G281" s="257">
        <v>39729500</v>
      </c>
      <c r="H281" s="257">
        <v>0</v>
      </c>
      <c r="I281" s="257">
        <v>0</v>
      </c>
      <c r="J281" s="257">
        <v>5911980.6600000001</v>
      </c>
      <c r="K281" s="257">
        <v>16655095.76</v>
      </c>
      <c r="L281" s="257">
        <v>15361913.76</v>
      </c>
      <c r="M281" s="257">
        <v>24463923.579999998</v>
      </c>
      <c r="N281" s="257">
        <v>17162423.579999998</v>
      </c>
    </row>
    <row r="282" spans="1:14" s="143" customFormat="1" x14ac:dyDescent="0.25">
      <c r="A282" s="143" t="s">
        <v>290</v>
      </c>
      <c r="B282" s="143" t="s">
        <v>232</v>
      </c>
      <c r="C282" s="143" t="s">
        <v>233</v>
      </c>
      <c r="D282" s="143" t="s">
        <v>85</v>
      </c>
      <c r="E282" s="257">
        <v>25000000</v>
      </c>
      <c r="F282" s="257">
        <v>17047517.809999999</v>
      </c>
      <c r="G282" s="257">
        <v>16347517.810000001</v>
      </c>
      <c r="H282" s="257">
        <v>0</v>
      </c>
      <c r="I282" s="257">
        <v>0</v>
      </c>
      <c r="J282" s="257">
        <v>0</v>
      </c>
      <c r="K282" s="257">
        <v>13762283.65</v>
      </c>
      <c r="L282" s="257">
        <v>13762283.65</v>
      </c>
      <c r="M282" s="257">
        <v>3285234.16</v>
      </c>
      <c r="N282" s="257">
        <v>2585234.16</v>
      </c>
    </row>
    <row r="283" spans="1:14" s="143" customFormat="1" x14ac:dyDescent="0.25">
      <c r="A283" s="143" t="s">
        <v>290</v>
      </c>
      <c r="B283" s="143" t="s">
        <v>324</v>
      </c>
      <c r="C283" s="143" t="s">
        <v>325</v>
      </c>
      <c r="D283" s="143" t="s">
        <v>85</v>
      </c>
      <c r="E283" s="257">
        <v>15000000</v>
      </c>
      <c r="F283" s="257">
        <v>13762284</v>
      </c>
      <c r="G283" s="257">
        <v>13762284</v>
      </c>
      <c r="H283" s="257">
        <v>0</v>
      </c>
      <c r="I283" s="257">
        <v>0</v>
      </c>
      <c r="J283" s="257">
        <v>0</v>
      </c>
      <c r="K283" s="257">
        <v>13762283.65</v>
      </c>
      <c r="L283" s="257">
        <v>13762283.65</v>
      </c>
      <c r="M283" s="257">
        <v>0.35</v>
      </c>
      <c r="N283" s="257">
        <v>0.35</v>
      </c>
    </row>
    <row r="284" spans="1:14" s="143" customFormat="1" x14ac:dyDescent="0.25">
      <c r="A284" s="143" t="s">
        <v>290</v>
      </c>
      <c r="B284" s="143" t="s">
        <v>236</v>
      </c>
      <c r="C284" s="143" t="s">
        <v>237</v>
      </c>
      <c r="D284" s="143" t="s">
        <v>85</v>
      </c>
      <c r="E284" s="257">
        <v>0</v>
      </c>
      <c r="F284" s="257">
        <v>0</v>
      </c>
      <c r="G284" s="257">
        <v>0</v>
      </c>
      <c r="H284" s="257">
        <v>0</v>
      </c>
      <c r="I284" s="257">
        <v>0</v>
      </c>
      <c r="J284" s="257">
        <v>0</v>
      </c>
      <c r="K284" s="257">
        <v>0</v>
      </c>
      <c r="L284" s="257">
        <v>0</v>
      </c>
      <c r="M284" s="257">
        <v>0</v>
      </c>
      <c r="N284" s="257">
        <v>0</v>
      </c>
    </row>
    <row r="285" spans="1:14" s="143" customFormat="1" x14ac:dyDescent="0.25">
      <c r="A285" s="143" t="s">
        <v>290</v>
      </c>
      <c r="B285" s="143" t="s">
        <v>238</v>
      </c>
      <c r="C285" s="143" t="s">
        <v>239</v>
      </c>
      <c r="D285" s="143" t="s">
        <v>85</v>
      </c>
      <c r="E285" s="257">
        <v>0</v>
      </c>
      <c r="F285" s="257">
        <v>0</v>
      </c>
      <c r="G285" s="257">
        <v>0</v>
      </c>
      <c r="H285" s="257">
        <v>0</v>
      </c>
      <c r="I285" s="257">
        <v>0</v>
      </c>
      <c r="J285" s="257">
        <v>0</v>
      </c>
      <c r="K285" s="257">
        <v>0</v>
      </c>
      <c r="L285" s="257">
        <v>0</v>
      </c>
      <c r="M285" s="257">
        <v>0</v>
      </c>
      <c r="N285" s="257">
        <v>0</v>
      </c>
    </row>
    <row r="286" spans="1:14" s="143" customFormat="1" x14ac:dyDescent="0.25">
      <c r="A286" s="143" t="s">
        <v>290</v>
      </c>
      <c r="B286" s="143" t="s">
        <v>282</v>
      </c>
      <c r="C286" s="143" t="s">
        <v>283</v>
      </c>
      <c r="D286" s="143" t="s">
        <v>85</v>
      </c>
      <c r="E286" s="257">
        <v>10000000</v>
      </c>
      <c r="F286" s="257">
        <v>2585233.81</v>
      </c>
      <c r="G286" s="257">
        <v>2585233.81</v>
      </c>
      <c r="H286" s="257">
        <v>0</v>
      </c>
      <c r="I286" s="257">
        <v>0</v>
      </c>
      <c r="J286" s="257">
        <v>0</v>
      </c>
      <c r="K286" s="257">
        <v>0</v>
      </c>
      <c r="L286" s="257">
        <v>0</v>
      </c>
      <c r="M286" s="257">
        <v>2585233.81</v>
      </c>
      <c r="N286" s="257">
        <v>2585233.81</v>
      </c>
    </row>
    <row r="287" spans="1:14" s="143" customFormat="1" x14ac:dyDescent="0.25">
      <c r="A287" s="143" t="s">
        <v>290</v>
      </c>
      <c r="B287" s="143" t="s">
        <v>326</v>
      </c>
      <c r="C287" s="143" t="s">
        <v>327</v>
      </c>
      <c r="D287" s="143" t="s">
        <v>85</v>
      </c>
      <c r="E287" s="257">
        <v>0</v>
      </c>
      <c r="F287" s="257">
        <v>0</v>
      </c>
      <c r="G287" s="257">
        <v>0</v>
      </c>
      <c r="H287" s="257">
        <v>0</v>
      </c>
      <c r="I287" s="257">
        <v>0</v>
      </c>
      <c r="J287" s="257">
        <v>0</v>
      </c>
      <c r="K287" s="257">
        <v>0</v>
      </c>
      <c r="L287" s="257">
        <v>0</v>
      </c>
      <c r="M287" s="257">
        <v>0</v>
      </c>
      <c r="N287" s="257">
        <v>0</v>
      </c>
    </row>
    <row r="288" spans="1:14" s="143" customFormat="1" x14ac:dyDescent="0.25">
      <c r="A288" s="143" t="s">
        <v>290</v>
      </c>
      <c r="B288" s="143" t="s">
        <v>242</v>
      </c>
      <c r="C288" s="143" t="s">
        <v>243</v>
      </c>
      <c r="D288" s="143" t="s">
        <v>85</v>
      </c>
      <c r="E288" s="257">
        <v>0</v>
      </c>
      <c r="F288" s="257">
        <v>700000</v>
      </c>
      <c r="G288" s="257">
        <v>0</v>
      </c>
      <c r="H288" s="257">
        <v>0</v>
      </c>
      <c r="I288" s="257">
        <v>0</v>
      </c>
      <c r="J288" s="257">
        <v>0</v>
      </c>
      <c r="K288" s="257">
        <v>0</v>
      </c>
      <c r="L288" s="257">
        <v>0</v>
      </c>
      <c r="M288" s="257">
        <v>700000</v>
      </c>
      <c r="N288" s="257">
        <v>0</v>
      </c>
    </row>
    <row r="289" spans="1:14" s="143" customFormat="1" x14ac:dyDescent="0.25">
      <c r="A289" s="143" t="s">
        <v>290</v>
      </c>
      <c r="B289" s="143" t="s">
        <v>328</v>
      </c>
      <c r="C289" s="143" t="s">
        <v>329</v>
      </c>
      <c r="D289" s="143" t="s">
        <v>85</v>
      </c>
      <c r="E289" s="257">
        <v>0</v>
      </c>
      <c r="F289" s="257">
        <v>1350982.19</v>
      </c>
      <c r="G289" s="257">
        <v>1350982.19</v>
      </c>
      <c r="H289" s="257">
        <v>0</v>
      </c>
      <c r="I289" s="257">
        <v>0</v>
      </c>
      <c r="J289" s="257">
        <v>0</v>
      </c>
      <c r="K289" s="257">
        <v>1350982.19</v>
      </c>
      <c r="L289" s="257">
        <v>1350982.19</v>
      </c>
      <c r="M289" s="257">
        <v>0</v>
      </c>
      <c r="N289" s="257">
        <v>0</v>
      </c>
    </row>
    <row r="290" spans="1:14" s="143" customFormat="1" x14ac:dyDescent="0.25">
      <c r="A290" s="143" t="s">
        <v>290</v>
      </c>
      <c r="B290" s="143" t="s">
        <v>330</v>
      </c>
      <c r="C290" s="143" t="s">
        <v>331</v>
      </c>
      <c r="D290" s="143" t="s">
        <v>85</v>
      </c>
      <c r="E290" s="257">
        <v>0</v>
      </c>
      <c r="F290" s="257">
        <v>1350982.19</v>
      </c>
      <c r="G290" s="257">
        <v>1350982.19</v>
      </c>
      <c r="H290" s="257">
        <v>0</v>
      </c>
      <c r="I290" s="257">
        <v>0</v>
      </c>
      <c r="J290" s="257">
        <v>0</v>
      </c>
      <c r="K290" s="257">
        <v>1350982.19</v>
      </c>
      <c r="L290" s="257">
        <v>1350982.19</v>
      </c>
      <c r="M290" s="257">
        <v>0</v>
      </c>
      <c r="N290" s="257">
        <v>0</v>
      </c>
    </row>
    <row r="291" spans="1:14" s="143" customFormat="1" x14ac:dyDescent="0.25">
      <c r="A291" s="143" t="s">
        <v>290</v>
      </c>
      <c r="B291" s="143" t="s">
        <v>244</v>
      </c>
      <c r="C291" s="143" t="s">
        <v>245</v>
      </c>
      <c r="D291" s="143" t="s">
        <v>85</v>
      </c>
      <c r="E291" s="257">
        <v>22031000</v>
      </c>
      <c r="F291" s="257">
        <v>28632500</v>
      </c>
      <c r="G291" s="257">
        <v>22031000</v>
      </c>
      <c r="H291" s="257">
        <v>0</v>
      </c>
      <c r="I291" s="257">
        <v>0</v>
      </c>
      <c r="J291" s="257">
        <v>5911980.6600000001</v>
      </c>
      <c r="K291" s="257">
        <v>1541829.92</v>
      </c>
      <c r="L291" s="257">
        <v>248647.92</v>
      </c>
      <c r="M291" s="257">
        <v>21178689.420000002</v>
      </c>
      <c r="N291" s="257">
        <v>14577189.42</v>
      </c>
    </row>
    <row r="292" spans="1:14" s="143" customFormat="1" x14ac:dyDescent="0.25">
      <c r="A292" s="143" t="s">
        <v>290</v>
      </c>
      <c r="B292" s="143" t="s">
        <v>246</v>
      </c>
      <c r="C292" s="143" t="s">
        <v>247</v>
      </c>
      <c r="D292" s="143" t="s">
        <v>85</v>
      </c>
      <c r="E292" s="257">
        <v>22031000</v>
      </c>
      <c r="F292" s="257">
        <v>28632500</v>
      </c>
      <c r="G292" s="257">
        <v>22031000</v>
      </c>
      <c r="H292" s="257">
        <v>0</v>
      </c>
      <c r="I292" s="257">
        <v>0</v>
      </c>
      <c r="J292" s="257">
        <v>5911980.6600000001</v>
      </c>
      <c r="K292" s="257">
        <v>1541829.92</v>
      </c>
      <c r="L292" s="257">
        <v>248647.92</v>
      </c>
      <c r="M292" s="257">
        <v>21178689.420000002</v>
      </c>
      <c r="N292" s="257">
        <v>14577189.42</v>
      </c>
    </row>
    <row r="293" spans="1:14" s="143" customFormat="1" x14ac:dyDescent="0.25">
      <c r="A293" s="143">
        <v>214783</v>
      </c>
      <c r="D293" s="143" t="s">
        <v>69</v>
      </c>
      <c r="E293" s="257">
        <v>106163237755</v>
      </c>
      <c r="F293" s="257">
        <v>112163237755</v>
      </c>
      <c r="G293" s="257">
        <v>98411102686.899994</v>
      </c>
      <c r="H293" s="257">
        <v>144164793.27000001</v>
      </c>
      <c r="I293" s="257">
        <v>10591793852.66</v>
      </c>
      <c r="J293" s="257">
        <v>401776419.77999997</v>
      </c>
      <c r="K293" s="279">
        <v>44350718922.050003</v>
      </c>
      <c r="L293" s="257">
        <v>43936635224.970001</v>
      </c>
      <c r="M293" s="257">
        <v>56674783767.239998</v>
      </c>
      <c r="N293" s="257">
        <v>42922648699.139999</v>
      </c>
    </row>
    <row r="294" spans="1:14" s="143" customFormat="1" x14ac:dyDescent="0.25">
      <c r="A294" s="143" t="s">
        <v>334</v>
      </c>
      <c r="B294" s="143" t="s">
        <v>71</v>
      </c>
      <c r="C294" s="143" t="s">
        <v>72</v>
      </c>
      <c r="D294" s="143" t="s">
        <v>69</v>
      </c>
      <c r="E294" s="257">
        <v>69224041000</v>
      </c>
      <c r="F294" s="257">
        <v>69224041000</v>
      </c>
      <c r="G294" s="257">
        <v>69224041000</v>
      </c>
      <c r="H294" s="257">
        <v>0</v>
      </c>
      <c r="I294" s="257">
        <v>5214393537.5</v>
      </c>
      <c r="J294" s="257">
        <v>0</v>
      </c>
      <c r="K294" s="257">
        <v>32753111194.16</v>
      </c>
      <c r="L294" s="257">
        <v>32753111194.16</v>
      </c>
      <c r="M294" s="257">
        <v>31256536268.34</v>
      </c>
      <c r="N294" s="257">
        <v>31256536268.34</v>
      </c>
    </row>
    <row r="295" spans="1:14" s="143" customFormat="1" x14ac:dyDescent="0.25">
      <c r="A295" s="143" t="s">
        <v>334</v>
      </c>
      <c r="B295" s="143" t="s">
        <v>73</v>
      </c>
      <c r="C295" s="143" t="s">
        <v>74</v>
      </c>
      <c r="D295" s="143" t="s">
        <v>69</v>
      </c>
      <c r="E295" s="257">
        <v>25618223000</v>
      </c>
      <c r="F295" s="257">
        <v>25618223000</v>
      </c>
      <c r="G295" s="257">
        <v>25618223000</v>
      </c>
      <c r="H295" s="257">
        <v>0</v>
      </c>
      <c r="I295" s="257">
        <v>160325</v>
      </c>
      <c r="J295" s="257">
        <v>0</v>
      </c>
      <c r="K295" s="257">
        <v>11785079809.74</v>
      </c>
      <c r="L295" s="257">
        <v>11785079809.74</v>
      </c>
      <c r="M295" s="257">
        <v>13832982865.26</v>
      </c>
      <c r="N295" s="257">
        <v>13832982865.26</v>
      </c>
    </row>
    <row r="296" spans="1:14" s="143" customFormat="1" x14ac:dyDescent="0.25">
      <c r="A296" s="143" t="s">
        <v>334</v>
      </c>
      <c r="B296" s="143" t="s">
        <v>75</v>
      </c>
      <c r="C296" s="143" t="s">
        <v>76</v>
      </c>
      <c r="D296" s="143" t="s">
        <v>69</v>
      </c>
      <c r="E296" s="257">
        <v>25601107000</v>
      </c>
      <c r="F296" s="257">
        <v>25601107000</v>
      </c>
      <c r="G296" s="257">
        <v>25601107000</v>
      </c>
      <c r="H296" s="257">
        <v>0</v>
      </c>
      <c r="I296" s="257">
        <v>160325</v>
      </c>
      <c r="J296" s="257">
        <v>0</v>
      </c>
      <c r="K296" s="257">
        <v>11769808009.74</v>
      </c>
      <c r="L296" s="257">
        <v>11769808009.74</v>
      </c>
      <c r="M296" s="257">
        <v>13831138665.26</v>
      </c>
      <c r="N296" s="257">
        <v>13831138665.26</v>
      </c>
    </row>
    <row r="297" spans="1:14" s="143" customFormat="1" x14ac:dyDescent="0.25">
      <c r="A297" s="143" t="s">
        <v>334</v>
      </c>
      <c r="B297" s="143" t="s">
        <v>335</v>
      </c>
      <c r="C297" s="143" t="s">
        <v>336</v>
      </c>
      <c r="D297" s="143" t="s">
        <v>69</v>
      </c>
      <c r="E297" s="257">
        <v>17116000</v>
      </c>
      <c r="F297" s="257">
        <v>17116000</v>
      </c>
      <c r="G297" s="257">
        <v>17116000</v>
      </c>
      <c r="H297" s="257">
        <v>0</v>
      </c>
      <c r="I297" s="257">
        <v>0</v>
      </c>
      <c r="J297" s="257">
        <v>0</v>
      </c>
      <c r="K297" s="257">
        <v>15271800</v>
      </c>
      <c r="L297" s="257">
        <v>15271800</v>
      </c>
      <c r="M297" s="257">
        <v>1844200</v>
      </c>
      <c r="N297" s="257">
        <v>1844200</v>
      </c>
    </row>
    <row r="298" spans="1:14" s="143" customFormat="1" x14ac:dyDescent="0.25">
      <c r="A298" s="143" t="s">
        <v>334</v>
      </c>
      <c r="B298" s="143" t="s">
        <v>293</v>
      </c>
      <c r="C298" s="143" t="s">
        <v>294</v>
      </c>
      <c r="D298" s="143" t="s">
        <v>69</v>
      </c>
      <c r="E298" s="257">
        <v>3406791000</v>
      </c>
      <c r="F298" s="257">
        <v>3606791000</v>
      </c>
      <c r="G298" s="257">
        <v>3606791000</v>
      </c>
      <c r="H298" s="257">
        <v>0</v>
      </c>
      <c r="I298" s="257">
        <v>40081.25</v>
      </c>
      <c r="J298" s="257">
        <v>0</v>
      </c>
      <c r="K298" s="257">
        <v>1806864984.0999999</v>
      </c>
      <c r="L298" s="257">
        <v>1806864984.0999999</v>
      </c>
      <c r="M298" s="257">
        <v>1799885934.6500001</v>
      </c>
      <c r="N298" s="257">
        <v>1799885934.6500001</v>
      </c>
    </row>
    <row r="299" spans="1:14" s="143" customFormat="1" x14ac:dyDescent="0.25">
      <c r="A299" s="143" t="s">
        <v>334</v>
      </c>
      <c r="B299" s="143" t="s">
        <v>295</v>
      </c>
      <c r="C299" s="143" t="s">
        <v>296</v>
      </c>
      <c r="D299" s="143" t="s">
        <v>69</v>
      </c>
      <c r="E299" s="257">
        <v>8000000</v>
      </c>
      <c r="F299" s="257">
        <v>8000000</v>
      </c>
      <c r="G299" s="257">
        <v>8000000</v>
      </c>
      <c r="H299" s="257">
        <v>0</v>
      </c>
      <c r="I299" s="257">
        <v>0</v>
      </c>
      <c r="J299" s="257">
        <v>0</v>
      </c>
      <c r="K299" s="257">
        <v>3008346.56</v>
      </c>
      <c r="L299" s="257">
        <v>3008346.56</v>
      </c>
      <c r="M299" s="257">
        <v>4991653.4400000004</v>
      </c>
      <c r="N299" s="257">
        <v>4991653.4400000004</v>
      </c>
    </row>
    <row r="300" spans="1:14" s="143" customFormat="1" x14ac:dyDescent="0.25">
      <c r="A300" s="143" t="s">
        <v>334</v>
      </c>
      <c r="B300" s="143" t="s">
        <v>337</v>
      </c>
      <c r="C300" s="143" t="s">
        <v>338</v>
      </c>
      <c r="D300" s="143" t="s">
        <v>69</v>
      </c>
      <c r="E300" s="257">
        <v>24994000</v>
      </c>
      <c r="F300" s="257">
        <v>24994000</v>
      </c>
      <c r="G300" s="257">
        <v>24994000</v>
      </c>
      <c r="H300" s="257">
        <v>0</v>
      </c>
      <c r="I300" s="257">
        <v>0</v>
      </c>
      <c r="J300" s="257">
        <v>0</v>
      </c>
      <c r="K300" s="257">
        <v>3451575</v>
      </c>
      <c r="L300" s="257">
        <v>3451575</v>
      </c>
      <c r="M300" s="257">
        <v>21542425</v>
      </c>
      <c r="N300" s="257">
        <v>21542425</v>
      </c>
    </row>
    <row r="301" spans="1:14" s="143" customFormat="1" x14ac:dyDescent="0.25">
      <c r="A301" s="143" t="s">
        <v>334</v>
      </c>
      <c r="B301" s="143" t="s">
        <v>339</v>
      </c>
      <c r="C301" s="143" t="s">
        <v>340</v>
      </c>
      <c r="D301" s="143" t="s">
        <v>69</v>
      </c>
      <c r="E301" s="257">
        <v>3373797000</v>
      </c>
      <c r="F301" s="257">
        <v>3573797000</v>
      </c>
      <c r="G301" s="257">
        <v>3573797000</v>
      </c>
      <c r="H301" s="257">
        <v>0</v>
      </c>
      <c r="I301" s="257">
        <v>40081.25</v>
      </c>
      <c r="J301" s="257">
        <v>0</v>
      </c>
      <c r="K301" s="257">
        <v>1800405062.54</v>
      </c>
      <c r="L301" s="257">
        <v>1800405062.54</v>
      </c>
      <c r="M301" s="257">
        <v>1773351856.21</v>
      </c>
      <c r="N301" s="257">
        <v>1773351856.21</v>
      </c>
    </row>
    <row r="302" spans="1:14" s="143" customFormat="1" x14ac:dyDescent="0.25">
      <c r="A302" s="143" t="s">
        <v>334</v>
      </c>
      <c r="B302" s="143" t="s">
        <v>77</v>
      </c>
      <c r="C302" s="143" t="s">
        <v>78</v>
      </c>
      <c r="D302" s="143" t="s">
        <v>69</v>
      </c>
      <c r="E302" s="257">
        <v>29694590000</v>
      </c>
      <c r="F302" s="257">
        <v>29494590000</v>
      </c>
      <c r="G302" s="257">
        <v>29494590000</v>
      </c>
      <c r="H302" s="257">
        <v>0</v>
      </c>
      <c r="I302" s="257">
        <v>118113.25</v>
      </c>
      <c r="J302" s="257">
        <v>0</v>
      </c>
      <c r="K302" s="257">
        <v>13870804418.32</v>
      </c>
      <c r="L302" s="257">
        <v>13870804418.32</v>
      </c>
      <c r="M302" s="257">
        <v>15623667468.43</v>
      </c>
      <c r="N302" s="257">
        <v>15623667468.43</v>
      </c>
    </row>
    <row r="303" spans="1:14" s="143" customFormat="1" x14ac:dyDescent="0.25">
      <c r="A303" s="143" t="s">
        <v>334</v>
      </c>
      <c r="B303" s="143" t="s">
        <v>79</v>
      </c>
      <c r="C303" s="143" t="s">
        <v>80</v>
      </c>
      <c r="D303" s="143" t="s">
        <v>69</v>
      </c>
      <c r="E303" s="257">
        <v>9856906000</v>
      </c>
      <c r="F303" s="257">
        <v>9656906000</v>
      </c>
      <c r="G303" s="257">
        <v>9656906000</v>
      </c>
      <c r="H303" s="257">
        <v>0</v>
      </c>
      <c r="I303" s="257">
        <v>49881.5</v>
      </c>
      <c r="J303" s="257">
        <v>0</v>
      </c>
      <c r="K303" s="257">
        <v>4628603841.2600002</v>
      </c>
      <c r="L303" s="257">
        <v>4628603841.2600002</v>
      </c>
      <c r="M303" s="257">
        <v>5028252277.2399998</v>
      </c>
      <c r="N303" s="257">
        <v>5028252277.2399998</v>
      </c>
    </row>
    <row r="304" spans="1:14" s="143" customFormat="1" x14ac:dyDescent="0.25">
      <c r="A304" s="143" t="s">
        <v>334</v>
      </c>
      <c r="B304" s="143" t="s">
        <v>81</v>
      </c>
      <c r="C304" s="143" t="s">
        <v>82</v>
      </c>
      <c r="D304" s="143" t="s">
        <v>69</v>
      </c>
      <c r="E304" s="257">
        <v>3637068000</v>
      </c>
      <c r="F304" s="257">
        <v>3637068000</v>
      </c>
      <c r="G304" s="257">
        <v>3637068000</v>
      </c>
      <c r="H304" s="257">
        <v>0</v>
      </c>
      <c r="I304" s="257">
        <v>0</v>
      </c>
      <c r="J304" s="257">
        <v>0</v>
      </c>
      <c r="K304" s="257">
        <v>1620867109.55</v>
      </c>
      <c r="L304" s="257">
        <v>1620867109.55</v>
      </c>
      <c r="M304" s="257">
        <v>2016200890.45</v>
      </c>
      <c r="N304" s="257">
        <v>2016200890.45</v>
      </c>
    </row>
    <row r="305" spans="1:14" s="143" customFormat="1" x14ac:dyDescent="0.25">
      <c r="A305" s="143" t="s">
        <v>334</v>
      </c>
      <c r="B305" s="143" t="s">
        <v>86</v>
      </c>
      <c r="C305" s="143" t="s">
        <v>87</v>
      </c>
      <c r="D305" s="143" t="s">
        <v>69</v>
      </c>
      <c r="E305" s="257">
        <v>3859929000</v>
      </c>
      <c r="F305" s="257">
        <v>3859929000</v>
      </c>
      <c r="G305" s="257">
        <v>3859929000</v>
      </c>
      <c r="H305" s="257">
        <v>0</v>
      </c>
      <c r="I305" s="257">
        <v>0</v>
      </c>
      <c r="J305" s="257">
        <v>0</v>
      </c>
      <c r="K305" s="257">
        <v>3840936693.79</v>
      </c>
      <c r="L305" s="257">
        <v>3840936693.79</v>
      </c>
      <c r="M305" s="257">
        <v>18992306.210000001</v>
      </c>
      <c r="N305" s="257">
        <v>18992306.210000001</v>
      </c>
    </row>
    <row r="306" spans="1:14" s="143" customFormat="1" x14ac:dyDescent="0.25">
      <c r="A306" s="143" t="s">
        <v>334</v>
      </c>
      <c r="B306" s="143" t="s">
        <v>88</v>
      </c>
      <c r="C306" s="143" t="s">
        <v>89</v>
      </c>
      <c r="D306" s="143" t="s">
        <v>69</v>
      </c>
      <c r="E306" s="257">
        <v>7961754000</v>
      </c>
      <c r="F306" s="257">
        <v>7961754000</v>
      </c>
      <c r="G306" s="257">
        <v>7961754000</v>
      </c>
      <c r="H306" s="257">
        <v>0</v>
      </c>
      <c r="I306" s="257">
        <v>68231.75</v>
      </c>
      <c r="J306" s="257">
        <v>0</v>
      </c>
      <c r="K306" s="257">
        <v>3774594554.8299999</v>
      </c>
      <c r="L306" s="257">
        <v>3774594554.8299999</v>
      </c>
      <c r="M306" s="257">
        <v>4187091213.4200001</v>
      </c>
      <c r="N306" s="257">
        <v>4187091213.4200001</v>
      </c>
    </row>
    <row r="307" spans="1:14" s="143" customFormat="1" x14ac:dyDescent="0.25">
      <c r="A307" s="143" t="s">
        <v>334</v>
      </c>
      <c r="B307" s="143" t="s">
        <v>83</v>
      </c>
      <c r="C307" s="143" t="s">
        <v>84</v>
      </c>
      <c r="D307" s="143" t="s">
        <v>85</v>
      </c>
      <c r="E307" s="257">
        <v>4378933000</v>
      </c>
      <c r="F307" s="257">
        <v>4378933000</v>
      </c>
      <c r="G307" s="257">
        <v>4378933000</v>
      </c>
      <c r="H307" s="257">
        <v>0</v>
      </c>
      <c r="I307" s="257">
        <v>0</v>
      </c>
      <c r="J307" s="257">
        <v>0</v>
      </c>
      <c r="K307" s="257">
        <v>5802218.8899999997</v>
      </c>
      <c r="L307" s="257">
        <v>5802218.8899999997</v>
      </c>
      <c r="M307" s="257">
        <v>4373130781.1099997</v>
      </c>
      <c r="N307" s="257">
        <v>4373130781.1099997</v>
      </c>
    </row>
    <row r="308" spans="1:14" s="143" customFormat="1" x14ac:dyDescent="0.25">
      <c r="A308" s="143" t="s">
        <v>334</v>
      </c>
      <c r="B308" s="143" t="s">
        <v>90</v>
      </c>
      <c r="C308" s="143" t="s">
        <v>91</v>
      </c>
      <c r="D308" s="143" t="s">
        <v>69</v>
      </c>
      <c r="E308" s="257">
        <v>5298410000</v>
      </c>
      <c r="F308" s="257">
        <v>5298410000</v>
      </c>
      <c r="G308" s="257">
        <v>5298410000</v>
      </c>
      <c r="H308" s="257">
        <v>0</v>
      </c>
      <c r="I308" s="257">
        <v>2629342063</v>
      </c>
      <c r="J308" s="257">
        <v>0</v>
      </c>
      <c r="K308" s="257">
        <v>2669067937</v>
      </c>
      <c r="L308" s="257">
        <v>2669067937</v>
      </c>
      <c r="M308" s="257">
        <v>0</v>
      </c>
      <c r="N308" s="257">
        <v>0</v>
      </c>
    </row>
    <row r="309" spans="1:14" s="143" customFormat="1" x14ac:dyDescent="0.25">
      <c r="A309" s="143" t="s">
        <v>334</v>
      </c>
      <c r="B309" s="143" t="s">
        <v>341</v>
      </c>
      <c r="C309" s="143" t="s">
        <v>93</v>
      </c>
      <c r="D309" s="143" t="s">
        <v>69</v>
      </c>
      <c r="E309" s="257">
        <v>5026697000</v>
      </c>
      <c r="F309" s="257">
        <v>5026697000</v>
      </c>
      <c r="G309" s="257">
        <v>5026697000</v>
      </c>
      <c r="H309" s="257">
        <v>0</v>
      </c>
      <c r="I309" s="257">
        <v>2494477575</v>
      </c>
      <c r="J309" s="257">
        <v>0</v>
      </c>
      <c r="K309" s="257">
        <v>2532219425</v>
      </c>
      <c r="L309" s="257">
        <v>2532219425</v>
      </c>
      <c r="M309" s="257">
        <v>0</v>
      </c>
      <c r="N309" s="257">
        <v>0</v>
      </c>
    </row>
    <row r="310" spans="1:14" s="143" customFormat="1" x14ac:dyDescent="0.25">
      <c r="A310" s="143" t="s">
        <v>334</v>
      </c>
      <c r="B310" s="143" t="s">
        <v>342</v>
      </c>
      <c r="C310" s="143" t="s">
        <v>95</v>
      </c>
      <c r="D310" s="143" t="s">
        <v>69</v>
      </c>
      <c r="E310" s="257">
        <v>271713000</v>
      </c>
      <c r="F310" s="257">
        <v>271713000</v>
      </c>
      <c r="G310" s="257">
        <v>271713000</v>
      </c>
      <c r="H310" s="257">
        <v>0</v>
      </c>
      <c r="I310" s="257">
        <v>134864488</v>
      </c>
      <c r="J310" s="257">
        <v>0</v>
      </c>
      <c r="K310" s="257">
        <v>136848512</v>
      </c>
      <c r="L310" s="257">
        <v>136848512</v>
      </c>
      <c r="M310" s="257">
        <v>0</v>
      </c>
      <c r="N310" s="257">
        <v>0</v>
      </c>
    </row>
    <row r="311" spans="1:14" s="143" customFormat="1" x14ac:dyDescent="0.25">
      <c r="A311" s="143" t="s">
        <v>334</v>
      </c>
      <c r="B311" s="143" t="s">
        <v>96</v>
      </c>
      <c r="C311" s="143" t="s">
        <v>97</v>
      </c>
      <c r="D311" s="143" t="s">
        <v>69</v>
      </c>
      <c r="E311" s="257">
        <v>5206027000</v>
      </c>
      <c r="F311" s="257">
        <v>5206027000</v>
      </c>
      <c r="G311" s="257">
        <v>5206027000</v>
      </c>
      <c r="H311" s="257">
        <v>0</v>
      </c>
      <c r="I311" s="257">
        <v>2584732955</v>
      </c>
      <c r="J311" s="257">
        <v>0</v>
      </c>
      <c r="K311" s="257">
        <v>2621294045</v>
      </c>
      <c r="L311" s="257">
        <v>2621294045</v>
      </c>
      <c r="M311" s="257">
        <v>0</v>
      </c>
      <c r="N311" s="257">
        <v>0</v>
      </c>
    </row>
    <row r="312" spans="1:14" s="143" customFormat="1" x14ac:dyDescent="0.25">
      <c r="A312" s="143" t="s">
        <v>334</v>
      </c>
      <c r="B312" s="143" t="s">
        <v>343</v>
      </c>
      <c r="C312" s="143" t="s">
        <v>99</v>
      </c>
      <c r="D312" s="143" t="s">
        <v>69</v>
      </c>
      <c r="E312" s="257">
        <v>2760607000</v>
      </c>
      <c r="F312" s="257">
        <v>2760607000</v>
      </c>
      <c r="G312" s="257">
        <v>2760607000</v>
      </c>
      <c r="H312" s="257">
        <v>0</v>
      </c>
      <c r="I312" s="257">
        <v>1370952983</v>
      </c>
      <c r="J312" s="257">
        <v>0</v>
      </c>
      <c r="K312" s="257">
        <v>1389654017</v>
      </c>
      <c r="L312" s="257">
        <v>1389654017</v>
      </c>
      <c r="M312" s="257">
        <v>0</v>
      </c>
      <c r="N312" s="257">
        <v>0</v>
      </c>
    </row>
    <row r="313" spans="1:14" s="143" customFormat="1" x14ac:dyDescent="0.25">
      <c r="A313" s="143" t="s">
        <v>334</v>
      </c>
      <c r="B313" s="143" t="s">
        <v>344</v>
      </c>
      <c r="C313" s="143" t="s">
        <v>101</v>
      </c>
      <c r="D313" s="143" t="s">
        <v>69</v>
      </c>
      <c r="E313" s="257">
        <v>815140000</v>
      </c>
      <c r="F313" s="257">
        <v>815140000</v>
      </c>
      <c r="G313" s="257">
        <v>815140000</v>
      </c>
      <c r="H313" s="257">
        <v>0</v>
      </c>
      <c r="I313" s="257">
        <v>404592740</v>
      </c>
      <c r="J313" s="257">
        <v>0</v>
      </c>
      <c r="K313" s="257">
        <v>410547260</v>
      </c>
      <c r="L313" s="257">
        <v>410547260</v>
      </c>
      <c r="M313" s="257">
        <v>0</v>
      </c>
      <c r="N313" s="257">
        <v>0</v>
      </c>
    </row>
    <row r="314" spans="1:14" s="143" customFormat="1" x14ac:dyDescent="0.25">
      <c r="A314" s="143" t="s">
        <v>334</v>
      </c>
      <c r="B314" s="143" t="s">
        <v>345</v>
      </c>
      <c r="C314" s="143" t="s">
        <v>103</v>
      </c>
      <c r="D314" s="143" t="s">
        <v>69</v>
      </c>
      <c r="E314" s="257">
        <v>1630280000</v>
      </c>
      <c r="F314" s="257">
        <v>1630280000</v>
      </c>
      <c r="G314" s="257">
        <v>1630280000</v>
      </c>
      <c r="H314" s="257">
        <v>0</v>
      </c>
      <c r="I314" s="257">
        <v>809187232</v>
      </c>
      <c r="J314" s="257">
        <v>0</v>
      </c>
      <c r="K314" s="257">
        <v>821092768</v>
      </c>
      <c r="L314" s="257">
        <v>821092768</v>
      </c>
      <c r="M314" s="257">
        <v>0</v>
      </c>
      <c r="N314" s="257">
        <v>0</v>
      </c>
    </row>
    <row r="315" spans="1:14" s="143" customFormat="1" x14ac:dyDescent="0.25">
      <c r="A315" s="143" t="s">
        <v>334</v>
      </c>
      <c r="B315" s="143" t="s">
        <v>104</v>
      </c>
      <c r="C315" s="143" t="s">
        <v>105</v>
      </c>
      <c r="D315" s="143" t="s">
        <v>69</v>
      </c>
      <c r="E315" s="257">
        <v>9869454182</v>
      </c>
      <c r="F315" s="257">
        <v>13869454182</v>
      </c>
      <c r="G315" s="257">
        <v>11094656639.4</v>
      </c>
      <c r="H315" s="257">
        <v>2131100</v>
      </c>
      <c r="I315" s="257">
        <v>708055544.00999999</v>
      </c>
      <c r="J315" s="257">
        <v>6655980.5800000001</v>
      </c>
      <c r="K315" s="257">
        <v>4829458649.46</v>
      </c>
      <c r="L315" s="257">
        <v>4692998917.4899998</v>
      </c>
      <c r="M315" s="257">
        <v>8323152907.9499998</v>
      </c>
      <c r="N315" s="257">
        <v>5548355365.3500004</v>
      </c>
    </row>
    <row r="316" spans="1:14" s="143" customFormat="1" x14ac:dyDescent="0.25">
      <c r="A316" s="143" t="s">
        <v>334</v>
      </c>
      <c r="B316" s="143" t="s">
        <v>106</v>
      </c>
      <c r="C316" s="143" t="s">
        <v>107</v>
      </c>
      <c r="D316" s="143" t="s">
        <v>69</v>
      </c>
      <c r="E316" s="257">
        <v>3181468559</v>
      </c>
      <c r="F316" s="257">
        <v>7181468559</v>
      </c>
      <c r="G316" s="257">
        <v>6353943668.8999996</v>
      </c>
      <c r="H316" s="257">
        <v>0</v>
      </c>
      <c r="I316" s="257">
        <v>165173584.87</v>
      </c>
      <c r="J316" s="257">
        <v>0</v>
      </c>
      <c r="K316" s="257">
        <v>2540811512.0700002</v>
      </c>
      <c r="L316" s="257">
        <v>2462163219.1100001</v>
      </c>
      <c r="M316" s="257">
        <v>4475483462.0600004</v>
      </c>
      <c r="N316" s="257">
        <v>3647958571.96</v>
      </c>
    </row>
    <row r="317" spans="1:14" s="143" customFormat="1" x14ac:dyDescent="0.25">
      <c r="A317" s="143" t="s">
        <v>334</v>
      </c>
      <c r="B317" s="143" t="s">
        <v>280</v>
      </c>
      <c r="C317" s="143" t="s">
        <v>281</v>
      </c>
      <c r="D317" s="143" t="s">
        <v>69</v>
      </c>
      <c r="E317" s="257">
        <v>431740903</v>
      </c>
      <c r="F317" s="257">
        <v>431740903</v>
      </c>
      <c r="G317" s="257">
        <v>315870451.80000001</v>
      </c>
      <c r="H317" s="257">
        <v>0</v>
      </c>
      <c r="I317" s="257">
        <v>36617758.369999997</v>
      </c>
      <c r="J317" s="257">
        <v>0</v>
      </c>
      <c r="K317" s="257">
        <v>179024531.69999999</v>
      </c>
      <c r="L317" s="257">
        <v>179024531.69999999</v>
      </c>
      <c r="M317" s="257">
        <v>216098612.93000001</v>
      </c>
      <c r="N317" s="257">
        <v>100228161.73</v>
      </c>
    </row>
    <row r="318" spans="1:14" s="143" customFormat="1" x14ac:dyDescent="0.25">
      <c r="A318" s="143" t="s">
        <v>334</v>
      </c>
      <c r="B318" s="143" t="s">
        <v>108</v>
      </c>
      <c r="C318" s="143" t="s">
        <v>109</v>
      </c>
      <c r="D318" s="143" t="s">
        <v>69</v>
      </c>
      <c r="E318" s="257">
        <v>719138329</v>
      </c>
      <c r="F318" s="257">
        <v>719138329</v>
      </c>
      <c r="G318" s="257">
        <v>719138328.29999995</v>
      </c>
      <c r="H318" s="257">
        <v>0</v>
      </c>
      <c r="I318" s="257">
        <v>32864262.620000001</v>
      </c>
      <c r="J318" s="257">
        <v>0</v>
      </c>
      <c r="K318" s="257">
        <v>272164144.31</v>
      </c>
      <c r="L318" s="257">
        <v>272164144.31</v>
      </c>
      <c r="M318" s="257">
        <v>414109922.06999999</v>
      </c>
      <c r="N318" s="257">
        <v>414109921.37</v>
      </c>
    </row>
    <row r="319" spans="1:14" s="143" customFormat="1" x14ac:dyDescent="0.25">
      <c r="A319" s="143" t="s">
        <v>334</v>
      </c>
      <c r="B319" s="143" t="s">
        <v>304</v>
      </c>
      <c r="C319" s="143" t="s">
        <v>305</v>
      </c>
      <c r="D319" s="143" t="s">
        <v>69</v>
      </c>
      <c r="E319" s="257">
        <v>23472000</v>
      </c>
      <c r="F319" s="257">
        <v>23472000</v>
      </c>
      <c r="G319" s="257">
        <v>23472000</v>
      </c>
      <c r="H319" s="257">
        <v>0</v>
      </c>
      <c r="I319" s="257">
        <v>3475687.79</v>
      </c>
      <c r="J319" s="257">
        <v>0</v>
      </c>
      <c r="K319" s="257">
        <v>5006080.67</v>
      </c>
      <c r="L319" s="257">
        <v>5006080.67</v>
      </c>
      <c r="M319" s="257">
        <v>14990231.539999999</v>
      </c>
      <c r="N319" s="257">
        <v>14990231.539999999</v>
      </c>
    </row>
    <row r="320" spans="1:14" s="143" customFormat="1" x14ac:dyDescent="0.25">
      <c r="A320" s="143" t="s">
        <v>334</v>
      </c>
      <c r="B320" s="143" t="s">
        <v>110</v>
      </c>
      <c r="C320" s="143" t="s">
        <v>111</v>
      </c>
      <c r="D320" s="143" t="s">
        <v>69</v>
      </c>
      <c r="E320" s="257">
        <v>2007117327</v>
      </c>
      <c r="F320" s="257">
        <v>2007117327</v>
      </c>
      <c r="G320" s="257">
        <v>1295462888.8</v>
      </c>
      <c r="H320" s="257">
        <v>0</v>
      </c>
      <c r="I320" s="257">
        <v>92215876.090000004</v>
      </c>
      <c r="J320" s="257">
        <v>0</v>
      </c>
      <c r="K320" s="257">
        <v>351966369.57999998</v>
      </c>
      <c r="L320" s="257">
        <v>273318076.62</v>
      </c>
      <c r="M320" s="257">
        <v>1562935081.3299999</v>
      </c>
      <c r="N320" s="257">
        <v>851280643.13</v>
      </c>
    </row>
    <row r="321" spans="1:14" s="143" customFormat="1" x14ac:dyDescent="0.25">
      <c r="A321" s="143" t="s">
        <v>334</v>
      </c>
      <c r="B321" s="143" t="s">
        <v>110</v>
      </c>
      <c r="C321" s="143" t="s">
        <v>111</v>
      </c>
      <c r="D321" s="143" t="s">
        <v>85</v>
      </c>
      <c r="E321" s="257">
        <v>0</v>
      </c>
      <c r="F321" s="257">
        <v>4000000000</v>
      </c>
      <c r="G321" s="257">
        <v>4000000000</v>
      </c>
      <c r="H321" s="257">
        <v>0</v>
      </c>
      <c r="I321" s="257">
        <v>0</v>
      </c>
      <c r="J321" s="257">
        <v>0</v>
      </c>
      <c r="K321" s="257">
        <v>1732650385.8099999</v>
      </c>
      <c r="L321" s="257">
        <v>1732650385.8099999</v>
      </c>
      <c r="M321" s="257">
        <v>2267349614.1900001</v>
      </c>
      <c r="N321" s="257">
        <v>2267349614.1900001</v>
      </c>
    </row>
    <row r="322" spans="1:14" s="143" customFormat="1" x14ac:dyDescent="0.25">
      <c r="A322" s="143" t="s">
        <v>334</v>
      </c>
      <c r="B322" s="143" t="s">
        <v>112</v>
      </c>
      <c r="C322" s="143" t="s">
        <v>113</v>
      </c>
      <c r="D322" s="143" t="s">
        <v>69</v>
      </c>
      <c r="E322" s="257">
        <v>4328674526</v>
      </c>
      <c r="F322" s="257">
        <v>4329984526</v>
      </c>
      <c r="G322" s="257">
        <v>3546829232.5</v>
      </c>
      <c r="H322" s="257">
        <v>0</v>
      </c>
      <c r="I322" s="257">
        <v>150081979.66</v>
      </c>
      <c r="J322" s="257">
        <v>0</v>
      </c>
      <c r="K322" s="257">
        <v>1954482602.23</v>
      </c>
      <c r="L322" s="257">
        <v>1898836568.02</v>
      </c>
      <c r="M322" s="257">
        <v>2225419944.1100001</v>
      </c>
      <c r="N322" s="257">
        <v>1442264650.6099999</v>
      </c>
    </row>
    <row r="323" spans="1:14" s="143" customFormat="1" x14ac:dyDescent="0.25">
      <c r="A323" s="143" t="s">
        <v>334</v>
      </c>
      <c r="B323" s="143" t="s">
        <v>114</v>
      </c>
      <c r="C323" s="143" t="s">
        <v>115</v>
      </c>
      <c r="D323" s="143" t="s">
        <v>69</v>
      </c>
      <c r="E323" s="257">
        <v>2503011786</v>
      </c>
      <c r="F323" s="257">
        <v>2503011786</v>
      </c>
      <c r="G323" s="257">
        <v>2117921646.5</v>
      </c>
      <c r="H323" s="257">
        <v>0</v>
      </c>
      <c r="I323" s="257">
        <v>78829466.5</v>
      </c>
      <c r="J323" s="257">
        <v>0</v>
      </c>
      <c r="K323" s="257">
        <v>1172474996</v>
      </c>
      <c r="L323" s="257">
        <v>1172301414</v>
      </c>
      <c r="M323" s="257">
        <v>1251707323.5</v>
      </c>
      <c r="N323" s="257">
        <v>866617184</v>
      </c>
    </row>
    <row r="324" spans="1:14" s="143" customFormat="1" x14ac:dyDescent="0.25">
      <c r="A324" s="143" t="s">
        <v>334</v>
      </c>
      <c r="B324" s="143" t="s">
        <v>116</v>
      </c>
      <c r="C324" s="143" t="s">
        <v>117</v>
      </c>
      <c r="D324" s="143" t="s">
        <v>69</v>
      </c>
      <c r="E324" s="257">
        <v>973642474</v>
      </c>
      <c r="F324" s="257">
        <v>973642474</v>
      </c>
      <c r="G324" s="257">
        <v>763884570.5</v>
      </c>
      <c r="H324" s="257">
        <v>0</v>
      </c>
      <c r="I324" s="257">
        <v>17160021.550000001</v>
      </c>
      <c r="J324" s="257">
        <v>0</v>
      </c>
      <c r="K324" s="257">
        <v>442218712.94999999</v>
      </c>
      <c r="L324" s="257">
        <v>440193117.37</v>
      </c>
      <c r="M324" s="257">
        <v>514263739.5</v>
      </c>
      <c r="N324" s="257">
        <v>304505836</v>
      </c>
    </row>
    <row r="325" spans="1:14" s="143" customFormat="1" x14ac:dyDescent="0.25">
      <c r="A325" s="143" t="s">
        <v>334</v>
      </c>
      <c r="B325" s="143" t="s">
        <v>118</v>
      </c>
      <c r="C325" s="143" t="s">
        <v>119</v>
      </c>
      <c r="D325" s="143" t="s">
        <v>69</v>
      </c>
      <c r="E325" s="257">
        <v>3942858</v>
      </c>
      <c r="F325" s="257">
        <v>3942858</v>
      </c>
      <c r="G325" s="257">
        <v>3942857.5</v>
      </c>
      <c r="H325" s="257">
        <v>0</v>
      </c>
      <c r="I325" s="257">
        <v>3026092.5</v>
      </c>
      <c r="J325" s="257">
        <v>0</v>
      </c>
      <c r="K325" s="257">
        <v>477870</v>
      </c>
      <c r="L325" s="257">
        <v>477870</v>
      </c>
      <c r="M325" s="257">
        <v>438895.5</v>
      </c>
      <c r="N325" s="257">
        <v>438895</v>
      </c>
    </row>
    <row r="326" spans="1:14" s="143" customFormat="1" x14ac:dyDescent="0.25">
      <c r="A326" s="143" t="s">
        <v>334</v>
      </c>
      <c r="B326" s="143" t="s">
        <v>120</v>
      </c>
      <c r="C326" s="143" t="s">
        <v>121</v>
      </c>
      <c r="D326" s="143" t="s">
        <v>69</v>
      </c>
      <c r="E326" s="257">
        <v>753229000</v>
      </c>
      <c r="F326" s="257">
        <v>753229000</v>
      </c>
      <c r="G326" s="257">
        <v>564921750</v>
      </c>
      <c r="H326" s="257">
        <v>0</v>
      </c>
      <c r="I326" s="257">
        <v>36289034.439999998</v>
      </c>
      <c r="J326" s="257">
        <v>0</v>
      </c>
      <c r="K326" s="257">
        <v>282347755.69</v>
      </c>
      <c r="L326" s="257">
        <v>230971649.06</v>
      </c>
      <c r="M326" s="257">
        <v>434592209.87</v>
      </c>
      <c r="N326" s="257">
        <v>246284959.87</v>
      </c>
    </row>
    <row r="327" spans="1:14" s="143" customFormat="1" x14ac:dyDescent="0.25">
      <c r="A327" s="143" t="s">
        <v>334</v>
      </c>
      <c r="B327" s="143" t="s">
        <v>122</v>
      </c>
      <c r="C327" s="143" t="s">
        <v>123</v>
      </c>
      <c r="D327" s="143" t="s">
        <v>69</v>
      </c>
      <c r="E327" s="257">
        <v>94848408</v>
      </c>
      <c r="F327" s="257">
        <v>96158408</v>
      </c>
      <c r="G327" s="257">
        <v>96158408</v>
      </c>
      <c r="H327" s="257">
        <v>0</v>
      </c>
      <c r="I327" s="257">
        <v>14777364.67</v>
      </c>
      <c r="J327" s="257">
        <v>0</v>
      </c>
      <c r="K327" s="257">
        <v>56963267.590000004</v>
      </c>
      <c r="L327" s="257">
        <v>54892517.590000004</v>
      </c>
      <c r="M327" s="257">
        <v>24417775.739999998</v>
      </c>
      <c r="N327" s="257">
        <v>24417775.739999998</v>
      </c>
    </row>
    <row r="328" spans="1:14" s="143" customFormat="1" x14ac:dyDescent="0.25">
      <c r="A328" s="143" t="s">
        <v>334</v>
      </c>
      <c r="B328" s="143" t="s">
        <v>124</v>
      </c>
      <c r="C328" s="143" t="s">
        <v>125</v>
      </c>
      <c r="D328" s="143" t="s">
        <v>69</v>
      </c>
      <c r="E328" s="257">
        <v>4451091</v>
      </c>
      <c r="F328" s="257">
        <v>3141091</v>
      </c>
      <c r="G328" s="257">
        <v>3141090.75</v>
      </c>
      <c r="H328" s="257">
        <v>0</v>
      </c>
      <c r="I328" s="257">
        <v>926640</v>
      </c>
      <c r="J328" s="257">
        <v>459308.88</v>
      </c>
      <c r="K328" s="257">
        <v>493470</v>
      </c>
      <c r="L328" s="257">
        <v>493470</v>
      </c>
      <c r="M328" s="257">
        <v>1261672.1200000001</v>
      </c>
      <c r="N328" s="257">
        <v>1261671.8700000001</v>
      </c>
    </row>
    <row r="329" spans="1:14" s="143" customFormat="1" x14ac:dyDescent="0.25">
      <c r="A329" s="143" t="s">
        <v>334</v>
      </c>
      <c r="B329" s="143" t="s">
        <v>126</v>
      </c>
      <c r="C329" s="143" t="s">
        <v>127</v>
      </c>
      <c r="D329" s="143" t="s">
        <v>69</v>
      </c>
      <c r="E329" s="257">
        <v>1831091</v>
      </c>
      <c r="F329" s="257">
        <v>1831091</v>
      </c>
      <c r="G329" s="257">
        <v>1831090.75</v>
      </c>
      <c r="H329" s="257">
        <v>0</v>
      </c>
      <c r="I329" s="257">
        <v>0</v>
      </c>
      <c r="J329" s="257">
        <v>459308.88</v>
      </c>
      <c r="K329" s="257">
        <v>413470</v>
      </c>
      <c r="L329" s="257">
        <v>413470</v>
      </c>
      <c r="M329" s="257">
        <v>958312.12</v>
      </c>
      <c r="N329" s="257">
        <v>958311.87</v>
      </c>
    </row>
    <row r="330" spans="1:14" s="143" customFormat="1" x14ac:dyDescent="0.25">
      <c r="A330" s="143" t="s">
        <v>334</v>
      </c>
      <c r="B330" s="143" t="s">
        <v>128</v>
      </c>
      <c r="C330" s="143" t="s">
        <v>129</v>
      </c>
      <c r="D330" s="143" t="s">
        <v>69</v>
      </c>
      <c r="E330" s="257">
        <v>2620000</v>
      </c>
      <c r="F330" s="257">
        <v>1310000</v>
      </c>
      <c r="G330" s="257">
        <v>1310000</v>
      </c>
      <c r="H330" s="257">
        <v>0</v>
      </c>
      <c r="I330" s="257">
        <v>926640</v>
      </c>
      <c r="J330" s="257">
        <v>0</v>
      </c>
      <c r="K330" s="257">
        <v>80000</v>
      </c>
      <c r="L330" s="257">
        <v>80000</v>
      </c>
      <c r="M330" s="257">
        <v>303360</v>
      </c>
      <c r="N330" s="257">
        <v>303360</v>
      </c>
    </row>
    <row r="331" spans="1:14" s="143" customFormat="1" x14ac:dyDescent="0.25">
      <c r="A331" s="143" t="s">
        <v>334</v>
      </c>
      <c r="B331" s="143" t="s">
        <v>134</v>
      </c>
      <c r="C331" s="143" t="s">
        <v>135</v>
      </c>
      <c r="D331" s="143" t="s">
        <v>69</v>
      </c>
      <c r="E331" s="257">
        <v>310063679</v>
      </c>
      <c r="F331" s="257">
        <v>304063679</v>
      </c>
      <c r="G331" s="257">
        <v>246033928.68000001</v>
      </c>
      <c r="H331" s="257">
        <v>0</v>
      </c>
      <c r="I331" s="257">
        <v>52823721.460000001</v>
      </c>
      <c r="J331" s="257">
        <v>5046671.7</v>
      </c>
      <c r="K331" s="257">
        <v>46704337.490000002</v>
      </c>
      <c r="L331" s="257">
        <v>46560357.490000002</v>
      </c>
      <c r="M331" s="257">
        <v>199488948.34999999</v>
      </c>
      <c r="N331" s="257">
        <v>141459198.03</v>
      </c>
    </row>
    <row r="332" spans="1:14" s="143" customFormat="1" x14ac:dyDescent="0.25">
      <c r="A332" s="143" t="s">
        <v>334</v>
      </c>
      <c r="B332" s="143" t="s">
        <v>346</v>
      </c>
      <c r="C332" s="143" t="s">
        <v>347</v>
      </c>
      <c r="D332" s="143" t="s">
        <v>69</v>
      </c>
      <c r="E332" s="257">
        <v>21381819</v>
      </c>
      <c r="F332" s="257">
        <v>21381819</v>
      </c>
      <c r="G332" s="257">
        <v>21381818.75</v>
      </c>
      <c r="H332" s="257">
        <v>0</v>
      </c>
      <c r="I332" s="257">
        <v>17138264</v>
      </c>
      <c r="J332" s="257">
        <v>0</v>
      </c>
      <c r="K332" s="257">
        <v>4166088</v>
      </c>
      <c r="L332" s="257">
        <v>4166088</v>
      </c>
      <c r="M332" s="257">
        <v>77467</v>
      </c>
      <c r="N332" s="257">
        <v>77466.75</v>
      </c>
    </row>
    <row r="333" spans="1:14" s="143" customFormat="1" x14ac:dyDescent="0.25">
      <c r="A333" s="143" t="s">
        <v>334</v>
      </c>
      <c r="B333" s="143" t="s">
        <v>308</v>
      </c>
      <c r="C333" s="143" t="s">
        <v>309</v>
      </c>
      <c r="D333" s="143" t="s">
        <v>69</v>
      </c>
      <c r="E333" s="257">
        <v>106119000</v>
      </c>
      <c r="F333" s="257">
        <v>106119000</v>
      </c>
      <c r="G333" s="257">
        <v>79589250</v>
      </c>
      <c r="H333" s="257">
        <v>0</v>
      </c>
      <c r="I333" s="257">
        <v>32041837.780000001</v>
      </c>
      <c r="J333" s="257">
        <v>0</v>
      </c>
      <c r="K333" s="257">
        <v>7172425</v>
      </c>
      <c r="L333" s="257">
        <v>7172425</v>
      </c>
      <c r="M333" s="257">
        <v>66904737.219999999</v>
      </c>
      <c r="N333" s="257">
        <v>40374987.219999999</v>
      </c>
    </row>
    <row r="334" spans="1:14" s="143" customFormat="1" x14ac:dyDescent="0.25">
      <c r="A334" s="143" t="s">
        <v>334</v>
      </c>
      <c r="B334" s="143" t="s">
        <v>136</v>
      </c>
      <c r="C334" s="143" t="s">
        <v>137</v>
      </c>
      <c r="D334" s="143" t="s">
        <v>69</v>
      </c>
      <c r="E334" s="257">
        <v>126000000</v>
      </c>
      <c r="F334" s="257">
        <v>120000000</v>
      </c>
      <c r="G334" s="257">
        <v>88500000</v>
      </c>
      <c r="H334" s="257">
        <v>0</v>
      </c>
      <c r="I334" s="257">
        <v>577454.6</v>
      </c>
      <c r="J334" s="257">
        <v>5046671.7</v>
      </c>
      <c r="K334" s="257">
        <v>26044025.59</v>
      </c>
      <c r="L334" s="257">
        <v>26044025.59</v>
      </c>
      <c r="M334" s="257">
        <v>88331848.109999999</v>
      </c>
      <c r="N334" s="257">
        <v>56831848.109999999</v>
      </c>
    </row>
    <row r="335" spans="1:14" s="143" customFormat="1" x14ac:dyDescent="0.25">
      <c r="A335" s="143" t="s">
        <v>334</v>
      </c>
      <c r="B335" s="143" t="s">
        <v>138</v>
      </c>
      <c r="C335" s="143" t="s">
        <v>139</v>
      </c>
      <c r="D335" s="143" t="s">
        <v>69</v>
      </c>
      <c r="E335" s="257">
        <v>56562860</v>
      </c>
      <c r="F335" s="257">
        <v>56562860</v>
      </c>
      <c r="G335" s="257">
        <v>56562859.93</v>
      </c>
      <c r="H335" s="257">
        <v>0</v>
      </c>
      <c r="I335" s="257">
        <v>3066165.08</v>
      </c>
      <c r="J335" s="257">
        <v>0</v>
      </c>
      <c r="K335" s="257">
        <v>9321798.9000000004</v>
      </c>
      <c r="L335" s="257">
        <v>9177818.9000000004</v>
      </c>
      <c r="M335" s="257">
        <v>44174896.020000003</v>
      </c>
      <c r="N335" s="257">
        <v>44174895.950000003</v>
      </c>
    </row>
    <row r="336" spans="1:14" s="143" customFormat="1" x14ac:dyDescent="0.25">
      <c r="A336" s="143" t="s">
        <v>334</v>
      </c>
      <c r="B336" s="143" t="s">
        <v>140</v>
      </c>
      <c r="C336" s="143" t="s">
        <v>141</v>
      </c>
      <c r="D336" s="143" t="s">
        <v>69</v>
      </c>
      <c r="E336" s="257">
        <v>128523280</v>
      </c>
      <c r="F336" s="257">
        <v>128523280</v>
      </c>
      <c r="G336" s="257">
        <v>98744687.019999996</v>
      </c>
      <c r="H336" s="257">
        <v>331850</v>
      </c>
      <c r="I336" s="257">
        <v>22428810</v>
      </c>
      <c r="J336" s="257">
        <v>0</v>
      </c>
      <c r="K336" s="257">
        <v>41647590</v>
      </c>
      <c r="L336" s="257">
        <v>41421840</v>
      </c>
      <c r="M336" s="257">
        <v>64115030</v>
      </c>
      <c r="N336" s="257">
        <v>34336437.020000003</v>
      </c>
    </row>
    <row r="337" spans="1:14" s="143" customFormat="1" x14ac:dyDescent="0.25">
      <c r="A337" s="143" t="s">
        <v>334</v>
      </c>
      <c r="B337" s="143" t="s">
        <v>142</v>
      </c>
      <c r="C337" s="143" t="s">
        <v>143</v>
      </c>
      <c r="D337" s="143" t="s">
        <v>69</v>
      </c>
      <c r="E337" s="257">
        <v>4829000</v>
      </c>
      <c r="F337" s="257">
        <v>4829000</v>
      </c>
      <c r="G337" s="257">
        <v>4829000</v>
      </c>
      <c r="H337" s="257">
        <v>0</v>
      </c>
      <c r="I337" s="257">
        <v>1208615</v>
      </c>
      <c r="J337" s="257">
        <v>0</v>
      </c>
      <c r="K337" s="257">
        <v>1431045</v>
      </c>
      <c r="L337" s="257">
        <v>1427845</v>
      </c>
      <c r="M337" s="257">
        <v>2189340</v>
      </c>
      <c r="N337" s="257">
        <v>2189340</v>
      </c>
    </row>
    <row r="338" spans="1:14" s="143" customFormat="1" x14ac:dyDescent="0.25">
      <c r="A338" s="143" t="s">
        <v>334</v>
      </c>
      <c r="B338" s="143" t="s">
        <v>144</v>
      </c>
      <c r="C338" s="143" t="s">
        <v>145</v>
      </c>
      <c r="D338" s="143" t="s">
        <v>69</v>
      </c>
      <c r="E338" s="257">
        <v>119154137</v>
      </c>
      <c r="F338" s="257">
        <v>119154137</v>
      </c>
      <c r="G338" s="257">
        <v>92780651.269999996</v>
      </c>
      <c r="H338" s="257">
        <v>331850</v>
      </c>
      <c r="I338" s="257">
        <v>21220195</v>
      </c>
      <c r="J338" s="257">
        <v>0</v>
      </c>
      <c r="K338" s="257">
        <v>40216545</v>
      </c>
      <c r="L338" s="257">
        <v>39993995</v>
      </c>
      <c r="M338" s="257">
        <v>57385547</v>
      </c>
      <c r="N338" s="257">
        <v>31012061.27</v>
      </c>
    </row>
    <row r="339" spans="1:14" s="143" customFormat="1" x14ac:dyDescent="0.25">
      <c r="A339" s="143" t="s">
        <v>334</v>
      </c>
      <c r="B339" s="143" t="s">
        <v>146</v>
      </c>
      <c r="C339" s="143" t="s">
        <v>147</v>
      </c>
      <c r="D339" s="143" t="s">
        <v>69</v>
      </c>
      <c r="E339" s="257">
        <v>2851000</v>
      </c>
      <c r="F339" s="257">
        <v>2851000</v>
      </c>
      <c r="G339" s="257">
        <v>712750</v>
      </c>
      <c r="H339" s="257">
        <v>0</v>
      </c>
      <c r="I339" s="257">
        <v>0</v>
      </c>
      <c r="J339" s="257">
        <v>0</v>
      </c>
      <c r="K339" s="257">
        <v>0</v>
      </c>
      <c r="L339" s="257">
        <v>0</v>
      </c>
      <c r="M339" s="257">
        <v>2851000</v>
      </c>
      <c r="N339" s="257">
        <v>712750</v>
      </c>
    </row>
    <row r="340" spans="1:14" s="143" customFormat="1" x14ac:dyDescent="0.25">
      <c r="A340" s="143" t="s">
        <v>334</v>
      </c>
      <c r="B340" s="143" t="s">
        <v>148</v>
      </c>
      <c r="C340" s="143" t="s">
        <v>149</v>
      </c>
      <c r="D340" s="143" t="s">
        <v>69</v>
      </c>
      <c r="E340" s="257">
        <v>1689143</v>
      </c>
      <c r="F340" s="257">
        <v>1689143</v>
      </c>
      <c r="G340" s="257">
        <v>422285.75</v>
      </c>
      <c r="H340" s="257">
        <v>0</v>
      </c>
      <c r="I340" s="257">
        <v>0</v>
      </c>
      <c r="J340" s="257">
        <v>0</v>
      </c>
      <c r="K340" s="257">
        <v>0</v>
      </c>
      <c r="L340" s="257">
        <v>0</v>
      </c>
      <c r="M340" s="257">
        <v>1689143</v>
      </c>
      <c r="N340" s="257">
        <v>422285.75</v>
      </c>
    </row>
    <row r="341" spans="1:14" s="143" customFormat="1" x14ac:dyDescent="0.25">
      <c r="A341" s="143" t="s">
        <v>334</v>
      </c>
      <c r="B341" s="143" t="s">
        <v>150</v>
      </c>
      <c r="C341" s="143" t="s">
        <v>151</v>
      </c>
      <c r="D341" s="143" t="s">
        <v>69</v>
      </c>
      <c r="E341" s="257">
        <v>1290997262</v>
      </c>
      <c r="F341" s="257">
        <v>1244459372.29</v>
      </c>
      <c r="G341" s="257">
        <v>247929108.78999999</v>
      </c>
      <c r="H341" s="257">
        <v>0</v>
      </c>
      <c r="I341" s="257">
        <v>130403630.40000001</v>
      </c>
      <c r="J341" s="257">
        <v>0</v>
      </c>
      <c r="K341" s="257">
        <v>109156057.59999999</v>
      </c>
      <c r="L341" s="257">
        <v>109156057.59999999</v>
      </c>
      <c r="M341" s="257">
        <v>1004899684.29</v>
      </c>
      <c r="N341" s="257">
        <v>8369420.79</v>
      </c>
    </row>
    <row r="342" spans="1:14" s="143" customFormat="1" x14ac:dyDescent="0.25">
      <c r="A342" s="143" t="s">
        <v>334</v>
      </c>
      <c r="B342" s="143" t="s">
        <v>152</v>
      </c>
      <c r="C342" s="143" t="s">
        <v>153</v>
      </c>
      <c r="D342" s="143" t="s">
        <v>69</v>
      </c>
      <c r="E342" s="257">
        <v>1290997262</v>
      </c>
      <c r="F342" s="257">
        <v>1244459372.29</v>
      </c>
      <c r="G342" s="257">
        <v>247929108.78999999</v>
      </c>
      <c r="H342" s="257">
        <v>0</v>
      </c>
      <c r="I342" s="257">
        <v>130403630.40000001</v>
      </c>
      <c r="J342" s="257">
        <v>0</v>
      </c>
      <c r="K342" s="257">
        <v>109156057.59999999</v>
      </c>
      <c r="L342" s="257">
        <v>109156057.59999999</v>
      </c>
      <c r="M342" s="257">
        <v>1004899684.29</v>
      </c>
      <c r="N342" s="257">
        <v>8369420.79</v>
      </c>
    </row>
    <row r="343" spans="1:14" s="143" customFormat="1" x14ac:dyDescent="0.25">
      <c r="A343" s="143" t="s">
        <v>334</v>
      </c>
      <c r="B343" s="143" t="s">
        <v>154</v>
      </c>
      <c r="C343" s="143" t="s">
        <v>155</v>
      </c>
      <c r="D343" s="143" t="s">
        <v>69</v>
      </c>
      <c r="E343" s="257">
        <v>1413715</v>
      </c>
      <c r="F343" s="257">
        <v>1413715</v>
      </c>
      <c r="G343" s="257">
        <v>1413714.75</v>
      </c>
      <c r="H343" s="257">
        <v>0</v>
      </c>
      <c r="I343" s="257">
        <v>0</v>
      </c>
      <c r="J343" s="257">
        <v>0</v>
      </c>
      <c r="K343" s="257">
        <v>0</v>
      </c>
      <c r="L343" s="257">
        <v>0</v>
      </c>
      <c r="M343" s="257">
        <v>1413715</v>
      </c>
      <c r="N343" s="257">
        <v>1413714.75</v>
      </c>
    </row>
    <row r="344" spans="1:14" s="143" customFormat="1" x14ac:dyDescent="0.25">
      <c r="A344" s="143" t="s">
        <v>334</v>
      </c>
      <c r="B344" s="143" t="s">
        <v>156</v>
      </c>
      <c r="C344" s="143" t="s">
        <v>157</v>
      </c>
      <c r="D344" s="143" t="s">
        <v>69</v>
      </c>
      <c r="E344" s="257">
        <v>1413715</v>
      </c>
      <c r="F344" s="257">
        <v>1413715</v>
      </c>
      <c r="G344" s="257">
        <v>1413714.75</v>
      </c>
      <c r="H344" s="257">
        <v>0</v>
      </c>
      <c r="I344" s="257">
        <v>0</v>
      </c>
      <c r="J344" s="257">
        <v>0</v>
      </c>
      <c r="K344" s="257">
        <v>0</v>
      </c>
      <c r="L344" s="257">
        <v>0</v>
      </c>
      <c r="M344" s="257">
        <v>1413715</v>
      </c>
      <c r="N344" s="257">
        <v>1413714.75</v>
      </c>
    </row>
    <row r="345" spans="1:14" s="143" customFormat="1" x14ac:dyDescent="0.25">
      <c r="A345" s="143" t="s">
        <v>334</v>
      </c>
      <c r="B345" s="143" t="s">
        <v>162</v>
      </c>
      <c r="C345" s="143" t="s">
        <v>163</v>
      </c>
      <c r="D345" s="143" t="s">
        <v>69</v>
      </c>
      <c r="E345" s="257">
        <v>594069615</v>
      </c>
      <c r="F345" s="257">
        <v>600069615</v>
      </c>
      <c r="G345" s="257">
        <v>527483105.55000001</v>
      </c>
      <c r="H345" s="257">
        <v>1799250</v>
      </c>
      <c r="I345" s="257">
        <v>176230371.16</v>
      </c>
      <c r="J345" s="257">
        <v>1150000</v>
      </c>
      <c r="K345" s="257">
        <v>131231552.12</v>
      </c>
      <c r="L345" s="257">
        <v>129502464.3</v>
      </c>
      <c r="M345" s="257">
        <v>289658441.72000003</v>
      </c>
      <c r="N345" s="257">
        <v>217071932.27000001</v>
      </c>
    </row>
    <row r="346" spans="1:14" s="143" customFormat="1" x14ac:dyDescent="0.25">
      <c r="A346" s="143" t="s">
        <v>334</v>
      </c>
      <c r="B346" s="143" t="s">
        <v>310</v>
      </c>
      <c r="C346" s="143" t="s">
        <v>311</v>
      </c>
      <c r="D346" s="143" t="s">
        <v>69</v>
      </c>
      <c r="E346" s="257">
        <v>125656000</v>
      </c>
      <c r="F346" s="257">
        <v>125656000</v>
      </c>
      <c r="G346" s="257">
        <v>62828000</v>
      </c>
      <c r="H346" s="257">
        <v>0</v>
      </c>
      <c r="I346" s="257">
        <v>0</v>
      </c>
      <c r="J346" s="257">
        <v>0</v>
      </c>
      <c r="K346" s="257">
        <v>13349017</v>
      </c>
      <c r="L346" s="257">
        <v>13349017</v>
      </c>
      <c r="M346" s="257">
        <v>112306983</v>
      </c>
      <c r="N346" s="257">
        <v>49478983</v>
      </c>
    </row>
    <row r="347" spans="1:14" s="143" customFormat="1" x14ac:dyDescent="0.25">
      <c r="A347" s="143" t="s">
        <v>334</v>
      </c>
      <c r="B347" s="143" t="s">
        <v>164</v>
      </c>
      <c r="C347" s="143" t="s">
        <v>165</v>
      </c>
      <c r="D347" s="143" t="s">
        <v>69</v>
      </c>
      <c r="E347" s="257">
        <v>188229817</v>
      </c>
      <c r="F347" s="257">
        <v>188229817</v>
      </c>
      <c r="G347" s="257">
        <v>188229817</v>
      </c>
      <c r="H347" s="257">
        <v>0</v>
      </c>
      <c r="I347" s="257">
        <v>92391849.049999997</v>
      </c>
      <c r="J347" s="257">
        <v>0</v>
      </c>
      <c r="K347" s="257">
        <v>80000242.319999993</v>
      </c>
      <c r="L347" s="257">
        <v>78436154.5</v>
      </c>
      <c r="M347" s="257">
        <v>15837725.630000001</v>
      </c>
      <c r="N347" s="257">
        <v>15837725.630000001</v>
      </c>
    </row>
    <row r="348" spans="1:14" s="143" customFormat="1" x14ac:dyDescent="0.25">
      <c r="A348" s="143" t="s">
        <v>334</v>
      </c>
      <c r="B348" s="143" t="s">
        <v>166</v>
      </c>
      <c r="C348" s="143" t="s">
        <v>167</v>
      </c>
      <c r="D348" s="143" t="s">
        <v>69</v>
      </c>
      <c r="E348" s="257">
        <v>95028648</v>
      </c>
      <c r="F348" s="257">
        <v>95028648</v>
      </c>
      <c r="G348" s="257">
        <v>95028648</v>
      </c>
      <c r="H348" s="257">
        <v>0</v>
      </c>
      <c r="I348" s="257">
        <v>21382947.079999998</v>
      </c>
      <c r="J348" s="257">
        <v>1150000</v>
      </c>
      <c r="K348" s="257">
        <v>15302107.720000001</v>
      </c>
      <c r="L348" s="257">
        <v>15302107.720000001</v>
      </c>
      <c r="M348" s="257">
        <v>57193593.200000003</v>
      </c>
      <c r="N348" s="257">
        <v>57193593.200000003</v>
      </c>
    </row>
    <row r="349" spans="1:14" s="143" customFormat="1" x14ac:dyDescent="0.25">
      <c r="A349" s="143" t="s">
        <v>334</v>
      </c>
      <c r="B349" s="143" t="s">
        <v>312</v>
      </c>
      <c r="C349" s="143" t="s">
        <v>313</v>
      </c>
      <c r="D349" s="143" t="s">
        <v>69</v>
      </c>
      <c r="E349" s="257">
        <v>6300000</v>
      </c>
      <c r="F349" s="257">
        <v>6300000</v>
      </c>
      <c r="G349" s="257">
        <v>6300000</v>
      </c>
      <c r="H349" s="257">
        <v>1799250</v>
      </c>
      <c r="I349" s="257">
        <v>0</v>
      </c>
      <c r="J349" s="257">
        <v>0</v>
      </c>
      <c r="K349" s="257">
        <v>0</v>
      </c>
      <c r="L349" s="257">
        <v>0</v>
      </c>
      <c r="M349" s="257">
        <v>4500750</v>
      </c>
      <c r="N349" s="257">
        <v>4500750</v>
      </c>
    </row>
    <row r="350" spans="1:14" s="143" customFormat="1" x14ac:dyDescent="0.25">
      <c r="A350" s="143" t="s">
        <v>334</v>
      </c>
      <c r="B350" s="143" t="s">
        <v>168</v>
      </c>
      <c r="C350" s="143" t="s">
        <v>169</v>
      </c>
      <c r="D350" s="143" t="s">
        <v>69</v>
      </c>
      <c r="E350" s="257">
        <v>11141667</v>
      </c>
      <c r="F350" s="257">
        <v>11141667</v>
      </c>
      <c r="G350" s="257">
        <v>11141666.75</v>
      </c>
      <c r="H350" s="257">
        <v>0</v>
      </c>
      <c r="I350" s="257">
        <v>0</v>
      </c>
      <c r="J350" s="257">
        <v>0</v>
      </c>
      <c r="K350" s="257">
        <v>3564000</v>
      </c>
      <c r="L350" s="257">
        <v>3564000</v>
      </c>
      <c r="M350" s="257">
        <v>7577667</v>
      </c>
      <c r="N350" s="257">
        <v>7577666.75</v>
      </c>
    </row>
    <row r="351" spans="1:14" s="143" customFormat="1" x14ac:dyDescent="0.25">
      <c r="A351" s="143" t="s">
        <v>334</v>
      </c>
      <c r="B351" s="143" t="s">
        <v>170</v>
      </c>
      <c r="C351" s="143" t="s">
        <v>171</v>
      </c>
      <c r="D351" s="143" t="s">
        <v>69</v>
      </c>
      <c r="E351" s="257">
        <v>40562000</v>
      </c>
      <c r="F351" s="257">
        <v>40562000</v>
      </c>
      <c r="G351" s="257">
        <v>30803491</v>
      </c>
      <c r="H351" s="257">
        <v>0</v>
      </c>
      <c r="I351" s="257">
        <v>465000</v>
      </c>
      <c r="J351" s="257">
        <v>0</v>
      </c>
      <c r="K351" s="257">
        <v>4519712.9800000004</v>
      </c>
      <c r="L351" s="257">
        <v>4354712.9800000004</v>
      </c>
      <c r="M351" s="257">
        <v>35577287.020000003</v>
      </c>
      <c r="N351" s="257">
        <v>25818778.02</v>
      </c>
    </row>
    <row r="352" spans="1:14" s="143" customFormat="1" x14ac:dyDescent="0.25">
      <c r="A352" s="143" t="s">
        <v>334</v>
      </c>
      <c r="B352" s="143" t="s">
        <v>172</v>
      </c>
      <c r="C352" s="143" t="s">
        <v>173</v>
      </c>
      <c r="D352" s="143" t="s">
        <v>69</v>
      </c>
      <c r="E352" s="257">
        <v>127151483</v>
      </c>
      <c r="F352" s="257">
        <v>133151483</v>
      </c>
      <c r="G352" s="257">
        <v>133151482.8</v>
      </c>
      <c r="H352" s="257">
        <v>0</v>
      </c>
      <c r="I352" s="257">
        <v>61990575.030000001</v>
      </c>
      <c r="J352" s="257">
        <v>0</v>
      </c>
      <c r="K352" s="257">
        <v>14496472.1</v>
      </c>
      <c r="L352" s="257">
        <v>14496472.1</v>
      </c>
      <c r="M352" s="257">
        <v>56664435.869999997</v>
      </c>
      <c r="N352" s="257">
        <v>56664435.670000002</v>
      </c>
    </row>
    <row r="353" spans="1:14" s="143" customFormat="1" x14ac:dyDescent="0.25">
      <c r="A353" s="143" t="s">
        <v>334</v>
      </c>
      <c r="B353" s="143" t="s">
        <v>174</v>
      </c>
      <c r="C353" s="143" t="s">
        <v>175</v>
      </c>
      <c r="D353" s="143" t="s">
        <v>69</v>
      </c>
      <c r="E353" s="257">
        <v>11126154</v>
      </c>
      <c r="F353" s="257">
        <v>11126154</v>
      </c>
      <c r="G353" s="257">
        <v>11126153.5</v>
      </c>
      <c r="H353" s="257">
        <v>0</v>
      </c>
      <c r="I353" s="257">
        <v>1732219</v>
      </c>
      <c r="J353" s="257">
        <v>0</v>
      </c>
      <c r="K353" s="257">
        <v>78882</v>
      </c>
      <c r="L353" s="257">
        <v>78882</v>
      </c>
      <c r="M353" s="257">
        <v>9315053</v>
      </c>
      <c r="N353" s="257">
        <v>9315052.5</v>
      </c>
    </row>
    <row r="354" spans="1:14" s="143" customFormat="1" x14ac:dyDescent="0.25">
      <c r="A354" s="143" t="s">
        <v>334</v>
      </c>
      <c r="B354" s="143" t="s">
        <v>176</v>
      </c>
      <c r="C354" s="143" t="s">
        <v>177</v>
      </c>
      <c r="D354" s="143" t="s">
        <v>69</v>
      </c>
      <c r="E354" s="257">
        <v>11126154</v>
      </c>
      <c r="F354" s="257">
        <v>11126154</v>
      </c>
      <c r="G354" s="257">
        <v>11126153.5</v>
      </c>
      <c r="H354" s="257">
        <v>0</v>
      </c>
      <c r="I354" s="257">
        <v>1732219</v>
      </c>
      <c r="J354" s="257">
        <v>0</v>
      </c>
      <c r="K354" s="257">
        <v>78882</v>
      </c>
      <c r="L354" s="257">
        <v>78882</v>
      </c>
      <c r="M354" s="257">
        <v>9315053</v>
      </c>
      <c r="N354" s="257">
        <v>9315052.5</v>
      </c>
    </row>
    <row r="355" spans="1:14" s="143" customFormat="1" x14ac:dyDescent="0.25">
      <c r="A355" s="143" t="s">
        <v>334</v>
      </c>
      <c r="B355" s="143" t="s">
        <v>178</v>
      </c>
      <c r="C355" s="143" t="s">
        <v>179</v>
      </c>
      <c r="D355" s="143" t="s">
        <v>69</v>
      </c>
      <c r="E355" s="257">
        <v>18666301</v>
      </c>
      <c r="F355" s="257">
        <v>65204190.710000001</v>
      </c>
      <c r="G355" s="257">
        <v>58011948.960000001</v>
      </c>
      <c r="H355" s="257">
        <v>0</v>
      </c>
      <c r="I355" s="257">
        <v>8254587.46</v>
      </c>
      <c r="J355" s="257">
        <v>0</v>
      </c>
      <c r="K355" s="257">
        <v>4852645.95</v>
      </c>
      <c r="L355" s="257">
        <v>4786058.97</v>
      </c>
      <c r="M355" s="257">
        <v>52096957.299999997</v>
      </c>
      <c r="N355" s="257">
        <v>44904715.549999997</v>
      </c>
    </row>
    <row r="356" spans="1:14" s="143" customFormat="1" x14ac:dyDescent="0.25">
      <c r="A356" s="143" t="s">
        <v>334</v>
      </c>
      <c r="B356" s="143" t="s">
        <v>348</v>
      </c>
      <c r="C356" s="143" t="s">
        <v>349</v>
      </c>
      <c r="D356" s="143" t="s">
        <v>69</v>
      </c>
      <c r="E356" s="257">
        <v>3000000</v>
      </c>
      <c r="F356" s="257">
        <v>3000000</v>
      </c>
      <c r="G356" s="257">
        <v>3000000</v>
      </c>
      <c r="H356" s="257">
        <v>0</v>
      </c>
      <c r="I356" s="257">
        <v>248971.98</v>
      </c>
      <c r="J356" s="257">
        <v>0</v>
      </c>
      <c r="K356" s="257">
        <v>1190453.46</v>
      </c>
      <c r="L356" s="257">
        <v>1190453.46</v>
      </c>
      <c r="M356" s="257">
        <v>1560574.56</v>
      </c>
      <c r="N356" s="257">
        <v>1560574.56</v>
      </c>
    </row>
    <row r="357" spans="1:14" s="143" customFormat="1" x14ac:dyDescent="0.25">
      <c r="A357" s="143" t="s">
        <v>334</v>
      </c>
      <c r="B357" s="143" t="s">
        <v>180</v>
      </c>
      <c r="C357" s="143" t="s">
        <v>181</v>
      </c>
      <c r="D357" s="143" t="s">
        <v>69</v>
      </c>
      <c r="E357" s="257">
        <v>1275676</v>
      </c>
      <c r="F357" s="257">
        <v>47166460.710000001</v>
      </c>
      <c r="G357" s="257">
        <v>39974219.710000001</v>
      </c>
      <c r="H357" s="257">
        <v>0</v>
      </c>
      <c r="I357" s="257">
        <v>5063952.4800000004</v>
      </c>
      <c r="J357" s="257">
        <v>0</v>
      </c>
      <c r="K357" s="257">
        <v>498437.49</v>
      </c>
      <c r="L357" s="257">
        <v>431850.51</v>
      </c>
      <c r="M357" s="257">
        <v>41604070.740000002</v>
      </c>
      <c r="N357" s="257">
        <v>34411829.740000002</v>
      </c>
    </row>
    <row r="358" spans="1:14" s="143" customFormat="1" x14ac:dyDescent="0.25">
      <c r="A358" s="143" t="s">
        <v>334</v>
      </c>
      <c r="B358" s="143" t="s">
        <v>182</v>
      </c>
      <c r="C358" s="143" t="s">
        <v>183</v>
      </c>
      <c r="D358" s="143" t="s">
        <v>69</v>
      </c>
      <c r="E358" s="257">
        <v>14390625</v>
      </c>
      <c r="F358" s="257">
        <v>15037730</v>
      </c>
      <c r="G358" s="257">
        <v>15037729.25</v>
      </c>
      <c r="H358" s="257">
        <v>0</v>
      </c>
      <c r="I358" s="257">
        <v>2941663</v>
      </c>
      <c r="J358" s="257">
        <v>0</v>
      </c>
      <c r="K358" s="257">
        <v>3163755</v>
      </c>
      <c r="L358" s="257">
        <v>3163755</v>
      </c>
      <c r="M358" s="257">
        <v>8932312</v>
      </c>
      <c r="N358" s="257">
        <v>8932311.25</v>
      </c>
    </row>
    <row r="359" spans="1:14" s="143" customFormat="1" x14ac:dyDescent="0.25">
      <c r="A359" s="143" t="s">
        <v>334</v>
      </c>
      <c r="B359" s="143" t="s">
        <v>184</v>
      </c>
      <c r="C359" s="143" t="s">
        <v>185</v>
      </c>
      <c r="D359" s="143" t="s">
        <v>69</v>
      </c>
      <c r="E359" s="257">
        <v>14015826994</v>
      </c>
      <c r="F359" s="257">
        <v>14015826994</v>
      </c>
      <c r="G359" s="257">
        <v>11010050862.5</v>
      </c>
      <c r="H359" s="257">
        <v>18001805.27</v>
      </c>
      <c r="I359" s="257">
        <v>1060527332.63</v>
      </c>
      <c r="J359" s="257">
        <v>395120439.19999999</v>
      </c>
      <c r="K359" s="257">
        <v>4840833591.0699997</v>
      </c>
      <c r="L359" s="257">
        <v>4723473078.5100002</v>
      </c>
      <c r="M359" s="257">
        <v>7701343825.8299999</v>
      </c>
      <c r="N359" s="257">
        <v>4695567694.3299999</v>
      </c>
    </row>
    <row r="360" spans="1:14" s="143" customFormat="1" x14ac:dyDescent="0.25">
      <c r="A360" s="143" t="s">
        <v>334</v>
      </c>
      <c r="B360" s="143" t="s">
        <v>186</v>
      </c>
      <c r="C360" s="143" t="s">
        <v>187</v>
      </c>
      <c r="D360" s="143" t="s">
        <v>69</v>
      </c>
      <c r="E360" s="257">
        <v>777682724</v>
      </c>
      <c r="F360" s="257">
        <v>777682724</v>
      </c>
      <c r="G360" s="257">
        <v>646928543</v>
      </c>
      <c r="H360" s="257">
        <v>0</v>
      </c>
      <c r="I360" s="257">
        <v>4931633.25</v>
      </c>
      <c r="J360" s="257">
        <v>45194973.200000003</v>
      </c>
      <c r="K360" s="257">
        <v>315974590.55000001</v>
      </c>
      <c r="L360" s="257">
        <v>268995580.88999999</v>
      </c>
      <c r="M360" s="257">
        <v>411581527</v>
      </c>
      <c r="N360" s="257">
        <v>280827346</v>
      </c>
    </row>
    <row r="361" spans="1:14" s="143" customFormat="1" x14ac:dyDescent="0.25">
      <c r="A361" s="143" t="s">
        <v>334</v>
      </c>
      <c r="B361" s="143" t="s">
        <v>188</v>
      </c>
      <c r="C361" s="143" t="s">
        <v>189</v>
      </c>
      <c r="D361" s="143" t="s">
        <v>69</v>
      </c>
      <c r="E361" s="257">
        <v>543016724</v>
      </c>
      <c r="F361" s="257">
        <v>543016724</v>
      </c>
      <c r="G361" s="257">
        <v>412262543</v>
      </c>
      <c r="H361" s="257">
        <v>0</v>
      </c>
      <c r="I361" s="257">
        <v>493846.83</v>
      </c>
      <c r="J361" s="257">
        <v>45194973.200000003</v>
      </c>
      <c r="K361" s="257">
        <v>232976714.31</v>
      </c>
      <c r="L361" s="257">
        <v>232976714.31</v>
      </c>
      <c r="M361" s="257">
        <v>264351189.66</v>
      </c>
      <c r="N361" s="257">
        <v>133597008.66</v>
      </c>
    </row>
    <row r="362" spans="1:14" s="143" customFormat="1" x14ac:dyDescent="0.25">
      <c r="A362" s="143" t="s">
        <v>334</v>
      </c>
      <c r="B362" s="143" t="s">
        <v>190</v>
      </c>
      <c r="C362" s="143" t="s">
        <v>191</v>
      </c>
      <c r="D362" s="143" t="s">
        <v>69</v>
      </c>
      <c r="E362" s="257">
        <v>195656000</v>
      </c>
      <c r="F362" s="257">
        <v>195656000</v>
      </c>
      <c r="G362" s="257">
        <v>195656000</v>
      </c>
      <c r="H362" s="257">
        <v>0</v>
      </c>
      <c r="I362" s="257">
        <v>3477100</v>
      </c>
      <c r="J362" s="257">
        <v>0</v>
      </c>
      <c r="K362" s="257">
        <v>70771800</v>
      </c>
      <c r="L362" s="257">
        <v>35912800</v>
      </c>
      <c r="M362" s="257">
        <v>121407100</v>
      </c>
      <c r="N362" s="257">
        <v>121407100</v>
      </c>
    </row>
    <row r="363" spans="1:14" s="143" customFormat="1" x14ac:dyDescent="0.25">
      <c r="A363" s="143" t="s">
        <v>334</v>
      </c>
      <c r="B363" s="143" t="s">
        <v>350</v>
      </c>
      <c r="C363" s="143" t="s">
        <v>351</v>
      </c>
      <c r="D363" s="143" t="s">
        <v>69</v>
      </c>
      <c r="E363" s="257">
        <v>2674000</v>
      </c>
      <c r="F363" s="257">
        <v>2674000</v>
      </c>
      <c r="G363" s="257">
        <v>2674000</v>
      </c>
      <c r="H363" s="257">
        <v>0</v>
      </c>
      <c r="I363" s="257">
        <v>141746</v>
      </c>
      <c r="J363" s="257">
        <v>0</v>
      </c>
      <c r="K363" s="257">
        <v>77925</v>
      </c>
      <c r="L363" s="257">
        <v>77925</v>
      </c>
      <c r="M363" s="257">
        <v>2454329</v>
      </c>
      <c r="N363" s="257">
        <v>2454329</v>
      </c>
    </row>
    <row r="364" spans="1:14" s="143" customFormat="1" x14ac:dyDescent="0.25">
      <c r="A364" s="143" t="s">
        <v>334</v>
      </c>
      <c r="B364" s="143" t="s">
        <v>192</v>
      </c>
      <c r="C364" s="143" t="s">
        <v>193</v>
      </c>
      <c r="D364" s="143" t="s">
        <v>69</v>
      </c>
      <c r="E364" s="257">
        <v>30373000</v>
      </c>
      <c r="F364" s="257">
        <v>30373000</v>
      </c>
      <c r="G364" s="257">
        <v>30373000</v>
      </c>
      <c r="H364" s="257">
        <v>0</v>
      </c>
      <c r="I364" s="257">
        <v>818940.42</v>
      </c>
      <c r="J364" s="257">
        <v>0</v>
      </c>
      <c r="K364" s="257">
        <v>12148151.24</v>
      </c>
      <c r="L364" s="257">
        <v>28141.58</v>
      </c>
      <c r="M364" s="257">
        <v>17405908.34</v>
      </c>
      <c r="N364" s="257">
        <v>17405908.34</v>
      </c>
    </row>
    <row r="365" spans="1:14" s="143" customFormat="1" x14ac:dyDescent="0.25">
      <c r="A365" s="143" t="s">
        <v>334</v>
      </c>
      <c r="B365" s="143" t="s">
        <v>194</v>
      </c>
      <c r="C365" s="143" t="s">
        <v>195</v>
      </c>
      <c r="D365" s="143" t="s">
        <v>69</v>
      </c>
      <c r="E365" s="257">
        <v>5963000</v>
      </c>
      <c r="F365" s="257">
        <v>5963000</v>
      </c>
      <c r="G365" s="257">
        <v>5963000</v>
      </c>
      <c r="H365" s="257">
        <v>0</v>
      </c>
      <c r="I365" s="257">
        <v>0</v>
      </c>
      <c r="J365" s="257">
        <v>0</v>
      </c>
      <c r="K365" s="257">
        <v>0</v>
      </c>
      <c r="L365" s="257">
        <v>0</v>
      </c>
      <c r="M365" s="257">
        <v>5963000</v>
      </c>
      <c r="N365" s="257">
        <v>5963000</v>
      </c>
    </row>
    <row r="366" spans="1:14" s="143" customFormat="1" x14ac:dyDescent="0.25">
      <c r="A366" s="143" t="s">
        <v>334</v>
      </c>
      <c r="B366" s="143" t="s">
        <v>196</v>
      </c>
      <c r="C366" s="143" t="s">
        <v>197</v>
      </c>
      <c r="D366" s="143" t="s">
        <v>69</v>
      </c>
      <c r="E366" s="257">
        <v>10984366500</v>
      </c>
      <c r="F366" s="257">
        <v>10984366500</v>
      </c>
      <c r="G366" s="257">
        <v>8241185000</v>
      </c>
      <c r="H366" s="257">
        <v>0</v>
      </c>
      <c r="I366" s="257">
        <v>618950722.63</v>
      </c>
      <c r="J366" s="257">
        <v>0</v>
      </c>
      <c r="K366" s="257">
        <v>4217754376.9699998</v>
      </c>
      <c r="L366" s="257">
        <v>4217754376.9699998</v>
      </c>
      <c r="M366" s="257">
        <v>6147661400.3999996</v>
      </c>
      <c r="N366" s="257">
        <v>3404479900.4000001</v>
      </c>
    </row>
    <row r="367" spans="1:14" s="143" customFormat="1" x14ac:dyDescent="0.25">
      <c r="A367" s="143" t="s">
        <v>334</v>
      </c>
      <c r="B367" s="143" t="s">
        <v>198</v>
      </c>
      <c r="C367" s="143" t="s">
        <v>199</v>
      </c>
      <c r="D367" s="143" t="s">
        <v>69</v>
      </c>
      <c r="E367" s="257">
        <v>10972726000</v>
      </c>
      <c r="F367" s="257">
        <v>10972726000</v>
      </c>
      <c r="G367" s="257">
        <v>8229544500</v>
      </c>
      <c r="H367" s="257">
        <v>0</v>
      </c>
      <c r="I367" s="257">
        <v>616723222.63</v>
      </c>
      <c r="J367" s="257">
        <v>0</v>
      </c>
      <c r="K367" s="257">
        <v>4214161876.9699998</v>
      </c>
      <c r="L367" s="257">
        <v>4214161876.9699998</v>
      </c>
      <c r="M367" s="257">
        <v>6141840900.3999996</v>
      </c>
      <c r="N367" s="257">
        <v>3398659400.4000001</v>
      </c>
    </row>
    <row r="368" spans="1:14" s="143" customFormat="1" x14ac:dyDescent="0.25">
      <c r="A368" s="143" t="s">
        <v>334</v>
      </c>
      <c r="B368" s="143" t="s">
        <v>352</v>
      </c>
      <c r="C368" s="143" t="s">
        <v>353</v>
      </c>
      <c r="D368" s="143" t="s">
        <v>69</v>
      </c>
      <c r="E368" s="257">
        <v>11640500</v>
      </c>
      <c r="F368" s="257">
        <v>11640500</v>
      </c>
      <c r="G368" s="257">
        <v>11640500</v>
      </c>
      <c r="H368" s="257">
        <v>0</v>
      </c>
      <c r="I368" s="257">
        <v>2227500</v>
      </c>
      <c r="J368" s="257">
        <v>0</v>
      </c>
      <c r="K368" s="257">
        <v>3592500</v>
      </c>
      <c r="L368" s="257">
        <v>3592500</v>
      </c>
      <c r="M368" s="257">
        <v>5820500</v>
      </c>
      <c r="N368" s="257">
        <v>5820500</v>
      </c>
    </row>
    <row r="369" spans="1:14" s="143" customFormat="1" x14ac:dyDescent="0.25">
      <c r="A369" s="143" t="s">
        <v>334</v>
      </c>
      <c r="B369" s="143" t="s">
        <v>200</v>
      </c>
      <c r="C369" s="143" t="s">
        <v>201</v>
      </c>
      <c r="D369" s="143" t="s">
        <v>69</v>
      </c>
      <c r="E369" s="257">
        <v>446867786</v>
      </c>
      <c r="F369" s="257">
        <v>442289969</v>
      </c>
      <c r="G369" s="257">
        <v>367242785.5</v>
      </c>
      <c r="H369" s="257">
        <v>11860521</v>
      </c>
      <c r="I369" s="257">
        <v>37155353.549999997</v>
      </c>
      <c r="J369" s="257">
        <v>0</v>
      </c>
      <c r="K369" s="257">
        <v>66161565.960000001</v>
      </c>
      <c r="L369" s="257">
        <v>52075015.960000001</v>
      </c>
      <c r="M369" s="257">
        <v>327112528.49000001</v>
      </c>
      <c r="N369" s="257">
        <v>252065344.99000001</v>
      </c>
    </row>
    <row r="370" spans="1:14" s="143" customFormat="1" x14ac:dyDescent="0.25">
      <c r="A370" s="143" t="s">
        <v>334</v>
      </c>
      <c r="B370" s="143" t="s">
        <v>314</v>
      </c>
      <c r="C370" s="143" t="s">
        <v>315</v>
      </c>
      <c r="D370" s="143" t="s">
        <v>69</v>
      </c>
      <c r="E370" s="257">
        <v>122902000</v>
      </c>
      <c r="F370" s="257">
        <v>122902000</v>
      </c>
      <c r="G370" s="257">
        <v>96261314</v>
      </c>
      <c r="H370" s="257">
        <v>0</v>
      </c>
      <c r="I370" s="257">
        <v>2884724</v>
      </c>
      <c r="J370" s="257">
        <v>0</v>
      </c>
      <c r="K370" s="257">
        <v>8371052.8099999996</v>
      </c>
      <c r="L370" s="257">
        <v>8371052.8099999996</v>
      </c>
      <c r="M370" s="257">
        <v>111646223.19</v>
      </c>
      <c r="N370" s="257">
        <v>85005537.189999998</v>
      </c>
    </row>
    <row r="371" spans="1:14" s="143" customFormat="1" x14ac:dyDescent="0.25">
      <c r="A371" s="143" t="s">
        <v>334</v>
      </c>
      <c r="B371" s="143" t="s">
        <v>316</v>
      </c>
      <c r="C371" s="143" t="s">
        <v>317</v>
      </c>
      <c r="D371" s="143" t="s">
        <v>69</v>
      </c>
      <c r="E371" s="257">
        <v>50168000</v>
      </c>
      <c r="F371" s="257">
        <v>50168000</v>
      </c>
      <c r="G371" s="257">
        <v>37626000</v>
      </c>
      <c r="H371" s="257">
        <v>0</v>
      </c>
      <c r="I371" s="257">
        <v>0</v>
      </c>
      <c r="J371" s="257">
        <v>0</v>
      </c>
      <c r="K371" s="257">
        <v>3935643</v>
      </c>
      <c r="L371" s="257">
        <v>3935643</v>
      </c>
      <c r="M371" s="257">
        <v>46232357</v>
      </c>
      <c r="N371" s="257">
        <v>33690357</v>
      </c>
    </row>
    <row r="372" spans="1:14" s="143" customFormat="1" x14ac:dyDescent="0.25">
      <c r="A372" s="143" t="s">
        <v>334</v>
      </c>
      <c r="B372" s="143" t="s">
        <v>318</v>
      </c>
      <c r="C372" s="143" t="s">
        <v>319</v>
      </c>
      <c r="D372" s="143" t="s">
        <v>69</v>
      </c>
      <c r="E372" s="257">
        <v>89195672</v>
      </c>
      <c r="F372" s="257">
        <v>89195672</v>
      </c>
      <c r="G372" s="257">
        <v>72520647</v>
      </c>
      <c r="H372" s="257">
        <v>0</v>
      </c>
      <c r="I372" s="257">
        <v>0</v>
      </c>
      <c r="J372" s="257">
        <v>0</v>
      </c>
      <c r="K372" s="257">
        <v>53066598</v>
      </c>
      <c r="L372" s="257">
        <v>39170598</v>
      </c>
      <c r="M372" s="257">
        <v>36129074</v>
      </c>
      <c r="N372" s="257">
        <v>19454049</v>
      </c>
    </row>
    <row r="373" spans="1:14" s="143" customFormat="1" x14ac:dyDescent="0.25">
      <c r="A373" s="143" t="s">
        <v>334</v>
      </c>
      <c r="B373" s="143" t="s">
        <v>202</v>
      </c>
      <c r="C373" s="143" t="s">
        <v>203</v>
      </c>
      <c r="D373" s="143" t="s">
        <v>69</v>
      </c>
      <c r="E373" s="257">
        <v>90316000</v>
      </c>
      <c r="F373" s="257">
        <v>90316000</v>
      </c>
      <c r="G373" s="257">
        <v>90316000</v>
      </c>
      <c r="H373" s="257">
        <v>11860521</v>
      </c>
      <c r="I373" s="257">
        <v>17604140.059999999</v>
      </c>
      <c r="J373" s="257">
        <v>0</v>
      </c>
      <c r="K373" s="257">
        <v>582884.37</v>
      </c>
      <c r="L373" s="257">
        <v>392334.37</v>
      </c>
      <c r="M373" s="257">
        <v>60268454.57</v>
      </c>
      <c r="N373" s="257">
        <v>60268454.57</v>
      </c>
    </row>
    <row r="374" spans="1:14" s="143" customFormat="1" x14ac:dyDescent="0.25">
      <c r="A374" s="143" t="s">
        <v>334</v>
      </c>
      <c r="B374" s="143" t="s">
        <v>320</v>
      </c>
      <c r="C374" s="143" t="s">
        <v>321</v>
      </c>
      <c r="D374" s="143" t="s">
        <v>69</v>
      </c>
      <c r="E374" s="257">
        <v>7059000</v>
      </c>
      <c r="F374" s="257">
        <v>2481183</v>
      </c>
      <c r="G374" s="257">
        <v>2481183</v>
      </c>
      <c r="H374" s="257">
        <v>0</v>
      </c>
      <c r="I374" s="257">
        <v>0</v>
      </c>
      <c r="J374" s="257">
        <v>0</v>
      </c>
      <c r="K374" s="257">
        <v>185000</v>
      </c>
      <c r="L374" s="257">
        <v>185000</v>
      </c>
      <c r="M374" s="257">
        <v>2296183</v>
      </c>
      <c r="N374" s="257">
        <v>2296183</v>
      </c>
    </row>
    <row r="375" spans="1:14" s="143" customFormat="1" x14ac:dyDescent="0.25">
      <c r="A375" s="143" t="s">
        <v>334</v>
      </c>
      <c r="B375" s="143" t="s">
        <v>204</v>
      </c>
      <c r="C375" s="143" t="s">
        <v>205</v>
      </c>
      <c r="D375" s="143" t="s">
        <v>69</v>
      </c>
      <c r="E375" s="257">
        <v>61279000</v>
      </c>
      <c r="F375" s="257">
        <v>61279000</v>
      </c>
      <c r="G375" s="257">
        <v>42089528</v>
      </c>
      <c r="H375" s="257">
        <v>0</v>
      </c>
      <c r="I375" s="257">
        <v>16666489.49</v>
      </c>
      <c r="J375" s="257">
        <v>0</v>
      </c>
      <c r="K375" s="257">
        <v>20387.78</v>
      </c>
      <c r="L375" s="257">
        <v>20387.78</v>
      </c>
      <c r="M375" s="257">
        <v>44592122.729999997</v>
      </c>
      <c r="N375" s="257">
        <v>25402650.73</v>
      </c>
    </row>
    <row r="376" spans="1:14" s="143" customFormat="1" x14ac:dyDescent="0.25">
      <c r="A376" s="143" t="s">
        <v>334</v>
      </c>
      <c r="B376" s="143" t="s">
        <v>322</v>
      </c>
      <c r="C376" s="143" t="s">
        <v>323</v>
      </c>
      <c r="D376" s="143" t="s">
        <v>69</v>
      </c>
      <c r="E376" s="257">
        <v>25948114</v>
      </c>
      <c r="F376" s="257">
        <v>25948114</v>
      </c>
      <c r="G376" s="257">
        <v>25948113.5</v>
      </c>
      <c r="H376" s="257">
        <v>0</v>
      </c>
      <c r="I376" s="257">
        <v>0</v>
      </c>
      <c r="J376" s="257">
        <v>0</v>
      </c>
      <c r="K376" s="257">
        <v>0</v>
      </c>
      <c r="L376" s="257">
        <v>0</v>
      </c>
      <c r="M376" s="257">
        <v>25948114</v>
      </c>
      <c r="N376" s="257">
        <v>25948113.5</v>
      </c>
    </row>
    <row r="377" spans="1:14" s="143" customFormat="1" x14ac:dyDescent="0.25">
      <c r="A377" s="143" t="s">
        <v>334</v>
      </c>
      <c r="B377" s="143" t="s">
        <v>206</v>
      </c>
      <c r="C377" s="143" t="s">
        <v>207</v>
      </c>
      <c r="D377" s="143" t="s">
        <v>69</v>
      </c>
      <c r="E377" s="257">
        <v>150560000</v>
      </c>
      <c r="F377" s="257">
        <v>150560000</v>
      </c>
      <c r="G377" s="257">
        <v>138306860</v>
      </c>
      <c r="H377" s="257">
        <v>5998284.2699999996</v>
      </c>
      <c r="I377" s="257">
        <v>42917953.600000001</v>
      </c>
      <c r="J377" s="257">
        <v>0</v>
      </c>
      <c r="K377" s="257">
        <v>47086985.420000002</v>
      </c>
      <c r="L377" s="257">
        <v>37564546.229999997</v>
      </c>
      <c r="M377" s="257">
        <v>54556776.710000001</v>
      </c>
      <c r="N377" s="257">
        <v>42303636.710000001</v>
      </c>
    </row>
    <row r="378" spans="1:14" s="143" customFormat="1" x14ac:dyDescent="0.25">
      <c r="A378" s="143" t="s">
        <v>334</v>
      </c>
      <c r="B378" s="143" t="s">
        <v>208</v>
      </c>
      <c r="C378" s="143" t="s">
        <v>209</v>
      </c>
      <c r="D378" s="143" t="s">
        <v>69</v>
      </c>
      <c r="E378" s="257">
        <v>53615000</v>
      </c>
      <c r="F378" s="257">
        <v>53615000</v>
      </c>
      <c r="G378" s="257">
        <v>41361860</v>
      </c>
      <c r="H378" s="257">
        <v>0</v>
      </c>
      <c r="I378" s="257">
        <v>42000</v>
      </c>
      <c r="J378" s="257">
        <v>0</v>
      </c>
      <c r="K378" s="257">
        <v>16813580</v>
      </c>
      <c r="L378" s="257">
        <v>16813580</v>
      </c>
      <c r="M378" s="257">
        <v>36759420</v>
      </c>
      <c r="N378" s="257">
        <v>24506280</v>
      </c>
    </row>
    <row r="379" spans="1:14" s="143" customFormat="1" x14ac:dyDescent="0.25">
      <c r="A379" s="143" t="s">
        <v>334</v>
      </c>
      <c r="B379" s="143" t="s">
        <v>210</v>
      </c>
      <c r="C379" s="143" t="s">
        <v>211</v>
      </c>
      <c r="D379" s="143" t="s">
        <v>69</v>
      </c>
      <c r="E379" s="257">
        <v>96945000</v>
      </c>
      <c r="F379" s="257">
        <v>96945000</v>
      </c>
      <c r="G379" s="257">
        <v>96945000</v>
      </c>
      <c r="H379" s="257">
        <v>5998284.2699999996</v>
      </c>
      <c r="I379" s="257">
        <v>42875953.600000001</v>
      </c>
      <c r="J379" s="257">
        <v>0</v>
      </c>
      <c r="K379" s="257">
        <v>30273405.420000002</v>
      </c>
      <c r="L379" s="257">
        <v>20750966.23</v>
      </c>
      <c r="M379" s="257">
        <v>17797356.710000001</v>
      </c>
      <c r="N379" s="257">
        <v>17797356.710000001</v>
      </c>
    </row>
    <row r="380" spans="1:14" s="143" customFormat="1" x14ac:dyDescent="0.25">
      <c r="A380" s="143" t="s">
        <v>334</v>
      </c>
      <c r="B380" s="143" t="s">
        <v>354</v>
      </c>
      <c r="C380" s="143" t="s">
        <v>355</v>
      </c>
      <c r="D380" s="143" t="s">
        <v>69</v>
      </c>
      <c r="E380" s="257">
        <v>0</v>
      </c>
      <c r="F380" s="257">
        <v>4577817</v>
      </c>
      <c r="G380" s="257">
        <v>4577817</v>
      </c>
      <c r="H380" s="257">
        <v>0</v>
      </c>
      <c r="I380" s="257">
        <v>0</v>
      </c>
      <c r="J380" s="257">
        <v>0</v>
      </c>
      <c r="K380" s="257">
        <v>0</v>
      </c>
      <c r="L380" s="257">
        <v>0</v>
      </c>
      <c r="M380" s="257">
        <v>4577817</v>
      </c>
      <c r="N380" s="257">
        <v>4577817</v>
      </c>
    </row>
    <row r="381" spans="1:14" s="143" customFormat="1" x14ac:dyDescent="0.25">
      <c r="A381" s="143" t="s">
        <v>334</v>
      </c>
      <c r="B381" s="143" t="s">
        <v>356</v>
      </c>
      <c r="C381" s="143" t="s">
        <v>357</v>
      </c>
      <c r="D381" s="143" t="s">
        <v>69</v>
      </c>
      <c r="E381" s="257">
        <v>0</v>
      </c>
      <c r="F381" s="257">
        <v>4577817</v>
      </c>
      <c r="G381" s="257">
        <v>4577817</v>
      </c>
      <c r="H381" s="257">
        <v>0</v>
      </c>
      <c r="I381" s="257">
        <v>0</v>
      </c>
      <c r="J381" s="257">
        <v>0</v>
      </c>
      <c r="K381" s="257">
        <v>0</v>
      </c>
      <c r="L381" s="257">
        <v>0</v>
      </c>
      <c r="M381" s="257">
        <v>4577817</v>
      </c>
      <c r="N381" s="257">
        <v>4577817</v>
      </c>
    </row>
    <row r="382" spans="1:14" s="143" customFormat="1" x14ac:dyDescent="0.25">
      <c r="A382" s="143" t="s">
        <v>334</v>
      </c>
      <c r="B382" s="143" t="s">
        <v>212</v>
      </c>
      <c r="C382" s="143" t="s">
        <v>213</v>
      </c>
      <c r="D382" s="143" t="s">
        <v>69</v>
      </c>
      <c r="E382" s="257">
        <v>1656349984</v>
      </c>
      <c r="F382" s="257">
        <v>1656349984</v>
      </c>
      <c r="G382" s="257">
        <v>1611809857</v>
      </c>
      <c r="H382" s="257">
        <v>143000</v>
      </c>
      <c r="I382" s="257">
        <v>356571669.60000002</v>
      </c>
      <c r="J382" s="257">
        <v>349925466</v>
      </c>
      <c r="K382" s="257">
        <v>193856072.16999999</v>
      </c>
      <c r="L382" s="257">
        <v>147083558.46000001</v>
      </c>
      <c r="M382" s="257">
        <v>755853776.23000002</v>
      </c>
      <c r="N382" s="257">
        <v>711313649.23000002</v>
      </c>
    </row>
    <row r="383" spans="1:14" s="143" customFormat="1" x14ac:dyDescent="0.25">
      <c r="A383" s="143" t="s">
        <v>334</v>
      </c>
      <c r="B383" s="143" t="s">
        <v>214</v>
      </c>
      <c r="C383" s="143" t="s">
        <v>215</v>
      </c>
      <c r="D383" s="143" t="s">
        <v>69</v>
      </c>
      <c r="E383" s="257">
        <v>34070136</v>
      </c>
      <c r="F383" s="257">
        <v>34070136</v>
      </c>
      <c r="G383" s="257">
        <v>25552602</v>
      </c>
      <c r="H383" s="257">
        <v>0</v>
      </c>
      <c r="I383" s="257">
        <v>0</v>
      </c>
      <c r="J383" s="257">
        <v>0</v>
      </c>
      <c r="K383" s="257">
        <v>0</v>
      </c>
      <c r="L383" s="257">
        <v>0</v>
      </c>
      <c r="M383" s="257">
        <v>34070136</v>
      </c>
      <c r="N383" s="257">
        <v>25552602</v>
      </c>
    </row>
    <row r="384" spans="1:14" s="143" customFormat="1" x14ac:dyDescent="0.25">
      <c r="A384" s="143" t="s">
        <v>334</v>
      </c>
      <c r="B384" s="143" t="s">
        <v>216</v>
      </c>
      <c r="C384" s="143" t="s">
        <v>217</v>
      </c>
      <c r="D384" s="143" t="s">
        <v>69</v>
      </c>
      <c r="E384" s="257">
        <v>65363019</v>
      </c>
      <c r="F384" s="257">
        <v>65363019</v>
      </c>
      <c r="G384" s="257">
        <v>52522263.75</v>
      </c>
      <c r="H384" s="257">
        <v>0</v>
      </c>
      <c r="I384" s="257">
        <v>107123.71</v>
      </c>
      <c r="J384" s="257">
        <v>55630.48</v>
      </c>
      <c r="K384" s="257">
        <v>5277259.2699999996</v>
      </c>
      <c r="L384" s="257">
        <v>5245293.7</v>
      </c>
      <c r="M384" s="257">
        <v>59923005.539999999</v>
      </c>
      <c r="N384" s="257">
        <v>47082250.289999999</v>
      </c>
    </row>
    <row r="385" spans="1:14" s="143" customFormat="1" x14ac:dyDescent="0.25">
      <c r="A385" s="143" t="s">
        <v>334</v>
      </c>
      <c r="B385" s="143" t="s">
        <v>218</v>
      </c>
      <c r="C385" s="143" t="s">
        <v>219</v>
      </c>
      <c r="D385" s="143" t="s">
        <v>69</v>
      </c>
      <c r="E385" s="257">
        <v>146259000</v>
      </c>
      <c r="F385" s="257">
        <v>146259000</v>
      </c>
      <c r="G385" s="257">
        <v>146259000</v>
      </c>
      <c r="H385" s="257">
        <v>0</v>
      </c>
      <c r="I385" s="257">
        <v>53327216</v>
      </c>
      <c r="J385" s="257">
        <v>0</v>
      </c>
      <c r="K385" s="257">
        <v>9545144.6999999993</v>
      </c>
      <c r="L385" s="257">
        <v>9545144.6999999993</v>
      </c>
      <c r="M385" s="257">
        <v>83386639.299999997</v>
      </c>
      <c r="N385" s="257">
        <v>83386639.299999997</v>
      </c>
    </row>
    <row r="386" spans="1:14" s="143" customFormat="1" x14ac:dyDescent="0.25">
      <c r="A386" s="143" t="s">
        <v>334</v>
      </c>
      <c r="B386" s="143" t="s">
        <v>220</v>
      </c>
      <c r="C386" s="143" t="s">
        <v>221</v>
      </c>
      <c r="D386" s="143" t="s">
        <v>69</v>
      </c>
      <c r="E386" s="257">
        <v>643150000</v>
      </c>
      <c r="F386" s="257">
        <v>643150000</v>
      </c>
      <c r="G386" s="257">
        <v>643150000</v>
      </c>
      <c r="H386" s="257">
        <v>0</v>
      </c>
      <c r="I386" s="257">
        <v>456790</v>
      </c>
      <c r="J386" s="257">
        <v>288356335</v>
      </c>
      <c r="K386" s="257">
        <v>12787658.99</v>
      </c>
      <c r="L386" s="257">
        <v>5099692</v>
      </c>
      <c r="M386" s="257">
        <v>341549216.00999999</v>
      </c>
      <c r="N386" s="257">
        <v>341549216.00999999</v>
      </c>
    </row>
    <row r="387" spans="1:14" s="143" customFormat="1" x14ac:dyDescent="0.25">
      <c r="A387" s="143" t="s">
        <v>334</v>
      </c>
      <c r="B387" s="143" t="s">
        <v>222</v>
      </c>
      <c r="C387" s="143" t="s">
        <v>223</v>
      </c>
      <c r="D387" s="143" t="s">
        <v>69</v>
      </c>
      <c r="E387" s="257">
        <v>302355000</v>
      </c>
      <c r="F387" s="257">
        <v>302355000</v>
      </c>
      <c r="G387" s="257">
        <v>302355000</v>
      </c>
      <c r="H387" s="257">
        <v>0</v>
      </c>
      <c r="I387" s="257">
        <v>113720667.3</v>
      </c>
      <c r="J387" s="257">
        <v>52217500.520000003</v>
      </c>
      <c r="K387" s="257">
        <v>66506952.990000002</v>
      </c>
      <c r="L387" s="257">
        <v>59966902.590000004</v>
      </c>
      <c r="M387" s="257">
        <v>69909879.189999998</v>
      </c>
      <c r="N387" s="257">
        <v>69909879.189999998</v>
      </c>
    </row>
    <row r="388" spans="1:14" s="143" customFormat="1" x14ac:dyDescent="0.25">
      <c r="A388" s="143" t="s">
        <v>334</v>
      </c>
      <c r="B388" s="143" t="s">
        <v>224</v>
      </c>
      <c r="C388" s="143" t="s">
        <v>225</v>
      </c>
      <c r="D388" s="143" t="s">
        <v>69</v>
      </c>
      <c r="E388" s="257">
        <v>182921000</v>
      </c>
      <c r="F388" s="257">
        <v>182921000</v>
      </c>
      <c r="G388" s="257">
        <v>182921000</v>
      </c>
      <c r="H388" s="257">
        <v>143000</v>
      </c>
      <c r="I388" s="257">
        <v>159473634.99000001</v>
      </c>
      <c r="J388" s="257">
        <v>0</v>
      </c>
      <c r="K388" s="257">
        <v>456463.25</v>
      </c>
      <c r="L388" s="257">
        <v>456463.25</v>
      </c>
      <c r="M388" s="257">
        <v>22847901.760000002</v>
      </c>
      <c r="N388" s="257">
        <v>22847901.760000002</v>
      </c>
    </row>
    <row r="389" spans="1:14" s="143" customFormat="1" x14ac:dyDescent="0.25">
      <c r="A389" s="143" t="s">
        <v>334</v>
      </c>
      <c r="B389" s="143" t="s">
        <v>226</v>
      </c>
      <c r="C389" s="143" t="s">
        <v>227</v>
      </c>
      <c r="D389" s="143" t="s">
        <v>69</v>
      </c>
      <c r="E389" s="257">
        <v>92727347</v>
      </c>
      <c r="F389" s="257">
        <v>92727347</v>
      </c>
      <c r="G389" s="257">
        <v>69545509.75</v>
      </c>
      <c r="H389" s="257">
        <v>0</v>
      </c>
      <c r="I389" s="257">
        <v>2250313.66</v>
      </c>
      <c r="J389" s="257">
        <v>0</v>
      </c>
      <c r="K389" s="257">
        <v>14830959.550000001</v>
      </c>
      <c r="L389" s="257">
        <v>14830959.550000001</v>
      </c>
      <c r="M389" s="257">
        <v>75646073.790000007</v>
      </c>
      <c r="N389" s="257">
        <v>52464236.539999999</v>
      </c>
    </row>
    <row r="390" spans="1:14" s="143" customFormat="1" x14ac:dyDescent="0.25">
      <c r="A390" s="143" t="s">
        <v>334</v>
      </c>
      <c r="B390" s="143" t="s">
        <v>228</v>
      </c>
      <c r="C390" s="143" t="s">
        <v>229</v>
      </c>
      <c r="D390" s="143" t="s">
        <v>69</v>
      </c>
      <c r="E390" s="257">
        <v>189504482</v>
      </c>
      <c r="F390" s="257">
        <v>189504482</v>
      </c>
      <c r="G390" s="257">
        <v>189504481.5</v>
      </c>
      <c r="H390" s="257">
        <v>0</v>
      </c>
      <c r="I390" s="257">
        <v>27235923.940000001</v>
      </c>
      <c r="J390" s="257">
        <v>9296000</v>
      </c>
      <c r="K390" s="257">
        <v>84451633.420000002</v>
      </c>
      <c r="L390" s="257">
        <v>51939102.670000002</v>
      </c>
      <c r="M390" s="257">
        <v>68520924.640000001</v>
      </c>
      <c r="N390" s="257">
        <v>68520924.140000001</v>
      </c>
    </row>
    <row r="391" spans="1:14" s="143" customFormat="1" x14ac:dyDescent="0.25">
      <c r="A391" s="143" t="s">
        <v>334</v>
      </c>
      <c r="B391" s="143" t="s">
        <v>230</v>
      </c>
      <c r="C391" s="143" t="s">
        <v>231</v>
      </c>
      <c r="D391" s="143" t="s">
        <v>69</v>
      </c>
      <c r="E391" s="257">
        <v>883769579</v>
      </c>
      <c r="F391" s="257">
        <v>2629734727</v>
      </c>
      <c r="G391" s="257">
        <v>1611520504.75</v>
      </c>
      <c r="H391" s="257">
        <v>124031888</v>
      </c>
      <c r="I391" s="257">
        <v>120718708.55</v>
      </c>
      <c r="J391" s="257">
        <v>0</v>
      </c>
      <c r="K391" s="257">
        <v>737297652.63</v>
      </c>
      <c r="L391" s="257">
        <v>577034200.08000004</v>
      </c>
      <c r="M391" s="257">
        <v>1647686477.8199999</v>
      </c>
      <c r="N391" s="257">
        <v>629472255.57000005</v>
      </c>
    </row>
    <row r="392" spans="1:14" s="143" customFormat="1" x14ac:dyDescent="0.25">
      <c r="A392" s="143" t="s">
        <v>334</v>
      </c>
      <c r="B392" s="143" t="s">
        <v>232</v>
      </c>
      <c r="C392" s="143" t="s">
        <v>233</v>
      </c>
      <c r="D392" s="143" t="s">
        <v>69</v>
      </c>
      <c r="E392" s="257">
        <v>667187579</v>
      </c>
      <c r="F392" s="257">
        <v>667187579</v>
      </c>
      <c r="G392" s="257">
        <v>667187578.75</v>
      </c>
      <c r="H392" s="257">
        <v>124031888</v>
      </c>
      <c r="I392" s="257">
        <v>86912754.280000001</v>
      </c>
      <c r="J392" s="257">
        <v>0</v>
      </c>
      <c r="K392" s="257">
        <v>128614931.86</v>
      </c>
      <c r="L392" s="257">
        <v>128614931.86</v>
      </c>
      <c r="M392" s="257">
        <v>327628004.86000001</v>
      </c>
      <c r="N392" s="257">
        <v>327628004.61000001</v>
      </c>
    </row>
    <row r="393" spans="1:14" s="143" customFormat="1" x14ac:dyDescent="0.25">
      <c r="A393" s="143" t="s">
        <v>334</v>
      </c>
      <c r="B393" s="143" t="s">
        <v>236</v>
      </c>
      <c r="C393" s="143" t="s">
        <v>237</v>
      </c>
      <c r="D393" s="143" t="s">
        <v>69</v>
      </c>
      <c r="E393" s="257">
        <v>0</v>
      </c>
      <c r="F393" s="257">
        <v>0</v>
      </c>
      <c r="G393" s="257">
        <v>0</v>
      </c>
      <c r="H393" s="257">
        <v>0</v>
      </c>
      <c r="I393" s="257">
        <v>0</v>
      </c>
      <c r="J393" s="257">
        <v>0</v>
      </c>
      <c r="K393" s="257">
        <v>0</v>
      </c>
      <c r="L393" s="257">
        <v>0</v>
      </c>
      <c r="M393" s="257">
        <v>0</v>
      </c>
      <c r="N393" s="257">
        <v>0</v>
      </c>
    </row>
    <row r="394" spans="1:14" s="143" customFormat="1" x14ac:dyDescent="0.25">
      <c r="A394" s="143" t="s">
        <v>334</v>
      </c>
      <c r="B394" s="143" t="s">
        <v>238</v>
      </c>
      <c r="C394" s="143" t="s">
        <v>239</v>
      </c>
      <c r="D394" s="143" t="s">
        <v>69</v>
      </c>
      <c r="E394" s="257">
        <v>0</v>
      </c>
      <c r="F394" s="257">
        <v>0</v>
      </c>
      <c r="G394" s="257">
        <v>0</v>
      </c>
      <c r="H394" s="257">
        <v>0</v>
      </c>
      <c r="I394" s="257">
        <v>0</v>
      </c>
      <c r="J394" s="257">
        <v>0</v>
      </c>
      <c r="K394" s="257">
        <v>0</v>
      </c>
      <c r="L394" s="257">
        <v>0</v>
      </c>
      <c r="M394" s="257">
        <v>0</v>
      </c>
      <c r="N394" s="257">
        <v>0</v>
      </c>
    </row>
    <row r="395" spans="1:14" s="143" customFormat="1" x14ac:dyDescent="0.25">
      <c r="A395" s="143" t="s">
        <v>334</v>
      </c>
      <c r="B395" s="143" t="s">
        <v>234</v>
      </c>
      <c r="C395" s="143" t="s">
        <v>235</v>
      </c>
      <c r="D395" s="143" t="s">
        <v>85</v>
      </c>
      <c r="E395" s="257">
        <v>33062000</v>
      </c>
      <c r="F395" s="257">
        <v>19951724</v>
      </c>
      <c r="G395" s="257">
        <v>19951724</v>
      </c>
      <c r="H395" s="257">
        <v>0</v>
      </c>
      <c r="I395" s="257">
        <v>0</v>
      </c>
      <c r="J395" s="257">
        <v>0</v>
      </c>
      <c r="K395" s="257">
        <v>0</v>
      </c>
      <c r="L395" s="257">
        <v>0</v>
      </c>
      <c r="M395" s="257">
        <v>19951724</v>
      </c>
      <c r="N395" s="257">
        <v>19951724</v>
      </c>
    </row>
    <row r="396" spans="1:14" s="143" customFormat="1" x14ac:dyDescent="0.25">
      <c r="A396" s="143" t="s">
        <v>334</v>
      </c>
      <c r="B396" s="143" t="s">
        <v>324</v>
      </c>
      <c r="C396" s="143" t="s">
        <v>325</v>
      </c>
      <c r="D396" s="143" t="s">
        <v>85</v>
      </c>
      <c r="E396" s="257">
        <v>72100000</v>
      </c>
      <c r="F396" s="257">
        <v>72100000</v>
      </c>
      <c r="G396" s="257">
        <v>72100000</v>
      </c>
      <c r="H396" s="257">
        <v>0</v>
      </c>
      <c r="I396" s="257">
        <v>0</v>
      </c>
      <c r="J396" s="257">
        <v>0</v>
      </c>
      <c r="K396" s="257">
        <v>16883370</v>
      </c>
      <c r="L396" s="257">
        <v>16883370</v>
      </c>
      <c r="M396" s="257">
        <v>55216630</v>
      </c>
      <c r="N396" s="257">
        <v>55216630</v>
      </c>
    </row>
    <row r="397" spans="1:14" s="143" customFormat="1" x14ac:dyDescent="0.25">
      <c r="A397" s="143" t="s">
        <v>334</v>
      </c>
      <c r="B397" s="143" t="s">
        <v>236</v>
      </c>
      <c r="C397" s="143" t="s">
        <v>237</v>
      </c>
      <c r="D397" s="143" t="s">
        <v>85</v>
      </c>
      <c r="E397" s="257">
        <v>147248000</v>
      </c>
      <c r="F397" s="257">
        <v>141523000</v>
      </c>
      <c r="G397" s="257">
        <v>141523000</v>
      </c>
      <c r="H397" s="257">
        <v>0</v>
      </c>
      <c r="I397" s="257">
        <v>16197.33</v>
      </c>
      <c r="J397" s="257">
        <v>0</v>
      </c>
      <c r="K397" s="257">
        <v>7645100</v>
      </c>
      <c r="L397" s="257">
        <v>7645100</v>
      </c>
      <c r="M397" s="257">
        <v>133861702.67</v>
      </c>
      <c r="N397" s="257">
        <v>133861702.67</v>
      </c>
    </row>
    <row r="398" spans="1:14" s="143" customFormat="1" x14ac:dyDescent="0.25">
      <c r="A398" s="143" t="s">
        <v>334</v>
      </c>
      <c r="B398" s="143" t="s">
        <v>238</v>
      </c>
      <c r="C398" s="143" t="s">
        <v>239</v>
      </c>
      <c r="D398" s="143" t="s">
        <v>85</v>
      </c>
      <c r="E398" s="257">
        <v>69415579</v>
      </c>
      <c r="F398" s="257">
        <v>88250855</v>
      </c>
      <c r="G398" s="257">
        <v>88250854.75</v>
      </c>
      <c r="H398" s="257">
        <v>0</v>
      </c>
      <c r="I398" s="257">
        <v>1091800</v>
      </c>
      <c r="J398" s="257">
        <v>0</v>
      </c>
      <c r="K398" s="257">
        <v>14204254</v>
      </c>
      <c r="L398" s="257">
        <v>14204254</v>
      </c>
      <c r="M398" s="257">
        <v>72954801</v>
      </c>
      <c r="N398" s="257">
        <v>72954800.75</v>
      </c>
    </row>
    <row r="399" spans="1:14" s="143" customFormat="1" x14ac:dyDescent="0.25">
      <c r="A399" s="143" t="s">
        <v>334</v>
      </c>
      <c r="B399" s="143" t="s">
        <v>282</v>
      </c>
      <c r="C399" s="143" t="s">
        <v>283</v>
      </c>
      <c r="D399" s="143" t="s">
        <v>85</v>
      </c>
      <c r="E399" s="257">
        <v>21137000</v>
      </c>
      <c r="F399" s="257">
        <v>21137000</v>
      </c>
      <c r="G399" s="257">
        <v>21137000</v>
      </c>
      <c r="H399" s="257">
        <v>0</v>
      </c>
      <c r="I399" s="257">
        <v>0</v>
      </c>
      <c r="J399" s="257">
        <v>0</v>
      </c>
      <c r="K399" s="257">
        <v>13982594.789999999</v>
      </c>
      <c r="L399" s="257">
        <v>13982594.789999999</v>
      </c>
      <c r="M399" s="257">
        <v>7154405.21</v>
      </c>
      <c r="N399" s="257">
        <v>7154405.21</v>
      </c>
    </row>
    <row r="400" spans="1:14" s="143" customFormat="1" x14ac:dyDescent="0.25">
      <c r="A400" s="143" t="s">
        <v>334</v>
      </c>
      <c r="B400" s="143" t="s">
        <v>326</v>
      </c>
      <c r="C400" s="143" t="s">
        <v>327</v>
      </c>
      <c r="D400" s="143" t="s">
        <v>85</v>
      </c>
      <c r="E400" s="257">
        <v>29458000</v>
      </c>
      <c r="F400" s="257">
        <v>29458000</v>
      </c>
      <c r="G400" s="257">
        <v>29458000</v>
      </c>
      <c r="H400" s="257">
        <v>0</v>
      </c>
      <c r="I400" s="257">
        <v>0</v>
      </c>
      <c r="J400" s="257">
        <v>0</v>
      </c>
      <c r="K400" s="257">
        <v>16265225.01</v>
      </c>
      <c r="L400" s="257">
        <v>16265225.01</v>
      </c>
      <c r="M400" s="257">
        <v>13192774.99</v>
      </c>
      <c r="N400" s="257">
        <v>13192774.99</v>
      </c>
    </row>
    <row r="401" spans="1:14" s="143" customFormat="1" x14ac:dyDescent="0.25">
      <c r="A401" s="143" t="s">
        <v>334</v>
      </c>
      <c r="B401" s="143" t="s">
        <v>240</v>
      </c>
      <c r="C401" s="143" t="s">
        <v>241</v>
      </c>
      <c r="D401" s="143" t="s">
        <v>85</v>
      </c>
      <c r="E401" s="257">
        <v>5405000</v>
      </c>
      <c r="F401" s="257">
        <v>5405000</v>
      </c>
      <c r="G401" s="257">
        <v>5405000</v>
      </c>
      <c r="H401" s="257">
        <v>0</v>
      </c>
      <c r="I401" s="257">
        <v>0</v>
      </c>
      <c r="J401" s="257">
        <v>0</v>
      </c>
      <c r="K401" s="257">
        <v>3981450</v>
      </c>
      <c r="L401" s="257">
        <v>3981450</v>
      </c>
      <c r="M401" s="257">
        <v>1423550</v>
      </c>
      <c r="N401" s="257">
        <v>1423550</v>
      </c>
    </row>
    <row r="402" spans="1:14" s="143" customFormat="1" x14ac:dyDescent="0.25">
      <c r="A402" s="143" t="s">
        <v>334</v>
      </c>
      <c r="B402" s="143" t="s">
        <v>242</v>
      </c>
      <c r="C402" s="143" t="s">
        <v>243</v>
      </c>
      <c r="D402" s="143" t="s">
        <v>85</v>
      </c>
      <c r="E402" s="257">
        <v>289362000</v>
      </c>
      <c r="F402" s="257">
        <v>289362000</v>
      </c>
      <c r="G402" s="257">
        <v>289362000</v>
      </c>
      <c r="H402" s="257">
        <v>124031888</v>
      </c>
      <c r="I402" s="257">
        <v>85804756.950000003</v>
      </c>
      <c r="J402" s="257">
        <v>0</v>
      </c>
      <c r="K402" s="257">
        <v>55652938.060000002</v>
      </c>
      <c r="L402" s="257">
        <v>55652938.060000002</v>
      </c>
      <c r="M402" s="257">
        <v>23872416.989999998</v>
      </c>
      <c r="N402" s="257">
        <v>23872416.989999998</v>
      </c>
    </row>
    <row r="403" spans="1:14" s="143" customFormat="1" x14ac:dyDescent="0.25">
      <c r="A403" s="143" t="s">
        <v>334</v>
      </c>
      <c r="B403" s="143" t="s">
        <v>244</v>
      </c>
      <c r="C403" s="143" t="s">
        <v>245</v>
      </c>
      <c r="D403" s="143" t="s">
        <v>69</v>
      </c>
      <c r="E403" s="257">
        <v>208494000</v>
      </c>
      <c r="F403" s="257">
        <v>208494000</v>
      </c>
      <c r="G403" s="257">
        <v>208494000</v>
      </c>
      <c r="H403" s="257">
        <v>0</v>
      </c>
      <c r="I403" s="257">
        <v>3490015.69</v>
      </c>
      <c r="J403" s="257">
        <v>0</v>
      </c>
      <c r="K403" s="257">
        <v>2472139.2000000002</v>
      </c>
      <c r="L403" s="257">
        <v>2472139.2000000002</v>
      </c>
      <c r="M403" s="257">
        <v>202531845.11000001</v>
      </c>
      <c r="N403" s="257">
        <v>202531845.11000001</v>
      </c>
    </row>
    <row r="404" spans="1:14" s="143" customFormat="1" x14ac:dyDescent="0.25">
      <c r="A404" s="143" t="s">
        <v>334</v>
      </c>
      <c r="B404" s="143" t="s">
        <v>246</v>
      </c>
      <c r="C404" s="143" t="s">
        <v>247</v>
      </c>
      <c r="D404" s="143" t="s">
        <v>69</v>
      </c>
      <c r="E404" s="257">
        <v>0</v>
      </c>
      <c r="F404" s="257">
        <v>0</v>
      </c>
      <c r="G404" s="257">
        <v>0</v>
      </c>
      <c r="H404" s="257">
        <v>0</v>
      </c>
      <c r="I404" s="257">
        <v>0</v>
      </c>
      <c r="J404" s="257">
        <v>0</v>
      </c>
      <c r="K404" s="257">
        <v>0</v>
      </c>
      <c r="L404" s="257">
        <v>0</v>
      </c>
      <c r="M404" s="257">
        <v>0</v>
      </c>
      <c r="N404" s="257">
        <v>0</v>
      </c>
    </row>
    <row r="405" spans="1:14" s="143" customFormat="1" x14ac:dyDescent="0.25">
      <c r="A405" s="143" t="s">
        <v>334</v>
      </c>
      <c r="B405" s="143" t="s">
        <v>246</v>
      </c>
      <c r="C405" s="143" t="s">
        <v>247</v>
      </c>
      <c r="D405" s="143" t="s">
        <v>85</v>
      </c>
      <c r="E405" s="257">
        <v>208494000</v>
      </c>
      <c r="F405" s="257">
        <v>208494000</v>
      </c>
      <c r="G405" s="257">
        <v>208494000</v>
      </c>
      <c r="H405" s="257">
        <v>0</v>
      </c>
      <c r="I405" s="257">
        <v>3490015.69</v>
      </c>
      <c r="J405" s="257">
        <v>0</v>
      </c>
      <c r="K405" s="257">
        <v>2472139.2000000002</v>
      </c>
      <c r="L405" s="257">
        <v>2472139.2000000002</v>
      </c>
      <c r="M405" s="257">
        <v>202531845.11000001</v>
      </c>
      <c r="N405" s="257">
        <v>202531845.11000001</v>
      </c>
    </row>
    <row r="406" spans="1:14" s="143" customFormat="1" x14ac:dyDescent="0.25">
      <c r="A406" s="143" t="s">
        <v>334</v>
      </c>
      <c r="B406" s="143" t="s">
        <v>328</v>
      </c>
      <c r="C406" s="143" t="s">
        <v>329</v>
      </c>
      <c r="D406" s="143" t="s">
        <v>85</v>
      </c>
      <c r="E406" s="257">
        <v>8088000</v>
      </c>
      <c r="F406" s="257">
        <v>1754053148</v>
      </c>
      <c r="G406" s="257">
        <v>735838926</v>
      </c>
      <c r="H406" s="257">
        <v>0</v>
      </c>
      <c r="I406" s="257">
        <v>30315938.579999998</v>
      </c>
      <c r="J406" s="257">
        <v>0</v>
      </c>
      <c r="K406" s="257">
        <v>606210581.57000005</v>
      </c>
      <c r="L406" s="257">
        <v>445947129.01999998</v>
      </c>
      <c r="M406" s="257">
        <v>1117526627.8499999</v>
      </c>
      <c r="N406" s="257">
        <v>99312405.849999994</v>
      </c>
    </row>
    <row r="407" spans="1:14" s="143" customFormat="1" x14ac:dyDescent="0.25">
      <c r="A407" s="143" t="s">
        <v>334</v>
      </c>
      <c r="B407" s="143" t="s">
        <v>330</v>
      </c>
      <c r="C407" s="143" t="s">
        <v>331</v>
      </c>
      <c r="D407" s="143" t="s">
        <v>85</v>
      </c>
      <c r="E407" s="257">
        <v>0</v>
      </c>
      <c r="F407" s="257">
        <v>1745965148</v>
      </c>
      <c r="G407" s="257">
        <v>727750926</v>
      </c>
      <c r="H407" s="257">
        <v>0</v>
      </c>
      <c r="I407" s="257">
        <v>24249938.579999998</v>
      </c>
      <c r="J407" s="257">
        <v>0</v>
      </c>
      <c r="K407" s="257">
        <v>604188582.57000005</v>
      </c>
      <c r="L407" s="257">
        <v>443925130.01999998</v>
      </c>
      <c r="M407" s="257">
        <v>1117526626.8499999</v>
      </c>
      <c r="N407" s="257">
        <v>99312404.849999994</v>
      </c>
    </row>
    <row r="408" spans="1:14" s="143" customFormat="1" x14ac:dyDescent="0.25">
      <c r="A408" s="143" t="s">
        <v>334</v>
      </c>
      <c r="B408" s="143" t="s">
        <v>358</v>
      </c>
      <c r="C408" s="143" t="s">
        <v>359</v>
      </c>
      <c r="D408" s="143" t="s">
        <v>85</v>
      </c>
      <c r="E408" s="257">
        <v>8088000</v>
      </c>
      <c r="F408" s="257">
        <v>8088000</v>
      </c>
      <c r="G408" s="257">
        <v>8088000</v>
      </c>
      <c r="H408" s="257">
        <v>0</v>
      </c>
      <c r="I408" s="257">
        <v>6066000</v>
      </c>
      <c r="J408" s="257">
        <v>0</v>
      </c>
      <c r="K408" s="257">
        <v>2021999</v>
      </c>
      <c r="L408" s="257">
        <v>2021999</v>
      </c>
      <c r="M408" s="257">
        <v>1</v>
      </c>
      <c r="N408" s="257">
        <v>1</v>
      </c>
    </row>
    <row r="409" spans="1:14" s="143" customFormat="1" x14ac:dyDescent="0.25">
      <c r="A409" s="143" t="s">
        <v>334</v>
      </c>
      <c r="B409" s="143" t="s">
        <v>248</v>
      </c>
      <c r="C409" s="143" t="s">
        <v>249</v>
      </c>
      <c r="D409" s="143" t="s">
        <v>69</v>
      </c>
      <c r="E409" s="257">
        <v>11597046000</v>
      </c>
      <c r="F409" s="257">
        <v>11597046000</v>
      </c>
      <c r="G409" s="257">
        <v>5048816660.25</v>
      </c>
      <c r="H409" s="257">
        <v>0</v>
      </c>
      <c r="I409" s="257">
        <v>3488098729.9699998</v>
      </c>
      <c r="J409" s="257">
        <v>0</v>
      </c>
      <c r="K409" s="257">
        <v>1190017834.73</v>
      </c>
      <c r="L409" s="257">
        <v>1190017834.73</v>
      </c>
      <c r="M409" s="257">
        <v>6918929435.3000002</v>
      </c>
      <c r="N409" s="257">
        <v>370700095.55000001</v>
      </c>
    </row>
    <row r="410" spans="1:14" s="143" customFormat="1" x14ac:dyDescent="0.25">
      <c r="A410" s="143" t="s">
        <v>334</v>
      </c>
      <c r="B410" s="143" t="s">
        <v>250</v>
      </c>
      <c r="C410" s="143" t="s">
        <v>251</v>
      </c>
      <c r="D410" s="143" t="s">
        <v>69</v>
      </c>
      <c r="E410" s="257">
        <v>9955805000</v>
      </c>
      <c r="F410" s="257">
        <v>9915805000</v>
      </c>
      <c r="G410" s="257">
        <v>3875805000</v>
      </c>
      <c r="H410" s="257">
        <v>0</v>
      </c>
      <c r="I410" s="257">
        <v>3467997293</v>
      </c>
      <c r="J410" s="257">
        <v>0</v>
      </c>
      <c r="K410" s="257">
        <v>407807707</v>
      </c>
      <c r="L410" s="257">
        <v>407807707</v>
      </c>
      <c r="M410" s="257">
        <v>6040000000</v>
      </c>
      <c r="N410" s="257">
        <v>0</v>
      </c>
    </row>
    <row r="411" spans="1:14" s="143" customFormat="1" x14ac:dyDescent="0.25">
      <c r="A411" s="143" t="s">
        <v>334</v>
      </c>
      <c r="B411" s="143" t="s">
        <v>360</v>
      </c>
      <c r="C411" s="143" t="s">
        <v>361</v>
      </c>
      <c r="D411" s="143" t="s">
        <v>69</v>
      </c>
      <c r="E411" s="257">
        <v>80000000</v>
      </c>
      <c r="F411" s="257">
        <v>40000000</v>
      </c>
      <c r="G411" s="257">
        <v>0</v>
      </c>
      <c r="H411" s="257">
        <v>0</v>
      </c>
      <c r="I411" s="257">
        <v>0</v>
      </c>
      <c r="J411" s="257">
        <v>0</v>
      </c>
      <c r="K411" s="257">
        <v>0</v>
      </c>
      <c r="L411" s="257">
        <v>0</v>
      </c>
      <c r="M411" s="257">
        <v>40000000</v>
      </c>
      <c r="N411" s="257">
        <v>0</v>
      </c>
    </row>
    <row r="412" spans="1:14" s="143" customFormat="1" x14ac:dyDescent="0.25">
      <c r="A412" s="143" t="s">
        <v>334</v>
      </c>
      <c r="B412" s="143" t="s">
        <v>362</v>
      </c>
      <c r="C412" s="143" t="s">
        <v>257</v>
      </c>
      <c r="D412" s="143" t="s">
        <v>69</v>
      </c>
      <c r="E412" s="257">
        <v>673849000</v>
      </c>
      <c r="F412" s="257">
        <v>673849000</v>
      </c>
      <c r="G412" s="257">
        <v>673849000</v>
      </c>
      <c r="H412" s="257">
        <v>0</v>
      </c>
      <c r="I412" s="257">
        <v>334465404</v>
      </c>
      <c r="J412" s="257">
        <v>0</v>
      </c>
      <c r="K412" s="257">
        <v>339383596</v>
      </c>
      <c r="L412" s="257">
        <v>339383596</v>
      </c>
      <c r="M412" s="257">
        <v>0</v>
      </c>
      <c r="N412" s="257">
        <v>0</v>
      </c>
    </row>
    <row r="413" spans="1:14" s="143" customFormat="1" x14ac:dyDescent="0.25">
      <c r="A413" s="143" t="s">
        <v>334</v>
      </c>
      <c r="B413" s="143" t="s">
        <v>363</v>
      </c>
      <c r="C413" s="143" t="s">
        <v>259</v>
      </c>
      <c r="D413" s="143" t="s">
        <v>69</v>
      </c>
      <c r="E413" s="257">
        <v>135856000</v>
      </c>
      <c r="F413" s="257">
        <v>135856000</v>
      </c>
      <c r="G413" s="257">
        <v>135856000</v>
      </c>
      <c r="H413" s="257">
        <v>0</v>
      </c>
      <c r="I413" s="257">
        <v>67431889</v>
      </c>
      <c r="J413" s="257">
        <v>0</v>
      </c>
      <c r="K413" s="257">
        <v>68424111</v>
      </c>
      <c r="L413" s="257">
        <v>68424111</v>
      </c>
      <c r="M413" s="257">
        <v>0</v>
      </c>
      <c r="N413" s="257">
        <v>0</v>
      </c>
    </row>
    <row r="414" spans="1:14" s="143" customFormat="1" x14ac:dyDescent="0.25">
      <c r="A414" s="143" t="s">
        <v>334</v>
      </c>
      <c r="B414" s="143" t="s">
        <v>364</v>
      </c>
      <c r="C414" s="143" t="s">
        <v>365</v>
      </c>
      <c r="D414" s="143" t="s">
        <v>85</v>
      </c>
      <c r="E414" s="257">
        <v>9066100000</v>
      </c>
      <c r="F414" s="257">
        <v>9066100000</v>
      </c>
      <c r="G414" s="257">
        <v>3066100000</v>
      </c>
      <c r="H414" s="257">
        <v>0</v>
      </c>
      <c r="I414" s="257">
        <v>3066100000</v>
      </c>
      <c r="J414" s="257">
        <v>0</v>
      </c>
      <c r="K414" s="257">
        <v>0</v>
      </c>
      <c r="L414" s="257">
        <v>0</v>
      </c>
      <c r="M414" s="257">
        <v>6000000000</v>
      </c>
      <c r="N414" s="257">
        <v>0</v>
      </c>
    </row>
    <row r="415" spans="1:14" s="143" customFormat="1" x14ac:dyDescent="0.25">
      <c r="A415" s="143" t="s">
        <v>334</v>
      </c>
      <c r="B415" s="143" t="s">
        <v>366</v>
      </c>
      <c r="C415" s="143" t="s">
        <v>367</v>
      </c>
      <c r="D415" s="143" t="s">
        <v>69</v>
      </c>
      <c r="E415" s="257">
        <v>550000000</v>
      </c>
      <c r="F415" s="257">
        <v>550000000</v>
      </c>
      <c r="G415" s="257">
        <v>315000000</v>
      </c>
      <c r="H415" s="257">
        <v>0</v>
      </c>
      <c r="I415" s="257">
        <v>5000000</v>
      </c>
      <c r="J415" s="257">
        <v>0</v>
      </c>
      <c r="K415" s="257">
        <v>270000000</v>
      </c>
      <c r="L415" s="257">
        <v>270000000</v>
      </c>
      <c r="M415" s="257">
        <v>275000000</v>
      </c>
      <c r="N415" s="257">
        <v>40000000</v>
      </c>
    </row>
    <row r="416" spans="1:14" s="143" customFormat="1" x14ac:dyDescent="0.25">
      <c r="A416" s="143" t="s">
        <v>334</v>
      </c>
      <c r="B416" s="143" t="s">
        <v>368</v>
      </c>
      <c r="C416" s="143" t="s">
        <v>369</v>
      </c>
      <c r="D416" s="143" t="s">
        <v>69</v>
      </c>
      <c r="E416" s="257">
        <v>550000000</v>
      </c>
      <c r="F416" s="257">
        <v>550000000</v>
      </c>
      <c r="G416" s="257">
        <v>315000000</v>
      </c>
      <c r="H416" s="257">
        <v>0</v>
      </c>
      <c r="I416" s="257">
        <v>5000000</v>
      </c>
      <c r="J416" s="257">
        <v>0</v>
      </c>
      <c r="K416" s="257">
        <v>270000000</v>
      </c>
      <c r="L416" s="257">
        <v>270000000</v>
      </c>
      <c r="M416" s="257">
        <v>275000000</v>
      </c>
      <c r="N416" s="257">
        <v>40000000</v>
      </c>
    </row>
    <row r="417" spans="1:14" s="143" customFormat="1" x14ac:dyDescent="0.25">
      <c r="A417" s="143" t="s">
        <v>334</v>
      </c>
      <c r="B417" s="143" t="s">
        <v>260</v>
      </c>
      <c r="C417" s="143" t="s">
        <v>261</v>
      </c>
      <c r="D417" s="143" t="s">
        <v>69</v>
      </c>
      <c r="E417" s="257">
        <v>1002889000</v>
      </c>
      <c r="F417" s="257">
        <v>1002889000</v>
      </c>
      <c r="G417" s="257">
        <v>741335660.25</v>
      </c>
      <c r="H417" s="257">
        <v>0</v>
      </c>
      <c r="I417" s="257">
        <v>1138665.58</v>
      </c>
      <c r="J417" s="257">
        <v>0</v>
      </c>
      <c r="K417" s="257">
        <v>436172899.12</v>
      </c>
      <c r="L417" s="257">
        <v>436172899.12</v>
      </c>
      <c r="M417" s="257">
        <v>565577435.29999995</v>
      </c>
      <c r="N417" s="257">
        <v>304024095.55000001</v>
      </c>
    </row>
    <row r="418" spans="1:14" s="143" customFormat="1" x14ac:dyDescent="0.25">
      <c r="A418" s="143" t="s">
        <v>334</v>
      </c>
      <c r="B418" s="143" t="s">
        <v>262</v>
      </c>
      <c r="C418" s="143" t="s">
        <v>263</v>
      </c>
      <c r="D418" s="143" t="s">
        <v>69</v>
      </c>
      <c r="E418" s="257">
        <v>657462000</v>
      </c>
      <c r="F418" s="257">
        <v>657462000</v>
      </c>
      <c r="G418" s="257">
        <v>459216115</v>
      </c>
      <c r="H418" s="257">
        <v>0</v>
      </c>
      <c r="I418" s="257">
        <v>1138665.58</v>
      </c>
      <c r="J418" s="257">
        <v>0</v>
      </c>
      <c r="K418" s="257">
        <v>258077449.41999999</v>
      </c>
      <c r="L418" s="257">
        <v>258077449.41999999</v>
      </c>
      <c r="M418" s="257">
        <v>398245885</v>
      </c>
      <c r="N418" s="257">
        <v>200000000</v>
      </c>
    </row>
    <row r="419" spans="1:14" s="143" customFormat="1" x14ac:dyDescent="0.25">
      <c r="A419" s="143" t="s">
        <v>334</v>
      </c>
      <c r="B419" s="143" t="s">
        <v>264</v>
      </c>
      <c r="C419" s="143" t="s">
        <v>265</v>
      </c>
      <c r="D419" s="143" t="s">
        <v>69</v>
      </c>
      <c r="E419" s="257">
        <v>345427000</v>
      </c>
      <c r="F419" s="257">
        <v>345427000</v>
      </c>
      <c r="G419" s="257">
        <v>282119545.25</v>
      </c>
      <c r="H419" s="257">
        <v>0</v>
      </c>
      <c r="I419" s="257">
        <v>0</v>
      </c>
      <c r="J419" s="257">
        <v>0</v>
      </c>
      <c r="K419" s="257">
        <v>178095449.69999999</v>
      </c>
      <c r="L419" s="257">
        <v>178095449.69999999</v>
      </c>
      <c r="M419" s="257">
        <v>167331550.30000001</v>
      </c>
      <c r="N419" s="257">
        <v>104024095.55</v>
      </c>
    </row>
    <row r="420" spans="1:14" s="143" customFormat="1" x14ac:dyDescent="0.25">
      <c r="A420" s="143" t="s">
        <v>334</v>
      </c>
      <c r="B420" s="143" t="s">
        <v>286</v>
      </c>
      <c r="C420" s="143" t="s">
        <v>287</v>
      </c>
      <c r="D420" s="143" t="s">
        <v>69</v>
      </c>
      <c r="E420" s="257">
        <v>88352000</v>
      </c>
      <c r="F420" s="257">
        <v>128352000</v>
      </c>
      <c r="G420" s="257">
        <v>116676000</v>
      </c>
      <c r="H420" s="257">
        <v>0</v>
      </c>
      <c r="I420" s="257">
        <v>13962771.390000001</v>
      </c>
      <c r="J420" s="257">
        <v>0</v>
      </c>
      <c r="K420" s="257">
        <v>76037228.609999999</v>
      </c>
      <c r="L420" s="257">
        <v>76037228.609999999</v>
      </c>
      <c r="M420" s="257">
        <v>38352000</v>
      </c>
      <c r="N420" s="257">
        <v>26676000</v>
      </c>
    </row>
    <row r="421" spans="1:14" s="143" customFormat="1" x14ac:dyDescent="0.25">
      <c r="A421" s="143" t="s">
        <v>334</v>
      </c>
      <c r="B421" s="143" t="s">
        <v>288</v>
      </c>
      <c r="C421" s="143" t="s">
        <v>289</v>
      </c>
      <c r="D421" s="143" t="s">
        <v>69</v>
      </c>
      <c r="E421" s="257">
        <v>65000000</v>
      </c>
      <c r="F421" s="257">
        <v>105000000</v>
      </c>
      <c r="G421" s="257">
        <v>105000000</v>
      </c>
      <c r="H421" s="257">
        <v>0</v>
      </c>
      <c r="I421" s="257">
        <v>8962771.3900000006</v>
      </c>
      <c r="J421" s="257">
        <v>0</v>
      </c>
      <c r="K421" s="257">
        <v>76037228.609999999</v>
      </c>
      <c r="L421" s="257">
        <v>76037228.609999999</v>
      </c>
      <c r="M421" s="257">
        <v>20000000</v>
      </c>
      <c r="N421" s="257">
        <v>20000000</v>
      </c>
    </row>
    <row r="422" spans="1:14" s="143" customFormat="1" x14ac:dyDescent="0.25">
      <c r="A422" s="143" t="s">
        <v>334</v>
      </c>
      <c r="B422" s="143" t="s">
        <v>370</v>
      </c>
      <c r="C422" s="143" t="s">
        <v>371</v>
      </c>
      <c r="D422" s="143" t="s">
        <v>69</v>
      </c>
      <c r="E422" s="257">
        <v>23352000</v>
      </c>
      <c r="F422" s="257">
        <v>23352000</v>
      </c>
      <c r="G422" s="257">
        <v>11676000</v>
      </c>
      <c r="H422" s="257">
        <v>0</v>
      </c>
      <c r="I422" s="257">
        <v>5000000</v>
      </c>
      <c r="J422" s="257">
        <v>0</v>
      </c>
      <c r="K422" s="257">
        <v>0</v>
      </c>
      <c r="L422" s="257">
        <v>0</v>
      </c>
      <c r="M422" s="257">
        <v>18352000</v>
      </c>
      <c r="N422" s="257">
        <v>6676000</v>
      </c>
    </row>
    <row r="423" spans="1:14" s="143" customFormat="1" x14ac:dyDescent="0.25">
      <c r="A423" s="143" t="s">
        <v>334</v>
      </c>
      <c r="B423" s="143" t="s">
        <v>372</v>
      </c>
      <c r="C423" s="143" t="s">
        <v>373</v>
      </c>
      <c r="D423" s="143" t="s">
        <v>85</v>
      </c>
      <c r="E423" s="257">
        <v>573100000</v>
      </c>
      <c r="F423" s="257">
        <v>827134852</v>
      </c>
      <c r="G423" s="257">
        <v>422017020</v>
      </c>
      <c r="H423" s="257">
        <v>0</v>
      </c>
      <c r="I423" s="257">
        <v>0</v>
      </c>
      <c r="J423" s="257">
        <v>0</v>
      </c>
      <c r="K423" s="257">
        <v>0</v>
      </c>
      <c r="L423" s="257">
        <v>0</v>
      </c>
      <c r="M423" s="257">
        <v>827134852</v>
      </c>
      <c r="N423" s="257">
        <v>422017020</v>
      </c>
    </row>
    <row r="424" spans="1:14" s="143" customFormat="1" x14ac:dyDescent="0.25">
      <c r="A424" s="143" t="s">
        <v>334</v>
      </c>
      <c r="B424" s="143" t="s">
        <v>374</v>
      </c>
      <c r="C424" s="143" t="s">
        <v>375</v>
      </c>
      <c r="D424" s="143" t="s">
        <v>85</v>
      </c>
      <c r="E424" s="257">
        <v>573100000</v>
      </c>
      <c r="F424" s="257">
        <v>827134852</v>
      </c>
      <c r="G424" s="257">
        <v>422017020</v>
      </c>
      <c r="H424" s="257">
        <v>0</v>
      </c>
      <c r="I424" s="257">
        <v>0</v>
      </c>
      <c r="J424" s="257">
        <v>0</v>
      </c>
      <c r="K424" s="257">
        <v>0</v>
      </c>
      <c r="L424" s="257">
        <v>0</v>
      </c>
      <c r="M424" s="257">
        <v>827134852</v>
      </c>
      <c r="N424" s="257">
        <v>422017020</v>
      </c>
    </row>
    <row r="425" spans="1:14" s="143" customFormat="1" x14ac:dyDescent="0.25">
      <c r="A425" s="143" t="s">
        <v>334</v>
      </c>
      <c r="B425" s="143" t="s">
        <v>376</v>
      </c>
      <c r="C425" s="143" t="s">
        <v>377</v>
      </c>
      <c r="D425" s="143" t="s">
        <v>85</v>
      </c>
      <c r="E425" s="257">
        <v>573100000</v>
      </c>
      <c r="F425" s="257">
        <v>827134852</v>
      </c>
      <c r="G425" s="257">
        <v>422017020</v>
      </c>
      <c r="H425" s="257">
        <v>0</v>
      </c>
      <c r="I425" s="257">
        <v>0</v>
      </c>
      <c r="J425" s="257">
        <v>0</v>
      </c>
      <c r="K425" s="257">
        <v>0</v>
      </c>
      <c r="L425" s="257">
        <v>0</v>
      </c>
      <c r="M425" s="257">
        <v>827134852</v>
      </c>
      <c r="N425" s="257">
        <v>422017020</v>
      </c>
    </row>
    <row r="426" spans="1:14" s="143" customFormat="1" x14ac:dyDescent="0.25">
      <c r="A426" s="143">
        <v>214784</v>
      </c>
      <c r="D426" s="143" t="s">
        <v>69</v>
      </c>
      <c r="E426" s="257">
        <v>13837611334</v>
      </c>
      <c r="F426" s="257">
        <v>13837611334</v>
      </c>
      <c r="G426" s="257">
        <v>13751959037</v>
      </c>
      <c r="H426" s="257">
        <v>0</v>
      </c>
      <c r="I426" s="257">
        <v>1244086364.8399999</v>
      </c>
      <c r="J426" s="257">
        <v>0</v>
      </c>
      <c r="K426" s="257">
        <v>6282975846.3599997</v>
      </c>
      <c r="L426" s="257">
        <v>6282975846.3599997</v>
      </c>
      <c r="M426" s="257">
        <v>6310549122.8000002</v>
      </c>
      <c r="N426" s="257">
        <v>6224896825.8000002</v>
      </c>
    </row>
    <row r="427" spans="1:14" s="143" customFormat="1" x14ac:dyDescent="0.25">
      <c r="A427" s="143" t="s">
        <v>378</v>
      </c>
      <c r="B427" s="143" t="s">
        <v>71</v>
      </c>
      <c r="C427" s="143" t="s">
        <v>72</v>
      </c>
      <c r="D427" s="143" t="s">
        <v>69</v>
      </c>
      <c r="E427" s="257">
        <v>13313316000</v>
      </c>
      <c r="F427" s="257">
        <v>13313316000</v>
      </c>
      <c r="G427" s="257">
        <v>13313316000</v>
      </c>
      <c r="H427" s="257">
        <v>0</v>
      </c>
      <c r="I427" s="257">
        <v>1094607963.6800001</v>
      </c>
      <c r="J427" s="257">
        <v>0</v>
      </c>
      <c r="K427" s="257">
        <v>6102563932.7299995</v>
      </c>
      <c r="L427" s="257">
        <v>6102563932.7299995</v>
      </c>
      <c r="M427" s="257">
        <v>6116144103.5900002</v>
      </c>
      <c r="N427" s="257">
        <v>6116144103.5900002</v>
      </c>
    </row>
    <row r="428" spans="1:14" s="143" customFormat="1" x14ac:dyDescent="0.25">
      <c r="A428" s="143" t="s">
        <v>378</v>
      </c>
      <c r="B428" s="143" t="s">
        <v>73</v>
      </c>
      <c r="C428" s="143" t="s">
        <v>74</v>
      </c>
      <c r="D428" s="143" t="s">
        <v>69</v>
      </c>
      <c r="E428" s="257">
        <v>4473382000</v>
      </c>
      <c r="F428" s="257">
        <v>4473382000</v>
      </c>
      <c r="G428" s="257">
        <v>4473382000</v>
      </c>
      <c r="H428" s="257">
        <v>0</v>
      </c>
      <c r="I428" s="257">
        <v>180140</v>
      </c>
      <c r="J428" s="257">
        <v>0</v>
      </c>
      <c r="K428" s="257">
        <v>1991144120.02</v>
      </c>
      <c r="L428" s="257">
        <v>1991144120.02</v>
      </c>
      <c r="M428" s="257">
        <v>2482057739.98</v>
      </c>
      <c r="N428" s="257">
        <v>2482057739.98</v>
      </c>
    </row>
    <row r="429" spans="1:14" s="143" customFormat="1" x14ac:dyDescent="0.25">
      <c r="A429" s="143" t="s">
        <v>378</v>
      </c>
      <c r="B429" s="143" t="s">
        <v>75</v>
      </c>
      <c r="C429" s="143" t="s">
        <v>76</v>
      </c>
      <c r="D429" s="143" t="s">
        <v>69</v>
      </c>
      <c r="E429" s="257">
        <v>4473382000</v>
      </c>
      <c r="F429" s="257">
        <v>4473382000</v>
      </c>
      <c r="G429" s="257">
        <v>4473382000</v>
      </c>
      <c r="H429" s="257">
        <v>0</v>
      </c>
      <c r="I429" s="257">
        <v>180140</v>
      </c>
      <c r="J429" s="257">
        <v>0</v>
      </c>
      <c r="K429" s="257">
        <v>1991144120.02</v>
      </c>
      <c r="L429" s="257">
        <v>1991144120.02</v>
      </c>
      <c r="M429" s="257">
        <v>2482057739.98</v>
      </c>
      <c r="N429" s="257">
        <v>2482057739.98</v>
      </c>
    </row>
    <row r="430" spans="1:14" s="143" customFormat="1" x14ac:dyDescent="0.25">
      <c r="A430" s="143" t="s">
        <v>378</v>
      </c>
      <c r="B430" s="143" t="s">
        <v>77</v>
      </c>
      <c r="C430" s="143" t="s">
        <v>78</v>
      </c>
      <c r="D430" s="143" t="s">
        <v>69</v>
      </c>
      <c r="E430" s="257">
        <v>6745487000</v>
      </c>
      <c r="F430" s="257">
        <v>6745487000</v>
      </c>
      <c r="G430" s="257">
        <v>6745487000</v>
      </c>
      <c r="H430" s="257">
        <v>0</v>
      </c>
      <c r="I430" s="257">
        <v>220373</v>
      </c>
      <c r="J430" s="257">
        <v>0</v>
      </c>
      <c r="K430" s="257">
        <v>3111180263.3899999</v>
      </c>
      <c r="L430" s="257">
        <v>3111180263.3899999</v>
      </c>
      <c r="M430" s="257">
        <v>3634086363.6100001</v>
      </c>
      <c r="N430" s="257">
        <v>3634086363.6100001</v>
      </c>
    </row>
    <row r="431" spans="1:14" s="143" customFormat="1" x14ac:dyDescent="0.25">
      <c r="A431" s="143" t="s">
        <v>378</v>
      </c>
      <c r="B431" s="143" t="s">
        <v>79</v>
      </c>
      <c r="C431" s="143" t="s">
        <v>80</v>
      </c>
      <c r="D431" s="143" t="s">
        <v>69</v>
      </c>
      <c r="E431" s="257">
        <v>1460185000</v>
      </c>
      <c r="F431" s="257">
        <v>1460185000</v>
      </c>
      <c r="G431" s="257">
        <v>1460185000</v>
      </c>
      <c r="H431" s="257">
        <v>0</v>
      </c>
      <c r="I431" s="257">
        <v>121296</v>
      </c>
      <c r="J431" s="257">
        <v>0</v>
      </c>
      <c r="K431" s="257">
        <v>649818377.69000006</v>
      </c>
      <c r="L431" s="257">
        <v>649818377.69000006</v>
      </c>
      <c r="M431" s="257">
        <v>810245326.30999994</v>
      </c>
      <c r="N431" s="257">
        <v>810245326.30999994</v>
      </c>
    </row>
    <row r="432" spans="1:14" s="143" customFormat="1" x14ac:dyDescent="0.25">
      <c r="A432" s="143" t="s">
        <v>378</v>
      </c>
      <c r="B432" s="143" t="s">
        <v>81</v>
      </c>
      <c r="C432" s="143" t="s">
        <v>82</v>
      </c>
      <c r="D432" s="143" t="s">
        <v>69</v>
      </c>
      <c r="E432" s="257">
        <v>2519609000</v>
      </c>
      <c r="F432" s="257">
        <v>2519609000</v>
      </c>
      <c r="G432" s="257">
        <v>2519609000</v>
      </c>
      <c r="H432" s="257">
        <v>0</v>
      </c>
      <c r="I432" s="257">
        <v>54042</v>
      </c>
      <c r="J432" s="257">
        <v>0</v>
      </c>
      <c r="K432" s="257">
        <v>1164874987.9300001</v>
      </c>
      <c r="L432" s="257">
        <v>1164874987.9300001</v>
      </c>
      <c r="M432" s="257">
        <v>1354679970.0699999</v>
      </c>
      <c r="N432" s="257">
        <v>1354679970.0699999</v>
      </c>
    </row>
    <row r="433" spans="1:14" s="143" customFormat="1" x14ac:dyDescent="0.25">
      <c r="A433" s="143" t="s">
        <v>378</v>
      </c>
      <c r="B433" s="143" t="s">
        <v>86</v>
      </c>
      <c r="C433" s="143" t="s">
        <v>87</v>
      </c>
      <c r="D433" s="143" t="s">
        <v>69</v>
      </c>
      <c r="E433" s="257">
        <v>738904000</v>
      </c>
      <c r="F433" s="257">
        <v>738904000</v>
      </c>
      <c r="G433" s="257">
        <v>738904000</v>
      </c>
      <c r="H433" s="257">
        <v>0</v>
      </c>
      <c r="I433" s="257">
        <v>0</v>
      </c>
      <c r="J433" s="257">
        <v>0</v>
      </c>
      <c r="K433" s="257">
        <v>737019487.25</v>
      </c>
      <c r="L433" s="257">
        <v>737019487.25</v>
      </c>
      <c r="M433" s="257">
        <v>1884512.75</v>
      </c>
      <c r="N433" s="257">
        <v>1884512.75</v>
      </c>
    </row>
    <row r="434" spans="1:14" s="143" customFormat="1" x14ac:dyDescent="0.25">
      <c r="A434" s="143" t="s">
        <v>378</v>
      </c>
      <c r="B434" s="143" t="s">
        <v>88</v>
      </c>
      <c r="C434" s="143" t="s">
        <v>89</v>
      </c>
      <c r="D434" s="143" t="s">
        <v>69</v>
      </c>
      <c r="E434" s="257">
        <v>1196454000</v>
      </c>
      <c r="F434" s="257">
        <v>1196454000</v>
      </c>
      <c r="G434" s="257">
        <v>1196454000</v>
      </c>
      <c r="H434" s="257">
        <v>0</v>
      </c>
      <c r="I434" s="257">
        <v>45035</v>
      </c>
      <c r="J434" s="257">
        <v>0</v>
      </c>
      <c r="K434" s="257">
        <v>559250337.59000003</v>
      </c>
      <c r="L434" s="257">
        <v>559250337.59000003</v>
      </c>
      <c r="M434" s="257">
        <v>637158627.40999997</v>
      </c>
      <c r="N434" s="257">
        <v>637158627.40999997</v>
      </c>
    </row>
    <row r="435" spans="1:14" s="143" customFormat="1" x14ac:dyDescent="0.25">
      <c r="A435" s="143" t="s">
        <v>378</v>
      </c>
      <c r="B435" s="143" t="s">
        <v>83</v>
      </c>
      <c r="C435" s="143" t="s">
        <v>84</v>
      </c>
      <c r="D435" s="143" t="s">
        <v>85</v>
      </c>
      <c r="E435" s="257">
        <v>830335000</v>
      </c>
      <c r="F435" s="257">
        <v>830335000</v>
      </c>
      <c r="G435" s="257">
        <v>830335000</v>
      </c>
      <c r="H435" s="257">
        <v>0</v>
      </c>
      <c r="I435" s="257">
        <v>0</v>
      </c>
      <c r="J435" s="257">
        <v>0</v>
      </c>
      <c r="K435" s="257">
        <v>217072.93</v>
      </c>
      <c r="L435" s="257">
        <v>217072.93</v>
      </c>
      <c r="M435" s="257">
        <v>830117927.07000005</v>
      </c>
      <c r="N435" s="257">
        <v>830117927.07000005</v>
      </c>
    </row>
    <row r="436" spans="1:14" s="143" customFormat="1" x14ac:dyDescent="0.25">
      <c r="A436" s="143" t="s">
        <v>378</v>
      </c>
      <c r="B436" s="143" t="s">
        <v>90</v>
      </c>
      <c r="C436" s="143" t="s">
        <v>91</v>
      </c>
      <c r="D436" s="143" t="s">
        <v>69</v>
      </c>
      <c r="E436" s="257">
        <v>1012881000</v>
      </c>
      <c r="F436" s="257">
        <v>1012881000</v>
      </c>
      <c r="G436" s="257">
        <v>1012881000</v>
      </c>
      <c r="H436" s="257">
        <v>0</v>
      </c>
      <c r="I436" s="257">
        <v>512633216</v>
      </c>
      <c r="J436" s="257">
        <v>0</v>
      </c>
      <c r="K436" s="257">
        <v>500247784</v>
      </c>
      <c r="L436" s="257">
        <v>500247784</v>
      </c>
      <c r="M436" s="257">
        <v>0</v>
      </c>
      <c r="N436" s="257">
        <v>0</v>
      </c>
    </row>
    <row r="437" spans="1:14" s="143" customFormat="1" x14ac:dyDescent="0.25">
      <c r="A437" s="143" t="s">
        <v>378</v>
      </c>
      <c r="B437" s="143" t="s">
        <v>379</v>
      </c>
      <c r="C437" s="143" t="s">
        <v>93</v>
      </c>
      <c r="D437" s="143" t="s">
        <v>69</v>
      </c>
      <c r="E437" s="257">
        <v>960939000</v>
      </c>
      <c r="F437" s="257">
        <v>960939000</v>
      </c>
      <c r="G437" s="257">
        <v>960939000</v>
      </c>
      <c r="H437" s="257">
        <v>0</v>
      </c>
      <c r="I437" s="257">
        <v>486344095</v>
      </c>
      <c r="J437" s="257">
        <v>0</v>
      </c>
      <c r="K437" s="257">
        <v>474594905</v>
      </c>
      <c r="L437" s="257">
        <v>474594905</v>
      </c>
      <c r="M437" s="257">
        <v>0</v>
      </c>
      <c r="N437" s="257">
        <v>0</v>
      </c>
    </row>
    <row r="438" spans="1:14" s="143" customFormat="1" x14ac:dyDescent="0.25">
      <c r="A438" s="143" t="s">
        <v>378</v>
      </c>
      <c r="B438" s="143" t="s">
        <v>380</v>
      </c>
      <c r="C438" s="143" t="s">
        <v>95</v>
      </c>
      <c r="D438" s="143" t="s">
        <v>69</v>
      </c>
      <c r="E438" s="257">
        <v>51942000</v>
      </c>
      <c r="F438" s="257">
        <v>51942000</v>
      </c>
      <c r="G438" s="257">
        <v>51942000</v>
      </c>
      <c r="H438" s="257">
        <v>0</v>
      </c>
      <c r="I438" s="257">
        <v>26289121</v>
      </c>
      <c r="J438" s="257">
        <v>0</v>
      </c>
      <c r="K438" s="257">
        <v>25652879</v>
      </c>
      <c r="L438" s="257">
        <v>25652879</v>
      </c>
      <c r="M438" s="257">
        <v>0</v>
      </c>
      <c r="N438" s="257">
        <v>0</v>
      </c>
    </row>
    <row r="439" spans="1:14" s="143" customFormat="1" x14ac:dyDescent="0.25">
      <c r="A439" s="143" t="s">
        <v>378</v>
      </c>
      <c r="B439" s="143" t="s">
        <v>96</v>
      </c>
      <c r="C439" s="143" t="s">
        <v>97</v>
      </c>
      <c r="D439" s="143" t="s">
        <v>69</v>
      </c>
      <c r="E439" s="257">
        <v>1081566000</v>
      </c>
      <c r="F439" s="257">
        <v>1081566000</v>
      </c>
      <c r="G439" s="257">
        <v>1081566000</v>
      </c>
      <c r="H439" s="257">
        <v>0</v>
      </c>
      <c r="I439" s="257">
        <v>581574234.67999995</v>
      </c>
      <c r="J439" s="257">
        <v>0</v>
      </c>
      <c r="K439" s="257">
        <v>499991765.31999999</v>
      </c>
      <c r="L439" s="257">
        <v>499991765.31999999</v>
      </c>
      <c r="M439" s="257">
        <v>0</v>
      </c>
      <c r="N439" s="257">
        <v>0</v>
      </c>
    </row>
    <row r="440" spans="1:14" s="143" customFormat="1" x14ac:dyDescent="0.25">
      <c r="A440" s="143" t="s">
        <v>378</v>
      </c>
      <c r="B440" s="143" t="s">
        <v>381</v>
      </c>
      <c r="C440" s="143" t="s">
        <v>99</v>
      </c>
      <c r="D440" s="143" t="s">
        <v>69</v>
      </c>
      <c r="E440" s="257">
        <v>527737000</v>
      </c>
      <c r="F440" s="257">
        <v>527737000</v>
      </c>
      <c r="G440" s="257">
        <v>527737000</v>
      </c>
      <c r="H440" s="257">
        <v>0</v>
      </c>
      <c r="I440" s="257">
        <v>303990714</v>
      </c>
      <c r="J440" s="257">
        <v>0</v>
      </c>
      <c r="K440" s="257">
        <v>223746286</v>
      </c>
      <c r="L440" s="257">
        <v>223746286</v>
      </c>
      <c r="M440" s="257">
        <v>0</v>
      </c>
      <c r="N440" s="257">
        <v>0</v>
      </c>
    </row>
    <row r="441" spans="1:14" s="143" customFormat="1" x14ac:dyDescent="0.25">
      <c r="A441" s="143" t="s">
        <v>378</v>
      </c>
      <c r="B441" s="143" t="s">
        <v>382</v>
      </c>
      <c r="C441" s="143" t="s">
        <v>101</v>
      </c>
      <c r="D441" s="143" t="s">
        <v>69</v>
      </c>
      <c r="E441" s="257">
        <v>155828000</v>
      </c>
      <c r="F441" s="257">
        <v>155828000</v>
      </c>
      <c r="G441" s="257">
        <v>155828000</v>
      </c>
      <c r="H441" s="257">
        <v>0</v>
      </c>
      <c r="I441" s="257">
        <v>78869289</v>
      </c>
      <c r="J441" s="257">
        <v>0</v>
      </c>
      <c r="K441" s="257">
        <v>76958711</v>
      </c>
      <c r="L441" s="257">
        <v>76958711</v>
      </c>
      <c r="M441" s="257">
        <v>0</v>
      </c>
      <c r="N441" s="257">
        <v>0</v>
      </c>
    </row>
    <row r="442" spans="1:14" s="143" customFormat="1" x14ac:dyDescent="0.25">
      <c r="A442" s="143" t="s">
        <v>378</v>
      </c>
      <c r="B442" s="143" t="s">
        <v>383</v>
      </c>
      <c r="C442" s="143" t="s">
        <v>103</v>
      </c>
      <c r="D442" s="143" t="s">
        <v>69</v>
      </c>
      <c r="E442" s="257">
        <v>311656000</v>
      </c>
      <c r="F442" s="257">
        <v>311656000</v>
      </c>
      <c r="G442" s="257">
        <v>311656000</v>
      </c>
      <c r="H442" s="257">
        <v>0</v>
      </c>
      <c r="I442" s="257">
        <v>157738669</v>
      </c>
      <c r="J442" s="257">
        <v>0</v>
      </c>
      <c r="K442" s="257">
        <v>153917331</v>
      </c>
      <c r="L442" s="257">
        <v>153917331</v>
      </c>
      <c r="M442" s="257">
        <v>0</v>
      </c>
      <c r="N442" s="257">
        <v>0</v>
      </c>
    </row>
    <row r="443" spans="1:14" s="143" customFormat="1" x14ac:dyDescent="0.25">
      <c r="A443" s="143" t="s">
        <v>378</v>
      </c>
      <c r="B443" s="143" t="s">
        <v>384</v>
      </c>
      <c r="C443" s="143" t="s">
        <v>385</v>
      </c>
      <c r="D443" s="143" t="s">
        <v>69</v>
      </c>
      <c r="E443" s="257">
        <v>86345000</v>
      </c>
      <c r="F443" s="257">
        <v>86345000</v>
      </c>
      <c r="G443" s="257">
        <v>86345000</v>
      </c>
      <c r="H443" s="257">
        <v>0</v>
      </c>
      <c r="I443" s="257">
        <v>40975562.68</v>
      </c>
      <c r="J443" s="257">
        <v>0</v>
      </c>
      <c r="K443" s="257">
        <v>45369437.32</v>
      </c>
      <c r="L443" s="257">
        <v>45369437.32</v>
      </c>
      <c r="M443" s="257">
        <v>0</v>
      </c>
      <c r="N443" s="257">
        <v>0</v>
      </c>
    </row>
    <row r="444" spans="1:14" s="143" customFormat="1" x14ac:dyDescent="0.25">
      <c r="A444" s="143" t="s">
        <v>378</v>
      </c>
      <c r="B444" s="143" t="s">
        <v>104</v>
      </c>
      <c r="C444" s="143" t="s">
        <v>105</v>
      </c>
      <c r="D444" s="143" t="s">
        <v>69</v>
      </c>
      <c r="E444" s="257">
        <v>31730334</v>
      </c>
      <c r="F444" s="257">
        <v>31730334</v>
      </c>
      <c r="G444" s="257">
        <v>31730334</v>
      </c>
      <c r="H444" s="257">
        <v>0</v>
      </c>
      <c r="I444" s="257">
        <v>31730334</v>
      </c>
      <c r="J444" s="257">
        <v>0</v>
      </c>
      <c r="K444" s="257">
        <v>0</v>
      </c>
      <c r="L444" s="257">
        <v>0</v>
      </c>
      <c r="M444" s="257">
        <v>0</v>
      </c>
      <c r="N444" s="257">
        <v>0</v>
      </c>
    </row>
    <row r="445" spans="1:14" s="143" customFormat="1" x14ac:dyDescent="0.25">
      <c r="A445" s="143" t="s">
        <v>378</v>
      </c>
      <c r="B445" s="143" t="s">
        <v>150</v>
      </c>
      <c r="C445" s="143" t="s">
        <v>151</v>
      </c>
      <c r="D445" s="143" t="s">
        <v>69</v>
      </c>
      <c r="E445" s="257">
        <v>31730334</v>
      </c>
      <c r="F445" s="257">
        <v>31730334</v>
      </c>
      <c r="G445" s="257">
        <v>31730334</v>
      </c>
      <c r="H445" s="257">
        <v>0</v>
      </c>
      <c r="I445" s="257">
        <v>31730334</v>
      </c>
      <c r="J445" s="257">
        <v>0</v>
      </c>
      <c r="K445" s="257">
        <v>0</v>
      </c>
      <c r="L445" s="257">
        <v>0</v>
      </c>
      <c r="M445" s="257">
        <v>0</v>
      </c>
      <c r="N445" s="257">
        <v>0</v>
      </c>
    </row>
    <row r="446" spans="1:14" s="143" customFormat="1" x14ac:dyDescent="0.25">
      <c r="A446" s="143" t="s">
        <v>378</v>
      </c>
      <c r="B446" s="143" t="s">
        <v>152</v>
      </c>
      <c r="C446" s="143" t="s">
        <v>153</v>
      </c>
      <c r="D446" s="143" t="s">
        <v>69</v>
      </c>
      <c r="E446" s="257">
        <v>31730334</v>
      </c>
      <c r="F446" s="257">
        <v>31730334</v>
      </c>
      <c r="G446" s="257">
        <v>31730334</v>
      </c>
      <c r="H446" s="257">
        <v>0</v>
      </c>
      <c r="I446" s="257">
        <v>31730334</v>
      </c>
      <c r="J446" s="257">
        <v>0</v>
      </c>
      <c r="K446" s="257">
        <v>0</v>
      </c>
      <c r="L446" s="257">
        <v>0</v>
      </c>
      <c r="M446" s="257">
        <v>0</v>
      </c>
      <c r="N446" s="257">
        <v>0</v>
      </c>
    </row>
    <row r="447" spans="1:14" s="143" customFormat="1" x14ac:dyDescent="0.25">
      <c r="A447" s="143" t="s">
        <v>378</v>
      </c>
      <c r="B447" s="143" t="s">
        <v>248</v>
      </c>
      <c r="C447" s="143" t="s">
        <v>249</v>
      </c>
      <c r="D447" s="143" t="s">
        <v>69</v>
      </c>
      <c r="E447" s="257">
        <v>492565000</v>
      </c>
      <c r="F447" s="257">
        <v>492565000</v>
      </c>
      <c r="G447" s="257">
        <v>406912703</v>
      </c>
      <c r="H447" s="257">
        <v>0</v>
      </c>
      <c r="I447" s="257">
        <v>117748067.16</v>
      </c>
      <c r="J447" s="257">
        <v>0</v>
      </c>
      <c r="K447" s="257">
        <v>180411913.63</v>
      </c>
      <c r="L447" s="257">
        <v>180411913.63</v>
      </c>
      <c r="M447" s="257">
        <v>194405019.21000001</v>
      </c>
      <c r="N447" s="257">
        <v>108752722.20999999</v>
      </c>
    </row>
    <row r="448" spans="1:14" s="143" customFormat="1" x14ac:dyDescent="0.25">
      <c r="A448" s="143" t="s">
        <v>378</v>
      </c>
      <c r="B448" s="143" t="s">
        <v>250</v>
      </c>
      <c r="C448" s="143" t="s">
        <v>251</v>
      </c>
      <c r="D448" s="143" t="s">
        <v>69</v>
      </c>
      <c r="E448" s="257">
        <v>154788000</v>
      </c>
      <c r="F448" s="257">
        <v>154788000</v>
      </c>
      <c r="G448" s="257">
        <v>154788000</v>
      </c>
      <c r="H448" s="257">
        <v>0</v>
      </c>
      <c r="I448" s="257">
        <v>88134715.609999999</v>
      </c>
      <c r="J448" s="257">
        <v>0</v>
      </c>
      <c r="K448" s="257">
        <v>66653284.390000001</v>
      </c>
      <c r="L448" s="257">
        <v>66653284.390000001</v>
      </c>
      <c r="M448" s="257">
        <v>0</v>
      </c>
      <c r="N448" s="257">
        <v>0</v>
      </c>
    </row>
    <row r="449" spans="1:14" s="143" customFormat="1" x14ac:dyDescent="0.25">
      <c r="A449" s="143" t="s">
        <v>378</v>
      </c>
      <c r="B449" s="143" t="s">
        <v>386</v>
      </c>
      <c r="C449" s="143" t="s">
        <v>257</v>
      </c>
      <c r="D449" s="143" t="s">
        <v>69</v>
      </c>
      <c r="E449" s="257">
        <v>128817000</v>
      </c>
      <c r="F449" s="257">
        <v>128817000</v>
      </c>
      <c r="G449" s="257">
        <v>128817000</v>
      </c>
      <c r="H449" s="257">
        <v>0</v>
      </c>
      <c r="I449" s="257">
        <v>74990230.260000005</v>
      </c>
      <c r="J449" s="257">
        <v>0</v>
      </c>
      <c r="K449" s="257">
        <v>53826769.740000002</v>
      </c>
      <c r="L449" s="257">
        <v>53826769.740000002</v>
      </c>
      <c r="M449" s="257">
        <v>0</v>
      </c>
      <c r="N449" s="257">
        <v>0</v>
      </c>
    </row>
    <row r="450" spans="1:14" s="143" customFormat="1" x14ac:dyDescent="0.25">
      <c r="A450" s="143" t="s">
        <v>378</v>
      </c>
      <c r="B450" s="143" t="s">
        <v>387</v>
      </c>
      <c r="C450" s="143" t="s">
        <v>259</v>
      </c>
      <c r="D450" s="143" t="s">
        <v>69</v>
      </c>
      <c r="E450" s="257">
        <v>25971000</v>
      </c>
      <c r="F450" s="257">
        <v>25971000</v>
      </c>
      <c r="G450" s="257">
        <v>25971000</v>
      </c>
      <c r="H450" s="257">
        <v>0</v>
      </c>
      <c r="I450" s="257">
        <v>13144485.35</v>
      </c>
      <c r="J450" s="257">
        <v>0</v>
      </c>
      <c r="K450" s="257">
        <v>12826514.65</v>
      </c>
      <c r="L450" s="257">
        <v>12826514.65</v>
      </c>
      <c r="M450" s="257">
        <v>0</v>
      </c>
      <c r="N450" s="257">
        <v>0</v>
      </c>
    </row>
    <row r="451" spans="1:14" s="143" customFormat="1" x14ac:dyDescent="0.25">
      <c r="A451" s="143" t="s">
        <v>378</v>
      </c>
      <c r="B451" s="143" t="s">
        <v>260</v>
      </c>
      <c r="C451" s="143" t="s">
        <v>261</v>
      </c>
      <c r="D451" s="143" t="s">
        <v>69</v>
      </c>
      <c r="E451" s="257">
        <v>312777000</v>
      </c>
      <c r="F451" s="257">
        <v>307777000</v>
      </c>
      <c r="G451" s="257">
        <v>222124703</v>
      </c>
      <c r="H451" s="257">
        <v>0</v>
      </c>
      <c r="I451" s="257">
        <v>27671084.690000001</v>
      </c>
      <c r="J451" s="257">
        <v>0</v>
      </c>
      <c r="K451" s="257">
        <v>90900896.099999994</v>
      </c>
      <c r="L451" s="257">
        <v>90900896.099999994</v>
      </c>
      <c r="M451" s="257">
        <v>189205019.21000001</v>
      </c>
      <c r="N451" s="257">
        <v>103552722.20999999</v>
      </c>
    </row>
    <row r="452" spans="1:14" x14ac:dyDescent="0.25">
      <c r="A452" s="143" t="s">
        <v>378</v>
      </c>
      <c r="B452" s="143" t="s">
        <v>262</v>
      </c>
      <c r="C452" s="143" t="s">
        <v>263</v>
      </c>
      <c r="D452" s="143" t="s">
        <v>69</v>
      </c>
      <c r="E452" s="257">
        <v>239389000</v>
      </c>
      <c r="F452" s="257">
        <v>239389000</v>
      </c>
      <c r="G452" s="257">
        <v>165359168</v>
      </c>
      <c r="H452" s="257">
        <v>0</v>
      </c>
      <c r="I452" s="257">
        <v>27570956.690000001</v>
      </c>
      <c r="J452" s="257">
        <v>0</v>
      </c>
      <c r="K452" s="257">
        <v>68958375.310000002</v>
      </c>
      <c r="L452" s="257">
        <v>68958375.310000002</v>
      </c>
      <c r="M452" s="257">
        <v>142859668</v>
      </c>
      <c r="N452" s="257">
        <v>68829836</v>
      </c>
    </row>
    <row r="453" spans="1:14" x14ac:dyDescent="0.25">
      <c r="A453" s="143" t="s">
        <v>378</v>
      </c>
      <c r="B453" s="143" t="s">
        <v>264</v>
      </c>
      <c r="C453" s="143" t="s">
        <v>265</v>
      </c>
      <c r="D453" s="143" t="s">
        <v>69</v>
      </c>
      <c r="E453" s="257">
        <v>73388000</v>
      </c>
      <c r="F453" s="257">
        <v>68388000</v>
      </c>
      <c r="G453" s="257">
        <v>56765535</v>
      </c>
      <c r="H453" s="257">
        <v>0</v>
      </c>
      <c r="I453" s="257">
        <v>100128</v>
      </c>
      <c r="J453" s="257">
        <v>0</v>
      </c>
      <c r="K453" s="257">
        <v>21942520.789999999</v>
      </c>
      <c r="L453" s="257">
        <v>21942520.789999999</v>
      </c>
      <c r="M453" s="257">
        <v>46345351.210000001</v>
      </c>
      <c r="N453" s="257">
        <v>34722886.210000001</v>
      </c>
    </row>
    <row r="454" spans="1:14" x14ac:dyDescent="0.25">
      <c r="A454" s="143" t="s">
        <v>378</v>
      </c>
      <c r="B454" s="143" t="s">
        <v>286</v>
      </c>
      <c r="C454" s="143" t="s">
        <v>287</v>
      </c>
      <c r="D454" s="143" t="s">
        <v>69</v>
      </c>
      <c r="E454" s="257">
        <v>25000000</v>
      </c>
      <c r="F454" s="257">
        <v>30000000</v>
      </c>
      <c r="G454" s="257">
        <v>30000000</v>
      </c>
      <c r="H454" s="257">
        <v>0</v>
      </c>
      <c r="I454" s="257">
        <v>1942266.86</v>
      </c>
      <c r="J454" s="257">
        <v>0</v>
      </c>
      <c r="K454" s="257">
        <v>22857733.140000001</v>
      </c>
      <c r="L454" s="257">
        <v>22857733.140000001</v>
      </c>
      <c r="M454" s="257">
        <v>5200000</v>
      </c>
      <c r="N454" s="257">
        <v>5200000</v>
      </c>
    </row>
    <row r="455" spans="1:14" s="143" customFormat="1" x14ac:dyDescent="0.25">
      <c r="A455" s="143" t="s">
        <v>378</v>
      </c>
      <c r="B455" s="143" t="s">
        <v>288</v>
      </c>
      <c r="C455" s="143" t="s">
        <v>289</v>
      </c>
      <c r="D455" s="143" t="s">
        <v>69</v>
      </c>
      <c r="E455" s="257">
        <v>10000000</v>
      </c>
      <c r="F455" s="257">
        <v>10000000</v>
      </c>
      <c r="G455" s="257">
        <v>10000000</v>
      </c>
      <c r="H455" s="257">
        <v>0</v>
      </c>
      <c r="I455" s="257">
        <v>20561.990000000002</v>
      </c>
      <c r="J455" s="257">
        <v>0</v>
      </c>
      <c r="K455" s="257">
        <v>8779438.0099999998</v>
      </c>
      <c r="L455" s="257">
        <v>8779438.0099999998</v>
      </c>
      <c r="M455" s="257">
        <v>1200000</v>
      </c>
      <c r="N455" s="257">
        <v>1200000</v>
      </c>
    </row>
    <row r="456" spans="1:14" x14ac:dyDescent="0.25">
      <c r="A456" s="143" t="s">
        <v>378</v>
      </c>
      <c r="B456" s="143" t="s">
        <v>370</v>
      </c>
      <c r="C456" s="143" t="s">
        <v>371</v>
      </c>
      <c r="D456" s="143" t="s">
        <v>69</v>
      </c>
      <c r="E456" s="257">
        <v>15000000</v>
      </c>
      <c r="F456" s="257">
        <v>20000000</v>
      </c>
      <c r="G456" s="257">
        <v>20000000</v>
      </c>
      <c r="H456" s="257">
        <v>0</v>
      </c>
      <c r="I456" s="257">
        <v>1921704.87</v>
      </c>
      <c r="J456" s="257">
        <v>0</v>
      </c>
      <c r="K456" s="257">
        <v>14078295.130000001</v>
      </c>
      <c r="L456" s="257">
        <v>14078295.130000001</v>
      </c>
      <c r="M456" s="257">
        <v>4000000</v>
      </c>
      <c r="N456" s="257">
        <v>4000000</v>
      </c>
    </row>
    <row r="457" spans="1:14" x14ac:dyDescent="0.25">
      <c r="A457" s="53"/>
      <c r="B457" s="53"/>
      <c r="C457" s="53"/>
      <c r="D457" s="53"/>
      <c r="E457" s="54">
        <v>675435665000</v>
      </c>
      <c r="F457" s="54">
        <v>705435665000</v>
      </c>
      <c r="G457" s="54">
        <v>632850819903.75</v>
      </c>
      <c r="H457" s="54">
        <v>775199299.89999998</v>
      </c>
      <c r="I457" s="54">
        <v>65522857081.150002</v>
      </c>
      <c r="J457" s="54">
        <v>2067936695.1500001</v>
      </c>
      <c r="K457" s="54">
        <v>284695067697.5</v>
      </c>
      <c r="L457" s="54">
        <v>282481193060.65002</v>
      </c>
      <c r="M457" s="54">
        <v>352374604226.29999</v>
      </c>
      <c r="N457" s="54">
        <v>279789759130.04999</v>
      </c>
    </row>
  </sheetData>
  <sheetProtection selectLockedCells="1" selectUnlockedCells="1"/>
  <conditionalFormatting sqref="K2:K451">
    <cfRule type="cellIs" dxfId="7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8"/>
  <sheetViews>
    <sheetView zoomScaleNormal="100" workbookViewId="0"/>
  </sheetViews>
  <sheetFormatPr baseColWidth="10" defaultColWidth="9.140625" defaultRowHeight="15" x14ac:dyDescent="0.25"/>
  <cols>
    <col min="1" max="1" width="15" style="44" customWidth="1"/>
    <col min="2" max="2" width="20" style="44" customWidth="1"/>
    <col min="3" max="3" width="72.140625" style="44" customWidth="1"/>
    <col min="4" max="4" width="6" style="44" customWidth="1"/>
    <col min="5" max="5" width="17" style="44" hidden="1" customWidth="1"/>
    <col min="6" max="7" width="17" style="44" customWidth="1"/>
    <col min="8" max="8" width="14.85546875" style="44" customWidth="1"/>
    <col min="9" max="9" width="15.85546875" style="44" customWidth="1"/>
    <col min="10" max="10" width="18" style="44" customWidth="1"/>
    <col min="11" max="11" width="17" style="44" hidden="1" customWidth="1"/>
    <col min="12" max="12" width="12" style="44" hidden="1" customWidth="1"/>
    <col min="13" max="13" width="17" style="44" hidden="1" customWidth="1"/>
    <col min="14" max="14" width="9.140625" style="44" hidden="1" customWidth="1"/>
    <col min="15" max="16" width="24" style="44" customWidth="1"/>
    <col min="17" max="18" width="21" style="44" customWidth="1"/>
    <col min="19" max="16384" width="9.140625" style="44"/>
  </cols>
  <sheetData>
    <row r="1" spans="1:18" x14ac:dyDescent="0.25">
      <c r="A1" s="45" t="s">
        <v>52</v>
      </c>
      <c r="B1" s="45" t="s">
        <v>53</v>
      </c>
      <c r="C1" s="45" t="s">
        <v>54</v>
      </c>
      <c r="D1" s="45" t="s">
        <v>55</v>
      </c>
      <c r="E1" s="45" t="s">
        <v>56</v>
      </c>
      <c r="F1" s="46" t="s">
        <v>57</v>
      </c>
      <c r="G1" s="46" t="s">
        <v>58</v>
      </c>
      <c r="H1" s="45" t="s">
        <v>59</v>
      </c>
      <c r="I1" s="45" t="s">
        <v>60</v>
      </c>
      <c r="J1" s="47" t="s">
        <v>61</v>
      </c>
      <c r="K1" s="45" t="s">
        <v>12</v>
      </c>
      <c r="L1" s="45" t="s">
        <v>62</v>
      </c>
      <c r="M1" s="45" t="s">
        <v>63</v>
      </c>
      <c r="N1" s="45" t="s">
        <v>64</v>
      </c>
      <c r="O1" s="47" t="s">
        <v>65</v>
      </c>
      <c r="P1" s="47" t="s">
        <v>66</v>
      </c>
      <c r="Q1" s="48" t="s">
        <v>67</v>
      </c>
    </row>
    <row r="2" spans="1:18" x14ac:dyDescent="0.25">
      <c r="A2" s="49" t="s">
        <v>68</v>
      </c>
      <c r="B2" s="49"/>
      <c r="C2" s="49"/>
      <c r="D2" s="49" t="s">
        <v>69</v>
      </c>
      <c r="E2" s="50">
        <v>135087133000</v>
      </c>
      <c r="F2" s="50">
        <v>141327177532</v>
      </c>
      <c r="G2" s="50">
        <v>137882481884</v>
      </c>
      <c r="H2" s="50">
        <v>308164622.44999999</v>
      </c>
      <c r="I2" s="50">
        <v>9406204955.1000004</v>
      </c>
      <c r="J2" s="50">
        <v>247946754.78</v>
      </c>
      <c r="K2" s="50">
        <v>102052183451.24001</v>
      </c>
      <c r="L2" s="51">
        <f t="shared" ref="L2:L457" si="0">+K2/F2</f>
        <v>0.72209878689562623</v>
      </c>
      <c r="M2" s="50">
        <v>101004052697.14999</v>
      </c>
      <c r="N2" s="51">
        <f t="shared" ref="N2:N457" si="1">+M2/F2</f>
        <v>0.71468244438887318</v>
      </c>
      <c r="O2" s="50">
        <v>29312677748.43</v>
      </c>
      <c r="P2" s="51">
        <f t="shared" ref="P2:P457" si="2">+O2/F2</f>
        <v>0.20741005559099118</v>
      </c>
      <c r="Q2" s="50">
        <v>25867982100.43</v>
      </c>
    </row>
    <row r="3" spans="1:18" x14ac:dyDescent="0.25">
      <c r="A3" s="49" t="s">
        <v>70</v>
      </c>
      <c r="B3" s="49"/>
      <c r="C3" s="49"/>
      <c r="D3" s="49" t="s">
        <v>69</v>
      </c>
      <c r="E3" s="50">
        <v>2519449227</v>
      </c>
      <c r="F3" s="50">
        <v>2519449227</v>
      </c>
      <c r="G3" s="50">
        <v>2385122032</v>
      </c>
      <c r="H3" s="50">
        <v>18819109</v>
      </c>
      <c r="I3" s="50">
        <v>279031111.26999998</v>
      </c>
      <c r="J3" s="50">
        <v>167440.29</v>
      </c>
      <c r="K3" s="50">
        <v>1706013879.1099999</v>
      </c>
      <c r="L3" s="51">
        <f t="shared" si="0"/>
        <v>0.67713763025159779</v>
      </c>
      <c r="M3" s="50">
        <v>1689426945.8299999</v>
      </c>
      <c r="N3" s="51">
        <f t="shared" si="1"/>
        <v>0.67055407496409924</v>
      </c>
      <c r="O3" s="50">
        <v>515417687.32999998</v>
      </c>
      <c r="P3" s="51">
        <f t="shared" si="2"/>
        <v>0.20457554048180865</v>
      </c>
      <c r="Q3" s="50">
        <v>381090492.32999998</v>
      </c>
    </row>
    <row r="4" spans="1:18" x14ac:dyDescent="0.25">
      <c r="A4" s="49" t="s">
        <v>70</v>
      </c>
      <c r="B4" s="49" t="s">
        <v>71</v>
      </c>
      <c r="C4" s="49" t="s">
        <v>72</v>
      </c>
      <c r="D4" s="49" t="s">
        <v>69</v>
      </c>
      <c r="E4" s="50">
        <v>1386097000</v>
      </c>
      <c r="F4" s="50">
        <v>1364477635</v>
      </c>
      <c r="G4" s="50">
        <v>1262321245</v>
      </c>
      <c r="H4" s="50">
        <v>0</v>
      </c>
      <c r="I4" s="50">
        <v>50377340</v>
      </c>
      <c r="J4" s="50">
        <v>0</v>
      </c>
      <c r="K4" s="50">
        <v>879121336.21000004</v>
      </c>
      <c r="L4" s="51">
        <f t="shared" si="0"/>
        <v>0.6442914956315865</v>
      </c>
      <c r="M4" s="50">
        <v>879121336.21000004</v>
      </c>
      <c r="N4" s="51">
        <f t="shared" si="1"/>
        <v>0.6442914956315865</v>
      </c>
      <c r="O4" s="50">
        <v>434978958.79000002</v>
      </c>
      <c r="P4" s="51">
        <f t="shared" si="2"/>
        <v>0.31878789921683109</v>
      </c>
      <c r="Q4" s="50">
        <v>332822568.79000002</v>
      </c>
      <c r="R4" s="52">
        <f t="shared" ref="R4:R457" si="3">G4-F4</f>
        <v>-102156390</v>
      </c>
    </row>
    <row r="5" spans="1:18" x14ac:dyDescent="0.25">
      <c r="A5" s="49" t="s">
        <v>70</v>
      </c>
      <c r="B5" s="49" t="s">
        <v>73</v>
      </c>
      <c r="C5" s="49" t="s">
        <v>74</v>
      </c>
      <c r="D5" s="49" t="s">
        <v>69</v>
      </c>
      <c r="E5" s="50">
        <v>526394000</v>
      </c>
      <c r="F5" s="50">
        <v>513555100</v>
      </c>
      <c r="G5" s="50">
        <v>496494500</v>
      </c>
      <c r="H5" s="50">
        <v>0</v>
      </c>
      <c r="I5" s="50">
        <v>0</v>
      </c>
      <c r="J5" s="50">
        <v>0</v>
      </c>
      <c r="K5" s="50">
        <v>374429464.41000003</v>
      </c>
      <c r="L5" s="51">
        <f t="shared" si="0"/>
        <v>0.72909306987702005</v>
      </c>
      <c r="M5" s="50">
        <v>374429464.41000003</v>
      </c>
      <c r="N5" s="51">
        <f t="shared" si="1"/>
        <v>0.72909306987702005</v>
      </c>
      <c r="O5" s="50">
        <v>139125635.59</v>
      </c>
      <c r="P5" s="51">
        <f t="shared" si="2"/>
        <v>0.27090693012298001</v>
      </c>
      <c r="Q5" s="50">
        <v>122065035.59</v>
      </c>
      <c r="R5" s="52">
        <f t="shared" si="3"/>
        <v>-17060600</v>
      </c>
    </row>
    <row r="6" spans="1:18" x14ac:dyDescent="0.25">
      <c r="A6" s="49" t="s">
        <v>70</v>
      </c>
      <c r="B6" s="49" t="s">
        <v>75</v>
      </c>
      <c r="C6" s="49" t="s">
        <v>76</v>
      </c>
      <c r="D6" s="49" t="s">
        <v>69</v>
      </c>
      <c r="E6" s="50">
        <v>526394000</v>
      </c>
      <c r="F6" s="50">
        <v>513555100</v>
      </c>
      <c r="G6" s="50">
        <v>496494500</v>
      </c>
      <c r="H6" s="50">
        <v>0</v>
      </c>
      <c r="I6" s="50">
        <v>0</v>
      </c>
      <c r="J6" s="50">
        <v>0</v>
      </c>
      <c r="K6" s="50">
        <v>374429464.41000003</v>
      </c>
      <c r="L6" s="51">
        <f t="shared" si="0"/>
        <v>0.72909306987702005</v>
      </c>
      <c r="M6" s="50">
        <v>374429464.41000003</v>
      </c>
      <c r="N6" s="51">
        <f t="shared" si="1"/>
        <v>0.72909306987702005</v>
      </c>
      <c r="O6" s="50">
        <v>139125635.59</v>
      </c>
      <c r="P6" s="51">
        <f t="shared" si="2"/>
        <v>0.27090693012298001</v>
      </c>
      <c r="Q6" s="50">
        <v>122065035.59</v>
      </c>
      <c r="R6" s="52">
        <f t="shared" si="3"/>
        <v>-17060600</v>
      </c>
    </row>
    <row r="7" spans="1:18" x14ac:dyDescent="0.25">
      <c r="A7" s="49" t="s">
        <v>70</v>
      </c>
      <c r="B7" s="49" t="s">
        <v>77</v>
      </c>
      <c r="C7" s="49" t="s">
        <v>78</v>
      </c>
      <c r="D7" s="49" t="s">
        <v>69</v>
      </c>
      <c r="E7" s="50">
        <v>649722000</v>
      </c>
      <c r="F7" s="50">
        <v>640941535</v>
      </c>
      <c r="G7" s="50">
        <v>571741535</v>
      </c>
      <c r="H7" s="50">
        <v>0</v>
      </c>
      <c r="I7" s="50">
        <v>0</v>
      </c>
      <c r="J7" s="50">
        <v>0</v>
      </c>
      <c r="K7" s="50">
        <v>360984001.80000001</v>
      </c>
      <c r="L7" s="51">
        <f t="shared" si="0"/>
        <v>0.56320893886210699</v>
      </c>
      <c r="M7" s="50">
        <v>360984001.80000001</v>
      </c>
      <c r="N7" s="51">
        <f t="shared" si="1"/>
        <v>0.56320893886210699</v>
      </c>
      <c r="O7" s="50">
        <v>279957533.19999999</v>
      </c>
      <c r="P7" s="51">
        <f t="shared" si="2"/>
        <v>0.43679106113789301</v>
      </c>
      <c r="Q7" s="50">
        <v>210757533.19999999</v>
      </c>
      <c r="R7" s="52">
        <f t="shared" si="3"/>
        <v>-69200000</v>
      </c>
    </row>
    <row r="8" spans="1:18" x14ac:dyDescent="0.25">
      <c r="A8" s="49" t="s">
        <v>70</v>
      </c>
      <c r="B8" s="49" t="s">
        <v>79</v>
      </c>
      <c r="C8" s="49" t="s">
        <v>80</v>
      </c>
      <c r="D8" s="49" t="s">
        <v>69</v>
      </c>
      <c r="E8" s="50">
        <v>138872000</v>
      </c>
      <c r="F8" s="50">
        <v>137710900</v>
      </c>
      <c r="G8" s="50">
        <v>112710900</v>
      </c>
      <c r="H8" s="50">
        <v>0</v>
      </c>
      <c r="I8" s="50">
        <v>0</v>
      </c>
      <c r="J8" s="50">
        <v>0</v>
      </c>
      <c r="K8" s="50">
        <v>83310035.719999999</v>
      </c>
      <c r="L8" s="51">
        <f t="shared" si="0"/>
        <v>0.604963265217205</v>
      </c>
      <c r="M8" s="50">
        <v>83310035.719999999</v>
      </c>
      <c r="N8" s="51">
        <f t="shared" si="1"/>
        <v>0.604963265217205</v>
      </c>
      <c r="O8" s="50">
        <v>54400864.280000001</v>
      </c>
      <c r="P8" s="51">
        <f t="shared" si="2"/>
        <v>0.395036734782795</v>
      </c>
      <c r="Q8" s="50">
        <v>29400864.280000001</v>
      </c>
      <c r="R8" s="52">
        <f t="shared" si="3"/>
        <v>-25000000</v>
      </c>
    </row>
    <row r="9" spans="1:18" x14ac:dyDescent="0.25">
      <c r="A9" s="49" t="s">
        <v>70</v>
      </c>
      <c r="B9" s="49" t="s">
        <v>81</v>
      </c>
      <c r="C9" s="49" t="s">
        <v>82</v>
      </c>
      <c r="D9" s="49" t="s">
        <v>69</v>
      </c>
      <c r="E9" s="50">
        <v>289755000</v>
      </c>
      <c r="F9" s="50">
        <v>282135635</v>
      </c>
      <c r="G9" s="50">
        <v>243135635</v>
      </c>
      <c r="H9" s="50">
        <v>0</v>
      </c>
      <c r="I9" s="50">
        <v>0</v>
      </c>
      <c r="J9" s="50">
        <v>0</v>
      </c>
      <c r="K9" s="50">
        <v>172656696.56999999</v>
      </c>
      <c r="L9" s="51">
        <f t="shared" si="0"/>
        <v>0.61196345002643848</v>
      </c>
      <c r="M9" s="50">
        <v>172656696.56999999</v>
      </c>
      <c r="N9" s="51">
        <f t="shared" si="1"/>
        <v>0.61196345002643848</v>
      </c>
      <c r="O9" s="50">
        <v>109478938.43000001</v>
      </c>
      <c r="P9" s="51">
        <f t="shared" si="2"/>
        <v>0.38803654997356152</v>
      </c>
      <c r="Q9" s="50">
        <v>70478938.430000007</v>
      </c>
      <c r="R9" s="52">
        <f t="shared" si="3"/>
        <v>-39000000</v>
      </c>
    </row>
    <row r="10" spans="1:18" x14ac:dyDescent="0.25">
      <c r="A10" s="49" t="s">
        <v>70</v>
      </c>
      <c r="B10" s="49" t="s">
        <v>83</v>
      </c>
      <c r="C10" s="49" t="s">
        <v>84</v>
      </c>
      <c r="D10" s="49" t="s">
        <v>85</v>
      </c>
      <c r="E10" s="50">
        <v>89807000</v>
      </c>
      <c r="F10" s="50">
        <v>89807000</v>
      </c>
      <c r="G10" s="50">
        <v>89807000</v>
      </c>
      <c r="H10" s="50">
        <v>0</v>
      </c>
      <c r="I10" s="50">
        <v>0</v>
      </c>
      <c r="J10" s="50">
        <v>0</v>
      </c>
      <c r="K10" s="50">
        <v>36779.85</v>
      </c>
      <c r="L10" s="51">
        <f t="shared" si="0"/>
        <v>4.0954324273163558E-4</v>
      </c>
      <c r="M10" s="50">
        <v>36779.85</v>
      </c>
      <c r="N10" s="51">
        <f t="shared" si="1"/>
        <v>4.0954324273163558E-4</v>
      </c>
      <c r="O10" s="50">
        <v>89770220.150000006</v>
      </c>
      <c r="P10" s="51">
        <f t="shared" si="2"/>
        <v>0.99959045675726843</v>
      </c>
      <c r="Q10" s="50">
        <v>89770220.150000006</v>
      </c>
      <c r="R10" s="52">
        <f t="shared" si="3"/>
        <v>0</v>
      </c>
    </row>
    <row r="11" spans="1:18" x14ac:dyDescent="0.25">
      <c r="A11" s="49" t="s">
        <v>70</v>
      </c>
      <c r="B11" s="49" t="s">
        <v>86</v>
      </c>
      <c r="C11" s="49" t="s">
        <v>87</v>
      </c>
      <c r="D11" s="49" t="s">
        <v>69</v>
      </c>
      <c r="E11" s="50">
        <v>83881000</v>
      </c>
      <c r="F11" s="50">
        <v>83881000</v>
      </c>
      <c r="G11" s="50">
        <v>83881000</v>
      </c>
      <c r="H11" s="50">
        <v>0</v>
      </c>
      <c r="I11" s="50">
        <v>0</v>
      </c>
      <c r="J11" s="50">
        <v>0</v>
      </c>
      <c r="K11" s="50">
        <v>74715480.260000005</v>
      </c>
      <c r="L11" s="51">
        <f t="shared" si="0"/>
        <v>0.8907318732490076</v>
      </c>
      <c r="M11" s="50">
        <v>74715480.260000005</v>
      </c>
      <c r="N11" s="51">
        <f t="shared" si="1"/>
        <v>0.8907318732490076</v>
      </c>
      <c r="O11" s="50">
        <v>9165519.7400000002</v>
      </c>
      <c r="P11" s="51">
        <f t="shared" si="2"/>
        <v>0.10926812675099248</v>
      </c>
      <c r="Q11" s="50">
        <v>9165519.7400000002</v>
      </c>
      <c r="R11" s="52">
        <f t="shared" si="3"/>
        <v>0</v>
      </c>
    </row>
    <row r="12" spans="1:18" x14ac:dyDescent="0.25">
      <c r="A12" s="49" t="s">
        <v>70</v>
      </c>
      <c r="B12" s="49" t="s">
        <v>88</v>
      </c>
      <c r="C12" s="49" t="s">
        <v>89</v>
      </c>
      <c r="D12" s="49" t="s">
        <v>69</v>
      </c>
      <c r="E12" s="50">
        <v>47407000</v>
      </c>
      <c r="F12" s="50">
        <v>47407000</v>
      </c>
      <c r="G12" s="50">
        <v>42207000</v>
      </c>
      <c r="H12" s="50">
        <v>0</v>
      </c>
      <c r="I12" s="50">
        <v>0</v>
      </c>
      <c r="J12" s="50">
        <v>0</v>
      </c>
      <c r="K12" s="50">
        <v>30265009.399999999</v>
      </c>
      <c r="L12" s="51">
        <f t="shared" si="0"/>
        <v>0.63840802835024357</v>
      </c>
      <c r="M12" s="50">
        <v>30265009.399999999</v>
      </c>
      <c r="N12" s="51">
        <f t="shared" si="1"/>
        <v>0.63840802835024357</v>
      </c>
      <c r="O12" s="50">
        <v>17141990.600000001</v>
      </c>
      <c r="P12" s="51">
        <f t="shared" si="2"/>
        <v>0.36159197164975637</v>
      </c>
      <c r="Q12" s="50">
        <v>11941990.6</v>
      </c>
      <c r="R12" s="52">
        <f t="shared" si="3"/>
        <v>-5200000</v>
      </c>
    </row>
    <row r="13" spans="1:18" x14ac:dyDescent="0.25">
      <c r="A13" s="49" t="s">
        <v>70</v>
      </c>
      <c r="B13" s="49" t="s">
        <v>90</v>
      </c>
      <c r="C13" s="49" t="s">
        <v>91</v>
      </c>
      <c r="D13" s="49" t="s">
        <v>69</v>
      </c>
      <c r="E13" s="50">
        <v>105914000</v>
      </c>
      <c r="F13" s="50">
        <v>105914000</v>
      </c>
      <c r="G13" s="50">
        <v>97400595</v>
      </c>
      <c r="H13" s="50">
        <v>0</v>
      </c>
      <c r="I13" s="50">
        <v>24911962</v>
      </c>
      <c r="J13" s="50">
        <v>0</v>
      </c>
      <c r="K13" s="50">
        <v>72488633</v>
      </c>
      <c r="L13" s="51">
        <f t="shared" si="0"/>
        <v>0.68441030458674024</v>
      </c>
      <c r="M13" s="50">
        <v>72488633</v>
      </c>
      <c r="N13" s="51">
        <f t="shared" si="1"/>
        <v>0.68441030458674024</v>
      </c>
      <c r="O13" s="50">
        <v>8513405</v>
      </c>
      <c r="P13" s="51">
        <f t="shared" si="2"/>
        <v>8.0380355760333852E-2</v>
      </c>
      <c r="Q13" s="50">
        <v>0</v>
      </c>
      <c r="R13" s="52">
        <f t="shared" si="3"/>
        <v>-8513405</v>
      </c>
    </row>
    <row r="14" spans="1:18" x14ac:dyDescent="0.25">
      <c r="A14" s="49" t="s">
        <v>70</v>
      </c>
      <c r="B14" s="49" t="s">
        <v>92</v>
      </c>
      <c r="C14" s="49" t="s">
        <v>93</v>
      </c>
      <c r="D14" s="49" t="s">
        <v>69</v>
      </c>
      <c r="E14" s="50">
        <v>100483000</v>
      </c>
      <c r="F14" s="50">
        <v>100483000</v>
      </c>
      <c r="G14" s="50">
        <v>92354895</v>
      </c>
      <c r="H14" s="50">
        <v>0</v>
      </c>
      <c r="I14" s="50">
        <v>23583100</v>
      </c>
      <c r="J14" s="50">
        <v>0</v>
      </c>
      <c r="K14" s="50">
        <v>68771795</v>
      </c>
      <c r="L14" s="51">
        <f t="shared" si="0"/>
        <v>0.68441223888617975</v>
      </c>
      <c r="M14" s="50">
        <v>68771795</v>
      </c>
      <c r="N14" s="51">
        <f t="shared" si="1"/>
        <v>0.68441223888617975</v>
      </c>
      <c r="O14" s="50">
        <v>8128105</v>
      </c>
      <c r="P14" s="51">
        <f t="shared" si="2"/>
        <v>8.0890349611377046E-2</v>
      </c>
      <c r="Q14" s="50">
        <v>0</v>
      </c>
      <c r="R14" s="52">
        <f t="shared" si="3"/>
        <v>-8128105</v>
      </c>
    </row>
    <row r="15" spans="1:18" x14ac:dyDescent="0.25">
      <c r="A15" s="49" t="s">
        <v>70</v>
      </c>
      <c r="B15" s="49" t="s">
        <v>94</v>
      </c>
      <c r="C15" s="49" t="s">
        <v>95</v>
      </c>
      <c r="D15" s="49" t="s">
        <v>69</v>
      </c>
      <c r="E15" s="50">
        <v>5431000</v>
      </c>
      <c r="F15" s="50">
        <v>5431000</v>
      </c>
      <c r="G15" s="50">
        <v>5045700</v>
      </c>
      <c r="H15" s="50">
        <v>0</v>
      </c>
      <c r="I15" s="50">
        <v>1328862</v>
      </c>
      <c r="J15" s="50">
        <v>0</v>
      </c>
      <c r="K15" s="50">
        <v>3716838</v>
      </c>
      <c r="L15" s="51">
        <f t="shared" si="0"/>
        <v>0.68437451666359783</v>
      </c>
      <c r="M15" s="50">
        <v>3716838</v>
      </c>
      <c r="N15" s="51">
        <f t="shared" si="1"/>
        <v>0.68437451666359783</v>
      </c>
      <c r="O15" s="50">
        <v>385300</v>
      </c>
      <c r="P15" s="51">
        <f t="shared" si="2"/>
        <v>7.0944577425888417E-2</v>
      </c>
      <c r="Q15" s="50">
        <v>0</v>
      </c>
      <c r="R15" s="52">
        <f t="shared" si="3"/>
        <v>-385300</v>
      </c>
    </row>
    <row r="16" spans="1:18" x14ac:dyDescent="0.25">
      <c r="A16" s="49" t="s">
        <v>70</v>
      </c>
      <c r="B16" s="49" t="s">
        <v>96</v>
      </c>
      <c r="C16" s="49" t="s">
        <v>97</v>
      </c>
      <c r="D16" s="49" t="s">
        <v>69</v>
      </c>
      <c r="E16" s="50">
        <v>104067000</v>
      </c>
      <c r="F16" s="50">
        <v>104067000</v>
      </c>
      <c r="G16" s="50">
        <v>96684615</v>
      </c>
      <c r="H16" s="50">
        <v>0</v>
      </c>
      <c r="I16" s="50">
        <v>25465378</v>
      </c>
      <c r="J16" s="50">
        <v>0</v>
      </c>
      <c r="K16" s="50">
        <v>71219237</v>
      </c>
      <c r="L16" s="51">
        <f t="shared" si="0"/>
        <v>0.68435947034122246</v>
      </c>
      <c r="M16" s="50">
        <v>71219237</v>
      </c>
      <c r="N16" s="51">
        <f t="shared" si="1"/>
        <v>0.68435947034122246</v>
      </c>
      <c r="O16" s="50">
        <v>7382385</v>
      </c>
      <c r="P16" s="51">
        <f t="shared" si="2"/>
        <v>7.0938770215342034E-2</v>
      </c>
      <c r="Q16" s="50">
        <v>0</v>
      </c>
      <c r="R16" s="52">
        <f t="shared" si="3"/>
        <v>-7382385</v>
      </c>
    </row>
    <row r="17" spans="1:18" x14ac:dyDescent="0.25">
      <c r="A17" s="49" t="s">
        <v>70</v>
      </c>
      <c r="B17" s="49" t="s">
        <v>98</v>
      </c>
      <c r="C17" s="49" t="s">
        <v>99</v>
      </c>
      <c r="D17" s="49" t="s">
        <v>69</v>
      </c>
      <c r="E17" s="50">
        <v>55184000</v>
      </c>
      <c r="F17" s="50">
        <v>55184000</v>
      </c>
      <c r="G17" s="50">
        <v>51269325</v>
      </c>
      <c r="H17" s="50">
        <v>0</v>
      </c>
      <c r="I17" s="50">
        <v>13501533</v>
      </c>
      <c r="J17" s="50">
        <v>0</v>
      </c>
      <c r="K17" s="50">
        <v>37767792</v>
      </c>
      <c r="L17" s="51">
        <f t="shared" si="0"/>
        <v>0.68439750652363007</v>
      </c>
      <c r="M17" s="50">
        <v>37767792</v>
      </c>
      <c r="N17" s="51">
        <f t="shared" si="1"/>
        <v>0.68439750652363007</v>
      </c>
      <c r="O17" s="50">
        <v>3914675</v>
      </c>
      <c r="P17" s="51">
        <f t="shared" si="2"/>
        <v>7.0938587271672945E-2</v>
      </c>
      <c r="Q17" s="50">
        <v>0</v>
      </c>
      <c r="R17" s="52">
        <f t="shared" si="3"/>
        <v>-3914675</v>
      </c>
    </row>
    <row r="18" spans="1:18" x14ac:dyDescent="0.25">
      <c r="A18" s="49" t="s">
        <v>70</v>
      </c>
      <c r="B18" s="49" t="s">
        <v>100</v>
      </c>
      <c r="C18" s="49" t="s">
        <v>101</v>
      </c>
      <c r="D18" s="49" t="s">
        <v>69</v>
      </c>
      <c r="E18" s="50">
        <v>16294000</v>
      </c>
      <c r="F18" s="50">
        <v>16294000</v>
      </c>
      <c r="G18" s="50">
        <v>15138100</v>
      </c>
      <c r="H18" s="50">
        <v>0</v>
      </c>
      <c r="I18" s="50">
        <v>3987619</v>
      </c>
      <c r="J18" s="50">
        <v>0</v>
      </c>
      <c r="K18" s="50">
        <v>11150481</v>
      </c>
      <c r="L18" s="51">
        <f t="shared" si="0"/>
        <v>0.68433048975082855</v>
      </c>
      <c r="M18" s="50">
        <v>11150481</v>
      </c>
      <c r="N18" s="51">
        <f t="shared" si="1"/>
        <v>0.68433048975082855</v>
      </c>
      <c r="O18" s="50">
        <v>1155900</v>
      </c>
      <c r="P18" s="51">
        <f t="shared" si="2"/>
        <v>7.0940223395114771E-2</v>
      </c>
      <c r="Q18" s="50">
        <v>0</v>
      </c>
      <c r="R18" s="52">
        <f t="shared" si="3"/>
        <v>-1155900</v>
      </c>
    </row>
    <row r="19" spans="1:18" x14ac:dyDescent="0.25">
      <c r="A19" s="49" t="s">
        <v>70</v>
      </c>
      <c r="B19" s="49" t="s">
        <v>102</v>
      </c>
      <c r="C19" s="49" t="s">
        <v>103</v>
      </c>
      <c r="D19" s="49" t="s">
        <v>69</v>
      </c>
      <c r="E19" s="50">
        <v>32589000</v>
      </c>
      <c r="F19" s="50">
        <v>32589000</v>
      </c>
      <c r="G19" s="50">
        <v>30277190</v>
      </c>
      <c r="H19" s="50">
        <v>0</v>
      </c>
      <c r="I19" s="50">
        <v>7976226</v>
      </c>
      <c r="J19" s="50">
        <v>0</v>
      </c>
      <c r="K19" s="50">
        <v>22300964</v>
      </c>
      <c r="L19" s="51">
        <f t="shared" si="0"/>
        <v>0.68430955230292434</v>
      </c>
      <c r="M19" s="50">
        <v>22300964</v>
      </c>
      <c r="N19" s="51">
        <f t="shared" si="1"/>
        <v>0.68430955230292434</v>
      </c>
      <c r="O19" s="50">
        <v>2311810</v>
      </c>
      <c r="P19" s="51">
        <f t="shared" si="2"/>
        <v>7.0938353432139681E-2</v>
      </c>
      <c r="Q19" s="50">
        <v>0</v>
      </c>
      <c r="R19" s="52">
        <f t="shared" si="3"/>
        <v>-2311810</v>
      </c>
    </row>
    <row r="20" spans="1:18" x14ac:dyDescent="0.25">
      <c r="A20" s="49" t="s">
        <v>70</v>
      </c>
      <c r="B20" s="49" t="s">
        <v>104</v>
      </c>
      <c r="C20" s="49" t="s">
        <v>105</v>
      </c>
      <c r="D20" s="49" t="s">
        <v>69</v>
      </c>
      <c r="E20" s="50">
        <v>342741579</v>
      </c>
      <c r="F20" s="50">
        <v>342741579</v>
      </c>
      <c r="G20" s="50">
        <v>313093844</v>
      </c>
      <c r="H20" s="50">
        <v>1075000</v>
      </c>
      <c r="I20" s="50">
        <v>89614503.319999993</v>
      </c>
      <c r="J20" s="50">
        <v>0</v>
      </c>
      <c r="K20" s="50">
        <v>178821814.13999999</v>
      </c>
      <c r="L20" s="51">
        <f t="shared" si="0"/>
        <v>0.5217394827372257</v>
      </c>
      <c r="M20" s="50">
        <v>163038680.86000001</v>
      </c>
      <c r="N20" s="51">
        <f t="shared" si="1"/>
        <v>0.47568982244783325</v>
      </c>
      <c r="O20" s="50">
        <v>73230261.540000007</v>
      </c>
      <c r="P20" s="51">
        <f t="shared" si="2"/>
        <v>0.21366027942585863</v>
      </c>
      <c r="Q20" s="50">
        <v>43582526.539999999</v>
      </c>
      <c r="R20" s="52">
        <f t="shared" si="3"/>
        <v>-29647735</v>
      </c>
    </row>
    <row r="21" spans="1:18" x14ac:dyDescent="0.25">
      <c r="A21" s="49" t="s">
        <v>70</v>
      </c>
      <c r="B21" s="49" t="s">
        <v>106</v>
      </c>
      <c r="C21" s="49" t="s">
        <v>107</v>
      </c>
      <c r="D21" s="49" t="s">
        <v>69</v>
      </c>
      <c r="E21" s="50">
        <v>125845446</v>
      </c>
      <c r="F21" s="50">
        <v>125845446</v>
      </c>
      <c r="G21" s="50">
        <v>125845446</v>
      </c>
      <c r="H21" s="50">
        <v>0</v>
      </c>
      <c r="I21" s="50">
        <v>32256025.18</v>
      </c>
      <c r="J21" s="50">
        <v>0</v>
      </c>
      <c r="K21" s="50">
        <v>66953314.759999998</v>
      </c>
      <c r="L21" s="51">
        <f t="shared" si="0"/>
        <v>0.53202810978158077</v>
      </c>
      <c r="M21" s="50">
        <v>65264613</v>
      </c>
      <c r="N21" s="51">
        <f t="shared" si="1"/>
        <v>0.51860925503812028</v>
      </c>
      <c r="O21" s="50">
        <v>26636106.059999999</v>
      </c>
      <c r="P21" s="51">
        <f t="shared" si="2"/>
        <v>0.21165729000634634</v>
      </c>
      <c r="Q21" s="50">
        <v>26636106.059999999</v>
      </c>
      <c r="R21" s="52">
        <f t="shared" si="3"/>
        <v>0</v>
      </c>
    </row>
    <row r="22" spans="1:18" x14ac:dyDescent="0.25">
      <c r="A22" s="49" t="s">
        <v>70</v>
      </c>
      <c r="B22" s="49" t="s">
        <v>108</v>
      </c>
      <c r="C22" s="49" t="s">
        <v>109</v>
      </c>
      <c r="D22" s="49" t="s">
        <v>69</v>
      </c>
      <c r="E22" s="50">
        <v>125765446</v>
      </c>
      <c r="F22" s="50">
        <v>125765446</v>
      </c>
      <c r="G22" s="50">
        <v>125765446</v>
      </c>
      <c r="H22" s="50">
        <v>0</v>
      </c>
      <c r="I22" s="50">
        <v>32256025.18</v>
      </c>
      <c r="J22" s="50">
        <v>0</v>
      </c>
      <c r="K22" s="50">
        <v>66878564.759999998</v>
      </c>
      <c r="L22" s="51">
        <f t="shared" si="0"/>
        <v>0.53177217500584384</v>
      </c>
      <c r="M22" s="50">
        <v>65189863</v>
      </c>
      <c r="N22" s="51">
        <f t="shared" si="1"/>
        <v>0.51834478446488397</v>
      </c>
      <c r="O22" s="50">
        <v>26630856.059999999</v>
      </c>
      <c r="P22" s="51">
        <f t="shared" si="2"/>
        <v>0.21175018184247524</v>
      </c>
      <c r="Q22" s="50">
        <v>26630856.059999999</v>
      </c>
      <c r="R22" s="52">
        <f t="shared" si="3"/>
        <v>0</v>
      </c>
    </row>
    <row r="23" spans="1:18" x14ac:dyDescent="0.25">
      <c r="A23" s="49" t="s">
        <v>70</v>
      </c>
      <c r="B23" s="49" t="s">
        <v>110</v>
      </c>
      <c r="C23" s="49" t="s">
        <v>111</v>
      </c>
      <c r="D23" s="49" t="s">
        <v>69</v>
      </c>
      <c r="E23" s="50">
        <v>80000</v>
      </c>
      <c r="F23" s="50">
        <v>80000</v>
      </c>
      <c r="G23" s="50">
        <v>80000</v>
      </c>
      <c r="H23" s="50">
        <v>0</v>
      </c>
      <c r="I23" s="50">
        <v>0</v>
      </c>
      <c r="J23" s="50">
        <v>0</v>
      </c>
      <c r="K23" s="50">
        <v>74750</v>
      </c>
      <c r="L23" s="51">
        <f t="shared" si="0"/>
        <v>0.93437499999999996</v>
      </c>
      <c r="M23" s="50">
        <v>74750</v>
      </c>
      <c r="N23" s="51">
        <f t="shared" si="1"/>
        <v>0.93437499999999996</v>
      </c>
      <c r="O23" s="50">
        <v>5250</v>
      </c>
      <c r="P23" s="51">
        <f t="shared" si="2"/>
        <v>6.5625000000000003E-2</v>
      </c>
      <c r="Q23" s="50">
        <v>5250</v>
      </c>
      <c r="R23" s="52">
        <f t="shared" si="3"/>
        <v>0</v>
      </c>
    </row>
    <row r="24" spans="1:18" x14ac:dyDescent="0.25">
      <c r="A24" s="49" t="s">
        <v>70</v>
      </c>
      <c r="B24" s="49" t="s">
        <v>112</v>
      </c>
      <c r="C24" s="49" t="s">
        <v>113</v>
      </c>
      <c r="D24" s="49" t="s">
        <v>69</v>
      </c>
      <c r="E24" s="50">
        <v>131428353</v>
      </c>
      <c r="F24" s="50">
        <v>131428353</v>
      </c>
      <c r="G24" s="50">
        <v>109241753</v>
      </c>
      <c r="H24" s="50">
        <v>0</v>
      </c>
      <c r="I24" s="50">
        <v>34023408.719999999</v>
      </c>
      <c r="J24" s="50">
        <v>0</v>
      </c>
      <c r="K24" s="50">
        <v>75137817.079999998</v>
      </c>
      <c r="L24" s="51">
        <f t="shared" si="0"/>
        <v>0.57170173227385723</v>
      </c>
      <c r="M24" s="50">
        <v>72110252.560000002</v>
      </c>
      <c r="N24" s="51">
        <f t="shared" si="1"/>
        <v>0.54866587698926728</v>
      </c>
      <c r="O24" s="50">
        <v>22267127.199999999</v>
      </c>
      <c r="P24" s="51">
        <f t="shared" si="2"/>
        <v>0.16942407548849067</v>
      </c>
      <c r="Q24" s="50">
        <v>80527.199999999997</v>
      </c>
      <c r="R24" s="52">
        <f t="shared" si="3"/>
        <v>-22186600</v>
      </c>
    </row>
    <row r="25" spans="1:18" x14ac:dyDescent="0.25">
      <c r="A25" s="49" t="s">
        <v>70</v>
      </c>
      <c r="B25" s="49" t="s">
        <v>114</v>
      </c>
      <c r="C25" s="49" t="s">
        <v>115</v>
      </c>
      <c r="D25" s="49" t="s">
        <v>69</v>
      </c>
      <c r="E25" s="50">
        <v>4971429</v>
      </c>
      <c r="F25" s="50">
        <v>8971429</v>
      </c>
      <c r="G25" s="50">
        <v>8971429</v>
      </c>
      <c r="H25" s="50">
        <v>0</v>
      </c>
      <c r="I25" s="50">
        <v>4672718</v>
      </c>
      <c r="J25" s="50">
        <v>0</v>
      </c>
      <c r="K25" s="50">
        <v>4298711</v>
      </c>
      <c r="L25" s="51">
        <f t="shared" si="0"/>
        <v>0.47915566182377411</v>
      </c>
      <c r="M25" s="50">
        <v>4298711</v>
      </c>
      <c r="N25" s="51">
        <f t="shared" si="1"/>
        <v>0.47915566182377411</v>
      </c>
      <c r="O25" s="50">
        <v>0</v>
      </c>
      <c r="P25" s="51">
        <f t="shared" si="2"/>
        <v>0</v>
      </c>
      <c r="Q25" s="50">
        <v>0</v>
      </c>
      <c r="R25" s="52">
        <f t="shared" si="3"/>
        <v>0</v>
      </c>
    </row>
    <row r="26" spans="1:18" x14ac:dyDescent="0.25">
      <c r="A26" s="49" t="s">
        <v>70</v>
      </c>
      <c r="B26" s="49" t="s">
        <v>116</v>
      </c>
      <c r="C26" s="49" t="s">
        <v>117</v>
      </c>
      <c r="D26" s="49" t="s">
        <v>69</v>
      </c>
      <c r="E26" s="50">
        <v>56000000</v>
      </c>
      <c r="F26" s="50">
        <v>56000000</v>
      </c>
      <c r="G26" s="50">
        <v>56000000</v>
      </c>
      <c r="H26" s="50">
        <v>0</v>
      </c>
      <c r="I26" s="50">
        <v>15989315</v>
      </c>
      <c r="J26" s="50">
        <v>0</v>
      </c>
      <c r="K26" s="50">
        <v>40010685</v>
      </c>
      <c r="L26" s="51">
        <f t="shared" si="0"/>
        <v>0.71447651785714283</v>
      </c>
      <c r="M26" s="50">
        <v>40010685</v>
      </c>
      <c r="N26" s="51">
        <f t="shared" si="1"/>
        <v>0.71447651785714283</v>
      </c>
      <c r="O26" s="50">
        <v>0</v>
      </c>
      <c r="P26" s="51">
        <f t="shared" si="2"/>
        <v>0</v>
      </c>
      <c r="Q26" s="50">
        <v>0</v>
      </c>
      <c r="R26" s="52">
        <f t="shared" si="3"/>
        <v>0</v>
      </c>
    </row>
    <row r="27" spans="1:18" x14ac:dyDescent="0.25">
      <c r="A27" s="49" t="s">
        <v>70</v>
      </c>
      <c r="B27" s="49" t="s">
        <v>118</v>
      </c>
      <c r="C27" s="49" t="s">
        <v>119</v>
      </c>
      <c r="D27" s="49" t="s">
        <v>69</v>
      </c>
      <c r="E27" s="50">
        <v>20000</v>
      </c>
      <c r="F27" s="50">
        <v>20000</v>
      </c>
      <c r="G27" s="50">
        <v>20000</v>
      </c>
      <c r="H27" s="50">
        <v>0</v>
      </c>
      <c r="I27" s="50">
        <v>0</v>
      </c>
      <c r="J27" s="50">
        <v>0</v>
      </c>
      <c r="K27" s="50">
        <v>16400</v>
      </c>
      <c r="L27" s="51">
        <f t="shared" si="0"/>
        <v>0.82</v>
      </c>
      <c r="M27" s="50">
        <v>16400</v>
      </c>
      <c r="N27" s="51">
        <f t="shared" si="1"/>
        <v>0.82</v>
      </c>
      <c r="O27" s="50">
        <v>3600</v>
      </c>
      <c r="P27" s="51">
        <f t="shared" si="2"/>
        <v>0.18</v>
      </c>
      <c r="Q27" s="50">
        <v>3600</v>
      </c>
      <c r="R27" s="52">
        <f t="shared" si="3"/>
        <v>0</v>
      </c>
    </row>
    <row r="28" spans="1:18" x14ac:dyDescent="0.25">
      <c r="A28" s="49" t="s">
        <v>70</v>
      </c>
      <c r="B28" s="49" t="s">
        <v>120</v>
      </c>
      <c r="C28" s="49" t="s">
        <v>121</v>
      </c>
      <c r="D28" s="49" t="s">
        <v>69</v>
      </c>
      <c r="E28" s="50">
        <v>70076924</v>
      </c>
      <c r="F28" s="50">
        <v>66076924</v>
      </c>
      <c r="G28" s="50">
        <v>44076924</v>
      </c>
      <c r="H28" s="50">
        <v>0</v>
      </c>
      <c r="I28" s="50">
        <v>13243575.720000001</v>
      </c>
      <c r="J28" s="50">
        <v>0</v>
      </c>
      <c r="K28" s="50">
        <v>30756421.079999998</v>
      </c>
      <c r="L28" s="51">
        <f t="shared" si="0"/>
        <v>0.46546387480143597</v>
      </c>
      <c r="M28" s="50">
        <v>27756656.559999999</v>
      </c>
      <c r="N28" s="51">
        <f t="shared" si="1"/>
        <v>0.42006580935880122</v>
      </c>
      <c r="O28" s="50">
        <v>22076927.199999999</v>
      </c>
      <c r="P28" s="51">
        <f t="shared" si="2"/>
        <v>0.33410948729998385</v>
      </c>
      <c r="Q28" s="50">
        <v>76927.199999999997</v>
      </c>
      <c r="R28" s="52">
        <f t="shared" si="3"/>
        <v>-22000000</v>
      </c>
    </row>
    <row r="29" spans="1:18" x14ac:dyDescent="0.25">
      <c r="A29" s="49" t="s">
        <v>70</v>
      </c>
      <c r="B29" s="49" t="s">
        <v>122</v>
      </c>
      <c r="C29" s="49" t="s">
        <v>123</v>
      </c>
      <c r="D29" s="49" t="s">
        <v>69</v>
      </c>
      <c r="E29" s="50">
        <v>360000</v>
      </c>
      <c r="F29" s="50">
        <v>360000</v>
      </c>
      <c r="G29" s="50">
        <v>173400</v>
      </c>
      <c r="H29" s="50">
        <v>0</v>
      </c>
      <c r="I29" s="50">
        <v>117800</v>
      </c>
      <c r="J29" s="50">
        <v>0</v>
      </c>
      <c r="K29" s="50">
        <v>55600</v>
      </c>
      <c r="L29" s="51">
        <f t="shared" si="0"/>
        <v>0.15444444444444444</v>
      </c>
      <c r="M29" s="50">
        <v>27800</v>
      </c>
      <c r="N29" s="51">
        <f t="shared" si="1"/>
        <v>7.722222222222222E-2</v>
      </c>
      <c r="O29" s="50">
        <v>186600</v>
      </c>
      <c r="P29" s="51">
        <f t="shared" si="2"/>
        <v>0.51833333333333331</v>
      </c>
      <c r="Q29" s="50">
        <v>0</v>
      </c>
      <c r="R29" s="52">
        <f t="shared" si="3"/>
        <v>-186600</v>
      </c>
    </row>
    <row r="30" spans="1:18" x14ac:dyDescent="0.25">
      <c r="A30" s="49" t="s">
        <v>70</v>
      </c>
      <c r="B30" s="49" t="s">
        <v>124</v>
      </c>
      <c r="C30" s="49" t="s">
        <v>125</v>
      </c>
      <c r="D30" s="49" t="s">
        <v>69</v>
      </c>
      <c r="E30" s="50">
        <v>8700000</v>
      </c>
      <c r="F30" s="50">
        <v>9250000</v>
      </c>
      <c r="G30" s="50">
        <v>9200000</v>
      </c>
      <c r="H30" s="50">
        <v>1075000</v>
      </c>
      <c r="I30" s="50">
        <v>130719.26</v>
      </c>
      <c r="J30" s="50">
        <v>0</v>
      </c>
      <c r="K30" s="50">
        <v>7051610</v>
      </c>
      <c r="L30" s="51">
        <f t="shared" si="0"/>
        <v>0.76233621621621617</v>
      </c>
      <c r="M30" s="50">
        <v>6169960</v>
      </c>
      <c r="N30" s="51">
        <f t="shared" si="1"/>
        <v>0.6670227027027027</v>
      </c>
      <c r="O30" s="50">
        <v>992670.74</v>
      </c>
      <c r="P30" s="51">
        <f t="shared" si="2"/>
        <v>0.10731575567567568</v>
      </c>
      <c r="Q30" s="50">
        <v>942670.74</v>
      </c>
      <c r="R30" s="52">
        <f t="shared" si="3"/>
        <v>-50000</v>
      </c>
    </row>
    <row r="31" spans="1:18" x14ac:dyDescent="0.25">
      <c r="A31" s="49" t="s">
        <v>70</v>
      </c>
      <c r="B31" s="49" t="s">
        <v>126</v>
      </c>
      <c r="C31" s="49" t="s">
        <v>127</v>
      </c>
      <c r="D31" s="49" t="s">
        <v>69</v>
      </c>
      <c r="E31" s="50">
        <v>7000000</v>
      </c>
      <c r="F31" s="50">
        <v>7000000</v>
      </c>
      <c r="G31" s="50">
        <v>7000000</v>
      </c>
      <c r="H31" s="50">
        <v>0</v>
      </c>
      <c r="I31" s="50">
        <v>130719.26</v>
      </c>
      <c r="J31" s="50">
        <v>0</v>
      </c>
      <c r="K31" s="50">
        <v>6676610</v>
      </c>
      <c r="L31" s="51">
        <f t="shared" si="0"/>
        <v>0.95380142857142858</v>
      </c>
      <c r="M31" s="50">
        <v>5794960</v>
      </c>
      <c r="N31" s="51">
        <f t="shared" si="1"/>
        <v>0.82785142857142857</v>
      </c>
      <c r="O31" s="50">
        <v>192670.74</v>
      </c>
      <c r="P31" s="51">
        <f t="shared" si="2"/>
        <v>2.7524391428571427E-2</v>
      </c>
      <c r="Q31" s="50">
        <v>192670.74</v>
      </c>
      <c r="R31" s="52">
        <f t="shared" si="3"/>
        <v>0</v>
      </c>
    </row>
    <row r="32" spans="1:18" x14ac:dyDescent="0.25">
      <c r="A32" s="49" t="s">
        <v>70</v>
      </c>
      <c r="B32" s="49" t="s">
        <v>128</v>
      </c>
      <c r="C32" s="49" t="s">
        <v>129</v>
      </c>
      <c r="D32" s="49" t="s">
        <v>69</v>
      </c>
      <c r="E32" s="50">
        <v>1650000</v>
      </c>
      <c r="F32" s="50">
        <v>1650000</v>
      </c>
      <c r="G32" s="50">
        <v>1650000</v>
      </c>
      <c r="H32" s="50">
        <v>1075000</v>
      </c>
      <c r="I32" s="50">
        <v>0</v>
      </c>
      <c r="J32" s="50">
        <v>0</v>
      </c>
      <c r="K32" s="50">
        <v>375000</v>
      </c>
      <c r="L32" s="51">
        <f t="shared" si="0"/>
        <v>0.22727272727272727</v>
      </c>
      <c r="M32" s="50">
        <v>375000</v>
      </c>
      <c r="N32" s="51">
        <f t="shared" si="1"/>
        <v>0.22727272727272727</v>
      </c>
      <c r="O32" s="50">
        <v>200000</v>
      </c>
      <c r="P32" s="51">
        <f t="shared" si="2"/>
        <v>0.12121212121212122</v>
      </c>
      <c r="Q32" s="50">
        <v>200000</v>
      </c>
      <c r="R32" s="52">
        <f t="shared" si="3"/>
        <v>0</v>
      </c>
    </row>
    <row r="33" spans="1:18" x14ac:dyDescent="0.25">
      <c r="A33" s="49" t="s">
        <v>70</v>
      </c>
      <c r="B33" s="49" t="s">
        <v>130</v>
      </c>
      <c r="C33" s="49" t="s">
        <v>131</v>
      </c>
      <c r="D33" s="49" t="s">
        <v>69</v>
      </c>
      <c r="E33" s="50">
        <v>50000</v>
      </c>
      <c r="F33" s="50">
        <v>50000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1">
        <f t="shared" si="0"/>
        <v>0</v>
      </c>
      <c r="M33" s="50">
        <v>0</v>
      </c>
      <c r="N33" s="51">
        <f t="shared" si="1"/>
        <v>0</v>
      </c>
      <c r="O33" s="50">
        <v>50000</v>
      </c>
      <c r="P33" s="51">
        <f t="shared" si="2"/>
        <v>1</v>
      </c>
      <c r="Q33" s="50">
        <v>0</v>
      </c>
      <c r="R33" s="52">
        <f t="shared" si="3"/>
        <v>-50000</v>
      </c>
    </row>
    <row r="34" spans="1:18" x14ac:dyDescent="0.25">
      <c r="A34" s="49" t="s">
        <v>70</v>
      </c>
      <c r="B34" s="49" t="s">
        <v>132</v>
      </c>
      <c r="C34" s="49" t="s">
        <v>133</v>
      </c>
      <c r="D34" s="49" t="s">
        <v>69</v>
      </c>
      <c r="E34" s="50">
        <v>0</v>
      </c>
      <c r="F34" s="50">
        <v>550000</v>
      </c>
      <c r="G34" s="50">
        <v>550000</v>
      </c>
      <c r="H34" s="50">
        <v>0</v>
      </c>
      <c r="I34" s="50">
        <v>0</v>
      </c>
      <c r="J34" s="50">
        <v>0</v>
      </c>
      <c r="K34" s="50">
        <v>0</v>
      </c>
      <c r="L34" s="51">
        <f t="shared" si="0"/>
        <v>0</v>
      </c>
      <c r="M34" s="50">
        <v>0</v>
      </c>
      <c r="N34" s="51">
        <f t="shared" si="1"/>
        <v>0</v>
      </c>
      <c r="O34" s="50">
        <v>550000</v>
      </c>
      <c r="P34" s="51">
        <f t="shared" si="2"/>
        <v>1</v>
      </c>
      <c r="Q34" s="50">
        <v>550000</v>
      </c>
      <c r="R34" s="52">
        <f t="shared" si="3"/>
        <v>0</v>
      </c>
    </row>
    <row r="35" spans="1:18" x14ac:dyDescent="0.25">
      <c r="A35" s="49" t="s">
        <v>70</v>
      </c>
      <c r="B35" s="49" t="s">
        <v>134</v>
      </c>
      <c r="C35" s="49" t="s">
        <v>135</v>
      </c>
      <c r="D35" s="49" t="s">
        <v>69</v>
      </c>
      <c r="E35" s="50">
        <v>5851429</v>
      </c>
      <c r="F35" s="50">
        <v>5851429</v>
      </c>
      <c r="G35" s="50">
        <v>1771429</v>
      </c>
      <c r="H35" s="50">
        <v>0</v>
      </c>
      <c r="I35" s="50">
        <v>330173</v>
      </c>
      <c r="J35" s="50">
        <v>0</v>
      </c>
      <c r="K35" s="50">
        <v>971912</v>
      </c>
      <c r="L35" s="51">
        <f t="shared" si="0"/>
        <v>0.16609823002210231</v>
      </c>
      <c r="M35" s="50">
        <v>971912</v>
      </c>
      <c r="N35" s="51">
        <f t="shared" si="1"/>
        <v>0.16609823002210231</v>
      </c>
      <c r="O35" s="50">
        <v>4549344</v>
      </c>
      <c r="P35" s="51">
        <f t="shared" si="2"/>
        <v>0.77747572430597722</v>
      </c>
      <c r="Q35" s="50">
        <v>469344</v>
      </c>
      <c r="R35" s="52">
        <f t="shared" si="3"/>
        <v>-4080000</v>
      </c>
    </row>
    <row r="36" spans="1:18" x14ac:dyDescent="0.25">
      <c r="A36" s="49" t="s">
        <v>70</v>
      </c>
      <c r="B36" s="49" t="s">
        <v>136</v>
      </c>
      <c r="C36" s="49" t="s">
        <v>137</v>
      </c>
      <c r="D36" s="49" t="s">
        <v>69</v>
      </c>
      <c r="E36" s="50">
        <v>3080000</v>
      </c>
      <c r="F36" s="50">
        <v>3080000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1">
        <f t="shared" si="0"/>
        <v>0</v>
      </c>
      <c r="M36" s="50">
        <v>0</v>
      </c>
      <c r="N36" s="51">
        <f t="shared" si="1"/>
        <v>0</v>
      </c>
      <c r="O36" s="50">
        <v>3080000</v>
      </c>
      <c r="P36" s="51">
        <f t="shared" si="2"/>
        <v>1</v>
      </c>
      <c r="Q36" s="50">
        <v>0</v>
      </c>
      <c r="R36" s="52">
        <f t="shared" si="3"/>
        <v>-3080000</v>
      </c>
    </row>
    <row r="37" spans="1:18" x14ac:dyDescent="0.25">
      <c r="A37" s="49" t="s">
        <v>70</v>
      </c>
      <c r="B37" s="49" t="s">
        <v>138</v>
      </c>
      <c r="C37" s="49" t="s">
        <v>139</v>
      </c>
      <c r="D37" s="49" t="s">
        <v>69</v>
      </c>
      <c r="E37" s="50">
        <v>2771429</v>
      </c>
      <c r="F37" s="50">
        <v>2771429</v>
      </c>
      <c r="G37" s="50">
        <v>1771429</v>
      </c>
      <c r="H37" s="50">
        <v>0</v>
      </c>
      <c r="I37" s="50">
        <v>330173</v>
      </c>
      <c r="J37" s="50">
        <v>0</v>
      </c>
      <c r="K37" s="50">
        <v>971912</v>
      </c>
      <c r="L37" s="51">
        <f t="shared" si="0"/>
        <v>0.35068984267682846</v>
      </c>
      <c r="M37" s="50">
        <v>971912</v>
      </c>
      <c r="N37" s="51">
        <f t="shared" si="1"/>
        <v>0.35068984267682846</v>
      </c>
      <c r="O37" s="50">
        <v>1469344</v>
      </c>
      <c r="P37" s="51">
        <f t="shared" si="2"/>
        <v>0.53017558811717713</v>
      </c>
      <c r="Q37" s="50">
        <v>469344</v>
      </c>
      <c r="R37" s="52">
        <f t="shared" si="3"/>
        <v>-1000000</v>
      </c>
    </row>
    <row r="38" spans="1:18" x14ac:dyDescent="0.25">
      <c r="A38" s="49" t="s">
        <v>70</v>
      </c>
      <c r="B38" s="49" t="s">
        <v>140</v>
      </c>
      <c r="C38" s="49" t="s">
        <v>141</v>
      </c>
      <c r="D38" s="49" t="s">
        <v>69</v>
      </c>
      <c r="E38" s="50">
        <v>17774865</v>
      </c>
      <c r="F38" s="50">
        <v>17774865</v>
      </c>
      <c r="G38" s="50">
        <v>17774865</v>
      </c>
      <c r="H38" s="50">
        <v>0</v>
      </c>
      <c r="I38" s="50">
        <v>5023535.16</v>
      </c>
      <c r="J38" s="50">
        <v>0</v>
      </c>
      <c r="K38" s="50">
        <v>10230699.130000001</v>
      </c>
      <c r="L38" s="51">
        <f t="shared" si="0"/>
        <v>0.57557112979479741</v>
      </c>
      <c r="M38" s="50">
        <v>9535390.1300000008</v>
      </c>
      <c r="N38" s="51">
        <f t="shared" si="1"/>
        <v>0.53645358938028509</v>
      </c>
      <c r="O38" s="50">
        <v>2520630.71</v>
      </c>
      <c r="P38" s="51">
        <f t="shared" si="2"/>
        <v>0.14180871190864178</v>
      </c>
      <c r="Q38" s="50">
        <v>2520630.71</v>
      </c>
      <c r="R38" s="52">
        <f t="shared" si="3"/>
        <v>0</v>
      </c>
    </row>
    <row r="39" spans="1:18" x14ac:dyDescent="0.25">
      <c r="A39" s="49" t="s">
        <v>70</v>
      </c>
      <c r="B39" s="49" t="s">
        <v>142</v>
      </c>
      <c r="C39" s="49" t="s">
        <v>143</v>
      </c>
      <c r="D39" s="49" t="s">
        <v>69</v>
      </c>
      <c r="E39" s="50">
        <v>100000</v>
      </c>
      <c r="F39" s="50">
        <v>100000</v>
      </c>
      <c r="G39" s="50">
        <v>100000</v>
      </c>
      <c r="H39" s="50">
        <v>0</v>
      </c>
      <c r="I39" s="50">
        <v>0</v>
      </c>
      <c r="J39" s="50">
        <v>0</v>
      </c>
      <c r="K39" s="50">
        <v>0</v>
      </c>
      <c r="L39" s="51">
        <f t="shared" si="0"/>
        <v>0</v>
      </c>
      <c r="M39" s="50">
        <v>0</v>
      </c>
      <c r="N39" s="51">
        <f t="shared" si="1"/>
        <v>0</v>
      </c>
      <c r="O39" s="50">
        <v>100000</v>
      </c>
      <c r="P39" s="51">
        <f t="shared" si="2"/>
        <v>1</v>
      </c>
      <c r="Q39" s="50">
        <v>100000</v>
      </c>
      <c r="R39" s="52">
        <f t="shared" si="3"/>
        <v>0</v>
      </c>
    </row>
    <row r="40" spans="1:18" x14ac:dyDescent="0.25">
      <c r="A40" s="49" t="s">
        <v>70</v>
      </c>
      <c r="B40" s="49" t="s">
        <v>144</v>
      </c>
      <c r="C40" s="49" t="s">
        <v>145</v>
      </c>
      <c r="D40" s="49" t="s">
        <v>69</v>
      </c>
      <c r="E40" s="50">
        <v>6685715</v>
      </c>
      <c r="F40" s="50">
        <v>6685715</v>
      </c>
      <c r="G40" s="50">
        <v>6685715</v>
      </c>
      <c r="H40" s="50">
        <v>0</v>
      </c>
      <c r="I40" s="50">
        <v>795215</v>
      </c>
      <c r="J40" s="50">
        <v>0</v>
      </c>
      <c r="K40" s="50">
        <v>5890500</v>
      </c>
      <c r="L40" s="51">
        <f t="shared" si="0"/>
        <v>0.88105759817760698</v>
      </c>
      <c r="M40" s="50">
        <v>5864500</v>
      </c>
      <c r="N40" s="51">
        <f t="shared" si="1"/>
        <v>0.87716870970419769</v>
      </c>
      <c r="O40" s="50">
        <v>0</v>
      </c>
      <c r="P40" s="51">
        <f t="shared" si="2"/>
        <v>0</v>
      </c>
      <c r="Q40" s="50">
        <v>0</v>
      </c>
      <c r="R40" s="52">
        <f t="shared" si="3"/>
        <v>0</v>
      </c>
    </row>
    <row r="41" spans="1:18" x14ac:dyDescent="0.25">
      <c r="A41" s="49" t="s">
        <v>70</v>
      </c>
      <c r="B41" s="49" t="s">
        <v>146</v>
      </c>
      <c r="C41" s="49" t="s">
        <v>147</v>
      </c>
      <c r="D41" s="49" t="s">
        <v>69</v>
      </c>
      <c r="E41" s="50">
        <v>5170968</v>
      </c>
      <c r="F41" s="50">
        <v>5170968</v>
      </c>
      <c r="G41" s="50">
        <v>5170968</v>
      </c>
      <c r="H41" s="50">
        <v>0</v>
      </c>
      <c r="I41" s="50">
        <v>60320.160000000003</v>
      </c>
      <c r="J41" s="50">
        <v>0</v>
      </c>
      <c r="K41" s="50">
        <v>2690945.72</v>
      </c>
      <c r="L41" s="51">
        <f t="shared" si="0"/>
        <v>0.52039496666774965</v>
      </c>
      <c r="M41" s="50">
        <v>2021636.72</v>
      </c>
      <c r="N41" s="51">
        <f t="shared" si="1"/>
        <v>0.39095904673941129</v>
      </c>
      <c r="O41" s="50">
        <v>2419702.12</v>
      </c>
      <c r="P41" s="51">
        <f t="shared" si="2"/>
        <v>0.46793987508721774</v>
      </c>
      <c r="Q41" s="50">
        <v>2419702.12</v>
      </c>
      <c r="R41" s="52">
        <f t="shared" si="3"/>
        <v>0</v>
      </c>
    </row>
    <row r="42" spans="1:18" x14ac:dyDescent="0.25">
      <c r="A42" s="49" t="s">
        <v>70</v>
      </c>
      <c r="B42" s="49" t="s">
        <v>148</v>
      </c>
      <c r="C42" s="49" t="s">
        <v>149</v>
      </c>
      <c r="D42" s="49" t="s">
        <v>69</v>
      </c>
      <c r="E42" s="50">
        <v>5818182</v>
      </c>
      <c r="F42" s="50">
        <v>5818182</v>
      </c>
      <c r="G42" s="50">
        <v>5818182</v>
      </c>
      <c r="H42" s="50">
        <v>0</v>
      </c>
      <c r="I42" s="50">
        <v>4168000</v>
      </c>
      <c r="J42" s="50">
        <v>0</v>
      </c>
      <c r="K42" s="50">
        <v>1649253.41</v>
      </c>
      <c r="L42" s="51">
        <f t="shared" si="0"/>
        <v>0.28346542098545557</v>
      </c>
      <c r="M42" s="50">
        <v>1649253.41</v>
      </c>
      <c r="N42" s="51">
        <f t="shared" si="1"/>
        <v>0.28346542098545557</v>
      </c>
      <c r="O42" s="50">
        <v>928.59</v>
      </c>
      <c r="P42" s="51">
        <f t="shared" si="2"/>
        <v>1.5960140126245622E-4</v>
      </c>
      <c r="Q42" s="50">
        <v>928.59</v>
      </c>
      <c r="R42" s="52">
        <f t="shared" si="3"/>
        <v>0</v>
      </c>
    </row>
    <row r="43" spans="1:18" x14ac:dyDescent="0.25">
      <c r="A43" s="49" t="s">
        <v>70</v>
      </c>
      <c r="B43" s="49" t="s">
        <v>150</v>
      </c>
      <c r="C43" s="49" t="s">
        <v>151</v>
      </c>
      <c r="D43" s="49" t="s">
        <v>69</v>
      </c>
      <c r="E43" s="50">
        <v>32290000</v>
      </c>
      <c r="F43" s="50">
        <v>32290000</v>
      </c>
      <c r="G43" s="50">
        <v>32290000</v>
      </c>
      <c r="H43" s="50">
        <v>0</v>
      </c>
      <c r="I43" s="50">
        <v>8490937</v>
      </c>
      <c r="J43" s="50">
        <v>0</v>
      </c>
      <c r="K43" s="50">
        <v>13639088</v>
      </c>
      <c r="L43" s="51">
        <f t="shared" si="0"/>
        <v>0.42239355837720655</v>
      </c>
      <c r="M43" s="50">
        <v>6107846</v>
      </c>
      <c r="N43" s="51">
        <f t="shared" si="1"/>
        <v>0.18915596159801795</v>
      </c>
      <c r="O43" s="50">
        <v>10159975</v>
      </c>
      <c r="P43" s="51">
        <f t="shared" si="2"/>
        <v>0.31464772375348404</v>
      </c>
      <c r="Q43" s="50">
        <v>10159975</v>
      </c>
      <c r="R43" s="52">
        <f t="shared" si="3"/>
        <v>0</v>
      </c>
    </row>
    <row r="44" spans="1:18" x14ac:dyDescent="0.25">
      <c r="A44" s="49" t="s">
        <v>70</v>
      </c>
      <c r="B44" s="49" t="s">
        <v>152</v>
      </c>
      <c r="C44" s="49" t="s">
        <v>153</v>
      </c>
      <c r="D44" s="49" t="s">
        <v>69</v>
      </c>
      <c r="E44" s="50">
        <v>32290000</v>
      </c>
      <c r="F44" s="50">
        <v>32290000</v>
      </c>
      <c r="G44" s="50">
        <v>32290000</v>
      </c>
      <c r="H44" s="50">
        <v>0</v>
      </c>
      <c r="I44" s="50">
        <v>8490937</v>
      </c>
      <c r="J44" s="50">
        <v>0</v>
      </c>
      <c r="K44" s="50">
        <v>13639088</v>
      </c>
      <c r="L44" s="51">
        <f t="shared" si="0"/>
        <v>0.42239355837720655</v>
      </c>
      <c r="M44" s="50">
        <v>6107846</v>
      </c>
      <c r="N44" s="51">
        <f t="shared" si="1"/>
        <v>0.18915596159801795</v>
      </c>
      <c r="O44" s="50">
        <v>10159975</v>
      </c>
      <c r="P44" s="51">
        <f t="shared" si="2"/>
        <v>0.31464772375348404</v>
      </c>
      <c r="Q44" s="50">
        <v>10159975</v>
      </c>
      <c r="R44" s="52">
        <f t="shared" si="3"/>
        <v>0</v>
      </c>
    </row>
    <row r="45" spans="1:18" x14ac:dyDescent="0.25">
      <c r="A45" s="53" t="s">
        <v>70</v>
      </c>
      <c r="B45" s="53" t="s">
        <v>154</v>
      </c>
      <c r="C45" s="53" t="s">
        <v>155</v>
      </c>
      <c r="D45" s="53" t="s">
        <v>69</v>
      </c>
      <c r="E45" s="54">
        <v>2150000</v>
      </c>
      <c r="F45" s="54">
        <v>1031135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5">
        <f t="shared" si="0"/>
        <v>0</v>
      </c>
      <c r="M45" s="54">
        <v>0</v>
      </c>
      <c r="N45" s="55">
        <f t="shared" si="1"/>
        <v>0</v>
      </c>
      <c r="O45" s="54">
        <v>1031135</v>
      </c>
      <c r="P45" s="55">
        <f t="shared" si="2"/>
        <v>1</v>
      </c>
      <c r="Q45" s="54">
        <v>0</v>
      </c>
      <c r="R45" s="52">
        <f t="shared" si="3"/>
        <v>-1031135</v>
      </c>
    </row>
    <row r="46" spans="1:18" x14ac:dyDescent="0.25">
      <c r="A46" s="49" t="s">
        <v>70</v>
      </c>
      <c r="B46" s="49" t="s">
        <v>156</v>
      </c>
      <c r="C46" s="49" t="s">
        <v>157</v>
      </c>
      <c r="D46" s="49" t="s">
        <v>69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1" t="e">
        <f t="shared" si="0"/>
        <v>#DIV/0!</v>
      </c>
      <c r="M46" s="50">
        <v>0</v>
      </c>
      <c r="N46" s="51" t="e">
        <f t="shared" si="1"/>
        <v>#DIV/0!</v>
      </c>
      <c r="O46" s="50">
        <v>0</v>
      </c>
      <c r="P46" s="51" t="e">
        <f t="shared" si="2"/>
        <v>#DIV/0!</v>
      </c>
      <c r="Q46" s="50">
        <v>0</v>
      </c>
      <c r="R46" s="52">
        <f t="shared" si="3"/>
        <v>0</v>
      </c>
    </row>
    <row r="47" spans="1:18" x14ac:dyDescent="0.25">
      <c r="A47" s="49" t="s">
        <v>70</v>
      </c>
      <c r="B47" s="49" t="s">
        <v>158</v>
      </c>
      <c r="C47" s="49" t="s">
        <v>159</v>
      </c>
      <c r="D47" s="49" t="s">
        <v>69</v>
      </c>
      <c r="E47" s="50">
        <v>1550000</v>
      </c>
      <c r="F47" s="50">
        <v>431135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1">
        <f t="shared" si="0"/>
        <v>0</v>
      </c>
      <c r="M47" s="50">
        <v>0</v>
      </c>
      <c r="N47" s="51">
        <f t="shared" si="1"/>
        <v>0</v>
      </c>
      <c r="O47" s="50">
        <v>431135</v>
      </c>
      <c r="P47" s="51">
        <f t="shared" si="2"/>
        <v>1</v>
      </c>
      <c r="Q47" s="50">
        <v>0</v>
      </c>
      <c r="R47" s="52">
        <f t="shared" si="3"/>
        <v>-431135</v>
      </c>
    </row>
    <row r="48" spans="1:18" x14ac:dyDescent="0.25">
      <c r="A48" s="49" t="s">
        <v>70</v>
      </c>
      <c r="B48" s="49" t="s">
        <v>160</v>
      </c>
      <c r="C48" s="49" t="s">
        <v>161</v>
      </c>
      <c r="D48" s="49" t="s">
        <v>69</v>
      </c>
      <c r="E48" s="50">
        <v>600000</v>
      </c>
      <c r="F48" s="50">
        <v>600000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1">
        <f t="shared" si="0"/>
        <v>0</v>
      </c>
      <c r="M48" s="50">
        <v>0</v>
      </c>
      <c r="N48" s="51">
        <f t="shared" si="1"/>
        <v>0</v>
      </c>
      <c r="O48" s="50">
        <v>600000</v>
      </c>
      <c r="P48" s="51">
        <f t="shared" si="2"/>
        <v>1</v>
      </c>
      <c r="Q48" s="50">
        <v>0</v>
      </c>
      <c r="R48" s="52">
        <f t="shared" si="3"/>
        <v>-600000</v>
      </c>
    </row>
    <row r="49" spans="1:18" x14ac:dyDescent="0.25">
      <c r="A49" s="49" t="s">
        <v>70</v>
      </c>
      <c r="B49" s="49" t="s">
        <v>162</v>
      </c>
      <c r="C49" s="49" t="s">
        <v>163</v>
      </c>
      <c r="D49" s="49" t="s">
        <v>69</v>
      </c>
      <c r="E49" s="50">
        <v>17019667</v>
      </c>
      <c r="F49" s="50">
        <v>17019667</v>
      </c>
      <c r="G49" s="50">
        <v>14719667</v>
      </c>
      <c r="H49" s="50">
        <v>0</v>
      </c>
      <c r="I49" s="50">
        <v>8325375</v>
      </c>
      <c r="J49" s="50">
        <v>0</v>
      </c>
      <c r="K49" s="50">
        <v>4482902.17</v>
      </c>
      <c r="L49" s="51">
        <f t="shared" si="0"/>
        <v>0.26339541014521611</v>
      </c>
      <c r="M49" s="50">
        <v>2524236.17</v>
      </c>
      <c r="N49" s="51">
        <f t="shared" si="1"/>
        <v>0.14831290001149847</v>
      </c>
      <c r="O49" s="50">
        <v>4211389.83</v>
      </c>
      <c r="P49" s="51">
        <f t="shared" si="2"/>
        <v>0.24744255160808964</v>
      </c>
      <c r="Q49" s="50">
        <v>1911389.83</v>
      </c>
      <c r="R49" s="52">
        <f t="shared" si="3"/>
        <v>-2300000</v>
      </c>
    </row>
    <row r="50" spans="1:18" x14ac:dyDescent="0.25">
      <c r="A50" s="49" t="s">
        <v>70</v>
      </c>
      <c r="B50" s="49" t="s">
        <v>164</v>
      </c>
      <c r="C50" s="49" t="s">
        <v>165</v>
      </c>
      <c r="D50" s="49" t="s">
        <v>69</v>
      </c>
      <c r="E50" s="50">
        <v>300000</v>
      </c>
      <c r="F50" s="50">
        <v>300000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1">
        <f t="shared" si="0"/>
        <v>0</v>
      </c>
      <c r="M50" s="50">
        <v>0</v>
      </c>
      <c r="N50" s="51">
        <f t="shared" si="1"/>
        <v>0</v>
      </c>
      <c r="O50" s="50">
        <v>300000</v>
      </c>
      <c r="P50" s="51">
        <f t="shared" si="2"/>
        <v>1</v>
      </c>
      <c r="Q50" s="50">
        <v>0</v>
      </c>
      <c r="R50" s="52">
        <f t="shared" si="3"/>
        <v>-300000</v>
      </c>
    </row>
    <row r="51" spans="1:18" x14ac:dyDescent="0.25">
      <c r="A51" s="49" t="s">
        <v>70</v>
      </c>
      <c r="B51" s="49" t="s">
        <v>166</v>
      </c>
      <c r="C51" s="49" t="s">
        <v>167</v>
      </c>
      <c r="D51" s="49" t="s">
        <v>69</v>
      </c>
      <c r="E51" s="50">
        <v>9066667</v>
      </c>
      <c r="F51" s="50">
        <v>9066667</v>
      </c>
      <c r="G51" s="50">
        <v>9066667</v>
      </c>
      <c r="H51" s="50">
        <v>0</v>
      </c>
      <c r="I51" s="50">
        <v>7316800</v>
      </c>
      <c r="J51" s="50">
        <v>0</v>
      </c>
      <c r="K51" s="50">
        <v>1729267</v>
      </c>
      <c r="L51" s="51">
        <f t="shared" si="0"/>
        <v>0.19072797092911872</v>
      </c>
      <c r="M51" s="50">
        <v>98201</v>
      </c>
      <c r="N51" s="51">
        <f t="shared" si="1"/>
        <v>1.0830992248860579E-2</v>
      </c>
      <c r="O51" s="50">
        <v>20600</v>
      </c>
      <c r="P51" s="51">
        <f t="shared" si="2"/>
        <v>2.2720587399978403E-3</v>
      </c>
      <c r="Q51" s="50">
        <v>20600</v>
      </c>
      <c r="R51" s="52">
        <f t="shared" si="3"/>
        <v>0</v>
      </c>
    </row>
    <row r="52" spans="1:18" x14ac:dyDescent="0.25">
      <c r="A52" s="49" t="s">
        <v>70</v>
      </c>
      <c r="B52" s="49" t="s">
        <v>168</v>
      </c>
      <c r="C52" s="49" t="s">
        <v>169</v>
      </c>
      <c r="D52" s="49" t="s">
        <v>69</v>
      </c>
      <c r="E52" s="50">
        <v>2900000</v>
      </c>
      <c r="F52" s="50">
        <v>2900000</v>
      </c>
      <c r="G52" s="50">
        <v>2900000</v>
      </c>
      <c r="H52" s="50">
        <v>0</v>
      </c>
      <c r="I52" s="50">
        <v>486000</v>
      </c>
      <c r="J52" s="50">
        <v>0</v>
      </c>
      <c r="K52" s="50">
        <v>1907000</v>
      </c>
      <c r="L52" s="51">
        <f t="shared" si="0"/>
        <v>0.65758620689655167</v>
      </c>
      <c r="M52" s="50">
        <v>1579400</v>
      </c>
      <c r="N52" s="51">
        <f t="shared" si="1"/>
        <v>0.54462068965517241</v>
      </c>
      <c r="O52" s="50">
        <v>507000</v>
      </c>
      <c r="P52" s="51">
        <f t="shared" si="2"/>
        <v>0.17482758620689656</v>
      </c>
      <c r="Q52" s="50">
        <v>507000</v>
      </c>
      <c r="R52" s="52">
        <f t="shared" si="3"/>
        <v>0</v>
      </c>
    </row>
    <row r="53" spans="1:18" x14ac:dyDescent="0.25">
      <c r="A53" s="49" t="s">
        <v>70</v>
      </c>
      <c r="B53" s="49" t="s">
        <v>170</v>
      </c>
      <c r="C53" s="49" t="s">
        <v>171</v>
      </c>
      <c r="D53" s="49" t="s">
        <v>69</v>
      </c>
      <c r="E53" s="50">
        <v>393000</v>
      </c>
      <c r="F53" s="50">
        <v>393000</v>
      </c>
      <c r="G53" s="50">
        <v>393000</v>
      </c>
      <c r="H53" s="50">
        <v>0</v>
      </c>
      <c r="I53" s="50">
        <v>322575</v>
      </c>
      <c r="J53" s="50">
        <v>0</v>
      </c>
      <c r="K53" s="50">
        <v>0</v>
      </c>
      <c r="L53" s="51">
        <f t="shared" si="0"/>
        <v>0</v>
      </c>
      <c r="M53" s="50">
        <v>0</v>
      </c>
      <c r="N53" s="51">
        <f t="shared" si="1"/>
        <v>0</v>
      </c>
      <c r="O53" s="50">
        <v>70425</v>
      </c>
      <c r="P53" s="51">
        <f t="shared" si="2"/>
        <v>0.17919847328244276</v>
      </c>
      <c r="Q53" s="50">
        <v>70425</v>
      </c>
      <c r="R53" s="52">
        <f t="shared" si="3"/>
        <v>0</v>
      </c>
    </row>
    <row r="54" spans="1:18" x14ac:dyDescent="0.25">
      <c r="A54" s="49" t="s">
        <v>70</v>
      </c>
      <c r="B54" s="49" t="s">
        <v>172</v>
      </c>
      <c r="C54" s="49" t="s">
        <v>173</v>
      </c>
      <c r="D54" s="49" t="s">
        <v>69</v>
      </c>
      <c r="E54" s="50">
        <v>4360000</v>
      </c>
      <c r="F54" s="50">
        <v>4360000</v>
      </c>
      <c r="G54" s="50">
        <v>2360000</v>
      </c>
      <c r="H54" s="50">
        <v>0</v>
      </c>
      <c r="I54" s="50">
        <v>200000</v>
      </c>
      <c r="J54" s="50">
        <v>0</v>
      </c>
      <c r="K54" s="50">
        <v>846635.17</v>
      </c>
      <c r="L54" s="51">
        <f t="shared" si="0"/>
        <v>0.19418237844036698</v>
      </c>
      <c r="M54" s="50">
        <v>846635.17</v>
      </c>
      <c r="N54" s="51">
        <f t="shared" si="1"/>
        <v>0.19418237844036698</v>
      </c>
      <c r="O54" s="50">
        <v>3313364.83</v>
      </c>
      <c r="P54" s="51">
        <f t="shared" si="2"/>
        <v>0.75994606192660552</v>
      </c>
      <c r="Q54" s="50">
        <v>1313364.83</v>
      </c>
      <c r="R54" s="52">
        <f t="shared" si="3"/>
        <v>-2000000</v>
      </c>
    </row>
    <row r="55" spans="1:18" x14ac:dyDescent="0.25">
      <c r="A55" s="49" t="s">
        <v>70</v>
      </c>
      <c r="B55" s="49" t="s">
        <v>174</v>
      </c>
      <c r="C55" s="49" t="s">
        <v>175</v>
      </c>
      <c r="D55" s="49" t="s">
        <v>69</v>
      </c>
      <c r="E55" s="50">
        <v>681819</v>
      </c>
      <c r="F55" s="50">
        <v>1250684</v>
      </c>
      <c r="G55" s="50">
        <v>1250684</v>
      </c>
      <c r="H55" s="50">
        <v>0</v>
      </c>
      <c r="I55" s="50">
        <v>34330</v>
      </c>
      <c r="J55" s="50">
        <v>0</v>
      </c>
      <c r="K55" s="50">
        <v>354471</v>
      </c>
      <c r="L55" s="51">
        <f t="shared" si="0"/>
        <v>0.28342171163939095</v>
      </c>
      <c r="M55" s="50">
        <v>354471</v>
      </c>
      <c r="N55" s="51">
        <f t="shared" si="1"/>
        <v>0.28342171163939095</v>
      </c>
      <c r="O55" s="50">
        <v>861883</v>
      </c>
      <c r="P55" s="51">
        <f t="shared" si="2"/>
        <v>0.68912930844242026</v>
      </c>
      <c r="Q55" s="50">
        <v>861883</v>
      </c>
      <c r="R55" s="52">
        <f t="shared" si="3"/>
        <v>0</v>
      </c>
    </row>
    <row r="56" spans="1:18" x14ac:dyDescent="0.25">
      <c r="A56" s="49" t="s">
        <v>70</v>
      </c>
      <c r="B56" s="49" t="s">
        <v>176</v>
      </c>
      <c r="C56" s="49" t="s">
        <v>177</v>
      </c>
      <c r="D56" s="49" t="s">
        <v>69</v>
      </c>
      <c r="E56" s="50">
        <v>681819</v>
      </c>
      <c r="F56" s="50">
        <v>1250684</v>
      </c>
      <c r="G56" s="50">
        <v>1250684</v>
      </c>
      <c r="H56" s="50">
        <v>0</v>
      </c>
      <c r="I56" s="50">
        <v>34330</v>
      </c>
      <c r="J56" s="50">
        <v>0</v>
      </c>
      <c r="K56" s="50">
        <v>354471</v>
      </c>
      <c r="L56" s="51">
        <f t="shared" si="0"/>
        <v>0.28342171163939095</v>
      </c>
      <c r="M56" s="50">
        <v>354471</v>
      </c>
      <c r="N56" s="51">
        <f t="shared" si="1"/>
        <v>0.28342171163939095</v>
      </c>
      <c r="O56" s="50">
        <v>861883</v>
      </c>
      <c r="P56" s="51">
        <f t="shared" si="2"/>
        <v>0.68912930844242026</v>
      </c>
      <c r="Q56" s="50">
        <v>861883</v>
      </c>
      <c r="R56" s="52">
        <f t="shared" si="3"/>
        <v>0</v>
      </c>
    </row>
    <row r="57" spans="1:18" x14ac:dyDescent="0.25">
      <c r="A57" s="49" t="s">
        <v>70</v>
      </c>
      <c r="B57" s="49" t="s">
        <v>178</v>
      </c>
      <c r="C57" s="49" t="s">
        <v>179</v>
      </c>
      <c r="D57" s="49" t="s">
        <v>69</v>
      </c>
      <c r="E57" s="50">
        <v>1000000</v>
      </c>
      <c r="F57" s="50">
        <v>1000000</v>
      </c>
      <c r="G57" s="50">
        <v>1000000</v>
      </c>
      <c r="H57" s="50">
        <v>0</v>
      </c>
      <c r="I57" s="50">
        <v>1000000</v>
      </c>
      <c r="J57" s="50">
        <v>0</v>
      </c>
      <c r="K57" s="50">
        <v>0</v>
      </c>
      <c r="L57" s="51">
        <f t="shared" si="0"/>
        <v>0</v>
      </c>
      <c r="M57" s="50">
        <v>0</v>
      </c>
      <c r="N57" s="51">
        <f t="shared" si="1"/>
        <v>0</v>
      </c>
      <c r="O57" s="50">
        <v>0</v>
      </c>
      <c r="P57" s="51">
        <f t="shared" si="2"/>
        <v>0</v>
      </c>
      <c r="Q57" s="50">
        <v>0</v>
      </c>
      <c r="R57" s="52">
        <f t="shared" si="3"/>
        <v>0</v>
      </c>
    </row>
    <row r="58" spans="1:18" x14ac:dyDescent="0.25">
      <c r="A58" s="49" t="s">
        <v>70</v>
      </c>
      <c r="B58" s="49" t="s">
        <v>180</v>
      </c>
      <c r="C58" s="49" t="s">
        <v>181</v>
      </c>
      <c r="D58" s="49" t="s">
        <v>69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1" t="e">
        <f t="shared" si="0"/>
        <v>#DIV/0!</v>
      </c>
      <c r="M58" s="50">
        <v>0</v>
      </c>
      <c r="N58" s="51" t="e">
        <f t="shared" si="1"/>
        <v>#DIV/0!</v>
      </c>
      <c r="O58" s="50">
        <v>0</v>
      </c>
      <c r="P58" s="51" t="e">
        <f t="shared" si="2"/>
        <v>#DIV/0!</v>
      </c>
      <c r="Q58" s="50">
        <v>0</v>
      </c>
      <c r="R58" s="52">
        <f t="shared" si="3"/>
        <v>0</v>
      </c>
    </row>
    <row r="59" spans="1:18" x14ac:dyDescent="0.25">
      <c r="A59" s="49" t="s">
        <v>70</v>
      </c>
      <c r="B59" s="49" t="s">
        <v>182</v>
      </c>
      <c r="C59" s="49" t="s">
        <v>183</v>
      </c>
      <c r="D59" s="49" t="s">
        <v>69</v>
      </c>
      <c r="E59" s="50">
        <v>1000000</v>
      </c>
      <c r="F59" s="50">
        <v>1000000</v>
      </c>
      <c r="G59" s="50">
        <v>1000000</v>
      </c>
      <c r="H59" s="50">
        <v>0</v>
      </c>
      <c r="I59" s="50">
        <v>1000000</v>
      </c>
      <c r="J59" s="50">
        <v>0</v>
      </c>
      <c r="K59" s="50">
        <v>0</v>
      </c>
      <c r="L59" s="51">
        <f t="shared" si="0"/>
        <v>0</v>
      </c>
      <c r="M59" s="50">
        <v>0</v>
      </c>
      <c r="N59" s="51">
        <f t="shared" si="1"/>
        <v>0</v>
      </c>
      <c r="O59" s="50">
        <v>0</v>
      </c>
      <c r="P59" s="51">
        <f t="shared" si="2"/>
        <v>0</v>
      </c>
      <c r="Q59" s="50">
        <v>0</v>
      </c>
      <c r="R59" s="52">
        <f t="shared" si="3"/>
        <v>0</v>
      </c>
    </row>
    <row r="60" spans="1:18" x14ac:dyDescent="0.25">
      <c r="A60" s="49" t="s">
        <v>70</v>
      </c>
      <c r="B60" s="49" t="s">
        <v>184</v>
      </c>
      <c r="C60" s="49" t="s">
        <v>185</v>
      </c>
      <c r="D60" s="49" t="s">
        <v>69</v>
      </c>
      <c r="E60" s="50">
        <v>42229000</v>
      </c>
      <c r="F60" s="50">
        <v>42229000</v>
      </c>
      <c r="G60" s="50">
        <v>40854130</v>
      </c>
      <c r="H60" s="50">
        <v>9678750</v>
      </c>
      <c r="I60" s="50">
        <v>5709014</v>
      </c>
      <c r="J60" s="50">
        <v>167440.29</v>
      </c>
      <c r="K60" s="50">
        <v>24561731.420000002</v>
      </c>
      <c r="L60" s="51">
        <f t="shared" si="0"/>
        <v>0.58163185062397882</v>
      </c>
      <c r="M60" s="50">
        <v>24561731.420000002</v>
      </c>
      <c r="N60" s="51">
        <f t="shared" si="1"/>
        <v>0.58163185062397882</v>
      </c>
      <c r="O60" s="50">
        <v>2112064.29</v>
      </c>
      <c r="P60" s="51">
        <f t="shared" si="2"/>
        <v>5.0014546638565915E-2</v>
      </c>
      <c r="Q60" s="50">
        <v>737194.29</v>
      </c>
      <c r="R60" s="52">
        <f t="shared" si="3"/>
        <v>-1374870</v>
      </c>
    </row>
    <row r="61" spans="1:18" x14ac:dyDescent="0.25">
      <c r="A61" s="49" t="s">
        <v>70</v>
      </c>
      <c r="B61" s="49" t="s">
        <v>186</v>
      </c>
      <c r="C61" s="49" t="s">
        <v>187</v>
      </c>
      <c r="D61" s="49" t="s">
        <v>69</v>
      </c>
      <c r="E61" s="50">
        <v>17137000</v>
      </c>
      <c r="F61" s="50">
        <v>17137000</v>
      </c>
      <c r="G61" s="50">
        <v>16174905</v>
      </c>
      <c r="H61" s="50">
        <v>0</v>
      </c>
      <c r="I61" s="50">
        <v>4214402</v>
      </c>
      <c r="J61" s="50">
        <v>0</v>
      </c>
      <c r="K61" s="50">
        <v>11937283</v>
      </c>
      <c r="L61" s="51">
        <f t="shared" si="0"/>
        <v>0.69657950633132992</v>
      </c>
      <c r="M61" s="50">
        <v>11937283</v>
      </c>
      <c r="N61" s="51">
        <f t="shared" si="1"/>
        <v>0.69657950633132992</v>
      </c>
      <c r="O61" s="50">
        <v>985315</v>
      </c>
      <c r="P61" s="51">
        <f t="shared" si="2"/>
        <v>5.7496352920581195E-2</v>
      </c>
      <c r="Q61" s="50">
        <v>23220</v>
      </c>
      <c r="R61" s="52">
        <f t="shared" si="3"/>
        <v>-962095</v>
      </c>
    </row>
    <row r="62" spans="1:18" x14ac:dyDescent="0.25">
      <c r="A62" s="49" t="s">
        <v>70</v>
      </c>
      <c r="B62" s="49" t="s">
        <v>188</v>
      </c>
      <c r="C62" s="49" t="s">
        <v>189</v>
      </c>
      <c r="D62" s="49" t="s">
        <v>69</v>
      </c>
      <c r="E62" s="50">
        <v>11100000</v>
      </c>
      <c r="F62" s="50">
        <v>11100000</v>
      </c>
      <c r="G62" s="50">
        <v>11100000</v>
      </c>
      <c r="H62" s="50">
        <v>0</v>
      </c>
      <c r="I62" s="50">
        <v>4214402</v>
      </c>
      <c r="J62" s="50">
        <v>0</v>
      </c>
      <c r="K62" s="50">
        <v>6885598</v>
      </c>
      <c r="L62" s="51">
        <f t="shared" si="0"/>
        <v>0.62032414414414416</v>
      </c>
      <c r="M62" s="50">
        <v>6885598</v>
      </c>
      <c r="N62" s="51">
        <f t="shared" si="1"/>
        <v>0.62032414414414416</v>
      </c>
      <c r="O62" s="50">
        <v>0</v>
      </c>
      <c r="P62" s="51">
        <f t="shared" si="2"/>
        <v>0</v>
      </c>
      <c r="Q62" s="50">
        <v>0</v>
      </c>
      <c r="R62" s="52">
        <f t="shared" si="3"/>
        <v>0</v>
      </c>
    </row>
    <row r="63" spans="1:18" x14ac:dyDescent="0.25">
      <c r="A63" s="49" t="s">
        <v>70</v>
      </c>
      <c r="B63" s="49" t="s">
        <v>190</v>
      </c>
      <c r="C63" s="49" t="s">
        <v>191</v>
      </c>
      <c r="D63" s="49" t="s">
        <v>69</v>
      </c>
      <c r="E63" s="50">
        <v>5000000</v>
      </c>
      <c r="F63" s="50">
        <v>5000000</v>
      </c>
      <c r="G63" s="50">
        <v>4948905</v>
      </c>
      <c r="H63" s="50">
        <v>0</v>
      </c>
      <c r="I63" s="50">
        <v>0</v>
      </c>
      <c r="J63" s="50">
        <v>0</v>
      </c>
      <c r="K63" s="50">
        <v>4948905</v>
      </c>
      <c r="L63" s="51">
        <f t="shared" si="0"/>
        <v>0.98978100000000002</v>
      </c>
      <c r="M63" s="50">
        <v>4948905</v>
      </c>
      <c r="N63" s="51">
        <f t="shared" si="1"/>
        <v>0.98978100000000002</v>
      </c>
      <c r="O63" s="50">
        <v>51095</v>
      </c>
      <c r="P63" s="51">
        <f t="shared" si="2"/>
        <v>1.0219000000000001E-2</v>
      </c>
      <c r="Q63" s="50">
        <v>0</v>
      </c>
      <c r="R63" s="52">
        <f t="shared" si="3"/>
        <v>-51095</v>
      </c>
    </row>
    <row r="64" spans="1:18" x14ac:dyDescent="0.25">
      <c r="A64" s="49" t="s">
        <v>70</v>
      </c>
      <c r="B64" s="49" t="s">
        <v>192</v>
      </c>
      <c r="C64" s="49" t="s">
        <v>193</v>
      </c>
      <c r="D64" s="49" t="s">
        <v>69</v>
      </c>
      <c r="E64" s="50">
        <v>126000</v>
      </c>
      <c r="F64" s="50">
        <v>126000</v>
      </c>
      <c r="G64" s="50">
        <v>126000</v>
      </c>
      <c r="H64" s="50">
        <v>0</v>
      </c>
      <c r="I64" s="50">
        <v>0</v>
      </c>
      <c r="J64" s="50">
        <v>0</v>
      </c>
      <c r="K64" s="50">
        <v>102780</v>
      </c>
      <c r="L64" s="51">
        <f t="shared" si="0"/>
        <v>0.81571428571428573</v>
      </c>
      <c r="M64" s="50">
        <v>102780</v>
      </c>
      <c r="N64" s="51">
        <f t="shared" si="1"/>
        <v>0.81571428571428573</v>
      </c>
      <c r="O64" s="50">
        <v>23220</v>
      </c>
      <c r="P64" s="51">
        <f t="shared" si="2"/>
        <v>0.18428571428571427</v>
      </c>
      <c r="Q64" s="50">
        <v>23220</v>
      </c>
      <c r="R64" s="52">
        <f t="shared" si="3"/>
        <v>0</v>
      </c>
    </row>
    <row r="65" spans="1:18" x14ac:dyDescent="0.25">
      <c r="A65" s="53" t="s">
        <v>70</v>
      </c>
      <c r="B65" s="53" t="s">
        <v>194</v>
      </c>
      <c r="C65" s="53" t="s">
        <v>195</v>
      </c>
      <c r="D65" s="53" t="s">
        <v>69</v>
      </c>
      <c r="E65" s="54">
        <v>911000</v>
      </c>
      <c r="F65" s="54">
        <v>911000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5">
        <f t="shared" si="0"/>
        <v>0</v>
      </c>
      <c r="M65" s="54">
        <v>0</v>
      </c>
      <c r="N65" s="55">
        <f t="shared" si="1"/>
        <v>0</v>
      </c>
      <c r="O65" s="54">
        <v>911000</v>
      </c>
      <c r="P65" s="55">
        <f t="shared" si="2"/>
        <v>1</v>
      </c>
      <c r="Q65" s="54">
        <v>0</v>
      </c>
      <c r="R65" s="52">
        <f t="shared" si="3"/>
        <v>-911000</v>
      </c>
    </row>
    <row r="66" spans="1:18" x14ac:dyDescent="0.25">
      <c r="A66" s="49" t="s">
        <v>70</v>
      </c>
      <c r="B66" s="49" t="s">
        <v>196</v>
      </c>
      <c r="C66" s="49" t="s">
        <v>197</v>
      </c>
      <c r="D66" s="49" t="s">
        <v>69</v>
      </c>
      <c r="E66" s="50">
        <v>3000000</v>
      </c>
      <c r="F66" s="50">
        <v>3000000</v>
      </c>
      <c r="G66" s="50">
        <v>3000000</v>
      </c>
      <c r="H66" s="50">
        <v>0</v>
      </c>
      <c r="I66" s="50">
        <v>987462</v>
      </c>
      <c r="J66" s="50">
        <v>0</v>
      </c>
      <c r="K66" s="50">
        <v>2007355</v>
      </c>
      <c r="L66" s="51">
        <f t="shared" si="0"/>
        <v>0.66911833333333337</v>
      </c>
      <c r="M66" s="50">
        <v>2007355</v>
      </c>
      <c r="N66" s="51">
        <f t="shared" si="1"/>
        <v>0.66911833333333337</v>
      </c>
      <c r="O66" s="50">
        <v>5183</v>
      </c>
      <c r="P66" s="51">
        <f t="shared" si="2"/>
        <v>1.7276666666666666E-3</v>
      </c>
      <c r="Q66" s="50">
        <v>5183</v>
      </c>
      <c r="R66" s="52">
        <f t="shared" si="3"/>
        <v>0</v>
      </c>
    </row>
    <row r="67" spans="1:18" x14ac:dyDescent="0.25">
      <c r="A67" s="49" t="s">
        <v>70</v>
      </c>
      <c r="B67" s="49" t="s">
        <v>198</v>
      </c>
      <c r="C67" s="49" t="s">
        <v>199</v>
      </c>
      <c r="D67" s="49" t="s">
        <v>69</v>
      </c>
      <c r="E67" s="50">
        <v>3000000</v>
      </c>
      <c r="F67" s="50">
        <v>3000000</v>
      </c>
      <c r="G67" s="50">
        <v>3000000</v>
      </c>
      <c r="H67" s="50">
        <v>0</v>
      </c>
      <c r="I67" s="50">
        <v>987462</v>
      </c>
      <c r="J67" s="50">
        <v>0</v>
      </c>
      <c r="K67" s="50">
        <v>2007355</v>
      </c>
      <c r="L67" s="51">
        <f t="shared" si="0"/>
        <v>0.66911833333333337</v>
      </c>
      <c r="M67" s="50">
        <v>2007355</v>
      </c>
      <c r="N67" s="51">
        <f t="shared" si="1"/>
        <v>0.66911833333333337</v>
      </c>
      <c r="O67" s="50">
        <v>5183</v>
      </c>
      <c r="P67" s="51">
        <f t="shared" si="2"/>
        <v>1.7276666666666666E-3</v>
      </c>
      <c r="Q67" s="50">
        <v>5183</v>
      </c>
      <c r="R67" s="52">
        <f t="shared" si="3"/>
        <v>0</v>
      </c>
    </row>
    <row r="68" spans="1:18" x14ac:dyDescent="0.25">
      <c r="A68" s="49" t="s">
        <v>70</v>
      </c>
      <c r="B68" s="49" t="s">
        <v>200</v>
      </c>
      <c r="C68" s="49" t="s">
        <v>201</v>
      </c>
      <c r="D68" s="49" t="s">
        <v>69</v>
      </c>
      <c r="E68" s="50">
        <v>936000</v>
      </c>
      <c r="F68" s="50">
        <v>936000</v>
      </c>
      <c r="G68" s="50">
        <v>753225</v>
      </c>
      <c r="H68" s="50">
        <v>0</v>
      </c>
      <c r="I68" s="50">
        <v>0</v>
      </c>
      <c r="J68" s="50">
        <v>0</v>
      </c>
      <c r="K68" s="50">
        <v>739656.5</v>
      </c>
      <c r="L68" s="51">
        <f t="shared" si="0"/>
        <v>0.79023130341880343</v>
      </c>
      <c r="M68" s="50">
        <v>739656.5</v>
      </c>
      <c r="N68" s="51">
        <f t="shared" si="1"/>
        <v>0.79023130341880343</v>
      </c>
      <c r="O68" s="50">
        <v>196343.5</v>
      </c>
      <c r="P68" s="51">
        <f t="shared" si="2"/>
        <v>0.20976869658119657</v>
      </c>
      <c r="Q68" s="50">
        <v>13568.5</v>
      </c>
      <c r="R68" s="52">
        <f t="shared" si="3"/>
        <v>-182775</v>
      </c>
    </row>
    <row r="69" spans="1:18" x14ac:dyDescent="0.25">
      <c r="A69" s="49" t="s">
        <v>70</v>
      </c>
      <c r="B69" s="49" t="s">
        <v>202</v>
      </c>
      <c r="C69" s="49" t="s">
        <v>203</v>
      </c>
      <c r="D69" s="49" t="s">
        <v>69</v>
      </c>
      <c r="E69" s="50">
        <v>771000</v>
      </c>
      <c r="F69" s="50">
        <v>771000</v>
      </c>
      <c r="G69" s="50">
        <v>588225</v>
      </c>
      <c r="H69" s="50">
        <v>0</v>
      </c>
      <c r="I69" s="50">
        <v>0</v>
      </c>
      <c r="J69" s="50">
        <v>0</v>
      </c>
      <c r="K69" s="50">
        <v>577109.30000000005</v>
      </c>
      <c r="L69" s="51">
        <f t="shared" si="0"/>
        <v>0.74852049286640732</v>
      </c>
      <c r="M69" s="50">
        <v>577109.30000000005</v>
      </c>
      <c r="N69" s="51">
        <f t="shared" si="1"/>
        <v>0.74852049286640732</v>
      </c>
      <c r="O69" s="50">
        <v>193890.7</v>
      </c>
      <c r="P69" s="51">
        <f t="shared" si="2"/>
        <v>0.25147950713359274</v>
      </c>
      <c r="Q69" s="50">
        <v>11115.7</v>
      </c>
      <c r="R69" s="52">
        <f t="shared" si="3"/>
        <v>-182775</v>
      </c>
    </row>
    <row r="70" spans="1:18" x14ac:dyDescent="0.25">
      <c r="A70" s="49" t="s">
        <v>70</v>
      </c>
      <c r="B70" s="49" t="s">
        <v>204</v>
      </c>
      <c r="C70" s="49" t="s">
        <v>205</v>
      </c>
      <c r="D70" s="49" t="s">
        <v>69</v>
      </c>
      <c r="E70" s="50">
        <v>165000</v>
      </c>
      <c r="F70" s="50">
        <v>165000</v>
      </c>
      <c r="G70" s="50">
        <v>165000</v>
      </c>
      <c r="H70" s="50">
        <v>0</v>
      </c>
      <c r="I70" s="50">
        <v>0</v>
      </c>
      <c r="J70" s="50">
        <v>0</v>
      </c>
      <c r="K70" s="50">
        <v>162547.20000000001</v>
      </c>
      <c r="L70" s="51">
        <f t="shared" si="0"/>
        <v>0.98513454545454548</v>
      </c>
      <c r="M70" s="50">
        <v>162547.20000000001</v>
      </c>
      <c r="N70" s="51">
        <f t="shared" si="1"/>
        <v>0.98513454545454548</v>
      </c>
      <c r="O70" s="50">
        <v>2452.8000000000002</v>
      </c>
      <c r="P70" s="51">
        <f t="shared" si="2"/>
        <v>1.4865454545454546E-2</v>
      </c>
      <c r="Q70" s="50">
        <v>2452.8000000000002</v>
      </c>
      <c r="R70" s="52">
        <f t="shared" si="3"/>
        <v>0</v>
      </c>
    </row>
    <row r="71" spans="1:18" x14ac:dyDescent="0.25">
      <c r="A71" s="49" t="s">
        <v>70</v>
      </c>
      <c r="B71" s="49" t="s">
        <v>206</v>
      </c>
      <c r="C71" s="49" t="s">
        <v>207</v>
      </c>
      <c r="D71" s="49" t="s">
        <v>69</v>
      </c>
      <c r="E71" s="50">
        <v>312000</v>
      </c>
      <c r="F71" s="50">
        <v>312000</v>
      </c>
      <c r="G71" s="50">
        <v>312000</v>
      </c>
      <c r="H71" s="50">
        <v>89250</v>
      </c>
      <c r="I71" s="50">
        <v>154825</v>
      </c>
      <c r="J71" s="50">
        <v>0</v>
      </c>
      <c r="K71" s="50">
        <v>0</v>
      </c>
      <c r="L71" s="51">
        <f t="shared" si="0"/>
        <v>0</v>
      </c>
      <c r="M71" s="50">
        <v>0</v>
      </c>
      <c r="N71" s="51">
        <f t="shared" si="1"/>
        <v>0</v>
      </c>
      <c r="O71" s="50">
        <v>67925</v>
      </c>
      <c r="P71" s="51">
        <f t="shared" si="2"/>
        <v>0.21770833333333334</v>
      </c>
      <c r="Q71" s="50">
        <v>67925</v>
      </c>
      <c r="R71" s="52">
        <f t="shared" si="3"/>
        <v>0</v>
      </c>
    </row>
    <row r="72" spans="1:18" x14ac:dyDescent="0.25">
      <c r="A72" s="53" t="s">
        <v>70</v>
      </c>
      <c r="B72" s="53" t="s">
        <v>208</v>
      </c>
      <c r="C72" s="53" t="s">
        <v>209</v>
      </c>
      <c r="D72" s="53" t="s">
        <v>69</v>
      </c>
      <c r="E72" s="54">
        <v>206000</v>
      </c>
      <c r="F72" s="54">
        <v>206000</v>
      </c>
      <c r="G72" s="54">
        <v>206000</v>
      </c>
      <c r="H72" s="54">
        <v>0</v>
      </c>
      <c r="I72" s="54">
        <v>154825</v>
      </c>
      <c r="J72" s="54">
        <v>0</v>
      </c>
      <c r="K72" s="54">
        <v>0</v>
      </c>
      <c r="L72" s="55">
        <f t="shared" si="0"/>
        <v>0</v>
      </c>
      <c r="M72" s="54">
        <v>0</v>
      </c>
      <c r="N72" s="55">
        <f t="shared" si="1"/>
        <v>0</v>
      </c>
      <c r="O72" s="54">
        <v>51175</v>
      </c>
      <c r="P72" s="55">
        <f t="shared" si="2"/>
        <v>0.24842233009708739</v>
      </c>
      <c r="Q72" s="54">
        <v>51175</v>
      </c>
      <c r="R72" s="52">
        <f t="shared" si="3"/>
        <v>0</v>
      </c>
    </row>
    <row r="73" spans="1:18" x14ac:dyDescent="0.25">
      <c r="A73" s="49" t="s">
        <v>70</v>
      </c>
      <c r="B73" s="49" t="s">
        <v>210</v>
      </c>
      <c r="C73" s="49" t="s">
        <v>211</v>
      </c>
      <c r="D73" s="49" t="s">
        <v>69</v>
      </c>
      <c r="E73" s="50">
        <v>106000</v>
      </c>
      <c r="F73" s="50">
        <v>106000</v>
      </c>
      <c r="G73" s="50">
        <v>106000</v>
      </c>
      <c r="H73" s="50">
        <v>89250</v>
      </c>
      <c r="I73" s="50">
        <v>0</v>
      </c>
      <c r="J73" s="50">
        <v>0</v>
      </c>
      <c r="K73" s="50">
        <v>0</v>
      </c>
      <c r="L73" s="51">
        <f t="shared" si="0"/>
        <v>0</v>
      </c>
      <c r="M73" s="50">
        <v>0</v>
      </c>
      <c r="N73" s="51">
        <f t="shared" si="1"/>
        <v>0</v>
      </c>
      <c r="O73" s="50">
        <v>16750</v>
      </c>
      <c r="P73" s="51">
        <f t="shared" si="2"/>
        <v>0.15801886792452829</v>
      </c>
      <c r="Q73" s="50">
        <v>16750</v>
      </c>
      <c r="R73" s="52">
        <f t="shared" si="3"/>
        <v>0</v>
      </c>
    </row>
    <row r="74" spans="1:18" x14ac:dyDescent="0.25">
      <c r="A74" s="49" t="s">
        <v>70</v>
      </c>
      <c r="B74" s="49" t="s">
        <v>212</v>
      </c>
      <c r="C74" s="49" t="s">
        <v>213</v>
      </c>
      <c r="D74" s="49" t="s">
        <v>69</v>
      </c>
      <c r="E74" s="50">
        <v>20844000</v>
      </c>
      <c r="F74" s="50">
        <v>20844000</v>
      </c>
      <c r="G74" s="50">
        <v>20614000</v>
      </c>
      <c r="H74" s="50">
        <v>9589500</v>
      </c>
      <c r="I74" s="50">
        <v>352325</v>
      </c>
      <c r="J74" s="50">
        <v>167440.29</v>
      </c>
      <c r="K74" s="50">
        <v>9877436.9199999999</v>
      </c>
      <c r="L74" s="51">
        <f t="shared" si="0"/>
        <v>0.4738743484935713</v>
      </c>
      <c r="M74" s="50">
        <v>9877436.9199999999</v>
      </c>
      <c r="N74" s="51">
        <f t="shared" si="1"/>
        <v>0.4738743484935713</v>
      </c>
      <c r="O74" s="50">
        <v>857297.79</v>
      </c>
      <c r="P74" s="51">
        <f t="shared" si="2"/>
        <v>4.1129235751295339E-2</v>
      </c>
      <c r="Q74" s="50">
        <v>627297.79</v>
      </c>
      <c r="R74" s="52">
        <f t="shared" si="3"/>
        <v>-230000</v>
      </c>
    </row>
    <row r="75" spans="1:18" x14ac:dyDescent="0.25">
      <c r="A75" s="49" t="s">
        <v>70</v>
      </c>
      <c r="B75" s="49" t="s">
        <v>214</v>
      </c>
      <c r="C75" s="49" t="s">
        <v>215</v>
      </c>
      <c r="D75" s="49" t="s">
        <v>69</v>
      </c>
      <c r="E75" s="50">
        <v>3000000</v>
      </c>
      <c r="F75" s="50">
        <v>3000000</v>
      </c>
      <c r="G75" s="50">
        <v>3000000</v>
      </c>
      <c r="H75" s="50">
        <v>0</v>
      </c>
      <c r="I75" s="50">
        <v>181700</v>
      </c>
      <c r="J75" s="50">
        <v>167440.29</v>
      </c>
      <c r="K75" s="50">
        <v>2585795.56</v>
      </c>
      <c r="L75" s="51">
        <f t="shared" si="0"/>
        <v>0.86193185333333333</v>
      </c>
      <c r="M75" s="50">
        <v>2585795.56</v>
      </c>
      <c r="N75" s="51">
        <f t="shared" si="1"/>
        <v>0.86193185333333333</v>
      </c>
      <c r="O75" s="50">
        <v>65064.15</v>
      </c>
      <c r="P75" s="51">
        <f t="shared" si="2"/>
        <v>2.168805E-2</v>
      </c>
      <c r="Q75" s="50">
        <v>65064.15</v>
      </c>
      <c r="R75" s="52">
        <f t="shared" si="3"/>
        <v>0</v>
      </c>
    </row>
    <row r="76" spans="1:18" x14ac:dyDescent="0.25">
      <c r="A76" s="49" t="s">
        <v>70</v>
      </c>
      <c r="B76" s="49" t="s">
        <v>216</v>
      </c>
      <c r="C76" s="49" t="s">
        <v>217</v>
      </c>
      <c r="D76" s="49" t="s">
        <v>69</v>
      </c>
      <c r="E76" s="50">
        <v>271000</v>
      </c>
      <c r="F76" s="50">
        <v>271000</v>
      </c>
      <c r="G76" s="50">
        <v>271000</v>
      </c>
      <c r="H76" s="50">
        <v>0</v>
      </c>
      <c r="I76" s="50">
        <v>0</v>
      </c>
      <c r="J76" s="50">
        <v>0</v>
      </c>
      <c r="K76" s="50">
        <v>264500</v>
      </c>
      <c r="L76" s="51">
        <f t="shared" si="0"/>
        <v>0.97601476014760147</v>
      </c>
      <c r="M76" s="50">
        <v>264500</v>
      </c>
      <c r="N76" s="51">
        <f t="shared" si="1"/>
        <v>0.97601476014760147</v>
      </c>
      <c r="O76" s="50">
        <v>6500</v>
      </c>
      <c r="P76" s="51">
        <f t="shared" si="2"/>
        <v>2.3985239852398525E-2</v>
      </c>
      <c r="Q76" s="50">
        <v>6500</v>
      </c>
      <c r="R76" s="52">
        <f t="shared" si="3"/>
        <v>0</v>
      </c>
    </row>
    <row r="77" spans="1:18" x14ac:dyDescent="0.25">
      <c r="A77" s="49" t="s">
        <v>70</v>
      </c>
      <c r="B77" s="49" t="s">
        <v>218</v>
      </c>
      <c r="C77" s="49" t="s">
        <v>219</v>
      </c>
      <c r="D77" s="49" t="s">
        <v>69</v>
      </c>
      <c r="E77" s="50">
        <v>12000000</v>
      </c>
      <c r="F77" s="50">
        <v>4000000</v>
      </c>
      <c r="G77" s="50">
        <v>4000000</v>
      </c>
      <c r="H77" s="50">
        <v>0</v>
      </c>
      <c r="I77" s="50">
        <v>59765</v>
      </c>
      <c r="J77" s="50">
        <v>0</v>
      </c>
      <c r="K77" s="50">
        <v>3929866.42</v>
      </c>
      <c r="L77" s="51">
        <f t="shared" si="0"/>
        <v>0.98246660499999994</v>
      </c>
      <c r="M77" s="50">
        <v>3929866.42</v>
      </c>
      <c r="N77" s="51">
        <f t="shared" si="1"/>
        <v>0.98246660499999994</v>
      </c>
      <c r="O77" s="50">
        <v>10368.58</v>
      </c>
      <c r="P77" s="51">
        <f t="shared" si="2"/>
        <v>2.5921450000000001E-3</v>
      </c>
      <c r="Q77" s="50">
        <v>10368.58</v>
      </c>
      <c r="R77" s="52">
        <f t="shared" si="3"/>
        <v>0</v>
      </c>
    </row>
    <row r="78" spans="1:18" x14ac:dyDescent="0.25">
      <c r="A78" s="49" t="s">
        <v>70</v>
      </c>
      <c r="B78" s="49" t="s">
        <v>220</v>
      </c>
      <c r="C78" s="49" t="s">
        <v>221</v>
      </c>
      <c r="D78" s="49" t="s">
        <v>69</v>
      </c>
      <c r="E78" s="50">
        <v>1445000</v>
      </c>
      <c r="F78" s="50">
        <v>1445000</v>
      </c>
      <c r="G78" s="50">
        <v>1445000</v>
      </c>
      <c r="H78" s="50">
        <v>1433100</v>
      </c>
      <c r="I78" s="50">
        <v>0</v>
      </c>
      <c r="J78" s="50">
        <v>0</v>
      </c>
      <c r="K78" s="50">
        <v>0</v>
      </c>
      <c r="L78" s="51">
        <f t="shared" si="0"/>
        <v>0</v>
      </c>
      <c r="M78" s="50">
        <v>0</v>
      </c>
      <c r="N78" s="51">
        <f t="shared" si="1"/>
        <v>0</v>
      </c>
      <c r="O78" s="50">
        <v>11900</v>
      </c>
      <c r="P78" s="51">
        <f t="shared" si="2"/>
        <v>8.2352941176470594E-3</v>
      </c>
      <c r="Q78" s="50">
        <v>11900</v>
      </c>
      <c r="R78" s="52">
        <f t="shared" si="3"/>
        <v>0</v>
      </c>
    </row>
    <row r="79" spans="1:18" x14ac:dyDescent="0.25">
      <c r="A79" s="49" t="s">
        <v>70</v>
      </c>
      <c r="B79" s="49" t="s">
        <v>222</v>
      </c>
      <c r="C79" s="49" t="s">
        <v>223</v>
      </c>
      <c r="D79" s="49" t="s">
        <v>69</v>
      </c>
      <c r="E79" s="50">
        <v>2500000</v>
      </c>
      <c r="F79" s="50">
        <v>10500000</v>
      </c>
      <c r="G79" s="50">
        <v>10500000</v>
      </c>
      <c r="H79" s="50">
        <v>8156400</v>
      </c>
      <c r="I79" s="50">
        <v>0</v>
      </c>
      <c r="J79" s="50">
        <v>0</v>
      </c>
      <c r="K79" s="50">
        <v>1823105.44</v>
      </c>
      <c r="L79" s="51">
        <f t="shared" si="0"/>
        <v>0.17362908952380951</v>
      </c>
      <c r="M79" s="50">
        <v>1823105.44</v>
      </c>
      <c r="N79" s="51">
        <f t="shared" si="1"/>
        <v>0.17362908952380951</v>
      </c>
      <c r="O79" s="50">
        <v>520494.56</v>
      </c>
      <c r="P79" s="51">
        <f t="shared" si="2"/>
        <v>4.9570910476190479E-2</v>
      </c>
      <c r="Q79" s="50">
        <v>520494.56</v>
      </c>
      <c r="R79" s="52">
        <f t="shared" si="3"/>
        <v>0</v>
      </c>
    </row>
    <row r="80" spans="1:18" x14ac:dyDescent="0.25">
      <c r="A80" s="49" t="s">
        <v>70</v>
      </c>
      <c r="B80" s="49" t="s">
        <v>224</v>
      </c>
      <c r="C80" s="49" t="s">
        <v>225</v>
      </c>
      <c r="D80" s="49" t="s">
        <v>69</v>
      </c>
      <c r="E80" s="50">
        <v>66000</v>
      </c>
      <c r="F80" s="50">
        <v>66000</v>
      </c>
      <c r="G80" s="50">
        <v>66000</v>
      </c>
      <c r="H80" s="50">
        <v>0</v>
      </c>
      <c r="I80" s="50">
        <v>0</v>
      </c>
      <c r="J80" s="50">
        <v>0</v>
      </c>
      <c r="K80" s="50">
        <v>63800</v>
      </c>
      <c r="L80" s="51">
        <f t="shared" si="0"/>
        <v>0.96666666666666667</v>
      </c>
      <c r="M80" s="50">
        <v>63800</v>
      </c>
      <c r="N80" s="51">
        <f t="shared" si="1"/>
        <v>0.96666666666666667</v>
      </c>
      <c r="O80" s="50">
        <v>2200</v>
      </c>
      <c r="P80" s="51">
        <f t="shared" si="2"/>
        <v>3.3333333333333333E-2</v>
      </c>
      <c r="Q80" s="50">
        <v>2200</v>
      </c>
      <c r="R80" s="52">
        <f t="shared" si="3"/>
        <v>0</v>
      </c>
    </row>
    <row r="81" spans="1:18" x14ac:dyDescent="0.25">
      <c r="A81" s="49" t="s">
        <v>70</v>
      </c>
      <c r="B81" s="49" t="s">
        <v>226</v>
      </c>
      <c r="C81" s="49" t="s">
        <v>227</v>
      </c>
      <c r="D81" s="49" t="s">
        <v>69</v>
      </c>
      <c r="E81" s="50">
        <v>562000</v>
      </c>
      <c r="F81" s="50">
        <v>562000</v>
      </c>
      <c r="G81" s="50">
        <v>332000</v>
      </c>
      <c r="H81" s="50">
        <v>0</v>
      </c>
      <c r="I81" s="50">
        <v>0</v>
      </c>
      <c r="J81" s="50">
        <v>0</v>
      </c>
      <c r="K81" s="50">
        <v>328670</v>
      </c>
      <c r="L81" s="51">
        <f t="shared" si="0"/>
        <v>0.58482206405693948</v>
      </c>
      <c r="M81" s="50">
        <v>328670</v>
      </c>
      <c r="N81" s="51">
        <f t="shared" si="1"/>
        <v>0.58482206405693948</v>
      </c>
      <c r="O81" s="50">
        <v>233330</v>
      </c>
      <c r="P81" s="51">
        <f t="shared" si="2"/>
        <v>0.41517793594306052</v>
      </c>
      <c r="Q81" s="50">
        <v>3330</v>
      </c>
      <c r="R81" s="52">
        <f t="shared" si="3"/>
        <v>-230000</v>
      </c>
    </row>
    <row r="82" spans="1:18" x14ac:dyDescent="0.25">
      <c r="A82" s="49" t="s">
        <v>70</v>
      </c>
      <c r="B82" s="49" t="s">
        <v>228</v>
      </c>
      <c r="C82" s="49" t="s">
        <v>229</v>
      </c>
      <c r="D82" s="49" t="s">
        <v>69</v>
      </c>
      <c r="E82" s="50">
        <v>1000000</v>
      </c>
      <c r="F82" s="50">
        <v>1000000</v>
      </c>
      <c r="G82" s="50">
        <v>1000000</v>
      </c>
      <c r="H82" s="50">
        <v>0</v>
      </c>
      <c r="I82" s="50">
        <v>110860</v>
      </c>
      <c r="J82" s="50">
        <v>0</v>
      </c>
      <c r="K82" s="50">
        <v>881699.5</v>
      </c>
      <c r="L82" s="51">
        <f t="shared" si="0"/>
        <v>0.88169949999999997</v>
      </c>
      <c r="M82" s="50">
        <v>881699.5</v>
      </c>
      <c r="N82" s="51">
        <f t="shared" si="1"/>
        <v>0.88169949999999997</v>
      </c>
      <c r="O82" s="50">
        <v>7440.5</v>
      </c>
      <c r="P82" s="51">
        <f t="shared" si="2"/>
        <v>7.4405000000000001E-3</v>
      </c>
      <c r="Q82" s="50">
        <v>7440.5</v>
      </c>
      <c r="R82" s="52">
        <f t="shared" si="3"/>
        <v>0</v>
      </c>
    </row>
    <row r="83" spans="1:18" x14ac:dyDescent="0.25">
      <c r="A83" s="49" t="s">
        <v>70</v>
      </c>
      <c r="B83" s="49" t="s">
        <v>230</v>
      </c>
      <c r="C83" s="49" t="s">
        <v>231</v>
      </c>
      <c r="D83" s="49" t="s">
        <v>85</v>
      </c>
      <c r="E83" s="50">
        <v>17098648</v>
      </c>
      <c r="F83" s="50">
        <v>17098648</v>
      </c>
      <c r="G83" s="50">
        <v>17098648</v>
      </c>
      <c r="H83" s="50">
        <v>8065359</v>
      </c>
      <c r="I83" s="50">
        <v>1773400</v>
      </c>
      <c r="J83" s="50">
        <v>0</v>
      </c>
      <c r="K83" s="50">
        <v>4724420.09</v>
      </c>
      <c r="L83" s="51">
        <f t="shared" si="0"/>
        <v>0.27630372237617851</v>
      </c>
      <c r="M83" s="50">
        <v>3920620.09</v>
      </c>
      <c r="N83" s="51">
        <f t="shared" si="1"/>
        <v>0.22929415764334116</v>
      </c>
      <c r="O83" s="50">
        <v>2535468.91</v>
      </c>
      <c r="P83" s="51">
        <f t="shared" si="2"/>
        <v>0.14828475970731722</v>
      </c>
      <c r="Q83" s="50">
        <v>2535468.91</v>
      </c>
      <c r="R83" s="52">
        <f t="shared" si="3"/>
        <v>0</v>
      </c>
    </row>
    <row r="84" spans="1:18" x14ac:dyDescent="0.25">
      <c r="A84" s="53" t="s">
        <v>70</v>
      </c>
      <c r="B84" s="53" t="s">
        <v>232</v>
      </c>
      <c r="C84" s="53" t="s">
        <v>233</v>
      </c>
      <c r="D84" s="53" t="s">
        <v>85</v>
      </c>
      <c r="E84" s="54">
        <v>16598648</v>
      </c>
      <c r="F84" s="54">
        <v>16598648</v>
      </c>
      <c r="G84" s="54">
        <v>16598648</v>
      </c>
      <c r="H84" s="54">
        <v>8065359</v>
      </c>
      <c r="I84" s="54">
        <v>1773400</v>
      </c>
      <c r="J84" s="54">
        <v>0</v>
      </c>
      <c r="K84" s="54">
        <v>4724420.09</v>
      </c>
      <c r="L84" s="55">
        <f t="shared" si="0"/>
        <v>0.28462680153226938</v>
      </c>
      <c r="M84" s="54">
        <v>3920620.09</v>
      </c>
      <c r="N84" s="55">
        <f t="shared" si="1"/>
        <v>0.23620117072185637</v>
      </c>
      <c r="O84" s="54">
        <v>2035468.91</v>
      </c>
      <c r="P84" s="55">
        <f t="shared" si="2"/>
        <v>0.12262859661823058</v>
      </c>
      <c r="Q84" s="54">
        <v>2035468.91</v>
      </c>
      <c r="R84" s="52">
        <f t="shared" si="3"/>
        <v>0</v>
      </c>
    </row>
    <row r="85" spans="1:18" x14ac:dyDescent="0.25">
      <c r="A85" s="49" t="s">
        <v>70</v>
      </c>
      <c r="B85" s="49" t="s">
        <v>234</v>
      </c>
      <c r="C85" s="49" t="s">
        <v>235</v>
      </c>
      <c r="D85" s="49" t="s">
        <v>85</v>
      </c>
      <c r="E85" s="50">
        <v>3000000</v>
      </c>
      <c r="F85" s="50">
        <v>3000000</v>
      </c>
      <c r="G85" s="50">
        <v>3000000</v>
      </c>
      <c r="H85" s="50">
        <v>2395000</v>
      </c>
      <c r="I85" s="50">
        <v>0</v>
      </c>
      <c r="J85" s="50">
        <v>0</v>
      </c>
      <c r="K85" s="50">
        <v>0</v>
      </c>
      <c r="L85" s="51">
        <f t="shared" si="0"/>
        <v>0</v>
      </c>
      <c r="M85" s="50">
        <v>0</v>
      </c>
      <c r="N85" s="51">
        <f t="shared" si="1"/>
        <v>0</v>
      </c>
      <c r="O85" s="50">
        <v>605000</v>
      </c>
      <c r="P85" s="51">
        <f t="shared" si="2"/>
        <v>0.20166666666666666</v>
      </c>
      <c r="Q85" s="50">
        <v>605000</v>
      </c>
      <c r="R85" s="52">
        <f t="shared" si="3"/>
        <v>0</v>
      </c>
    </row>
    <row r="86" spans="1:18" x14ac:dyDescent="0.25">
      <c r="A86" s="49" t="s">
        <v>70</v>
      </c>
      <c r="B86" s="49" t="s">
        <v>236</v>
      </c>
      <c r="C86" s="49" t="s">
        <v>237</v>
      </c>
      <c r="D86" s="49" t="s">
        <v>85</v>
      </c>
      <c r="E86" s="50">
        <v>4000000</v>
      </c>
      <c r="F86" s="50">
        <v>4000000</v>
      </c>
      <c r="G86" s="50">
        <v>4000000</v>
      </c>
      <c r="H86" s="50">
        <v>3725000</v>
      </c>
      <c r="I86" s="50">
        <v>0</v>
      </c>
      <c r="J86" s="50">
        <v>0</v>
      </c>
      <c r="K86" s="50">
        <v>0</v>
      </c>
      <c r="L86" s="51">
        <f t="shared" si="0"/>
        <v>0</v>
      </c>
      <c r="M86" s="50">
        <v>0</v>
      </c>
      <c r="N86" s="51">
        <f t="shared" si="1"/>
        <v>0</v>
      </c>
      <c r="O86" s="50">
        <v>275000</v>
      </c>
      <c r="P86" s="51">
        <f t="shared" si="2"/>
        <v>6.8750000000000006E-2</v>
      </c>
      <c r="Q86" s="50">
        <v>275000</v>
      </c>
      <c r="R86" s="52">
        <f t="shared" si="3"/>
        <v>0</v>
      </c>
    </row>
    <row r="87" spans="1:18" x14ac:dyDescent="0.25">
      <c r="A87" s="49" t="s">
        <v>70</v>
      </c>
      <c r="B87" s="49" t="s">
        <v>238</v>
      </c>
      <c r="C87" s="49" t="s">
        <v>239</v>
      </c>
      <c r="D87" s="49" t="s">
        <v>85</v>
      </c>
      <c r="E87" s="50">
        <v>6337648</v>
      </c>
      <c r="F87" s="50">
        <v>6337648</v>
      </c>
      <c r="G87" s="50">
        <v>6337648</v>
      </c>
      <c r="H87" s="50">
        <v>950359</v>
      </c>
      <c r="I87" s="50">
        <v>0</v>
      </c>
      <c r="J87" s="50">
        <v>0</v>
      </c>
      <c r="K87" s="50">
        <v>4724420.09</v>
      </c>
      <c r="L87" s="51">
        <f t="shared" si="0"/>
        <v>0.74545321702940903</v>
      </c>
      <c r="M87" s="50">
        <v>3920620.09</v>
      </c>
      <c r="N87" s="51">
        <f t="shared" si="1"/>
        <v>0.61862383174325863</v>
      </c>
      <c r="O87" s="50">
        <v>662868.91</v>
      </c>
      <c r="P87" s="51">
        <f t="shared" si="2"/>
        <v>0.1045922572537951</v>
      </c>
      <c r="Q87" s="50">
        <v>662868.91</v>
      </c>
      <c r="R87" s="52">
        <f t="shared" si="3"/>
        <v>0</v>
      </c>
    </row>
    <row r="88" spans="1:18" x14ac:dyDescent="0.25">
      <c r="A88" s="49" t="s">
        <v>70</v>
      </c>
      <c r="B88" s="49" t="s">
        <v>240</v>
      </c>
      <c r="C88" s="49" t="s">
        <v>241</v>
      </c>
      <c r="D88" s="49" t="s">
        <v>85</v>
      </c>
      <c r="E88" s="50">
        <v>2261000</v>
      </c>
      <c r="F88" s="50">
        <v>2261000</v>
      </c>
      <c r="G88" s="50">
        <v>2261000</v>
      </c>
      <c r="H88" s="50">
        <v>0</v>
      </c>
      <c r="I88" s="50">
        <v>1773400</v>
      </c>
      <c r="J88" s="50">
        <v>0</v>
      </c>
      <c r="K88" s="50">
        <v>0</v>
      </c>
      <c r="L88" s="51">
        <f t="shared" si="0"/>
        <v>0</v>
      </c>
      <c r="M88" s="50">
        <v>0</v>
      </c>
      <c r="N88" s="51">
        <f t="shared" si="1"/>
        <v>0</v>
      </c>
      <c r="O88" s="50">
        <v>487600</v>
      </c>
      <c r="P88" s="51">
        <f t="shared" si="2"/>
        <v>0.21565678903140204</v>
      </c>
      <c r="Q88" s="50">
        <v>487600</v>
      </c>
      <c r="R88" s="52">
        <f t="shared" si="3"/>
        <v>0</v>
      </c>
    </row>
    <row r="89" spans="1:18" x14ac:dyDescent="0.25">
      <c r="A89" s="49" t="s">
        <v>70</v>
      </c>
      <c r="B89" s="49" t="s">
        <v>242</v>
      </c>
      <c r="C89" s="49" t="s">
        <v>243</v>
      </c>
      <c r="D89" s="49" t="s">
        <v>85</v>
      </c>
      <c r="E89" s="50">
        <v>1000000</v>
      </c>
      <c r="F89" s="50">
        <v>1000000</v>
      </c>
      <c r="G89" s="50">
        <v>1000000</v>
      </c>
      <c r="H89" s="50">
        <v>995000</v>
      </c>
      <c r="I89" s="50">
        <v>0</v>
      </c>
      <c r="J89" s="50">
        <v>0</v>
      </c>
      <c r="K89" s="50">
        <v>0</v>
      </c>
      <c r="L89" s="51">
        <f t="shared" si="0"/>
        <v>0</v>
      </c>
      <c r="M89" s="50">
        <v>0</v>
      </c>
      <c r="N89" s="51">
        <f t="shared" si="1"/>
        <v>0</v>
      </c>
      <c r="O89" s="50">
        <v>5000</v>
      </c>
      <c r="P89" s="51">
        <f t="shared" si="2"/>
        <v>5.0000000000000001E-3</v>
      </c>
      <c r="Q89" s="50">
        <v>5000</v>
      </c>
      <c r="R89" s="52">
        <f t="shared" si="3"/>
        <v>0</v>
      </c>
    </row>
    <row r="90" spans="1:18" x14ac:dyDescent="0.25">
      <c r="A90" s="49" t="s">
        <v>70</v>
      </c>
      <c r="B90" s="49" t="s">
        <v>244</v>
      </c>
      <c r="C90" s="49" t="s">
        <v>245</v>
      </c>
      <c r="D90" s="49" t="s">
        <v>85</v>
      </c>
      <c r="E90" s="50">
        <v>500000</v>
      </c>
      <c r="F90" s="50">
        <v>500000</v>
      </c>
      <c r="G90" s="50">
        <v>500000</v>
      </c>
      <c r="H90" s="50">
        <v>0</v>
      </c>
      <c r="I90" s="50">
        <v>0</v>
      </c>
      <c r="J90" s="50">
        <v>0</v>
      </c>
      <c r="K90" s="50">
        <v>0</v>
      </c>
      <c r="L90" s="51">
        <f t="shared" si="0"/>
        <v>0</v>
      </c>
      <c r="M90" s="50">
        <v>0</v>
      </c>
      <c r="N90" s="51">
        <f t="shared" si="1"/>
        <v>0</v>
      </c>
      <c r="O90" s="50">
        <v>500000</v>
      </c>
      <c r="P90" s="51">
        <f t="shared" si="2"/>
        <v>1</v>
      </c>
      <c r="Q90" s="50">
        <v>500000</v>
      </c>
      <c r="R90" s="52">
        <f t="shared" si="3"/>
        <v>0</v>
      </c>
    </row>
    <row r="91" spans="1:18" x14ac:dyDescent="0.25">
      <c r="A91" s="53" t="s">
        <v>70</v>
      </c>
      <c r="B91" s="53" t="s">
        <v>246</v>
      </c>
      <c r="C91" s="53" t="s">
        <v>247</v>
      </c>
      <c r="D91" s="53" t="s">
        <v>85</v>
      </c>
      <c r="E91" s="54">
        <v>500000</v>
      </c>
      <c r="F91" s="54">
        <v>500000</v>
      </c>
      <c r="G91" s="54">
        <v>500000</v>
      </c>
      <c r="H91" s="54">
        <v>0</v>
      </c>
      <c r="I91" s="54">
        <v>0</v>
      </c>
      <c r="J91" s="54">
        <v>0</v>
      </c>
      <c r="K91" s="54">
        <v>0</v>
      </c>
      <c r="L91" s="55">
        <f t="shared" si="0"/>
        <v>0</v>
      </c>
      <c r="M91" s="54">
        <v>0</v>
      </c>
      <c r="N91" s="55">
        <f t="shared" si="1"/>
        <v>0</v>
      </c>
      <c r="O91" s="54">
        <v>500000</v>
      </c>
      <c r="P91" s="55">
        <f t="shared" si="2"/>
        <v>1</v>
      </c>
      <c r="Q91" s="54">
        <v>500000</v>
      </c>
      <c r="R91" s="52">
        <f t="shared" si="3"/>
        <v>0</v>
      </c>
    </row>
    <row r="92" spans="1:18" x14ac:dyDescent="0.25">
      <c r="A92" s="49" t="s">
        <v>70</v>
      </c>
      <c r="B92" s="49" t="s">
        <v>248</v>
      </c>
      <c r="C92" s="49" t="s">
        <v>249</v>
      </c>
      <c r="D92" s="49" t="s">
        <v>69</v>
      </c>
      <c r="E92" s="50">
        <v>731283000</v>
      </c>
      <c r="F92" s="50">
        <v>752902365</v>
      </c>
      <c r="G92" s="50">
        <v>751754165</v>
      </c>
      <c r="H92" s="50">
        <v>0</v>
      </c>
      <c r="I92" s="50">
        <v>131556853.95</v>
      </c>
      <c r="J92" s="50">
        <v>0</v>
      </c>
      <c r="K92" s="50">
        <v>618784577.25</v>
      </c>
      <c r="L92" s="51">
        <f t="shared" si="0"/>
        <v>0.82186563094406007</v>
      </c>
      <c r="M92" s="50">
        <v>618784577.25</v>
      </c>
      <c r="N92" s="51">
        <f t="shared" si="1"/>
        <v>0.82186563094406007</v>
      </c>
      <c r="O92" s="50">
        <v>2560933.7999999998</v>
      </c>
      <c r="P92" s="51">
        <f t="shared" si="2"/>
        <v>3.4014155341376829E-3</v>
      </c>
      <c r="Q92" s="50">
        <v>1412733.8</v>
      </c>
      <c r="R92" s="52">
        <f t="shared" si="3"/>
        <v>-1148200</v>
      </c>
    </row>
    <row r="93" spans="1:18" x14ac:dyDescent="0.25">
      <c r="A93" s="49" t="s">
        <v>70</v>
      </c>
      <c r="B93" s="49" t="s">
        <v>250</v>
      </c>
      <c r="C93" s="49" t="s">
        <v>251</v>
      </c>
      <c r="D93" s="49" t="s">
        <v>69</v>
      </c>
      <c r="E93" s="50">
        <v>268185000</v>
      </c>
      <c r="F93" s="50">
        <v>268185000</v>
      </c>
      <c r="G93" s="50">
        <v>267036800</v>
      </c>
      <c r="H93" s="50">
        <v>0</v>
      </c>
      <c r="I93" s="50">
        <v>57532089.75</v>
      </c>
      <c r="J93" s="50">
        <v>0</v>
      </c>
      <c r="K93" s="50">
        <v>209504710.25</v>
      </c>
      <c r="L93" s="51">
        <f t="shared" si="0"/>
        <v>0.78119473590991295</v>
      </c>
      <c r="M93" s="50">
        <v>209504710.25</v>
      </c>
      <c r="N93" s="51">
        <f t="shared" si="1"/>
        <v>0.78119473590991295</v>
      </c>
      <c r="O93" s="50">
        <v>1148200</v>
      </c>
      <c r="P93" s="51">
        <f t="shared" si="2"/>
        <v>4.2813729328635081E-3</v>
      </c>
      <c r="Q93" s="50">
        <v>0</v>
      </c>
      <c r="R93" s="52">
        <f t="shared" si="3"/>
        <v>-1148200</v>
      </c>
    </row>
    <row r="94" spans="1:18" x14ac:dyDescent="0.25">
      <c r="A94" s="49" t="s">
        <v>70</v>
      </c>
      <c r="B94" s="49" t="s">
        <v>252</v>
      </c>
      <c r="C94" s="49" t="s">
        <v>253</v>
      </c>
      <c r="D94" s="49" t="s">
        <v>69</v>
      </c>
      <c r="E94" s="50">
        <v>2000000</v>
      </c>
      <c r="F94" s="50">
        <v>2000000</v>
      </c>
      <c r="G94" s="50">
        <v>2000000</v>
      </c>
      <c r="H94" s="50">
        <v>0</v>
      </c>
      <c r="I94" s="50">
        <v>0</v>
      </c>
      <c r="J94" s="50">
        <v>0</v>
      </c>
      <c r="K94" s="50">
        <v>2000000</v>
      </c>
      <c r="L94" s="51">
        <f t="shared" si="0"/>
        <v>1</v>
      </c>
      <c r="M94" s="50">
        <v>2000000</v>
      </c>
      <c r="N94" s="51">
        <f t="shared" si="1"/>
        <v>1</v>
      </c>
      <c r="O94" s="50">
        <v>0</v>
      </c>
      <c r="P94" s="51">
        <f t="shared" si="2"/>
        <v>0</v>
      </c>
      <c r="Q94" s="50">
        <v>0</v>
      </c>
      <c r="R94" s="52">
        <f t="shared" si="3"/>
        <v>0</v>
      </c>
    </row>
    <row r="95" spans="1:18" x14ac:dyDescent="0.25">
      <c r="A95" s="49" t="s">
        <v>70</v>
      </c>
      <c r="B95" s="49" t="s">
        <v>254</v>
      </c>
      <c r="C95" s="49" t="s">
        <v>255</v>
      </c>
      <c r="D95" s="49" t="s">
        <v>69</v>
      </c>
      <c r="E95" s="50">
        <v>250000000</v>
      </c>
      <c r="F95" s="50">
        <v>250000000</v>
      </c>
      <c r="G95" s="50">
        <v>250000000</v>
      </c>
      <c r="H95" s="50">
        <v>0</v>
      </c>
      <c r="I95" s="50">
        <v>53571427.75</v>
      </c>
      <c r="J95" s="50">
        <v>0</v>
      </c>
      <c r="K95" s="50">
        <v>196428572.25</v>
      </c>
      <c r="L95" s="51">
        <f t="shared" si="0"/>
        <v>0.78571428899999995</v>
      </c>
      <c r="M95" s="50">
        <v>196428572.25</v>
      </c>
      <c r="N95" s="51">
        <f t="shared" si="1"/>
        <v>0.78571428899999995</v>
      </c>
      <c r="O95" s="50">
        <v>0</v>
      </c>
      <c r="P95" s="51">
        <f t="shared" si="2"/>
        <v>0</v>
      </c>
      <c r="Q95" s="50">
        <v>0</v>
      </c>
      <c r="R95" s="52">
        <f t="shared" si="3"/>
        <v>0</v>
      </c>
    </row>
    <row r="96" spans="1:18" x14ac:dyDescent="0.25">
      <c r="A96" s="49" t="s">
        <v>70</v>
      </c>
      <c r="B96" s="49" t="s">
        <v>256</v>
      </c>
      <c r="C96" s="49" t="s">
        <v>257</v>
      </c>
      <c r="D96" s="49" t="s">
        <v>69</v>
      </c>
      <c r="E96" s="50">
        <v>13470000</v>
      </c>
      <c r="F96" s="50">
        <v>13470000</v>
      </c>
      <c r="G96" s="50">
        <v>12514450</v>
      </c>
      <c r="H96" s="50">
        <v>0</v>
      </c>
      <c r="I96" s="50">
        <v>3296725</v>
      </c>
      <c r="J96" s="50">
        <v>0</v>
      </c>
      <c r="K96" s="50">
        <v>9217725</v>
      </c>
      <c r="L96" s="51">
        <f t="shared" si="0"/>
        <v>0.68431514476614697</v>
      </c>
      <c r="M96" s="50">
        <v>9217725</v>
      </c>
      <c r="N96" s="51">
        <f t="shared" si="1"/>
        <v>0.68431514476614697</v>
      </c>
      <c r="O96" s="50">
        <v>955550</v>
      </c>
      <c r="P96" s="51">
        <f t="shared" si="2"/>
        <v>7.0939123979213065E-2</v>
      </c>
      <c r="Q96" s="50">
        <v>0</v>
      </c>
      <c r="R96" s="52">
        <f t="shared" si="3"/>
        <v>-955550</v>
      </c>
    </row>
    <row r="97" spans="1:18" x14ac:dyDescent="0.25">
      <c r="A97" s="49" t="s">
        <v>70</v>
      </c>
      <c r="B97" s="49" t="s">
        <v>258</v>
      </c>
      <c r="C97" s="49" t="s">
        <v>259</v>
      </c>
      <c r="D97" s="49" t="s">
        <v>69</v>
      </c>
      <c r="E97" s="50">
        <v>2715000</v>
      </c>
      <c r="F97" s="50">
        <v>2715000</v>
      </c>
      <c r="G97" s="50">
        <v>2522350</v>
      </c>
      <c r="H97" s="50">
        <v>0</v>
      </c>
      <c r="I97" s="50">
        <v>663937</v>
      </c>
      <c r="J97" s="50">
        <v>0</v>
      </c>
      <c r="K97" s="50">
        <v>1858413</v>
      </c>
      <c r="L97" s="51">
        <f t="shared" si="0"/>
        <v>0.68449834254143649</v>
      </c>
      <c r="M97" s="50">
        <v>1858413</v>
      </c>
      <c r="N97" s="51">
        <f t="shared" si="1"/>
        <v>0.68449834254143649</v>
      </c>
      <c r="O97" s="50">
        <v>192650</v>
      </c>
      <c r="P97" s="51">
        <f t="shared" si="2"/>
        <v>7.0957642725598527E-2</v>
      </c>
      <c r="Q97" s="50">
        <v>0</v>
      </c>
      <c r="R97" s="52">
        <f t="shared" si="3"/>
        <v>-192650</v>
      </c>
    </row>
    <row r="98" spans="1:18" x14ac:dyDescent="0.25">
      <c r="A98" s="49" t="s">
        <v>70</v>
      </c>
      <c r="B98" s="49" t="s">
        <v>260</v>
      </c>
      <c r="C98" s="49" t="s">
        <v>261</v>
      </c>
      <c r="D98" s="49" t="s">
        <v>69</v>
      </c>
      <c r="E98" s="50">
        <v>39757000</v>
      </c>
      <c r="F98" s="50">
        <v>61376365</v>
      </c>
      <c r="G98" s="50">
        <v>61376365</v>
      </c>
      <c r="H98" s="50">
        <v>0</v>
      </c>
      <c r="I98" s="50">
        <v>1024072.91</v>
      </c>
      <c r="J98" s="50">
        <v>0</v>
      </c>
      <c r="K98" s="50">
        <v>59117277.789999999</v>
      </c>
      <c r="L98" s="51">
        <f t="shared" si="0"/>
        <v>0.96319288035386263</v>
      </c>
      <c r="M98" s="50">
        <v>59117277.789999999</v>
      </c>
      <c r="N98" s="51">
        <f t="shared" si="1"/>
        <v>0.96319288035386263</v>
      </c>
      <c r="O98" s="50">
        <v>1235014.3</v>
      </c>
      <c r="P98" s="51">
        <f t="shared" si="2"/>
        <v>2.0121985067053091E-2</v>
      </c>
      <c r="Q98" s="50">
        <v>1235014.3</v>
      </c>
      <c r="R98" s="52">
        <f t="shared" si="3"/>
        <v>0</v>
      </c>
    </row>
    <row r="99" spans="1:18" x14ac:dyDescent="0.25">
      <c r="A99" s="49" t="s">
        <v>70</v>
      </c>
      <c r="B99" s="49" t="s">
        <v>262</v>
      </c>
      <c r="C99" s="49" t="s">
        <v>263</v>
      </c>
      <c r="D99" s="49" t="s">
        <v>69</v>
      </c>
      <c r="E99" s="50">
        <v>30000000</v>
      </c>
      <c r="F99" s="50">
        <v>51619365</v>
      </c>
      <c r="G99" s="50">
        <v>51619365</v>
      </c>
      <c r="H99" s="50">
        <v>0</v>
      </c>
      <c r="I99" s="50">
        <v>1024072.91</v>
      </c>
      <c r="J99" s="50">
        <v>0</v>
      </c>
      <c r="K99" s="50">
        <v>50595291.789999999</v>
      </c>
      <c r="L99" s="51">
        <f t="shared" si="0"/>
        <v>0.98016106532887415</v>
      </c>
      <c r="M99" s="50">
        <v>50595291.789999999</v>
      </c>
      <c r="N99" s="51">
        <f t="shared" si="1"/>
        <v>0.98016106532887415</v>
      </c>
      <c r="O99" s="50">
        <v>0.30000000000000004</v>
      </c>
      <c r="P99" s="51">
        <f t="shared" si="2"/>
        <v>5.8117723842592803E-9</v>
      </c>
      <c r="Q99" s="50">
        <v>0.30000000000000004</v>
      </c>
      <c r="R99" s="52">
        <f t="shared" si="3"/>
        <v>0</v>
      </c>
    </row>
    <row r="100" spans="1:18" x14ac:dyDescent="0.25">
      <c r="A100" s="49" t="s">
        <v>70</v>
      </c>
      <c r="B100" s="49" t="s">
        <v>264</v>
      </c>
      <c r="C100" s="49" t="s">
        <v>265</v>
      </c>
      <c r="D100" s="49" t="s">
        <v>69</v>
      </c>
      <c r="E100" s="50">
        <v>9757000</v>
      </c>
      <c r="F100" s="50">
        <v>9757000</v>
      </c>
      <c r="G100" s="50">
        <v>9757000</v>
      </c>
      <c r="H100" s="50">
        <v>0</v>
      </c>
      <c r="I100" s="50">
        <v>0</v>
      </c>
      <c r="J100" s="50">
        <v>0</v>
      </c>
      <c r="K100" s="50">
        <v>8521986</v>
      </c>
      <c r="L100" s="51">
        <f t="shared" si="0"/>
        <v>0.87342277339346108</v>
      </c>
      <c r="M100" s="50">
        <v>8521986</v>
      </c>
      <c r="N100" s="51">
        <f t="shared" si="1"/>
        <v>0.87342277339346108</v>
      </c>
      <c r="O100" s="50">
        <v>1235014</v>
      </c>
      <c r="P100" s="51">
        <f t="shared" si="2"/>
        <v>0.12657722660653889</v>
      </c>
      <c r="Q100" s="50">
        <v>1235014</v>
      </c>
      <c r="R100" s="52">
        <f t="shared" si="3"/>
        <v>0</v>
      </c>
    </row>
    <row r="101" spans="1:18" x14ac:dyDescent="0.25">
      <c r="A101" s="49" t="s">
        <v>70</v>
      </c>
      <c r="B101" s="49" t="s">
        <v>266</v>
      </c>
      <c r="C101" s="49" t="s">
        <v>267</v>
      </c>
      <c r="D101" s="49" t="s">
        <v>69</v>
      </c>
      <c r="E101" s="50">
        <v>423341000</v>
      </c>
      <c r="F101" s="50">
        <v>423341000</v>
      </c>
      <c r="G101" s="50">
        <v>423341000</v>
      </c>
      <c r="H101" s="50">
        <v>0</v>
      </c>
      <c r="I101" s="50">
        <v>73000691.290000007</v>
      </c>
      <c r="J101" s="50">
        <v>0</v>
      </c>
      <c r="K101" s="50">
        <v>350162589.20999998</v>
      </c>
      <c r="L101" s="51">
        <f t="shared" si="0"/>
        <v>0.8271407428290668</v>
      </c>
      <c r="M101" s="50">
        <v>350162589.20999998</v>
      </c>
      <c r="N101" s="51">
        <f t="shared" si="1"/>
        <v>0.8271407428290668</v>
      </c>
      <c r="O101" s="50">
        <v>177719.5</v>
      </c>
      <c r="P101" s="51">
        <f t="shared" si="2"/>
        <v>4.1980223980195633E-4</v>
      </c>
      <c r="Q101" s="50">
        <v>177719.5</v>
      </c>
      <c r="R101" s="52">
        <f t="shared" si="3"/>
        <v>0</v>
      </c>
    </row>
    <row r="102" spans="1:18" x14ac:dyDescent="0.25">
      <c r="A102" s="49" t="s">
        <v>70</v>
      </c>
      <c r="B102" s="49" t="s">
        <v>268</v>
      </c>
      <c r="C102" s="49" t="s">
        <v>269</v>
      </c>
      <c r="D102" s="49" t="s">
        <v>69</v>
      </c>
      <c r="E102" s="50">
        <v>406300000</v>
      </c>
      <c r="F102" s="50">
        <v>406300000</v>
      </c>
      <c r="G102" s="50">
        <v>406300000</v>
      </c>
      <c r="H102" s="50">
        <v>0</v>
      </c>
      <c r="I102" s="50">
        <v>70556835</v>
      </c>
      <c r="J102" s="50">
        <v>0</v>
      </c>
      <c r="K102" s="50">
        <v>335743165</v>
      </c>
      <c r="L102" s="51">
        <f t="shared" si="0"/>
        <v>0.8263430100910657</v>
      </c>
      <c r="M102" s="50">
        <v>335743165</v>
      </c>
      <c r="N102" s="51">
        <f t="shared" si="1"/>
        <v>0.8263430100910657</v>
      </c>
      <c r="O102" s="50">
        <v>0</v>
      </c>
      <c r="P102" s="51">
        <f t="shared" si="2"/>
        <v>0</v>
      </c>
      <c r="Q102" s="50">
        <v>0</v>
      </c>
      <c r="R102" s="52">
        <f t="shared" si="3"/>
        <v>0</v>
      </c>
    </row>
    <row r="103" spans="1:18" x14ac:dyDescent="0.25">
      <c r="A103" s="49" t="s">
        <v>70</v>
      </c>
      <c r="B103" s="49" t="s">
        <v>270</v>
      </c>
      <c r="C103" s="49" t="s">
        <v>271</v>
      </c>
      <c r="D103" s="49" t="s">
        <v>69</v>
      </c>
      <c r="E103" s="50">
        <v>13364000</v>
      </c>
      <c r="F103" s="50">
        <v>13364000</v>
      </c>
      <c r="G103" s="50">
        <v>13364000</v>
      </c>
      <c r="H103" s="50">
        <v>0</v>
      </c>
      <c r="I103" s="50">
        <v>2443856.29</v>
      </c>
      <c r="J103" s="50">
        <v>0</v>
      </c>
      <c r="K103" s="50">
        <v>10920143.710000001</v>
      </c>
      <c r="L103" s="51">
        <f t="shared" si="0"/>
        <v>0.81713137608500452</v>
      </c>
      <c r="M103" s="50">
        <v>10920143.710000001</v>
      </c>
      <c r="N103" s="51">
        <f t="shared" si="1"/>
        <v>0.81713137608500452</v>
      </c>
      <c r="O103" s="50">
        <v>0</v>
      </c>
      <c r="P103" s="51">
        <f t="shared" si="2"/>
        <v>0</v>
      </c>
      <c r="Q103" s="50">
        <v>0</v>
      </c>
      <c r="R103" s="52">
        <f t="shared" si="3"/>
        <v>0</v>
      </c>
    </row>
    <row r="104" spans="1:18" x14ac:dyDescent="0.25">
      <c r="A104" s="49" t="s">
        <v>70</v>
      </c>
      <c r="B104" s="49" t="s">
        <v>272</v>
      </c>
      <c r="C104" s="49" t="s">
        <v>273</v>
      </c>
      <c r="D104" s="49" t="s">
        <v>69</v>
      </c>
      <c r="E104" s="50">
        <v>3677000</v>
      </c>
      <c r="F104" s="50">
        <v>3677000</v>
      </c>
      <c r="G104" s="50">
        <v>3677000</v>
      </c>
      <c r="H104" s="50">
        <v>0</v>
      </c>
      <c r="I104" s="50">
        <v>0</v>
      </c>
      <c r="J104" s="50">
        <v>0</v>
      </c>
      <c r="K104" s="50">
        <v>3499280.5</v>
      </c>
      <c r="L104" s="51">
        <f t="shared" si="0"/>
        <v>0.95166725591514822</v>
      </c>
      <c r="M104" s="50">
        <v>3499280.5</v>
      </c>
      <c r="N104" s="51">
        <f t="shared" si="1"/>
        <v>0.95166725591514822</v>
      </c>
      <c r="O104" s="50">
        <v>177719.5</v>
      </c>
      <c r="P104" s="51">
        <f t="shared" si="2"/>
        <v>4.8332744084851782E-2</v>
      </c>
      <c r="Q104" s="50">
        <v>177719.5</v>
      </c>
      <c r="R104" s="52">
        <f t="shared" si="3"/>
        <v>0</v>
      </c>
    </row>
    <row r="105" spans="1:18" x14ac:dyDescent="0.25">
      <c r="A105" s="49" t="s">
        <v>274</v>
      </c>
      <c r="B105" s="49"/>
      <c r="C105" s="49"/>
      <c r="D105" s="49" t="s">
        <v>69</v>
      </c>
      <c r="E105" s="50">
        <v>1241247489</v>
      </c>
      <c r="F105" s="50">
        <v>1241247489</v>
      </c>
      <c r="G105" s="50">
        <v>1168888174</v>
      </c>
      <c r="H105" s="50">
        <v>29843298.239999998</v>
      </c>
      <c r="I105" s="50">
        <v>72877892.620000005</v>
      </c>
      <c r="J105" s="50">
        <v>3219390.17</v>
      </c>
      <c r="K105" s="50">
        <v>794364674.12</v>
      </c>
      <c r="L105" s="51">
        <f t="shared" si="0"/>
        <v>0.6399728347164455</v>
      </c>
      <c r="M105" s="50">
        <v>785156604.83000004</v>
      </c>
      <c r="N105" s="51">
        <f t="shared" si="1"/>
        <v>0.63255443558846958</v>
      </c>
      <c r="O105" s="50">
        <v>340942233.85000002</v>
      </c>
      <c r="P105" s="51">
        <f t="shared" si="2"/>
        <v>0.2746770784001159</v>
      </c>
      <c r="Q105" s="50">
        <v>268582918.85000002</v>
      </c>
      <c r="R105" s="52">
        <f t="shared" si="3"/>
        <v>-72359315</v>
      </c>
    </row>
    <row r="106" spans="1:18" x14ac:dyDescent="0.25">
      <c r="A106" s="49" t="s">
        <v>274</v>
      </c>
      <c r="B106" s="49" t="s">
        <v>71</v>
      </c>
      <c r="C106" s="49" t="s">
        <v>72</v>
      </c>
      <c r="D106" s="49" t="s">
        <v>69</v>
      </c>
      <c r="E106" s="50">
        <v>953910000</v>
      </c>
      <c r="F106" s="50">
        <v>953910000</v>
      </c>
      <c r="G106" s="50">
        <v>909547900</v>
      </c>
      <c r="H106" s="50">
        <v>0</v>
      </c>
      <c r="I106" s="50">
        <v>34292583</v>
      </c>
      <c r="J106" s="50">
        <v>0</v>
      </c>
      <c r="K106" s="50">
        <v>640628839.58000004</v>
      </c>
      <c r="L106" s="51">
        <f t="shared" si="0"/>
        <v>0.6715820565671814</v>
      </c>
      <c r="M106" s="50">
        <v>640628839.58000004</v>
      </c>
      <c r="N106" s="51">
        <f t="shared" si="1"/>
        <v>0.6715820565671814</v>
      </c>
      <c r="O106" s="50">
        <v>278988577.42000002</v>
      </c>
      <c r="P106" s="51">
        <f t="shared" si="2"/>
        <v>0.29246844819741907</v>
      </c>
      <c r="Q106" s="50">
        <v>234626477.41999999</v>
      </c>
      <c r="R106" s="52">
        <f t="shared" si="3"/>
        <v>-44362100</v>
      </c>
    </row>
    <row r="107" spans="1:18" x14ac:dyDescent="0.25">
      <c r="A107" s="49" t="s">
        <v>274</v>
      </c>
      <c r="B107" s="49" t="s">
        <v>73</v>
      </c>
      <c r="C107" s="49" t="s">
        <v>74</v>
      </c>
      <c r="D107" s="49" t="s">
        <v>69</v>
      </c>
      <c r="E107" s="50">
        <v>383841000</v>
      </c>
      <c r="F107" s="50">
        <v>383841000</v>
      </c>
      <c r="G107" s="50">
        <v>374422200</v>
      </c>
      <c r="H107" s="50">
        <v>0</v>
      </c>
      <c r="I107" s="50">
        <v>0</v>
      </c>
      <c r="J107" s="50">
        <v>0</v>
      </c>
      <c r="K107" s="50">
        <v>280423406.86000001</v>
      </c>
      <c r="L107" s="51">
        <f t="shared" si="0"/>
        <v>0.73057179108016079</v>
      </c>
      <c r="M107" s="50">
        <v>280423406.86000001</v>
      </c>
      <c r="N107" s="51">
        <f t="shared" si="1"/>
        <v>0.73057179108016079</v>
      </c>
      <c r="O107" s="50">
        <v>103417593.14</v>
      </c>
      <c r="P107" s="51">
        <f t="shared" si="2"/>
        <v>0.26942820891983921</v>
      </c>
      <c r="Q107" s="50">
        <v>93998793.140000001</v>
      </c>
      <c r="R107" s="52">
        <f t="shared" si="3"/>
        <v>-9418800</v>
      </c>
    </row>
    <row r="108" spans="1:18" x14ac:dyDescent="0.25">
      <c r="A108" s="49" t="s">
        <v>274</v>
      </c>
      <c r="B108" s="49" t="s">
        <v>75</v>
      </c>
      <c r="C108" s="49" t="s">
        <v>76</v>
      </c>
      <c r="D108" s="49" t="s">
        <v>69</v>
      </c>
      <c r="E108" s="50">
        <v>383841000</v>
      </c>
      <c r="F108" s="50">
        <v>383841000</v>
      </c>
      <c r="G108" s="50">
        <v>374422200</v>
      </c>
      <c r="H108" s="50">
        <v>0</v>
      </c>
      <c r="I108" s="50">
        <v>0</v>
      </c>
      <c r="J108" s="50">
        <v>0</v>
      </c>
      <c r="K108" s="50">
        <v>280423406.86000001</v>
      </c>
      <c r="L108" s="51">
        <f t="shared" si="0"/>
        <v>0.73057179108016079</v>
      </c>
      <c r="M108" s="50">
        <v>280423406.86000001</v>
      </c>
      <c r="N108" s="51">
        <f t="shared" si="1"/>
        <v>0.73057179108016079</v>
      </c>
      <c r="O108" s="50">
        <v>103417593.14</v>
      </c>
      <c r="P108" s="51">
        <f t="shared" si="2"/>
        <v>0.26942820891983921</v>
      </c>
      <c r="Q108" s="50">
        <v>93998793.140000001</v>
      </c>
      <c r="R108" s="52">
        <f t="shared" si="3"/>
        <v>-9418800</v>
      </c>
    </row>
    <row r="109" spans="1:18" x14ac:dyDescent="0.25">
      <c r="A109" s="49" t="s">
        <v>274</v>
      </c>
      <c r="B109" s="49" t="s">
        <v>77</v>
      </c>
      <c r="C109" s="49" t="s">
        <v>78</v>
      </c>
      <c r="D109" s="49" t="s">
        <v>69</v>
      </c>
      <c r="E109" s="50">
        <v>425514000</v>
      </c>
      <c r="F109" s="50">
        <v>425514000</v>
      </c>
      <c r="G109" s="50">
        <v>397514000</v>
      </c>
      <c r="H109" s="50">
        <v>0</v>
      </c>
      <c r="I109" s="50">
        <v>0</v>
      </c>
      <c r="J109" s="50">
        <v>0</v>
      </c>
      <c r="K109" s="50">
        <v>256886315.72</v>
      </c>
      <c r="L109" s="51">
        <f t="shared" si="0"/>
        <v>0.60370825805966433</v>
      </c>
      <c r="M109" s="50">
        <v>256886315.72</v>
      </c>
      <c r="N109" s="51">
        <f t="shared" si="1"/>
        <v>0.60370825805966433</v>
      </c>
      <c r="O109" s="50">
        <v>168627684.28</v>
      </c>
      <c r="P109" s="51">
        <f t="shared" si="2"/>
        <v>0.39629174194033567</v>
      </c>
      <c r="Q109" s="50">
        <v>140627684.28</v>
      </c>
      <c r="R109" s="52">
        <f t="shared" si="3"/>
        <v>-28000000</v>
      </c>
    </row>
    <row r="110" spans="1:18" x14ac:dyDescent="0.25">
      <c r="A110" s="49" t="s">
        <v>274</v>
      </c>
      <c r="B110" s="49" t="s">
        <v>79</v>
      </c>
      <c r="C110" s="49" t="s">
        <v>80</v>
      </c>
      <c r="D110" s="49" t="s">
        <v>69</v>
      </c>
      <c r="E110" s="50">
        <v>70660000</v>
      </c>
      <c r="F110" s="50">
        <v>70660000</v>
      </c>
      <c r="G110" s="50">
        <v>66660000</v>
      </c>
      <c r="H110" s="50">
        <v>0</v>
      </c>
      <c r="I110" s="50">
        <v>0</v>
      </c>
      <c r="J110" s="50">
        <v>0</v>
      </c>
      <c r="K110" s="50">
        <v>49921789.479999997</v>
      </c>
      <c r="L110" s="51">
        <f t="shared" si="0"/>
        <v>0.70650706878007352</v>
      </c>
      <c r="M110" s="50">
        <v>49921789.479999997</v>
      </c>
      <c r="N110" s="51">
        <f t="shared" si="1"/>
        <v>0.70650706878007352</v>
      </c>
      <c r="O110" s="50">
        <v>20738210.52</v>
      </c>
      <c r="P110" s="51">
        <f t="shared" si="2"/>
        <v>0.29349293121992642</v>
      </c>
      <c r="Q110" s="50">
        <v>16738210.52</v>
      </c>
      <c r="R110" s="52">
        <f t="shared" si="3"/>
        <v>-4000000</v>
      </c>
    </row>
    <row r="111" spans="1:18" x14ac:dyDescent="0.25">
      <c r="A111" s="49" t="s">
        <v>274</v>
      </c>
      <c r="B111" s="49" t="s">
        <v>81</v>
      </c>
      <c r="C111" s="49" t="s">
        <v>82</v>
      </c>
      <c r="D111" s="49" t="s">
        <v>69</v>
      </c>
      <c r="E111" s="50">
        <v>211191000</v>
      </c>
      <c r="F111" s="50">
        <v>211191000</v>
      </c>
      <c r="G111" s="50">
        <v>187191000</v>
      </c>
      <c r="H111" s="50">
        <v>0</v>
      </c>
      <c r="I111" s="50">
        <v>0</v>
      </c>
      <c r="J111" s="50">
        <v>0</v>
      </c>
      <c r="K111" s="50">
        <v>136808306.69</v>
      </c>
      <c r="L111" s="51">
        <f t="shared" si="0"/>
        <v>0.64779420851267333</v>
      </c>
      <c r="M111" s="50">
        <v>136808306.69</v>
      </c>
      <c r="N111" s="51">
        <f t="shared" si="1"/>
        <v>0.64779420851267333</v>
      </c>
      <c r="O111" s="50">
        <v>74382693.310000002</v>
      </c>
      <c r="P111" s="51">
        <f t="shared" si="2"/>
        <v>0.35220579148732667</v>
      </c>
      <c r="Q111" s="50">
        <v>50382693.310000002</v>
      </c>
      <c r="R111" s="52">
        <f t="shared" si="3"/>
        <v>-24000000</v>
      </c>
    </row>
    <row r="112" spans="1:18" x14ac:dyDescent="0.25">
      <c r="A112" s="49" t="s">
        <v>274</v>
      </c>
      <c r="B112" s="49" t="s">
        <v>83</v>
      </c>
      <c r="C112" s="49" t="s">
        <v>84</v>
      </c>
      <c r="D112" s="49" t="s">
        <v>85</v>
      </c>
      <c r="E112" s="50">
        <v>61518000</v>
      </c>
      <c r="F112" s="50">
        <v>61518000</v>
      </c>
      <c r="G112" s="50">
        <v>61518000</v>
      </c>
      <c r="H112" s="50">
        <v>0</v>
      </c>
      <c r="I112" s="50">
        <v>0</v>
      </c>
      <c r="J112" s="50">
        <v>0</v>
      </c>
      <c r="K112" s="50">
        <v>0</v>
      </c>
      <c r="L112" s="51">
        <f t="shared" si="0"/>
        <v>0</v>
      </c>
      <c r="M112" s="50">
        <v>0</v>
      </c>
      <c r="N112" s="51">
        <f t="shared" si="1"/>
        <v>0</v>
      </c>
      <c r="O112" s="50">
        <v>61518000</v>
      </c>
      <c r="P112" s="51">
        <f t="shared" si="2"/>
        <v>1</v>
      </c>
      <c r="Q112" s="50">
        <v>61518000</v>
      </c>
      <c r="R112" s="52">
        <f t="shared" si="3"/>
        <v>0</v>
      </c>
    </row>
    <row r="113" spans="1:18" x14ac:dyDescent="0.25">
      <c r="A113" s="49" t="s">
        <v>274</v>
      </c>
      <c r="B113" s="49" t="s">
        <v>86</v>
      </c>
      <c r="C113" s="49" t="s">
        <v>87</v>
      </c>
      <c r="D113" s="49" t="s">
        <v>69</v>
      </c>
      <c r="E113" s="50">
        <v>46480000</v>
      </c>
      <c r="F113" s="50">
        <v>46480000</v>
      </c>
      <c r="G113" s="50">
        <v>46480000</v>
      </c>
      <c r="H113" s="50">
        <v>0</v>
      </c>
      <c r="I113" s="50">
        <v>0</v>
      </c>
      <c r="J113" s="50">
        <v>0</v>
      </c>
      <c r="K113" s="50">
        <v>44448031.07</v>
      </c>
      <c r="L113" s="51">
        <f t="shared" si="0"/>
        <v>0.95628294040447503</v>
      </c>
      <c r="M113" s="50">
        <v>44448031.07</v>
      </c>
      <c r="N113" s="51">
        <f t="shared" si="1"/>
        <v>0.95628294040447503</v>
      </c>
      <c r="O113" s="50">
        <v>2031968.93</v>
      </c>
      <c r="P113" s="51">
        <f t="shared" si="2"/>
        <v>4.3717059595524958E-2</v>
      </c>
      <c r="Q113" s="50">
        <v>2031968.93</v>
      </c>
      <c r="R113" s="52">
        <f t="shared" si="3"/>
        <v>0</v>
      </c>
    </row>
    <row r="114" spans="1:18" x14ac:dyDescent="0.25">
      <c r="A114" s="49" t="s">
        <v>274</v>
      </c>
      <c r="B114" s="49" t="s">
        <v>88</v>
      </c>
      <c r="C114" s="49" t="s">
        <v>89</v>
      </c>
      <c r="D114" s="49" t="s">
        <v>69</v>
      </c>
      <c r="E114" s="50">
        <v>35665000</v>
      </c>
      <c r="F114" s="50">
        <v>35665000</v>
      </c>
      <c r="G114" s="50">
        <v>35665000</v>
      </c>
      <c r="H114" s="50">
        <v>0</v>
      </c>
      <c r="I114" s="50">
        <v>0</v>
      </c>
      <c r="J114" s="50">
        <v>0</v>
      </c>
      <c r="K114" s="50">
        <v>25708188.48</v>
      </c>
      <c r="L114" s="51">
        <f t="shared" si="0"/>
        <v>0.72082401458012058</v>
      </c>
      <c r="M114" s="50">
        <v>25708188.48</v>
      </c>
      <c r="N114" s="51">
        <f t="shared" si="1"/>
        <v>0.72082401458012058</v>
      </c>
      <c r="O114" s="50">
        <v>9956811.5199999996</v>
      </c>
      <c r="P114" s="51">
        <f t="shared" si="2"/>
        <v>0.27917598541987942</v>
      </c>
      <c r="Q114" s="50">
        <v>9956811.5199999996</v>
      </c>
      <c r="R114" s="52">
        <f t="shared" si="3"/>
        <v>0</v>
      </c>
    </row>
    <row r="115" spans="1:18" x14ac:dyDescent="0.25">
      <c r="A115" s="49" t="s">
        <v>274</v>
      </c>
      <c r="B115" s="49" t="s">
        <v>90</v>
      </c>
      <c r="C115" s="49" t="s">
        <v>91</v>
      </c>
      <c r="D115" s="49" t="s">
        <v>69</v>
      </c>
      <c r="E115" s="50">
        <v>72913000</v>
      </c>
      <c r="F115" s="50">
        <v>72913000</v>
      </c>
      <c r="G115" s="50">
        <v>69410800</v>
      </c>
      <c r="H115" s="50">
        <v>0</v>
      </c>
      <c r="I115" s="50">
        <v>17294218</v>
      </c>
      <c r="J115" s="50">
        <v>0</v>
      </c>
      <c r="K115" s="50">
        <v>52116582</v>
      </c>
      <c r="L115" s="51">
        <f t="shared" si="0"/>
        <v>0.71477763910413783</v>
      </c>
      <c r="M115" s="50">
        <v>52116582</v>
      </c>
      <c r="N115" s="51">
        <f t="shared" si="1"/>
        <v>0.71477763910413783</v>
      </c>
      <c r="O115" s="50">
        <v>3502200</v>
      </c>
      <c r="P115" s="51">
        <f t="shared" si="2"/>
        <v>4.803258678150673E-2</v>
      </c>
      <c r="Q115" s="50">
        <v>0</v>
      </c>
      <c r="R115" s="52">
        <f t="shared" si="3"/>
        <v>-3502200</v>
      </c>
    </row>
    <row r="116" spans="1:18" x14ac:dyDescent="0.25">
      <c r="A116" s="49" t="s">
        <v>274</v>
      </c>
      <c r="B116" s="49" t="s">
        <v>275</v>
      </c>
      <c r="C116" s="49" t="s">
        <v>93</v>
      </c>
      <c r="D116" s="49" t="s">
        <v>69</v>
      </c>
      <c r="E116" s="50">
        <v>69174000</v>
      </c>
      <c r="F116" s="50">
        <v>69174000</v>
      </c>
      <c r="G116" s="50">
        <v>65851400</v>
      </c>
      <c r="H116" s="50">
        <v>0</v>
      </c>
      <c r="I116" s="50">
        <v>16407065</v>
      </c>
      <c r="J116" s="50">
        <v>0</v>
      </c>
      <c r="K116" s="50">
        <v>49444335</v>
      </c>
      <c r="L116" s="51">
        <f t="shared" si="0"/>
        <v>0.71478207129846472</v>
      </c>
      <c r="M116" s="50">
        <v>49444335</v>
      </c>
      <c r="N116" s="51">
        <f t="shared" si="1"/>
        <v>0.71478207129846472</v>
      </c>
      <c r="O116" s="50">
        <v>3322600</v>
      </c>
      <c r="P116" s="51">
        <f t="shared" si="2"/>
        <v>4.8032497759273714E-2</v>
      </c>
      <c r="Q116" s="50">
        <v>0</v>
      </c>
      <c r="R116" s="52">
        <f t="shared" si="3"/>
        <v>-3322600</v>
      </c>
    </row>
    <row r="117" spans="1:18" x14ac:dyDescent="0.25">
      <c r="A117" s="49" t="s">
        <v>274</v>
      </c>
      <c r="B117" s="49" t="s">
        <v>276</v>
      </c>
      <c r="C117" s="49" t="s">
        <v>95</v>
      </c>
      <c r="D117" s="49" t="s">
        <v>69</v>
      </c>
      <c r="E117" s="50">
        <v>3739000</v>
      </c>
      <c r="F117" s="50">
        <v>3739000</v>
      </c>
      <c r="G117" s="50">
        <v>3559400</v>
      </c>
      <c r="H117" s="50">
        <v>0</v>
      </c>
      <c r="I117" s="50">
        <v>887153</v>
      </c>
      <c r="J117" s="50">
        <v>0</v>
      </c>
      <c r="K117" s="50">
        <v>2672247</v>
      </c>
      <c r="L117" s="51">
        <f t="shared" si="0"/>
        <v>0.71469564054560042</v>
      </c>
      <c r="M117" s="50">
        <v>2672247</v>
      </c>
      <c r="N117" s="51">
        <f t="shared" si="1"/>
        <v>0.71469564054560042</v>
      </c>
      <c r="O117" s="50">
        <v>179600</v>
      </c>
      <c r="P117" s="51">
        <f t="shared" si="2"/>
        <v>4.80342337523402E-2</v>
      </c>
      <c r="Q117" s="50">
        <v>0</v>
      </c>
      <c r="R117" s="52">
        <f t="shared" si="3"/>
        <v>-179600</v>
      </c>
    </row>
    <row r="118" spans="1:18" x14ac:dyDescent="0.25">
      <c r="A118" s="49" t="s">
        <v>274</v>
      </c>
      <c r="B118" s="49" t="s">
        <v>96</v>
      </c>
      <c r="C118" s="49" t="s">
        <v>97</v>
      </c>
      <c r="D118" s="49" t="s">
        <v>69</v>
      </c>
      <c r="E118" s="50">
        <v>71642000</v>
      </c>
      <c r="F118" s="50">
        <v>71642000</v>
      </c>
      <c r="G118" s="50">
        <v>68200900</v>
      </c>
      <c r="H118" s="50">
        <v>0</v>
      </c>
      <c r="I118" s="50">
        <v>16998365</v>
      </c>
      <c r="J118" s="50">
        <v>0</v>
      </c>
      <c r="K118" s="50">
        <v>51202535</v>
      </c>
      <c r="L118" s="51">
        <f t="shared" si="0"/>
        <v>0.71469996650009771</v>
      </c>
      <c r="M118" s="50">
        <v>51202535</v>
      </c>
      <c r="N118" s="51">
        <f t="shared" si="1"/>
        <v>0.71469996650009771</v>
      </c>
      <c r="O118" s="50">
        <v>3441100</v>
      </c>
      <c r="P118" s="51">
        <f t="shared" si="2"/>
        <v>4.8031880740347838E-2</v>
      </c>
      <c r="Q118" s="50">
        <v>0</v>
      </c>
      <c r="R118" s="52">
        <f t="shared" si="3"/>
        <v>-3441100</v>
      </c>
    </row>
    <row r="119" spans="1:18" x14ac:dyDescent="0.25">
      <c r="A119" s="49" t="s">
        <v>274</v>
      </c>
      <c r="B119" s="49" t="s">
        <v>277</v>
      </c>
      <c r="C119" s="49" t="s">
        <v>99</v>
      </c>
      <c r="D119" s="49" t="s">
        <v>69</v>
      </c>
      <c r="E119" s="50">
        <v>37990000</v>
      </c>
      <c r="F119" s="50">
        <v>37990000</v>
      </c>
      <c r="G119" s="50">
        <v>36165300</v>
      </c>
      <c r="H119" s="50">
        <v>0</v>
      </c>
      <c r="I119" s="50">
        <v>9012924</v>
      </c>
      <c r="J119" s="50">
        <v>0</v>
      </c>
      <c r="K119" s="50">
        <v>27152376</v>
      </c>
      <c r="L119" s="51">
        <f t="shared" si="0"/>
        <v>0.71472429586733355</v>
      </c>
      <c r="M119" s="50">
        <v>27152376</v>
      </c>
      <c r="N119" s="51">
        <f t="shared" si="1"/>
        <v>0.71472429586733355</v>
      </c>
      <c r="O119" s="50">
        <v>1824700</v>
      </c>
      <c r="P119" s="51">
        <f t="shared" si="2"/>
        <v>4.8031060805475125E-2</v>
      </c>
      <c r="Q119" s="50">
        <v>0</v>
      </c>
      <c r="R119" s="52">
        <f t="shared" si="3"/>
        <v>-1824700</v>
      </c>
    </row>
    <row r="120" spans="1:18" x14ac:dyDescent="0.25">
      <c r="A120" s="49" t="s">
        <v>274</v>
      </c>
      <c r="B120" s="49" t="s">
        <v>278</v>
      </c>
      <c r="C120" s="49" t="s">
        <v>101</v>
      </c>
      <c r="D120" s="49" t="s">
        <v>69</v>
      </c>
      <c r="E120" s="50">
        <v>11217000</v>
      </c>
      <c r="F120" s="50">
        <v>11217000</v>
      </c>
      <c r="G120" s="50">
        <v>10678200</v>
      </c>
      <c r="H120" s="50">
        <v>0</v>
      </c>
      <c r="I120" s="50">
        <v>2661484</v>
      </c>
      <c r="J120" s="50">
        <v>0</v>
      </c>
      <c r="K120" s="50">
        <v>8016716</v>
      </c>
      <c r="L120" s="51">
        <f t="shared" si="0"/>
        <v>0.71469341178568246</v>
      </c>
      <c r="M120" s="50">
        <v>8016716</v>
      </c>
      <c r="N120" s="51">
        <f t="shared" si="1"/>
        <v>0.71469341178568246</v>
      </c>
      <c r="O120" s="50">
        <v>538800</v>
      </c>
      <c r="P120" s="51">
        <f t="shared" si="2"/>
        <v>4.80342337523402E-2</v>
      </c>
      <c r="Q120" s="50">
        <v>0</v>
      </c>
      <c r="R120" s="52">
        <f t="shared" si="3"/>
        <v>-538800</v>
      </c>
    </row>
    <row r="121" spans="1:18" x14ac:dyDescent="0.25">
      <c r="A121" s="49" t="s">
        <v>274</v>
      </c>
      <c r="B121" s="49" t="s">
        <v>279</v>
      </c>
      <c r="C121" s="49" t="s">
        <v>103</v>
      </c>
      <c r="D121" s="49" t="s">
        <v>69</v>
      </c>
      <c r="E121" s="50">
        <v>22435000</v>
      </c>
      <c r="F121" s="50">
        <v>22435000</v>
      </c>
      <c r="G121" s="50">
        <v>21357400</v>
      </c>
      <c r="H121" s="50">
        <v>0</v>
      </c>
      <c r="I121" s="50">
        <v>5323957</v>
      </c>
      <c r="J121" s="50">
        <v>0</v>
      </c>
      <c r="K121" s="50">
        <v>16033443</v>
      </c>
      <c r="L121" s="51">
        <f t="shared" si="0"/>
        <v>0.71466204591040783</v>
      </c>
      <c r="M121" s="50">
        <v>16033443</v>
      </c>
      <c r="N121" s="51">
        <f t="shared" si="1"/>
        <v>0.71466204591040783</v>
      </c>
      <c r="O121" s="50">
        <v>1077600</v>
      </c>
      <c r="P121" s="51">
        <f t="shared" si="2"/>
        <v>4.8032092712279921E-2</v>
      </c>
      <c r="Q121" s="50">
        <v>0</v>
      </c>
      <c r="R121" s="52">
        <f t="shared" si="3"/>
        <v>-1077600</v>
      </c>
    </row>
    <row r="122" spans="1:18" x14ac:dyDescent="0.25">
      <c r="A122" s="49" t="s">
        <v>274</v>
      </c>
      <c r="B122" s="49" t="s">
        <v>104</v>
      </c>
      <c r="C122" s="49" t="s">
        <v>105</v>
      </c>
      <c r="D122" s="49" t="s">
        <v>69</v>
      </c>
      <c r="E122" s="50">
        <v>155922650</v>
      </c>
      <c r="F122" s="50">
        <v>155922650</v>
      </c>
      <c r="G122" s="50">
        <v>141090650</v>
      </c>
      <c r="H122" s="50">
        <v>1449814.24</v>
      </c>
      <c r="I122" s="50">
        <v>15816135.32</v>
      </c>
      <c r="J122" s="50">
        <v>0</v>
      </c>
      <c r="K122" s="50">
        <v>99726820.310000002</v>
      </c>
      <c r="L122" s="51">
        <f t="shared" si="0"/>
        <v>0.63959162001158909</v>
      </c>
      <c r="M122" s="50">
        <v>91957304.040000007</v>
      </c>
      <c r="N122" s="51">
        <f t="shared" si="1"/>
        <v>0.58976232151005648</v>
      </c>
      <c r="O122" s="50">
        <v>38929880.130000003</v>
      </c>
      <c r="P122" s="51">
        <f t="shared" si="2"/>
        <v>0.24967431049946884</v>
      </c>
      <c r="Q122" s="50">
        <v>24097880.129999999</v>
      </c>
      <c r="R122" s="52">
        <f t="shared" si="3"/>
        <v>-14832000</v>
      </c>
    </row>
    <row r="123" spans="1:18" x14ac:dyDescent="0.25">
      <c r="A123" s="49" t="s">
        <v>274</v>
      </c>
      <c r="B123" s="49" t="s">
        <v>106</v>
      </c>
      <c r="C123" s="49" t="s">
        <v>107</v>
      </c>
      <c r="D123" s="49" t="s">
        <v>69</v>
      </c>
      <c r="E123" s="50">
        <v>78966646</v>
      </c>
      <c r="F123" s="50">
        <v>78966646</v>
      </c>
      <c r="G123" s="50">
        <v>73516646</v>
      </c>
      <c r="H123" s="50">
        <v>1429814.24</v>
      </c>
      <c r="I123" s="50">
        <v>5952249.7999999998</v>
      </c>
      <c r="J123" s="50">
        <v>0</v>
      </c>
      <c r="K123" s="50">
        <v>64443125.670000002</v>
      </c>
      <c r="L123" s="51">
        <f t="shared" si="0"/>
        <v>0.8160803191514554</v>
      </c>
      <c r="M123" s="50">
        <v>58934686.43</v>
      </c>
      <c r="N123" s="51">
        <f t="shared" si="1"/>
        <v>0.74632378878039218</v>
      </c>
      <c r="O123" s="50">
        <v>7141456.29</v>
      </c>
      <c r="P123" s="51">
        <f t="shared" si="2"/>
        <v>9.0436363347634136E-2</v>
      </c>
      <c r="Q123" s="50">
        <v>1691456.29</v>
      </c>
      <c r="R123" s="52">
        <f t="shared" si="3"/>
        <v>-5450000</v>
      </c>
    </row>
    <row r="124" spans="1:18" x14ac:dyDescent="0.25">
      <c r="A124" s="49" t="s">
        <v>274</v>
      </c>
      <c r="B124" s="49" t="s">
        <v>280</v>
      </c>
      <c r="C124" s="49" t="s">
        <v>281</v>
      </c>
      <c r="D124" s="49" t="s">
        <v>69</v>
      </c>
      <c r="E124" s="50">
        <v>67899341</v>
      </c>
      <c r="F124" s="50">
        <v>67899341</v>
      </c>
      <c r="G124" s="50">
        <v>62449341</v>
      </c>
      <c r="H124" s="50">
        <v>0</v>
      </c>
      <c r="I124" s="50">
        <v>5839023.7300000004</v>
      </c>
      <c r="J124" s="50">
        <v>0</v>
      </c>
      <c r="K124" s="50">
        <v>55911759.18</v>
      </c>
      <c r="L124" s="51">
        <f t="shared" si="0"/>
        <v>0.82345068974969871</v>
      </c>
      <c r="M124" s="50">
        <v>50403319.939999998</v>
      </c>
      <c r="N124" s="51">
        <f t="shared" si="1"/>
        <v>0.74232414037715033</v>
      </c>
      <c r="O124" s="50">
        <v>6148558.0899999999</v>
      </c>
      <c r="P124" s="51">
        <f t="shared" si="2"/>
        <v>9.0554017159017786E-2</v>
      </c>
      <c r="Q124" s="50">
        <v>698558.09</v>
      </c>
      <c r="R124" s="52">
        <f t="shared" si="3"/>
        <v>-5450000</v>
      </c>
    </row>
    <row r="125" spans="1:18" x14ac:dyDescent="0.25">
      <c r="A125" s="49" t="s">
        <v>274</v>
      </c>
      <c r="B125" s="49" t="s">
        <v>108</v>
      </c>
      <c r="C125" s="49" t="s">
        <v>109</v>
      </c>
      <c r="D125" s="49" t="s">
        <v>69</v>
      </c>
      <c r="E125" s="50">
        <v>11067305</v>
      </c>
      <c r="F125" s="50">
        <v>11067305</v>
      </c>
      <c r="G125" s="50">
        <v>11067305</v>
      </c>
      <c r="H125" s="50">
        <v>1429814.24</v>
      </c>
      <c r="I125" s="50">
        <v>113226.07</v>
      </c>
      <c r="J125" s="50">
        <v>0</v>
      </c>
      <c r="K125" s="50">
        <v>8531366.4900000002</v>
      </c>
      <c r="L125" s="51">
        <f t="shared" si="0"/>
        <v>0.77086214665629982</v>
      </c>
      <c r="M125" s="50">
        <v>8531366.4900000002</v>
      </c>
      <c r="N125" s="51">
        <f t="shared" si="1"/>
        <v>0.77086214665629982</v>
      </c>
      <c r="O125" s="50">
        <v>992898.2</v>
      </c>
      <c r="P125" s="51">
        <f t="shared" si="2"/>
        <v>8.9714542067829514E-2</v>
      </c>
      <c r="Q125" s="50">
        <v>992898.2</v>
      </c>
      <c r="R125" s="52">
        <f t="shared" si="3"/>
        <v>0</v>
      </c>
    </row>
    <row r="126" spans="1:18" x14ac:dyDescent="0.25">
      <c r="A126" s="49" t="s">
        <v>274</v>
      </c>
      <c r="B126" s="49" t="s">
        <v>112</v>
      </c>
      <c r="C126" s="49" t="s">
        <v>113</v>
      </c>
      <c r="D126" s="49" t="s">
        <v>69</v>
      </c>
      <c r="E126" s="50">
        <v>14518657</v>
      </c>
      <c r="F126" s="50">
        <v>14482767</v>
      </c>
      <c r="G126" s="50">
        <v>14332767</v>
      </c>
      <c r="H126" s="50">
        <v>0</v>
      </c>
      <c r="I126" s="50">
        <v>2319401.52</v>
      </c>
      <c r="J126" s="50">
        <v>0</v>
      </c>
      <c r="K126" s="50">
        <v>11967516.369999999</v>
      </c>
      <c r="L126" s="51">
        <f t="shared" si="0"/>
        <v>0.82632803317211412</v>
      </c>
      <c r="M126" s="50">
        <v>11054164.92</v>
      </c>
      <c r="N126" s="51">
        <f t="shared" si="1"/>
        <v>0.76326332668336094</v>
      </c>
      <c r="O126" s="50">
        <v>195849.11</v>
      </c>
      <c r="P126" s="51">
        <f t="shared" si="2"/>
        <v>1.3522906914127665E-2</v>
      </c>
      <c r="Q126" s="50">
        <v>45849.11</v>
      </c>
      <c r="R126" s="52">
        <f t="shared" si="3"/>
        <v>-150000</v>
      </c>
    </row>
    <row r="127" spans="1:18" x14ac:dyDescent="0.25">
      <c r="A127" s="49" t="s">
        <v>274</v>
      </c>
      <c r="B127" s="49" t="s">
        <v>114</v>
      </c>
      <c r="C127" s="49" t="s">
        <v>115</v>
      </c>
      <c r="D127" s="49" t="s">
        <v>69</v>
      </c>
      <c r="E127" s="50">
        <v>1280000</v>
      </c>
      <c r="F127" s="50">
        <v>1244110</v>
      </c>
      <c r="G127" s="50">
        <v>1244110</v>
      </c>
      <c r="H127" s="50">
        <v>0</v>
      </c>
      <c r="I127" s="50">
        <v>600000</v>
      </c>
      <c r="J127" s="50">
        <v>0</v>
      </c>
      <c r="K127" s="50">
        <v>599159</v>
      </c>
      <c r="L127" s="51">
        <f t="shared" si="0"/>
        <v>0.48159648262613436</v>
      </c>
      <c r="M127" s="50">
        <v>599159</v>
      </c>
      <c r="N127" s="51">
        <f t="shared" si="1"/>
        <v>0.48159648262613436</v>
      </c>
      <c r="O127" s="50">
        <v>44951</v>
      </c>
      <c r="P127" s="51">
        <f t="shared" si="2"/>
        <v>3.6131049505268825E-2</v>
      </c>
      <c r="Q127" s="50">
        <v>44951</v>
      </c>
      <c r="R127" s="52">
        <f t="shared" si="3"/>
        <v>0</v>
      </c>
    </row>
    <row r="128" spans="1:18" x14ac:dyDescent="0.25">
      <c r="A128" s="49" t="s">
        <v>274</v>
      </c>
      <c r="B128" s="49" t="s">
        <v>116</v>
      </c>
      <c r="C128" s="49" t="s">
        <v>117</v>
      </c>
      <c r="D128" s="49" t="s">
        <v>69</v>
      </c>
      <c r="E128" s="50">
        <v>3685715</v>
      </c>
      <c r="F128" s="50">
        <v>3685715</v>
      </c>
      <c r="G128" s="50">
        <v>3535715</v>
      </c>
      <c r="H128" s="50">
        <v>0</v>
      </c>
      <c r="I128" s="50">
        <v>1170080</v>
      </c>
      <c r="J128" s="50">
        <v>0</v>
      </c>
      <c r="K128" s="50">
        <v>2364872</v>
      </c>
      <c r="L128" s="51">
        <f t="shared" si="0"/>
        <v>0.64163181363724542</v>
      </c>
      <c r="M128" s="50">
        <v>2364872</v>
      </c>
      <c r="N128" s="51">
        <f t="shared" si="1"/>
        <v>0.64163181363724542</v>
      </c>
      <c r="O128" s="50">
        <v>150763</v>
      </c>
      <c r="P128" s="51">
        <f t="shared" si="2"/>
        <v>4.0904681995216664E-2</v>
      </c>
      <c r="Q128" s="50">
        <v>763</v>
      </c>
      <c r="R128" s="52">
        <f t="shared" si="3"/>
        <v>-150000</v>
      </c>
    </row>
    <row r="129" spans="1:18" x14ac:dyDescent="0.25">
      <c r="A129" s="49" t="s">
        <v>274</v>
      </c>
      <c r="B129" s="49" t="s">
        <v>120</v>
      </c>
      <c r="C129" s="49" t="s">
        <v>121</v>
      </c>
      <c r="D129" s="49" t="s">
        <v>69</v>
      </c>
      <c r="E129" s="50">
        <v>9552942</v>
      </c>
      <c r="F129" s="50">
        <v>9552942</v>
      </c>
      <c r="G129" s="50">
        <v>9552942</v>
      </c>
      <c r="H129" s="50">
        <v>0</v>
      </c>
      <c r="I129" s="50">
        <v>549321.52</v>
      </c>
      <c r="J129" s="50">
        <v>0</v>
      </c>
      <c r="K129" s="50">
        <v>9003485.3699999992</v>
      </c>
      <c r="L129" s="51">
        <f t="shared" si="0"/>
        <v>0.9424829931972788</v>
      </c>
      <c r="M129" s="50">
        <v>8090133.9199999999</v>
      </c>
      <c r="N129" s="51">
        <f t="shared" si="1"/>
        <v>0.84687355162420119</v>
      </c>
      <c r="O129" s="50">
        <v>135.11000000000001</v>
      </c>
      <c r="P129" s="51">
        <f t="shared" si="2"/>
        <v>1.4143286958091027E-5</v>
      </c>
      <c r="Q129" s="50">
        <v>135.11000000000001</v>
      </c>
      <c r="R129" s="52">
        <f t="shared" si="3"/>
        <v>0</v>
      </c>
    </row>
    <row r="130" spans="1:18" x14ac:dyDescent="0.25">
      <c r="A130" s="49" t="s">
        <v>274</v>
      </c>
      <c r="B130" s="49" t="s">
        <v>124</v>
      </c>
      <c r="C130" s="49" t="s">
        <v>125</v>
      </c>
      <c r="D130" s="49" t="s">
        <v>69</v>
      </c>
      <c r="E130" s="50">
        <v>16719000</v>
      </c>
      <c r="F130" s="50">
        <v>14451000</v>
      </c>
      <c r="G130" s="50">
        <v>13701000</v>
      </c>
      <c r="H130" s="50">
        <v>20000</v>
      </c>
      <c r="I130" s="50">
        <v>111800</v>
      </c>
      <c r="J130" s="50">
        <v>0</v>
      </c>
      <c r="K130" s="50">
        <v>93170</v>
      </c>
      <c r="L130" s="51">
        <f t="shared" si="0"/>
        <v>6.4473046847968998E-3</v>
      </c>
      <c r="M130" s="50">
        <v>93170</v>
      </c>
      <c r="N130" s="51">
        <f t="shared" si="1"/>
        <v>6.4473046847968998E-3</v>
      </c>
      <c r="O130" s="50">
        <v>14226030</v>
      </c>
      <c r="P130" s="51">
        <f t="shared" si="2"/>
        <v>0.98443221922358315</v>
      </c>
      <c r="Q130" s="50">
        <v>13476030</v>
      </c>
      <c r="R130" s="52">
        <f t="shared" si="3"/>
        <v>-750000</v>
      </c>
    </row>
    <row r="131" spans="1:18" x14ac:dyDescent="0.25">
      <c r="A131" s="49" t="s">
        <v>274</v>
      </c>
      <c r="B131" s="49" t="s">
        <v>126</v>
      </c>
      <c r="C131" s="49" t="s">
        <v>127</v>
      </c>
      <c r="D131" s="49" t="s">
        <v>69</v>
      </c>
      <c r="E131" s="50">
        <v>719000</v>
      </c>
      <c r="F131" s="50">
        <v>519000</v>
      </c>
      <c r="G131" s="50">
        <v>219000</v>
      </c>
      <c r="H131" s="50">
        <v>0</v>
      </c>
      <c r="I131" s="50">
        <v>111800</v>
      </c>
      <c r="J131" s="50">
        <v>0</v>
      </c>
      <c r="K131" s="50">
        <v>88170</v>
      </c>
      <c r="L131" s="51">
        <f t="shared" si="0"/>
        <v>0.16988439306358383</v>
      </c>
      <c r="M131" s="50">
        <v>88170</v>
      </c>
      <c r="N131" s="51">
        <f t="shared" si="1"/>
        <v>0.16988439306358383</v>
      </c>
      <c r="O131" s="50">
        <v>319030</v>
      </c>
      <c r="P131" s="51">
        <f t="shared" si="2"/>
        <v>0.61470134874759152</v>
      </c>
      <c r="Q131" s="50">
        <v>19030</v>
      </c>
      <c r="R131" s="52">
        <f t="shared" si="3"/>
        <v>-300000</v>
      </c>
    </row>
    <row r="132" spans="1:18" x14ac:dyDescent="0.25">
      <c r="A132" s="53" t="s">
        <v>274</v>
      </c>
      <c r="B132" s="53" t="s">
        <v>128</v>
      </c>
      <c r="C132" s="53" t="s">
        <v>129</v>
      </c>
      <c r="D132" s="53" t="s">
        <v>69</v>
      </c>
      <c r="E132" s="54">
        <v>16000000</v>
      </c>
      <c r="F132" s="54">
        <v>13932000</v>
      </c>
      <c r="G132" s="54">
        <v>13482000</v>
      </c>
      <c r="H132" s="54">
        <v>20000</v>
      </c>
      <c r="I132" s="54">
        <v>0</v>
      </c>
      <c r="J132" s="54">
        <v>0</v>
      </c>
      <c r="K132" s="54">
        <v>5000</v>
      </c>
      <c r="L132" s="55">
        <f t="shared" si="0"/>
        <v>3.5888601780074649E-4</v>
      </c>
      <c r="M132" s="54">
        <v>5000</v>
      </c>
      <c r="N132" s="55">
        <f t="shared" si="1"/>
        <v>3.5888601780074649E-4</v>
      </c>
      <c r="O132" s="54">
        <v>13907000</v>
      </c>
      <c r="P132" s="55">
        <f t="shared" si="2"/>
        <v>0.99820556991099629</v>
      </c>
      <c r="Q132" s="54">
        <v>13457000</v>
      </c>
      <c r="R132" s="52">
        <f t="shared" si="3"/>
        <v>-450000</v>
      </c>
    </row>
    <row r="133" spans="1:18" x14ac:dyDescent="0.25">
      <c r="A133" s="49" t="s">
        <v>274</v>
      </c>
      <c r="B133" s="49" t="s">
        <v>134</v>
      </c>
      <c r="C133" s="49" t="s">
        <v>135</v>
      </c>
      <c r="D133" s="49" t="s">
        <v>69</v>
      </c>
      <c r="E133" s="50">
        <v>2200000</v>
      </c>
      <c r="F133" s="50">
        <v>1950000</v>
      </c>
      <c r="G133" s="50">
        <v>1618000</v>
      </c>
      <c r="H133" s="50">
        <v>0</v>
      </c>
      <c r="I133" s="50">
        <v>63455</v>
      </c>
      <c r="J133" s="50">
        <v>0</v>
      </c>
      <c r="K133" s="50">
        <v>1353785</v>
      </c>
      <c r="L133" s="51">
        <f t="shared" si="0"/>
        <v>0.6942487179487179</v>
      </c>
      <c r="M133" s="50">
        <v>1353785</v>
      </c>
      <c r="N133" s="51">
        <f t="shared" si="1"/>
        <v>0.6942487179487179</v>
      </c>
      <c r="O133" s="50">
        <v>532760</v>
      </c>
      <c r="P133" s="51">
        <f t="shared" si="2"/>
        <v>0.27321025641025642</v>
      </c>
      <c r="Q133" s="50">
        <v>200760</v>
      </c>
      <c r="R133" s="52">
        <f t="shared" si="3"/>
        <v>-332000</v>
      </c>
    </row>
    <row r="134" spans="1:18" x14ac:dyDescent="0.25">
      <c r="A134" s="49" t="s">
        <v>274</v>
      </c>
      <c r="B134" s="49" t="s">
        <v>136</v>
      </c>
      <c r="C134" s="49" t="s">
        <v>137</v>
      </c>
      <c r="D134" s="49" t="s">
        <v>69</v>
      </c>
      <c r="E134" s="50">
        <v>1200000</v>
      </c>
      <c r="F134" s="50">
        <v>1100000</v>
      </c>
      <c r="G134" s="50">
        <v>1018000</v>
      </c>
      <c r="H134" s="50">
        <v>0</v>
      </c>
      <c r="I134" s="50">
        <v>0</v>
      </c>
      <c r="J134" s="50">
        <v>0</v>
      </c>
      <c r="K134" s="50">
        <v>1017240</v>
      </c>
      <c r="L134" s="51">
        <f t="shared" si="0"/>
        <v>0.92476363636363634</v>
      </c>
      <c r="M134" s="50">
        <v>1017240</v>
      </c>
      <c r="N134" s="51">
        <f t="shared" si="1"/>
        <v>0.92476363636363634</v>
      </c>
      <c r="O134" s="50">
        <v>82760</v>
      </c>
      <c r="P134" s="51">
        <f t="shared" si="2"/>
        <v>7.5236363636363643E-2</v>
      </c>
      <c r="Q134" s="50">
        <v>760</v>
      </c>
      <c r="R134" s="52">
        <f t="shared" si="3"/>
        <v>-82000</v>
      </c>
    </row>
    <row r="135" spans="1:18" x14ac:dyDescent="0.25">
      <c r="A135" s="49" t="s">
        <v>274</v>
      </c>
      <c r="B135" s="49" t="s">
        <v>138</v>
      </c>
      <c r="C135" s="49" t="s">
        <v>139</v>
      </c>
      <c r="D135" s="49" t="s">
        <v>69</v>
      </c>
      <c r="E135" s="50">
        <v>1000000</v>
      </c>
      <c r="F135" s="50">
        <v>850000</v>
      </c>
      <c r="G135" s="50">
        <v>600000</v>
      </c>
      <c r="H135" s="50">
        <v>0</v>
      </c>
      <c r="I135" s="50">
        <v>63455</v>
      </c>
      <c r="J135" s="50">
        <v>0</v>
      </c>
      <c r="K135" s="50">
        <v>336545</v>
      </c>
      <c r="L135" s="51">
        <f t="shared" si="0"/>
        <v>0.39593529411764705</v>
      </c>
      <c r="M135" s="50">
        <v>336545</v>
      </c>
      <c r="N135" s="51">
        <f t="shared" si="1"/>
        <v>0.39593529411764705</v>
      </c>
      <c r="O135" s="50">
        <v>450000</v>
      </c>
      <c r="P135" s="51">
        <f t="shared" si="2"/>
        <v>0.52941176470588236</v>
      </c>
      <c r="Q135" s="50">
        <v>200000</v>
      </c>
      <c r="R135" s="52">
        <f t="shared" si="3"/>
        <v>-250000</v>
      </c>
    </row>
    <row r="136" spans="1:18" x14ac:dyDescent="0.25">
      <c r="A136" s="49" t="s">
        <v>274</v>
      </c>
      <c r="B136" s="49" t="s">
        <v>140</v>
      </c>
      <c r="C136" s="49" t="s">
        <v>141</v>
      </c>
      <c r="D136" s="49" t="s">
        <v>69</v>
      </c>
      <c r="E136" s="50">
        <v>6813730</v>
      </c>
      <c r="F136" s="50">
        <v>12156620</v>
      </c>
      <c r="G136" s="50">
        <v>12156620</v>
      </c>
      <c r="H136" s="50">
        <v>0</v>
      </c>
      <c r="I136" s="50">
        <v>2748925</v>
      </c>
      <c r="J136" s="50">
        <v>0</v>
      </c>
      <c r="K136" s="50">
        <v>8992910</v>
      </c>
      <c r="L136" s="51">
        <f t="shared" si="0"/>
        <v>0.73975414218754887</v>
      </c>
      <c r="M136" s="50">
        <v>8971560</v>
      </c>
      <c r="N136" s="51">
        <f t="shared" si="1"/>
        <v>0.7379978974418876</v>
      </c>
      <c r="O136" s="50">
        <v>414785</v>
      </c>
      <c r="P136" s="51">
        <f t="shared" si="2"/>
        <v>3.4120092591526263E-2</v>
      </c>
      <c r="Q136" s="50">
        <v>414785</v>
      </c>
      <c r="R136" s="52">
        <f t="shared" si="3"/>
        <v>0</v>
      </c>
    </row>
    <row r="137" spans="1:18" x14ac:dyDescent="0.25">
      <c r="A137" s="49" t="s">
        <v>274</v>
      </c>
      <c r="B137" s="49" t="s">
        <v>142</v>
      </c>
      <c r="C137" s="49" t="s">
        <v>143</v>
      </c>
      <c r="D137" s="49" t="s">
        <v>69</v>
      </c>
      <c r="E137" s="50">
        <v>250000</v>
      </c>
      <c r="F137" s="50">
        <v>902890</v>
      </c>
      <c r="G137" s="50">
        <v>902890</v>
      </c>
      <c r="H137" s="50">
        <v>0</v>
      </c>
      <c r="I137" s="50">
        <v>366275</v>
      </c>
      <c r="J137" s="50">
        <v>0</v>
      </c>
      <c r="K137" s="50">
        <v>535710</v>
      </c>
      <c r="L137" s="51">
        <f t="shared" si="0"/>
        <v>0.59332809090808403</v>
      </c>
      <c r="M137" s="50">
        <v>523360</v>
      </c>
      <c r="N137" s="51">
        <f t="shared" si="1"/>
        <v>0.57964979122595217</v>
      </c>
      <c r="O137" s="50">
        <v>905</v>
      </c>
      <c r="P137" s="51">
        <f t="shared" si="2"/>
        <v>1.0023369402695787E-3</v>
      </c>
      <c r="Q137" s="50">
        <v>905</v>
      </c>
      <c r="R137" s="52">
        <f t="shared" si="3"/>
        <v>0</v>
      </c>
    </row>
    <row r="138" spans="1:18" x14ac:dyDescent="0.25">
      <c r="A138" s="49" t="s">
        <v>274</v>
      </c>
      <c r="B138" s="49" t="s">
        <v>144</v>
      </c>
      <c r="C138" s="49" t="s">
        <v>145</v>
      </c>
      <c r="D138" s="49" t="s">
        <v>69</v>
      </c>
      <c r="E138" s="50">
        <v>6563730</v>
      </c>
      <c r="F138" s="50">
        <v>11253730</v>
      </c>
      <c r="G138" s="50">
        <v>11253730</v>
      </c>
      <c r="H138" s="50">
        <v>0</v>
      </c>
      <c r="I138" s="50">
        <v>2382650</v>
      </c>
      <c r="J138" s="50">
        <v>0</v>
      </c>
      <c r="K138" s="50">
        <v>8457200</v>
      </c>
      <c r="L138" s="51">
        <f t="shared" si="0"/>
        <v>0.75150194646574953</v>
      </c>
      <c r="M138" s="50">
        <v>8448200</v>
      </c>
      <c r="N138" s="51">
        <f t="shared" si="1"/>
        <v>0.7507022116222799</v>
      </c>
      <c r="O138" s="50">
        <v>413880</v>
      </c>
      <c r="P138" s="51">
        <f t="shared" si="2"/>
        <v>3.6777139668358848E-2</v>
      </c>
      <c r="Q138" s="50">
        <v>413880</v>
      </c>
      <c r="R138" s="52">
        <f t="shared" si="3"/>
        <v>0</v>
      </c>
    </row>
    <row r="139" spans="1:18" x14ac:dyDescent="0.25">
      <c r="A139" s="49" t="s">
        <v>274</v>
      </c>
      <c r="B139" s="49" t="s">
        <v>150</v>
      </c>
      <c r="C139" s="49" t="s">
        <v>151</v>
      </c>
      <c r="D139" s="49" t="s">
        <v>69</v>
      </c>
      <c r="E139" s="50">
        <v>4277392</v>
      </c>
      <c r="F139" s="50">
        <v>4277392</v>
      </c>
      <c r="G139" s="50">
        <v>3577392</v>
      </c>
      <c r="H139" s="50">
        <v>0</v>
      </c>
      <c r="I139" s="50">
        <v>1213854</v>
      </c>
      <c r="J139" s="50">
        <v>0</v>
      </c>
      <c r="K139" s="50">
        <v>2150240</v>
      </c>
      <c r="L139" s="51">
        <f t="shared" si="0"/>
        <v>0.50269884078896676</v>
      </c>
      <c r="M139" s="50">
        <v>1779094</v>
      </c>
      <c r="N139" s="51">
        <f t="shared" si="1"/>
        <v>0.41592961318485655</v>
      </c>
      <c r="O139" s="50">
        <v>913298</v>
      </c>
      <c r="P139" s="51">
        <f t="shared" si="2"/>
        <v>0.21351748916161997</v>
      </c>
      <c r="Q139" s="50">
        <v>213298</v>
      </c>
      <c r="R139" s="52">
        <f t="shared" si="3"/>
        <v>-700000</v>
      </c>
    </row>
    <row r="140" spans="1:18" x14ac:dyDescent="0.25">
      <c r="A140" s="49" t="s">
        <v>274</v>
      </c>
      <c r="B140" s="49" t="s">
        <v>152</v>
      </c>
      <c r="C140" s="49" t="s">
        <v>153</v>
      </c>
      <c r="D140" s="49" t="s">
        <v>69</v>
      </c>
      <c r="E140" s="50">
        <v>4277392</v>
      </c>
      <c r="F140" s="50">
        <v>4277392</v>
      </c>
      <c r="G140" s="50">
        <v>3577392</v>
      </c>
      <c r="H140" s="50">
        <v>0</v>
      </c>
      <c r="I140" s="50">
        <v>1213854</v>
      </c>
      <c r="J140" s="50">
        <v>0</v>
      </c>
      <c r="K140" s="50">
        <v>2150240</v>
      </c>
      <c r="L140" s="51">
        <f t="shared" si="0"/>
        <v>0.50269884078896676</v>
      </c>
      <c r="M140" s="50">
        <v>1779094</v>
      </c>
      <c r="N140" s="51">
        <f t="shared" si="1"/>
        <v>0.41592961318485655</v>
      </c>
      <c r="O140" s="50">
        <v>913298</v>
      </c>
      <c r="P140" s="51">
        <f t="shared" si="2"/>
        <v>0.21351748916161997</v>
      </c>
      <c r="Q140" s="50">
        <v>213298</v>
      </c>
      <c r="R140" s="52">
        <f t="shared" si="3"/>
        <v>-700000</v>
      </c>
    </row>
    <row r="141" spans="1:18" x14ac:dyDescent="0.25">
      <c r="A141" s="49" t="s">
        <v>274</v>
      </c>
      <c r="B141" s="49" t="s">
        <v>154</v>
      </c>
      <c r="C141" s="49" t="s">
        <v>155</v>
      </c>
      <c r="D141" s="49" t="s">
        <v>69</v>
      </c>
      <c r="E141" s="50">
        <v>12267225</v>
      </c>
      <c r="F141" s="50">
        <v>14282225</v>
      </c>
      <c r="G141" s="50">
        <v>14282225</v>
      </c>
      <c r="H141" s="50">
        <v>0</v>
      </c>
      <c r="I141" s="50">
        <v>0</v>
      </c>
      <c r="J141" s="50">
        <v>0</v>
      </c>
      <c r="K141" s="50">
        <v>7126500</v>
      </c>
      <c r="L141" s="51">
        <f t="shared" si="0"/>
        <v>0.4989768751017436</v>
      </c>
      <c r="M141" s="50">
        <v>7100500</v>
      </c>
      <c r="N141" s="51">
        <f t="shared" si="1"/>
        <v>0.4971564304581394</v>
      </c>
      <c r="O141" s="50">
        <v>7155725</v>
      </c>
      <c r="P141" s="51">
        <f t="shared" si="2"/>
        <v>0.5010231248982564</v>
      </c>
      <c r="Q141" s="50">
        <v>7155725</v>
      </c>
      <c r="R141" s="52">
        <f t="shared" si="3"/>
        <v>0</v>
      </c>
    </row>
    <row r="142" spans="1:18" x14ac:dyDescent="0.25">
      <c r="A142" s="53" t="s">
        <v>274</v>
      </c>
      <c r="B142" s="53" t="s">
        <v>156</v>
      </c>
      <c r="C142" s="53" t="s">
        <v>157</v>
      </c>
      <c r="D142" s="53" t="s">
        <v>69</v>
      </c>
      <c r="E142" s="54">
        <v>12267225</v>
      </c>
      <c r="F142" s="54">
        <v>14282225</v>
      </c>
      <c r="G142" s="54">
        <v>14282225</v>
      </c>
      <c r="H142" s="54">
        <v>0</v>
      </c>
      <c r="I142" s="54">
        <v>0</v>
      </c>
      <c r="J142" s="54">
        <v>0</v>
      </c>
      <c r="K142" s="54">
        <v>7126500</v>
      </c>
      <c r="L142" s="55">
        <f t="shared" si="0"/>
        <v>0.4989768751017436</v>
      </c>
      <c r="M142" s="54">
        <v>7100500</v>
      </c>
      <c r="N142" s="55">
        <f t="shared" si="1"/>
        <v>0.4971564304581394</v>
      </c>
      <c r="O142" s="54">
        <v>7155725</v>
      </c>
      <c r="P142" s="55">
        <f t="shared" si="2"/>
        <v>0.5010231248982564</v>
      </c>
      <c r="Q142" s="54">
        <v>7155725</v>
      </c>
      <c r="R142" s="52">
        <f t="shared" si="3"/>
        <v>0</v>
      </c>
    </row>
    <row r="143" spans="1:18" x14ac:dyDescent="0.25">
      <c r="A143" s="49" t="s">
        <v>274</v>
      </c>
      <c r="B143" s="49" t="s">
        <v>162</v>
      </c>
      <c r="C143" s="49" t="s">
        <v>163</v>
      </c>
      <c r="D143" s="49" t="s">
        <v>69</v>
      </c>
      <c r="E143" s="50">
        <v>17894000</v>
      </c>
      <c r="F143" s="50">
        <v>13797000</v>
      </c>
      <c r="G143" s="50">
        <v>7047000</v>
      </c>
      <c r="H143" s="50">
        <v>0</v>
      </c>
      <c r="I143" s="50">
        <v>3157450</v>
      </c>
      <c r="J143" s="50">
        <v>0</v>
      </c>
      <c r="K143" s="50">
        <v>2999573.27</v>
      </c>
      <c r="L143" s="51">
        <f t="shared" si="0"/>
        <v>0.21740764441545263</v>
      </c>
      <c r="M143" s="50">
        <v>2070343.69</v>
      </c>
      <c r="N143" s="51">
        <f t="shared" si="1"/>
        <v>0.15005752627382765</v>
      </c>
      <c r="O143" s="50">
        <v>7639976.7300000004</v>
      </c>
      <c r="P143" s="51">
        <f t="shared" si="2"/>
        <v>0.55374188084366172</v>
      </c>
      <c r="Q143" s="50">
        <v>889976.73</v>
      </c>
      <c r="R143" s="52">
        <f t="shared" si="3"/>
        <v>-6750000</v>
      </c>
    </row>
    <row r="144" spans="1:18" x14ac:dyDescent="0.25">
      <c r="A144" s="49" t="s">
        <v>274</v>
      </c>
      <c r="B144" s="49" t="s">
        <v>166</v>
      </c>
      <c r="C144" s="49" t="s">
        <v>167</v>
      </c>
      <c r="D144" s="49" t="s">
        <v>69</v>
      </c>
      <c r="E144" s="50">
        <v>7000000</v>
      </c>
      <c r="F144" s="50">
        <v>7000000</v>
      </c>
      <c r="G144" s="50">
        <v>2550000</v>
      </c>
      <c r="H144" s="50">
        <v>0</v>
      </c>
      <c r="I144" s="50">
        <v>2329500</v>
      </c>
      <c r="J144" s="50">
        <v>0</v>
      </c>
      <c r="K144" s="50">
        <v>220000</v>
      </c>
      <c r="L144" s="51">
        <f t="shared" si="0"/>
        <v>3.1428571428571431E-2</v>
      </c>
      <c r="M144" s="50">
        <v>220000</v>
      </c>
      <c r="N144" s="51">
        <f t="shared" si="1"/>
        <v>3.1428571428571431E-2</v>
      </c>
      <c r="O144" s="50">
        <v>4450500</v>
      </c>
      <c r="P144" s="51">
        <f t="shared" si="2"/>
        <v>0.63578571428571429</v>
      </c>
      <c r="Q144" s="50">
        <v>500</v>
      </c>
      <c r="R144" s="52">
        <f t="shared" si="3"/>
        <v>-4450000</v>
      </c>
    </row>
    <row r="145" spans="1:18" x14ac:dyDescent="0.25">
      <c r="A145" s="49" t="s">
        <v>274</v>
      </c>
      <c r="B145" s="49" t="s">
        <v>168</v>
      </c>
      <c r="C145" s="49" t="s">
        <v>169</v>
      </c>
      <c r="D145" s="49" t="s">
        <v>69</v>
      </c>
      <c r="E145" s="50">
        <v>3000000</v>
      </c>
      <c r="F145" s="50">
        <v>1953000</v>
      </c>
      <c r="G145" s="50">
        <v>3000</v>
      </c>
      <c r="H145" s="50">
        <v>0</v>
      </c>
      <c r="I145" s="50">
        <v>0</v>
      </c>
      <c r="J145" s="50">
        <v>0</v>
      </c>
      <c r="K145" s="50">
        <v>0</v>
      </c>
      <c r="L145" s="51">
        <f t="shared" si="0"/>
        <v>0</v>
      </c>
      <c r="M145" s="50">
        <v>0</v>
      </c>
      <c r="N145" s="51">
        <f t="shared" si="1"/>
        <v>0</v>
      </c>
      <c r="O145" s="50">
        <v>1953000</v>
      </c>
      <c r="P145" s="51">
        <f t="shared" si="2"/>
        <v>1</v>
      </c>
      <c r="Q145" s="50">
        <v>3000</v>
      </c>
      <c r="R145" s="52">
        <f t="shared" si="3"/>
        <v>-1950000</v>
      </c>
    </row>
    <row r="146" spans="1:18" x14ac:dyDescent="0.25">
      <c r="A146" s="49" t="s">
        <v>274</v>
      </c>
      <c r="B146" s="49" t="s">
        <v>170</v>
      </c>
      <c r="C146" s="49" t="s">
        <v>171</v>
      </c>
      <c r="D146" s="49" t="s">
        <v>69</v>
      </c>
      <c r="E146" s="50">
        <v>4494000</v>
      </c>
      <c r="F146" s="50">
        <v>4494000</v>
      </c>
      <c r="G146" s="50">
        <v>4494000</v>
      </c>
      <c r="H146" s="50">
        <v>0</v>
      </c>
      <c r="I146" s="50">
        <v>827950</v>
      </c>
      <c r="J146" s="50">
        <v>0</v>
      </c>
      <c r="K146" s="50">
        <v>2779573.27</v>
      </c>
      <c r="L146" s="51">
        <f t="shared" si="0"/>
        <v>0.61850762572318652</v>
      </c>
      <c r="M146" s="50">
        <v>1850343.69</v>
      </c>
      <c r="N146" s="51">
        <f t="shared" si="1"/>
        <v>0.4117364686248331</v>
      </c>
      <c r="O146" s="50">
        <v>886476.73</v>
      </c>
      <c r="P146" s="51">
        <f t="shared" si="2"/>
        <v>0.197257839341344</v>
      </c>
      <c r="Q146" s="50">
        <v>886476.73</v>
      </c>
      <c r="R146" s="52">
        <f t="shared" si="3"/>
        <v>0</v>
      </c>
    </row>
    <row r="147" spans="1:18" x14ac:dyDescent="0.25">
      <c r="A147" s="49" t="s">
        <v>274</v>
      </c>
      <c r="B147" s="49" t="s">
        <v>172</v>
      </c>
      <c r="C147" s="49" t="s">
        <v>173</v>
      </c>
      <c r="D147" s="49" t="s">
        <v>69</v>
      </c>
      <c r="E147" s="50">
        <v>3400000</v>
      </c>
      <c r="F147" s="50">
        <v>350000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1">
        <f t="shared" si="0"/>
        <v>0</v>
      </c>
      <c r="M147" s="50">
        <v>0</v>
      </c>
      <c r="N147" s="51">
        <f t="shared" si="1"/>
        <v>0</v>
      </c>
      <c r="O147" s="50">
        <v>350000</v>
      </c>
      <c r="P147" s="51">
        <f t="shared" si="2"/>
        <v>1</v>
      </c>
      <c r="Q147" s="50">
        <v>0</v>
      </c>
      <c r="R147" s="52">
        <f t="shared" si="3"/>
        <v>-350000</v>
      </c>
    </row>
    <row r="148" spans="1:18" x14ac:dyDescent="0.25">
      <c r="A148" s="49" t="s">
        <v>274</v>
      </c>
      <c r="B148" s="49" t="s">
        <v>174</v>
      </c>
      <c r="C148" s="49" t="s">
        <v>175</v>
      </c>
      <c r="D148" s="49" t="s">
        <v>69</v>
      </c>
      <c r="E148" s="50">
        <v>466000</v>
      </c>
      <c r="F148" s="50">
        <v>299000</v>
      </c>
      <c r="G148" s="50">
        <v>249000</v>
      </c>
      <c r="H148" s="50">
        <v>0</v>
      </c>
      <c r="I148" s="50">
        <v>249000</v>
      </c>
      <c r="J148" s="50">
        <v>0</v>
      </c>
      <c r="K148" s="50">
        <v>0</v>
      </c>
      <c r="L148" s="51">
        <f t="shared" si="0"/>
        <v>0</v>
      </c>
      <c r="M148" s="50">
        <v>0</v>
      </c>
      <c r="N148" s="51">
        <f t="shared" si="1"/>
        <v>0</v>
      </c>
      <c r="O148" s="50">
        <v>50000</v>
      </c>
      <c r="P148" s="51">
        <f t="shared" si="2"/>
        <v>0.16722408026755853</v>
      </c>
      <c r="Q148" s="50">
        <v>0</v>
      </c>
      <c r="R148" s="52">
        <f t="shared" si="3"/>
        <v>-50000</v>
      </c>
    </row>
    <row r="149" spans="1:18" x14ac:dyDescent="0.25">
      <c r="A149" s="49" t="s">
        <v>274</v>
      </c>
      <c r="B149" s="49" t="s">
        <v>176</v>
      </c>
      <c r="C149" s="49" t="s">
        <v>177</v>
      </c>
      <c r="D149" s="49" t="s">
        <v>69</v>
      </c>
      <c r="E149" s="50">
        <v>466000</v>
      </c>
      <c r="F149" s="50">
        <v>299000</v>
      </c>
      <c r="G149" s="50">
        <v>249000</v>
      </c>
      <c r="H149" s="50">
        <v>0</v>
      </c>
      <c r="I149" s="50">
        <v>249000</v>
      </c>
      <c r="J149" s="50">
        <v>0</v>
      </c>
      <c r="K149" s="50">
        <v>0</v>
      </c>
      <c r="L149" s="51">
        <f t="shared" si="0"/>
        <v>0</v>
      </c>
      <c r="M149" s="50">
        <v>0</v>
      </c>
      <c r="N149" s="51">
        <f t="shared" si="1"/>
        <v>0</v>
      </c>
      <c r="O149" s="50">
        <v>50000</v>
      </c>
      <c r="P149" s="51">
        <f t="shared" si="2"/>
        <v>0.16722408026755853</v>
      </c>
      <c r="Q149" s="50">
        <v>0</v>
      </c>
      <c r="R149" s="52">
        <f t="shared" si="3"/>
        <v>-50000</v>
      </c>
    </row>
    <row r="150" spans="1:18" x14ac:dyDescent="0.25">
      <c r="A150" s="49" t="s">
        <v>274</v>
      </c>
      <c r="B150" s="49" t="s">
        <v>178</v>
      </c>
      <c r="C150" s="49" t="s">
        <v>179</v>
      </c>
      <c r="D150" s="49" t="s">
        <v>69</v>
      </c>
      <c r="E150" s="50">
        <v>1800000</v>
      </c>
      <c r="F150" s="50">
        <v>1260000</v>
      </c>
      <c r="G150" s="50">
        <v>610000</v>
      </c>
      <c r="H150" s="50">
        <v>0</v>
      </c>
      <c r="I150" s="50">
        <v>0</v>
      </c>
      <c r="J150" s="50">
        <v>0</v>
      </c>
      <c r="K150" s="50">
        <v>600000</v>
      </c>
      <c r="L150" s="51">
        <f t="shared" si="0"/>
        <v>0.47619047619047616</v>
      </c>
      <c r="M150" s="50">
        <v>600000</v>
      </c>
      <c r="N150" s="51">
        <f t="shared" si="1"/>
        <v>0.47619047619047616</v>
      </c>
      <c r="O150" s="50">
        <v>660000</v>
      </c>
      <c r="P150" s="51">
        <f t="shared" si="2"/>
        <v>0.52380952380952384</v>
      </c>
      <c r="Q150" s="50">
        <v>10000</v>
      </c>
      <c r="R150" s="52">
        <f t="shared" si="3"/>
        <v>-650000</v>
      </c>
    </row>
    <row r="151" spans="1:18" x14ac:dyDescent="0.25">
      <c r="A151" s="49" t="s">
        <v>274</v>
      </c>
      <c r="B151" s="49" t="s">
        <v>182</v>
      </c>
      <c r="C151" s="49" t="s">
        <v>183</v>
      </c>
      <c r="D151" s="49" t="s">
        <v>69</v>
      </c>
      <c r="E151" s="50">
        <v>1800000</v>
      </c>
      <c r="F151" s="50">
        <v>1260000</v>
      </c>
      <c r="G151" s="50">
        <v>610000</v>
      </c>
      <c r="H151" s="50">
        <v>0</v>
      </c>
      <c r="I151" s="50">
        <v>0</v>
      </c>
      <c r="J151" s="50">
        <v>0</v>
      </c>
      <c r="K151" s="50">
        <v>600000</v>
      </c>
      <c r="L151" s="51">
        <f t="shared" si="0"/>
        <v>0.47619047619047616</v>
      </c>
      <c r="M151" s="50">
        <v>600000</v>
      </c>
      <c r="N151" s="51">
        <f t="shared" si="1"/>
        <v>0.47619047619047616</v>
      </c>
      <c r="O151" s="50">
        <v>660000</v>
      </c>
      <c r="P151" s="51">
        <f t="shared" si="2"/>
        <v>0.52380952380952384</v>
      </c>
      <c r="Q151" s="50">
        <v>10000</v>
      </c>
      <c r="R151" s="52">
        <f t="shared" si="3"/>
        <v>-650000</v>
      </c>
    </row>
    <row r="152" spans="1:18" x14ac:dyDescent="0.25">
      <c r="A152" s="49" t="s">
        <v>274</v>
      </c>
      <c r="B152" s="49" t="s">
        <v>184</v>
      </c>
      <c r="C152" s="49" t="s">
        <v>185</v>
      </c>
      <c r="D152" s="49" t="s">
        <v>69</v>
      </c>
      <c r="E152" s="50">
        <v>57954839</v>
      </c>
      <c r="F152" s="50">
        <v>57954839</v>
      </c>
      <c r="G152" s="50">
        <v>53574839</v>
      </c>
      <c r="H152" s="50">
        <v>13187584</v>
      </c>
      <c r="I152" s="50">
        <v>15950665.300000001</v>
      </c>
      <c r="J152" s="50">
        <v>3219390.17</v>
      </c>
      <c r="K152" s="50">
        <v>15676674.880000001</v>
      </c>
      <c r="L152" s="51">
        <f t="shared" si="0"/>
        <v>0.27049811802600299</v>
      </c>
      <c r="M152" s="50">
        <v>14238121.859999999</v>
      </c>
      <c r="N152" s="51">
        <f t="shared" si="1"/>
        <v>0.24567615242620205</v>
      </c>
      <c r="O152" s="50">
        <v>9920524.6500000004</v>
      </c>
      <c r="P152" s="51">
        <f t="shared" si="2"/>
        <v>0.17117681320795319</v>
      </c>
      <c r="Q152" s="50">
        <v>5540524.6500000004</v>
      </c>
      <c r="R152" s="52">
        <f t="shared" si="3"/>
        <v>-4380000</v>
      </c>
    </row>
    <row r="153" spans="1:18" x14ac:dyDescent="0.25">
      <c r="A153" s="49" t="s">
        <v>274</v>
      </c>
      <c r="B153" s="49" t="s">
        <v>186</v>
      </c>
      <c r="C153" s="49" t="s">
        <v>187</v>
      </c>
      <c r="D153" s="49" t="s">
        <v>69</v>
      </c>
      <c r="E153" s="50">
        <v>17854839</v>
      </c>
      <c r="F153" s="50">
        <v>17803839</v>
      </c>
      <c r="G153" s="50">
        <v>15253839</v>
      </c>
      <c r="H153" s="50">
        <v>4888044</v>
      </c>
      <c r="I153" s="50">
        <v>4935764.17</v>
      </c>
      <c r="J153" s="50">
        <v>0</v>
      </c>
      <c r="K153" s="50">
        <v>3637683.06</v>
      </c>
      <c r="L153" s="51">
        <f t="shared" si="0"/>
        <v>0.20432015027770134</v>
      </c>
      <c r="M153" s="50">
        <v>3637683.06</v>
      </c>
      <c r="N153" s="51">
        <f t="shared" si="1"/>
        <v>0.20432015027770134</v>
      </c>
      <c r="O153" s="50">
        <v>4342347.7699999996</v>
      </c>
      <c r="P153" s="51">
        <f t="shared" si="2"/>
        <v>0.24389951908686658</v>
      </c>
      <c r="Q153" s="50">
        <v>1792347.77</v>
      </c>
      <c r="R153" s="52">
        <f t="shared" si="3"/>
        <v>-2550000</v>
      </c>
    </row>
    <row r="154" spans="1:18" x14ac:dyDescent="0.25">
      <c r="A154" s="49" t="s">
        <v>274</v>
      </c>
      <c r="B154" s="49" t="s">
        <v>188</v>
      </c>
      <c r="C154" s="49" t="s">
        <v>189</v>
      </c>
      <c r="D154" s="49" t="s">
        <v>69</v>
      </c>
      <c r="E154" s="50">
        <v>9354839</v>
      </c>
      <c r="F154" s="50">
        <v>9354839</v>
      </c>
      <c r="G154" s="50">
        <v>6854839</v>
      </c>
      <c r="H154" s="50">
        <v>0</v>
      </c>
      <c r="I154" s="50">
        <v>2361677.94</v>
      </c>
      <c r="J154" s="50">
        <v>0</v>
      </c>
      <c r="K154" s="50">
        <v>3217527.06</v>
      </c>
      <c r="L154" s="51">
        <f t="shared" si="0"/>
        <v>0.34394253711902473</v>
      </c>
      <c r="M154" s="50">
        <v>3217527.06</v>
      </c>
      <c r="N154" s="51">
        <f t="shared" si="1"/>
        <v>0.34394253711902473</v>
      </c>
      <c r="O154" s="50">
        <v>3775634</v>
      </c>
      <c r="P154" s="51">
        <f t="shared" si="2"/>
        <v>0.40360224264682693</v>
      </c>
      <c r="Q154" s="50">
        <v>1275634</v>
      </c>
      <c r="R154" s="52">
        <f t="shared" si="3"/>
        <v>-2500000</v>
      </c>
    </row>
    <row r="155" spans="1:18" x14ac:dyDescent="0.25">
      <c r="A155" s="49" t="s">
        <v>274</v>
      </c>
      <c r="B155" s="49" t="s">
        <v>192</v>
      </c>
      <c r="C155" s="49" t="s">
        <v>193</v>
      </c>
      <c r="D155" s="49" t="s">
        <v>69</v>
      </c>
      <c r="E155" s="50">
        <v>8500000</v>
      </c>
      <c r="F155" s="50">
        <v>8449000</v>
      </c>
      <c r="G155" s="50">
        <v>8399000</v>
      </c>
      <c r="H155" s="50">
        <v>4888044</v>
      </c>
      <c r="I155" s="50">
        <v>2574086.23</v>
      </c>
      <c r="J155" s="50">
        <v>0</v>
      </c>
      <c r="K155" s="50">
        <v>420156</v>
      </c>
      <c r="L155" s="51">
        <f t="shared" si="0"/>
        <v>4.9728488578530003E-2</v>
      </c>
      <c r="M155" s="50">
        <v>420156</v>
      </c>
      <c r="N155" s="51">
        <f t="shared" si="1"/>
        <v>4.9728488578530003E-2</v>
      </c>
      <c r="O155" s="50">
        <v>566713.77</v>
      </c>
      <c r="P155" s="51">
        <f t="shared" si="2"/>
        <v>6.7074656172328093E-2</v>
      </c>
      <c r="Q155" s="50">
        <v>516713.77</v>
      </c>
      <c r="R155" s="52">
        <f t="shared" si="3"/>
        <v>-50000</v>
      </c>
    </row>
    <row r="156" spans="1:18" x14ac:dyDescent="0.25">
      <c r="A156" s="49" t="s">
        <v>274</v>
      </c>
      <c r="B156" s="49" t="s">
        <v>196</v>
      </c>
      <c r="C156" s="49" t="s">
        <v>197</v>
      </c>
      <c r="D156" s="49" t="s">
        <v>69</v>
      </c>
      <c r="E156" s="50">
        <v>2460000</v>
      </c>
      <c r="F156" s="50">
        <v>5911000</v>
      </c>
      <c r="G156" s="50">
        <v>5911000</v>
      </c>
      <c r="H156" s="50">
        <v>0</v>
      </c>
      <c r="I156" s="50">
        <v>1760522.53</v>
      </c>
      <c r="J156" s="50">
        <v>3219390.17</v>
      </c>
      <c r="K156" s="50">
        <v>931082</v>
      </c>
      <c r="L156" s="51">
        <f t="shared" si="0"/>
        <v>0.15751683302317712</v>
      </c>
      <c r="M156" s="50">
        <v>931082</v>
      </c>
      <c r="N156" s="51">
        <f t="shared" si="1"/>
        <v>0.15751683302317712</v>
      </c>
      <c r="O156" s="50">
        <v>5.3</v>
      </c>
      <c r="P156" s="51">
        <f t="shared" si="2"/>
        <v>8.9663339536457445E-7</v>
      </c>
      <c r="Q156" s="50">
        <v>5.3</v>
      </c>
      <c r="R156" s="52">
        <f t="shared" si="3"/>
        <v>0</v>
      </c>
    </row>
    <row r="157" spans="1:18" x14ac:dyDescent="0.25">
      <c r="A157" s="49" t="s">
        <v>274</v>
      </c>
      <c r="B157" s="49" t="s">
        <v>198</v>
      </c>
      <c r="C157" s="49" t="s">
        <v>199</v>
      </c>
      <c r="D157" s="49" t="s">
        <v>69</v>
      </c>
      <c r="E157" s="50">
        <v>2460000</v>
      </c>
      <c r="F157" s="50">
        <v>5911000</v>
      </c>
      <c r="G157" s="50">
        <v>5911000</v>
      </c>
      <c r="H157" s="50">
        <v>0</v>
      </c>
      <c r="I157" s="50">
        <v>1760522.53</v>
      </c>
      <c r="J157" s="50">
        <v>3219390.17</v>
      </c>
      <c r="K157" s="50">
        <v>931082</v>
      </c>
      <c r="L157" s="51">
        <f t="shared" si="0"/>
        <v>0.15751683302317712</v>
      </c>
      <c r="M157" s="50">
        <v>931082</v>
      </c>
      <c r="N157" s="51">
        <f t="shared" si="1"/>
        <v>0.15751683302317712</v>
      </c>
      <c r="O157" s="50">
        <v>5.3</v>
      </c>
      <c r="P157" s="51">
        <f t="shared" si="2"/>
        <v>8.9663339536457445E-7</v>
      </c>
      <c r="Q157" s="50">
        <v>5.3</v>
      </c>
      <c r="R157" s="52">
        <f t="shared" si="3"/>
        <v>0</v>
      </c>
    </row>
    <row r="158" spans="1:18" x14ac:dyDescent="0.25">
      <c r="A158" s="49" t="s">
        <v>274</v>
      </c>
      <c r="B158" s="49" t="s">
        <v>200</v>
      </c>
      <c r="C158" s="49" t="s">
        <v>201</v>
      </c>
      <c r="D158" s="49" t="s">
        <v>69</v>
      </c>
      <c r="E158" s="50">
        <v>2000000</v>
      </c>
      <c r="F158" s="50">
        <v>1950000</v>
      </c>
      <c r="G158" s="50">
        <v>1950000</v>
      </c>
      <c r="H158" s="50">
        <v>0</v>
      </c>
      <c r="I158" s="50">
        <v>365193.26</v>
      </c>
      <c r="J158" s="50">
        <v>0</v>
      </c>
      <c r="K158" s="50">
        <v>1139724.6299999999</v>
      </c>
      <c r="L158" s="51">
        <f t="shared" si="0"/>
        <v>0.58447416923076922</v>
      </c>
      <c r="M158" s="50">
        <v>1139724.6299999999</v>
      </c>
      <c r="N158" s="51">
        <f t="shared" si="1"/>
        <v>0.58447416923076922</v>
      </c>
      <c r="O158" s="50">
        <v>445082.11</v>
      </c>
      <c r="P158" s="51">
        <f t="shared" si="2"/>
        <v>0.2282472358974359</v>
      </c>
      <c r="Q158" s="50">
        <v>445082.11</v>
      </c>
      <c r="R158" s="52">
        <f t="shared" si="3"/>
        <v>0</v>
      </c>
    </row>
    <row r="159" spans="1:18" x14ac:dyDescent="0.25">
      <c r="A159" s="49" t="s">
        <v>274</v>
      </c>
      <c r="B159" s="49" t="s">
        <v>202</v>
      </c>
      <c r="C159" s="49" t="s">
        <v>203</v>
      </c>
      <c r="D159" s="49" t="s">
        <v>69</v>
      </c>
      <c r="E159" s="50">
        <v>2000000</v>
      </c>
      <c r="F159" s="50">
        <v>1950000</v>
      </c>
      <c r="G159" s="50">
        <v>1950000</v>
      </c>
      <c r="H159" s="50">
        <v>0</v>
      </c>
      <c r="I159" s="50">
        <v>365193.26</v>
      </c>
      <c r="J159" s="50">
        <v>0</v>
      </c>
      <c r="K159" s="50">
        <v>1139724.6299999999</v>
      </c>
      <c r="L159" s="51">
        <f t="shared" si="0"/>
        <v>0.58447416923076922</v>
      </c>
      <c r="M159" s="50">
        <v>1139724.6299999999</v>
      </c>
      <c r="N159" s="51">
        <f t="shared" si="1"/>
        <v>0.58447416923076922</v>
      </c>
      <c r="O159" s="50">
        <v>445082.11</v>
      </c>
      <c r="P159" s="51">
        <f t="shared" si="2"/>
        <v>0.2282472358974359</v>
      </c>
      <c r="Q159" s="50">
        <v>445082.11</v>
      </c>
      <c r="R159" s="52">
        <f t="shared" si="3"/>
        <v>0</v>
      </c>
    </row>
    <row r="160" spans="1:18" x14ac:dyDescent="0.25">
      <c r="A160" s="49" t="s">
        <v>274</v>
      </c>
      <c r="B160" s="49" t="s">
        <v>206</v>
      </c>
      <c r="C160" s="49" t="s">
        <v>207</v>
      </c>
      <c r="D160" s="49" t="s">
        <v>69</v>
      </c>
      <c r="E160" s="50">
        <v>6710000</v>
      </c>
      <c r="F160" s="50">
        <v>3860000</v>
      </c>
      <c r="G160" s="50">
        <v>2210000</v>
      </c>
      <c r="H160" s="50">
        <v>0</v>
      </c>
      <c r="I160" s="50">
        <v>1687595</v>
      </c>
      <c r="J160" s="50">
        <v>0</v>
      </c>
      <c r="K160" s="50">
        <v>0</v>
      </c>
      <c r="L160" s="51">
        <f t="shared" si="0"/>
        <v>0</v>
      </c>
      <c r="M160" s="50">
        <v>0</v>
      </c>
      <c r="N160" s="51">
        <f t="shared" si="1"/>
        <v>0</v>
      </c>
      <c r="O160" s="50">
        <v>2172405</v>
      </c>
      <c r="P160" s="51">
        <f t="shared" si="2"/>
        <v>0.56279922279792749</v>
      </c>
      <c r="Q160" s="50">
        <v>522405</v>
      </c>
      <c r="R160" s="52">
        <f t="shared" si="3"/>
        <v>-1650000</v>
      </c>
    </row>
    <row r="161" spans="1:18" x14ac:dyDescent="0.25">
      <c r="A161" s="49" t="s">
        <v>274</v>
      </c>
      <c r="B161" s="49" t="s">
        <v>208</v>
      </c>
      <c r="C161" s="49" t="s">
        <v>209</v>
      </c>
      <c r="D161" s="49" t="s">
        <v>69</v>
      </c>
      <c r="E161" s="50">
        <v>3710000</v>
      </c>
      <c r="F161" s="50">
        <v>2210000</v>
      </c>
      <c r="G161" s="50">
        <v>2210000</v>
      </c>
      <c r="H161" s="50">
        <v>0</v>
      </c>
      <c r="I161" s="50">
        <v>1687595</v>
      </c>
      <c r="J161" s="50">
        <v>0</v>
      </c>
      <c r="K161" s="50">
        <v>0</v>
      </c>
      <c r="L161" s="51">
        <f t="shared" si="0"/>
        <v>0</v>
      </c>
      <c r="M161" s="50">
        <v>0</v>
      </c>
      <c r="N161" s="51">
        <f t="shared" si="1"/>
        <v>0</v>
      </c>
      <c r="O161" s="50">
        <v>522405</v>
      </c>
      <c r="P161" s="51">
        <f t="shared" si="2"/>
        <v>0.23638235294117646</v>
      </c>
      <c r="Q161" s="50">
        <v>522405</v>
      </c>
      <c r="R161" s="52">
        <f t="shared" si="3"/>
        <v>0</v>
      </c>
    </row>
    <row r="162" spans="1:18" x14ac:dyDescent="0.25">
      <c r="A162" s="49" t="s">
        <v>274</v>
      </c>
      <c r="B162" s="49" t="s">
        <v>210</v>
      </c>
      <c r="C162" s="49" t="s">
        <v>211</v>
      </c>
      <c r="D162" s="49" t="s">
        <v>69</v>
      </c>
      <c r="E162" s="50">
        <v>3000000</v>
      </c>
      <c r="F162" s="50">
        <v>1650000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1">
        <f t="shared" si="0"/>
        <v>0</v>
      </c>
      <c r="M162" s="50">
        <v>0</v>
      </c>
      <c r="N162" s="51">
        <f t="shared" si="1"/>
        <v>0</v>
      </c>
      <c r="O162" s="50">
        <v>1650000</v>
      </c>
      <c r="P162" s="51">
        <f t="shared" si="2"/>
        <v>1</v>
      </c>
      <c r="Q162" s="50">
        <v>0</v>
      </c>
      <c r="R162" s="52">
        <f t="shared" si="3"/>
        <v>-1650000</v>
      </c>
    </row>
    <row r="163" spans="1:18" x14ac:dyDescent="0.25">
      <c r="A163" s="49" t="s">
        <v>274</v>
      </c>
      <c r="B163" s="49" t="s">
        <v>212</v>
      </c>
      <c r="C163" s="49" t="s">
        <v>213</v>
      </c>
      <c r="D163" s="49" t="s">
        <v>69</v>
      </c>
      <c r="E163" s="50">
        <v>28930000</v>
      </c>
      <c r="F163" s="50">
        <v>28430000</v>
      </c>
      <c r="G163" s="50">
        <v>28250000</v>
      </c>
      <c r="H163" s="50">
        <v>8299540</v>
      </c>
      <c r="I163" s="50">
        <v>7201590.3399999999</v>
      </c>
      <c r="J163" s="50">
        <v>0</v>
      </c>
      <c r="K163" s="50">
        <v>9968185.1899999995</v>
      </c>
      <c r="L163" s="51">
        <f t="shared" si="0"/>
        <v>0.3506220608512135</v>
      </c>
      <c r="M163" s="50">
        <v>8529632.1699999999</v>
      </c>
      <c r="N163" s="51">
        <f t="shared" si="1"/>
        <v>0.30002223601829053</v>
      </c>
      <c r="O163" s="50">
        <v>2960684.47</v>
      </c>
      <c r="P163" s="51">
        <f t="shared" si="2"/>
        <v>0.10413944671122055</v>
      </c>
      <c r="Q163" s="50">
        <v>2780684.47</v>
      </c>
      <c r="R163" s="52">
        <f t="shared" si="3"/>
        <v>-180000</v>
      </c>
    </row>
    <row r="164" spans="1:18" x14ac:dyDescent="0.25">
      <c r="A164" s="49" t="s">
        <v>274</v>
      </c>
      <c r="B164" s="49" t="s">
        <v>214</v>
      </c>
      <c r="C164" s="49" t="s">
        <v>215</v>
      </c>
      <c r="D164" s="49" t="s">
        <v>69</v>
      </c>
      <c r="E164" s="50">
        <v>8000000</v>
      </c>
      <c r="F164" s="50">
        <v>7500000</v>
      </c>
      <c r="G164" s="50">
        <v>7500000</v>
      </c>
      <c r="H164" s="50">
        <v>99500</v>
      </c>
      <c r="I164" s="50">
        <v>2279153.1800000002</v>
      </c>
      <c r="J164" s="50">
        <v>0</v>
      </c>
      <c r="K164" s="50">
        <v>3579178.79</v>
      </c>
      <c r="L164" s="51">
        <f t="shared" si="0"/>
        <v>0.47722383866666668</v>
      </c>
      <c r="M164" s="50">
        <v>3234870.87</v>
      </c>
      <c r="N164" s="51">
        <f t="shared" si="1"/>
        <v>0.43131611600000003</v>
      </c>
      <c r="O164" s="50">
        <v>1542168.03</v>
      </c>
      <c r="P164" s="51">
        <f t="shared" si="2"/>
        <v>0.20562240400000001</v>
      </c>
      <c r="Q164" s="50">
        <v>1542168.03</v>
      </c>
      <c r="R164" s="52">
        <f t="shared" si="3"/>
        <v>0</v>
      </c>
    </row>
    <row r="165" spans="1:18" x14ac:dyDescent="0.25">
      <c r="A165" s="49" t="s">
        <v>274</v>
      </c>
      <c r="B165" s="49" t="s">
        <v>218</v>
      </c>
      <c r="C165" s="49" t="s">
        <v>219</v>
      </c>
      <c r="D165" s="49" t="s">
        <v>69</v>
      </c>
      <c r="E165" s="50">
        <v>8000000</v>
      </c>
      <c r="F165" s="50">
        <v>7500000</v>
      </c>
      <c r="G165" s="50">
        <v>7400000</v>
      </c>
      <c r="H165" s="50">
        <v>0</v>
      </c>
      <c r="I165" s="50">
        <v>3801121.78</v>
      </c>
      <c r="J165" s="50">
        <v>0</v>
      </c>
      <c r="K165" s="50">
        <v>3494538.22</v>
      </c>
      <c r="L165" s="51">
        <f t="shared" si="0"/>
        <v>0.46593842933333335</v>
      </c>
      <c r="M165" s="50">
        <v>2400293.12</v>
      </c>
      <c r="N165" s="51">
        <f t="shared" si="1"/>
        <v>0.3200390826666667</v>
      </c>
      <c r="O165" s="50">
        <v>204340</v>
      </c>
      <c r="P165" s="51">
        <f t="shared" si="2"/>
        <v>2.7245333333333333E-2</v>
      </c>
      <c r="Q165" s="50">
        <v>104340</v>
      </c>
      <c r="R165" s="52">
        <f t="shared" si="3"/>
        <v>-100000</v>
      </c>
    </row>
    <row r="166" spans="1:18" x14ac:dyDescent="0.25">
      <c r="A166" s="49" t="s">
        <v>274</v>
      </c>
      <c r="B166" s="49" t="s">
        <v>222</v>
      </c>
      <c r="C166" s="49" t="s">
        <v>223</v>
      </c>
      <c r="D166" s="49" t="s">
        <v>69</v>
      </c>
      <c r="E166" s="50">
        <v>4930000</v>
      </c>
      <c r="F166" s="50">
        <v>4430000</v>
      </c>
      <c r="G166" s="50">
        <v>4430000</v>
      </c>
      <c r="H166" s="50">
        <v>2839290</v>
      </c>
      <c r="I166" s="50">
        <v>628315.38</v>
      </c>
      <c r="J166" s="50">
        <v>0</v>
      </c>
      <c r="K166" s="50">
        <v>910718.18</v>
      </c>
      <c r="L166" s="51">
        <f t="shared" si="0"/>
        <v>0.20557972460496615</v>
      </c>
      <c r="M166" s="50">
        <v>910718.18</v>
      </c>
      <c r="N166" s="51">
        <f t="shared" si="1"/>
        <v>0.20557972460496615</v>
      </c>
      <c r="O166" s="50">
        <v>51676.44</v>
      </c>
      <c r="P166" s="51">
        <f t="shared" si="2"/>
        <v>1.1665110609480812E-2</v>
      </c>
      <c r="Q166" s="50">
        <v>51676.44</v>
      </c>
      <c r="R166" s="52">
        <f t="shared" si="3"/>
        <v>0</v>
      </c>
    </row>
    <row r="167" spans="1:18" x14ac:dyDescent="0.25">
      <c r="A167" s="49" t="s">
        <v>274</v>
      </c>
      <c r="B167" s="49" t="s">
        <v>228</v>
      </c>
      <c r="C167" s="49" t="s">
        <v>229</v>
      </c>
      <c r="D167" s="49" t="s">
        <v>69</v>
      </c>
      <c r="E167" s="50">
        <v>8000000</v>
      </c>
      <c r="F167" s="50">
        <v>9000000</v>
      </c>
      <c r="G167" s="50">
        <v>8920000</v>
      </c>
      <c r="H167" s="50">
        <v>5360750</v>
      </c>
      <c r="I167" s="50">
        <v>493000</v>
      </c>
      <c r="J167" s="50">
        <v>0</v>
      </c>
      <c r="K167" s="50">
        <v>1983750</v>
      </c>
      <c r="L167" s="51">
        <f t="shared" si="0"/>
        <v>0.22041666666666668</v>
      </c>
      <c r="M167" s="50">
        <v>1983750</v>
      </c>
      <c r="N167" s="51">
        <f t="shared" si="1"/>
        <v>0.22041666666666668</v>
      </c>
      <c r="O167" s="50">
        <v>1162500</v>
      </c>
      <c r="P167" s="51">
        <f t="shared" si="2"/>
        <v>0.12916666666666668</v>
      </c>
      <c r="Q167" s="50">
        <v>1082500</v>
      </c>
      <c r="R167" s="52">
        <f t="shared" si="3"/>
        <v>-80000</v>
      </c>
    </row>
    <row r="168" spans="1:18" x14ac:dyDescent="0.25">
      <c r="A168" s="49" t="s">
        <v>274</v>
      </c>
      <c r="B168" s="49" t="s">
        <v>230</v>
      </c>
      <c r="C168" s="49" t="s">
        <v>231</v>
      </c>
      <c r="D168" s="49" t="s">
        <v>85</v>
      </c>
      <c r="E168" s="50">
        <v>29500000</v>
      </c>
      <c r="F168" s="50">
        <v>29500000</v>
      </c>
      <c r="G168" s="50">
        <v>29250000</v>
      </c>
      <c r="H168" s="50">
        <v>15205900</v>
      </c>
      <c r="I168" s="50">
        <v>4175000</v>
      </c>
      <c r="J168" s="50">
        <v>0</v>
      </c>
      <c r="K168" s="50">
        <v>9545831</v>
      </c>
      <c r="L168" s="51">
        <f t="shared" si="0"/>
        <v>0.32358749152542371</v>
      </c>
      <c r="M168" s="50">
        <v>9545831</v>
      </c>
      <c r="N168" s="51">
        <f t="shared" si="1"/>
        <v>0.32358749152542371</v>
      </c>
      <c r="O168" s="50">
        <v>573269</v>
      </c>
      <c r="P168" s="51">
        <f t="shared" si="2"/>
        <v>1.943284745762712E-2</v>
      </c>
      <c r="Q168" s="50">
        <v>323269</v>
      </c>
      <c r="R168" s="52">
        <f t="shared" si="3"/>
        <v>-250000</v>
      </c>
    </row>
    <row r="169" spans="1:18" x14ac:dyDescent="0.25">
      <c r="A169" s="49" t="s">
        <v>274</v>
      </c>
      <c r="B169" s="49" t="s">
        <v>232</v>
      </c>
      <c r="C169" s="49" t="s">
        <v>233</v>
      </c>
      <c r="D169" s="49" t="s">
        <v>85</v>
      </c>
      <c r="E169" s="50">
        <v>29500000</v>
      </c>
      <c r="F169" s="50">
        <v>29500000</v>
      </c>
      <c r="G169" s="50">
        <v>29250000</v>
      </c>
      <c r="H169" s="50">
        <v>15205900</v>
      </c>
      <c r="I169" s="50">
        <v>4175000</v>
      </c>
      <c r="J169" s="50">
        <v>0</v>
      </c>
      <c r="K169" s="50">
        <v>9545831</v>
      </c>
      <c r="L169" s="51">
        <f t="shared" si="0"/>
        <v>0.32358749152542371</v>
      </c>
      <c r="M169" s="50">
        <v>9545831</v>
      </c>
      <c r="N169" s="51">
        <f t="shared" si="1"/>
        <v>0.32358749152542371</v>
      </c>
      <c r="O169" s="50">
        <v>573269</v>
      </c>
      <c r="P169" s="51">
        <f t="shared" si="2"/>
        <v>1.943284745762712E-2</v>
      </c>
      <c r="Q169" s="50">
        <v>323269</v>
      </c>
      <c r="R169" s="52">
        <f t="shared" si="3"/>
        <v>-250000</v>
      </c>
    </row>
    <row r="170" spans="1:18" x14ac:dyDescent="0.25">
      <c r="A170" s="49" t="s">
        <v>274</v>
      </c>
      <c r="B170" s="49" t="s">
        <v>236</v>
      </c>
      <c r="C170" s="49" t="s">
        <v>237</v>
      </c>
      <c r="D170" s="49" t="s">
        <v>85</v>
      </c>
      <c r="E170" s="50">
        <v>4700000</v>
      </c>
      <c r="F170" s="50">
        <v>6950000</v>
      </c>
      <c r="G170" s="50">
        <v>6950000</v>
      </c>
      <c r="H170" s="50">
        <v>1372000</v>
      </c>
      <c r="I170" s="50">
        <v>4175000</v>
      </c>
      <c r="J170" s="50">
        <v>0</v>
      </c>
      <c r="K170" s="50">
        <v>1400320</v>
      </c>
      <c r="L170" s="51">
        <f t="shared" si="0"/>
        <v>0.20148489208633094</v>
      </c>
      <c r="M170" s="50">
        <v>1400320</v>
      </c>
      <c r="N170" s="51">
        <f t="shared" si="1"/>
        <v>0.20148489208633094</v>
      </c>
      <c r="O170" s="50">
        <v>2680</v>
      </c>
      <c r="P170" s="51">
        <f t="shared" si="2"/>
        <v>3.8561151079136689E-4</v>
      </c>
      <c r="Q170" s="50">
        <v>2680</v>
      </c>
      <c r="R170" s="52">
        <f t="shared" si="3"/>
        <v>0</v>
      </c>
    </row>
    <row r="171" spans="1:18" x14ac:dyDescent="0.25">
      <c r="A171" s="49" t="s">
        <v>274</v>
      </c>
      <c r="B171" s="49" t="s">
        <v>238</v>
      </c>
      <c r="C171" s="49" t="s">
        <v>239</v>
      </c>
      <c r="D171" s="49" t="s">
        <v>85</v>
      </c>
      <c r="E171" s="50">
        <v>3800000</v>
      </c>
      <c r="F171" s="50">
        <v>3300000</v>
      </c>
      <c r="G171" s="50">
        <v>3300000</v>
      </c>
      <c r="H171" s="50">
        <v>2358400</v>
      </c>
      <c r="I171" s="50">
        <v>0</v>
      </c>
      <c r="J171" s="50">
        <v>0</v>
      </c>
      <c r="K171" s="50">
        <v>913570</v>
      </c>
      <c r="L171" s="51">
        <f t="shared" si="0"/>
        <v>0.27683939393939394</v>
      </c>
      <c r="M171" s="50">
        <v>913570</v>
      </c>
      <c r="N171" s="51">
        <f t="shared" si="1"/>
        <v>0.27683939393939394</v>
      </c>
      <c r="O171" s="50">
        <v>28030</v>
      </c>
      <c r="P171" s="51">
        <f t="shared" si="2"/>
        <v>8.493939393939394E-3</v>
      </c>
      <c r="Q171" s="50">
        <v>28030</v>
      </c>
      <c r="R171" s="52">
        <f t="shared" si="3"/>
        <v>0</v>
      </c>
    </row>
    <row r="172" spans="1:18" x14ac:dyDescent="0.25">
      <c r="A172" s="49" t="s">
        <v>274</v>
      </c>
      <c r="B172" s="49" t="s">
        <v>282</v>
      </c>
      <c r="C172" s="49" t="s">
        <v>283</v>
      </c>
      <c r="D172" s="49" t="s">
        <v>85</v>
      </c>
      <c r="E172" s="50">
        <v>1000000</v>
      </c>
      <c r="F172" s="50">
        <v>250000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1">
        <f t="shared" si="0"/>
        <v>0</v>
      </c>
      <c r="M172" s="50">
        <v>0</v>
      </c>
      <c r="N172" s="51">
        <f t="shared" si="1"/>
        <v>0</v>
      </c>
      <c r="O172" s="50">
        <v>250000</v>
      </c>
      <c r="P172" s="51">
        <f t="shared" si="2"/>
        <v>1</v>
      </c>
      <c r="Q172" s="50">
        <v>0</v>
      </c>
      <c r="R172" s="52">
        <f t="shared" si="3"/>
        <v>-250000</v>
      </c>
    </row>
    <row r="173" spans="1:18" x14ac:dyDescent="0.25">
      <c r="A173" s="49" t="s">
        <v>274</v>
      </c>
      <c r="B173" s="49" t="s">
        <v>240</v>
      </c>
      <c r="C173" s="49" t="s">
        <v>241</v>
      </c>
      <c r="D173" s="49" t="s">
        <v>85</v>
      </c>
      <c r="E173" s="50">
        <v>16000000</v>
      </c>
      <c r="F173" s="50">
        <v>16000000</v>
      </c>
      <c r="G173" s="50">
        <v>16000000</v>
      </c>
      <c r="H173" s="50">
        <v>8967500</v>
      </c>
      <c r="I173" s="50">
        <v>0</v>
      </c>
      <c r="J173" s="50">
        <v>0</v>
      </c>
      <c r="K173" s="50">
        <v>7031501</v>
      </c>
      <c r="L173" s="51">
        <f t="shared" si="0"/>
        <v>0.43946881249999997</v>
      </c>
      <c r="M173" s="50">
        <v>7031501</v>
      </c>
      <c r="N173" s="51">
        <f t="shared" si="1"/>
        <v>0.43946881249999997</v>
      </c>
      <c r="O173" s="50">
        <v>999</v>
      </c>
      <c r="P173" s="51">
        <f t="shared" si="2"/>
        <v>6.2437500000000007E-5</v>
      </c>
      <c r="Q173" s="50">
        <v>999</v>
      </c>
      <c r="R173" s="52">
        <f t="shared" si="3"/>
        <v>0</v>
      </c>
    </row>
    <row r="174" spans="1:18" x14ac:dyDescent="0.25">
      <c r="A174" s="49" t="s">
        <v>274</v>
      </c>
      <c r="B174" s="49" t="s">
        <v>242</v>
      </c>
      <c r="C174" s="49" t="s">
        <v>243</v>
      </c>
      <c r="D174" s="49" t="s">
        <v>85</v>
      </c>
      <c r="E174" s="50">
        <v>4000000</v>
      </c>
      <c r="F174" s="50">
        <v>3000000</v>
      </c>
      <c r="G174" s="50">
        <v>3000000</v>
      </c>
      <c r="H174" s="50">
        <v>2508000</v>
      </c>
      <c r="I174" s="50">
        <v>0</v>
      </c>
      <c r="J174" s="50">
        <v>0</v>
      </c>
      <c r="K174" s="50">
        <v>200440</v>
      </c>
      <c r="L174" s="51">
        <f t="shared" si="0"/>
        <v>6.6813333333333336E-2</v>
      </c>
      <c r="M174" s="50">
        <v>200440</v>
      </c>
      <c r="N174" s="51">
        <f t="shared" si="1"/>
        <v>6.6813333333333336E-2</v>
      </c>
      <c r="O174" s="50">
        <v>291560</v>
      </c>
      <c r="P174" s="51">
        <f t="shared" si="2"/>
        <v>9.7186666666666671E-2</v>
      </c>
      <c r="Q174" s="50">
        <v>291560</v>
      </c>
      <c r="R174" s="52">
        <f t="shared" si="3"/>
        <v>0</v>
      </c>
    </row>
    <row r="175" spans="1:18" x14ac:dyDescent="0.25">
      <c r="A175" s="49" t="s">
        <v>274</v>
      </c>
      <c r="B175" s="49" t="s">
        <v>248</v>
      </c>
      <c r="C175" s="49" t="s">
        <v>249</v>
      </c>
      <c r="D175" s="49" t="s">
        <v>69</v>
      </c>
      <c r="E175" s="50">
        <v>43960000</v>
      </c>
      <c r="F175" s="50">
        <v>43960000</v>
      </c>
      <c r="G175" s="50">
        <v>35424785</v>
      </c>
      <c r="H175" s="50">
        <v>0</v>
      </c>
      <c r="I175" s="50">
        <v>2643509</v>
      </c>
      <c r="J175" s="50">
        <v>0</v>
      </c>
      <c r="K175" s="50">
        <v>28786508.350000001</v>
      </c>
      <c r="L175" s="51">
        <f t="shared" si="0"/>
        <v>0.65483412989080991</v>
      </c>
      <c r="M175" s="50">
        <v>28786508.350000001</v>
      </c>
      <c r="N175" s="51">
        <f t="shared" si="1"/>
        <v>0.65483412989080991</v>
      </c>
      <c r="O175" s="50">
        <v>12529982.65</v>
      </c>
      <c r="P175" s="51">
        <f t="shared" si="2"/>
        <v>0.28503145245677891</v>
      </c>
      <c r="Q175" s="50">
        <v>3994767.65</v>
      </c>
      <c r="R175" s="52">
        <f t="shared" si="3"/>
        <v>-8535215</v>
      </c>
    </row>
    <row r="176" spans="1:18" x14ac:dyDescent="0.25">
      <c r="A176" s="49" t="s">
        <v>274</v>
      </c>
      <c r="B176" s="49" t="s">
        <v>250</v>
      </c>
      <c r="C176" s="49" t="s">
        <v>251</v>
      </c>
      <c r="D176" s="49" t="s">
        <v>69</v>
      </c>
      <c r="E176" s="50">
        <v>11142000</v>
      </c>
      <c r="F176" s="50">
        <v>11142000</v>
      </c>
      <c r="G176" s="50">
        <v>10606785</v>
      </c>
      <c r="H176" s="50">
        <v>0</v>
      </c>
      <c r="I176" s="50">
        <v>2643509</v>
      </c>
      <c r="J176" s="50">
        <v>0</v>
      </c>
      <c r="K176" s="50">
        <v>7963276</v>
      </c>
      <c r="L176" s="51">
        <f t="shared" si="0"/>
        <v>0.71470795189373537</v>
      </c>
      <c r="M176" s="50">
        <v>7963276</v>
      </c>
      <c r="N176" s="51">
        <f t="shared" si="1"/>
        <v>0.71470795189373537</v>
      </c>
      <c r="O176" s="50">
        <v>535215</v>
      </c>
      <c r="P176" s="51">
        <f t="shared" si="2"/>
        <v>4.8035810446957455E-2</v>
      </c>
      <c r="Q176" s="50">
        <v>0</v>
      </c>
      <c r="R176" s="52">
        <f t="shared" si="3"/>
        <v>-535215</v>
      </c>
    </row>
    <row r="177" spans="1:18" x14ac:dyDescent="0.25">
      <c r="A177" s="49" t="s">
        <v>274</v>
      </c>
      <c r="B177" s="49" t="s">
        <v>284</v>
      </c>
      <c r="C177" s="49" t="s">
        <v>257</v>
      </c>
      <c r="D177" s="49" t="s">
        <v>69</v>
      </c>
      <c r="E177" s="50">
        <v>9273000</v>
      </c>
      <c r="F177" s="50">
        <v>9273000</v>
      </c>
      <c r="G177" s="50">
        <v>8827585</v>
      </c>
      <c r="H177" s="50">
        <v>0</v>
      </c>
      <c r="I177" s="50">
        <v>2200427</v>
      </c>
      <c r="J177" s="50">
        <v>0</v>
      </c>
      <c r="K177" s="50">
        <v>6627158</v>
      </c>
      <c r="L177" s="51">
        <f t="shared" si="0"/>
        <v>0.71467249002480315</v>
      </c>
      <c r="M177" s="50">
        <v>6627158</v>
      </c>
      <c r="N177" s="51">
        <f t="shared" si="1"/>
        <v>0.71467249002480315</v>
      </c>
      <c r="O177" s="50">
        <v>445415</v>
      </c>
      <c r="P177" s="51">
        <f t="shared" si="2"/>
        <v>4.8033538229267765E-2</v>
      </c>
      <c r="Q177" s="50">
        <v>0</v>
      </c>
      <c r="R177" s="52">
        <f t="shared" si="3"/>
        <v>-445415</v>
      </c>
    </row>
    <row r="178" spans="1:18" x14ac:dyDescent="0.25">
      <c r="A178" s="49" t="s">
        <v>274</v>
      </c>
      <c r="B178" s="49" t="s">
        <v>285</v>
      </c>
      <c r="C178" s="49" t="s">
        <v>259</v>
      </c>
      <c r="D178" s="49" t="s">
        <v>69</v>
      </c>
      <c r="E178" s="50">
        <v>1869000</v>
      </c>
      <c r="F178" s="50">
        <v>1869000</v>
      </c>
      <c r="G178" s="50">
        <v>1779200</v>
      </c>
      <c r="H178" s="50">
        <v>0</v>
      </c>
      <c r="I178" s="50">
        <v>443082</v>
      </c>
      <c r="J178" s="50">
        <v>0</v>
      </c>
      <c r="K178" s="50">
        <v>1336118</v>
      </c>
      <c r="L178" s="51">
        <f t="shared" si="0"/>
        <v>0.71488389513108619</v>
      </c>
      <c r="M178" s="50">
        <v>1336118</v>
      </c>
      <c r="N178" s="51">
        <f t="shared" si="1"/>
        <v>0.71488389513108619</v>
      </c>
      <c r="O178" s="50">
        <v>89800</v>
      </c>
      <c r="P178" s="51">
        <f t="shared" si="2"/>
        <v>4.8047084002140181E-2</v>
      </c>
      <c r="Q178" s="50">
        <v>0</v>
      </c>
      <c r="R178" s="52">
        <f t="shared" si="3"/>
        <v>-89800</v>
      </c>
    </row>
    <row r="179" spans="1:18" x14ac:dyDescent="0.25">
      <c r="A179" s="49" t="s">
        <v>274</v>
      </c>
      <c r="B179" s="49" t="s">
        <v>260</v>
      </c>
      <c r="C179" s="49" t="s">
        <v>261</v>
      </c>
      <c r="D179" s="49" t="s">
        <v>69</v>
      </c>
      <c r="E179" s="50">
        <v>24818000</v>
      </c>
      <c r="F179" s="50">
        <v>26818000</v>
      </c>
      <c r="G179" s="50">
        <v>24818000</v>
      </c>
      <c r="H179" s="50">
        <v>0</v>
      </c>
      <c r="I179" s="50">
        <v>0</v>
      </c>
      <c r="J179" s="50">
        <v>0</v>
      </c>
      <c r="K179" s="50">
        <v>20823232.350000001</v>
      </c>
      <c r="L179" s="51">
        <f t="shared" si="0"/>
        <v>0.77646477552390192</v>
      </c>
      <c r="M179" s="50">
        <v>20823232.350000001</v>
      </c>
      <c r="N179" s="51">
        <f t="shared" si="1"/>
        <v>0.77646477552390192</v>
      </c>
      <c r="O179" s="50">
        <v>5994767.6500000004</v>
      </c>
      <c r="P179" s="51">
        <f t="shared" si="2"/>
        <v>0.22353522447609817</v>
      </c>
      <c r="Q179" s="50">
        <v>3994767.65</v>
      </c>
      <c r="R179" s="52">
        <f t="shared" si="3"/>
        <v>-2000000</v>
      </c>
    </row>
    <row r="180" spans="1:18" x14ac:dyDescent="0.25">
      <c r="A180" s="49" t="s">
        <v>274</v>
      </c>
      <c r="B180" s="49" t="s">
        <v>262</v>
      </c>
      <c r="C180" s="49" t="s">
        <v>263</v>
      </c>
      <c r="D180" s="49" t="s">
        <v>69</v>
      </c>
      <c r="E180" s="50">
        <v>17000000</v>
      </c>
      <c r="F180" s="50">
        <v>19000000</v>
      </c>
      <c r="G180" s="50">
        <v>17000000</v>
      </c>
      <c r="H180" s="50">
        <v>0</v>
      </c>
      <c r="I180" s="50">
        <v>0</v>
      </c>
      <c r="J180" s="50">
        <v>0</v>
      </c>
      <c r="K180" s="50">
        <v>16932874.350000001</v>
      </c>
      <c r="L180" s="51">
        <f t="shared" si="0"/>
        <v>0.89120391315789482</v>
      </c>
      <c r="M180" s="50">
        <v>16932874.350000001</v>
      </c>
      <c r="N180" s="51">
        <f t="shared" si="1"/>
        <v>0.89120391315789482</v>
      </c>
      <c r="O180" s="50">
        <v>2067125.65</v>
      </c>
      <c r="P180" s="51">
        <f t="shared" si="2"/>
        <v>0.10879608684210526</v>
      </c>
      <c r="Q180" s="50">
        <v>67125.649999999994</v>
      </c>
      <c r="R180" s="52">
        <f t="shared" si="3"/>
        <v>-2000000</v>
      </c>
    </row>
    <row r="181" spans="1:18" x14ac:dyDescent="0.25">
      <c r="A181" s="49" t="s">
        <v>274</v>
      </c>
      <c r="B181" s="49" t="s">
        <v>264</v>
      </c>
      <c r="C181" s="49" t="s">
        <v>265</v>
      </c>
      <c r="D181" s="49" t="s">
        <v>69</v>
      </c>
      <c r="E181" s="50">
        <v>7818000</v>
      </c>
      <c r="F181" s="50">
        <v>7818000</v>
      </c>
      <c r="G181" s="50">
        <v>7818000</v>
      </c>
      <c r="H181" s="50">
        <v>0</v>
      </c>
      <c r="I181" s="50">
        <v>0</v>
      </c>
      <c r="J181" s="50">
        <v>0</v>
      </c>
      <c r="K181" s="50">
        <v>3890358</v>
      </c>
      <c r="L181" s="51">
        <f t="shared" si="0"/>
        <v>0.49761550268610899</v>
      </c>
      <c r="M181" s="50">
        <v>3890358</v>
      </c>
      <c r="N181" s="51">
        <f t="shared" si="1"/>
        <v>0.49761550268610899</v>
      </c>
      <c r="O181" s="50">
        <v>3927642</v>
      </c>
      <c r="P181" s="51">
        <f t="shared" si="2"/>
        <v>0.50238449731389101</v>
      </c>
      <c r="Q181" s="50">
        <v>3927642</v>
      </c>
      <c r="R181" s="52">
        <f t="shared" si="3"/>
        <v>0</v>
      </c>
    </row>
    <row r="182" spans="1:18" x14ac:dyDescent="0.25">
      <c r="A182" s="49" t="s">
        <v>274</v>
      </c>
      <c r="B182" s="49" t="s">
        <v>286</v>
      </c>
      <c r="C182" s="49" t="s">
        <v>287</v>
      </c>
      <c r="D182" s="49" t="s">
        <v>69</v>
      </c>
      <c r="E182" s="50">
        <v>8000000</v>
      </c>
      <c r="F182" s="50">
        <v>6000000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1">
        <f t="shared" si="0"/>
        <v>0</v>
      </c>
      <c r="M182" s="50">
        <v>0</v>
      </c>
      <c r="N182" s="51">
        <f t="shared" si="1"/>
        <v>0</v>
      </c>
      <c r="O182" s="50">
        <v>6000000</v>
      </c>
      <c r="P182" s="51">
        <f t="shared" si="2"/>
        <v>1</v>
      </c>
      <c r="Q182" s="50">
        <v>0</v>
      </c>
      <c r="R182" s="52">
        <f t="shared" si="3"/>
        <v>-6000000</v>
      </c>
    </row>
    <row r="183" spans="1:18" x14ac:dyDescent="0.25">
      <c r="A183" s="49" t="s">
        <v>274</v>
      </c>
      <c r="B183" s="49" t="s">
        <v>288</v>
      </c>
      <c r="C183" s="49" t="s">
        <v>289</v>
      </c>
      <c r="D183" s="49" t="s">
        <v>69</v>
      </c>
      <c r="E183" s="50">
        <v>8000000</v>
      </c>
      <c r="F183" s="50">
        <v>6000000</v>
      </c>
      <c r="G183" s="50">
        <v>0</v>
      </c>
      <c r="H183" s="50">
        <v>0</v>
      </c>
      <c r="I183" s="50">
        <v>0</v>
      </c>
      <c r="J183" s="50">
        <v>0</v>
      </c>
      <c r="K183" s="50">
        <v>0</v>
      </c>
      <c r="L183" s="51">
        <f t="shared" si="0"/>
        <v>0</v>
      </c>
      <c r="M183" s="50">
        <v>0</v>
      </c>
      <c r="N183" s="51">
        <f t="shared" si="1"/>
        <v>0</v>
      </c>
      <c r="O183" s="50">
        <v>6000000</v>
      </c>
      <c r="P183" s="51">
        <f t="shared" si="2"/>
        <v>1</v>
      </c>
      <c r="Q183" s="50">
        <v>0</v>
      </c>
      <c r="R183" s="52">
        <f t="shared" si="3"/>
        <v>-6000000</v>
      </c>
    </row>
    <row r="184" spans="1:18" x14ac:dyDescent="0.25">
      <c r="A184" s="49" t="s">
        <v>290</v>
      </c>
      <c r="B184" s="49"/>
      <c r="C184" s="49"/>
      <c r="D184" s="49" t="s">
        <v>69</v>
      </c>
      <c r="E184" s="50">
        <v>11325587195</v>
      </c>
      <c r="F184" s="50">
        <v>11325587195</v>
      </c>
      <c r="G184" s="50">
        <v>10833197887</v>
      </c>
      <c r="H184" s="50">
        <v>7801036.5099999998</v>
      </c>
      <c r="I184" s="50">
        <v>650368919.38</v>
      </c>
      <c r="J184" s="50">
        <v>5402220.5800000001</v>
      </c>
      <c r="K184" s="50">
        <v>7683069814.5799999</v>
      </c>
      <c r="L184" s="51">
        <f t="shared" si="0"/>
        <v>0.67838158695841466</v>
      </c>
      <c r="M184" s="50">
        <v>7617099648.4799995</v>
      </c>
      <c r="N184" s="51">
        <f t="shared" si="1"/>
        <v>0.67255670874555473</v>
      </c>
      <c r="O184" s="50">
        <v>2978945203.9499998</v>
      </c>
      <c r="P184" s="51">
        <f t="shared" si="2"/>
        <v>0.2630278812620982</v>
      </c>
      <c r="Q184" s="50">
        <v>2486555895.9499998</v>
      </c>
      <c r="R184" s="52">
        <f t="shared" si="3"/>
        <v>-492389308</v>
      </c>
    </row>
    <row r="185" spans="1:18" x14ac:dyDescent="0.25">
      <c r="A185" s="49" t="s">
        <v>290</v>
      </c>
      <c r="B185" s="49" t="s">
        <v>71</v>
      </c>
      <c r="C185" s="49" t="s">
        <v>72</v>
      </c>
      <c r="D185" s="49" t="s">
        <v>69</v>
      </c>
      <c r="E185" s="50">
        <v>9908319000</v>
      </c>
      <c r="F185" s="50">
        <v>9899719000</v>
      </c>
      <c r="G185" s="50">
        <v>9514490916</v>
      </c>
      <c r="H185" s="50">
        <v>0</v>
      </c>
      <c r="I185" s="50">
        <v>347600880.19999999</v>
      </c>
      <c r="J185" s="50">
        <v>0</v>
      </c>
      <c r="K185" s="50">
        <v>6828739077.6999998</v>
      </c>
      <c r="L185" s="51">
        <f t="shared" si="0"/>
        <v>0.68979120293212359</v>
      </c>
      <c r="M185" s="50">
        <v>6828739077.6999998</v>
      </c>
      <c r="N185" s="51">
        <f t="shared" si="1"/>
        <v>0.68979120293212359</v>
      </c>
      <c r="O185" s="50">
        <v>2723379042.0999999</v>
      </c>
      <c r="P185" s="51">
        <f t="shared" si="2"/>
        <v>0.27509660042875961</v>
      </c>
      <c r="Q185" s="50">
        <v>2338150958.0999999</v>
      </c>
      <c r="R185" s="52">
        <f t="shared" si="3"/>
        <v>-385228084</v>
      </c>
    </row>
    <row r="186" spans="1:18" x14ac:dyDescent="0.25">
      <c r="A186" s="49" t="s">
        <v>290</v>
      </c>
      <c r="B186" s="49" t="s">
        <v>73</v>
      </c>
      <c r="C186" s="49" t="s">
        <v>74</v>
      </c>
      <c r="D186" s="49" t="s">
        <v>69</v>
      </c>
      <c r="E186" s="50">
        <v>3418584000</v>
      </c>
      <c r="F186" s="50">
        <v>3418584000</v>
      </c>
      <c r="G186" s="50">
        <v>3260701074</v>
      </c>
      <c r="H186" s="50">
        <v>0</v>
      </c>
      <c r="I186" s="50">
        <v>0</v>
      </c>
      <c r="J186" s="50">
        <v>0</v>
      </c>
      <c r="K186" s="50">
        <v>2491538233.21</v>
      </c>
      <c r="L186" s="51">
        <f t="shared" si="0"/>
        <v>0.72882170899120802</v>
      </c>
      <c r="M186" s="50">
        <v>2491538233.21</v>
      </c>
      <c r="N186" s="51">
        <f t="shared" si="1"/>
        <v>0.72882170899120802</v>
      </c>
      <c r="O186" s="50">
        <v>927045766.78999996</v>
      </c>
      <c r="P186" s="51">
        <f t="shared" si="2"/>
        <v>0.27117829100879193</v>
      </c>
      <c r="Q186" s="50">
        <v>769162840.78999996</v>
      </c>
      <c r="R186" s="52">
        <f t="shared" si="3"/>
        <v>-157882926</v>
      </c>
    </row>
    <row r="187" spans="1:18" x14ac:dyDescent="0.25">
      <c r="A187" s="49" t="s">
        <v>290</v>
      </c>
      <c r="B187" s="49" t="s">
        <v>75</v>
      </c>
      <c r="C187" s="49" t="s">
        <v>76</v>
      </c>
      <c r="D187" s="49" t="s">
        <v>69</v>
      </c>
      <c r="E187" s="50">
        <v>3413584000</v>
      </c>
      <c r="F187" s="50">
        <v>3413584000</v>
      </c>
      <c r="G187" s="50">
        <v>3255701074</v>
      </c>
      <c r="H187" s="50">
        <v>0</v>
      </c>
      <c r="I187" s="50">
        <v>0</v>
      </c>
      <c r="J187" s="50">
        <v>0</v>
      </c>
      <c r="K187" s="50">
        <v>2491538233.21</v>
      </c>
      <c r="L187" s="51">
        <f t="shared" si="0"/>
        <v>0.72988924051964155</v>
      </c>
      <c r="M187" s="50">
        <v>2491538233.21</v>
      </c>
      <c r="N187" s="51">
        <f t="shared" si="1"/>
        <v>0.72988924051964155</v>
      </c>
      <c r="O187" s="50">
        <v>922045766.78999996</v>
      </c>
      <c r="P187" s="51">
        <f t="shared" si="2"/>
        <v>0.27011075948035845</v>
      </c>
      <c r="Q187" s="50">
        <v>764162840.78999996</v>
      </c>
      <c r="R187" s="52">
        <f t="shared" si="3"/>
        <v>-157882926</v>
      </c>
    </row>
    <row r="188" spans="1:18" x14ac:dyDescent="0.25">
      <c r="A188" s="49" t="s">
        <v>290</v>
      </c>
      <c r="B188" s="49" t="s">
        <v>291</v>
      </c>
      <c r="C188" s="49" t="s">
        <v>292</v>
      </c>
      <c r="D188" s="49" t="s">
        <v>69</v>
      </c>
      <c r="E188" s="50">
        <v>5000000</v>
      </c>
      <c r="F188" s="50">
        <v>5000000</v>
      </c>
      <c r="G188" s="50">
        <v>5000000</v>
      </c>
      <c r="H188" s="50">
        <v>0</v>
      </c>
      <c r="I188" s="50">
        <v>0</v>
      </c>
      <c r="J188" s="50">
        <v>0</v>
      </c>
      <c r="K188" s="50">
        <v>0</v>
      </c>
      <c r="L188" s="51">
        <f t="shared" si="0"/>
        <v>0</v>
      </c>
      <c r="M188" s="50">
        <v>0</v>
      </c>
      <c r="N188" s="51">
        <f t="shared" si="1"/>
        <v>0</v>
      </c>
      <c r="O188" s="50">
        <v>5000000</v>
      </c>
      <c r="P188" s="51">
        <f t="shared" si="2"/>
        <v>1</v>
      </c>
      <c r="Q188" s="50">
        <v>5000000</v>
      </c>
      <c r="R188" s="52">
        <f t="shared" si="3"/>
        <v>0</v>
      </c>
    </row>
    <row r="189" spans="1:18" x14ac:dyDescent="0.25">
      <c r="A189" s="49" t="s">
        <v>290</v>
      </c>
      <c r="B189" s="49" t="s">
        <v>293</v>
      </c>
      <c r="C189" s="49" t="s">
        <v>294</v>
      </c>
      <c r="D189" s="49" t="s">
        <v>69</v>
      </c>
      <c r="E189" s="50">
        <v>11000000</v>
      </c>
      <c r="F189" s="50">
        <v>11000000</v>
      </c>
      <c r="G189" s="50">
        <v>11000000</v>
      </c>
      <c r="H189" s="50">
        <v>0</v>
      </c>
      <c r="I189" s="50">
        <v>0</v>
      </c>
      <c r="J189" s="50">
        <v>0</v>
      </c>
      <c r="K189" s="50">
        <v>5374390.2400000002</v>
      </c>
      <c r="L189" s="51">
        <f t="shared" si="0"/>
        <v>0.48858093090909094</v>
      </c>
      <c r="M189" s="50">
        <v>5374390.2400000002</v>
      </c>
      <c r="N189" s="51">
        <f t="shared" si="1"/>
        <v>0.48858093090909094</v>
      </c>
      <c r="O189" s="50">
        <v>5625609.7599999998</v>
      </c>
      <c r="P189" s="51">
        <f t="shared" si="2"/>
        <v>0.51141906909090906</v>
      </c>
      <c r="Q189" s="50">
        <v>5625609.7599999998</v>
      </c>
      <c r="R189" s="52">
        <f t="shared" si="3"/>
        <v>0</v>
      </c>
    </row>
    <row r="190" spans="1:18" x14ac:dyDescent="0.25">
      <c r="A190" s="49" t="s">
        <v>290</v>
      </c>
      <c r="B190" s="49" t="s">
        <v>295</v>
      </c>
      <c r="C190" s="49" t="s">
        <v>296</v>
      </c>
      <c r="D190" s="49" t="s">
        <v>69</v>
      </c>
      <c r="E190" s="50">
        <v>11000000</v>
      </c>
      <c r="F190" s="50">
        <v>11000000</v>
      </c>
      <c r="G190" s="50">
        <v>11000000</v>
      </c>
      <c r="H190" s="50">
        <v>0</v>
      </c>
      <c r="I190" s="50">
        <v>0</v>
      </c>
      <c r="J190" s="50">
        <v>0</v>
      </c>
      <c r="K190" s="50">
        <v>5374390.2400000002</v>
      </c>
      <c r="L190" s="51">
        <f t="shared" si="0"/>
        <v>0.48858093090909094</v>
      </c>
      <c r="M190" s="50">
        <v>5374390.2400000002</v>
      </c>
      <c r="N190" s="51">
        <f t="shared" si="1"/>
        <v>0.48858093090909094</v>
      </c>
      <c r="O190" s="50">
        <v>5625609.7599999998</v>
      </c>
      <c r="P190" s="51">
        <f t="shared" si="2"/>
        <v>0.51141906909090906</v>
      </c>
      <c r="Q190" s="50">
        <v>5625609.7599999998</v>
      </c>
      <c r="R190" s="52">
        <f t="shared" si="3"/>
        <v>0</v>
      </c>
    </row>
    <row r="191" spans="1:18" x14ac:dyDescent="0.25">
      <c r="A191" s="49" t="s">
        <v>290</v>
      </c>
      <c r="B191" s="49" t="s">
        <v>77</v>
      </c>
      <c r="C191" s="49" t="s">
        <v>78</v>
      </c>
      <c r="D191" s="49" t="s">
        <v>69</v>
      </c>
      <c r="E191" s="50">
        <v>4978167000</v>
      </c>
      <c r="F191" s="50">
        <v>4969567000</v>
      </c>
      <c r="G191" s="50">
        <v>4800097989</v>
      </c>
      <c r="H191" s="50">
        <v>0</v>
      </c>
      <c r="I191" s="50">
        <v>66935.199999999997</v>
      </c>
      <c r="J191" s="50">
        <v>0</v>
      </c>
      <c r="K191" s="50">
        <v>3236668546.25</v>
      </c>
      <c r="L191" s="51">
        <f t="shared" si="0"/>
        <v>0.65129789904231095</v>
      </c>
      <c r="M191" s="50">
        <v>3236668546.25</v>
      </c>
      <c r="N191" s="51">
        <f t="shared" si="1"/>
        <v>0.65129789904231095</v>
      </c>
      <c r="O191" s="50">
        <v>1732831518.55</v>
      </c>
      <c r="P191" s="51">
        <f t="shared" si="2"/>
        <v>0.34868863193714866</v>
      </c>
      <c r="Q191" s="50">
        <v>1563362507.55</v>
      </c>
      <c r="R191" s="52">
        <f t="shared" si="3"/>
        <v>-169469011</v>
      </c>
    </row>
    <row r="192" spans="1:18" x14ac:dyDescent="0.25">
      <c r="A192" s="49" t="s">
        <v>290</v>
      </c>
      <c r="B192" s="49" t="s">
        <v>79</v>
      </c>
      <c r="C192" s="49" t="s">
        <v>80</v>
      </c>
      <c r="D192" s="49" t="s">
        <v>69</v>
      </c>
      <c r="E192" s="50">
        <v>913627000</v>
      </c>
      <c r="F192" s="50">
        <v>905027000</v>
      </c>
      <c r="G192" s="50">
        <v>873921834</v>
      </c>
      <c r="H192" s="50">
        <v>0</v>
      </c>
      <c r="I192" s="50">
        <v>61854.400000000001</v>
      </c>
      <c r="J192" s="50">
        <v>0</v>
      </c>
      <c r="K192" s="50">
        <v>633449204.04999995</v>
      </c>
      <c r="L192" s="51">
        <f t="shared" si="0"/>
        <v>0.69992299019808246</v>
      </c>
      <c r="M192" s="50">
        <v>633449204.04999995</v>
      </c>
      <c r="N192" s="51">
        <f t="shared" si="1"/>
        <v>0.69992299019808246</v>
      </c>
      <c r="O192" s="50">
        <v>271515941.55000001</v>
      </c>
      <c r="P192" s="51">
        <f t="shared" si="2"/>
        <v>0.30000866443763557</v>
      </c>
      <c r="Q192" s="50">
        <v>240410775.55000001</v>
      </c>
      <c r="R192" s="52">
        <f t="shared" si="3"/>
        <v>-31105166</v>
      </c>
    </row>
    <row r="193" spans="1:18" x14ac:dyDescent="0.25">
      <c r="A193" s="49" t="s">
        <v>290</v>
      </c>
      <c r="B193" s="49" t="s">
        <v>81</v>
      </c>
      <c r="C193" s="49" t="s">
        <v>82</v>
      </c>
      <c r="D193" s="49" t="s">
        <v>69</v>
      </c>
      <c r="E193" s="50">
        <v>2244831000</v>
      </c>
      <c r="F193" s="50">
        <v>2244831000</v>
      </c>
      <c r="G193" s="50">
        <v>2154630736</v>
      </c>
      <c r="H193" s="50">
        <v>0</v>
      </c>
      <c r="I193" s="50">
        <v>0</v>
      </c>
      <c r="J193" s="50">
        <v>0</v>
      </c>
      <c r="K193" s="50">
        <v>1643854392.51</v>
      </c>
      <c r="L193" s="51">
        <f t="shared" si="0"/>
        <v>0.73228425325113555</v>
      </c>
      <c r="M193" s="50">
        <v>1643854392.51</v>
      </c>
      <c r="N193" s="51">
        <f t="shared" si="1"/>
        <v>0.73228425325113555</v>
      </c>
      <c r="O193" s="50">
        <v>600976607.49000001</v>
      </c>
      <c r="P193" s="51">
        <f t="shared" si="2"/>
        <v>0.26771574674886439</v>
      </c>
      <c r="Q193" s="50">
        <v>510776343.49000001</v>
      </c>
      <c r="R193" s="52">
        <f t="shared" si="3"/>
        <v>-90200264</v>
      </c>
    </row>
    <row r="194" spans="1:18" x14ac:dyDescent="0.25">
      <c r="A194" s="49" t="s">
        <v>290</v>
      </c>
      <c r="B194" s="49" t="s">
        <v>83</v>
      </c>
      <c r="C194" s="49" t="s">
        <v>84</v>
      </c>
      <c r="D194" s="49" t="s">
        <v>85</v>
      </c>
      <c r="E194" s="50">
        <v>647839000</v>
      </c>
      <c r="F194" s="50">
        <v>647839000</v>
      </c>
      <c r="G194" s="50">
        <v>622898064</v>
      </c>
      <c r="H194" s="50">
        <v>0</v>
      </c>
      <c r="I194" s="50">
        <v>4.32</v>
      </c>
      <c r="J194" s="50">
        <v>0</v>
      </c>
      <c r="K194" s="50">
        <v>795760.88</v>
      </c>
      <c r="L194" s="51">
        <f t="shared" si="0"/>
        <v>1.2283312366189749E-3</v>
      </c>
      <c r="M194" s="50">
        <v>795760.88</v>
      </c>
      <c r="N194" s="51">
        <f t="shared" si="1"/>
        <v>1.2283312366189749E-3</v>
      </c>
      <c r="O194" s="50">
        <v>647043234.79999995</v>
      </c>
      <c r="P194" s="51">
        <f t="shared" si="2"/>
        <v>0.99877166209505752</v>
      </c>
      <c r="Q194" s="50">
        <v>622102298.79999995</v>
      </c>
      <c r="R194" s="52">
        <f t="shared" si="3"/>
        <v>-24940936</v>
      </c>
    </row>
    <row r="195" spans="1:18" x14ac:dyDescent="0.25">
      <c r="A195" s="49" t="s">
        <v>290</v>
      </c>
      <c r="B195" s="49" t="s">
        <v>86</v>
      </c>
      <c r="C195" s="49" t="s">
        <v>87</v>
      </c>
      <c r="D195" s="49" t="s">
        <v>69</v>
      </c>
      <c r="E195" s="50">
        <v>540993000</v>
      </c>
      <c r="F195" s="50">
        <v>540993000</v>
      </c>
      <c r="G195" s="50">
        <v>537993000</v>
      </c>
      <c r="H195" s="50">
        <v>0</v>
      </c>
      <c r="I195" s="50">
        <v>5076.4799999999996</v>
      </c>
      <c r="J195" s="50">
        <v>0</v>
      </c>
      <c r="K195" s="50">
        <v>494427385.87</v>
      </c>
      <c r="L195" s="51">
        <f t="shared" si="0"/>
        <v>0.91392566238380168</v>
      </c>
      <c r="M195" s="50">
        <v>494427385.87</v>
      </c>
      <c r="N195" s="51">
        <f t="shared" si="1"/>
        <v>0.91392566238380168</v>
      </c>
      <c r="O195" s="50">
        <v>46560537.649999999</v>
      </c>
      <c r="P195" s="51">
        <f t="shared" si="2"/>
        <v>8.6064953982768727E-2</v>
      </c>
      <c r="Q195" s="50">
        <v>43560537.649999999</v>
      </c>
      <c r="R195" s="52">
        <f t="shared" si="3"/>
        <v>-3000000</v>
      </c>
    </row>
    <row r="196" spans="1:18" x14ac:dyDescent="0.25">
      <c r="A196" s="49" t="s">
        <v>290</v>
      </c>
      <c r="B196" s="49" t="s">
        <v>88</v>
      </c>
      <c r="C196" s="49" t="s">
        <v>89</v>
      </c>
      <c r="D196" s="49" t="s">
        <v>69</v>
      </c>
      <c r="E196" s="50">
        <v>630877000</v>
      </c>
      <c r="F196" s="50">
        <v>630877000</v>
      </c>
      <c r="G196" s="50">
        <v>610654355</v>
      </c>
      <c r="H196" s="50">
        <v>0</v>
      </c>
      <c r="I196" s="50">
        <v>0</v>
      </c>
      <c r="J196" s="50">
        <v>0</v>
      </c>
      <c r="K196" s="50">
        <v>464141802.94</v>
      </c>
      <c r="L196" s="51">
        <f t="shared" si="0"/>
        <v>0.73570886708502603</v>
      </c>
      <c r="M196" s="50">
        <v>464141802.94</v>
      </c>
      <c r="N196" s="51">
        <f t="shared" si="1"/>
        <v>0.73570886708502603</v>
      </c>
      <c r="O196" s="50">
        <v>166735197.06</v>
      </c>
      <c r="P196" s="51">
        <f t="shared" si="2"/>
        <v>0.26429113291497391</v>
      </c>
      <c r="Q196" s="50">
        <v>146512552.06</v>
      </c>
      <c r="R196" s="52">
        <f t="shared" si="3"/>
        <v>-20222645</v>
      </c>
    </row>
    <row r="197" spans="1:18" x14ac:dyDescent="0.25">
      <c r="A197" s="49" t="s">
        <v>290</v>
      </c>
      <c r="B197" s="49" t="s">
        <v>90</v>
      </c>
      <c r="C197" s="49" t="s">
        <v>91</v>
      </c>
      <c r="D197" s="49" t="s">
        <v>69</v>
      </c>
      <c r="E197" s="50">
        <v>756883000</v>
      </c>
      <c r="F197" s="50">
        <v>756883000</v>
      </c>
      <c r="G197" s="50">
        <v>727690427</v>
      </c>
      <c r="H197" s="50">
        <v>0</v>
      </c>
      <c r="I197" s="50">
        <v>171521347</v>
      </c>
      <c r="J197" s="50">
        <v>0</v>
      </c>
      <c r="K197" s="50">
        <v>556169080</v>
      </c>
      <c r="L197" s="51">
        <f t="shared" si="0"/>
        <v>0.73481512994742915</v>
      </c>
      <c r="M197" s="50">
        <v>556169080</v>
      </c>
      <c r="N197" s="51">
        <f t="shared" si="1"/>
        <v>0.73481512994742915</v>
      </c>
      <c r="O197" s="50">
        <v>29192573</v>
      </c>
      <c r="P197" s="51">
        <f t="shared" si="2"/>
        <v>3.8569465822326565E-2</v>
      </c>
      <c r="Q197" s="50">
        <v>0</v>
      </c>
      <c r="R197" s="52">
        <f t="shared" si="3"/>
        <v>-29192573</v>
      </c>
    </row>
    <row r="198" spans="1:18" x14ac:dyDescent="0.25">
      <c r="A198" s="49" t="s">
        <v>290</v>
      </c>
      <c r="B198" s="49" t="s">
        <v>297</v>
      </c>
      <c r="C198" s="49" t="s">
        <v>93</v>
      </c>
      <c r="D198" s="49" t="s">
        <v>69</v>
      </c>
      <c r="E198" s="50">
        <v>718069000</v>
      </c>
      <c r="F198" s="50">
        <v>718069000</v>
      </c>
      <c r="G198" s="50">
        <v>690373482</v>
      </c>
      <c r="H198" s="50">
        <v>0</v>
      </c>
      <c r="I198" s="50">
        <v>162722056</v>
      </c>
      <c r="J198" s="50">
        <v>0</v>
      </c>
      <c r="K198" s="50">
        <v>527651426</v>
      </c>
      <c r="L198" s="51">
        <f t="shared" si="0"/>
        <v>0.73481994905782033</v>
      </c>
      <c r="M198" s="50">
        <v>527651426</v>
      </c>
      <c r="N198" s="51">
        <f t="shared" si="1"/>
        <v>0.73481994905782033</v>
      </c>
      <c r="O198" s="50">
        <v>27695518</v>
      </c>
      <c r="P198" s="51">
        <f t="shared" si="2"/>
        <v>3.8569438313031196E-2</v>
      </c>
      <c r="Q198" s="50">
        <v>0</v>
      </c>
      <c r="R198" s="52">
        <f t="shared" si="3"/>
        <v>-27695518</v>
      </c>
    </row>
    <row r="199" spans="1:18" x14ac:dyDescent="0.25">
      <c r="A199" s="49" t="s">
        <v>290</v>
      </c>
      <c r="B199" s="49" t="s">
        <v>298</v>
      </c>
      <c r="C199" s="49" t="s">
        <v>95</v>
      </c>
      <c r="D199" s="49" t="s">
        <v>69</v>
      </c>
      <c r="E199" s="50">
        <v>38814000</v>
      </c>
      <c r="F199" s="50">
        <v>38814000</v>
      </c>
      <c r="G199" s="50">
        <v>37316945</v>
      </c>
      <c r="H199" s="50">
        <v>0</v>
      </c>
      <c r="I199" s="50">
        <v>8799291</v>
      </c>
      <c r="J199" s="50">
        <v>0</v>
      </c>
      <c r="K199" s="50">
        <v>28517654</v>
      </c>
      <c r="L199" s="51">
        <f t="shared" si="0"/>
        <v>0.73472597516360072</v>
      </c>
      <c r="M199" s="50">
        <v>28517654</v>
      </c>
      <c r="N199" s="51">
        <f t="shared" si="1"/>
        <v>0.73472597516360072</v>
      </c>
      <c r="O199" s="50">
        <v>1497055</v>
      </c>
      <c r="P199" s="51">
        <f t="shared" si="2"/>
        <v>3.8569974751378369E-2</v>
      </c>
      <c r="Q199" s="50">
        <v>0</v>
      </c>
      <c r="R199" s="52">
        <f t="shared" si="3"/>
        <v>-1497055</v>
      </c>
    </row>
    <row r="200" spans="1:18" x14ac:dyDescent="0.25">
      <c r="A200" s="49" t="s">
        <v>290</v>
      </c>
      <c r="B200" s="49" t="s">
        <v>96</v>
      </c>
      <c r="C200" s="49" t="s">
        <v>97</v>
      </c>
      <c r="D200" s="49" t="s">
        <v>69</v>
      </c>
      <c r="E200" s="50">
        <v>743685000</v>
      </c>
      <c r="F200" s="50">
        <v>743685000</v>
      </c>
      <c r="G200" s="50">
        <v>715001426</v>
      </c>
      <c r="H200" s="50">
        <v>0</v>
      </c>
      <c r="I200" s="50">
        <v>176012598</v>
      </c>
      <c r="J200" s="50">
        <v>0</v>
      </c>
      <c r="K200" s="50">
        <v>538988828</v>
      </c>
      <c r="L200" s="51">
        <f t="shared" si="0"/>
        <v>0.72475420103941857</v>
      </c>
      <c r="M200" s="50">
        <v>538988828</v>
      </c>
      <c r="N200" s="51">
        <f t="shared" si="1"/>
        <v>0.72475420103941857</v>
      </c>
      <c r="O200" s="50">
        <v>28683574</v>
      </c>
      <c r="P200" s="51">
        <f t="shared" si="2"/>
        <v>3.8569520697607183E-2</v>
      </c>
      <c r="Q200" s="50">
        <v>0</v>
      </c>
      <c r="R200" s="52">
        <f t="shared" si="3"/>
        <v>-28683574</v>
      </c>
    </row>
    <row r="201" spans="1:18" x14ac:dyDescent="0.25">
      <c r="A201" s="49" t="s">
        <v>290</v>
      </c>
      <c r="B201" s="49" t="s">
        <v>299</v>
      </c>
      <c r="C201" s="49" t="s">
        <v>99</v>
      </c>
      <c r="D201" s="49" t="s">
        <v>69</v>
      </c>
      <c r="E201" s="50">
        <v>394355000</v>
      </c>
      <c r="F201" s="50">
        <v>394355000</v>
      </c>
      <c r="G201" s="50">
        <v>379144921</v>
      </c>
      <c r="H201" s="50">
        <v>0</v>
      </c>
      <c r="I201" s="50">
        <v>96814661</v>
      </c>
      <c r="J201" s="50">
        <v>0</v>
      </c>
      <c r="K201" s="50">
        <v>282330260</v>
      </c>
      <c r="L201" s="51">
        <f t="shared" si="0"/>
        <v>0.71592920084695266</v>
      </c>
      <c r="M201" s="50">
        <v>282330260</v>
      </c>
      <c r="N201" s="51">
        <f t="shared" si="1"/>
        <v>0.71592920084695266</v>
      </c>
      <c r="O201" s="50">
        <v>15210079</v>
      </c>
      <c r="P201" s="51">
        <f t="shared" si="2"/>
        <v>3.8569509705722003E-2</v>
      </c>
      <c r="Q201" s="50">
        <v>0</v>
      </c>
      <c r="R201" s="52">
        <f t="shared" si="3"/>
        <v>-15210079</v>
      </c>
    </row>
    <row r="202" spans="1:18" x14ac:dyDescent="0.25">
      <c r="A202" s="49" t="s">
        <v>290</v>
      </c>
      <c r="B202" s="49" t="s">
        <v>300</v>
      </c>
      <c r="C202" s="49" t="s">
        <v>101</v>
      </c>
      <c r="D202" s="49" t="s">
        <v>69</v>
      </c>
      <c r="E202" s="50">
        <v>116443000</v>
      </c>
      <c r="F202" s="50">
        <v>116443000</v>
      </c>
      <c r="G202" s="50">
        <v>111951835</v>
      </c>
      <c r="H202" s="50">
        <v>0</v>
      </c>
      <c r="I202" s="50">
        <v>26399024</v>
      </c>
      <c r="J202" s="50">
        <v>0</v>
      </c>
      <c r="K202" s="50">
        <v>85552811</v>
      </c>
      <c r="L202" s="51">
        <f t="shared" si="0"/>
        <v>0.73471836864388584</v>
      </c>
      <c r="M202" s="50">
        <v>85552811</v>
      </c>
      <c r="N202" s="51">
        <f t="shared" si="1"/>
        <v>0.73471836864388584</v>
      </c>
      <c r="O202" s="50">
        <v>4491165</v>
      </c>
      <c r="P202" s="51">
        <f t="shared" si="2"/>
        <v>3.8569643516570336E-2</v>
      </c>
      <c r="Q202" s="50">
        <v>0</v>
      </c>
      <c r="R202" s="52">
        <f t="shared" si="3"/>
        <v>-4491165</v>
      </c>
    </row>
    <row r="203" spans="1:18" x14ac:dyDescent="0.25">
      <c r="A203" s="49" t="s">
        <v>290</v>
      </c>
      <c r="B203" s="49" t="s">
        <v>301</v>
      </c>
      <c r="C203" s="49" t="s">
        <v>103</v>
      </c>
      <c r="D203" s="49" t="s">
        <v>69</v>
      </c>
      <c r="E203" s="50">
        <v>232887000</v>
      </c>
      <c r="F203" s="50">
        <v>232887000</v>
      </c>
      <c r="G203" s="50">
        <v>223904670</v>
      </c>
      <c r="H203" s="50">
        <v>0</v>
      </c>
      <c r="I203" s="50">
        <v>52798913</v>
      </c>
      <c r="J203" s="50">
        <v>0</v>
      </c>
      <c r="K203" s="50">
        <v>171105757</v>
      </c>
      <c r="L203" s="51">
        <f t="shared" si="0"/>
        <v>0.73471579349641669</v>
      </c>
      <c r="M203" s="50">
        <v>171105757</v>
      </c>
      <c r="N203" s="51">
        <f t="shared" si="1"/>
        <v>0.73471579349641669</v>
      </c>
      <c r="O203" s="50">
        <v>8982330</v>
      </c>
      <c r="P203" s="51">
        <f t="shared" si="2"/>
        <v>3.8569477901299769E-2</v>
      </c>
      <c r="Q203" s="50">
        <v>0</v>
      </c>
      <c r="R203" s="52">
        <f t="shared" si="3"/>
        <v>-8982330</v>
      </c>
    </row>
    <row r="204" spans="1:18" x14ac:dyDescent="0.25">
      <c r="A204" s="49" t="s">
        <v>290</v>
      </c>
      <c r="B204" s="49" t="s">
        <v>104</v>
      </c>
      <c r="C204" s="49" t="s">
        <v>105</v>
      </c>
      <c r="D204" s="49" t="s">
        <v>69</v>
      </c>
      <c r="E204" s="50">
        <v>1006874402</v>
      </c>
      <c r="F204" s="50">
        <v>1006874402</v>
      </c>
      <c r="G204" s="50">
        <v>997174402</v>
      </c>
      <c r="H204" s="50">
        <v>1993980</v>
      </c>
      <c r="I204" s="50">
        <v>256566245.41999999</v>
      </c>
      <c r="J204" s="50">
        <v>4287910</v>
      </c>
      <c r="K204" s="50">
        <v>638976959.63999999</v>
      </c>
      <c r="L204" s="51">
        <f t="shared" si="0"/>
        <v>0.63461436537742066</v>
      </c>
      <c r="M204" s="50">
        <v>579467908.29999995</v>
      </c>
      <c r="N204" s="51">
        <f t="shared" si="1"/>
        <v>0.57551161013625607</v>
      </c>
      <c r="O204" s="50">
        <v>105049306.94</v>
      </c>
      <c r="P204" s="51">
        <f t="shared" si="2"/>
        <v>0.10433208623770336</v>
      </c>
      <c r="Q204" s="50">
        <v>95349306.939999998</v>
      </c>
      <c r="R204" s="52">
        <f t="shared" si="3"/>
        <v>-9700000</v>
      </c>
    </row>
    <row r="205" spans="1:18" x14ac:dyDescent="0.25">
      <c r="A205" s="49" t="s">
        <v>290</v>
      </c>
      <c r="B205" s="49" t="s">
        <v>106</v>
      </c>
      <c r="C205" s="49" t="s">
        <v>107</v>
      </c>
      <c r="D205" s="49" t="s">
        <v>69</v>
      </c>
      <c r="E205" s="50">
        <v>331717997</v>
      </c>
      <c r="F205" s="50">
        <v>306417997</v>
      </c>
      <c r="G205" s="50">
        <v>306417997</v>
      </c>
      <c r="H205" s="50">
        <v>0</v>
      </c>
      <c r="I205" s="50">
        <v>34962633.229999997</v>
      </c>
      <c r="J205" s="50">
        <v>3112410</v>
      </c>
      <c r="K205" s="50">
        <v>229568312.78999999</v>
      </c>
      <c r="L205" s="51">
        <f t="shared" si="0"/>
        <v>0.74919983498880449</v>
      </c>
      <c r="M205" s="50">
        <v>201769926.24000001</v>
      </c>
      <c r="N205" s="51">
        <f t="shared" si="1"/>
        <v>0.65847935896532872</v>
      </c>
      <c r="O205" s="50">
        <v>38774640.979999997</v>
      </c>
      <c r="P205" s="51">
        <f t="shared" si="2"/>
        <v>0.12654165668996262</v>
      </c>
      <c r="Q205" s="50">
        <v>38774640.979999997</v>
      </c>
      <c r="R205" s="52">
        <f t="shared" si="3"/>
        <v>0</v>
      </c>
    </row>
    <row r="206" spans="1:18" x14ac:dyDescent="0.25">
      <c r="A206" s="49" t="s">
        <v>290</v>
      </c>
      <c r="B206" s="49" t="s">
        <v>280</v>
      </c>
      <c r="C206" s="49" t="s">
        <v>281</v>
      </c>
      <c r="D206" s="49" t="s">
        <v>69</v>
      </c>
      <c r="E206" s="50">
        <v>200526630</v>
      </c>
      <c r="F206" s="50">
        <v>163026630</v>
      </c>
      <c r="G206" s="50">
        <v>163026630</v>
      </c>
      <c r="H206" s="50">
        <v>0</v>
      </c>
      <c r="I206" s="50">
        <v>29613955</v>
      </c>
      <c r="J206" s="50">
        <v>3112410</v>
      </c>
      <c r="K206" s="50">
        <v>127023140</v>
      </c>
      <c r="L206" s="51">
        <f t="shared" si="0"/>
        <v>0.77915577350767784</v>
      </c>
      <c r="M206" s="50">
        <v>117066270</v>
      </c>
      <c r="N206" s="51">
        <f t="shared" si="1"/>
        <v>0.71808065958303868</v>
      </c>
      <c r="O206" s="50">
        <v>3277125</v>
      </c>
      <c r="P206" s="51">
        <f t="shared" si="2"/>
        <v>2.010177723725259E-2</v>
      </c>
      <c r="Q206" s="50">
        <v>3277125</v>
      </c>
      <c r="R206" s="52">
        <f t="shared" si="3"/>
        <v>0</v>
      </c>
    </row>
    <row r="207" spans="1:18" x14ac:dyDescent="0.25">
      <c r="A207" s="49" t="s">
        <v>290</v>
      </c>
      <c r="B207" s="49" t="s">
        <v>302</v>
      </c>
      <c r="C207" s="49" t="s">
        <v>303</v>
      </c>
      <c r="D207" s="49" t="s">
        <v>69</v>
      </c>
      <c r="E207" s="50">
        <v>3933000</v>
      </c>
      <c r="F207" s="50">
        <v>3333000</v>
      </c>
      <c r="G207" s="50">
        <v>3333000</v>
      </c>
      <c r="H207" s="50">
        <v>0</v>
      </c>
      <c r="I207" s="50">
        <v>765585.48</v>
      </c>
      <c r="J207" s="50">
        <v>0</v>
      </c>
      <c r="K207" s="50">
        <v>2004669.72</v>
      </c>
      <c r="L207" s="51">
        <f t="shared" si="0"/>
        <v>0.60146106210621064</v>
      </c>
      <c r="M207" s="50">
        <v>1794606.27</v>
      </c>
      <c r="N207" s="51">
        <f t="shared" si="1"/>
        <v>0.53843572457245725</v>
      </c>
      <c r="O207" s="50">
        <v>562744.80000000005</v>
      </c>
      <c r="P207" s="51">
        <f t="shared" si="2"/>
        <v>0.16884032403240326</v>
      </c>
      <c r="Q207" s="50">
        <v>562744.80000000005</v>
      </c>
      <c r="R207" s="52">
        <f t="shared" si="3"/>
        <v>0</v>
      </c>
    </row>
    <row r="208" spans="1:18" x14ac:dyDescent="0.25">
      <c r="A208" s="49" t="s">
        <v>290</v>
      </c>
      <c r="B208" s="49" t="s">
        <v>108</v>
      </c>
      <c r="C208" s="49" t="s">
        <v>109</v>
      </c>
      <c r="D208" s="49" t="s">
        <v>69</v>
      </c>
      <c r="E208" s="50">
        <v>98126131</v>
      </c>
      <c r="F208" s="50">
        <v>100626131</v>
      </c>
      <c r="G208" s="50">
        <v>100626131</v>
      </c>
      <c r="H208" s="50">
        <v>0</v>
      </c>
      <c r="I208" s="50">
        <v>4156321.57</v>
      </c>
      <c r="J208" s="50">
        <v>0</v>
      </c>
      <c r="K208" s="50">
        <v>69978718.810000002</v>
      </c>
      <c r="L208" s="51">
        <f t="shared" si="0"/>
        <v>0.69543286733343646</v>
      </c>
      <c r="M208" s="50">
        <v>63680935.920000002</v>
      </c>
      <c r="N208" s="51">
        <f t="shared" si="1"/>
        <v>0.6328469085231947</v>
      </c>
      <c r="O208" s="50">
        <v>26491090.620000001</v>
      </c>
      <c r="P208" s="51">
        <f t="shared" si="2"/>
        <v>0.26326253783920206</v>
      </c>
      <c r="Q208" s="50">
        <v>26491090.620000001</v>
      </c>
      <c r="R208" s="52">
        <f t="shared" si="3"/>
        <v>0</v>
      </c>
    </row>
    <row r="209" spans="1:18" x14ac:dyDescent="0.25">
      <c r="A209" s="49" t="s">
        <v>290</v>
      </c>
      <c r="B209" s="49" t="s">
        <v>304</v>
      </c>
      <c r="C209" s="49" t="s">
        <v>305</v>
      </c>
      <c r="D209" s="49" t="s">
        <v>69</v>
      </c>
      <c r="E209" s="50">
        <v>1774000</v>
      </c>
      <c r="F209" s="50">
        <v>1774000</v>
      </c>
      <c r="G209" s="50">
        <v>1774000</v>
      </c>
      <c r="H209" s="50">
        <v>0</v>
      </c>
      <c r="I209" s="50">
        <v>426771.18</v>
      </c>
      <c r="J209" s="50">
        <v>0</v>
      </c>
      <c r="K209" s="50">
        <v>1332409.5</v>
      </c>
      <c r="L209" s="51">
        <f t="shared" si="0"/>
        <v>0.75107638105975194</v>
      </c>
      <c r="M209" s="50">
        <v>1200804.75</v>
      </c>
      <c r="N209" s="51">
        <f t="shared" si="1"/>
        <v>0.6768910653889515</v>
      </c>
      <c r="O209" s="50">
        <v>14819.32</v>
      </c>
      <c r="P209" s="51">
        <f t="shared" si="2"/>
        <v>8.3536189402480272E-3</v>
      </c>
      <c r="Q209" s="50">
        <v>14819.32</v>
      </c>
      <c r="R209" s="52">
        <f t="shared" si="3"/>
        <v>0</v>
      </c>
    </row>
    <row r="210" spans="1:18" x14ac:dyDescent="0.25">
      <c r="A210" s="49" t="s">
        <v>290</v>
      </c>
      <c r="B210" s="49" t="s">
        <v>110</v>
      </c>
      <c r="C210" s="49" t="s">
        <v>111</v>
      </c>
      <c r="D210" s="49" t="s">
        <v>69</v>
      </c>
      <c r="E210" s="50">
        <v>27358236</v>
      </c>
      <c r="F210" s="50">
        <v>37658236</v>
      </c>
      <c r="G210" s="50">
        <v>37658236</v>
      </c>
      <c r="H210" s="50">
        <v>0</v>
      </c>
      <c r="I210" s="50">
        <v>0</v>
      </c>
      <c r="J210" s="50">
        <v>0</v>
      </c>
      <c r="K210" s="50">
        <v>29229374.760000002</v>
      </c>
      <c r="L210" s="51">
        <f t="shared" si="0"/>
        <v>0.77617482560786977</v>
      </c>
      <c r="M210" s="50">
        <v>18027309.300000001</v>
      </c>
      <c r="N210" s="51">
        <f t="shared" si="1"/>
        <v>0.47870827778550223</v>
      </c>
      <c r="O210" s="50">
        <v>8428861.2400000002</v>
      </c>
      <c r="P210" s="51">
        <f t="shared" si="2"/>
        <v>0.22382517439213032</v>
      </c>
      <c r="Q210" s="50">
        <v>8428861.2400000002</v>
      </c>
      <c r="R210" s="52">
        <f t="shared" si="3"/>
        <v>0</v>
      </c>
    </row>
    <row r="211" spans="1:18" x14ac:dyDescent="0.25">
      <c r="A211" s="49" t="s">
        <v>290</v>
      </c>
      <c r="B211" s="49" t="s">
        <v>112</v>
      </c>
      <c r="C211" s="49" t="s">
        <v>113</v>
      </c>
      <c r="D211" s="49" t="s">
        <v>69</v>
      </c>
      <c r="E211" s="50">
        <v>126929000</v>
      </c>
      <c r="F211" s="50">
        <v>120929000</v>
      </c>
      <c r="G211" s="50">
        <v>117929000</v>
      </c>
      <c r="H211" s="50">
        <v>0</v>
      </c>
      <c r="I211" s="50">
        <v>27090976.870000001</v>
      </c>
      <c r="J211" s="50">
        <v>0</v>
      </c>
      <c r="K211" s="50">
        <v>77764528.219999999</v>
      </c>
      <c r="L211" s="51">
        <f t="shared" si="0"/>
        <v>0.64305938377064231</v>
      </c>
      <c r="M211" s="50">
        <v>76116001.390000001</v>
      </c>
      <c r="N211" s="51">
        <f t="shared" si="1"/>
        <v>0.629427196040652</v>
      </c>
      <c r="O211" s="50">
        <v>16073494.91</v>
      </c>
      <c r="P211" s="51">
        <f t="shared" si="2"/>
        <v>0.13291679340770204</v>
      </c>
      <c r="Q211" s="50">
        <v>13073494.91</v>
      </c>
      <c r="R211" s="52">
        <f t="shared" si="3"/>
        <v>-3000000</v>
      </c>
    </row>
    <row r="212" spans="1:18" x14ac:dyDescent="0.25">
      <c r="A212" s="49" t="s">
        <v>290</v>
      </c>
      <c r="B212" s="49" t="s">
        <v>114</v>
      </c>
      <c r="C212" s="49" t="s">
        <v>115</v>
      </c>
      <c r="D212" s="49" t="s">
        <v>69</v>
      </c>
      <c r="E212" s="50">
        <v>13400000</v>
      </c>
      <c r="F212" s="50">
        <v>18400000</v>
      </c>
      <c r="G212" s="50">
        <v>18400000</v>
      </c>
      <c r="H212" s="50">
        <v>0</v>
      </c>
      <c r="I212" s="50">
        <v>6701309.0099999998</v>
      </c>
      <c r="J212" s="50">
        <v>0</v>
      </c>
      <c r="K212" s="50">
        <v>10321285.99</v>
      </c>
      <c r="L212" s="51">
        <f t="shared" si="0"/>
        <v>0.56093945597826089</v>
      </c>
      <c r="M212" s="50">
        <v>10321285.99</v>
      </c>
      <c r="N212" s="51">
        <f t="shared" si="1"/>
        <v>0.56093945597826089</v>
      </c>
      <c r="O212" s="50">
        <v>1377405</v>
      </c>
      <c r="P212" s="51">
        <f t="shared" si="2"/>
        <v>7.4858967391304349E-2</v>
      </c>
      <c r="Q212" s="50">
        <v>1377405</v>
      </c>
      <c r="R212" s="52">
        <f t="shared" si="3"/>
        <v>0</v>
      </c>
    </row>
    <row r="213" spans="1:18" x14ac:dyDescent="0.25">
      <c r="A213" s="49" t="s">
        <v>290</v>
      </c>
      <c r="B213" s="49" t="s">
        <v>116</v>
      </c>
      <c r="C213" s="49" t="s">
        <v>117</v>
      </c>
      <c r="D213" s="49" t="s">
        <v>69</v>
      </c>
      <c r="E213" s="50">
        <v>49200000</v>
      </c>
      <c r="F213" s="50">
        <v>40200000</v>
      </c>
      <c r="G213" s="50">
        <v>40200000</v>
      </c>
      <c r="H213" s="50">
        <v>0</v>
      </c>
      <c r="I213" s="50">
        <v>5777185</v>
      </c>
      <c r="J213" s="50">
        <v>0</v>
      </c>
      <c r="K213" s="50">
        <v>31620570</v>
      </c>
      <c r="L213" s="51">
        <f t="shared" si="0"/>
        <v>0.78658134328358209</v>
      </c>
      <c r="M213" s="50">
        <v>31620570</v>
      </c>
      <c r="N213" s="51">
        <f t="shared" si="1"/>
        <v>0.78658134328358209</v>
      </c>
      <c r="O213" s="50">
        <v>2802245</v>
      </c>
      <c r="P213" s="51">
        <f t="shared" si="2"/>
        <v>6.9707587064676613E-2</v>
      </c>
      <c r="Q213" s="50">
        <v>2802245</v>
      </c>
      <c r="R213" s="52">
        <f t="shared" si="3"/>
        <v>0</v>
      </c>
    </row>
    <row r="214" spans="1:18" x14ac:dyDescent="0.25">
      <c r="A214" s="49" t="s">
        <v>290</v>
      </c>
      <c r="B214" s="49" t="s">
        <v>118</v>
      </c>
      <c r="C214" s="49" t="s">
        <v>119</v>
      </c>
      <c r="D214" s="49" t="s">
        <v>69</v>
      </c>
      <c r="E214" s="50">
        <v>12000000</v>
      </c>
      <c r="F214" s="50">
        <v>10000000</v>
      </c>
      <c r="G214" s="50">
        <v>7000000</v>
      </c>
      <c r="H214" s="50">
        <v>0</v>
      </c>
      <c r="I214" s="50">
        <v>848020</v>
      </c>
      <c r="J214" s="50">
        <v>0</v>
      </c>
      <c r="K214" s="50">
        <v>2360680</v>
      </c>
      <c r="L214" s="51">
        <f t="shared" si="0"/>
        <v>0.236068</v>
      </c>
      <c r="M214" s="50">
        <v>2202880</v>
      </c>
      <c r="N214" s="51">
        <f t="shared" si="1"/>
        <v>0.22028800000000001</v>
      </c>
      <c r="O214" s="50">
        <v>6791300</v>
      </c>
      <c r="P214" s="51">
        <f t="shared" si="2"/>
        <v>0.67913000000000001</v>
      </c>
      <c r="Q214" s="50">
        <v>3791300</v>
      </c>
      <c r="R214" s="52">
        <f t="shared" si="3"/>
        <v>-3000000</v>
      </c>
    </row>
    <row r="215" spans="1:18" x14ac:dyDescent="0.25">
      <c r="A215" s="49" t="s">
        <v>290</v>
      </c>
      <c r="B215" s="49" t="s">
        <v>120</v>
      </c>
      <c r="C215" s="49" t="s">
        <v>121</v>
      </c>
      <c r="D215" s="49" t="s">
        <v>69</v>
      </c>
      <c r="E215" s="50">
        <v>47604000</v>
      </c>
      <c r="F215" s="50">
        <v>47604000</v>
      </c>
      <c r="G215" s="50">
        <v>47604000</v>
      </c>
      <c r="H215" s="50">
        <v>0</v>
      </c>
      <c r="I215" s="50">
        <v>13536797.710000001</v>
      </c>
      <c r="J215" s="50">
        <v>0</v>
      </c>
      <c r="K215" s="50">
        <v>31142191.079999998</v>
      </c>
      <c r="L215" s="51">
        <f t="shared" si="0"/>
        <v>0.6541927375850769</v>
      </c>
      <c r="M215" s="50">
        <v>29651464.25</v>
      </c>
      <c r="N215" s="51">
        <f t="shared" si="1"/>
        <v>0.62287757856482651</v>
      </c>
      <c r="O215" s="50">
        <v>2925011.21</v>
      </c>
      <c r="P215" s="51">
        <f t="shared" si="2"/>
        <v>6.144465192000672E-2</v>
      </c>
      <c r="Q215" s="50">
        <v>2925011.21</v>
      </c>
      <c r="R215" s="52">
        <f t="shared" si="3"/>
        <v>0</v>
      </c>
    </row>
    <row r="216" spans="1:18" x14ac:dyDescent="0.25">
      <c r="A216" s="49" t="s">
        <v>290</v>
      </c>
      <c r="B216" s="49" t="s">
        <v>122</v>
      </c>
      <c r="C216" s="49" t="s">
        <v>123</v>
      </c>
      <c r="D216" s="49" t="s">
        <v>69</v>
      </c>
      <c r="E216" s="50">
        <v>4725000</v>
      </c>
      <c r="F216" s="50">
        <v>4725000</v>
      </c>
      <c r="G216" s="50">
        <v>4725000</v>
      </c>
      <c r="H216" s="50">
        <v>0</v>
      </c>
      <c r="I216" s="50">
        <v>227665.15</v>
      </c>
      <c r="J216" s="50">
        <v>0</v>
      </c>
      <c r="K216" s="50">
        <v>2319801.15</v>
      </c>
      <c r="L216" s="51">
        <f t="shared" si="0"/>
        <v>0.49096320634920632</v>
      </c>
      <c r="M216" s="50">
        <v>2319801.15</v>
      </c>
      <c r="N216" s="51">
        <f t="shared" si="1"/>
        <v>0.49096320634920632</v>
      </c>
      <c r="O216" s="50">
        <v>2177533.7000000002</v>
      </c>
      <c r="P216" s="51">
        <f t="shared" si="2"/>
        <v>0.46085369312169316</v>
      </c>
      <c r="Q216" s="50">
        <v>2177533.7000000002</v>
      </c>
      <c r="R216" s="52">
        <f t="shared" si="3"/>
        <v>0</v>
      </c>
    </row>
    <row r="217" spans="1:18" x14ac:dyDescent="0.25">
      <c r="A217" s="49" t="s">
        <v>290</v>
      </c>
      <c r="B217" s="49" t="s">
        <v>124</v>
      </c>
      <c r="C217" s="49" t="s">
        <v>125</v>
      </c>
      <c r="D217" s="49" t="s">
        <v>69</v>
      </c>
      <c r="E217" s="50">
        <v>3746000</v>
      </c>
      <c r="F217" s="50">
        <v>3746000</v>
      </c>
      <c r="G217" s="50">
        <v>2746000</v>
      </c>
      <c r="H217" s="50">
        <v>0</v>
      </c>
      <c r="I217" s="50">
        <v>768286.09</v>
      </c>
      <c r="J217" s="50">
        <v>0</v>
      </c>
      <c r="K217" s="50">
        <v>663717.13</v>
      </c>
      <c r="L217" s="51">
        <f t="shared" si="0"/>
        <v>0.17718022690870261</v>
      </c>
      <c r="M217" s="50">
        <v>663717.13</v>
      </c>
      <c r="N217" s="51">
        <f t="shared" si="1"/>
        <v>0.17718022690870261</v>
      </c>
      <c r="O217" s="50">
        <v>2313996.7799999998</v>
      </c>
      <c r="P217" s="51">
        <f t="shared" si="2"/>
        <v>0.61772471436198606</v>
      </c>
      <c r="Q217" s="50">
        <v>1313996.78</v>
      </c>
      <c r="R217" s="52">
        <f t="shared" si="3"/>
        <v>-1000000</v>
      </c>
    </row>
    <row r="218" spans="1:18" x14ac:dyDescent="0.25">
      <c r="A218" s="49" t="s">
        <v>290</v>
      </c>
      <c r="B218" s="49" t="s">
        <v>126</v>
      </c>
      <c r="C218" s="49" t="s">
        <v>127</v>
      </c>
      <c r="D218" s="49" t="s">
        <v>69</v>
      </c>
      <c r="E218" s="50">
        <v>500000</v>
      </c>
      <c r="F218" s="50">
        <v>500000</v>
      </c>
      <c r="G218" s="50">
        <v>500000</v>
      </c>
      <c r="H218" s="50">
        <v>0</v>
      </c>
      <c r="I218" s="50">
        <v>153070</v>
      </c>
      <c r="J218" s="50">
        <v>0</v>
      </c>
      <c r="K218" s="50">
        <v>208820</v>
      </c>
      <c r="L218" s="51">
        <f t="shared" si="0"/>
        <v>0.41764000000000001</v>
      </c>
      <c r="M218" s="50">
        <v>208820</v>
      </c>
      <c r="N218" s="51">
        <f t="shared" si="1"/>
        <v>0.41764000000000001</v>
      </c>
      <c r="O218" s="50">
        <v>138110</v>
      </c>
      <c r="P218" s="51">
        <f t="shared" si="2"/>
        <v>0.27622000000000002</v>
      </c>
      <c r="Q218" s="50">
        <v>138110</v>
      </c>
      <c r="R218" s="52">
        <f t="shared" si="3"/>
        <v>0</v>
      </c>
    </row>
    <row r="219" spans="1:18" x14ac:dyDescent="0.25">
      <c r="A219" s="49" t="s">
        <v>290</v>
      </c>
      <c r="B219" s="49" t="s">
        <v>128</v>
      </c>
      <c r="C219" s="49" t="s">
        <v>129</v>
      </c>
      <c r="D219" s="49" t="s">
        <v>69</v>
      </c>
      <c r="E219" s="50">
        <v>1000000</v>
      </c>
      <c r="F219" s="50">
        <v>1000000</v>
      </c>
      <c r="G219" s="50">
        <v>1000000</v>
      </c>
      <c r="H219" s="50">
        <v>0</v>
      </c>
      <c r="I219" s="50">
        <v>188687</v>
      </c>
      <c r="J219" s="50">
        <v>0</v>
      </c>
      <c r="K219" s="50">
        <v>130263</v>
      </c>
      <c r="L219" s="51">
        <f t="shared" si="0"/>
        <v>0.13026299999999999</v>
      </c>
      <c r="M219" s="50">
        <v>130263</v>
      </c>
      <c r="N219" s="51">
        <f t="shared" si="1"/>
        <v>0.13026299999999999</v>
      </c>
      <c r="O219" s="50">
        <v>681050</v>
      </c>
      <c r="P219" s="51">
        <f t="shared" si="2"/>
        <v>0.68105000000000004</v>
      </c>
      <c r="Q219" s="50">
        <v>681050</v>
      </c>
      <c r="R219" s="52">
        <f t="shared" si="3"/>
        <v>0</v>
      </c>
    </row>
    <row r="220" spans="1:18" x14ac:dyDescent="0.25">
      <c r="A220" s="49" t="s">
        <v>290</v>
      </c>
      <c r="B220" s="49" t="s">
        <v>130</v>
      </c>
      <c r="C220" s="49" t="s">
        <v>131</v>
      </c>
      <c r="D220" s="49" t="s">
        <v>69</v>
      </c>
      <c r="E220" s="50">
        <v>200000</v>
      </c>
      <c r="F220" s="50">
        <v>200000</v>
      </c>
      <c r="G220" s="50">
        <v>200000</v>
      </c>
      <c r="H220" s="50">
        <v>0</v>
      </c>
      <c r="I220" s="50">
        <v>73047.87</v>
      </c>
      <c r="J220" s="50">
        <v>0</v>
      </c>
      <c r="K220" s="50">
        <v>74183.63</v>
      </c>
      <c r="L220" s="51">
        <f t="shared" si="0"/>
        <v>0.37091815</v>
      </c>
      <c r="M220" s="50">
        <v>74183.63</v>
      </c>
      <c r="N220" s="51">
        <f t="shared" si="1"/>
        <v>0.37091815</v>
      </c>
      <c r="O220" s="50">
        <v>52768.5</v>
      </c>
      <c r="P220" s="51">
        <f t="shared" si="2"/>
        <v>0.26384249999999998</v>
      </c>
      <c r="Q220" s="50">
        <v>52768.5</v>
      </c>
      <c r="R220" s="52">
        <f t="shared" si="3"/>
        <v>0</v>
      </c>
    </row>
    <row r="221" spans="1:18" x14ac:dyDescent="0.25">
      <c r="A221" s="49" t="s">
        <v>290</v>
      </c>
      <c r="B221" s="49" t="s">
        <v>132</v>
      </c>
      <c r="C221" s="49" t="s">
        <v>133</v>
      </c>
      <c r="D221" s="49" t="s">
        <v>69</v>
      </c>
      <c r="E221" s="50">
        <v>2046000</v>
      </c>
      <c r="F221" s="50">
        <v>2046000</v>
      </c>
      <c r="G221" s="50">
        <v>1046000</v>
      </c>
      <c r="H221" s="50">
        <v>0</v>
      </c>
      <c r="I221" s="50">
        <v>353481.22</v>
      </c>
      <c r="J221" s="50">
        <v>0</v>
      </c>
      <c r="K221" s="50">
        <v>250450.5</v>
      </c>
      <c r="L221" s="51">
        <f t="shared" si="0"/>
        <v>0.12240982404692081</v>
      </c>
      <c r="M221" s="50">
        <v>250450.5</v>
      </c>
      <c r="N221" s="51">
        <f t="shared" si="1"/>
        <v>0.12240982404692081</v>
      </c>
      <c r="O221" s="50">
        <v>1442068.28</v>
      </c>
      <c r="P221" s="51">
        <f t="shared" si="2"/>
        <v>0.7048232062561095</v>
      </c>
      <c r="Q221" s="50">
        <v>442068.28</v>
      </c>
      <c r="R221" s="52">
        <f t="shared" si="3"/>
        <v>-1000000</v>
      </c>
    </row>
    <row r="222" spans="1:18" x14ac:dyDescent="0.25">
      <c r="A222" s="49" t="s">
        <v>290</v>
      </c>
      <c r="B222" s="49" t="s">
        <v>134</v>
      </c>
      <c r="C222" s="49" t="s">
        <v>135</v>
      </c>
      <c r="D222" s="49" t="s">
        <v>69</v>
      </c>
      <c r="E222" s="50">
        <v>334518795</v>
      </c>
      <c r="F222" s="50">
        <v>361518795</v>
      </c>
      <c r="G222" s="50">
        <v>361518795</v>
      </c>
      <c r="H222" s="50">
        <v>1590000</v>
      </c>
      <c r="I222" s="50">
        <v>103188054.37</v>
      </c>
      <c r="J222" s="50">
        <v>0</v>
      </c>
      <c r="K222" s="50">
        <v>243632523.36000001</v>
      </c>
      <c r="L222" s="51">
        <f t="shared" si="0"/>
        <v>0.67391385103504786</v>
      </c>
      <c r="M222" s="50">
        <v>215241073.40000001</v>
      </c>
      <c r="N222" s="51">
        <f t="shared" si="1"/>
        <v>0.59538003660362948</v>
      </c>
      <c r="O222" s="50">
        <v>13108217.27</v>
      </c>
      <c r="P222" s="51">
        <f t="shared" si="2"/>
        <v>3.6258743532269183E-2</v>
      </c>
      <c r="Q222" s="50">
        <v>13108217.27</v>
      </c>
      <c r="R222" s="52">
        <f t="shared" si="3"/>
        <v>0</v>
      </c>
    </row>
    <row r="223" spans="1:18" x14ac:dyDescent="0.25">
      <c r="A223" s="49" t="s">
        <v>290</v>
      </c>
      <c r="B223" s="49" t="s">
        <v>306</v>
      </c>
      <c r="C223" s="49" t="s">
        <v>307</v>
      </c>
      <c r="D223" s="49" t="s">
        <v>69</v>
      </c>
      <c r="E223" s="50">
        <v>2000000</v>
      </c>
      <c r="F223" s="50">
        <v>2000000</v>
      </c>
      <c r="G223" s="50">
        <v>2000000</v>
      </c>
      <c r="H223" s="50">
        <v>0</v>
      </c>
      <c r="I223" s="50">
        <v>0</v>
      </c>
      <c r="J223" s="50">
        <v>0</v>
      </c>
      <c r="K223" s="50">
        <v>0</v>
      </c>
      <c r="L223" s="51">
        <f t="shared" si="0"/>
        <v>0</v>
      </c>
      <c r="M223" s="50">
        <v>0</v>
      </c>
      <c r="N223" s="51">
        <f t="shared" si="1"/>
        <v>0</v>
      </c>
      <c r="O223" s="50">
        <v>2000000</v>
      </c>
      <c r="P223" s="51">
        <f t="shared" si="2"/>
        <v>1</v>
      </c>
      <c r="Q223" s="50">
        <v>2000000</v>
      </c>
      <c r="R223" s="52">
        <f t="shared" si="3"/>
        <v>0</v>
      </c>
    </row>
    <row r="224" spans="1:18" x14ac:dyDescent="0.25">
      <c r="A224" s="49" t="s">
        <v>290</v>
      </c>
      <c r="B224" s="49" t="s">
        <v>308</v>
      </c>
      <c r="C224" s="49" t="s">
        <v>309</v>
      </c>
      <c r="D224" s="49" t="s">
        <v>69</v>
      </c>
      <c r="E224" s="50">
        <v>5000000</v>
      </c>
      <c r="F224" s="50">
        <v>5000000</v>
      </c>
      <c r="G224" s="50">
        <v>5000000</v>
      </c>
      <c r="H224" s="50">
        <v>0</v>
      </c>
      <c r="I224" s="50">
        <v>4556956</v>
      </c>
      <c r="J224" s="50">
        <v>0</v>
      </c>
      <c r="K224" s="50">
        <v>0</v>
      </c>
      <c r="L224" s="51">
        <f t="shared" si="0"/>
        <v>0</v>
      </c>
      <c r="M224" s="50">
        <v>0</v>
      </c>
      <c r="N224" s="51">
        <f t="shared" si="1"/>
        <v>0</v>
      </c>
      <c r="O224" s="50">
        <v>443044</v>
      </c>
      <c r="P224" s="51">
        <f t="shared" si="2"/>
        <v>8.8608800000000001E-2</v>
      </c>
      <c r="Q224" s="50">
        <v>443044</v>
      </c>
      <c r="R224" s="52">
        <f t="shared" si="3"/>
        <v>0</v>
      </c>
    </row>
    <row r="225" spans="1:18" x14ac:dyDescent="0.25">
      <c r="A225" s="49" t="s">
        <v>290</v>
      </c>
      <c r="B225" s="49" t="s">
        <v>136</v>
      </c>
      <c r="C225" s="49" t="s">
        <v>137</v>
      </c>
      <c r="D225" s="49" t="s">
        <v>69</v>
      </c>
      <c r="E225" s="50">
        <v>319951179</v>
      </c>
      <c r="F225" s="50">
        <v>346951179</v>
      </c>
      <c r="G225" s="50">
        <v>346951179</v>
      </c>
      <c r="H225" s="50">
        <v>990000</v>
      </c>
      <c r="I225" s="50">
        <v>97031581.879999995</v>
      </c>
      <c r="J225" s="50">
        <v>0</v>
      </c>
      <c r="K225" s="50">
        <v>238280740.44</v>
      </c>
      <c r="L225" s="51">
        <f t="shared" si="0"/>
        <v>0.68678463963369329</v>
      </c>
      <c r="M225" s="50">
        <v>209944270.47999999</v>
      </c>
      <c r="N225" s="51">
        <f t="shared" si="1"/>
        <v>0.60511185200497619</v>
      </c>
      <c r="O225" s="50">
        <v>10648856.68</v>
      </c>
      <c r="P225" s="51">
        <f t="shared" si="2"/>
        <v>3.0692666071038197E-2</v>
      </c>
      <c r="Q225" s="50">
        <v>10648856.68</v>
      </c>
      <c r="R225" s="52">
        <f t="shared" si="3"/>
        <v>0</v>
      </c>
    </row>
    <row r="226" spans="1:18" x14ac:dyDescent="0.25">
      <c r="A226" s="49" t="s">
        <v>290</v>
      </c>
      <c r="B226" s="49" t="s">
        <v>138</v>
      </c>
      <c r="C226" s="49" t="s">
        <v>139</v>
      </c>
      <c r="D226" s="49" t="s">
        <v>69</v>
      </c>
      <c r="E226" s="50">
        <v>7567616</v>
      </c>
      <c r="F226" s="50">
        <v>7567616</v>
      </c>
      <c r="G226" s="50">
        <v>7567616</v>
      </c>
      <c r="H226" s="50">
        <v>600000</v>
      </c>
      <c r="I226" s="50">
        <v>1599516.49</v>
      </c>
      <c r="J226" s="50">
        <v>0</v>
      </c>
      <c r="K226" s="50">
        <v>5351782.92</v>
      </c>
      <c r="L226" s="51">
        <f t="shared" si="0"/>
        <v>0.70719535980684012</v>
      </c>
      <c r="M226" s="50">
        <v>5296802.92</v>
      </c>
      <c r="N226" s="51">
        <f t="shared" si="1"/>
        <v>0.69993019201819962</v>
      </c>
      <c r="O226" s="50">
        <v>16316.59</v>
      </c>
      <c r="P226" s="51">
        <f t="shared" si="2"/>
        <v>2.1561070223436282E-3</v>
      </c>
      <c r="Q226" s="50">
        <v>16316.59</v>
      </c>
      <c r="R226" s="52">
        <f t="shared" si="3"/>
        <v>0</v>
      </c>
    </row>
    <row r="227" spans="1:18" x14ac:dyDescent="0.25">
      <c r="A227" s="49" t="s">
        <v>290</v>
      </c>
      <c r="B227" s="49" t="s">
        <v>140</v>
      </c>
      <c r="C227" s="49" t="s">
        <v>141</v>
      </c>
      <c r="D227" s="49" t="s">
        <v>69</v>
      </c>
      <c r="E227" s="50">
        <v>33445676</v>
      </c>
      <c r="F227" s="50">
        <v>33445676</v>
      </c>
      <c r="G227" s="50">
        <v>33445676</v>
      </c>
      <c r="H227" s="50">
        <v>390300</v>
      </c>
      <c r="I227" s="50">
        <v>4907298.9400000004</v>
      </c>
      <c r="J227" s="50">
        <v>0</v>
      </c>
      <c r="K227" s="50">
        <v>25497066.73</v>
      </c>
      <c r="L227" s="51">
        <f t="shared" si="0"/>
        <v>0.7623426935667259</v>
      </c>
      <c r="M227" s="50">
        <v>25307766.73</v>
      </c>
      <c r="N227" s="51">
        <f t="shared" si="1"/>
        <v>0.75668276909696786</v>
      </c>
      <c r="O227" s="50">
        <v>2651010.33</v>
      </c>
      <c r="P227" s="51">
        <f t="shared" si="2"/>
        <v>7.92631708206466E-2</v>
      </c>
      <c r="Q227" s="50">
        <v>2651010.33</v>
      </c>
      <c r="R227" s="52">
        <f t="shared" si="3"/>
        <v>0</v>
      </c>
    </row>
    <row r="228" spans="1:18" x14ac:dyDescent="0.25">
      <c r="A228" s="49" t="s">
        <v>290</v>
      </c>
      <c r="B228" s="49" t="s">
        <v>142</v>
      </c>
      <c r="C228" s="49" t="s">
        <v>143</v>
      </c>
      <c r="D228" s="49" t="s">
        <v>69</v>
      </c>
      <c r="E228" s="50">
        <v>1700000</v>
      </c>
      <c r="F228" s="50">
        <v>1700000</v>
      </c>
      <c r="G228" s="50">
        <v>1700000</v>
      </c>
      <c r="H228" s="50">
        <v>0</v>
      </c>
      <c r="I228" s="50">
        <v>574685</v>
      </c>
      <c r="J228" s="50">
        <v>0</v>
      </c>
      <c r="K228" s="50">
        <v>870935</v>
      </c>
      <c r="L228" s="51">
        <f t="shared" si="0"/>
        <v>0.51231470588235295</v>
      </c>
      <c r="M228" s="50">
        <v>870935</v>
      </c>
      <c r="N228" s="51">
        <f t="shared" si="1"/>
        <v>0.51231470588235295</v>
      </c>
      <c r="O228" s="50">
        <v>254380</v>
      </c>
      <c r="P228" s="51">
        <f t="shared" si="2"/>
        <v>0.14963529411764706</v>
      </c>
      <c r="Q228" s="50">
        <v>254380</v>
      </c>
      <c r="R228" s="52">
        <f t="shared" si="3"/>
        <v>0</v>
      </c>
    </row>
    <row r="229" spans="1:18" x14ac:dyDescent="0.25">
      <c r="A229" s="49" t="s">
        <v>290</v>
      </c>
      <c r="B229" s="49" t="s">
        <v>144</v>
      </c>
      <c r="C229" s="49" t="s">
        <v>145</v>
      </c>
      <c r="D229" s="49" t="s">
        <v>69</v>
      </c>
      <c r="E229" s="50">
        <v>24979191</v>
      </c>
      <c r="F229" s="50">
        <v>24979191</v>
      </c>
      <c r="G229" s="50">
        <v>24979191</v>
      </c>
      <c r="H229" s="50">
        <v>390300</v>
      </c>
      <c r="I229" s="50">
        <v>4083546</v>
      </c>
      <c r="J229" s="50">
        <v>0</v>
      </c>
      <c r="K229" s="50">
        <v>19039150</v>
      </c>
      <c r="L229" s="51">
        <f t="shared" si="0"/>
        <v>0.76220042514587438</v>
      </c>
      <c r="M229" s="50">
        <v>18849850</v>
      </c>
      <c r="N229" s="51">
        <f t="shared" si="1"/>
        <v>0.75462211726552708</v>
      </c>
      <c r="O229" s="50">
        <v>1466195</v>
      </c>
      <c r="P229" s="51">
        <f t="shared" si="2"/>
        <v>5.8696656749211776E-2</v>
      </c>
      <c r="Q229" s="50">
        <v>1466195</v>
      </c>
      <c r="R229" s="52">
        <f t="shared" si="3"/>
        <v>0</v>
      </c>
    </row>
    <row r="230" spans="1:18" x14ac:dyDescent="0.25">
      <c r="A230" s="49" t="s">
        <v>290</v>
      </c>
      <c r="B230" s="49" t="s">
        <v>146</v>
      </c>
      <c r="C230" s="49" t="s">
        <v>147</v>
      </c>
      <c r="D230" s="49" t="s">
        <v>69</v>
      </c>
      <c r="E230" s="50">
        <v>2035715</v>
      </c>
      <c r="F230" s="50">
        <v>2035715</v>
      </c>
      <c r="G230" s="50">
        <v>2035715</v>
      </c>
      <c r="H230" s="50">
        <v>0</v>
      </c>
      <c r="I230" s="50">
        <v>199467</v>
      </c>
      <c r="J230" s="50">
        <v>0</v>
      </c>
      <c r="K230" s="50">
        <v>1836248</v>
      </c>
      <c r="L230" s="51">
        <f t="shared" si="0"/>
        <v>0.90201624490658072</v>
      </c>
      <c r="M230" s="50">
        <v>1836248</v>
      </c>
      <c r="N230" s="51">
        <f t="shared" si="1"/>
        <v>0.90201624490658072</v>
      </c>
      <c r="O230" s="50">
        <v>0</v>
      </c>
      <c r="P230" s="51">
        <f t="shared" si="2"/>
        <v>0</v>
      </c>
      <c r="Q230" s="50">
        <v>0</v>
      </c>
      <c r="R230" s="52">
        <f t="shared" si="3"/>
        <v>0</v>
      </c>
    </row>
    <row r="231" spans="1:18" x14ac:dyDescent="0.25">
      <c r="A231" s="49" t="s">
        <v>290</v>
      </c>
      <c r="B231" s="49" t="s">
        <v>148</v>
      </c>
      <c r="C231" s="49" t="s">
        <v>149</v>
      </c>
      <c r="D231" s="49" t="s">
        <v>69</v>
      </c>
      <c r="E231" s="50">
        <v>4730770</v>
      </c>
      <c r="F231" s="50">
        <v>4730770</v>
      </c>
      <c r="G231" s="50">
        <v>4730770</v>
      </c>
      <c r="H231" s="50">
        <v>0</v>
      </c>
      <c r="I231" s="50">
        <v>49600.94</v>
      </c>
      <c r="J231" s="50">
        <v>0</v>
      </c>
      <c r="K231" s="50">
        <v>3750733.73</v>
      </c>
      <c r="L231" s="51">
        <f t="shared" si="0"/>
        <v>0.79283789531091131</v>
      </c>
      <c r="M231" s="50">
        <v>3750733.73</v>
      </c>
      <c r="N231" s="51">
        <f t="shared" si="1"/>
        <v>0.79283789531091131</v>
      </c>
      <c r="O231" s="50">
        <v>930435.33</v>
      </c>
      <c r="P231" s="51">
        <f t="shared" si="2"/>
        <v>0.19667735484921059</v>
      </c>
      <c r="Q231" s="50">
        <v>930435.33</v>
      </c>
      <c r="R231" s="52">
        <f t="shared" si="3"/>
        <v>0</v>
      </c>
    </row>
    <row r="232" spans="1:18" x14ac:dyDescent="0.25">
      <c r="A232" s="49" t="s">
        <v>290</v>
      </c>
      <c r="B232" s="49" t="s">
        <v>150</v>
      </c>
      <c r="C232" s="49" t="s">
        <v>151</v>
      </c>
      <c r="D232" s="49" t="s">
        <v>69</v>
      </c>
      <c r="E232" s="50">
        <v>83546141</v>
      </c>
      <c r="F232" s="50">
        <v>101246141</v>
      </c>
      <c r="G232" s="50">
        <v>101246141</v>
      </c>
      <c r="H232" s="50">
        <v>0</v>
      </c>
      <c r="I232" s="50">
        <v>75808659</v>
      </c>
      <c r="J232" s="50">
        <v>0</v>
      </c>
      <c r="K232" s="50">
        <v>25358126</v>
      </c>
      <c r="L232" s="51">
        <f t="shared" si="0"/>
        <v>0.25046017309439972</v>
      </c>
      <c r="M232" s="50">
        <v>25358126</v>
      </c>
      <c r="N232" s="51">
        <f t="shared" si="1"/>
        <v>0.25046017309439972</v>
      </c>
      <c r="O232" s="50">
        <v>79356</v>
      </c>
      <c r="P232" s="51">
        <f t="shared" si="2"/>
        <v>7.8379283611411919E-4</v>
      </c>
      <c r="Q232" s="50">
        <v>79356</v>
      </c>
      <c r="R232" s="52">
        <f t="shared" si="3"/>
        <v>0</v>
      </c>
    </row>
    <row r="233" spans="1:18" x14ac:dyDescent="0.25">
      <c r="A233" s="49" t="s">
        <v>290</v>
      </c>
      <c r="B233" s="49" t="s">
        <v>152</v>
      </c>
      <c r="C233" s="49" t="s">
        <v>153</v>
      </c>
      <c r="D233" s="49" t="s">
        <v>69</v>
      </c>
      <c r="E233" s="50">
        <v>83546141</v>
      </c>
      <c r="F233" s="50">
        <v>101246141</v>
      </c>
      <c r="G233" s="50">
        <v>101246141</v>
      </c>
      <c r="H233" s="50">
        <v>0</v>
      </c>
      <c r="I233" s="50">
        <v>75808659</v>
      </c>
      <c r="J233" s="50">
        <v>0</v>
      </c>
      <c r="K233" s="50">
        <v>25358126</v>
      </c>
      <c r="L233" s="51">
        <f t="shared" si="0"/>
        <v>0.25046017309439972</v>
      </c>
      <c r="M233" s="50">
        <v>25358126</v>
      </c>
      <c r="N233" s="51">
        <f t="shared" si="1"/>
        <v>0.25046017309439972</v>
      </c>
      <c r="O233" s="50">
        <v>79356</v>
      </c>
      <c r="P233" s="51">
        <f t="shared" si="2"/>
        <v>7.8379283611411919E-4</v>
      </c>
      <c r="Q233" s="50">
        <v>79356</v>
      </c>
      <c r="R233" s="52">
        <f t="shared" si="3"/>
        <v>0</v>
      </c>
    </row>
    <row r="234" spans="1:18" x14ac:dyDescent="0.25">
      <c r="A234" s="49" t="s">
        <v>290</v>
      </c>
      <c r="B234" s="49" t="s">
        <v>154</v>
      </c>
      <c r="C234" s="49" t="s">
        <v>155</v>
      </c>
      <c r="D234" s="49" t="s">
        <v>69</v>
      </c>
      <c r="E234" s="50">
        <v>0</v>
      </c>
      <c r="F234" s="50">
        <v>0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1" t="e">
        <f t="shared" si="0"/>
        <v>#DIV/0!</v>
      </c>
      <c r="M234" s="50">
        <v>0</v>
      </c>
      <c r="N234" s="51" t="e">
        <f t="shared" si="1"/>
        <v>#DIV/0!</v>
      </c>
      <c r="O234" s="50">
        <v>0</v>
      </c>
      <c r="P234" s="51" t="e">
        <f t="shared" si="2"/>
        <v>#DIV/0!</v>
      </c>
      <c r="Q234" s="50">
        <v>0</v>
      </c>
      <c r="R234" s="52">
        <f t="shared" si="3"/>
        <v>0</v>
      </c>
    </row>
    <row r="235" spans="1:18" x14ac:dyDescent="0.25">
      <c r="A235" s="49" t="s">
        <v>290</v>
      </c>
      <c r="B235" s="49" t="s">
        <v>156</v>
      </c>
      <c r="C235" s="49" t="s">
        <v>157</v>
      </c>
      <c r="D235" s="49" t="s">
        <v>69</v>
      </c>
      <c r="E235" s="50">
        <v>0</v>
      </c>
      <c r="F235" s="50">
        <v>0</v>
      </c>
      <c r="G235" s="50">
        <v>0</v>
      </c>
      <c r="H235" s="50">
        <v>0</v>
      </c>
      <c r="I235" s="50">
        <v>0</v>
      </c>
      <c r="J235" s="50">
        <v>0</v>
      </c>
      <c r="K235" s="50">
        <v>0</v>
      </c>
      <c r="L235" s="51" t="e">
        <f t="shared" si="0"/>
        <v>#DIV/0!</v>
      </c>
      <c r="M235" s="50">
        <v>0</v>
      </c>
      <c r="N235" s="51" t="e">
        <f t="shared" si="1"/>
        <v>#DIV/0!</v>
      </c>
      <c r="O235" s="50">
        <v>0</v>
      </c>
      <c r="P235" s="51" t="e">
        <f t="shared" si="2"/>
        <v>#DIV/0!</v>
      </c>
      <c r="Q235" s="50">
        <v>0</v>
      </c>
      <c r="R235" s="52">
        <f t="shared" si="3"/>
        <v>0</v>
      </c>
    </row>
    <row r="236" spans="1:18" x14ac:dyDescent="0.25">
      <c r="A236" s="49" t="s">
        <v>290</v>
      </c>
      <c r="B236" s="49" t="s">
        <v>162</v>
      </c>
      <c r="C236" s="49" t="s">
        <v>163</v>
      </c>
      <c r="D236" s="49" t="s">
        <v>69</v>
      </c>
      <c r="E236" s="50">
        <v>89480793</v>
      </c>
      <c r="F236" s="50">
        <v>76080793</v>
      </c>
      <c r="G236" s="50">
        <v>70380793</v>
      </c>
      <c r="H236" s="50">
        <v>13680</v>
      </c>
      <c r="I236" s="50">
        <v>9702529.1400000006</v>
      </c>
      <c r="J236" s="50">
        <v>1175500</v>
      </c>
      <c r="K236" s="50">
        <v>36492285.409999996</v>
      </c>
      <c r="L236" s="51">
        <f t="shared" si="0"/>
        <v>0.47965174876660388</v>
      </c>
      <c r="M236" s="50">
        <v>35010897.409999996</v>
      </c>
      <c r="N236" s="51">
        <f t="shared" si="1"/>
        <v>0.46018050061597016</v>
      </c>
      <c r="O236" s="50">
        <v>28696798.449999999</v>
      </c>
      <c r="P236" s="51">
        <f t="shared" si="2"/>
        <v>0.37718847712326026</v>
      </c>
      <c r="Q236" s="50">
        <v>22996798.449999999</v>
      </c>
      <c r="R236" s="52">
        <f t="shared" si="3"/>
        <v>-5700000</v>
      </c>
    </row>
    <row r="237" spans="1:18" x14ac:dyDescent="0.25">
      <c r="A237" s="49" t="s">
        <v>290</v>
      </c>
      <c r="B237" s="49" t="s">
        <v>310</v>
      </c>
      <c r="C237" s="49" t="s">
        <v>311</v>
      </c>
      <c r="D237" s="49" t="s">
        <v>69</v>
      </c>
      <c r="E237" s="50">
        <v>13000000</v>
      </c>
      <c r="F237" s="50">
        <v>13000000</v>
      </c>
      <c r="G237" s="50">
        <v>13000000</v>
      </c>
      <c r="H237" s="50">
        <v>0</v>
      </c>
      <c r="I237" s="50">
        <v>2126150.0499999998</v>
      </c>
      <c r="J237" s="50">
        <v>155500</v>
      </c>
      <c r="K237" s="50">
        <v>5580389.6200000001</v>
      </c>
      <c r="L237" s="51">
        <f t="shared" si="0"/>
        <v>0.42926074000000003</v>
      </c>
      <c r="M237" s="50">
        <v>5580389.6200000001</v>
      </c>
      <c r="N237" s="51">
        <f t="shared" si="1"/>
        <v>0.42926074000000003</v>
      </c>
      <c r="O237" s="50">
        <v>5137960.33</v>
      </c>
      <c r="P237" s="51">
        <f t="shared" si="2"/>
        <v>0.39522771769230769</v>
      </c>
      <c r="Q237" s="50">
        <v>5137960.33</v>
      </c>
      <c r="R237" s="52">
        <f t="shared" si="3"/>
        <v>0</v>
      </c>
    </row>
    <row r="238" spans="1:18" x14ac:dyDescent="0.25">
      <c r="A238" s="49" t="s">
        <v>290</v>
      </c>
      <c r="B238" s="49" t="s">
        <v>164</v>
      </c>
      <c r="C238" s="49" t="s">
        <v>165</v>
      </c>
      <c r="D238" s="49" t="s">
        <v>69</v>
      </c>
      <c r="E238" s="50">
        <v>1918000</v>
      </c>
      <c r="F238" s="50">
        <v>1918000</v>
      </c>
      <c r="G238" s="50">
        <v>1918000</v>
      </c>
      <c r="H238" s="50">
        <v>0</v>
      </c>
      <c r="I238" s="50">
        <v>398742.44</v>
      </c>
      <c r="J238" s="50">
        <v>0</v>
      </c>
      <c r="K238" s="50">
        <v>1239069.97</v>
      </c>
      <c r="L238" s="51">
        <f t="shared" si="0"/>
        <v>0.64602188216892598</v>
      </c>
      <c r="M238" s="50">
        <v>1239069.97</v>
      </c>
      <c r="N238" s="51">
        <f t="shared" si="1"/>
        <v>0.64602188216892598</v>
      </c>
      <c r="O238" s="50">
        <v>280187.59000000003</v>
      </c>
      <c r="P238" s="51">
        <f t="shared" si="2"/>
        <v>0.14608320646506778</v>
      </c>
      <c r="Q238" s="50">
        <v>280187.59000000003</v>
      </c>
      <c r="R238" s="52">
        <f t="shared" si="3"/>
        <v>0</v>
      </c>
    </row>
    <row r="239" spans="1:18" x14ac:dyDescent="0.25">
      <c r="A239" s="49" t="s">
        <v>290</v>
      </c>
      <c r="B239" s="49" t="s">
        <v>166</v>
      </c>
      <c r="C239" s="49" t="s">
        <v>167</v>
      </c>
      <c r="D239" s="49" t="s">
        <v>69</v>
      </c>
      <c r="E239" s="50">
        <v>25420000</v>
      </c>
      <c r="F239" s="50">
        <v>15420000</v>
      </c>
      <c r="G239" s="50">
        <v>10420000</v>
      </c>
      <c r="H239" s="50">
        <v>0</v>
      </c>
      <c r="I239" s="50">
        <v>3139241.1</v>
      </c>
      <c r="J239" s="50">
        <v>0</v>
      </c>
      <c r="K239" s="50">
        <v>4261682.9000000004</v>
      </c>
      <c r="L239" s="51">
        <f t="shared" si="0"/>
        <v>0.276373728923476</v>
      </c>
      <c r="M239" s="50">
        <v>3590294.9</v>
      </c>
      <c r="N239" s="51">
        <f t="shared" si="1"/>
        <v>0.23283365110246432</v>
      </c>
      <c r="O239" s="50">
        <v>8019076</v>
      </c>
      <c r="P239" s="51">
        <f t="shared" si="2"/>
        <v>0.52004383916990926</v>
      </c>
      <c r="Q239" s="50">
        <v>3019076</v>
      </c>
      <c r="R239" s="52">
        <f t="shared" si="3"/>
        <v>-5000000</v>
      </c>
    </row>
    <row r="240" spans="1:18" x14ac:dyDescent="0.25">
      <c r="A240" s="49" t="s">
        <v>290</v>
      </c>
      <c r="B240" s="49" t="s">
        <v>312</v>
      </c>
      <c r="C240" s="49" t="s">
        <v>313</v>
      </c>
      <c r="D240" s="49" t="s">
        <v>69</v>
      </c>
      <c r="E240" s="50">
        <v>7181770</v>
      </c>
      <c r="F240" s="50">
        <v>7181770</v>
      </c>
      <c r="G240" s="50">
        <v>7181770</v>
      </c>
      <c r="H240" s="50">
        <v>0</v>
      </c>
      <c r="I240" s="50">
        <v>1144873.95</v>
      </c>
      <c r="J240" s="50">
        <v>0</v>
      </c>
      <c r="K240" s="50">
        <v>4625737.6900000004</v>
      </c>
      <c r="L240" s="51">
        <f t="shared" si="0"/>
        <v>0.64409437924077217</v>
      </c>
      <c r="M240" s="50">
        <v>4625737.6900000004</v>
      </c>
      <c r="N240" s="51">
        <f t="shared" si="1"/>
        <v>0.64409437924077217</v>
      </c>
      <c r="O240" s="50">
        <v>1411158.36</v>
      </c>
      <c r="P240" s="51">
        <f t="shared" si="2"/>
        <v>0.19649172279257066</v>
      </c>
      <c r="Q240" s="50">
        <v>1411158.36</v>
      </c>
      <c r="R240" s="52">
        <f t="shared" si="3"/>
        <v>0</v>
      </c>
    </row>
    <row r="241" spans="1:18" x14ac:dyDescent="0.25">
      <c r="A241" s="49" t="s">
        <v>290</v>
      </c>
      <c r="B241" s="49" t="s">
        <v>168</v>
      </c>
      <c r="C241" s="49" t="s">
        <v>169</v>
      </c>
      <c r="D241" s="49" t="s">
        <v>69</v>
      </c>
      <c r="E241" s="50">
        <v>8196286</v>
      </c>
      <c r="F241" s="50">
        <v>10196286</v>
      </c>
      <c r="G241" s="50">
        <v>10196286</v>
      </c>
      <c r="H241" s="50">
        <v>0</v>
      </c>
      <c r="I241" s="50">
        <v>463521.6</v>
      </c>
      <c r="J241" s="50">
        <v>0</v>
      </c>
      <c r="K241" s="50">
        <v>3817438.59</v>
      </c>
      <c r="L241" s="51">
        <f t="shared" si="0"/>
        <v>0.37439500912391038</v>
      </c>
      <c r="M241" s="50">
        <v>3817438.59</v>
      </c>
      <c r="N241" s="51">
        <f t="shared" si="1"/>
        <v>0.37439500912391038</v>
      </c>
      <c r="O241" s="50">
        <v>5915325.8099999996</v>
      </c>
      <c r="P241" s="51">
        <f t="shared" si="2"/>
        <v>0.58014514402597173</v>
      </c>
      <c r="Q241" s="50">
        <v>5915325.8099999996</v>
      </c>
      <c r="R241" s="52">
        <f t="shared" si="3"/>
        <v>0</v>
      </c>
    </row>
    <row r="242" spans="1:18" x14ac:dyDescent="0.25">
      <c r="A242" s="49" t="s">
        <v>290</v>
      </c>
      <c r="B242" s="49" t="s">
        <v>170</v>
      </c>
      <c r="C242" s="49" t="s">
        <v>171</v>
      </c>
      <c r="D242" s="49" t="s">
        <v>69</v>
      </c>
      <c r="E242" s="50">
        <v>28160737</v>
      </c>
      <c r="F242" s="50">
        <v>23460737</v>
      </c>
      <c r="G242" s="50">
        <v>23460737</v>
      </c>
      <c r="H242" s="50">
        <v>13680</v>
      </c>
      <c r="I242" s="50">
        <v>2430000</v>
      </c>
      <c r="J242" s="50">
        <v>1020000</v>
      </c>
      <c r="K242" s="50">
        <v>15622372.48</v>
      </c>
      <c r="L242" s="51">
        <f t="shared" si="0"/>
        <v>0.66589436128967305</v>
      </c>
      <c r="M242" s="50">
        <v>14812372.48</v>
      </c>
      <c r="N242" s="51">
        <f t="shared" si="1"/>
        <v>0.63136859170280968</v>
      </c>
      <c r="O242" s="50">
        <v>4374684.5199999996</v>
      </c>
      <c r="P242" s="51">
        <f t="shared" si="2"/>
        <v>0.18646833302807153</v>
      </c>
      <c r="Q242" s="50">
        <v>4374684.5199999996</v>
      </c>
      <c r="R242" s="52">
        <f t="shared" si="3"/>
        <v>0</v>
      </c>
    </row>
    <row r="243" spans="1:18" x14ac:dyDescent="0.25">
      <c r="A243" s="49" t="s">
        <v>290</v>
      </c>
      <c r="B243" s="49" t="s">
        <v>172</v>
      </c>
      <c r="C243" s="49" t="s">
        <v>173</v>
      </c>
      <c r="D243" s="49" t="s">
        <v>69</v>
      </c>
      <c r="E243" s="50">
        <v>5604000</v>
      </c>
      <c r="F243" s="50">
        <v>4904000</v>
      </c>
      <c r="G243" s="50">
        <v>4204000</v>
      </c>
      <c r="H243" s="50">
        <v>0</v>
      </c>
      <c r="I243" s="50">
        <v>0</v>
      </c>
      <c r="J243" s="50">
        <v>0</v>
      </c>
      <c r="K243" s="50">
        <v>1345594.16</v>
      </c>
      <c r="L243" s="51">
        <f t="shared" si="0"/>
        <v>0.27438706362153342</v>
      </c>
      <c r="M243" s="50">
        <v>1345594.16</v>
      </c>
      <c r="N243" s="51">
        <f t="shared" si="1"/>
        <v>0.27438706362153342</v>
      </c>
      <c r="O243" s="50">
        <v>3558405.84</v>
      </c>
      <c r="P243" s="51">
        <f t="shared" si="2"/>
        <v>0.72561293637846658</v>
      </c>
      <c r="Q243" s="50">
        <v>2858405.84</v>
      </c>
      <c r="R243" s="52">
        <f t="shared" si="3"/>
        <v>-700000</v>
      </c>
    </row>
    <row r="244" spans="1:18" x14ac:dyDescent="0.25">
      <c r="A244" s="49" t="s">
        <v>290</v>
      </c>
      <c r="B244" s="49" t="s">
        <v>174</v>
      </c>
      <c r="C244" s="49" t="s">
        <v>175</v>
      </c>
      <c r="D244" s="49" t="s">
        <v>69</v>
      </c>
      <c r="E244" s="50">
        <v>1340000</v>
      </c>
      <c r="F244" s="50">
        <v>1340000</v>
      </c>
      <c r="G244" s="50">
        <v>1340000</v>
      </c>
      <c r="H244" s="50">
        <v>0</v>
      </c>
      <c r="I244" s="50">
        <v>24600</v>
      </c>
      <c r="J244" s="50">
        <v>0</v>
      </c>
      <c r="K244" s="50">
        <v>400</v>
      </c>
      <c r="L244" s="51">
        <f t="shared" si="0"/>
        <v>2.9850746268656717E-4</v>
      </c>
      <c r="M244" s="50">
        <v>400</v>
      </c>
      <c r="N244" s="51">
        <f t="shared" si="1"/>
        <v>2.9850746268656717E-4</v>
      </c>
      <c r="O244" s="50">
        <v>1315000</v>
      </c>
      <c r="P244" s="51">
        <f t="shared" si="2"/>
        <v>0.98134328358208955</v>
      </c>
      <c r="Q244" s="50">
        <v>1315000</v>
      </c>
      <c r="R244" s="52">
        <f t="shared" si="3"/>
        <v>0</v>
      </c>
    </row>
    <row r="245" spans="1:18" x14ac:dyDescent="0.25">
      <c r="A245" s="49" t="s">
        <v>290</v>
      </c>
      <c r="B245" s="49" t="s">
        <v>176</v>
      </c>
      <c r="C245" s="49" t="s">
        <v>177</v>
      </c>
      <c r="D245" s="49" t="s">
        <v>69</v>
      </c>
      <c r="E245" s="50">
        <v>1340000</v>
      </c>
      <c r="F245" s="50">
        <v>1340000</v>
      </c>
      <c r="G245" s="50">
        <v>1340000</v>
      </c>
      <c r="H245" s="50">
        <v>0</v>
      </c>
      <c r="I245" s="50">
        <v>24600</v>
      </c>
      <c r="J245" s="50">
        <v>0</v>
      </c>
      <c r="K245" s="50">
        <v>400</v>
      </c>
      <c r="L245" s="51">
        <f t="shared" si="0"/>
        <v>2.9850746268656717E-4</v>
      </c>
      <c r="M245" s="50">
        <v>400</v>
      </c>
      <c r="N245" s="51">
        <f t="shared" si="1"/>
        <v>2.9850746268656717E-4</v>
      </c>
      <c r="O245" s="50">
        <v>1315000</v>
      </c>
      <c r="P245" s="51">
        <f t="shared" si="2"/>
        <v>0.98134328358208955</v>
      </c>
      <c r="Q245" s="50">
        <v>1315000</v>
      </c>
      <c r="R245" s="52">
        <f t="shared" si="3"/>
        <v>0</v>
      </c>
    </row>
    <row r="246" spans="1:18" x14ac:dyDescent="0.25">
      <c r="A246" s="49" t="s">
        <v>290</v>
      </c>
      <c r="B246" s="49" t="s">
        <v>178</v>
      </c>
      <c r="C246" s="49" t="s">
        <v>179</v>
      </c>
      <c r="D246" s="49" t="s">
        <v>69</v>
      </c>
      <c r="E246" s="50">
        <v>2150000</v>
      </c>
      <c r="F246" s="50">
        <v>2150000</v>
      </c>
      <c r="G246" s="50">
        <v>2150000</v>
      </c>
      <c r="H246" s="50">
        <v>0</v>
      </c>
      <c r="I246" s="50">
        <v>113207.78</v>
      </c>
      <c r="J246" s="50">
        <v>0</v>
      </c>
      <c r="K246" s="50">
        <v>0</v>
      </c>
      <c r="L246" s="51">
        <f t="shared" si="0"/>
        <v>0</v>
      </c>
      <c r="M246" s="50">
        <v>0</v>
      </c>
      <c r="N246" s="51">
        <f t="shared" si="1"/>
        <v>0</v>
      </c>
      <c r="O246" s="50">
        <v>2036792.22</v>
      </c>
      <c r="P246" s="51">
        <f t="shared" si="2"/>
        <v>0.94734521860465115</v>
      </c>
      <c r="Q246" s="50">
        <v>2036792.22</v>
      </c>
      <c r="R246" s="52">
        <f t="shared" si="3"/>
        <v>0</v>
      </c>
    </row>
    <row r="247" spans="1:18" x14ac:dyDescent="0.25">
      <c r="A247" s="49" t="s">
        <v>290</v>
      </c>
      <c r="B247" s="49" t="s">
        <v>180</v>
      </c>
      <c r="C247" s="49" t="s">
        <v>181</v>
      </c>
      <c r="D247" s="49" t="s">
        <v>69</v>
      </c>
      <c r="E247" s="50">
        <v>150000</v>
      </c>
      <c r="F247" s="50">
        <v>150000</v>
      </c>
      <c r="G247" s="50">
        <v>150000</v>
      </c>
      <c r="H247" s="50">
        <v>0</v>
      </c>
      <c r="I247" s="50">
        <v>113207.78</v>
      </c>
      <c r="J247" s="50">
        <v>0</v>
      </c>
      <c r="K247" s="50">
        <v>0</v>
      </c>
      <c r="L247" s="51">
        <f t="shared" si="0"/>
        <v>0</v>
      </c>
      <c r="M247" s="50">
        <v>0</v>
      </c>
      <c r="N247" s="51">
        <f t="shared" si="1"/>
        <v>0</v>
      </c>
      <c r="O247" s="50">
        <v>36792.22</v>
      </c>
      <c r="P247" s="51">
        <f t="shared" si="2"/>
        <v>0.24528146666666667</v>
      </c>
      <c r="Q247" s="50">
        <v>36792.22</v>
      </c>
      <c r="R247" s="52">
        <f t="shared" si="3"/>
        <v>0</v>
      </c>
    </row>
    <row r="248" spans="1:18" x14ac:dyDescent="0.25">
      <c r="A248" s="49" t="s">
        <v>290</v>
      </c>
      <c r="B248" s="49" t="s">
        <v>182</v>
      </c>
      <c r="C248" s="49" t="s">
        <v>183</v>
      </c>
      <c r="D248" s="49" t="s">
        <v>69</v>
      </c>
      <c r="E248" s="50">
        <v>2000000</v>
      </c>
      <c r="F248" s="50">
        <v>2000000</v>
      </c>
      <c r="G248" s="50">
        <v>2000000</v>
      </c>
      <c r="H248" s="50">
        <v>0</v>
      </c>
      <c r="I248" s="50">
        <v>0</v>
      </c>
      <c r="J248" s="50">
        <v>0</v>
      </c>
      <c r="K248" s="50">
        <v>0</v>
      </c>
      <c r="L248" s="51">
        <f t="shared" si="0"/>
        <v>0</v>
      </c>
      <c r="M248" s="50">
        <v>0</v>
      </c>
      <c r="N248" s="51">
        <f t="shared" si="1"/>
        <v>0</v>
      </c>
      <c r="O248" s="50">
        <v>2000000</v>
      </c>
      <c r="P248" s="51">
        <f t="shared" si="2"/>
        <v>1</v>
      </c>
      <c r="Q248" s="50">
        <v>2000000</v>
      </c>
      <c r="R248" s="52">
        <f t="shared" si="3"/>
        <v>0</v>
      </c>
    </row>
    <row r="249" spans="1:18" x14ac:dyDescent="0.25">
      <c r="A249" s="49" t="s">
        <v>290</v>
      </c>
      <c r="B249" s="49" t="s">
        <v>184</v>
      </c>
      <c r="C249" s="49" t="s">
        <v>185</v>
      </c>
      <c r="D249" s="49" t="s">
        <v>69</v>
      </c>
      <c r="E249" s="50">
        <v>65233793</v>
      </c>
      <c r="F249" s="50">
        <v>65233793</v>
      </c>
      <c r="G249" s="50">
        <v>41233793</v>
      </c>
      <c r="H249" s="50">
        <v>5807056.5099999998</v>
      </c>
      <c r="I249" s="50">
        <v>8083767.7599999998</v>
      </c>
      <c r="J249" s="50">
        <v>1114310.58</v>
      </c>
      <c r="K249" s="50">
        <v>21069990.969999999</v>
      </c>
      <c r="L249" s="51">
        <f t="shared" si="0"/>
        <v>0.32299196476280323</v>
      </c>
      <c r="M249" s="50">
        <v>19947482.210000001</v>
      </c>
      <c r="N249" s="51">
        <f t="shared" si="1"/>
        <v>0.30578449132951691</v>
      </c>
      <c r="O249" s="50">
        <v>29158667.18</v>
      </c>
      <c r="P249" s="51">
        <f t="shared" si="2"/>
        <v>0.44698714943648915</v>
      </c>
      <c r="Q249" s="50">
        <v>5158667.18</v>
      </c>
      <c r="R249" s="52">
        <f t="shared" si="3"/>
        <v>-24000000</v>
      </c>
    </row>
    <row r="250" spans="1:18" x14ac:dyDescent="0.25">
      <c r="A250" s="49" t="s">
        <v>290</v>
      </c>
      <c r="B250" s="49" t="s">
        <v>186</v>
      </c>
      <c r="C250" s="49" t="s">
        <v>187</v>
      </c>
      <c r="D250" s="49" t="s">
        <v>69</v>
      </c>
      <c r="E250" s="50">
        <v>34706100</v>
      </c>
      <c r="F250" s="50">
        <v>34706100</v>
      </c>
      <c r="G250" s="50">
        <v>22206100</v>
      </c>
      <c r="H250" s="50">
        <v>0</v>
      </c>
      <c r="I250" s="50">
        <v>6643512.9500000002</v>
      </c>
      <c r="J250" s="50">
        <v>293785.78000000003</v>
      </c>
      <c r="K250" s="50">
        <v>14432095.43</v>
      </c>
      <c r="L250" s="51">
        <f t="shared" si="0"/>
        <v>0.41583743001950663</v>
      </c>
      <c r="M250" s="50">
        <v>14161686.67</v>
      </c>
      <c r="N250" s="51">
        <f t="shared" si="1"/>
        <v>0.40804604003330824</v>
      </c>
      <c r="O250" s="50">
        <v>13336705.84</v>
      </c>
      <c r="P250" s="51">
        <f t="shared" si="2"/>
        <v>0.38427555501770583</v>
      </c>
      <c r="Q250" s="50">
        <v>836705.84</v>
      </c>
      <c r="R250" s="52">
        <f t="shared" si="3"/>
        <v>-12500000</v>
      </c>
    </row>
    <row r="251" spans="1:18" x14ac:dyDescent="0.25">
      <c r="A251" s="49" t="s">
        <v>290</v>
      </c>
      <c r="B251" s="49" t="s">
        <v>188</v>
      </c>
      <c r="C251" s="49" t="s">
        <v>189</v>
      </c>
      <c r="D251" s="49" t="s">
        <v>69</v>
      </c>
      <c r="E251" s="50">
        <v>26298967</v>
      </c>
      <c r="F251" s="50">
        <v>26298967</v>
      </c>
      <c r="G251" s="50">
        <v>19798967</v>
      </c>
      <c r="H251" s="50">
        <v>0</v>
      </c>
      <c r="I251" s="50">
        <v>6534373.3300000001</v>
      </c>
      <c r="J251" s="50">
        <v>0</v>
      </c>
      <c r="K251" s="50">
        <v>13140946.67</v>
      </c>
      <c r="L251" s="51">
        <f t="shared" si="0"/>
        <v>0.49967539295364721</v>
      </c>
      <c r="M251" s="50">
        <v>13140946.67</v>
      </c>
      <c r="N251" s="51">
        <f t="shared" si="1"/>
        <v>0.49967539295364721</v>
      </c>
      <c r="O251" s="50">
        <v>6623647</v>
      </c>
      <c r="P251" s="51">
        <f t="shared" si="2"/>
        <v>0.25185958824922666</v>
      </c>
      <c r="Q251" s="50">
        <v>123647</v>
      </c>
      <c r="R251" s="52">
        <f t="shared" si="3"/>
        <v>-6500000</v>
      </c>
    </row>
    <row r="252" spans="1:18" x14ac:dyDescent="0.25">
      <c r="A252" s="49" t="s">
        <v>290</v>
      </c>
      <c r="B252" s="49" t="s">
        <v>192</v>
      </c>
      <c r="C252" s="49" t="s">
        <v>193</v>
      </c>
      <c r="D252" s="49" t="s">
        <v>69</v>
      </c>
      <c r="E252" s="50">
        <v>8102133</v>
      </c>
      <c r="F252" s="50">
        <v>8102133</v>
      </c>
      <c r="G252" s="50">
        <v>2102133</v>
      </c>
      <c r="H252" s="50">
        <v>0</v>
      </c>
      <c r="I252" s="50">
        <v>82039.62</v>
      </c>
      <c r="J252" s="50">
        <v>37752</v>
      </c>
      <c r="K252" s="50">
        <v>1291148.76</v>
      </c>
      <c r="L252" s="51">
        <f t="shared" si="0"/>
        <v>0.15935911691402746</v>
      </c>
      <c r="M252" s="50">
        <v>1020740</v>
      </c>
      <c r="N252" s="51">
        <f t="shared" si="1"/>
        <v>0.12598410813547495</v>
      </c>
      <c r="O252" s="50">
        <v>6691192.6200000001</v>
      </c>
      <c r="P252" s="51">
        <f t="shared" si="2"/>
        <v>0.82585568763188655</v>
      </c>
      <c r="Q252" s="50">
        <v>691192.62</v>
      </c>
      <c r="R252" s="52">
        <f t="shared" si="3"/>
        <v>-6000000</v>
      </c>
    </row>
    <row r="253" spans="1:18" x14ac:dyDescent="0.25">
      <c r="A253" s="49" t="s">
        <v>290</v>
      </c>
      <c r="B253" s="49" t="s">
        <v>194</v>
      </c>
      <c r="C253" s="49" t="s">
        <v>195</v>
      </c>
      <c r="D253" s="49" t="s">
        <v>69</v>
      </c>
      <c r="E253" s="50">
        <v>305000</v>
      </c>
      <c r="F253" s="50">
        <v>305000</v>
      </c>
      <c r="G253" s="50">
        <v>305000</v>
      </c>
      <c r="H253" s="50">
        <v>0</v>
      </c>
      <c r="I253" s="50">
        <v>27100</v>
      </c>
      <c r="J253" s="50">
        <v>256033.78</v>
      </c>
      <c r="K253" s="50">
        <v>0</v>
      </c>
      <c r="L253" s="51">
        <f t="shared" si="0"/>
        <v>0</v>
      </c>
      <c r="M253" s="50">
        <v>0</v>
      </c>
      <c r="N253" s="51">
        <f t="shared" si="1"/>
        <v>0</v>
      </c>
      <c r="O253" s="50">
        <v>21866.22</v>
      </c>
      <c r="P253" s="51">
        <f t="shared" si="2"/>
        <v>7.1692524590163939E-2</v>
      </c>
      <c r="Q253" s="50">
        <v>21866.22</v>
      </c>
      <c r="R253" s="52">
        <f t="shared" si="3"/>
        <v>0</v>
      </c>
    </row>
    <row r="254" spans="1:18" x14ac:dyDescent="0.25">
      <c r="A254" s="49" t="s">
        <v>290</v>
      </c>
      <c r="B254" s="49" t="s">
        <v>200</v>
      </c>
      <c r="C254" s="49" t="s">
        <v>201</v>
      </c>
      <c r="D254" s="49" t="s">
        <v>69</v>
      </c>
      <c r="E254" s="50">
        <v>2978000</v>
      </c>
      <c r="F254" s="50">
        <v>2978000</v>
      </c>
      <c r="G254" s="50">
        <v>2978000</v>
      </c>
      <c r="H254" s="50">
        <v>1671033.32</v>
      </c>
      <c r="I254" s="50">
        <v>574379.19999999995</v>
      </c>
      <c r="J254" s="50">
        <v>51566</v>
      </c>
      <c r="K254" s="50">
        <v>55800</v>
      </c>
      <c r="L254" s="51">
        <f t="shared" si="0"/>
        <v>1.8737407656145063E-2</v>
      </c>
      <c r="M254" s="50">
        <v>55800</v>
      </c>
      <c r="N254" s="51">
        <f t="shared" si="1"/>
        <v>1.8737407656145063E-2</v>
      </c>
      <c r="O254" s="50">
        <v>625221.48</v>
      </c>
      <c r="P254" s="51">
        <f t="shared" si="2"/>
        <v>0.2099467696440564</v>
      </c>
      <c r="Q254" s="50">
        <v>625221.48</v>
      </c>
      <c r="R254" s="52">
        <f t="shared" si="3"/>
        <v>0</v>
      </c>
    </row>
    <row r="255" spans="1:18" x14ac:dyDescent="0.25">
      <c r="A255" s="49" t="s">
        <v>290</v>
      </c>
      <c r="B255" s="49" t="s">
        <v>314</v>
      </c>
      <c r="C255" s="49" t="s">
        <v>315</v>
      </c>
      <c r="D255" s="49" t="s">
        <v>69</v>
      </c>
      <c r="E255" s="50">
        <v>830000</v>
      </c>
      <c r="F255" s="50">
        <v>830000</v>
      </c>
      <c r="G255" s="50">
        <v>830000</v>
      </c>
      <c r="H255" s="50">
        <v>0</v>
      </c>
      <c r="I255" s="50">
        <v>443823</v>
      </c>
      <c r="J255" s="50">
        <v>0</v>
      </c>
      <c r="K255" s="50">
        <v>0</v>
      </c>
      <c r="L255" s="51">
        <f t="shared" si="0"/>
        <v>0</v>
      </c>
      <c r="M255" s="50">
        <v>0</v>
      </c>
      <c r="N255" s="51">
        <f t="shared" si="1"/>
        <v>0</v>
      </c>
      <c r="O255" s="50">
        <v>386177</v>
      </c>
      <c r="P255" s="51">
        <f t="shared" si="2"/>
        <v>0.46527349397590362</v>
      </c>
      <c r="Q255" s="50">
        <v>386177</v>
      </c>
      <c r="R255" s="52">
        <f t="shared" si="3"/>
        <v>0</v>
      </c>
    </row>
    <row r="256" spans="1:18" x14ac:dyDescent="0.25">
      <c r="A256" s="49" t="s">
        <v>290</v>
      </c>
      <c r="B256" s="49" t="s">
        <v>316</v>
      </c>
      <c r="C256" s="49" t="s">
        <v>317</v>
      </c>
      <c r="D256" s="49" t="s">
        <v>69</v>
      </c>
      <c r="E256" s="50">
        <v>67000</v>
      </c>
      <c r="F256" s="50">
        <v>67000</v>
      </c>
      <c r="G256" s="50">
        <v>67000</v>
      </c>
      <c r="H256" s="50">
        <v>0</v>
      </c>
      <c r="I256" s="50">
        <v>0</v>
      </c>
      <c r="J256" s="50">
        <v>0</v>
      </c>
      <c r="K256" s="50">
        <v>55800</v>
      </c>
      <c r="L256" s="51">
        <f t="shared" si="0"/>
        <v>0.83283582089552244</v>
      </c>
      <c r="M256" s="50">
        <v>55800</v>
      </c>
      <c r="N256" s="51">
        <f t="shared" si="1"/>
        <v>0.83283582089552244</v>
      </c>
      <c r="O256" s="50">
        <v>11200</v>
      </c>
      <c r="P256" s="51">
        <f t="shared" si="2"/>
        <v>0.16716417910447762</v>
      </c>
      <c r="Q256" s="50">
        <v>11200</v>
      </c>
      <c r="R256" s="52">
        <f t="shared" si="3"/>
        <v>0</v>
      </c>
    </row>
    <row r="257" spans="1:18" x14ac:dyDescent="0.25">
      <c r="A257" s="49" t="s">
        <v>290</v>
      </c>
      <c r="B257" s="49" t="s">
        <v>318</v>
      </c>
      <c r="C257" s="49" t="s">
        <v>319</v>
      </c>
      <c r="D257" s="49" t="s">
        <v>69</v>
      </c>
      <c r="E257" s="50">
        <v>99000</v>
      </c>
      <c r="F257" s="50">
        <v>99000</v>
      </c>
      <c r="G257" s="50">
        <v>99000</v>
      </c>
      <c r="H257" s="50">
        <v>0</v>
      </c>
      <c r="I257" s="50">
        <v>98740</v>
      </c>
      <c r="J257" s="50">
        <v>0</v>
      </c>
      <c r="K257" s="50">
        <v>0</v>
      </c>
      <c r="L257" s="51">
        <f t="shared" si="0"/>
        <v>0</v>
      </c>
      <c r="M257" s="50">
        <v>0</v>
      </c>
      <c r="N257" s="51">
        <f t="shared" si="1"/>
        <v>0</v>
      </c>
      <c r="O257" s="50">
        <v>260</v>
      </c>
      <c r="P257" s="51">
        <f t="shared" si="2"/>
        <v>2.6262626262626263E-3</v>
      </c>
      <c r="Q257" s="50">
        <v>260</v>
      </c>
      <c r="R257" s="52">
        <f t="shared" si="3"/>
        <v>0</v>
      </c>
    </row>
    <row r="258" spans="1:18" x14ac:dyDescent="0.25">
      <c r="A258" s="49" t="s">
        <v>290</v>
      </c>
      <c r="B258" s="49" t="s">
        <v>202</v>
      </c>
      <c r="C258" s="49" t="s">
        <v>203</v>
      </c>
      <c r="D258" s="49" t="s">
        <v>69</v>
      </c>
      <c r="E258" s="50">
        <v>1345000</v>
      </c>
      <c r="F258" s="50">
        <v>1345000</v>
      </c>
      <c r="G258" s="50">
        <v>1345000</v>
      </c>
      <c r="H258" s="50">
        <v>1286218.32</v>
      </c>
      <c r="I258" s="50">
        <v>0</v>
      </c>
      <c r="J258" s="50">
        <v>0</v>
      </c>
      <c r="K258" s="50">
        <v>0</v>
      </c>
      <c r="L258" s="51">
        <f t="shared" si="0"/>
        <v>0</v>
      </c>
      <c r="M258" s="50">
        <v>0</v>
      </c>
      <c r="N258" s="51">
        <f t="shared" si="1"/>
        <v>0</v>
      </c>
      <c r="O258" s="50">
        <v>58781.68</v>
      </c>
      <c r="P258" s="51">
        <f t="shared" si="2"/>
        <v>4.3703851301115239E-2</v>
      </c>
      <c r="Q258" s="50">
        <v>58781.68</v>
      </c>
      <c r="R258" s="52">
        <f t="shared" si="3"/>
        <v>0</v>
      </c>
    </row>
    <row r="259" spans="1:18" x14ac:dyDescent="0.25">
      <c r="A259" s="49" t="s">
        <v>290</v>
      </c>
      <c r="B259" s="49" t="s">
        <v>320</v>
      </c>
      <c r="C259" s="49" t="s">
        <v>321</v>
      </c>
      <c r="D259" s="49" t="s">
        <v>69</v>
      </c>
      <c r="E259" s="50">
        <v>40000</v>
      </c>
      <c r="F259" s="50">
        <v>40000</v>
      </c>
      <c r="G259" s="50">
        <v>40000</v>
      </c>
      <c r="H259" s="50">
        <v>0</v>
      </c>
      <c r="I259" s="50">
        <v>0</v>
      </c>
      <c r="J259" s="50">
        <v>0</v>
      </c>
      <c r="K259" s="50">
        <v>0</v>
      </c>
      <c r="L259" s="51">
        <f t="shared" si="0"/>
        <v>0</v>
      </c>
      <c r="M259" s="50">
        <v>0</v>
      </c>
      <c r="N259" s="51">
        <f t="shared" si="1"/>
        <v>0</v>
      </c>
      <c r="O259" s="50">
        <v>40000</v>
      </c>
      <c r="P259" s="51">
        <f t="shared" si="2"/>
        <v>1</v>
      </c>
      <c r="Q259" s="50">
        <v>40000</v>
      </c>
      <c r="R259" s="52">
        <f t="shared" si="3"/>
        <v>0</v>
      </c>
    </row>
    <row r="260" spans="1:18" x14ac:dyDescent="0.25">
      <c r="A260" s="49" t="s">
        <v>290</v>
      </c>
      <c r="B260" s="49" t="s">
        <v>204</v>
      </c>
      <c r="C260" s="49" t="s">
        <v>205</v>
      </c>
      <c r="D260" s="49" t="s">
        <v>69</v>
      </c>
      <c r="E260" s="50">
        <v>198000</v>
      </c>
      <c r="F260" s="50">
        <v>198000</v>
      </c>
      <c r="G260" s="50">
        <v>198000</v>
      </c>
      <c r="H260" s="50">
        <v>0</v>
      </c>
      <c r="I260" s="50">
        <v>31816.2</v>
      </c>
      <c r="J260" s="50">
        <v>51566</v>
      </c>
      <c r="K260" s="50">
        <v>0</v>
      </c>
      <c r="L260" s="51">
        <f t="shared" si="0"/>
        <v>0</v>
      </c>
      <c r="M260" s="50">
        <v>0</v>
      </c>
      <c r="N260" s="51">
        <f t="shared" si="1"/>
        <v>0</v>
      </c>
      <c r="O260" s="50">
        <v>114617.8</v>
      </c>
      <c r="P260" s="51">
        <f t="shared" si="2"/>
        <v>0.57887777777777782</v>
      </c>
      <c r="Q260" s="50">
        <v>114617.8</v>
      </c>
      <c r="R260" s="52">
        <f t="shared" si="3"/>
        <v>0</v>
      </c>
    </row>
    <row r="261" spans="1:18" x14ac:dyDescent="0.25">
      <c r="A261" s="49" t="s">
        <v>290</v>
      </c>
      <c r="B261" s="49" t="s">
        <v>322</v>
      </c>
      <c r="C261" s="49" t="s">
        <v>323</v>
      </c>
      <c r="D261" s="49" t="s">
        <v>69</v>
      </c>
      <c r="E261" s="50">
        <v>399000</v>
      </c>
      <c r="F261" s="50">
        <v>399000</v>
      </c>
      <c r="G261" s="50">
        <v>399000</v>
      </c>
      <c r="H261" s="50">
        <v>384815</v>
      </c>
      <c r="I261" s="50">
        <v>0</v>
      </c>
      <c r="J261" s="50">
        <v>0</v>
      </c>
      <c r="K261" s="50">
        <v>0</v>
      </c>
      <c r="L261" s="51">
        <f t="shared" si="0"/>
        <v>0</v>
      </c>
      <c r="M261" s="50">
        <v>0</v>
      </c>
      <c r="N261" s="51">
        <f t="shared" si="1"/>
        <v>0</v>
      </c>
      <c r="O261" s="50">
        <v>14185</v>
      </c>
      <c r="P261" s="51">
        <f t="shared" si="2"/>
        <v>3.5551378446115285E-2</v>
      </c>
      <c r="Q261" s="50">
        <v>14185</v>
      </c>
      <c r="R261" s="52">
        <f t="shared" si="3"/>
        <v>0</v>
      </c>
    </row>
    <row r="262" spans="1:18" x14ac:dyDescent="0.25">
      <c r="A262" s="49" t="s">
        <v>290</v>
      </c>
      <c r="B262" s="49" t="s">
        <v>206</v>
      </c>
      <c r="C262" s="49" t="s">
        <v>207</v>
      </c>
      <c r="D262" s="49" t="s">
        <v>69</v>
      </c>
      <c r="E262" s="50">
        <v>3047000</v>
      </c>
      <c r="F262" s="50">
        <v>3047000</v>
      </c>
      <c r="G262" s="50">
        <v>2547000</v>
      </c>
      <c r="H262" s="50">
        <v>464079.19</v>
      </c>
      <c r="I262" s="50">
        <v>74150.81</v>
      </c>
      <c r="J262" s="50">
        <v>0</v>
      </c>
      <c r="K262" s="50">
        <v>871016.08</v>
      </c>
      <c r="L262" s="51">
        <f t="shared" si="0"/>
        <v>0.28586021660649819</v>
      </c>
      <c r="M262" s="50">
        <v>871016.08</v>
      </c>
      <c r="N262" s="51">
        <f t="shared" si="1"/>
        <v>0.28586021660649819</v>
      </c>
      <c r="O262" s="50">
        <v>1637753.92</v>
      </c>
      <c r="P262" s="51">
        <f t="shared" si="2"/>
        <v>0.5374971841155235</v>
      </c>
      <c r="Q262" s="50">
        <v>1137753.92</v>
      </c>
      <c r="R262" s="52">
        <f t="shared" si="3"/>
        <v>-500000</v>
      </c>
    </row>
    <row r="263" spans="1:18" x14ac:dyDescent="0.25">
      <c r="A263" s="49" t="s">
        <v>290</v>
      </c>
      <c r="B263" s="49" t="s">
        <v>208</v>
      </c>
      <c r="C263" s="49" t="s">
        <v>209</v>
      </c>
      <c r="D263" s="49" t="s">
        <v>69</v>
      </c>
      <c r="E263" s="50">
        <v>251000</v>
      </c>
      <c r="F263" s="50">
        <v>251000</v>
      </c>
      <c r="G263" s="50">
        <v>251000</v>
      </c>
      <c r="H263" s="50">
        <v>215120.48</v>
      </c>
      <c r="I263" s="50">
        <v>0</v>
      </c>
      <c r="J263" s="50">
        <v>0</v>
      </c>
      <c r="K263" s="50">
        <v>0</v>
      </c>
      <c r="L263" s="51">
        <f t="shared" si="0"/>
        <v>0</v>
      </c>
      <c r="M263" s="50">
        <v>0</v>
      </c>
      <c r="N263" s="51">
        <f t="shared" si="1"/>
        <v>0</v>
      </c>
      <c r="O263" s="50">
        <v>35879.519999999997</v>
      </c>
      <c r="P263" s="51">
        <f t="shared" si="2"/>
        <v>0.14294629482071711</v>
      </c>
      <c r="Q263" s="50">
        <v>35879.519999999997</v>
      </c>
      <c r="R263" s="52">
        <f t="shared" si="3"/>
        <v>0</v>
      </c>
    </row>
    <row r="264" spans="1:18" x14ac:dyDescent="0.25">
      <c r="A264" s="49" t="s">
        <v>290</v>
      </c>
      <c r="B264" s="49" t="s">
        <v>210</v>
      </c>
      <c r="C264" s="49" t="s">
        <v>211</v>
      </c>
      <c r="D264" s="49" t="s">
        <v>69</v>
      </c>
      <c r="E264" s="50">
        <v>2796000</v>
      </c>
      <c r="F264" s="50">
        <v>2796000</v>
      </c>
      <c r="G264" s="50">
        <v>2296000</v>
      </c>
      <c r="H264" s="50">
        <v>248958.71</v>
      </c>
      <c r="I264" s="50">
        <v>74150.81</v>
      </c>
      <c r="J264" s="50">
        <v>0</v>
      </c>
      <c r="K264" s="50">
        <v>871016.08</v>
      </c>
      <c r="L264" s="51">
        <f t="shared" si="0"/>
        <v>0.31152220314735335</v>
      </c>
      <c r="M264" s="50">
        <v>871016.08</v>
      </c>
      <c r="N264" s="51">
        <f t="shared" si="1"/>
        <v>0.31152220314735335</v>
      </c>
      <c r="O264" s="50">
        <v>1601874.4</v>
      </c>
      <c r="P264" s="51">
        <f t="shared" si="2"/>
        <v>0.5729164520743919</v>
      </c>
      <c r="Q264" s="50">
        <v>1101874.3999999999</v>
      </c>
      <c r="R264" s="52">
        <f t="shared" si="3"/>
        <v>-500000</v>
      </c>
    </row>
    <row r="265" spans="1:18" x14ac:dyDescent="0.25">
      <c r="A265" s="49" t="s">
        <v>290</v>
      </c>
      <c r="B265" s="49" t="s">
        <v>212</v>
      </c>
      <c r="C265" s="49" t="s">
        <v>213</v>
      </c>
      <c r="D265" s="49" t="s">
        <v>69</v>
      </c>
      <c r="E265" s="50">
        <v>24502693</v>
      </c>
      <c r="F265" s="50">
        <v>24502693</v>
      </c>
      <c r="G265" s="50">
        <v>13502693</v>
      </c>
      <c r="H265" s="50">
        <v>3671944</v>
      </c>
      <c r="I265" s="50">
        <v>791724.8</v>
      </c>
      <c r="J265" s="50">
        <v>768958.8</v>
      </c>
      <c r="K265" s="50">
        <v>5711079.46</v>
      </c>
      <c r="L265" s="51">
        <f t="shared" si="0"/>
        <v>0.23307966434546604</v>
      </c>
      <c r="M265" s="50">
        <v>4858979.46</v>
      </c>
      <c r="N265" s="51">
        <f t="shared" si="1"/>
        <v>0.19830389500452053</v>
      </c>
      <c r="O265" s="50">
        <v>13558985.939999999</v>
      </c>
      <c r="P265" s="51">
        <f t="shared" si="2"/>
        <v>0.55336717233489396</v>
      </c>
      <c r="Q265" s="50">
        <v>2558985.94</v>
      </c>
      <c r="R265" s="52">
        <f t="shared" si="3"/>
        <v>-11000000</v>
      </c>
    </row>
    <row r="266" spans="1:18" x14ac:dyDescent="0.25">
      <c r="A266" s="49" t="s">
        <v>290</v>
      </c>
      <c r="B266" s="49" t="s">
        <v>214</v>
      </c>
      <c r="C266" s="49" t="s">
        <v>215</v>
      </c>
      <c r="D266" s="49" t="s">
        <v>69</v>
      </c>
      <c r="E266" s="50">
        <v>7116000</v>
      </c>
      <c r="F266" s="50">
        <v>7116000</v>
      </c>
      <c r="G266" s="50">
        <v>3116000</v>
      </c>
      <c r="H266" s="50">
        <v>0</v>
      </c>
      <c r="I266" s="50">
        <v>167184.79999999999</v>
      </c>
      <c r="J266" s="50">
        <v>165800</v>
      </c>
      <c r="K266" s="50">
        <v>2781073.28</v>
      </c>
      <c r="L266" s="51">
        <f t="shared" si="0"/>
        <v>0.39081974142776837</v>
      </c>
      <c r="M266" s="50">
        <v>2259723.2799999998</v>
      </c>
      <c r="N266" s="51">
        <f t="shared" si="1"/>
        <v>0.31755526700393477</v>
      </c>
      <c r="O266" s="50">
        <v>4001941.92</v>
      </c>
      <c r="P266" s="51">
        <f t="shared" si="2"/>
        <v>0.56238644182124786</v>
      </c>
      <c r="Q266" s="50">
        <v>1941.92</v>
      </c>
      <c r="R266" s="52">
        <f t="shared" si="3"/>
        <v>-4000000</v>
      </c>
    </row>
    <row r="267" spans="1:18" x14ac:dyDescent="0.25">
      <c r="A267" s="49" t="s">
        <v>290</v>
      </c>
      <c r="B267" s="49" t="s">
        <v>216</v>
      </c>
      <c r="C267" s="49" t="s">
        <v>217</v>
      </c>
      <c r="D267" s="49" t="s">
        <v>69</v>
      </c>
      <c r="E267" s="50">
        <v>0</v>
      </c>
      <c r="F267" s="50">
        <v>0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51" t="e">
        <f t="shared" si="0"/>
        <v>#DIV/0!</v>
      </c>
      <c r="M267" s="50">
        <v>0</v>
      </c>
      <c r="N267" s="51" t="e">
        <f t="shared" si="1"/>
        <v>#DIV/0!</v>
      </c>
      <c r="O267" s="50">
        <v>0</v>
      </c>
      <c r="P267" s="51" t="e">
        <f t="shared" si="2"/>
        <v>#DIV/0!</v>
      </c>
      <c r="Q267" s="50">
        <v>0</v>
      </c>
      <c r="R267" s="52">
        <f t="shared" si="3"/>
        <v>0</v>
      </c>
    </row>
    <row r="268" spans="1:18" x14ac:dyDescent="0.25">
      <c r="A268" s="49" t="s">
        <v>290</v>
      </c>
      <c r="B268" s="49" t="s">
        <v>218</v>
      </c>
      <c r="C268" s="49" t="s">
        <v>219</v>
      </c>
      <c r="D268" s="49" t="s">
        <v>69</v>
      </c>
      <c r="E268" s="50">
        <v>15203693</v>
      </c>
      <c r="F268" s="50">
        <v>15203693</v>
      </c>
      <c r="G268" s="50">
        <v>8203693</v>
      </c>
      <c r="H268" s="50">
        <v>3163244</v>
      </c>
      <c r="I268" s="50">
        <v>213375</v>
      </c>
      <c r="J268" s="50">
        <v>351000</v>
      </c>
      <c r="K268" s="50">
        <v>2227856.1800000002</v>
      </c>
      <c r="L268" s="51">
        <f t="shared" si="0"/>
        <v>0.14653388357683889</v>
      </c>
      <c r="M268" s="50">
        <v>2161856.1800000002</v>
      </c>
      <c r="N268" s="51">
        <f t="shared" si="1"/>
        <v>0.14219283301760963</v>
      </c>
      <c r="O268" s="50">
        <v>9248217.8200000003</v>
      </c>
      <c r="P268" s="51">
        <f t="shared" si="2"/>
        <v>0.60828759302098512</v>
      </c>
      <c r="Q268" s="50">
        <v>2248217.8199999998</v>
      </c>
      <c r="R268" s="52">
        <f t="shared" si="3"/>
        <v>-7000000</v>
      </c>
    </row>
    <row r="269" spans="1:18" x14ac:dyDescent="0.25">
      <c r="A269" s="49" t="s">
        <v>290</v>
      </c>
      <c r="B269" s="49" t="s">
        <v>220</v>
      </c>
      <c r="C269" s="49" t="s">
        <v>221</v>
      </c>
      <c r="D269" s="49" t="s">
        <v>69</v>
      </c>
      <c r="E269" s="50">
        <v>133000</v>
      </c>
      <c r="F269" s="50">
        <v>133000</v>
      </c>
      <c r="G269" s="50">
        <v>133000</v>
      </c>
      <c r="H269" s="50">
        <v>0</v>
      </c>
      <c r="I269" s="50">
        <v>0</v>
      </c>
      <c r="J269" s="50">
        <v>18000</v>
      </c>
      <c r="K269" s="50">
        <v>115000</v>
      </c>
      <c r="L269" s="51">
        <f t="shared" si="0"/>
        <v>0.86466165413533835</v>
      </c>
      <c r="M269" s="50">
        <v>46000</v>
      </c>
      <c r="N269" s="51">
        <f t="shared" si="1"/>
        <v>0.34586466165413532</v>
      </c>
      <c r="O269" s="50">
        <v>0</v>
      </c>
      <c r="P269" s="51">
        <f t="shared" si="2"/>
        <v>0</v>
      </c>
      <c r="Q269" s="50">
        <v>0</v>
      </c>
      <c r="R269" s="52">
        <f t="shared" si="3"/>
        <v>0</v>
      </c>
    </row>
    <row r="270" spans="1:18" x14ac:dyDescent="0.25">
      <c r="A270" s="49" t="s">
        <v>290</v>
      </c>
      <c r="B270" s="49" t="s">
        <v>222</v>
      </c>
      <c r="C270" s="49" t="s">
        <v>223</v>
      </c>
      <c r="D270" s="49" t="s">
        <v>69</v>
      </c>
      <c r="E270" s="50">
        <v>1356000</v>
      </c>
      <c r="F270" s="50">
        <v>1356000</v>
      </c>
      <c r="G270" s="50">
        <v>1356000</v>
      </c>
      <c r="H270" s="50">
        <v>0</v>
      </c>
      <c r="I270" s="50">
        <v>273825</v>
      </c>
      <c r="J270" s="50">
        <v>234158.8</v>
      </c>
      <c r="K270" s="50">
        <v>582350</v>
      </c>
      <c r="L270" s="51">
        <f t="shared" si="0"/>
        <v>0.42946165191740415</v>
      </c>
      <c r="M270" s="50">
        <v>386600</v>
      </c>
      <c r="N270" s="51">
        <f t="shared" si="1"/>
        <v>0.28510324483775812</v>
      </c>
      <c r="O270" s="50">
        <v>265666.2</v>
      </c>
      <c r="P270" s="51">
        <f t="shared" si="2"/>
        <v>0.19591902654867258</v>
      </c>
      <c r="Q270" s="50">
        <v>265666.2</v>
      </c>
      <c r="R270" s="52">
        <f t="shared" si="3"/>
        <v>0</v>
      </c>
    </row>
    <row r="271" spans="1:18" x14ac:dyDescent="0.25">
      <c r="A271" s="49" t="s">
        <v>290</v>
      </c>
      <c r="B271" s="49" t="s">
        <v>224</v>
      </c>
      <c r="C271" s="49" t="s">
        <v>225</v>
      </c>
      <c r="D271" s="49" t="s">
        <v>69</v>
      </c>
      <c r="E271" s="50">
        <v>123000</v>
      </c>
      <c r="F271" s="50">
        <v>123000</v>
      </c>
      <c r="G271" s="50">
        <v>123000</v>
      </c>
      <c r="H271" s="50">
        <v>115120</v>
      </c>
      <c r="I271" s="50">
        <v>0</v>
      </c>
      <c r="J271" s="50">
        <v>0</v>
      </c>
      <c r="K271" s="50">
        <v>4800</v>
      </c>
      <c r="L271" s="51">
        <f t="shared" si="0"/>
        <v>3.9024390243902439E-2</v>
      </c>
      <c r="M271" s="50">
        <v>4800</v>
      </c>
      <c r="N271" s="51">
        <f t="shared" si="1"/>
        <v>3.9024390243902439E-2</v>
      </c>
      <c r="O271" s="50">
        <v>3080</v>
      </c>
      <c r="P271" s="51">
        <f t="shared" si="2"/>
        <v>2.5040650406504064E-2</v>
      </c>
      <c r="Q271" s="50">
        <v>3080</v>
      </c>
      <c r="R271" s="52">
        <f t="shared" si="3"/>
        <v>0</v>
      </c>
    </row>
    <row r="272" spans="1:18" x14ac:dyDescent="0.25">
      <c r="A272" s="49" t="s">
        <v>290</v>
      </c>
      <c r="B272" s="49" t="s">
        <v>228</v>
      </c>
      <c r="C272" s="49" t="s">
        <v>229</v>
      </c>
      <c r="D272" s="49" t="s">
        <v>69</v>
      </c>
      <c r="E272" s="50">
        <v>571000</v>
      </c>
      <c r="F272" s="50">
        <v>571000</v>
      </c>
      <c r="G272" s="50">
        <v>571000</v>
      </c>
      <c r="H272" s="50">
        <v>393580</v>
      </c>
      <c r="I272" s="50">
        <v>137340</v>
      </c>
      <c r="J272" s="50">
        <v>0</v>
      </c>
      <c r="K272" s="50">
        <v>0</v>
      </c>
      <c r="L272" s="51">
        <f t="shared" si="0"/>
        <v>0</v>
      </c>
      <c r="M272" s="50">
        <v>0</v>
      </c>
      <c r="N272" s="51">
        <f t="shared" si="1"/>
        <v>0</v>
      </c>
      <c r="O272" s="50">
        <v>40080</v>
      </c>
      <c r="P272" s="51">
        <f t="shared" si="2"/>
        <v>7.0192644483362515E-2</v>
      </c>
      <c r="Q272" s="50">
        <v>40080</v>
      </c>
      <c r="R272" s="52">
        <f t="shared" si="3"/>
        <v>0</v>
      </c>
    </row>
    <row r="273" spans="1:18" x14ac:dyDescent="0.25">
      <c r="A273" s="49" t="s">
        <v>290</v>
      </c>
      <c r="B273" s="49" t="s">
        <v>230</v>
      </c>
      <c r="C273" s="49" t="s">
        <v>231</v>
      </c>
      <c r="D273" s="49" t="s">
        <v>85</v>
      </c>
      <c r="E273" s="50">
        <v>47031000</v>
      </c>
      <c r="F273" s="50">
        <v>47031000</v>
      </c>
      <c r="G273" s="50">
        <v>47031000</v>
      </c>
      <c r="H273" s="50">
        <v>0</v>
      </c>
      <c r="I273" s="50">
        <v>11889362.18</v>
      </c>
      <c r="J273" s="50">
        <v>0</v>
      </c>
      <c r="K273" s="50">
        <v>32250098.030000001</v>
      </c>
      <c r="L273" s="51">
        <f t="shared" si="0"/>
        <v>0.68572001509642577</v>
      </c>
      <c r="M273" s="50">
        <v>26911492.030000001</v>
      </c>
      <c r="N273" s="51">
        <f t="shared" si="1"/>
        <v>0.57220752333567226</v>
      </c>
      <c r="O273" s="50">
        <v>2891539.79</v>
      </c>
      <c r="P273" s="51">
        <f t="shared" si="2"/>
        <v>6.1481571516659228E-2</v>
      </c>
      <c r="Q273" s="50">
        <v>2891539.79</v>
      </c>
      <c r="R273" s="52">
        <f t="shared" si="3"/>
        <v>0</v>
      </c>
    </row>
    <row r="274" spans="1:18" x14ac:dyDescent="0.25">
      <c r="A274" s="49" t="s">
        <v>290</v>
      </c>
      <c r="B274" s="49" t="s">
        <v>232</v>
      </c>
      <c r="C274" s="49" t="s">
        <v>233</v>
      </c>
      <c r="D274" s="49" t="s">
        <v>85</v>
      </c>
      <c r="E274" s="50">
        <v>25000000</v>
      </c>
      <c r="F274" s="50">
        <v>17047517.809999999</v>
      </c>
      <c r="G274" s="50">
        <v>17047517.809999999</v>
      </c>
      <c r="H274" s="50">
        <v>0</v>
      </c>
      <c r="I274" s="50">
        <v>1534642.4</v>
      </c>
      <c r="J274" s="50">
        <v>0</v>
      </c>
      <c r="K274" s="50">
        <v>13762283.65</v>
      </c>
      <c r="L274" s="51">
        <f t="shared" si="0"/>
        <v>0.80728958921674243</v>
      </c>
      <c r="M274" s="50">
        <v>13762283.65</v>
      </c>
      <c r="N274" s="51">
        <f t="shared" si="1"/>
        <v>0.80728958921674243</v>
      </c>
      <c r="O274" s="50">
        <v>1750591.76</v>
      </c>
      <c r="P274" s="51">
        <f t="shared" si="2"/>
        <v>0.10268895328404412</v>
      </c>
      <c r="Q274" s="50">
        <v>1750591.76</v>
      </c>
      <c r="R274" s="52">
        <f t="shared" si="3"/>
        <v>0</v>
      </c>
    </row>
    <row r="275" spans="1:18" x14ac:dyDescent="0.25">
      <c r="A275" s="49" t="s">
        <v>290</v>
      </c>
      <c r="B275" s="49" t="s">
        <v>324</v>
      </c>
      <c r="C275" s="49" t="s">
        <v>325</v>
      </c>
      <c r="D275" s="49" t="s">
        <v>85</v>
      </c>
      <c r="E275" s="50">
        <v>15000000</v>
      </c>
      <c r="F275" s="50">
        <v>13762284</v>
      </c>
      <c r="G275" s="50">
        <v>13762284</v>
      </c>
      <c r="H275" s="50">
        <v>0</v>
      </c>
      <c r="I275" s="50">
        <v>0</v>
      </c>
      <c r="J275" s="50">
        <v>0</v>
      </c>
      <c r="K275" s="50">
        <v>13762283.65</v>
      </c>
      <c r="L275" s="51">
        <f t="shared" si="0"/>
        <v>0.99999997456817491</v>
      </c>
      <c r="M275" s="50">
        <v>13762283.65</v>
      </c>
      <c r="N275" s="51">
        <f t="shared" si="1"/>
        <v>0.99999997456817491</v>
      </c>
      <c r="O275" s="50">
        <v>0.35</v>
      </c>
      <c r="P275" s="51">
        <f t="shared" si="2"/>
        <v>2.5431825124376157E-8</v>
      </c>
      <c r="Q275" s="50">
        <v>0.35</v>
      </c>
      <c r="R275" s="52">
        <f t="shared" si="3"/>
        <v>0</v>
      </c>
    </row>
    <row r="276" spans="1:18" x14ac:dyDescent="0.25">
      <c r="A276" s="49" t="s">
        <v>290</v>
      </c>
      <c r="B276" s="49" t="s">
        <v>236</v>
      </c>
      <c r="C276" s="49" t="s">
        <v>237</v>
      </c>
      <c r="D276" s="49" t="s">
        <v>85</v>
      </c>
      <c r="E276" s="50">
        <v>0</v>
      </c>
      <c r="F276" s="50">
        <v>0</v>
      </c>
      <c r="G276" s="50">
        <v>0</v>
      </c>
      <c r="H276" s="50">
        <v>0</v>
      </c>
      <c r="I276" s="50">
        <v>0</v>
      </c>
      <c r="J276" s="50">
        <v>0</v>
      </c>
      <c r="K276" s="50">
        <v>0</v>
      </c>
      <c r="L276" s="51" t="e">
        <f t="shared" si="0"/>
        <v>#DIV/0!</v>
      </c>
      <c r="M276" s="50">
        <v>0</v>
      </c>
      <c r="N276" s="51" t="e">
        <f t="shared" si="1"/>
        <v>#DIV/0!</v>
      </c>
      <c r="O276" s="50">
        <v>0</v>
      </c>
      <c r="P276" s="51" t="e">
        <f t="shared" si="2"/>
        <v>#DIV/0!</v>
      </c>
      <c r="Q276" s="50">
        <v>0</v>
      </c>
      <c r="R276" s="52">
        <f t="shared" si="3"/>
        <v>0</v>
      </c>
    </row>
    <row r="277" spans="1:18" x14ac:dyDescent="0.25">
      <c r="A277" s="49" t="s">
        <v>290</v>
      </c>
      <c r="B277" s="49" t="s">
        <v>238</v>
      </c>
      <c r="C277" s="49" t="s">
        <v>239</v>
      </c>
      <c r="D277" s="49" t="s">
        <v>85</v>
      </c>
      <c r="E277" s="50">
        <v>0</v>
      </c>
      <c r="F277" s="50">
        <v>0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1" t="e">
        <f t="shared" si="0"/>
        <v>#DIV/0!</v>
      </c>
      <c r="M277" s="50">
        <v>0</v>
      </c>
      <c r="N277" s="51" t="e">
        <f t="shared" si="1"/>
        <v>#DIV/0!</v>
      </c>
      <c r="O277" s="50">
        <v>0</v>
      </c>
      <c r="P277" s="51" t="e">
        <f t="shared" si="2"/>
        <v>#DIV/0!</v>
      </c>
      <c r="Q277" s="50">
        <v>0</v>
      </c>
      <c r="R277" s="52">
        <f t="shared" si="3"/>
        <v>0</v>
      </c>
    </row>
    <row r="278" spans="1:18" x14ac:dyDescent="0.25">
      <c r="A278" s="49" t="s">
        <v>290</v>
      </c>
      <c r="B278" s="49" t="s">
        <v>282</v>
      </c>
      <c r="C278" s="49" t="s">
        <v>283</v>
      </c>
      <c r="D278" s="49" t="s">
        <v>85</v>
      </c>
      <c r="E278" s="50">
        <v>10000000</v>
      </c>
      <c r="F278" s="50">
        <v>2585233.81</v>
      </c>
      <c r="G278" s="50">
        <v>2585233.81</v>
      </c>
      <c r="H278" s="50">
        <v>0</v>
      </c>
      <c r="I278" s="50">
        <v>852000</v>
      </c>
      <c r="J278" s="50">
        <v>0</v>
      </c>
      <c r="K278" s="50">
        <v>0</v>
      </c>
      <c r="L278" s="51">
        <f t="shared" si="0"/>
        <v>0</v>
      </c>
      <c r="M278" s="50">
        <v>0</v>
      </c>
      <c r="N278" s="51">
        <f t="shared" si="1"/>
        <v>0</v>
      </c>
      <c r="O278" s="50">
        <v>1733233.81</v>
      </c>
      <c r="P278" s="51">
        <f t="shared" si="2"/>
        <v>0.67043599820474264</v>
      </c>
      <c r="Q278" s="50">
        <v>1733233.81</v>
      </c>
      <c r="R278" s="52">
        <f t="shared" si="3"/>
        <v>0</v>
      </c>
    </row>
    <row r="279" spans="1:18" x14ac:dyDescent="0.25">
      <c r="A279" s="49" t="s">
        <v>290</v>
      </c>
      <c r="B279" s="49" t="s">
        <v>326</v>
      </c>
      <c r="C279" s="49" t="s">
        <v>327</v>
      </c>
      <c r="D279" s="49" t="s">
        <v>85</v>
      </c>
      <c r="E279" s="50">
        <v>0</v>
      </c>
      <c r="F279" s="50">
        <v>0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1" t="e">
        <f t="shared" si="0"/>
        <v>#DIV/0!</v>
      </c>
      <c r="M279" s="50">
        <v>0</v>
      </c>
      <c r="N279" s="51" t="e">
        <f t="shared" si="1"/>
        <v>#DIV/0!</v>
      </c>
      <c r="O279" s="50">
        <v>0</v>
      </c>
      <c r="P279" s="51" t="e">
        <f t="shared" si="2"/>
        <v>#DIV/0!</v>
      </c>
      <c r="Q279" s="50">
        <v>0</v>
      </c>
      <c r="R279" s="52">
        <f t="shared" si="3"/>
        <v>0</v>
      </c>
    </row>
    <row r="280" spans="1:18" x14ac:dyDescent="0.25">
      <c r="A280" s="49" t="s">
        <v>290</v>
      </c>
      <c r="B280" s="49" t="s">
        <v>242</v>
      </c>
      <c r="C280" s="49" t="s">
        <v>243</v>
      </c>
      <c r="D280" s="49" t="s">
        <v>85</v>
      </c>
      <c r="E280" s="50">
        <v>0</v>
      </c>
      <c r="F280" s="50">
        <v>700000</v>
      </c>
      <c r="G280" s="50">
        <v>700000</v>
      </c>
      <c r="H280" s="50">
        <v>0</v>
      </c>
      <c r="I280" s="50">
        <v>682642.4</v>
      </c>
      <c r="J280" s="50">
        <v>0</v>
      </c>
      <c r="K280" s="50">
        <v>0</v>
      </c>
      <c r="L280" s="51">
        <f t="shared" si="0"/>
        <v>0</v>
      </c>
      <c r="M280" s="50">
        <v>0</v>
      </c>
      <c r="N280" s="51">
        <f t="shared" si="1"/>
        <v>0</v>
      </c>
      <c r="O280" s="50">
        <v>17357.599999999999</v>
      </c>
      <c r="P280" s="51">
        <f t="shared" si="2"/>
        <v>2.4796571428571425E-2</v>
      </c>
      <c r="Q280" s="50">
        <v>17357.599999999999</v>
      </c>
      <c r="R280" s="52">
        <f t="shared" si="3"/>
        <v>0</v>
      </c>
    </row>
    <row r="281" spans="1:18" x14ac:dyDescent="0.25">
      <c r="A281" s="49" t="s">
        <v>290</v>
      </c>
      <c r="B281" s="49" t="s">
        <v>328</v>
      </c>
      <c r="C281" s="49" t="s">
        <v>329</v>
      </c>
      <c r="D281" s="49" t="s">
        <v>85</v>
      </c>
      <c r="E281" s="50">
        <v>0</v>
      </c>
      <c r="F281" s="50">
        <v>1350982.19</v>
      </c>
      <c r="G281" s="50">
        <v>1350982.19</v>
      </c>
      <c r="H281" s="50">
        <v>0</v>
      </c>
      <c r="I281" s="50">
        <v>0</v>
      </c>
      <c r="J281" s="50">
        <v>0</v>
      </c>
      <c r="K281" s="50">
        <v>1350982.19</v>
      </c>
      <c r="L281" s="51">
        <f t="shared" si="0"/>
        <v>1</v>
      </c>
      <c r="M281" s="50">
        <v>1350982.19</v>
      </c>
      <c r="N281" s="51">
        <f t="shared" si="1"/>
        <v>1</v>
      </c>
      <c r="O281" s="50">
        <v>0</v>
      </c>
      <c r="P281" s="51">
        <f t="shared" si="2"/>
        <v>0</v>
      </c>
      <c r="Q281" s="50">
        <v>0</v>
      </c>
      <c r="R281" s="52">
        <f t="shared" si="3"/>
        <v>0</v>
      </c>
    </row>
    <row r="282" spans="1:18" x14ac:dyDescent="0.25">
      <c r="A282" s="49" t="s">
        <v>290</v>
      </c>
      <c r="B282" s="49" t="s">
        <v>330</v>
      </c>
      <c r="C282" s="49" t="s">
        <v>331</v>
      </c>
      <c r="D282" s="49" t="s">
        <v>85</v>
      </c>
      <c r="E282" s="50">
        <v>0</v>
      </c>
      <c r="F282" s="50">
        <v>1350982.19</v>
      </c>
      <c r="G282" s="50">
        <v>1350982.19</v>
      </c>
      <c r="H282" s="50">
        <v>0</v>
      </c>
      <c r="I282" s="50">
        <v>0</v>
      </c>
      <c r="J282" s="50">
        <v>0</v>
      </c>
      <c r="K282" s="50">
        <v>1350982.19</v>
      </c>
      <c r="L282" s="51">
        <f t="shared" si="0"/>
        <v>1</v>
      </c>
      <c r="M282" s="50">
        <v>1350982.19</v>
      </c>
      <c r="N282" s="51">
        <f t="shared" si="1"/>
        <v>1</v>
      </c>
      <c r="O282" s="50">
        <v>0</v>
      </c>
      <c r="P282" s="51">
        <f t="shared" si="2"/>
        <v>0</v>
      </c>
      <c r="Q282" s="50">
        <v>0</v>
      </c>
      <c r="R282" s="52">
        <f t="shared" si="3"/>
        <v>0</v>
      </c>
    </row>
    <row r="283" spans="1:18" x14ac:dyDescent="0.25">
      <c r="A283" s="49" t="s">
        <v>290</v>
      </c>
      <c r="B283" s="49" t="s">
        <v>244</v>
      </c>
      <c r="C283" s="49" t="s">
        <v>245</v>
      </c>
      <c r="D283" s="49" t="s">
        <v>85</v>
      </c>
      <c r="E283" s="50">
        <v>22031000</v>
      </c>
      <c r="F283" s="50">
        <v>28632500</v>
      </c>
      <c r="G283" s="50">
        <v>28632500</v>
      </c>
      <c r="H283" s="50">
        <v>0</v>
      </c>
      <c r="I283" s="50">
        <v>10354719.779999999</v>
      </c>
      <c r="J283" s="50">
        <v>0</v>
      </c>
      <c r="K283" s="50">
        <v>17136832.190000001</v>
      </c>
      <c r="L283" s="51">
        <f t="shared" si="0"/>
        <v>0.59850981192700603</v>
      </c>
      <c r="M283" s="50">
        <v>11798226.189999999</v>
      </c>
      <c r="N283" s="51">
        <f t="shared" si="1"/>
        <v>0.41205714450362346</v>
      </c>
      <c r="O283" s="50">
        <v>1140948.03</v>
      </c>
      <c r="P283" s="51">
        <f t="shared" si="2"/>
        <v>3.9848005937309E-2</v>
      </c>
      <c r="Q283" s="50">
        <v>1140948.03</v>
      </c>
      <c r="R283" s="52">
        <f t="shared" si="3"/>
        <v>0</v>
      </c>
    </row>
    <row r="284" spans="1:18" x14ac:dyDescent="0.25">
      <c r="A284" s="49" t="s">
        <v>290</v>
      </c>
      <c r="B284" s="49" t="s">
        <v>246</v>
      </c>
      <c r="C284" s="49" t="s">
        <v>247</v>
      </c>
      <c r="D284" s="49" t="s">
        <v>85</v>
      </c>
      <c r="E284" s="50">
        <v>22031000</v>
      </c>
      <c r="F284" s="50">
        <v>28632500</v>
      </c>
      <c r="G284" s="50">
        <v>28632500</v>
      </c>
      <c r="H284" s="50">
        <v>0</v>
      </c>
      <c r="I284" s="50">
        <v>10354719.779999999</v>
      </c>
      <c r="J284" s="50">
        <v>0</v>
      </c>
      <c r="K284" s="50">
        <v>17136832.190000001</v>
      </c>
      <c r="L284" s="51">
        <f t="shared" si="0"/>
        <v>0.59850981192700603</v>
      </c>
      <c r="M284" s="50">
        <v>11798226.189999999</v>
      </c>
      <c r="N284" s="51">
        <f t="shared" si="1"/>
        <v>0.41205714450362346</v>
      </c>
      <c r="O284" s="50">
        <v>1140948.03</v>
      </c>
      <c r="P284" s="51">
        <f t="shared" si="2"/>
        <v>3.9848005937309E-2</v>
      </c>
      <c r="Q284" s="50">
        <v>1140948.03</v>
      </c>
      <c r="R284" s="52">
        <f t="shared" si="3"/>
        <v>0</v>
      </c>
    </row>
    <row r="285" spans="1:18" x14ac:dyDescent="0.25">
      <c r="A285" s="49" t="s">
        <v>290</v>
      </c>
      <c r="B285" s="49" t="s">
        <v>248</v>
      </c>
      <c r="C285" s="49" t="s">
        <v>249</v>
      </c>
      <c r="D285" s="49" t="s">
        <v>69</v>
      </c>
      <c r="E285" s="50">
        <v>298129000</v>
      </c>
      <c r="F285" s="50">
        <v>306729000</v>
      </c>
      <c r="G285" s="50">
        <v>233267776</v>
      </c>
      <c r="H285" s="50">
        <v>0</v>
      </c>
      <c r="I285" s="50">
        <v>26228663.82</v>
      </c>
      <c r="J285" s="50">
        <v>0</v>
      </c>
      <c r="K285" s="50">
        <v>162033688.24000001</v>
      </c>
      <c r="L285" s="51">
        <f t="shared" si="0"/>
        <v>0.52826334725441682</v>
      </c>
      <c r="M285" s="50">
        <v>162033688.24000001</v>
      </c>
      <c r="N285" s="51">
        <f t="shared" si="1"/>
        <v>0.52826334725441682</v>
      </c>
      <c r="O285" s="50">
        <v>118466647.94</v>
      </c>
      <c r="P285" s="51">
        <f t="shared" si="2"/>
        <v>0.38622578217253667</v>
      </c>
      <c r="Q285" s="50">
        <v>45005423.939999998</v>
      </c>
      <c r="R285" s="52">
        <f t="shared" si="3"/>
        <v>-73461224</v>
      </c>
    </row>
    <row r="286" spans="1:18" x14ac:dyDescent="0.25">
      <c r="A286" s="49" t="s">
        <v>290</v>
      </c>
      <c r="B286" s="49" t="s">
        <v>250</v>
      </c>
      <c r="C286" s="49" t="s">
        <v>251</v>
      </c>
      <c r="D286" s="49" t="s">
        <v>69</v>
      </c>
      <c r="E286" s="50">
        <v>115667000</v>
      </c>
      <c r="F286" s="50">
        <v>115667000</v>
      </c>
      <c r="G286" s="50">
        <v>111205776</v>
      </c>
      <c r="H286" s="50">
        <v>0</v>
      </c>
      <c r="I286" s="50">
        <v>26223281.809999999</v>
      </c>
      <c r="J286" s="50">
        <v>0</v>
      </c>
      <c r="K286" s="50">
        <v>84982494.189999998</v>
      </c>
      <c r="L286" s="51">
        <f t="shared" si="0"/>
        <v>0.73471685260273023</v>
      </c>
      <c r="M286" s="50">
        <v>84982494.189999998</v>
      </c>
      <c r="N286" s="51">
        <f t="shared" si="1"/>
        <v>0.73471685260273023</v>
      </c>
      <c r="O286" s="50">
        <v>4461224</v>
      </c>
      <c r="P286" s="51">
        <f t="shared" si="2"/>
        <v>3.8569548790925674E-2</v>
      </c>
      <c r="Q286" s="50">
        <v>0</v>
      </c>
      <c r="R286" s="52">
        <f t="shared" si="3"/>
        <v>-4461224</v>
      </c>
    </row>
    <row r="287" spans="1:18" x14ac:dyDescent="0.25">
      <c r="A287" s="49" t="s">
        <v>290</v>
      </c>
      <c r="B287" s="49" t="s">
        <v>332</v>
      </c>
      <c r="C287" s="49" t="s">
        <v>257</v>
      </c>
      <c r="D287" s="49" t="s">
        <v>69</v>
      </c>
      <c r="E287" s="50">
        <v>96260000</v>
      </c>
      <c r="F287" s="50">
        <v>96260000</v>
      </c>
      <c r="G287" s="50">
        <v>92547304</v>
      </c>
      <c r="H287" s="50">
        <v>0</v>
      </c>
      <c r="I287" s="50">
        <v>21823617.579999998</v>
      </c>
      <c r="J287" s="50">
        <v>0</v>
      </c>
      <c r="K287" s="50">
        <v>70723686.420000002</v>
      </c>
      <c r="L287" s="51">
        <f t="shared" si="0"/>
        <v>0.73471521317265742</v>
      </c>
      <c r="M287" s="50">
        <v>70723686.420000002</v>
      </c>
      <c r="N287" s="51">
        <f t="shared" si="1"/>
        <v>0.73471521317265742</v>
      </c>
      <c r="O287" s="50">
        <v>3712696</v>
      </c>
      <c r="P287" s="51">
        <f t="shared" si="2"/>
        <v>3.8569457718678576E-2</v>
      </c>
      <c r="Q287" s="50">
        <v>0</v>
      </c>
      <c r="R287" s="52">
        <f t="shared" si="3"/>
        <v>-3712696</v>
      </c>
    </row>
    <row r="288" spans="1:18" x14ac:dyDescent="0.25">
      <c r="A288" s="49" t="s">
        <v>290</v>
      </c>
      <c r="B288" s="49" t="s">
        <v>333</v>
      </c>
      <c r="C288" s="49" t="s">
        <v>259</v>
      </c>
      <c r="D288" s="49" t="s">
        <v>69</v>
      </c>
      <c r="E288" s="50">
        <v>19407000</v>
      </c>
      <c r="F288" s="50">
        <v>19407000</v>
      </c>
      <c r="G288" s="50">
        <v>18658472</v>
      </c>
      <c r="H288" s="50">
        <v>0</v>
      </c>
      <c r="I288" s="50">
        <v>4399664.2300000004</v>
      </c>
      <c r="J288" s="50">
        <v>0</v>
      </c>
      <c r="K288" s="50">
        <v>14258807.77</v>
      </c>
      <c r="L288" s="51">
        <f t="shared" si="0"/>
        <v>0.73472498428402122</v>
      </c>
      <c r="M288" s="50">
        <v>14258807.77</v>
      </c>
      <c r="N288" s="51">
        <f t="shared" si="1"/>
        <v>0.73472498428402122</v>
      </c>
      <c r="O288" s="50">
        <v>748528</v>
      </c>
      <c r="P288" s="51">
        <f t="shared" si="2"/>
        <v>3.8570000515277994E-2</v>
      </c>
      <c r="Q288" s="50">
        <v>0</v>
      </c>
      <c r="R288" s="52">
        <f t="shared" si="3"/>
        <v>-748528</v>
      </c>
    </row>
    <row r="289" spans="1:18" x14ac:dyDescent="0.25">
      <c r="A289" s="49" t="s">
        <v>290</v>
      </c>
      <c r="B289" s="49" t="s">
        <v>260</v>
      </c>
      <c r="C289" s="49" t="s">
        <v>261</v>
      </c>
      <c r="D289" s="49" t="s">
        <v>69</v>
      </c>
      <c r="E289" s="50">
        <v>179462000</v>
      </c>
      <c r="F289" s="50">
        <v>179462000</v>
      </c>
      <c r="G289" s="50">
        <v>110462000</v>
      </c>
      <c r="H289" s="50">
        <v>0</v>
      </c>
      <c r="I289" s="50">
        <v>5382.01</v>
      </c>
      <c r="J289" s="50">
        <v>0</v>
      </c>
      <c r="K289" s="50">
        <v>65661730.789999999</v>
      </c>
      <c r="L289" s="51">
        <f t="shared" si="0"/>
        <v>0.36588097084619586</v>
      </c>
      <c r="M289" s="50">
        <v>65661730.789999999</v>
      </c>
      <c r="N289" s="51">
        <f t="shared" si="1"/>
        <v>0.36588097084619586</v>
      </c>
      <c r="O289" s="50">
        <v>113794887.2</v>
      </c>
      <c r="P289" s="51">
        <f t="shared" si="2"/>
        <v>0.63408903946239314</v>
      </c>
      <c r="Q289" s="50">
        <v>44794887.200000003</v>
      </c>
      <c r="R289" s="52">
        <f t="shared" si="3"/>
        <v>-69000000</v>
      </c>
    </row>
    <row r="290" spans="1:18" x14ac:dyDescent="0.25">
      <c r="A290" s="49" t="s">
        <v>290</v>
      </c>
      <c r="B290" s="49" t="s">
        <v>262</v>
      </c>
      <c r="C290" s="49" t="s">
        <v>263</v>
      </c>
      <c r="D290" s="49" t="s">
        <v>69</v>
      </c>
      <c r="E290" s="50">
        <v>150000000</v>
      </c>
      <c r="F290" s="50">
        <v>150000000</v>
      </c>
      <c r="G290" s="50">
        <v>81000000</v>
      </c>
      <c r="H290" s="50">
        <v>0</v>
      </c>
      <c r="I290" s="50">
        <v>5382.01</v>
      </c>
      <c r="J290" s="50">
        <v>0</v>
      </c>
      <c r="K290" s="50">
        <v>40642849.789999999</v>
      </c>
      <c r="L290" s="51">
        <f t="shared" si="0"/>
        <v>0.27095233193333335</v>
      </c>
      <c r="M290" s="50">
        <v>40642849.789999999</v>
      </c>
      <c r="N290" s="51">
        <f t="shared" si="1"/>
        <v>0.27095233193333335</v>
      </c>
      <c r="O290" s="50">
        <v>109351768.2</v>
      </c>
      <c r="P290" s="51">
        <f t="shared" si="2"/>
        <v>0.72901178799999999</v>
      </c>
      <c r="Q290" s="50">
        <v>40351768.200000003</v>
      </c>
      <c r="R290" s="52">
        <f t="shared" si="3"/>
        <v>-69000000</v>
      </c>
    </row>
    <row r="291" spans="1:18" x14ac:dyDescent="0.25">
      <c r="A291" s="49" t="s">
        <v>290</v>
      </c>
      <c r="B291" s="49" t="s">
        <v>264</v>
      </c>
      <c r="C291" s="49" t="s">
        <v>265</v>
      </c>
      <c r="D291" s="49" t="s">
        <v>69</v>
      </c>
      <c r="E291" s="50">
        <v>29462000</v>
      </c>
      <c r="F291" s="50">
        <v>29462000</v>
      </c>
      <c r="G291" s="50">
        <v>29462000</v>
      </c>
      <c r="H291" s="50">
        <v>0</v>
      </c>
      <c r="I291" s="50">
        <v>0</v>
      </c>
      <c r="J291" s="50">
        <v>0</v>
      </c>
      <c r="K291" s="50">
        <v>25018881</v>
      </c>
      <c r="L291" s="51">
        <f t="shared" si="0"/>
        <v>0.84919153485846177</v>
      </c>
      <c r="M291" s="50">
        <v>25018881</v>
      </c>
      <c r="N291" s="51">
        <f t="shared" si="1"/>
        <v>0.84919153485846177</v>
      </c>
      <c r="O291" s="50">
        <v>4443119</v>
      </c>
      <c r="P291" s="51">
        <f t="shared" si="2"/>
        <v>0.15080846514153826</v>
      </c>
      <c r="Q291" s="50">
        <v>4443119</v>
      </c>
      <c r="R291" s="52">
        <f t="shared" si="3"/>
        <v>0</v>
      </c>
    </row>
    <row r="292" spans="1:18" x14ac:dyDescent="0.25">
      <c r="A292" s="49" t="s">
        <v>290</v>
      </c>
      <c r="B292" s="49" t="s">
        <v>286</v>
      </c>
      <c r="C292" s="49" t="s">
        <v>287</v>
      </c>
      <c r="D292" s="49" t="s">
        <v>69</v>
      </c>
      <c r="E292" s="50">
        <v>3000000</v>
      </c>
      <c r="F292" s="50">
        <v>11600000</v>
      </c>
      <c r="G292" s="50">
        <v>11600000</v>
      </c>
      <c r="H292" s="50">
        <v>0</v>
      </c>
      <c r="I292" s="50">
        <v>0</v>
      </c>
      <c r="J292" s="50">
        <v>0</v>
      </c>
      <c r="K292" s="50">
        <v>11389463.26</v>
      </c>
      <c r="L292" s="51">
        <f t="shared" si="0"/>
        <v>0.98185028103448269</v>
      </c>
      <c r="M292" s="50">
        <v>11389463.26</v>
      </c>
      <c r="N292" s="51">
        <f t="shared" si="1"/>
        <v>0.98185028103448269</v>
      </c>
      <c r="O292" s="50">
        <v>210536.74</v>
      </c>
      <c r="P292" s="51">
        <f t="shared" si="2"/>
        <v>1.8149718965517241E-2</v>
      </c>
      <c r="Q292" s="50">
        <v>210536.74</v>
      </c>
      <c r="R292" s="52">
        <f t="shared" si="3"/>
        <v>0</v>
      </c>
    </row>
    <row r="293" spans="1:18" x14ac:dyDescent="0.25">
      <c r="A293" s="49" t="s">
        <v>290</v>
      </c>
      <c r="B293" s="49" t="s">
        <v>288</v>
      </c>
      <c r="C293" s="49" t="s">
        <v>289</v>
      </c>
      <c r="D293" s="49" t="s">
        <v>69</v>
      </c>
      <c r="E293" s="50">
        <v>3000000</v>
      </c>
      <c r="F293" s="50">
        <v>11600000</v>
      </c>
      <c r="G293" s="50">
        <v>11600000</v>
      </c>
      <c r="H293" s="50">
        <v>0</v>
      </c>
      <c r="I293" s="50">
        <v>0</v>
      </c>
      <c r="J293" s="50">
        <v>0</v>
      </c>
      <c r="K293" s="50">
        <v>11389463.26</v>
      </c>
      <c r="L293" s="51">
        <f t="shared" si="0"/>
        <v>0.98185028103448269</v>
      </c>
      <c r="M293" s="50">
        <v>11389463.26</v>
      </c>
      <c r="N293" s="51">
        <f t="shared" si="1"/>
        <v>0.98185028103448269</v>
      </c>
      <c r="O293" s="50">
        <v>210536.74</v>
      </c>
      <c r="P293" s="51">
        <f t="shared" si="2"/>
        <v>1.8149718965517241E-2</v>
      </c>
      <c r="Q293" s="50">
        <v>210536.74</v>
      </c>
      <c r="R293" s="52">
        <f t="shared" si="3"/>
        <v>0</v>
      </c>
    </row>
    <row r="294" spans="1:18" x14ac:dyDescent="0.25">
      <c r="A294" s="49" t="s">
        <v>334</v>
      </c>
      <c r="B294" s="49"/>
      <c r="C294" s="49"/>
      <c r="D294" s="49" t="s">
        <v>69</v>
      </c>
      <c r="E294" s="50">
        <v>106163237755</v>
      </c>
      <c r="F294" s="50">
        <v>112403282287</v>
      </c>
      <c r="G294" s="50">
        <v>110156326529</v>
      </c>
      <c r="H294" s="50">
        <v>251701178.69999999</v>
      </c>
      <c r="I294" s="50">
        <v>7935029482.4799995</v>
      </c>
      <c r="J294" s="50">
        <v>239157703.74000001</v>
      </c>
      <c r="K294" s="50">
        <v>81905149706.940002</v>
      </c>
      <c r="L294" s="51">
        <f t="shared" si="0"/>
        <v>0.72867222415988775</v>
      </c>
      <c r="M294" s="50">
        <v>80957892085.039993</v>
      </c>
      <c r="N294" s="51">
        <f t="shared" si="1"/>
        <v>0.72024491133924096</v>
      </c>
      <c r="O294" s="50">
        <v>22072244215.139999</v>
      </c>
      <c r="P294" s="51">
        <f t="shared" si="2"/>
        <v>0.19636654522937153</v>
      </c>
      <c r="Q294" s="50">
        <v>19825288457.139999</v>
      </c>
      <c r="R294" s="52">
        <f t="shared" si="3"/>
        <v>-2246955758</v>
      </c>
    </row>
    <row r="295" spans="1:18" x14ac:dyDescent="0.25">
      <c r="A295" s="49" t="s">
        <v>334</v>
      </c>
      <c r="B295" s="49" t="s">
        <v>71</v>
      </c>
      <c r="C295" s="49" t="s">
        <v>72</v>
      </c>
      <c r="D295" s="49" t="s">
        <v>69</v>
      </c>
      <c r="E295" s="50">
        <v>69224041000</v>
      </c>
      <c r="F295" s="50">
        <v>69224041000</v>
      </c>
      <c r="G295" s="50">
        <v>68279133897</v>
      </c>
      <c r="H295" s="50">
        <v>0</v>
      </c>
      <c r="I295" s="50">
        <v>2031429423</v>
      </c>
      <c r="J295" s="50">
        <v>0</v>
      </c>
      <c r="K295" s="50">
        <v>51942719091.099998</v>
      </c>
      <c r="L295" s="51">
        <f t="shared" si="0"/>
        <v>0.75035664403209279</v>
      </c>
      <c r="M295" s="50">
        <v>51942719091.099998</v>
      </c>
      <c r="N295" s="51">
        <f t="shared" si="1"/>
        <v>0.75035664403209279</v>
      </c>
      <c r="O295" s="50">
        <v>15249892485.9</v>
      </c>
      <c r="P295" s="51">
        <f t="shared" si="2"/>
        <v>0.2202976345443341</v>
      </c>
      <c r="Q295" s="50">
        <v>14304985382.9</v>
      </c>
      <c r="R295" s="52">
        <f t="shared" si="3"/>
        <v>-944907103</v>
      </c>
    </row>
    <row r="296" spans="1:18" x14ac:dyDescent="0.25">
      <c r="A296" s="49" t="s">
        <v>334</v>
      </c>
      <c r="B296" s="49" t="s">
        <v>73</v>
      </c>
      <c r="C296" s="49" t="s">
        <v>74</v>
      </c>
      <c r="D296" s="49" t="s">
        <v>69</v>
      </c>
      <c r="E296" s="50">
        <v>25618223000</v>
      </c>
      <c r="F296" s="50">
        <v>25618223000</v>
      </c>
      <c r="G296" s="50">
        <v>25122559678</v>
      </c>
      <c r="H296" s="50">
        <v>0</v>
      </c>
      <c r="I296" s="50">
        <v>0</v>
      </c>
      <c r="J296" s="50">
        <v>0</v>
      </c>
      <c r="K296" s="50">
        <v>19849877738.150002</v>
      </c>
      <c r="L296" s="51">
        <f t="shared" si="0"/>
        <v>0.77483429425022965</v>
      </c>
      <c r="M296" s="50">
        <v>19849877738.150002</v>
      </c>
      <c r="N296" s="51">
        <f t="shared" si="1"/>
        <v>0.77483429425022965</v>
      </c>
      <c r="O296" s="50">
        <v>5768345261.8500004</v>
      </c>
      <c r="P296" s="51">
        <f t="shared" si="2"/>
        <v>0.22516570574977041</v>
      </c>
      <c r="Q296" s="50">
        <v>5272681939.8500004</v>
      </c>
      <c r="R296" s="52">
        <f t="shared" si="3"/>
        <v>-495663322</v>
      </c>
    </row>
    <row r="297" spans="1:18" x14ac:dyDescent="0.25">
      <c r="A297" s="49" t="s">
        <v>334</v>
      </c>
      <c r="B297" s="49" t="s">
        <v>75</v>
      </c>
      <c r="C297" s="49" t="s">
        <v>76</v>
      </c>
      <c r="D297" s="49" t="s">
        <v>69</v>
      </c>
      <c r="E297" s="50">
        <v>25601107000</v>
      </c>
      <c r="F297" s="50">
        <v>25601107000</v>
      </c>
      <c r="G297" s="50">
        <v>25105443678</v>
      </c>
      <c r="H297" s="50">
        <v>0</v>
      </c>
      <c r="I297" s="50">
        <v>0</v>
      </c>
      <c r="J297" s="50">
        <v>0</v>
      </c>
      <c r="K297" s="50">
        <v>19834605938.150002</v>
      </c>
      <c r="L297" s="51">
        <f t="shared" si="0"/>
        <v>0.77475579232374603</v>
      </c>
      <c r="M297" s="50">
        <v>19834605938.150002</v>
      </c>
      <c r="N297" s="51">
        <f t="shared" si="1"/>
        <v>0.77475579232374603</v>
      </c>
      <c r="O297" s="50">
        <v>5766501061.8500004</v>
      </c>
      <c r="P297" s="51">
        <f t="shared" si="2"/>
        <v>0.22524420767625403</v>
      </c>
      <c r="Q297" s="50">
        <v>5270837739.8500004</v>
      </c>
      <c r="R297" s="52">
        <f t="shared" si="3"/>
        <v>-495663322</v>
      </c>
    </row>
    <row r="298" spans="1:18" x14ac:dyDescent="0.25">
      <c r="A298" s="49" t="s">
        <v>334</v>
      </c>
      <c r="B298" s="49" t="s">
        <v>335</v>
      </c>
      <c r="C298" s="49" t="s">
        <v>336</v>
      </c>
      <c r="D298" s="49" t="s">
        <v>69</v>
      </c>
      <c r="E298" s="50">
        <v>17116000</v>
      </c>
      <c r="F298" s="50">
        <v>17116000</v>
      </c>
      <c r="G298" s="50">
        <v>17116000</v>
      </c>
      <c r="H298" s="50">
        <v>0</v>
      </c>
      <c r="I298" s="50">
        <v>0</v>
      </c>
      <c r="J298" s="50">
        <v>0</v>
      </c>
      <c r="K298" s="50">
        <v>15271800</v>
      </c>
      <c r="L298" s="51">
        <f t="shared" si="0"/>
        <v>0.89225286281841554</v>
      </c>
      <c r="M298" s="50">
        <v>15271800</v>
      </c>
      <c r="N298" s="51">
        <f t="shared" si="1"/>
        <v>0.89225286281841554</v>
      </c>
      <c r="O298" s="50">
        <v>1844200</v>
      </c>
      <c r="P298" s="51">
        <f t="shared" si="2"/>
        <v>0.10774713718158448</v>
      </c>
      <c r="Q298" s="50">
        <v>1844200</v>
      </c>
      <c r="R298" s="52">
        <f t="shared" si="3"/>
        <v>0</v>
      </c>
    </row>
    <row r="299" spans="1:18" x14ac:dyDescent="0.25">
      <c r="A299" s="49" t="s">
        <v>334</v>
      </c>
      <c r="B299" s="49" t="s">
        <v>293</v>
      </c>
      <c r="C299" s="49" t="s">
        <v>294</v>
      </c>
      <c r="D299" s="49" t="s">
        <v>69</v>
      </c>
      <c r="E299" s="50">
        <v>3406791000</v>
      </c>
      <c r="F299" s="50">
        <v>3606791000</v>
      </c>
      <c r="G299" s="50">
        <v>3596791000</v>
      </c>
      <c r="H299" s="50">
        <v>0</v>
      </c>
      <c r="I299" s="50">
        <v>0</v>
      </c>
      <c r="J299" s="50">
        <v>0</v>
      </c>
      <c r="K299" s="50">
        <v>3010467086.4400001</v>
      </c>
      <c r="L299" s="51">
        <f t="shared" si="0"/>
        <v>0.8346663520120795</v>
      </c>
      <c r="M299" s="50">
        <v>3010467086.4400001</v>
      </c>
      <c r="N299" s="51">
        <f t="shared" si="1"/>
        <v>0.8346663520120795</v>
      </c>
      <c r="O299" s="50">
        <v>596323913.55999994</v>
      </c>
      <c r="P299" s="51">
        <f t="shared" si="2"/>
        <v>0.16533364798792055</v>
      </c>
      <c r="Q299" s="50">
        <v>586323913.55999994</v>
      </c>
      <c r="R299" s="52">
        <f t="shared" si="3"/>
        <v>-10000000</v>
      </c>
    </row>
    <row r="300" spans="1:18" x14ac:dyDescent="0.25">
      <c r="A300" s="49" t="s">
        <v>334</v>
      </c>
      <c r="B300" s="49" t="s">
        <v>295</v>
      </c>
      <c r="C300" s="49" t="s">
        <v>296</v>
      </c>
      <c r="D300" s="49" t="s">
        <v>69</v>
      </c>
      <c r="E300" s="50">
        <v>8000000</v>
      </c>
      <c r="F300" s="50">
        <v>8000000</v>
      </c>
      <c r="G300" s="50">
        <v>8000000</v>
      </c>
      <c r="H300" s="50">
        <v>0</v>
      </c>
      <c r="I300" s="50">
        <v>0</v>
      </c>
      <c r="J300" s="50">
        <v>0</v>
      </c>
      <c r="K300" s="50">
        <v>5265476.8</v>
      </c>
      <c r="L300" s="51">
        <f t="shared" si="0"/>
        <v>0.65818460000000001</v>
      </c>
      <c r="M300" s="50">
        <v>5265476.8</v>
      </c>
      <c r="N300" s="51">
        <f t="shared" si="1"/>
        <v>0.65818460000000001</v>
      </c>
      <c r="O300" s="50">
        <v>2734523.2</v>
      </c>
      <c r="P300" s="51">
        <f t="shared" si="2"/>
        <v>0.34181540000000005</v>
      </c>
      <c r="Q300" s="50">
        <v>2734523.2</v>
      </c>
      <c r="R300" s="52">
        <f t="shared" si="3"/>
        <v>0</v>
      </c>
    </row>
    <row r="301" spans="1:18" x14ac:dyDescent="0.25">
      <c r="A301" s="49" t="s">
        <v>334</v>
      </c>
      <c r="B301" s="49" t="s">
        <v>337</v>
      </c>
      <c r="C301" s="49" t="s">
        <v>338</v>
      </c>
      <c r="D301" s="49" t="s">
        <v>69</v>
      </c>
      <c r="E301" s="50">
        <v>24994000</v>
      </c>
      <c r="F301" s="50">
        <v>24994000</v>
      </c>
      <c r="G301" s="50">
        <v>14994000</v>
      </c>
      <c r="H301" s="50">
        <v>0</v>
      </c>
      <c r="I301" s="50">
        <v>0</v>
      </c>
      <c r="J301" s="50">
        <v>0</v>
      </c>
      <c r="K301" s="50">
        <v>5171509</v>
      </c>
      <c r="L301" s="51">
        <f t="shared" si="0"/>
        <v>0.20691001840441706</v>
      </c>
      <c r="M301" s="50">
        <v>5171509</v>
      </c>
      <c r="N301" s="51">
        <f t="shared" si="1"/>
        <v>0.20691001840441706</v>
      </c>
      <c r="O301" s="50">
        <v>19822491</v>
      </c>
      <c r="P301" s="51">
        <f t="shared" si="2"/>
        <v>0.79308998159558297</v>
      </c>
      <c r="Q301" s="50">
        <v>9822491</v>
      </c>
      <c r="R301" s="52">
        <f t="shared" si="3"/>
        <v>-10000000</v>
      </c>
    </row>
    <row r="302" spans="1:18" x14ac:dyDescent="0.25">
      <c r="A302" s="49" t="s">
        <v>334</v>
      </c>
      <c r="B302" s="49" t="s">
        <v>339</v>
      </c>
      <c r="C302" s="49" t="s">
        <v>340</v>
      </c>
      <c r="D302" s="49" t="s">
        <v>69</v>
      </c>
      <c r="E302" s="50">
        <v>3373797000</v>
      </c>
      <c r="F302" s="50">
        <v>3573797000</v>
      </c>
      <c r="G302" s="50">
        <v>3573797000</v>
      </c>
      <c r="H302" s="50">
        <v>0</v>
      </c>
      <c r="I302" s="50">
        <v>0</v>
      </c>
      <c r="J302" s="50">
        <v>0</v>
      </c>
      <c r="K302" s="50">
        <v>3000030100.6399999</v>
      </c>
      <c r="L302" s="51">
        <f t="shared" si="0"/>
        <v>0.83945173736504897</v>
      </c>
      <c r="M302" s="50">
        <v>3000030100.6399999</v>
      </c>
      <c r="N302" s="51">
        <f t="shared" si="1"/>
        <v>0.83945173736504897</v>
      </c>
      <c r="O302" s="50">
        <v>573766899.36000001</v>
      </c>
      <c r="P302" s="51">
        <f t="shared" si="2"/>
        <v>0.16054826263495101</v>
      </c>
      <c r="Q302" s="50">
        <v>573766899.36000001</v>
      </c>
      <c r="R302" s="52">
        <f t="shared" si="3"/>
        <v>0</v>
      </c>
    </row>
    <row r="303" spans="1:18" x14ac:dyDescent="0.25">
      <c r="A303" s="49" t="s">
        <v>334</v>
      </c>
      <c r="B303" s="49" t="s">
        <v>77</v>
      </c>
      <c r="C303" s="49" t="s">
        <v>78</v>
      </c>
      <c r="D303" s="49" t="s">
        <v>69</v>
      </c>
      <c r="E303" s="50">
        <v>29694590000</v>
      </c>
      <c r="F303" s="50">
        <v>29494590000</v>
      </c>
      <c r="G303" s="50">
        <v>29144590000</v>
      </c>
      <c r="H303" s="50">
        <v>0</v>
      </c>
      <c r="I303" s="50">
        <v>0</v>
      </c>
      <c r="J303" s="50">
        <v>0</v>
      </c>
      <c r="K303" s="50">
        <v>20698610470.509998</v>
      </c>
      <c r="L303" s="51">
        <f t="shared" si="0"/>
        <v>0.7017765112351112</v>
      </c>
      <c r="M303" s="50">
        <v>20698610470.509998</v>
      </c>
      <c r="N303" s="51">
        <f t="shared" si="1"/>
        <v>0.7017765112351112</v>
      </c>
      <c r="O303" s="50">
        <v>8795979529.4899998</v>
      </c>
      <c r="P303" s="51">
        <f t="shared" si="2"/>
        <v>0.29822348876488874</v>
      </c>
      <c r="Q303" s="50">
        <v>8445979529.4899998</v>
      </c>
      <c r="R303" s="52">
        <f t="shared" si="3"/>
        <v>-350000000</v>
      </c>
    </row>
    <row r="304" spans="1:18" x14ac:dyDescent="0.25">
      <c r="A304" s="49" t="s">
        <v>334</v>
      </c>
      <c r="B304" s="49" t="s">
        <v>79</v>
      </c>
      <c r="C304" s="49" t="s">
        <v>80</v>
      </c>
      <c r="D304" s="49" t="s">
        <v>69</v>
      </c>
      <c r="E304" s="50">
        <v>9856906000</v>
      </c>
      <c r="F304" s="50">
        <v>9656906000</v>
      </c>
      <c r="G304" s="50">
        <v>9586906000</v>
      </c>
      <c r="H304" s="50">
        <v>0</v>
      </c>
      <c r="I304" s="50">
        <v>0</v>
      </c>
      <c r="J304" s="50">
        <v>0</v>
      </c>
      <c r="K304" s="50">
        <v>7831425646.8900003</v>
      </c>
      <c r="L304" s="51">
        <f t="shared" si="0"/>
        <v>0.81096633299423238</v>
      </c>
      <c r="M304" s="50">
        <v>7831425646.8900003</v>
      </c>
      <c r="N304" s="51">
        <f t="shared" si="1"/>
        <v>0.81096633299423238</v>
      </c>
      <c r="O304" s="50">
        <v>1825480353.1099999</v>
      </c>
      <c r="P304" s="51">
        <f t="shared" si="2"/>
        <v>0.18903366700576768</v>
      </c>
      <c r="Q304" s="50">
        <v>1755480353.1099999</v>
      </c>
      <c r="R304" s="52">
        <f t="shared" si="3"/>
        <v>-70000000</v>
      </c>
    </row>
    <row r="305" spans="1:18" x14ac:dyDescent="0.25">
      <c r="A305" s="49" t="s">
        <v>334</v>
      </c>
      <c r="B305" s="49" t="s">
        <v>81</v>
      </c>
      <c r="C305" s="49" t="s">
        <v>82</v>
      </c>
      <c r="D305" s="49" t="s">
        <v>69</v>
      </c>
      <c r="E305" s="50">
        <v>3637068000</v>
      </c>
      <c r="F305" s="50">
        <v>3637068000</v>
      </c>
      <c r="G305" s="50">
        <v>3367068000</v>
      </c>
      <c r="H305" s="50">
        <v>0</v>
      </c>
      <c r="I305" s="50">
        <v>0</v>
      </c>
      <c r="J305" s="50">
        <v>0</v>
      </c>
      <c r="K305" s="50">
        <v>2712089088.3899999</v>
      </c>
      <c r="L305" s="51">
        <f t="shared" si="0"/>
        <v>0.74568006107941887</v>
      </c>
      <c r="M305" s="50">
        <v>2712089088.3899999</v>
      </c>
      <c r="N305" s="51">
        <f t="shared" si="1"/>
        <v>0.74568006107941887</v>
      </c>
      <c r="O305" s="50">
        <v>924978911.61000001</v>
      </c>
      <c r="P305" s="51">
        <f t="shared" si="2"/>
        <v>0.25431993892058108</v>
      </c>
      <c r="Q305" s="50">
        <v>654978911.61000001</v>
      </c>
      <c r="R305" s="52">
        <f t="shared" si="3"/>
        <v>-270000000</v>
      </c>
    </row>
    <row r="306" spans="1:18" x14ac:dyDescent="0.25">
      <c r="A306" s="49" t="s">
        <v>334</v>
      </c>
      <c r="B306" s="49" t="s">
        <v>83</v>
      </c>
      <c r="C306" s="49" t="s">
        <v>84</v>
      </c>
      <c r="D306" s="49" t="s">
        <v>85</v>
      </c>
      <c r="E306" s="50">
        <v>4378933000</v>
      </c>
      <c r="F306" s="50">
        <v>4378933000</v>
      </c>
      <c r="G306" s="50">
        <v>4378933000</v>
      </c>
      <c r="H306" s="50">
        <v>0</v>
      </c>
      <c r="I306" s="50">
        <v>0</v>
      </c>
      <c r="J306" s="50">
        <v>0</v>
      </c>
      <c r="K306" s="50">
        <v>5911172.0099999998</v>
      </c>
      <c r="L306" s="51">
        <f t="shared" si="0"/>
        <v>1.3499114989884522E-3</v>
      </c>
      <c r="M306" s="50">
        <v>5911172.0099999998</v>
      </c>
      <c r="N306" s="51">
        <f t="shared" si="1"/>
        <v>1.3499114989884522E-3</v>
      </c>
      <c r="O306" s="50">
        <v>4373021827.9899998</v>
      </c>
      <c r="P306" s="51">
        <f t="shared" si="2"/>
        <v>0.99865008850101145</v>
      </c>
      <c r="Q306" s="50">
        <v>4373021827.9899998</v>
      </c>
      <c r="R306" s="52">
        <f t="shared" si="3"/>
        <v>0</v>
      </c>
    </row>
    <row r="307" spans="1:18" x14ac:dyDescent="0.25">
      <c r="A307" s="49" t="s">
        <v>334</v>
      </c>
      <c r="B307" s="49" t="s">
        <v>86</v>
      </c>
      <c r="C307" s="49" t="s">
        <v>87</v>
      </c>
      <c r="D307" s="49" t="s">
        <v>69</v>
      </c>
      <c r="E307" s="50">
        <v>3859929000</v>
      </c>
      <c r="F307" s="50">
        <v>3859929000</v>
      </c>
      <c r="G307" s="50">
        <v>3849929000</v>
      </c>
      <c r="H307" s="50">
        <v>0</v>
      </c>
      <c r="I307" s="50">
        <v>0</v>
      </c>
      <c r="J307" s="50">
        <v>0</v>
      </c>
      <c r="K307" s="50">
        <v>3841036300.0700002</v>
      </c>
      <c r="L307" s="51">
        <f t="shared" si="0"/>
        <v>0.99510542812315983</v>
      </c>
      <c r="M307" s="50">
        <v>3841036300.0700002</v>
      </c>
      <c r="N307" s="51">
        <f t="shared" si="1"/>
        <v>0.99510542812315983</v>
      </c>
      <c r="O307" s="50">
        <v>18892699.93</v>
      </c>
      <c r="P307" s="51">
        <f t="shared" si="2"/>
        <v>4.8945718768402214E-3</v>
      </c>
      <c r="Q307" s="50">
        <v>8892699.9299999997</v>
      </c>
      <c r="R307" s="52">
        <f t="shared" si="3"/>
        <v>-10000000</v>
      </c>
    </row>
    <row r="308" spans="1:18" x14ac:dyDescent="0.25">
      <c r="A308" s="49" t="s">
        <v>334</v>
      </c>
      <c r="B308" s="49" t="s">
        <v>88</v>
      </c>
      <c r="C308" s="49" t="s">
        <v>89</v>
      </c>
      <c r="D308" s="49" t="s">
        <v>69</v>
      </c>
      <c r="E308" s="50">
        <v>7961754000</v>
      </c>
      <c r="F308" s="50">
        <v>7961754000</v>
      </c>
      <c r="G308" s="50">
        <v>7961754000</v>
      </c>
      <c r="H308" s="50">
        <v>0</v>
      </c>
      <c r="I308" s="50">
        <v>0</v>
      </c>
      <c r="J308" s="50">
        <v>0</v>
      </c>
      <c r="K308" s="50">
        <v>6308148263.1499996</v>
      </c>
      <c r="L308" s="51">
        <f t="shared" si="0"/>
        <v>0.79230635148360518</v>
      </c>
      <c r="M308" s="50">
        <v>6308148263.1499996</v>
      </c>
      <c r="N308" s="51">
        <f t="shared" si="1"/>
        <v>0.79230635148360518</v>
      </c>
      <c r="O308" s="50">
        <v>1653605736.8499999</v>
      </c>
      <c r="P308" s="51">
        <f t="shared" si="2"/>
        <v>0.20769364851639474</v>
      </c>
      <c r="Q308" s="50">
        <v>1653605736.8499999</v>
      </c>
      <c r="R308" s="52">
        <f t="shared" si="3"/>
        <v>0</v>
      </c>
    </row>
    <row r="309" spans="1:18" x14ac:dyDescent="0.25">
      <c r="A309" s="49" t="s">
        <v>334</v>
      </c>
      <c r="B309" s="49" t="s">
        <v>90</v>
      </c>
      <c r="C309" s="49" t="s">
        <v>91</v>
      </c>
      <c r="D309" s="49" t="s">
        <v>69</v>
      </c>
      <c r="E309" s="50">
        <v>5298410000</v>
      </c>
      <c r="F309" s="50">
        <v>5298410000</v>
      </c>
      <c r="G309" s="50">
        <v>5239621844</v>
      </c>
      <c r="H309" s="50">
        <v>0</v>
      </c>
      <c r="I309" s="50">
        <v>1010625223</v>
      </c>
      <c r="J309" s="50">
        <v>0</v>
      </c>
      <c r="K309" s="50">
        <v>4228996621</v>
      </c>
      <c r="L309" s="51">
        <f t="shared" si="0"/>
        <v>0.798163339756644</v>
      </c>
      <c r="M309" s="50">
        <v>4228996621</v>
      </c>
      <c r="N309" s="51">
        <f t="shared" si="1"/>
        <v>0.798163339756644</v>
      </c>
      <c r="O309" s="50">
        <v>58788156</v>
      </c>
      <c r="P309" s="51">
        <f t="shared" si="2"/>
        <v>1.1095433535721094E-2</v>
      </c>
      <c r="Q309" s="50">
        <v>0</v>
      </c>
      <c r="R309" s="52">
        <f t="shared" si="3"/>
        <v>-58788156</v>
      </c>
    </row>
    <row r="310" spans="1:18" x14ac:dyDescent="0.25">
      <c r="A310" s="49" t="s">
        <v>334</v>
      </c>
      <c r="B310" s="49" t="s">
        <v>341</v>
      </c>
      <c r="C310" s="49" t="s">
        <v>93</v>
      </c>
      <c r="D310" s="49" t="s">
        <v>69</v>
      </c>
      <c r="E310" s="50">
        <v>5026697000</v>
      </c>
      <c r="F310" s="50">
        <v>5026697000</v>
      </c>
      <c r="G310" s="50">
        <v>4969432600</v>
      </c>
      <c r="H310" s="50">
        <v>0</v>
      </c>
      <c r="I310" s="50">
        <v>957269260</v>
      </c>
      <c r="J310" s="50">
        <v>0</v>
      </c>
      <c r="K310" s="50">
        <v>4012163340</v>
      </c>
      <c r="L310" s="51">
        <f t="shared" si="0"/>
        <v>0.79817091422061048</v>
      </c>
      <c r="M310" s="50">
        <v>4012163340</v>
      </c>
      <c r="N310" s="51">
        <f t="shared" si="1"/>
        <v>0.79817091422061048</v>
      </c>
      <c r="O310" s="50">
        <v>57264400</v>
      </c>
      <c r="P310" s="51">
        <f t="shared" si="2"/>
        <v>1.1392053270766072E-2</v>
      </c>
      <c r="Q310" s="50">
        <v>0</v>
      </c>
      <c r="R310" s="52">
        <f t="shared" si="3"/>
        <v>-57264400</v>
      </c>
    </row>
    <row r="311" spans="1:18" x14ac:dyDescent="0.25">
      <c r="A311" s="49" t="s">
        <v>334</v>
      </c>
      <c r="B311" s="49" t="s">
        <v>342</v>
      </c>
      <c r="C311" s="49" t="s">
        <v>95</v>
      </c>
      <c r="D311" s="49" t="s">
        <v>69</v>
      </c>
      <c r="E311" s="50">
        <v>271713000</v>
      </c>
      <c r="F311" s="50">
        <v>271713000</v>
      </c>
      <c r="G311" s="50">
        <v>270189244</v>
      </c>
      <c r="H311" s="50">
        <v>0</v>
      </c>
      <c r="I311" s="50">
        <v>53355963</v>
      </c>
      <c r="J311" s="50">
        <v>0</v>
      </c>
      <c r="K311" s="50">
        <v>216833281</v>
      </c>
      <c r="L311" s="51">
        <f t="shared" si="0"/>
        <v>0.79802321199206516</v>
      </c>
      <c r="M311" s="50">
        <v>216833281</v>
      </c>
      <c r="N311" s="51">
        <f t="shared" si="1"/>
        <v>0.79802321199206516</v>
      </c>
      <c r="O311" s="50">
        <v>1523756</v>
      </c>
      <c r="P311" s="51">
        <f t="shared" si="2"/>
        <v>5.6079613415626044E-3</v>
      </c>
      <c r="Q311" s="50">
        <v>0</v>
      </c>
      <c r="R311" s="52">
        <f t="shared" si="3"/>
        <v>-1523756</v>
      </c>
    </row>
    <row r="312" spans="1:18" x14ac:dyDescent="0.25">
      <c r="A312" s="49" t="s">
        <v>334</v>
      </c>
      <c r="B312" s="49" t="s">
        <v>96</v>
      </c>
      <c r="C312" s="49" t="s">
        <v>97</v>
      </c>
      <c r="D312" s="49" t="s">
        <v>69</v>
      </c>
      <c r="E312" s="50">
        <v>5206027000</v>
      </c>
      <c r="F312" s="50">
        <v>5206027000</v>
      </c>
      <c r="G312" s="50">
        <v>5175571375</v>
      </c>
      <c r="H312" s="50">
        <v>0</v>
      </c>
      <c r="I312" s="50">
        <v>1020804200</v>
      </c>
      <c r="J312" s="50">
        <v>0</v>
      </c>
      <c r="K312" s="50">
        <v>4154767175</v>
      </c>
      <c r="L312" s="51">
        <f t="shared" si="0"/>
        <v>0.79806869518732804</v>
      </c>
      <c r="M312" s="50">
        <v>4154767175</v>
      </c>
      <c r="N312" s="51">
        <f t="shared" si="1"/>
        <v>0.79806869518732804</v>
      </c>
      <c r="O312" s="50">
        <v>30455625</v>
      </c>
      <c r="P312" s="51">
        <f t="shared" si="2"/>
        <v>5.8500705048206625E-3</v>
      </c>
      <c r="Q312" s="50">
        <v>0</v>
      </c>
      <c r="R312" s="52">
        <f t="shared" si="3"/>
        <v>-30455625</v>
      </c>
    </row>
    <row r="313" spans="1:18" x14ac:dyDescent="0.25">
      <c r="A313" s="49" t="s">
        <v>334</v>
      </c>
      <c r="B313" s="49" t="s">
        <v>343</v>
      </c>
      <c r="C313" s="49" t="s">
        <v>99</v>
      </c>
      <c r="D313" s="49" t="s">
        <v>69</v>
      </c>
      <c r="E313" s="50">
        <v>2760607000</v>
      </c>
      <c r="F313" s="50">
        <v>2760607000</v>
      </c>
      <c r="G313" s="50">
        <v>2745125642</v>
      </c>
      <c r="H313" s="50">
        <v>0</v>
      </c>
      <c r="I313" s="50">
        <v>541861585</v>
      </c>
      <c r="J313" s="50">
        <v>0</v>
      </c>
      <c r="K313" s="50">
        <v>2203264057</v>
      </c>
      <c r="L313" s="51">
        <f t="shared" si="0"/>
        <v>0.79810855257557489</v>
      </c>
      <c r="M313" s="50">
        <v>2203264057</v>
      </c>
      <c r="N313" s="51">
        <f t="shared" si="1"/>
        <v>0.79810855257557489</v>
      </c>
      <c r="O313" s="50">
        <v>15481358</v>
      </c>
      <c r="P313" s="51">
        <f t="shared" si="2"/>
        <v>5.6079543375786561E-3</v>
      </c>
      <c r="Q313" s="50">
        <v>0</v>
      </c>
      <c r="R313" s="52">
        <f t="shared" si="3"/>
        <v>-15481358</v>
      </c>
    </row>
    <row r="314" spans="1:18" x14ac:dyDescent="0.25">
      <c r="A314" s="49" t="s">
        <v>334</v>
      </c>
      <c r="B314" s="49" t="s">
        <v>344</v>
      </c>
      <c r="C314" s="49" t="s">
        <v>101</v>
      </c>
      <c r="D314" s="49" t="s">
        <v>69</v>
      </c>
      <c r="E314" s="50">
        <v>815140000</v>
      </c>
      <c r="F314" s="50">
        <v>815140000</v>
      </c>
      <c r="G314" s="50">
        <v>810568733</v>
      </c>
      <c r="H314" s="50">
        <v>0</v>
      </c>
      <c r="I314" s="50">
        <v>160067107</v>
      </c>
      <c r="J314" s="50">
        <v>0</v>
      </c>
      <c r="K314" s="50">
        <v>650501626</v>
      </c>
      <c r="L314" s="51">
        <f t="shared" si="0"/>
        <v>0.79802442034497145</v>
      </c>
      <c r="M314" s="50">
        <v>650501626</v>
      </c>
      <c r="N314" s="51">
        <f t="shared" si="1"/>
        <v>0.79802442034497145</v>
      </c>
      <c r="O314" s="50">
        <v>4571267</v>
      </c>
      <c r="P314" s="51">
        <f t="shared" si="2"/>
        <v>5.6079532350271121E-3</v>
      </c>
      <c r="Q314" s="50">
        <v>0</v>
      </c>
      <c r="R314" s="52">
        <f t="shared" si="3"/>
        <v>-4571267</v>
      </c>
    </row>
    <row r="315" spans="1:18" x14ac:dyDescent="0.25">
      <c r="A315" s="49" t="s">
        <v>334</v>
      </c>
      <c r="B315" s="49" t="s">
        <v>345</v>
      </c>
      <c r="C315" s="49" t="s">
        <v>103</v>
      </c>
      <c r="D315" s="49" t="s">
        <v>69</v>
      </c>
      <c r="E315" s="50">
        <v>1630280000</v>
      </c>
      <c r="F315" s="50">
        <v>1630280000</v>
      </c>
      <c r="G315" s="50">
        <v>1619877000</v>
      </c>
      <c r="H315" s="50">
        <v>0</v>
      </c>
      <c r="I315" s="50">
        <v>318875508</v>
      </c>
      <c r="J315" s="50">
        <v>0</v>
      </c>
      <c r="K315" s="50">
        <v>1301001492</v>
      </c>
      <c r="L315" s="51">
        <f t="shared" si="0"/>
        <v>0.7980233407758176</v>
      </c>
      <c r="M315" s="50">
        <v>1301001492</v>
      </c>
      <c r="N315" s="51">
        <f t="shared" si="1"/>
        <v>0.7980233407758176</v>
      </c>
      <c r="O315" s="50">
        <v>10403000</v>
      </c>
      <c r="P315" s="51">
        <f t="shared" si="2"/>
        <v>6.38111244694163E-3</v>
      </c>
      <c r="Q315" s="50">
        <v>0</v>
      </c>
      <c r="R315" s="52">
        <f t="shared" si="3"/>
        <v>-10403000</v>
      </c>
    </row>
    <row r="316" spans="1:18" x14ac:dyDescent="0.25">
      <c r="A316" s="49" t="s">
        <v>334</v>
      </c>
      <c r="B316" s="49" t="s">
        <v>104</v>
      </c>
      <c r="C316" s="49" t="s">
        <v>105</v>
      </c>
      <c r="D316" s="49" t="s">
        <v>69</v>
      </c>
      <c r="E316" s="50">
        <v>9869454182</v>
      </c>
      <c r="F316" s="50">
        <v>13869454182</v>
      </c>
      <c r="G316" s="50">
        <v>13790002372</v>
      </c>
      <c r="H316" s="50">
        <v>54762261.859999999</v>
      </c>
      <c r="I316" s="50">
        <v>1028333554.47</v>
      </c>
      <c r="J316" s="50">
        <v>49765966.880000003</v>
      </c>
      <c r="K316" s="50">
        <v>10303882978.780001</v>
      </c>
      <c r="L316" s="51">
        <f t="shared" si="0"/>
        <v>0.74291914040514628</v>
      </c>
      <c r="M316" s="50">
        <v>10040975603.639999</v>
      </c>
      <c r="N316" s="51">
        <f t="shared" si="1"/>
        <v>0.72396328448680691</v>
      </c>
      <c r="O316" s="50">
        <v>2432709420.0100002</v>
      </c>
      <c r="P316" s="51">
        <f t="shared" si="2"/>
        <v>0.17540051598910139</v>
      </c>
      <c r="Q316" s="50">
        <v>2353257610.0100002</v>
      </c>
      <c r="R316" s="52">
        <f t="shared" si="3"/>
        <v>-79451810</v>
      </c>
    </row>
    <row r="317" spans="1:18" x14ac:dyDescent="0.25">
      <c r="A317" s="49" t="s">
        <v>334</v>
      </c>
      <c r="B317" s="49" t="s">
        <v>106</v>
      </c>
      <c r="C317" s="49" t="s">
        <v>107</v>
      </c>
      <c r="D317" s="49" t="s">
        <v>69</v>
      </c>
      <c r="E317" s="50">
        <v>3181468559</v>
      </c>
      <c r="F317" s="50">
        <v>7181468559</v>
      </c>
      <c r="G317" s="50">
        <v>7181468559</v>
      </c>
      <c r="H317" s="50">
        <v>31494513.940000001</v>
      </c>
      <c r="I317" s="50">
        <v>408026898.94999999</v>
      </c>
      <c r="J317" s="50">
        <v>35662389</v>
      </c>
      <c r="K317" s="50">
        <v>5069549978.8299999</v>
      </c>
      <c r="L317" s="51">
        <f t="shared" si="0"/>
        <v>0.70592107132136783</v>
      </c>
      <c r="M317" s="50">
        <v>4939731342.6999998</v>
      </c>
      <c r="N317" s="51">
        <f t="shared" si="1"/>
        <v>0.68784417868256242</v>
      </c>
      <c r="O317" s="50">
        <v>1636734778.28</v>
      </c>
      <c r="P317" s="51">
        <f t="shared" si="2"/>
        <v>0.22791087433346793</v>
      </c>
      <c r="Q317" s="50">
        <v>1636734778.28</v>
      </c>
      <c r="R317" s="52">
        <f t="shared" si="3"/>
        <v>0</v>
      </c>
    </row>
    <row r="318" spans="1:18" x14ac:dyDescent="0.25">
      <c r="A318" s="49" t="s">
        <v>334</v>
      </c>
      <c r="B318" s="49" t="s">
        <v>280</v>
      </c>
      <c r="C318" s="49" t="s">
        <v>281</v>
      </c>
      <c r="D318" s="49" t="s">
        <v>69</v>
      </c>
      <c r="E318" s="50">
        <v>431740903</v>
      </c>
      <c r="F318" s="50">
        <v>431740903</v>
      </c>
      <c r="G318" s="50">
        <v>431740903</v>
      </c>
      <c r="H318" s="50">
        <v>31494513.940000001</v>
      </c>
      <c r="I318" s="50">
        <v>70093124.469999999</v>
      </c>
      <c r="J318" s="50">
        <v>0</v>
      </c>
      <c r="K318" s="50">
        <v>309758719.25999999</v>
      </c>
      <c r="L318" s="51">
        <f t="shared" si="0"/>
        <v>0.71746437992695811</v>
      </c>
      <c r="M318" s="50">
        <v>309758719.25999999</v>
      </c>
      <c r="N318" s="51">
        <f t="shared" si="1"/>
        <v>0.71746437992695811</v>
      </c>
      <c r="O318" s="50">
        <v>20394545.329999998</v>
      </c>
      <c r="P318" s="51">
        <f t="shared" si="2"/>
        <v>4.7237927164848675E-2</v>
      </c>
      <c r="Q318" s="50">
        <v>20394545.329999998</v>
      </c>
      <c r="R318" s="52">
        <f t="shared" si="3"/>
        <v>0</v>
      </c>
    </row>
    <row r="319" spans="1:18" x14ac:dyDescent="0.25">
      <c r="A319" s="49" t="s">
        <v>334</v>
      </c>
      <c r="B319" s="49" t="s">
        <v>108</v>
      </c>
      <c r="C319" s="49" t="s">
        <v>109</v>
      </c>
      <c r="D319" s="49" t="s">
        <v>69</v>
      </c>
      <c r="E319" s="50">
        <v>719138329</v>
      </c>
      <c r="F319" s="50">
        <v>719138329</v>
      </c>
      <c r="G319" s="50">
        <v>719138329</v>
      </c>
      <c r="H319" s="50">
        <v>0</v>
      </c>
      <c r="I319" s="50">
        <v>76054032.579999998</v>
      </c>
      <c r="J319" s="50">
        <v>0</v>
      </c>
      <c r="K319" s="50">
        <v>423755660.02999997</v>
      </c>
      <c r="L319" s="51">
        <f t="shared" si="0"/>
        <v>0.58925472741698348</v>
      </c>
      <c r="M319" s="50">
        <v>423755660.02999997</v>
      </c>
      <c r="N319" s="51">
        <f t="shared" si="1"/>
        <v>0.58925472741698348</v>
      </c>
      <c r="O319" s="50">
        <v>219328636.38999999</v>
      </c>
      <c r="P319" s="51">
        <f t="shared" si="2"/>
        <v>0.30498810527174669</v>
      </c>
      <c r="Q319" s="50">
        <v>219328636.38999999</v>
      </c>
      <c r="R319" s="52">
        <f t="shared" si="3"/>
        <v>0</v>
      </c>
    </row>
    <row r="320" spans="1:18" x14ac:dyDescent="0.25">
      <c r="A320" s="49" t="s">
        <v>334</v>
      </c>
      <c r="B320" s="49" t="s">
        <v>304</v>
      </c>
      <c r="C320" s="49" t="s">
        <v>305</v>
      </c>
      <c r="D320" s="49" t="s">
        <v>69</v>
      </c>
      <c r="E320" s="50">
        <v>23472000</v>
      </c>
      <c r="F320" s="50">
        <v>23472000</v>
      </c>
      <c r="G320" s="50">
        <v>23472000</v>
      </c>
      <c r="H320" s="50">
        <v>0</v>
      </c>
      <c r="I320" s="50">
        <v>515511.72</v>
      </c>
      <c r="J320" s="50">
        <v>0</v>
      </c>
      <c r="K320" s="50">
        <v>22121684.949999999</v>
      </c>
      <c r="L320" s="51">
        <f t="shared" si="0"/>
        <v>0.94247124020109063</v>
      </c>
      <c r="M320" s="50">
        <v>22121684.949999999</v>
      </c>
      <c r="N320" s="51">
        <f t="shared" si="1"/>
        <v>0.94247124020109063</v>
      </c>
      <c r="O320" s="50">
        <v>834803.33</v>
      </c>
      <c r="P320" s="51">
        <f t="shared" si="2"/>
        <v>3.5565922375596457E-2</v>
      </c>
      <c r="Q320" s="50">
        <v>834803.33</v>
      </c>
      <c r="R320" s="52">
        <f t="shared" si="3"/>
        <v>0</v>
      </c>
    </row>
    <row r="321" spans="1:18" x14ac:dyDescent="0.25">
      <c r="A321" s="49" t="s">
        <v>334</v>
      </c>
      <c r="B321" s="49" t="s">
        <v>110</v>
      </c>
      <c r="C321" s="49" t="s">
        <v>111</v>
      </c>
      <c r="D321" s="49" t="s">
        <v>69</v>
      </c>
      <c r="E321" s="50">
        <v>2007117327</v>
      </c>
      <c r="F321" s="50">
        <v>2007117327</v>
      </c>
      <c r="G321" s="50">
        <v>2007117327</v>
      </c>
      <c r="H321" s="50">
        <v>0</v>
      </c>
      <c r="I321" s="50">
        <v>261364230.18000001</v>
      </c>
      <c r="J321" s="50">
        <v>35662389</v>
      </c>
      <c r="K321" s="50">
        <v>639520254.07000005</v>
      </c>
      <c r="L321" s="51">
        <f t="shared" si="0"/>
        <v>0.31862624345228424</v>
      </c>
      <c r="M321" s="50">
        <v>509701617.94</v>
      </c>
      <c r="N321" s="51">
        <f t="shared" si="1"/>
        <v>0.25394709670602134</v>
      </c>
      <c r="O321" s="50">
        <v>1070570453.75</v>
      </c>
      <c r="P321" s="51">
        <f t="shared" si="2"/>
        <v>0.53338708173585514</v>
      </c>
      <c r="Q321" s="50">
        <v>1070570453.75</v>
      </c>
      <c r="R321" s="52">
        <f t="shared" si="3"/>
        <v>0</v>
      </c>
    </row>
    <row r="322" spans="1:18" x14ac:dyDescent="0.25">
      <c r="A322" s="49" t="s">
        <v>334</v>
      </c>
      <c r="B322" s="49" t="s">
        <v>110</v>
      </c>
      <c r="C322" s="49" t="s">
        <v>111</v>
      </c>
      <c r="D322" s="49" t="s">
        <v>85</v>
      </c>
      <c r="E322" s="50">
        <v>0</v>
      </c>
      <c r="F322" s="50">
        <v>4000000000</v>
      </c>
      <c r="G322" s="50">
        <v>4000000000</v>
      </c>
      <c r="H322" s="50">
        <v>0</v>
      </c>
      <c r="I322" s="50">
        <v>0</v>
      </c>
      <c r="J322" s="50">
        <v>0</v>
      </c>
      <c r="K322" s="50">
        <v>3674393660.52</v>
      </c>
      <c r="L322" s="51">
        <f t="shared" si="0"/>
        <v>0.91859841512999996</v>
      </c>
      <c r="M322" s="50">
        <v>3674393660.52</v>
      </c>
      <c r="N322" s="51">
        <f t="shared" si="1"/>
        <v>0.91859841512999996</v>
      </c>
      <c r="O322" s="50">
        <v>325606339.48000002</v>
      </c>
      <c r="P322" s="51">
        <f t="shared" si="2"/>
        <v>8.1401584870000002E-2</v>
      </c>
      <c r="Q322" s="50">
        <v>325606339.48000002</v>
      </c>
      <c r="R322" s="52">
        <f t="shared" si="3"/>
        <v>0</v>
      </c>
    </row>
    <row r="323" spans="1:18" x14ac:dyDescent="0.25">
      <c r="A323" s="49" t="s">
        <v>334</v>
      </c>
      <c r="B323" s="49" t="s">
        <v>112</v>
      </c>
      <c r="C323" s="49" t="s">
        <v>113</v>
      </c>
      <c r="D323" s="49" t="s">
        <v>69</v>
      </c>
      <c r="E323" s="50">
        <v>4328674526</v>
      </c>
      <c r="F323" s="50">
        <v>4329984526</v>
      </c>
      <c r="G323" s="50">
        <v>4329984526</v>
      </c>
      <c r="H323" s="50">
        <v>0</v>
      </c>
      <c r="I323" s="50">
        <v>326000601.25</v>
      </c>
      <c r="J323" s="50">
        <v>4764423.4000000004</v>
      </c>
      <c r="K323" s="50">
        <v>3670865987.54</v>
      </c>
      <c r="L323" s="51">
        <f t="shared" si="0"/>
        <v>0.84777808453997228</v>
      </c>
      <c r="M323" s="50">
        <v>3658971863.1999998</v>
      </c>
      <c r="N323" s="51">
        <f t="shared" si="1"/>
        <v>0.84503116379035292</v>
      </c>
      <c r="O323" s="50">
        <v>328353513.81</v>
      </c>
      <c r="P323" s="51">
        <f t="shared" si="2"/>
        <v>7.5832491279900702E-2</v>
      </c>
      <c r="Q323" s="50">
        <v>328353513.81</v>
      </c>
      <c r="R323" s="52">
        <f t="shared" si="3"/>
        <v>0</v>
      </c>
    </row>
    <row r="324" spans="1:18" x14ac:dyDescent="0.25">
      <c r="A324" s="49" t="s">
        <v>334</v>
      </c>
      <c r="B324" s="49" t="s">
        <v>114</v>
      </c>
      <c r="C324" s="49" t="s">
        <v>115</v>
      </c>
      <c r="D324" s="49" t="s">
        <v>69</v>
      </c>
      <c r="E324" s="50">
        <v>2503011786</v>
      </c>
      <c r="F324" s="50">
        <v>2503011786</v>
      </c>
      <c r="G324" s="50">
        <v>2503011786</v>
      </c>
      <c r="H324" s="50">
        <v>0</v>
      </c>
      <c r="I324" s="50">
        <v>243141174.13</v>
      </c>
      <c r="J324" s="50">
        <v>0</v>
      </c>
      <c r="K324" s="50">
        <v>2259870611.3699999</v>
      </c>
      <c r="L324" s="51">
        <f t="shared" si="0"/>
        <v>0.90286055543567456</v>
      </c>
      <c r="M324" s="50">
        <v>2253435247.3699999</v>
      </c>
      <c r="N324" s="51">
        <f t="shared" si="1"/>
        <v>0.90028950721448975</v>
      </c>
      <c r="O324" s="50">
        <v>0.5</v>
      </c>
      <c r="P324" s="51">
        <f t="shared" si="2"/>
        <v>1.9975934703808862E-10</v>
      </c>
      <c r="Q324" s="50">
        <v>0.5</v>
      </c>
      <c r="R324" s="52">
        <f t="shared" si="3"/>
        <v>0</v>
      </c>
    </row>
    <row r="325" spans="1:18" x14ac:dyDescent="0.25">
      <c r="A325" s="49" t="s">
        <v>334</v>
      </c>
      <c r="B325" s="49" t="s">
        <v>116</v>
      </c>
      <c r="C325" s="49" t="s">
        <v>117</v>
      </c>
      <c r="D325" s="49" t="s">
        <v>69</v>
      </c>
      <c r="E325" s="50">
        <v>973642474</v>
      </c>
      <c r="F325" s="50">
        <v>973642474</v>
      </c>
      <c r="G325" s="50">
        <v>973642474</v>
      </c>
      <c r="H325" s="50">
        <v>0</v>
      </c>
      <c r="I325" s="50">
        <v>25466868.859999999</v>
      </c>
      <c r="J325" s="50">
        <v>0</v>
      </c>
      <c r="K325" s="50">
        <v>948175604.63999999</v>
      </c>
      <c r="L325" s="51">
        <f t="shared" si="0"/>
        <v>0.9738437156964046</v>
      </c>
      <c r="M325" s="50">
        <v>948141955.53999996</v>
      </c>
      <c r="N325" s="51">
        <f t="shared" si="1"/>
        <v>0.97380915567987014</v>
      </c>
      <c r="O325" s="50">
        <v>0.5</v>
      </c>
      <c r="P325" s="51">
        <f t="shared" si="2"/>
        <v>5.1353552597788577E-10</v>
      </c>
      <c r="Q325" s="50">
        <v>0.5</v>
      </c>
      <c r="R325" s="52">
        <f t="shared" si="3"/>
        <v>0</v>
      </c>
    </row>
    <row r="326" spans="1:18" x14ac:dyDescent="0.25">
      <c r="A326" s="49" t="s">
        <v>334</v>
      </c>
      <c r="B326" s="49" t="s">
        <v>118</v>
      </c>
      <c r="C326" s="49" t="s">
        <v>119</v>
      </c>
      <c r="D326" s="49" t="s">
        <v>69</v>
      </c>
      <c r="E326" s="50">
        <v>3942858</v>
      </c>
      <c r="F326" s="50">
        <v>3942858</v>
      </c>
      <c r="G326" s="50">
        <v>3942858</v>
      </c>
      <c r="H326" s="50">
        <v>0</v>
      </c>
      <c r="I326" s="50">
        <v>2167842.5</v>
      </c>
      <c r="J326" s="50">
        <v>0</v>
      </c>
      <c r="K326" s="50">
        <v>1336120</v>
      </c>
      <c r="L326" s="51">
        <f t="shared" si="0"/>
        <v>0.33887094082515778</v>
      </c>
      <c r="M326" s="50">
        <v>1336120</v>
      </c>
      <c r="N326" s="51">
        <f t="shared" si="1"/>
        <v>0.33887094082515778</v>
      </c>
      <c r="O326" s="50">
        <v>438895.5</v>
      </c>
      <c r="P326" s="51">
        <f t="shared" si="2"/>
        <v>0.1113140518882496</v>
      </c>
      <c r="Q326" s="50">
        <v>438895.5</v>
      </c>
      <c r="R326" s="52">
        <f t="shared" si="3"/>
        <v>0</v>
      </c>
    </row>
    <row r="327" spans="1:18" x14ac:dyDescent="0.25">
      <c r="A327" s="49" t="s">
        <v>334</v>
      </c>
      <c r="B327" s="49" t="s">
        <v>120</v>
      </c>
      <c r="C327" s="49" t="s">
        <v>121</v>
      </c>
      <c r="D327" s="49" t="s">
        <v>69</v>
      </c>
      <c r="E327" s="50">
        <v>753229000</v>
      </c>
      <c r="F327" s="50">
        <v>753229000</v>
      </c>
      <c r="G327" s="50">
        <v>753229000</v>
      </c>
      <c r="H327" s="50">
        <v>0</v>
      </c>
      <c r="I327" s="50">
        <v>33868152.240000002</v>
      </c>
      <c r="J327" s="50">
        <v>4764423.4000000004</v>
      </c>
      <c r="K327" s="50">
        <v>390302175.23000002</v>
      </c>
      <c r="L327" s="51">
        <f t="shared" si="0"/>
        <v>0.51817199713500151</v>
      </c>
      <c r="M327" s="50">
        <v>387627263.99000001</v>
      </c>
      <c r="N327" s="51">
        <f t="shared" si="1"/>
        <v>0.51462073816860476</v>
      </c>
      <c r="O327" s="50">
        <v>324294249.13</v>
      </c>
      <c r="P327" s="51">
        <f t="shared" si="2"/>
        <v>0.43053871947309519</v>
      </c>
      <c r="Q327" s="50">
        <v>324294249.13</v>
      </c>
      <c r="R327" s="52">
        <f t="shared" si="3"/>
        <v>0</v>
      </c>
    </row>
    <row r="328" spans="1:18" x14ac:dyDescent="0.25">
      <c r="A328" s="49" t="s">
        <v>334</v>
      </c>
      <c r="B328" s="49" t="s">
        <v>122</v>
      </c>
      <c r="C328" s="49" t="s">
        <v>123</v>
      </c>
      <c r="D328" s="49" t="s">
        <v>69</v>
      </c>
      <c r="E328" s="50">
        <v>94848408</v>
      </c>
      <c r="F328" s="50">
        <v>96158408</v>
      </c>
      <c r="G328" s="50">
        <v>96158408</v>
      </c>
      <c r="H328" s="50">
        <v>0</v>
      </c>
      <c r="I328" s="50">
        <v>21356563.52</v>
      </c>
      <c r="J328" s="50">
        <v>0</v>
      </c>
      <c r="K328" s="50">
        <v>71181476.299999997</v>
      </c>
      <c r="L328" s="51">
        <f t="shared" si="0"/>
        <v>0.74025223358523151</v>
      </c>
      <c r="M328" s="50">
        <v>68431276.299999997</v>
      </c>
      <c r="N328" s="51">
        <f t="shared" si="1"/>
        <v>0.71165151049505726</v>
      </c>
      <c r="O328" s="50">
        <v>3620368.18</v>
      </c>
      <c r="P328" s="51">
        <f t="shared" si="2"/>
        <v>3.7650042833487843E-2</v>
      </c>
      <c r="Q328" s="50">
        <v>3620368.18</v>
      </c>
      <c r="R328" s="52">
        <f t="shared" si="3"/>
        <v>0</v>
      </c>
    </row>
    <row r="329" spans="1:18" x14ac:dyDescent="0.25">
      <c r="A329" s="49" t="s">
        <v>334</v>
      </c>
      <c r="B329" s="49" t="s">
        <v>124</v>
      </c>
      <c r="C329" s="49" t="s">
        <v>125</v>
      </c>
      <c r="D329" s="49" t="s">
        <v>69</v>
      </c>
      <c r="E329" s="50">
        <v>4451091</v>
      </c>
      <c r="F329" s="50">
        <v>3141091</v>
      </c>
      <c r="G329" s="50">
        <v>3141091</v>
      </c>
      <c r="H329" s="50">
        <v>0</v>
      </c>
      <c r="I329" s="50">
        <v>411436.99</v>
      </c>
      <c r="J329" s="50">
        <v>0</v>
      </c>
      <c r="K329" s="50">
        <v>1530664.13</v>
      </c>
      <c r="L329" s="51">
        <f t="shared" si="0"/>
        <v>0.48730333823502719</v>
      </c>
      <c r="M329" s="50">
        <v>1171724.1299999999</v>
      </c>
      <c r="N329" s="51">
        <f t="shared" si="1"/>
        <v>0.37303094052353142</v>
      </c>
      <c r="O329" s="50">
        <v>1198989.8799999999</v>
      </c>
      <c r="P329" s="51">
        <f t="shared" si="2"/>
        <v>0.38171128439131496</v>
      </c>
      <c r="Q329" s="50">
        <v>1198989.8799999999</v>
      </c>
      <c r="R329" s="52">
        <f t="shared" si="3"/>
        <v>0</v>
      </c>
    </row>
    <row r="330" spans="1:18" x14ac:dyDescent="0.25">
      <c r="A330" s="49" t="s">
        <v>334</v>
      </c>
      <c r="B330" s="49" t="s">
        <v>126</v>
      </c>
      <c r="C330" s="49" t="s">
        <v>127</v>
      </c>
      <c r="D330" s="49" t="s">
        <v>69</v>
      </c>
      <c r="E330" s="50">
        <v>1831091</v>
      </c>
      <c r="F330" s="50">
        <v>1831091</v>
      </c>
      <c r="G330" s="50">
        <v>1831091</v>
      </c>
      <c r="H330" s="50">
        <v>0</v>
      </c>
      <c r="I330" s="50">
        <v>411436.99</v>
      </c>
      <c r="J330" s="50">
        <v>0</v>
      </c>
      <c r="K330" s="50">
        <v>1418664.13</v>
      </c>
      <c r="L330" s="51">
        <f t="shared" si="0"/>
        <v>0.77476440548285141</v>
      </c>
      <c r="M330" s="50">
        <v>1091724.1299999999</v>
      </c>
      <c r="N330" s="51">
        <f t="shared" si="1"/>
        <v>0.59621511437716634</v>
      </c>
      <c r="O330" s="50">
        <v>989.88</v>
      </c>
      <c r="P330" s="51">
        <f t="shared" si="2"/>
        <v>5.4059574319353866E-4</v>
      </c>
      <c r="Q330" s="50">
        <v>989.88</v>
      </c>
      <c r="R330" s="52">
        <f t="shared" si="3"/>
        <v>0</v>
      </c>
    </row>
    <row r="331" spans="1:18" x14ac:dyDescent="0.25">
      <c r="A331" s="53" t="s">
        <v>334</v>
      </c>
      <c r="B331" s="53" t="s">
        <v>128</v>
      </c>
      <c r="C331" s="53" t="s">
        <v>129</v>
      </c>
      <c r="D331" s="53" t="s">
        <v>69</v>
      </c>
      <c r="E331" s="54">
        <v>2620000</v>
      </c>
      <c r="F331" s="54">
        <v>1310000</v>
      </c>
      <c r="G331" s="54">
        <v>1310000</v>
      </c>
      <c r="H331" s="54">
        <v>0</v>
      </c>
      <c r="I331" s="54">
        <v>0</v>
      </c>
      <c r="J331" s="54">
        <v>0</v>
      </c>
      <c r="K331" s="54">
        <v>112000</v>
      </c>
      <c r="L331" s="55">
        <f t="shared" si="0"/>
        <v>8.5496183206106871E-2</v>
      </c>
      <c r="M331" s="54">
        <v>80000</v>
      </c>
      <c r="N331" s="55">
        <f t="shared" si="1"/>
        <v>6.1068702290076333E-2</v>
      </c>
      <c r="O331" s="54">
        <v>1198000</v>
      </c>
      <c r="P331" s="55">
        <f t="shared" si="2"/>
        <v>0.91450381679389314</v>
      </c>
      <c r="Q331" s="54">
        <v>1198000</v>
      </c>
      <c r="R331" s="52">
        <f t="shared" si="3"/>
        <v>0</v>
      </c>
    </row>
    <row r="332" spans="1:18" x14ac:dyDescent="0.25">
      <c r="A332" s="49" t="s">
        <v>334</v>
      </c>
      <c r="B332" s="49" t="s">
        <v>134</v>
      </c>
      <c r="C332" s="49" t="s">
        <v>135</v>
      </c>
      <c r="D332" s="49" t="s">
        <v>69</v>
      </c>
      <c r="E332" s="50">
        <v>310063679</v>
      </c>
      <c r="F332" s="50">
        <v>304063679</v>
      </c>
      <c r="G332" s="50">
        <v>294187012</v>
      </c>
      <c r="H332" s="50">
        <v>7788265</v>
      </c>
      <c r="I332" s="50">
        <v>79848629.719999999</v>
      </c>
      <c r="J332" s="50">
        <v>0</v>
      </c>
      <c r="K332" s="50">
        <v>118751642.12</v>
      </c>
      <c r="L332" s="51">
        <f t="shared" si="0"/>
        <v>0.39054859334251496</v>
      </c>
      <c r="M332" s="50">
        <v>100954363.93000001</v>
      </c>
      <c r="N332" s="51">
        <f t="shared" si="1"/>
        <v>0.3320171756850972</v>
      </c>
      <c r="O332" s="50">
        <v>97675142.159999996</v>
      </c>
      <c r="P332" s="51">
        <f t="shared" si="2"/>
        <v>0.3212325210338588</v>
      </c>
      <c r="Q332" s="50">
        <v>87798475.159999996</v>
      </c>
      <c r="R332" s="52">
        <f t="shared" si="3"/>
        <v>-9876667</v>
      </c>
    </row>
    <row r="333" spans="1:18" x14ac:dyDescent="0.25">
      <c r="A333" s="49" t="s">
        <v>334</v>
      </c>
      <c r="B333" s="49" t="s">
        <v>346</v>
      </c>
      <c r="C333" s="49" t="s">
        <v>347</v>
      </c>
      <c r="D333" s="49" t="s">
        <v>69</v>
      </c>
      <c r="E333" s="50">
        <v>21381819</v>
      </c>
      <c r="F333" s="50">
        <v>21381819</v>
      </c>
      <c r="G333" s="50">
        <v>21381819</v>
      </c>
      <c r="H333" s="50">
        <v>0</v>
      </c>
      <c r="I333" s="50">
        <v>7018160</v>
      </c>
      <c r="J333" s="50">
        <v>0</v>
      </c>
      <c r="K333" s="50">
        <v>14096192</v>
      </c>
      <c r="L333" s="51">
        <f t="shared" si="0"/>
        <v>0.65926065504529807</v>
      </c>
      <c r="M333" s="50">
        <v>14096192</v>
      </c>
      <c r="N333" s="51">
        <f t="shared" si="1"/>
        <v>0.65926065504529807</v>
      </c>
      <c r="O333" s="50">
        <v>267467</v>
      </c>
      <c r="P333" s="51">
        <f t="shared" si="2"/>
        <v>1.2509085405689759E-2</v>
      </c>
      <c r="Q333" s="50">
        <v>267467</v>
      </c>
      <c r="R333" s="52">
        <f t="shared" si="3"/>
        <v>0</v>
      </c>
    </row>
    <row r="334" spans="1:18" x14ac:dyDescent="0.25">
      <c r="A334" s="49" t="s">
        <v>334</v>
      </c>
      <c r="B334" s="49" t="s">
        <v>308</v>
      </c>
      <c r="C334" s="49" t="s">
        <v>309</v>
      </c>
      <c r="D334" s="49" t="s">
        <v>69</v>
      </c>
      <c r="E334" s="50">
        <v>106119000</v>
      </c>
      <c r="F334" s="50">
        <v>106119000</v>
      </c>
      <c r="G334" s="50">
        <v>96242333</v>
      </c>
      <c r="H334" s="50">
        <v>0</v>
      </c>
      <c r="I334" s="50">
        <v>69615807.349999994</v>
      </c>
      <c r="J334" s="50">
        <v>0</v>
      </c>
      <c r="K334" s="50">
        <v>25821424.989999998</v>
      </c>
      <c r="L334" s="51">
        <f t="shared" si="0"/>
        <v>0.24332518201264616</v>
      </c>
      <c r="M334" s="50">
        <v>24442424.989999998</v>
      </c>
      <c r="N334" s="51">
        <f t="shared" si="1"/>
        <v>0.23033033660324728</v>
      </c>
      <c r="O334" s="50">
        <v>10681767.66</v>
      </c>
      <c r="P334" s="51">
        <f t="shared" si="2"/>
        <v>0.10065838973228168</v>
      </c>
      <c r="Q334" s="50">
        <v>805100.66</v>
      </c>
      <c r="R334" s="52">
        <f t="shared" si="3"/>
        <v>-9876667</v>
      </c>
    </row>
    <row r="335" spans="1:18" x14ac:dyDescent="0.25">
      <c r="A335" s="49" t="s">
        <v>334</v>
      </c>
      <c r="B335" s="49" t="s">
        <v>136</v>
      </c>
      <c r="C335" s="49" t="s">
        <v>137</v>
      </c>
      <c r="D335" s="49" t="s">
        <v>69</v>
      </c>
      <c r="E335" s="50">
        <v>126000000</v>
      </c>
      <c r="F335" s="50">
        <v>120000000</v>
      </c>
      <c r="G335" s="50">
        <v>120000000</v>
      </c>
      <c r="H335" s="50">
        <v>7788265</v>
      </c>
      <c r="I335" s="50">
        <v>1310747.3</v>
      </c>
      <c r="J335" s="50">
        <v>0</v>
      </c>
      <c r="K335" s="50">
        <v>61823452.880000003</v>
      </c>
      <c r="L335" s="51">
        <f t="shared" si="0"/>
        <v>0.51519544066666667</v>
      </c>
      <c r="M335" s="50">
        <v>45512619.689999998</v>
      </c>
      <c r="N335" s="51">
        <f t="shared" si="1"/>
        <v>0.37927183074999998</v>
      </c>
      <c r="O335" s="50">
        <v>49077534.82</v>
      </c>
      <c r="P335" s="51">
        <f t="shared" si="2"/>
        <v>0.40897945683333331</v>
      </c>
      <c r="Q335" s="50">
        <v>49077534.82</v>
      </c>
      <c r="R335" s="52">
        <f t="shared" si="3"/>
        <v>0</v>
      </c>
    </row>
    <row r="336" spans="1:18" x14ac:dyDescent="0.25">
      <c r="A336" s="49" t="s">
        <v>334</v>
      </c>
      <c r="B336" s="49" t="s">
        <v>138</v>
      </c>
      <c r="C336" s="49" t="s">
        <v>139</v>
      </c>
      <c r="D336" s="49" t="s">
        <v>69</v>
      </c>
      <c r="E336" s="50">
        <v>56562860</v>
      </c>
      <c r="F336" s="50">
        <v>56562860</v>
      </c>
      <c r="G336" s="50">
        <v>56562860</v>
      </c>
      <c r="H336" s="50">
        <v>0</v>
      </c>
      <c r="I336" s="50">
        <v>1903915.07</v>
      </c>
      <c r="J336" s="50">
        <v>0</v>
      </c>
      <c r="K336" s="50">
        <v>17010572.25</v>
      </c>
      <c r="L336" s="51">
        <f t="shared" si="0"/>
        <v>0.30073748480893647</v>
      </c>
      <c r="M336" s="50">
        <v>16903127.25</v>
      </c>
      <c r="N336" s="51">
        <f t="shared" si="1"/>
        <v>0.29883791678850752</v>
      </c>
      <c r="O336" s="50">
        <v>37648372.68</v>
      </c>
      <c r="P336" s="51">
        <f t="shared" si="2"/>
        <v>0.66560235249773436</v>
      </c>
      <c r="Q336" s="50">
        <v>37648372.68</v>
      </c>
      <c r="R336" s="52">
        <f t="shared" si="3"/>
        <v>0</v>
      </c>
    </row>
    <row r="337" spans="1:18" x14ac:dyDescent="0.25">
      <c r="A337" s="49" t="s">
        <v>334</v>
      </c>
      <c r="B337" s="49" t="s">
        <v>140</v>
      </c>
      <c r="C337" s="49" t="s">
        <v>141</v>
      </c>
      <c r="D337" s="49" t="s">
        <v>69</v>
      </c>
      <c r="E337" s="50">
        <v>128523280</v>
      </c>
      <c r="F337" s="50">
        <v>128523280</v>
      </c>
      <c r="G337" s="50">
        <v>123983137</v>
      </c>
      <c r="H337" s="50">
        <v>0</v>
      </c>
      <c r="I337" s="50">
        <v>27466930</v>
      </c>
      <c r="J337" s="50">
        <v>0</v>
      </c>
      <c r="K337" s="50">
        <v>75591740</v>
      </c>
      <c r="L337" s="51">
        <f t="shared" si="0"/>
        <v>0.58815601344752488</v>
      </c>
      <c r="M337" s="50">
        <v>75133440</v>
      </c>
      <c r="N337" s="51">
        <f t="shared" si="1"/>
        <v>0.58459012250543252</v>
      </c>
      <c r="O337" s="50">
        <v>25464610</v>
      </c>
      <c r="P337" s="51">
        <f t="shared" si="2"/>
        <v>0.19813227611371262</v>
      </c>
      <c r="Q337" s="50">
        <v>20924467</v>
      </c>
      <c r="R337" s="52">
        <f t="shared" si="3"/>
        <v>-4540143</v>
      </c>
    </row>
    <row r="338" spans="1:18" x14ac:dyDescent="0.25">
      <c r="A338" s="49" t="s">
        <v>334</v>
      </c>
      <c r="B338" s="49" t="s">
        <v>142</v>
      </c>
      <c r="C338" s="49" t="s">
        <v>143</v>
      </c>
      <c r="D338" s="49" t="s">
        <v>69</v>
      </c>
      <c r="E338" s="50">
        <v>4829000</v>
      </c>
      <c r="F338" s="50">
        <v>4829000</v>
      </c>
      <c r="G338" s="50">
        <v>4829000</v>
      </c>
      <c r="H338" s="50">
        <v>0</v>
      </c>
      <c r="I338" s="50">
        <v>506190</v>
      </c>
      <c r="J338" s="50">
        <v>0</v>
      </c>
      <c r="K338" s="50">
        <v>2284885</v>
      </c>
      <c r="L338" s="51">
        <f t="shared" si="0"/>
        <v>0.47315903913853802</v>
      </c>
      <c r="M338" s="50">
        <v>2274085</v>
      </c>
      <c r="N338" s="51">
        <f t="shared" si="1"/>
        <v>0.47092255125284738</v>
      </c>
      <c r="O338" s="50">
        <v>2037925</v>
      </c>
      <c r="P338" s="51">
        <f t="shared" si="2"/>
        <v>0.42201801615241252</v>
      </c>
      <c r="Q338" s="50">
        <v>2037925</v>
      </c>
      <c r="R338" s="52">
        <f t="shared" si="3"/>
        <v>0</v>
      </c>
    </row>
    <row r="339" spans="1:18" x14ac:dyDescent="0.25">
      <c r="A339" s="49" t="s">
        <v>334</v>
      </c>
      <c r="B339" s="49" t="s">
        <v>144</v>
      </c>
      <c r="C339" s="49" t="s">
        <v>145</v>
      </c>
      <c r="D339" s="49" t="s">
        <v>69</v>
      </c>
      <c r="E339" s="50">
        <v>119154137</v>
      </c>
      <c r="F339" s="50">
        <v>119154137</v>
      </c>
      <c r="G339" s="50">
        <v>119154137</v>
      </c>
      <c r="H339" s="50">
        <v>0</v>
      </c>
      <c r="I339" s="50">
        <v>26960740</v>
      </c>
      <c r="J339" s="50">
        <v>0</v>
      </c>
      <c r="K339" s="50">
        <v>73306855</v>
      </c>
      <c r="L339" s="51">
        <f t="shared" si="0"/>
        <v>0.61522710705378192</v>
      </c>
      <c r="M339" s="50">
        <v>72859355</v>
      </c>
      <c r="N339" s="51">
        <f t="shared" si="1"/>
        <v>0.61147146741535296</v>
      </c>
      <c r="O339" s="50">
        <v>18886542</v>
      </c>
      <c r="P339" s="51">
        <f t="shared" si="2"/>
        <v>0.15850513020794235</v>
      </c>
      <c r="Q339" s="50">
        <v>18886542</v>
      </c>
      <c r="R339" s="52">
        <f t="shared" si="3"/>
        <v>0</v>
      </c>
    </row>
    <row r="340" spans="1:18" x14ac:dyDescent="0.25">
      <c r="A340" s="49" t="s">
        <v>334</v>
      </c>
      <c r="B340" s="49" t="s">
        <v>146</v>
      </c>
      <c r="C340" s="49" t="s">
        <v>147</v>
      </c>
      <c r="D340" s="49" t="s">
        <v>69</v>
      </c>
      <c r="E340" s="50">
        <v>2851000</v>
      </c>
      <c r="F340" s="50">
        <v>2851000</v>
      </c>
      <c r="G340" s="50">
        <v>0</v>
      </c>
      <c r="H340" s="50">
        <v>0</v>
      </c>
      <c r="I340" s="50">
        <v>0</v>
      </c>
      <c r="J340" s="50">
        <v>0</v>
      </c>
      <c r="K340" s="50">
        <v>0</v>
      </c>
      <c r="L340" s="51">
        <f t="shared" si="0"/>
        <v>0</v>
      </c>
      <c r="M340" s="50">
        <v>0</v>
      </c>
      <c r="N340" s="51">
        <f t="shared" si="1"/>
        <v>0</v>
      </c>
      <c r="O340" s="50">
        <v>2851000</v>
      </c>
      <c r="P340" s="51">
        <f t="shared" si="2"/>
        <v>1</v>
      </c>
      <c r="Q340" s="50">
        <v>0</v>
      </c>
      <c r="R340" s="52">
        <f t="shared" si="3"/>
        <v>-2851000</v>
      </c>
    </row>
    <row r="341" spans="1:18" x14ac:dyDescent="0.25">
      <c r="A341" s="49" t="s">
        <v>334</v>
      </c>
      <c r="B341" s="49" t="s">
        <v>148</v>
      </c>
      <c r="C341" s="49" t="s">
        <v>149</v>
      </c>
      <c r="D341" s="49" t="s">
        <v>69</v>
      </c>
      <c r="E341" s="50">
        <v>1689143</v>
      </c>
      <c r="F341" s="50">
        <v>1689143</v>
      </c>
      <c r="G341" s="50">
        <v>0</v>
      </c>
      <c r="H341" s="50">
        <v>0</v>
      </c>
      <c r="I341" s="50">
        <v>0</v>
      </c>
      <c r="J341" s="50">
        <v>0</v>
      </c>
      <c r="K341" s="50">
        <v>0</v>
      </c>
      <c r="L341" s="51">
        <f t="shared" si="0"/>
        <v>0</v>
      </c>
      <c r="M341" s="50">
        <v>0</v>
      </c>
      <c r="N341" s="51">
        <f t="shared" si="1"/>
        <v>0</v>
      </c>
      <c r="O341" s="50">
        <v>1689143</v>
      </c>
      <c r="P341" s="51">
        <f t="shared" si="2"/>
        <v>1</v>
      </c>
      <c r="Q341" s="50">
        <v>0</v>
      </c>
      <c r="R341" s="52">
        <f t="shared" si="3"/>
        <v>-1689143</v>
      </c>
    </row>
    <row r="342" spans="1:18" x14ac:dyDescent="0.25">
      <c r="A342" s="49" t="s">
        <v>334</v>
      </c>
      <c r="B342" s="49" t="s">
        <v>150</v>
      </c>
      <c r="C342" s="49" t="s">
        <v>151</v>
      </c>
      <c r="D342" s="49" t="s">
        <v>69</v>
      </c>
      <c r="E342" s="50">
        <v>1290997262</v>
      </c>
      <c r="F342" s="50">
        <v>1244459372.29</v>
      </c>
      <c r="G342" s="50">
        <v>1244459372.29</v>
      </c>
      <c r="H342" s="50">
        <v>0</v>
      </c>
      <c r="I342" s="50">
        <v>63441719.399999999</v>
      </c>
      <c r="J342" s="50">
        <v>0</v>
      </c>
      <c r="K342" s="50">
        <v>1051836424.6</v>
      </c>
      <c r="L342" s="51">
        <f t="shared" si="0"/>
        <v>0.84521555947982163</v>
      </c>
      <c r="M342" s="50">
        <v>968800936.60000002</v>
      </c>
      <c r="N342" s="51">
        <f t="shared" si="1"/>
        <v>0.77849141416103818</v>
      </c>
      <c r="O342" s="50">
        <v>129181228.29000001</v>
      </c>
      <c r="P342" s="51">
        <f t="shared" si="2"/>
        <v>0.1038050989581816</v>
      </c>
      <c r="Q342" s="50">
        <v>129181228.29000001</v>
      </c>
      <c r="R342" s="52">
        <f t="shared" si="3"/>
        <v>0</v>
      </c>
    </row>
    <row r="343" spans="1:18" x14ac:dyDescent="0.25">
      <c r="A343" s="49" t="s">
        <v>334</v>
      </c>
      <c r="B343" s="49" t="s">
        <v>152</v>
      </c>
      <c r="C343" s="49" t="s">
        <v>153</v>
      </c>
      <c r="D343" s="49" t="s">
        <v>69</v>
      </c>
      <c r="E343" s="50">
        <v>1290997262</v>
      </c>
      <c r="F343" s="50">
        <v>1244459372.29</v>
      </c>
      <c r="G343" s="50">
        <v>1244459372.29</v>
      </c>
      <c r="H343" s="50">
        <v>0</v>
      </c>
      <c r="I343" s="50">
        <v>63441719.399999999</v>
      </c>
      <c r="J343" s="50">
        <v>0</v>
      </c>
      <c r="K343" s="50">
        <v>1051836424.6</v>
      </c>
      <c r="L343" s="51">
        <f t="shared" si="0"/>
        <v>0.84521555947982163</v>
      </c>
      <c r="M343" s="50">
        <v>968800936.60000002</v>
      </c>
      <c r="N343" s="51">
        <f t="shared" si="1"/>
        <v>0.77849141416103818</v>
      </c>
      <c r="O343" s="50">
        <v>129181228.29000001</v>
      </c>
      <c r="P343" s="51">
        <f t="shared" si="2"/>
        <v>0.1038050989581816</v>
      </c>
      <c r="Q343" s="50">
        <v>129181228.29000001</v>
      </c>
      <c r="R343" s="52">
        <f t="shared" si="3"/>
        <v>0</v>
      </c>
    </row>
    <row r="344" spans="1:18" x14ac:dyDescent="0.25">
      <c r="A344" s="49" t="s">
        <v>334</v>
      </c>
      <c r="B344" s="49" t="s">
        <v>154</v>
      </c>
      <c r="C344" s="49" t="s">
        <v>155</v>
      </c>
      <c r="D344" s="49" t="s">
        <v>69</v>
      </c>
      <c r="E344" s="50">
        <v>1413715</v>
      </c>
      <c r="F344" s="50">
        <v>1413715</v>
      </c>
      <c r="G344" s="50">
        <v>1413715</v>
      </c>
      <c r="H344" s="50">
        <v>0</v>
      </c>
      <c r="I344" s="50">
        <v>120780</v>
      </c>
      <c r="J344" s="50">
        <v>0</v>
      </c>
      <c r="K344" s="50">
        <v>670000</v>
      </c>
      <c r="L344" s="51">
        <f t="shared" si="0"/>
        <v>0.47392862069087477</v>
      </c>
      <c r="M344" s="50">
        <v>400000</v>
      </c>
      <c r="N344" s="51">
        <f t="shared" si="1"/>
        <v>0.28294246011395507</v>
      </c>
      <c r="O344" s="50">
        <v>622935</v>
      </c>
      <c r="P344" s="51">
        <f t="shared" si="2"/>
        <v>0.4406369034777165</v>
      </c>
      <c r="Q344" s="50">
        <v>622935</v>
      </c>
      <c r="R344" s="52">
        <f t="shared" si="3"/>
        <v>0</v>
      </c>
    </row>
    <row r="345" spans="1:18" x14ac:dyDescent="0.25">
      <c r="A345" s="49" t="s">
        <v>334</v>
      </c>
      <c r="B345" s="49" t="s">
        <v>156</v>
      </c>
      <c r="C345" s="49" t="s">
        <v>157</v>
      </c>
      <c r="D345" s="49" t="s">
        <v>69</v>
      </c>
      <c r="E345" s="50">
        <v>1413715</v>
      </c>
      <c r="F345" s="50">
        <v>1413715</v>
      </c>
      <c r="G345" s="50">
        <v>1413715</v>
      </c>
      <c r="H345" s="50">
        <v>0</v>
      </c>
      <c r="I345" s="50">
        <v>120780</v>
      </c>
      <c r="J345" s="50">
        <v>0</v>
      </c>
      <c r="K345" s="50">
        <v>670000</v>
      </c>
      <c r="L345" s="51">
        <f t="shared" si="0"/>
        <v>0.47392862069087477</v>
      </c>
      <c r="M345" s="50">
        <v>400000</v>
      </c>
      <c r="N345" s="51">
        <f t="shared" si="1"/>
        <v>0.28294246011395507</v>
      </c>
      <c r="O345" s="50">
        <v>622935</v>
      </c>
      <c r="P345" s="51">
        <f t="shared" si="2"/>
        <v>0.4406369034777165</v>
      </c>
      <c r="Q345" s="50">
        <v>622935</v>
      </c>
      <c r="R345" s="52">
        <f t="shared" si="3"/>
        <v>0</v>
      </c>
    </row>
    <row r="346" spans="1:18" x14ac:dyDescent="0.25">
      <c r="A346" s="49" t="s">
        <v>334</v>
      </c>
      <c r="B346" s="49" t="s">
        <v>162</v>
      </c>
      <c r="C346" s="49" t="s">
        <v>163</v>
      </c>
      <c r="D346" s="49" t="s">
        <v>69</v>
      </c>
      <c r="E346" s="50">
        <v>594069615</v>
      </c>
      <c r="F346" s="50">
        <v>600069615</v>
      </c>
      <c r="G346" s="50">
        <v>535034615</v>
      </c>
      <c r="H346" s="50">
        <v>15479482.92</v>
      </c>
      <c r="I346" s="50">
        <v>108790877.09999999</v>
      </c>
      <c r="J346" s="50">
        <v>9339154.4800000004</v>
      </c>
      <c r="K346" s="50">
        <v>305017902.56</v>
      </c>
      <c r="L346" s="51">
        <f t="shared" si="0"/>
        <v>0.50830419493911549</v>
      </c>
      <c r="M346" s="50">
        <v>285743294.07999998</v>
      </c>
      <c r="N346" s="51">
        <f t="shared" si="1"/>
        <v>0.47618357426746227</v>
      </c>
      <c r="O346" s="50">
        <v>161442197.94</v>
      </c>
      <c r="P346" s="51">
        <f t="shared" si="2"/>
        <v>0.26903911463672425</v>
      </c>
      <c r="Q346" s="50">
        <v>96407197.939999998</v>
      </c>
      <c r="R346" s="52">
        <f t="shared" si="3"/>
        <v>-65035000</v>
      </c>
    </row>
    <row r="347" spans="1:18" x14ac:dyDescent="0.25">
      <c r="A347" s="49" t="s">
        <v>334</v>
      </c>
      <c r="B347" s="49" t="s">
        <v>310</v>
      </c>
      <c r="C347" s="49" t="s">
        <v>311</v>
      </c>
      <c r="D347" s="49" t="s">
        <v>69</v>
      </c>
      <c r="E347" s="50">
        <v>125656000</v>
      </c>
      <c r="F347" s="50">
        <v>125656000</v>
      </c>
      <c r="G347" s="50">
        <v>65656000</v>
      </c>
      <c r="H347" s="50">
        <v>5644182.8399999999</v>
      </c>
      <c r="I347" s="50">
        <v>0</v>
      </c>
      <c r="J347" s="50">
        <v>0</v>
      </c>
      <c r="K347" s="50">
        <v>13454017</v>
      </c>
      <c r="L347" s="51">
        <f t="shared" si="0"/>
        <v>0.10707023142547908</v>
      </c>
      <c r="M347" s="50">
        <v>13349017</v>
      </c>
      <c r="N347" s="51">
        <f t="shared" si="1"/>
        <v>0.10623461673139364</v>
      </c>
      <c r="O347" s="50">
        <v>106557800.16</v>
      </c>
      <c r="P347" s="51">
        <f t="shared" si="2"/>
        <v>0.84801203412491244</v>
      </c>
      <c r="Q347" s="50">
        <v>46557800.159999996</v>
      </c>
      <c r="R347" s="52">
        <f t="shared" si="3"/>
        <v>-60000000</v>
      </c>
    </row>
    <row r="348" spans="1:18" x14ac:dyDescent="0.25">
      <c r="A348" s="49" t="s">
        <v>334</v>
      </c>
      <c r="B348" s="49" t="s">
        <v>164</v>
      </c>
      <c r="C348" s="49" t="s">
        <v>165</v>
      </c>
      <c r="D348" s="49" t="s">
        <v>69</v>
      </c>
      <c r="E348" s="50">
        <v>188229817</v>
      </c>
      <c r="F348" s="50">
        <v>188229817</v>
      </c>
      <c r="G348" s="50">
        <v>188229817</v>
      </c>
      <c r="H348" s="50">
        <v>0</v>
      </c>
      <c r="I348" s="50">
        <v>17535019.039999999</v>
      </c>
      <c r="J348" s="50">
        <v>4941898</v>
      </c>
      <c r="K348" s="50">
        <v>165733178.25999999</v>
      </c>
      <c r="L348" s="51">
        <f t="shared" si="0"/>
        <v>0.88048312908894766</v>
      </c>
      <c r="M348" s="50">
        <v>164801944.78</v>
      </c>
      <c r="N348" s="51">
        <f t="shared" si="1"/>
        <v>0.87553580727329716</v>
      </c>
      <c r="O348" s="50">
        <v>19721.7</v>
      </c>
      <c r="P348" s="51">
        <f t="shared" si="2"/>
        <v>1.0477457989559646E-4</v>
      </c>
      <c r="Q348" s="50">
        <v>19721.7</v>
      </c>
      <c r="R348" s="52">
        <f t="shared" si="3"/>
        <v>0</v>
      </c>
    </row>
    <row r="349" spans="1:18" x14ac:dyDescent="0.25">
      <c r="A349" s="49" t="s">
        <v>334</v>
      </c>
      <c r="B349" s="49" t="s">
        <v>166</v>
      </c>
      <c r="C349" s="49" t="s">
        <v>167</v>
      </c>
      <c r="D349" s="49" t="s">
        <v>69</v>
      </c>
      <c r="E349" s="50">
        <v>95028648</v>
      </c>
      <c r="F349" s="50">
        <v>95028648</v>
      </c>
      <c r="G349" s="50">
        <v>95028648</v>
      </c>
      <c r="H349" s="50">
        <v>9835300.0800000001</v>
      </c>
      <c r="I349" s="50">
        <v>15552396.189999999</v>
      </c>
      <c r="J349" s="50">
        <v>0</v>
      </c>
      <c r="K349" s="50">
        <v>54230370.439999998</v>
      </c>
      <c r="L349" s="51">
        <f t="shared" si="0"/>
        <v>0.57067391340767049</v>
      </c>
      <c r="M349" s="50">
        <v>52066061.93</v>
      </c>
      <c r="N349" s="51">
        <f t="shared" si="1"/>
        <v>0.54789858664515567</v>
      </c>
      <c r="O349" s="50">
        <v>15410581.289999999</v>
      </c>
      <c r="P349" s="51">
        <f t="shared" si="2"/>
        <v>0.16216774219496419</v>
      </c>
      <c r="Q349" s="50">
        <v>15410581.289999999</v>
      </c>
      <c r="R349" s="52">
        <f t="shared" si="3"/>
        <v>0</v>
      </c>
    </row>
    <row r="350" spans="1:18" x14ac:dyDescent="0.25">
      <c r="A350" s="49" t="s">
        <v>334</v>
      </c>
      <c r="B350" s="49" t="s">
        <v>312</v>
      </c>
      <c r="C350" s="49" t="s">
        <v>313</v>
      </c>
      <c r="D350" s="49" t="s">
        <v>69</v>
      </c>
      <c r="E350" s="50">
        <v>6300000</v>
      </c>
      <c r="F350" s="50">
        <v>6300000</v>
      </c>
      <c r="G350" s="50">
        <v>1800000</v>
      </c>
      <c r="H350" s="50">
        <v>0</v>
      </c>
      <c r="I350" s="50">
        <v>0</v>
      </c>
      <c r="J350" s="50">
        <v>0</v>
      </c>
      <c r="K350" s="50">
        <v>0</v>
      </c>
      <c r="L350" s="51">
        <f t="shared" si="0"/>
        <v>0</v>
      </c>
      <c r="M350" s="50">
        <v>0</v>
      </c>
      <c r="N350" s="51">
        <f t="shared" si="1"/>
        <v>0</v>
      </c>
      <c r="O350" s="50">
        <v>6300000</v>
      </c>
      <c r="P350" s="51">
        <f t="shared" si="2"/>
        <v>1</v>
      </c>
      <c r="Q350" s="50">
        <v>1800000</v>
      </c>
      <c r="R350" s="52">
        <f t="shared" si="3"/>
        <v>-4500000</v>
      </c>
    </row>
    <row r="351" spans="1:18" x14ac:dyDescent="0.25">
      <c r="A351" s="49" t="s">
        <v>334</v>
      </c>
      <c r="B351" s="49" t="s">
        <v>168</v>
      </c>
      <c r="C351" s="49" t="s">
        <v>169</v>
      </c>
      <c r="D351" s="49" t="s">
        <v>69</v>
      </c>
      <c r="E351" s="50">
        <v>11141667</v>
      </c>
      <c r="F351" s="50">
        <v>11141667</v>
      </c>
      <c r="G351" s="50">
        <v>10606667</v>
      </c>
      <c r="H351" s="50">
        <v>0</v>
      </c>
      <c r="I351" s="50">
        <v>2046880.09</v>
      </c>
      <c r="J351" s="50">
        <v>0</v>
      </c>
      <c r="K351" s="50">
        <v>5840214.8899999997</v>
      </c>
      <c r="L351" s="51">
        <f t="shared" si="0"/>
        <v>0.52417783532751427</v>
      </c>
      <c r="M351" s="50">
        <v>3564000</v>
      </c>
      <c r="N351" s="51">
        <f t="shared" si="1"/>
        <v>0.31988031952489693</v>
      </c>
      <c r="O351" s="50">
        <v>3254572.02</v>
      </c>
      <c r="P351" s="51">
        <f t="shared" si="2"/>
        <v>0.29210817555398128</v>
      </c>
      <c r="Q351" s="50">
        <v>2719572.02</v>
      </c>
      <c r="R351" s="52">
        <f t="shared" si="3"/>
        <v>-535000</v>
      </c>
    </row>
    <row r="352" spans="1:18" x14ac:dyDescent="0.25">
      <c r="A352" s="49" t="s">
        <v>334</v>
      </c>
      <c r="B352" s="49" t="s">
        <v>170</v>
      </c>
      <c r="C352" s="49" t="s">
        <v>171</v>
      </c>
      <c r="D352" s="49" t="s">
        <v>69</v>
      </c>
      <c r="E352" s="50">
        <v>40562000</v>
      </c>
      <c r="F352" s="50">
        <v>40562000</v>
      </c>
      <c r="G352" s="50">
        <v>40562000</v>
      </c>
      <c r="H352" s="50">
        <v>0</v>
      </c>
      <c r="I352" s="50">
        <v>26905829.579999998</v>
      </c>
      <c r="J352" s="50">
        <v>0</v>
      </c>
      <c r="K352" s="50">
        <v>7460314.8600000003</v>
      </c>
      <c r="L352" s="51">
        <f t="shared" si="0"/>
        <v>0.18392374291208521</v>
      </c>
      <c r="M352" s="50">
        <v>4602212.9800000004</v>
      </c>
      <c r="N352" s="51">
        <f t="shared" si="1"/>
        <v>0.11346119471426459</v>
      </c>
      <c r="O352" s="50">
        <v>6195855.5599999996</v>
      </c>
      <c r="P352" s="51">
        <f t="shared" si="2"/>
        <v>0.15275024801538384</v>
      </c>
      <c r="Q352" s="50">
        <v>6195855.5599999996</v>
      </c>
      <c r="R352" s="52">
        <f t="shared" si="3"/>
        <v>0</v>
      </c>
    </row>
    <row r="353" spans="1:18" x14ac:dyDescent="0.25">
      <c r="A353" s="49" t="s">
        <v>334</v>
      </c>
      <c r="B353" s="49" t="s">
        <v>172</v>
      </c>
      <c r="C353" s="49" t="s">
        <v>173</v>
      </c>
      <c r="D353" s="49" t="s">
        <v>69</v>
      </c>
      <c r="E353" s="50">
        <v>127151483</v>
      </c>
      <c r="F353" s="50">
        <v>133151483</v>
      </c>
      <c r="G353" s="50">
        <v>133151483</v>
      </c>
      <c r="H353" s="50">
        <v>0</v>
      </c>
      <c r="I353" s="50">
        <v>46750752.200000003</v>
      </c>
      <c r="J353" s="50">
        <v>4397256.4800000004</v>
      </c>
      <c r="K353" s="50">
        <v>58299807.109999999</v>
      </c>
      <c r="L353" s="51">
        <f t="shared" si="0"/>
        <v>0.43784572125268778</v>
      </c>
      <c r="M353" s="50">
        <v>47360057.390000001</v>
      </c>
      <c r="N353" s="51">
        <f t="shared" si="1"/>
        <v>0.35568554193271734</v>
      </c>
      <c r="O353" s="50">
        <v>23703667.210000001</v>
      </c>
      <c r="P353" s="51">
        <f t="shared" si="2"/>
        <v>0.17802030195938562</v>
      </c>
      <c r="Q353" s="50">
        <v>23703667.210000001</v>
      </c>
      <c r="R353" s="52">
        <f t="shared" si="3"/>
        <v>0</v>
      </c>
    </row>
    <row r="354" spans="1:18" x14ac:dyDescent="0.25">
      <c r="A354" s="49" t="s">
        <v>334</v>
      </c>
      <c r="B354" s="49" t="s">
        <v>174</v>
      </c>
      <c r="C354" s="49" t="s">
        <v>175</v>
      </c>
      <c r="D354" s="49" t="s">
        <v>69</v>
      </c>
      <c r="E354" s="50">
        <v>11126154</v>
      </c>
      <c r="F354" s="50">
        <v>11126154</v>
      </c>
      <c r="G354" s="50">
        <v>11126154</v>
      </c>
      <c r="H354" s="50">
        <v>0</v>
      </c>
      <c r="I354" s="50">
        <v>1008208</v>
      </c>
      <c r="J354" s="50">
        <v>0</v>
      </c>
      <c r="K354" s="50">
        <v>397220</v>
      </c>
      <c r="L354" s="51">
        <f t="shared" si="0"/>
        <v>3.5701465214304964E-2</v>
      </c>
      <c r="M354" s="50">
        <v>397220</v>
      </c>
      <c r="N354" s="51">
        <f t="shared" si="1"/>
        <v>3.5701465214304964E-2</v>
      </c>
      <c r="O354" s="50">
        <v>9720726</v>
      </c>
      <c r="P354" s="51">
        <f t="shared" si="2"/>
        <v>0.8736824962156734</v>
      </c>
      <c r="Q354" s="50">
        <v>9720726</v>
      </c>
      <c r="R354" s="52">
        <f t="shared" si="3"/>
        <v>0</v>
      </c>
    </row>
    <row r="355" spans="1:18" x14ac:dyDescent="0.25">
      <c r="A355" s="49" t="s">
        <v>334</v>
      </c>
      <c r="B355" s="49" t="s">
        <v>176</v>
      </c>
      <c r="C355" s="49" t="s">
        <v>177</v>
      </c>
      <c r="D355" s="49" t="s">
        <v>69</v>
      </c>
      <c r="E355" s="50">
        <v>11126154</v>
      </c>
      <c r="F355" s="50">
        <v>11126154</v>
      </c>
      <c r="G355" s="50">
        <v>11126154</v>
      </c>
      <c r="H355" s="50">
        <v>0</v>
      </c>
      <c r="I355" s="50">
        <v>1008208</v>
      </c>
      <c r="J355" s="50">
        <v>0</v>
      </c>
      <c r="K355" s="50">
        <v>397220</v>
      </c>
      <c r="L355" s="51">
        <f t="shared" si="0"/>
        <v>3.5701465214304964E-2</v>
      </c>
      <c r="M355" s="50">
        <v>397220</v>
      </c>
      <c r="N355" s="51">
        <f t="shared" si="1"/>
        <v>3.5701465214304964E-2</v>
      </c>
      <c r="O355" s="50">
        <v>9720726</v>
      </c>
      <c r="P355" s="51">
        <f t="shared" si="2"/>
        <v>0.8736824962156734</v>
      </c>
      <c r="Q355" s="50">
        <v>9720726</v>
      </c>
      <c r="R355" s="52">
        <f t="shared" si="3"/>
        <v>0</v>
      </c>
    </row>
    <row r="356" spans="1:18" x14ac:dyDescent="0.25">
      <c r="A356" s="49" t="s">
        <v>334</v>
      </c>
      <c r="B356" s="49" t="s">
        <v>178</v>
      </c>
      <c r="C356" s="49" t="s">
        <v>179</v>
      </c>
      <c r="D356" s="49" t="s">
        <v>69</v>
      </c>
      <c r="E356" s="50">
        <v>18666301</v>
      </c>
      <c r="F356" s="50">
        <v>65204190.710000001</v>
      </c>
      <c r="G356" s="50">
        <v>65204190.710000001</v>
      </c>
      <c r="H356" s="50">
        <v>0</v>
      </c>
      <c r="I356" s="50">
        <v>13217473.060000001</v>
      </c>
      <c r="J356" s="50">
        <v>0</v>
      </c>
      <c r="K356" s="50">
        <v>9671419</v>
      </c>
      <c r="L356" s="51">
        <f t="shared" si="0"/>
        <v>0.14832511368807999</v>
      </c>
      <c r="M356" s="50">
        <v>9671419</v>
      </c>
      <c r="N356" s="51">
        <f t="shared" si="1"/>
        <v>0.14832511368807999</v>
      </c>
      <c r="O356" s="50">
        <v>42315298.649999999</v>
      </c>
      <c r="P356" s="51">
        <f t="shared" si="2"/>
        <v>0.648965935919673</v>
      </c>
      <c r="Q356" s="50">
        <v>42315298.649999999</v>
      </c>
      <c r="R356" s="52">
        <f t="shared" si="3"/>
        <v>0</v>
      </c>
    </row>
    <row r="357" spans="1:18" x14ac:dyDescent="0.25">
      <c r="A357" s="49" t="s">
        <v>334</v>
      </c>
      <c r="B357" s="49" t="s">
        <v>348</v>
      </c>
      <c r="C357" s="49" t="s">
        <v>349</v>
      </c>
      <c r="D357" s="49" t="s">
        <v>69</v>
      </c>
      <c r="E357" s="50">
        <v>3000000</v>
      </c>
      <c r="F357" s="50">
        <v>3000000</v>
      </c>
      <c r="G357" s="50">
        <v>3000000</v>
      </c>
      <c r="H357" s="50">
        <v>0</v>
      </c>
      <c r="I357" s="50">
        <v>310619.25</v>
      </c>
      <c r="J357" s="50">
        <v>0</v>
      </c>
      <c r="K357" s="50">
        <v>2689379.96</v>
      </c>
      <c r="L357" s="51">
        <f t="shared" si="0"/>
        <v>0.89645998666666671</v>
      </c>
      <c r="M357" s="50">
        <v>2689379.96</v>
      </c>
      <c r="N357" s="51">
        <f t="shared" si="1"/>
        <v>0.89645998666666671</v>
      </c>
      <c r="O357" s="50">
        <v>0.79</v>
      </c>
      <c r="P357" s="51">
        <f t="shared" si="2"/>
        <v>2.6333333333333334E-7</v>
      </c>
      <c r="Q357" s="50">
        <v>0.79</v>
      </c>
      <c r="R357" s="52">
        <f t="shared" si="3"/>
        <v>0</v>
      </c>
    </row>
    <row r="358" spans="1:18" x14ac:dyDescent="0.25">
      <c r="A358" s="49" t="s">
        <v>334</v>
      </c>
      <c r="B358" s="49" t="s">
        <v>180</v>
      </c>
      <c r="C358" s="49" t="s">
        <v>181</v>
      </c>
      <c r="D358" s="49" t="s">
        <v>69</v>
      </c>
      <c r="E358" s="50">
        <v>1275676</v>
      </c>
      <c r="F358" s="50">
        <v>47166460.710000001</v>
      </c>
      <c r="G358" s="50">
        <v>47166460.710000001</v>
      </c>
      <c r="H358" s="50">
        <v>0</v>
      </c>
      <c r="I358" s="50">
        <v>1537879.56</v>
      </c>
      <c r="J358" s="50">
        <v>0</v>
      </c>
      <c r="K358" s="50">
        <v>3313284.04</v>
      </c>
      <c r="L358" s="51">
        <f t="shared" si="0"/>
        <v>7.0246611471899853E-2</v>
      </c>
      <c r="M358" s="50">
        <v>3313284.04</v>
      </c>
      <c r="N358" s="51">
        <f t="shared" si="1"/>
        <v>7.0246611471899853E-2</v>
      </c>
      <c r="O358" s="50">
        <v>42315297.109999999</v>
      </c>
      <c r="P358" s="51">
        <f t="shared" si="2"/>
        <v>0.89714802580106501</v>
      </c>
      <c r="Q358" s="50">
        <v>42315297.109999999</v>
      </c>
      <c r="R358" s="52">
        <f t="shared" si="3"/>
        <v>0</v>
      </c>
    </row>
    <row r="359" spans="1:18" x14ac:dyDescent="0.25">
      <c r="A359" s="49" t="s">
        <v>334</v>
      </c>
      <c r="B359" s="49" t="s">
        <v>182</v>
      </c>
      <c r="C359" s="49" t="s">
        <v>183</v>
      </c>
      <c r="D359" s="49" t="s">
        <v>69</v>
      </c>
      <c r="E359" s="50">
        <v>14390625</v>
      </c>
      <c r="F359" s="50">
        <v>15037730</v>
      </c>
      <c r="G359" s="50">
        <v>15037730</v>
      </c>
      <c r="H359" s="50">
        <v>0</v>
      </c>
      <c r="I359" s="50">
        <v>11368974.25</v>
      </c>
      <c r="J359" s="50">
        <v>0</v>
      </c>
      <c r="K359" s="50">
        <v>3668755</v>
      </c>
      <c r="L359" s="51">
        <f t="shared" si="0"/>
        <v>0.24397000079134284</v>
      </c>
      <c r="M359" s="50">
        <v>3668755</v>
      </c>
      <c r="N359" s="51">
        <f t="shared" si="1"/>
        <v>0.24397000079134284</v>
      </c>
      <c r="O359" s="50">
        <v>0.75</v>
      </c>
      <c r="P359" s="51">
        <f t="shared" si="2"/>
        <v>4.9874548884705336E-8</v>
      </c>
      <c r="Q359" s="50">
        <v>0.75</v>
      </c>
      <c r="R359" s="52">
        <f t="shared" si="3"/>
        <v>0</v>
      </c>
    </row>
    <row r="360" spans="1:18" x14ac:dyDescent="0.25">
      <c r="A360" s="49" t="s">
        <v>334</v>
      </c>
      <c r="B360" s="49" t="s">
        <v>184</v>
      </c>
      <c r="C360" s="49" t="s">
        <v>185</v>
      </c>
      <c r="D360" s="49" t="s">
        <v>69</v>
      </c>
      <c r="E360" s="50">
        <v>14015826994</v>
      </c>
      <c r="F360" s="50">
        <v>14015826994</v>
      </c>
      <c r="G360" s="50">
        <v>13896768494</v>
      </c>
      <c r="H360" s="50">
        <v>132783464.2</v>
      </c>
      <c r="I360" s="50">
        <v>2404347931.8499999</v>
      </c>
      <c r="J360" s="50">
        <v>188942936.86000001</v>
      </c>
      <c r="K360" s="50">
        <v>9317924152.4699993</v>
      </c>
      <c r="L360" s="51">
        <f t="shared" si="0"/>
        <v>0.66481443845296362</v>
      </c>
      <c r="M360" s="50">
        <v>8760893839.4699993</v>
      </c>
      <c r="N360" s="51">
        <f t="shared" si="1"/>
        <v>0.62507148834103243</v>
      </c>
      <c r="O360" s="50">
        <v>1971828508.6199999</v>
      </c>
      <c r="P360" s="51">
        <f t="shared" si="2"/>
        <v>0.14068584818178156</v>
      </c>
      <c r="Q360" s="50">
        <v>1852770008.6199999</v>
      </c>
      <c r="R360" s="52">
        <f t="shared" si="3"/>
        <v>-119058500</v>
      </c>
    </row>
    <row r="361" spans="1:18" x14ac:dyDescent="0.25">
      <c r="A361" s="49" t="s">
        <v>334</v>
      </c>
      <c r="B361" s="49" t="s">
        <v>186</v>
      </c>
      <c r="C361" s="49" t="s">
        <v>187</v>
      </c>
      <c r="D361" s="49" t="s">
        <v>69</v>
      </c>
      <c r="E361" s="50">
        <v>777682724</v>
      </c>
      <c r="F361" s="50">
        <v>777682724</v>
      </c>
      <c r="G361" s="50">
        <v>760204724</v>
      </c>
      <c r="H361" s="50">
        <v>5194580</v>
      </c>
      <c r="I361" s="50">
        <v>123618504.27</v>
      </c>
      <c r="J361" s="50">
        <v>32549124.359999999</v>
      </c>
      <c r="K361" s="50">
        <v>590417684.74000001</v>
      </c>
      <c r="L361" s="51">
        <f t="shared" si="0"/>
        <v>0.7592012353099411</v>
      </c>
      <c r="M361" s="50">
        <v>574508842.10000002</v>
      </c>
      <c r="N361" s="51">
        <f t="shared" si="1"/>
        <v>0.73874450900107691</v>
      </c>
      <c r="O361" s="50">
        <v>25902830.629999999</v>
      </c>
      <c r="P361" s="51">
        <f t="shared" si="2"/>
        <v>3.3307709983281045E-2</v>
      </c>
      <c r="Q361" s="50">
        <v>8424830.6300000008</v>
      </c>
      <c r="R361" s="52">
        <f t="shared" si="3"/>
        <v>-17478000</v>
      </c>
    </row>
    <row r="362" spans="1:18" x14ac:dyDescent="0.25">
      <c r="A362" s="49" t="s">
        <v>334</v>
      </c>
      <c r="B362" s="49" t="s">
        <v>188</v>
      </c>
      <c r="C362" s="49" t="s">
        <v>189</v>
      </c>
      <c r="D362" s="49" t="s">
        <v>69</v>
      </c>
      <c r="E362" s="50">
        <v>543016724</v>
      </c>
      <c r="F362" s="50">
        <v>543016724</v>
      </c>
      <c r="G362" s="50">
        <v>543016724</v>
      </c>
      <c r="H362" s="50">
        <v>0</v>
      </c>
      <c r="I362" s="50">
        <v>68723664.040000007</v>
      </c>
      <c r="J362" s="50">
        <v>931224.36</v>
      </c>
      <c r="K362" s="50">
        <v>469712382.13999999</v>
      </c>
      <c r="L362" s="51">
        <f t="shared" si="0"/>
        <v>0.86500536977936615</v>
      </c>
      <c r="M362" s="50">
        <v>455795654.5</v>
      </c>
      <c r="N362" s="51">
        <f t="shared" si="1"/>
        <v>0.83937682644927158</v>
      </c>
      <c r="O362" s="50">
        <v>3649453.46</v>
      </c>
      <c r="P362" s="51">
        <f t="shared" si="2"/>
        <v>6.7207017734503514E-3</v>
      </c>
      <c r="Q362" s="50">
        <v>3649453.46</v>
      </c>
      <c r="R362" s="52">
        <f t="shared" si="3"/>
        <v>0</v>
      </c>
    </row>
    <row r="363" spans="1:18" x14ac:dyDescent="0.25">
      <c r="A363" s="49" t="s">
        <v>334</v>
      </c>
      <c r="B363" s="49" t="s">
        <v>190</v>
      </c>
      <c r="C363" s="49" t="s">
        <v>191</v>
      </c>
      <c r="D363" s="49" t="s">
        <v>69</v>
      </c>
      <c r="E363" s="50">
        <v>195656000</v>
      </c>
      <c r="F363" s="50">
        <v>195656000</v>
      </c>
      <c r="G363" s="50">
        <v>181276000</v>
      </c>
      <c r="H363" s="50">
        <v>0</v>
      </c>
      <c r="I363" s="50">
        <v>41593000</v>
      </c>
      <c r="J363" s="50">
        <v>31617900</v>
      </c>
      <c r="K363" s="50">
        <v>105609900</v>
      </c>
      <c r="L363" s="51">
        <f t="shared" si="0"/>
        <v>0.53977337776505707</v>
      </c>
      <c r="M363" s="50">
        <v>105609900</v>
      </c>
      <c r="N363" s="51">
        <f t="shared" si="1"/>
        <v>0.53977337776505707</v>
      </c>
      <c r="O363" s="50">
        <v>16835200</v>
      </c>
      <c r="P363" s="51">
        <f t="shared" si="2"/>
        <v>8.6044895122050949E-2</v>
      </c>
      <c r="Q363" s="50">
        <v>2455200</v>
      </c>
      <c r="R363" s="52">
        <f t="shared" si="3"/>
        <v>-14380000</v>
      </c>
    </row>
    <row r="364" spans="1:18" x14ac:dyDescent="0.25">
      <c r="A364" s="49" t="s">
        <v>334</v>
      </c>
      <c r="B364" s="49" t="s">
        <v>350</v>
      </c>
      <c r="C364" s="49" t="s">
        <v>351</v>
      </c>
      <c r="D364" s="49" t="s">
        <v>69</v>
      </c>
      <c r="E364" s="50">
        <v>2674000</v>
      </c>
      <c r="F364" s="50">
        <v>2674000</v>
      </c>
      <c r="G364" s="50">
        <v>2674000</v>
      </c>
      <c r="H364" s="50">
        <v>2335180</v>
      </c>
      <c r="I364" s="50">
        <v>120975</v>
      </c>
      <c r="J364" s="50">
        <v>0</v>
      </c>
      <c r="K364" s="50">
        <v>77925</v>
      </c>
      <c r="L364" s="51">
        <f t="shared" si="0"/>
        <v>2.9141735228122662E-2</v>
      </c>
      <c r="M364" s="50">
        <v>77925</v>
      </c>
      <c r="N364" s="51">
        <f t="shared" si="1"/>
        <v>2.9141735228122662E-2</v>
      </c>
      <c r="O364" s="50">
        <v>139920</v>
      </c>
      <c r="P364" s="51">
        <f t="shared" si="2"/>
        <v>5.2326103216155571E-2</v>
      </c>
      <c r="Q364" s="50">
        <v>139920</v>
      </c>
      <c r="R364" s="52">
        <f t="shared" si="3"/>
        <v>0</v>
      </c>
    </row>
    <row r="365" spans="1:18" x14ac:dyDescent="0.25">
      <c r="A365" s="49" t="s">
        <v>334</v>
      </c>
      <c r="B365" s="49" t="s">
        <v>192</v>
      </c>
      <c r="C365" s="49" t="s">
        <v>193</v>
      </c>
      <c r="D365" s="49" t="s">
        <v>69</v>
      </c>
      <c r="E365" s="50">
        <v>30373000</v>
      </c>
      <c r="F365" s="50">
        <v>30373000</v>
      </c>
      <c r="G365" s="50">
        <v>30373000</v>
      </c>
      <c r="H365" s="50">
        <v>0</v>
      </c>
      <c r="I365" s="50">
        <v>13180865.23</v>
      </c>
      <c r="J365" s="50">
        <v>0</v>
      </c>
      <c r="K365" s="50">
        <v>15017477.6</v>
      </c>
      <c r="L365" s="51">
        <f t="shared" si="0"/>
        <v>0.49443511013070818</v>
      </c>
      <c r="M365" s="50">
        <v>13025362.6</v>
      </c>
      <c r="N365" s="51">
        <f t="shared" si="1"/>
        <v>0.42884675863431337</v>
      </c>
      <c r="O365" s="50">
        <v>2174657.17</v>
      </c>
      <c r="P365" s="51">
        <f t="shared" si="2"/>
        <v>7.1598365982945375E-2</v>
      </c>
      <c r="Q365" s="50">
        <v>2174657.17</v>
      </c>
      <c r="R365" s="52">
        <f t="shared" si="3"/>
        <v>0</v>
      </c>
    </row>
    <row r="366" spans="1:18" x14ac:dyDescent="0.25">
      <c r="A366" s="49" t="s">
        <v>334</v>
      </c>
      <c r="B366" s="49" t="s">
        <v>194</v>
      </c>
      <c r="C366" s="49" t="s">
        <v>195</v>
      </c>
      <c r="D366" s="49" t="s">
        <v>69</v>
      </c>
      <c r="E366" s="50">
        <v>5963000</v>
      </c>
      <c r="F366" s="50">
        <v>5963000</v>
      </c>
      <c r="G366" s="50">
        <v>2865000</v>
      </c>
      <c r="H366" s="50">
        <v>2859400</v>
      </c>
      <c r="I366" s="50">
        <v>0</v>
      </c>
      <c r="J366" s="50">
        <v>0</v>
      </c>
      <c r="K366" s="50">
        <v>0</v>
      </c>
      <c r="L366" s="51">
        <f t="shared" si="0"/>
        <v>0</v>
      </c>
      <c r="M366" s="50">
        <v>0</v>
      </c>
      <c r="N366" s="51">
        <f t="shared" si="1"/>
        <v>0</v>
      </c>
      <c r="O366" s="50">
        <v>3103600</v>
      </c>
      <c r="P366" s="51">
        <f t="shared" si="2"/>
        <v>0.52047627033372468</v>
      </c>
      <c r="Q366" s="50">
        <v>5600</v>
      </c>
      <c r="R366" s="52">
        <f t="shared" si="3"/>
        <v>-3098000</v>
      </c>
    </row>
    <row r="367" spans="1:18" x14ac:dyDescent="0.25">
      <c r="A367" s="49" t="s">
        <v>334</v>
      </c>
      <c r="B367" s="49" t="s">
        <v>196</v>
      </c>
      <c r="C367" s="49" t="s">
        <v>197</v>
      </c>
      <c r="D367" s="49" t="s">
        <v>69</v>
      </c>
      <c r="E367" s="50">
        <v>10984366500</v>
      </c>
      <c r="F367" s="50">
        <v>10984366500</v>
      </c>
      <c r="G367" s="50">
        <v>10984366500</v>
      </c>
      <c r="H367" s="50">
        <v>0</v>
      </c>
      <c r="I367" s="50">
        <v>1671567021.6600001</v>
      </c>
      <c r="J367" s="50">
        <v>81568685</v>
      </c>
      <c r="K367" s="50">
        <v>7520840165.4799995</v>
      </c>
      <c r="L367" s="51">
        <f t="shared" si="0"/>
        <v>0.68468583650044812</v>
      </c>
      <c r="M367" s="50">
        <v>7082639858.5200005</v>
      </c>
      <c r="N367" s="51">
        <f t="shared" si="1"/>
        <v>0.64479274781299412</v>
      </c>
      <c r="O367" s="50">
        <v>1710390627.8599999</v>
      </c>
      <c r="P367" s="51">
        <f t="shared" si="2"/>
        <v>0.15571135830728153</v>
      </c>
      <c r="Q367" s="50">
        <v>1710390627.8599999</v>
      </c>
      <c r="R367" s="52">
        <f t="shared" si="3"/>
        <v>0</v>
      </c>
    </row>
    <row r="368" spans="1:18" x14ac:dyDescent="0.25">
      <c r="A368" s="49" t="s">
        <v>334</v>
      </c>
      <c r="B368" s="49" t="s">
        <v>198</v>
      </c>
      <c r="C368" s="49" t="s">
        <v>199</v>
      </c>
      <c r="D368" s="49" t="s">
        <v>69</v>
      </c>
      <c r="E368" s="50">
        <v>10972726000</v>
      </c>
      <c r="F368" s="50">
        <v>10972726000</v>
      </c>
      <c r="G368" s="50">
        <v>10972726000</v>
      </c>
      <c r="H368" s="50">
        <v>0</v>
      </c>
      <c r="I368" s="50">
        <v>1671566871.6600001</v>
      </c>
      <c r="J368" s="50">
        <v>81568685</v>
      </c>
      <c r="K368" s="50">
        <v>7515020315.4799995</v>
      </c>
      <c r="L368" s="51">
        <f t="shared" si="0"/>
        <v>0.68488179833160867</v>
      </c>
      <c r="M368" s="50">
        <v>7076820008.5200005</v>
      </c>
      <c r="N368" s="51">
        <f t="shared" si="1"/>
        <v>0.64494638875699628</v>
      </c>
      <c r="O368" s="50">
        <v>1704570127.8599999</v>
      </c>
      <c r="P368" s="51">
        <f t="shared" si="2"/>
        <v>0.15534609429416171</v>
      </c>
      <c r="Q368" s="50">
        <v>1704570127.8599999</v>
      </c>
      <c r="R368" s="52">
        <f t="shared" si="3"/>
        <v>0</v>
      </c>
    </row>
    <row r="369" spans="1:18" x14ac:dyDescent="0.25">
      <c r="A369" s="49" t="s">
        <v>334</v>
      </c>
      <c r="B369" s="49" t="s">
        <v>352</v>
      </c>
      <c r="C369" s="49" t="s">
        <v>353</v>
      </c>
      <c r="D369" s="49" t="s">
        <v>69</v>
      </c>
      <c r="E369" s="50">
        <v>11640500</v>
      </c>
      <c r="F369" s="50">
        <v>11640500</v>
      </c>
      <c r="G369" s="50">
        <v>11640500</v>
      </c>
      <c r="H369" s="50">
        <v>0</v>
      </c>
      <c r="I369" s="50">
        <v>150</v>
      </c>
      <c r="J369" s="50">
        <v>0</v>
      </c>
      <c r="K369" s="50">
        <v>5819850</v>
      </c>
      <c r="L369" s="51">
        <f t="shared" si="0"/>
        <v>0.49996563721489629</v>
      </c>
      <c r="M369" s="50">
        <v>5819850</v>
      </c>
      <c r="N369" s="51">
        <f t="shared" si="1"/>
        <v>0.49996563721489629</v>
      </c>
      <c r="O369" s="50">
        <v>5820500</v>
      </c>
      <c r="P369" s="51">
        <f t="shared" si="2"/>
        <v>0.50002147674068986</v>
      </c>
      <c r="Q369" s="50">
        <v>5820500</v>
      </c>
      <c r="R369" s="52">
        <f t="shared" si="3"/>
        <v>0</v>
      </c>
    </row>
    <row r="370" spans="1:18" x14ac:dyDescent="0.25">
      <c r="A370" s="49" t="s">
        <v>334</v>
      </c>
      <c r="B370" s="49" t="s">
        <v>200</v>
      </c>
      <c r="C370" s="49" t="s">
        <v>201</v>
      </c>
      <c r="D370" s="49" t="s">
        <v>69</v>
      </c>
      <c r="E370" s="50">
        <v>446867786</v>
      </c>
      <c r="F370" s="50">
        <v>442289969</v>
      </c>
      <c r="G370" s="50">
        <v>417864969</v>
      </c>
      <c r="H370" s="50">
        <v>19393880</v>
      </c>
      <c r="I370" s="50">
        <v>124228938.01000001</v>
      </c>
      <c r="J370" s="50">
        <v>0</v>
      </c>
      <c r="K370" s="50">
        <v>241581325</v>
      </c>
      <c r="L370" s="51">
        <f t="shared" si="0"/>
        <v>0.54620575172935926</v>
      </c>
      <c r="M370" s="50">
        <v>197284366.38</v>
      </c>
      <c r="N370" s="51">
        <f t="shared" si="1"/>
        <v>0.44605209298789228</v>
      </c>
      <c r="O370" s="50">
        <v>57085825.990000002</v>
      </c>
      <c r="P370" s="51">
        <f t="shared" si="2"/>
        <v>0.12906877838326014</v>
      </c>
      <c r="Q370" s="50">
        <v>32660825.989999998</v>
      </c>
      <c r="R370" s="52">
        <f t="shared" si="3"/>
        <v>-24425000</v>
      </c>
    </row>
    <row r="371" spans="1:18" x14ac:dyDescent="0.25">
      <c r="A371" s="49" t="s">
        <v>334</v>
      </c>
      <c r="B371" s="49" t="s">
        <v>314</v>
      </c>
      <c r="C371" s="49" t="s">
        <v>315</v>
      </c>
      <c r="D371" s="49" t="s">
        <v>69</v>
      </c>
      <c r="E371" s="50">
        <v>122902000</v>
      </c>
      <c r="F371" s="50">
        <v>122902000</v>
      </c>
      <c r="G371" s="50">
        <v>122902000</v>
      </c>
      <c r="H371" s="50">
        <v>4851000</v>
      </c>
      <c r="I371" s="50">
        <v>42786156.039999999</v>
      </c>
      <c r="J371" s="50">
        <v>0</v>
      </c>
      <c r="K371" s="50">
        <v>65857117.759999998</v>
      </c>
      <c r="L371" s="51">
        <f t="shared" si="0"/>
        <v>0.53585065954988531</v>
      </c>
      <c r="M371" s="50">
        <v>48833797.759999998</v>
      </c>
      <c r="N371" s="51">
        <f t="shared" si="1"/>
        <v>0.3973393253161055</v>
      </c>
      <c r="O371" s="50">
        <v>9407726.1999999993</v>
      </c>
      <c r="P371" s="51">
        <f t="shared" si="2"/>
        <v>7.6546567183609693E-2</v>
      </c>
      <c r="Q371" s="50">
        <v>9407726.1999999993</v>
      </c>
      <c r="R371" s="52">
        <f t="shared" si="3"/>
        <v>0</v>
      </c>
    </row>
    <row r="372" spans="1:18" x14ac:dyDescent="0.25">
      <c r="A372" s="49" t="s">
        <v>334</v>
      </c>
      <c r="B372" s="49" t="s">
        <v>316</v>
      </c>
      <c r="C372" s="49" t="s">
        <v>317</v>
      </c>
      <c r="D372" s="49" t="s">
        <v>69</v>
      </c>
      <c r="E372" s="50">
        <v>50168000</v>
      </c>
      <c r="F372" s="50">
        <v>50168000</v>
      </c>
      <c r="G372" s="50">
        <v>50168000</v>
      </c>
      <c r="H372" s="50">
        <v>0</v>
      </c>
      <c r="I372" s="50">
        <v>16377580</v>
      </c>
      <c r="J372" s="50">
        <v>0</v>
      </c>
      <c r="K372" s="50">
        <v>29126891</v>
      </c>
      <c r="L372" s="51">
        <f t="shared" si="0"/>
        <v>0.58058704752033163</v>
      </c>
      <c r="M372" s="50">
        <v>13934456</v>
      </c>
      <c r="N372" s="51">
        <f t="shared" si="1"/>
        <v>0.27775586030936056</v>
      </c>
      <c r="O372" s="50">
        <v>4663529</v>
      </c>
      <c r="P372" s="51">
        <f t="shared" si="2"/>
        <v>9.2958240312549831E-2</v>
      </c>
      <c r="Q372" s="50">
        <v>4663529</v>
      </c>
      <c r="R372" s="52">
        <f t="shared" si="3"/>
        <v>0</v>
      </c>
    </row>
    <row r="373" spans="1:18" x14ac:dyDescent="0.25">
      <c r="A373" s="49" t="s">
        <v>334</v>
      </c>
      <c r="B373" s="49" t="s">
        <v>318</v>
      </c>
      <c r="C373" s="49" t="s">
        <v>319</v>
      </c>
      <c r="D373" s="49" t="s">
        <v>69</v>
      </c>
      <c r="E373" s="50">
        <v>89195672</v>
      </c>
      <c r="F373" s="50">
        <v>89195672</v>
      </c>
      <c r="G373" s="50">
        <v>89195672</v>
      </c>
      <c r="H373" s="50">
        <v>0</v>
      </c>
      <c r="I373" s="50">
        <v>36126790</v>
      </c>
      <c r="J373" s="50">
        <v>0</v>
      </c>
      <c r="K373" s="50">
        <v>53066598</v>
      </c>
      <c r="L373" s="51">
        <f t="shared" si="0"/>
        <v>0.59494588481826782</v>
      </c>
      <c r="M373" s="50">
        <v>53066598</v>
      </c>
      <c r="N373" s="51">
        <f t="shared" si="1"/>
        <v>0.59494588481826782</v>
      </c>
      <c r="O373" s="50">
        <v>2284</v>
      </c>
      <c r="P373" s="51">
        <f t="shared" si="2"/>
        <v>2.5606623603889659E-5</v>
      </c>
      <c r="Q373" s="50">
        <v>2284</v>
      </c>
      <c r="R373" s="52">
        <f t="shared" si="3"/>
        <v>0</v>
      </c>
    </row>
    <row r="374" spans="1:18" x14ac:dyDescent="0.25">
      <c r="A374" s="49" t="s">
        <v>334</v>
      </c>
      <c r="B374" s="49" t="s">
        <v>202</v>
      </c>
      <c r="C374" s="49" t="s">
        <v>203</v>
      </c>
      <c r="D374" s="49" t="s">
        <v>69</v>
      </c>
      <c r="E374" s="50">
        <v>90316000</v>
      </c>
      <c r="F374" s="50">
        <v>90316000</v>
      </c>
      <c r="G374" s="50">
        <v>90316000</v>
      </c>
      <c r="H374" s="50">
        <v>2000000</v>
      </c>
      <c r="I374" s="50">
        <v>28565399.190000001</v>
      </c>
      <c r="J374" s="50">
        <v>0</v>
      </c>
      <c r="K374" s="50">
        <v>49657383.740000002</v>
      </c>
      <c r="L374" s="51">
        <f t="shared" si="0"/>
        <v>0.5498182353071438</v>
      </c>
      <c r="M374" s="50">
        <v>42416812.640000001</v>
      </c>
      <c r="N374" s="51">
        <f t="shared" si="1"/>
        <v>0.469648928650516</v>
      </c>
      <c r="O374" s="50">
        <v>10093217.07</v>
      </c>
      <c r="P374" s="51">
        <f t="shared" si="2"/>
        <v>0.11175447395810266</v>
      </c>
      <c r="Q374" s="50">
        <v>10093217.07</v>
      </c>
      <c r="R374" s="52">
        <f t="shared" si="3"/>
        <v>0</v>
      </c>
    </row>
    <row r="375" spans="1:18" x14ac:dyDescent="0.25">
      <c r="A375" s="49" t="s">
        <v>334</v>
      </c>
      <c r="B375" s="49" t="s">
        <v>320</v>
      </c>
      <c r="C375" s="49" t="s">
        <v>321</v>
      </c>
      <c r="D375" s="49" t="s">
        <v>69</v>
      </c>
      <c r="E375" s="50">
        <v>7059000</v>
      </c>
      <c r="F375" s="50">
        <v>2481183</v>
      </c>
      <c r="G375" s="50">
        <v>2481183</v>
      </c>
      <c r="H375" s="50">
        <v>0</v>
      </c>
      <c r="I375" s="50">
        <v>0</v>
      </c>
      <c r="J375" s="50">
        <v>0</v>
      </c>
      <c r="K375" s="50">
        <v>2327835.92</v>
      </c>
      <c r="L375" s="51">
        <f t="shared" si="0"/>
        <v>0.93819598151365702</v>
      </c>
      <c r="M375" s="50">
        <v>185000</v>
      </c>
      <c r="N375" s="51">
        <f t="shared" si="1"/>
        <v>7.4561207295068516E-2</v>
      </c>
      <c r="O375" s="50">
        <v>153347.07999999999</v>
      </c>
      <c r="P375" s="51">
        <f t="shared" si="2"/>
        <v>6.1804018486343003E-2</v>
      </c>
      <c r="Q375" s="50">
        <v>153347.07999999999</v>
      </c>
      <c r="R375" s="52">
        <f t="shared" si="3"/>
        <v>0</v>
      </c>
    </row>
    <row r="376" spans="1:18" x14ac:dyDescent="0.25">
      <c r="A376" s="49" t="s">
        <v>334</v>
      </c>
      <c r="B376" s="49" t="s">
        <v>204</v>
      </c>
      <c r="C376" s="49" t="s">
        <v>205</v>
      </c>
      <c r="D376" s="49" t="s">
        <v>69</v>
      </c>
      <c r="E376" s="50">
        <v>61279000</v>
      </c>
      <c r="F376" s="50">
        <v>61279000</v>
      </c>
      <c r="G376" s="50">
        <v>49954000</v>
      </c>
      <c r="H376" s="50">
        <v>0</v>
      </c>
      <c r="I376" s="50">
        <v>373012.78</v>
      </c>
      <c r="J376" s="50">
        <v>0</v>
      </c>
      <c r="K376" s="50">
        <v>41545498.579999998</v>
      </c>
      <c r="L376" s="51">
        <f t="shared" si="0"/>
        <v>0.67797285497478743</v>
      </c>
      <c r="M376" s="50">
        <v>38847701.979999997</v>
      </c>
      <c r="N376" s="51">
        <f t="shared" si="1"/>
        <v>0.6339480406011847</v>
      </c>
      <c r="O376" s="50">
        <v>19360488.640000001</v>
      </c>
      <c r="P376" s="51">
        <f t="shared" si="2"/>
        <v>0.31594002251994974</v>
      </c>
      <c r="Q376" s="50">
        <v>8035488.6399999997</v>
      </c>
      <c r="R376" s="52">
        <f t="shared" si="3"/>
        <v>-11325000</v>
      </c>
    </row>
    <row r="377" spans="1:18" x14ac:dyDescent="0.25">
      <c r="A377" s="49" t="s">
        <v>334</v>
      </c>
      <c r="B377" s="49" t="s">
        <v>322</v>
      </c>
      <c r="C377" s="49" t="s">
        <v>323</v>
      </c>
      <c r="D377" s="49" t="s">
        <v>69</v>
      </c>
      <c r="E377" s="50">
        <v>25948114</v>
      </c>
      <c r="F377" s="50">
        <v>25948114</v>
      </c>
      <c r="G377" s="50">
        <v>12848114</v>
      </c>
      <c r="H377" s="50">
        <v>12542880</v>
      </c>
      <c r="I377" s="50">
        <v>0</v>
      </c>
      <c r="J377" s="50">
        <v>0</v>
      </c>
      <c r="K377" s="50">
        <v>0</v>
      </c>
      <c r="L377" s="51">
        <f t="shared" si="0"/>
        <v>0</v>
      </c>
      <c r="M377" s="50">
        <v>0</v>
      </c>
      <c r="N377" s="51">
        <f t="shared" si="1"/>
        <v>0</v>
      </c>
      <c r="O377" s="50">
        <v>13405234</v>
      </c>
      <c r="P377" s="51">
        <f t="shared" si="2"/>
        <v>0.51661689169393965</v>
      </c>
      <c r="Q377" s="50">
        <v>305234</v>
      </c>
      <c r="R377" s="52">
        <f t="shared" si="3"/>
        <v>-13100000</v>
      </c>
    </row>
    <row r="378" spans="1:18" x14ac:dyDescent="0.25">
      <c r="A378" s="49" t="s">
        <v>334</v>
      </c>
      <c r="B378" s="49" t="s">
        <v>206</v>
      </c>
      <c r="C378" s="49" t="s">
        <v>207</v>
      </c>
      <c r="D378" s="49" t="s">
        <v>69</v>
      </c>
      <c r="E378" s="50">
        <v>150560000</v>
      </c>
      <c r="F378" s="50">
        <v>150560000</v>
      </c>
      <c r="G378" s="50">
        <v>148757500</v>
      </c>
      <c r="H378" s="50">
        <v>4707916.58</v>
      </c>
      <c r="I378" s="50">
        <v>14507934.02</v>
      </c>
      <c r="J378" s="50">
        <v>0</v>
      </c>
      <c r="K378" s="50">
        <v>87659541.810000002</v>
      </c>
      <c r="L378" s="51">
        <f t="shared" si="0"/>
        <v>0.58222331170297559</v>
      </c>
      <c r="M378" s="50">
        <v>86352065.510000005</v>
      </c>
      <c r="N378" s="51">
        <f t="shared" si="1"/>
        <v>0.57353922363177479</v>
      </c>
      <c r="O378" s="50">
        <v>43684607.590000004</v>
      </c>
      <c r="P378" s="51">
        <f t="shared" si="2"/>
        <v>0.2901474999335813</v>
      </c>
      <c r="Q378" s="50">
        <v>41882107.590000004</v>
      </c>
      <c r="R378" s="52">
        <f t="shared" si="3"/>
        <v>-1802500</v>
      </c>
    </row>
    <row r="379" spans="1:18" x14ac:dyDescent="0.25">
      <c r="A379" s="49" t="s">
        <v>334</v>
      </c>
      <c r="B379" s="49" t="s">
        <v>208</v>
      </c>
      <c r="C379" s="49" t="s">
        <v>209</v>
      </c>
      <c r="D379" s="49" t="s">
        <v>69</v>
      </c>
      <c r="E379" s="50">
        <v>53615000</v>
      </c>
      <c r="F379" s="50">
        <v>53615000</v>
      </c>
      <c r="G379" s="50">
        <v>51812500</v>
      </c>
      <c r="H379" s="50">
        <v>315622.59999999998</v>
      </c>
      <c r="I379" s="50">
        <v>290885</v>
      </c>
      <c r="J379" s="50">
        <v>0</v>
      </c>
      <c r="K379" s="50">
        <v>17761586</v>
      </c>
      <c r="L379" s="51">
        <f t="shared" si="0"/>
        <v>0.33128016413317168</v>
      </c>
      <c r="M379" s="50">
        <v>17761586</v>
      </c>
      <c r="N379" s="51">
        <f t="shared" si="1"/>
        <v>0.33128016413317168</v>
      </c>
      <c r="O379" s="50">
        <v>35246906.399999999</v>
      </c>
      <c r="P379" s="51">
        <f t="shared" si="2"/>
        <v>0.65740756131679567</v>
      </c>
      <c r="Q379" s="50">
        <v>33444406.399999999</v>
      </c>
      <c r="R379" s="52">
        <f t="shared" si="3"/>
        <v>-1802500</v>
      </c>
    </row>
    <row r="380" spans="1:18" x14ac:dyDescent="0.25">
      <c r="A380" s="49" t="s">
        <v>334</v>
      </c>
      <c r="B380" s="49" t="s">
        <v>210</v>
      </c>
      <c r="C380" s="49" t="s">
        <v>211</v>
      </c>
      <c r="D380" s="49" t="s">
        <v>69</v>
      </c>
      <c r="E380" s="50">
        <v>96945000</v>
      </c>
      <c r="F380" s="50">
        <v>96945000</v>
      </c>
      <c r="G380" s="50">
        <v>96945000</v>
      </c>
      <c r="H380" s="50">
        <v>4392293.9800000004</v>
      </c>
      <c r="I380" s="50">
        <v>14217049.02</v>
      </c>
      <c r="J380" s="50">
        <v>0</v>
      </c>
      <c r="K380" s="50">
        <v>69897955.810000002</v>
      </c>
      <c r="L380" s="51">
        <f t="shared" si="0"/>
        <v>0.72100630058280468</v>
      </c>
      <c r="M380" s="50">
        <v>68590479.510000005</v>
      </c>
      <c r="N380" s="51">
        <f t="shared" si="1"/>
        <v>0.7075195163236887</v>
      </c>
      <c r="O380" s="50">
        <v>8437701.1899999995</v>
      </c>
      <c r="P380" s="51">
        <f t="shared" si="2"/>
        <v>8.7035960493063072E-2</v>
      </c>
      <c r="Q380" s="50">
        <v>8437701.1899999995</v>
      </c>
      <c r="R380" s="52">
        <f t="shared" si="3"/>
        <v>0</v>
      </c>
    </row>
    <row r="381" spans="1:18" x14ac:dyDescent="0.25">
      <c r="A381" s="49" t="s">
        <v>334</v>
      </c>
      <c r="B381" s="49" t="s">
        <v>354</v>
      </c>
      <c r="C381" s="49" t="s">
        <v>355</v>
      </c>
      <c r="D381" s="49" t="s">
        <v>69</v>
      </c>
      <c r="E381" s="50">
        <v>0</v>
      </c>
      <c r="F381" s="50">
        <v>4577817</v>
      </c>
      <c r="G381" s="50">
        <v>4577817</v>
      </c>
      <c r="H381" s="50">
        <v>0</v>
      </c>
      <c r="I381" s="50">
        <v>0</v>
      </c>
      <c r="J381" s="50">
        <v>0</v>
      </c>
      <c r="K381" s="50">
        <v>0</v>
      </c>
      <c r="L381" s="51">
        <f t="shared" si="0"/>
        <v>0</v>
      </c>
      <c r="M381" s="50">
        <v>0</v>
      </c>
      <c r="N381" s="51">
        <f t="shared" si="1"/>
        <v>0</v>
      </c>
      <c r="O381" s="50">
        <v>4577817</v>
      </c>
      <c r="P381" s="51">
        <f t="shared" si="2"/>
        <v>1</v>
      </c>
      <c r="Q381" s="50">
        <v>4577817</v>
      </c>
      <c r="R381" s="52">
        <f t="shared" si="3"/>
        <v>0</v>
      </c>
    </row>
    <row r="382" spans="1:18" x14ac:dyDescent="0.25">
      <c r="A382" s="49" t="s">
        <v>334</v>
      </c>
      <c r="B382" s="49" t="s">
        <v>356</v>
      </c>
      <c r="C382" s="49" t="s">
        <v>357</v>
      </c>
      <c r="D382" s="49" t="s">
        <v>69</v>
      </c>
      <c r="E382" s="50">
        <v>0</v>
      </c>
      <c r="F382" s="50">
        <v>4577817</v>
      </c>
      <c r="G382" s="50">
        <v>4577817</v>
      </c>
      <c r="H382" s="50">
        <v>0</v>
      </c>
      <c r="I382" s="50">
        <v>0</v>
      </c>
      <c r="J382" s="50">
        <v>0</v>
      </c>
      <c r="K382" s="50">
        <v>0</v>
      </c>
      <c r="L382" s="51">
        <f t="shared" si="0"/>
        <v>0</v>
      </c>
      <c r="M382" s="50">
        <v>0</v>
      </c>
      <c r="N382" s="51">
        <f t="shared" si="1"/>
        <v>0</v>
      </c>
      <c r="O382" s="50">
        <v>4577817</v>
      </c>
      <c r="P382" s="51">
        <f t="shared" si="2"/>
        <v>1</v>
      </c>
      <c r="Q382" s="50">
        <v>4577817</v>
      </c>
      <c r="R382" s="52">
        <f t="shared" si="3"/>
        <v>0</v>
      </c>
    </row>
    <row r="383" spans="1:18" x14ac:dyDescent="0.25">
      <c r="A383" s="49" t="s">
        <v>334</v>
      </c>
      <c r="B383" s="49" t="s">
        <v>212</v>
      </c>
      <c r="C383" s="49" t="s">
        <v>213</v>
      </c>
      <c r="D383" s="49" t="s">
        <v>69</v>
      </c>
      <c r="E383" s="50">
        <v>1656349984</v>
      </c>
      <c r="F383" s="50">
        <v>1656349984</v>
      </c>
      <c r="G383" s="50">
        <v>1580996984</v>
      </c>
      <c r="H383" s="50">
        <v>103487087.62</v>
      </c>
      <c r="I383" s="50">
        <v>470425533.88999999</v>
      </c>
      <c r="J383" s="50">
        <v>74825127.5</v>
      </c>
      <c r="K383" s="50">
        <v>877425435.44000006</v>
      </c>
      <c r="L383" s="51">
        <f t="shared" si="0"/>
        <v>0.52973432180140023</v>
      </c>
      <c r="M383" s="50">
        <v>820108706.96000004</v>
      </c>
      <c r="N383" s="51">
        <f t="shared" si="1"/>
        <v>0.49513008415013821</v>
      </c>
      <c r="O383" s="50">
        <v>130186799.55</v>
      </c>
      <c r="P383" s="51">
        <f t="shared" si="2"/>
        <v>7.8598605854787756E-2</v>
      </c>
      <c r="Q383" s="50">
        <v>54833799.549999997</v>
      </c>
      <c r="R383" s="52">
        <f t="shared" si="3"/>
        <v>-75353000</v>
      </c>
    </row>
    <row r="384" spans="1:18" x14ac:dyDescent="0.25">
      <c r="A384" s="49" t="s">
        <v>334</v>
      </c>
      <c r="B384" s="49" t="s">
        <v>214</v>
      </c>
      <c r="C384" s="49" t="s">
        <v>215</v>
      </c>
      <c r="D384" s="49" t="s">
        <v>69</v>
      </c>
      <c r="E384" s="50">
        <v>34070136</v>
      </c>
      <c r="F384" s="50">
        <v>34070136</v>
      </c>
      <c r="G384" s="50">
        <v>19870136</v>
      </c>
      <c r="H384" s="50">
        <v>1102772</v>
      </c>
      <c r="I384" s="50">
        <v>8620436.8100000005</v>
      </c>
      <c r="J384" s="50">
        <v>0</v>
      </c>
      <c r="K384" s="50">
        <v>1039487</v>
      </c>
      <c r="L384" s="51">
        <f t="shared" si="0"/>
        <v>3.0510209879995785E-2</v>
      </c>
      <c r="M384" s="50">
        <v>1039487</v>
      </c>
      <c r="N384" s="51">
        <f t="shared" si="1"/>
        <v>3.0510209879995785E-2</v>
      </c>
      <c r="O384" s="50">
        <v>23307440.190000001</v>
      </c>
      <c r="P384" s="51">
        <f t="shared" si="2"/>
        <v>0.68410176554622504</v>
      </c>
      <c r="Q384" s="50">
        <v>9107440.1899999995</v>
      </c>
      <c r="R384" s="52">
        <f t="shared" si="3"/>
        <v>-14200000</v>
      </c>
    </row>
    <row r="385" spans="1:18" x14ac:dyDescent="0.25">
      <c r="A385" s="49" t="s">
        <v>334</v>
      </c>
      <c r="B385" s="49" t="s">
        <v>216</v>
      </c>
      <c r="C385" s="49" t="s">
        <v>217</v>
      </c>
      <c r="D385" s="49" t="s">
        <v>69</v>
      </c>
      <c r="E385" s="50">
        <v>65363019</v>
      </c>
      <c r="F385" s="50">
        <v>65363019</v>
      </c>
      <c r="G385" s="50">
        <v>49911019</v>
      </c>
      <c r="H385" s="50">
        <v>13716264.4</v>
      </c>
      <c r="I385" s="50">
        <v>9681992.8800000008</v>
      </c>
      <c r="J385" s="50">
        <v>0</v>
      </c>
      <c r="K385" s="50">
        <v>19112210.600000001</v>
      </c>
      <c r="L385" s="51">
        <f t="shared" si="0"/>
        <v>0.29240097676638838</v>
      </c>
      <c r="M385" s="50">
        <v>9284222.0999999996</v>
      </c>
      <c r="N385" s="51">
        <f t="shared" si="1"/>
        <v>0.14204090083415516</v>
      </c>
      <c r="O385" s="50">
        <v>22852551.120000001</v>
      </c>
      <c r="P385" s="51">
        <f t="shared" si="2"/>
        <v>0.34962508570786793</v>
      </c>
      <c r="Q385" s="50">
        <v>7400551.1200000001</v>
      </c>
      <c r="R385" s="52">
        <f t="shared" si="3"/>
        <v>-15452000</v>
      </c>
    </row>
    <row r="386" spans="1:18" x14ac:dyDescent="0.25">
      <c r="A386" s="49" t="s">
        <v>334</v>
      </c>
      <c r="B386" s="49" t="s">
        <v>218</v>
      </c>
      <c r="C386" s="49" t="s">
        <v>219</v>
      </c>
      <c r="D386" s="49" t="s">
        <v>69</v>
      </c>
      <c r="E386" s="50">
        <v>146259000</v>
      </c>
      <c r="F386" s="50">
        <v>146259000</v>
      </c>
      <c r="G386" s="50">
        <v>113759000</v>
      </c>
      <c r="H386" s="50">
        <v>14662900</v>
      </c>
      <c r="I386" s="50">
        <v>54756238.32</v>
      </c>
      <c r="J386" s="50">
        <v>9445008</v>
      </c>
      <c r="K386" s="50">
        <v>30454144.09</v>
      </c>
      <c r="L386" s="51">
        <f t="shared" si="0"/>
        <v>0.2082206502847688</v>
      </c>
      <c r="M386" s="50">
        <v>30454144.09</v>
      </c>
      <c r="N386" s="51">
        <f t="shared" si="1"/>
        <v>0.2082206502847688</v>
      </c>
      <c r="O386" s="50">
        <v>36940709.590000004</v>
      </c>
      <c r="P386" s="51">
        <f t="shared" si="2"/>
        <v>0.2525705056782831</v>
      </c>
      <c r="Q386" s="50">
        <v>4440709.59</v>
      </c>
      <c r="R386" s="52">
        <f t="shared" si="3"/>
        <v>-32500000</v>
      </c>
    </row>
    <row r="387" spans="1:18" x14ac:dyDescent="0.25">
      <c r="A387" s="49" t="s">
        <v>334</v>
      </c>
      <c r="B387" s="49" t="s">
        <v>220</v>
      </c>
      <c r="C387" s="49" t="s">
        <v>221</v>
      </c>
      <c r="D387" s="49" t="s">
        <v>69</v>
      </c>
      <c r="E387" s="50">
        <v>643150000</v>
      </c>
      <c r="F387" s="50">
        <v>643150000</v>
      </c>
      <c r="G387" s="50">
        <v>634223000</v>
      </c>
      <c r="H387" s="50">
        <v>26694100</v>
      </c>
      <c r="I387" s="50">
        <v>284752471.70999998</v>
      </c>
      <c r="J387" s="50">
        <v>8624714.75</v>
      </c>
      <c r="K387" s="50">
        <v>303963246.25</v>
      </c>
      <c r="L387" s="51">
        <f t="shared" si="0"/>
        <v>0.47261641335613774</v>
      </c>
      <c r="M387" s="50">
        <v>302825746.25</v>
      </c>
      <c r="N387" s="51">
        <f t="shared" si="1"/>
        <v>0.47084777462489308</v>
      </c>
      <c r="O387" s="50">
        <v>19115467.289999999</v>
      </c>
      <c r="P387" s="51">
        <f t="shared" si="2"/>
        <v>2.9721631485656534E-2</v>
      </c>
      <c r="Q387" s="50">
        <v>10188467.289999999</v>
      </c>
      <c r="R387" s="52">
        <f t="shared" si="3"/>
        <v>-8927000</v>
      </c>
    </row>
    <row r="388" spans="1:18" x14ac:dyDescent="0.25">
      <c r="A388" s="49" t="s">
        <v>334</v>
      </c>
      <c r="B388" s="49" t="s">
        <v>222</v>
      </c>
      <c r="C388" s="49" t="s">
        <v>223</v>
      </c>
      <c r="D388" s="49" t="s">
        <v>69</v>
      </c>
      <c r="E388" s="50">
        <v>302355000</v>
      </c>
      <c r="F388" s="50">
        <v>302355000</v>
      </c>
      <c r="G388" s="50">
        <v>302355000</v>
      </c>
      <c r="H388" s="50">
        <v>37648551.219999999</v>
      </c>
      <c r="I388" s="50">
        <v>73131303.829999998</v>
      </c>
      <c r="J388" s="50">
        <v>0</v>
      </c>
      <c r="K388" s="50">
        <v>189099511.91</v>
      </c>
      <c r="L388" s="51">
        <f t="shared" si="0"/>
        <v>0.62542214254766748</v>
      </c>
      <c r="M388" s="50">
        <v>189099511.91</v>
      </c>
      <c r="N388" s="51">
        <f t="shared" si="1"/>
        <v>0.62542214254766748</v>
      </c>
      <c r="O388" s="50">
        <v>2475633.04</v>
      </c>
      <c r="P388" s="51">
        <f t="shared" si="2"/>
        <v>8.1878356236873874E-3</v>
      </c>
      <c r="Q388" s="50">
        <v>2475633.04</v>
      </c>
      <c r="R388" s="52">
        <f t="shared" si="3"/>
        <v>0</v>
      </c>
    </row>
    <row r="389" spans="1:18" x14ac:dyDescent="0.25">
      <c r="A389" s="49" t="s">
        <v>334</v>
      </c>
      <c r="B389" s="49" t="s">
        <v>224</v>
      </c>
      <c r="C389" s="49" t="s">
        <v>225</v>
      </c>
      <c r="D389" s="49" t="s">
        <v>69</v>
      </c>
      <c r="E389" s="50">
        <v>182921000</v>
      </c>
      <c r="F389" s="50">
        <v>182921000</v>
      </c>
      <c r="G389" s="50">
        <v>180421000</v>
      </c>
      <c r="H389" s="50">
        <v>5664000</v>
      </c>
      <c r="I389" s="50">
        <v>6659809.71</v>
      </c>
      <c r="J389" s="50">
        <v>3265712.5</v>
      </c>
      <c r="K389" s="50">
        <v>157561009.05000001</v>
      </c>
      <c r="L389" s="51">
        <f t="shared" si="0"/>
        <v>0.86136096484274638</v>
      </c>
      <c r="M389" s="50">
        <v>157561009.05000001</v>
      </c>
      <c r="N389" s="51">
        <f t="shared" si="1"/>
        <v>0.86136096484274638</v>
      </c>
      <c r="O389" s="50">
        <v>9770468.7400000002</v>
      </c>
      <c r="P389" s="51">
        <f t="shared" si="2"/>
        <v>5.3413597891986159E-2</v>
      </c>
      <c r="Q389" s="50">
        <v>7270468.7400000002</v>
      </c>
      <c r="R389" s="52">
        <f t="shared" si="3"/>
        <v>-2500000</v>
      </c>
    </row>
    <row r="390" spans="1:18" x14ac:dyDescent="0.25">
      <c r="A390" s="49" t="s">
        <v>334</v>
      </c>
      <c r="B390" s="49" t="s">
        <v>226</v>
      </c>
      <c r="C390" s="49" t="s">
        <v>227</v>
      </c>
      <c r="D390" s="49" t="s">
        <v>69</v>
      </c>
      <c r="E390" s="50">
        <v>92727347</v>
      </c>
      <c r="F390" s="50">
        <v>92727347</v>
      </c>
      <c r="G390" s="50">
        <v>92727347</v>
      </c>
      <c r="H390" s="50">
        <v>0</v>
      </c>
      <c r="I390" s="50">
        <v>11179416.859999999</v>
      </c>
      <c r="J390" s="50">
        <v>53489692.25</v>
      </c>
      <c r="K390" s="50">
        <v>27068478.489999998</v>
      </c>
      <c r="L390" s="51">
        <f t="shared" si="0"/>
        <v>0.29191473028986797</v>
      </c>
      <c r="M390" s="50">
        <v>16868478.489999998</v>
      </c>
      <c r="N390" s="51">
        <f t="shared" si="1"/>
        <v>0.18191481839764054</v>
      </c>
      <c r="O390" s="50">
        <v>989759.4</v>
      </c>
      <c r="P390" s="51">
        <f t="shared" si="2"/>
        <v>1.0673867332794499E-2</v>
      </c>
      <c r="Q390" s="50">
        <v>989759.4</v>
      </c>
      <c r="R390" s="52">
        <f t="shared" si="3"/>
        <v>0</v>
      </c>
    </row>
    <row r="391" spans="1:18" x14ac:dyDescent="0.25">
      <c r="A391" s="49" t="s">
        <v>334</v>
      </c>
      <c r="B391" s="49" t="s">
        <v>228</v>
      </c>
      <c r="C391" s="49" t="s">
        <v>229</v>
      </c>
      <c r="D391" s="49" t="s">
        <v>69</v>
      </c>
      <c r="E391" s="50">
        <v>189504482</v>
      </c>
      <c r="F391" s="50">
        <v>189504482</v>
      </c>
      <c r="G391" s="50">
        <v>187730482</v>
      </c>
      <c r="H391" s="50">
        <v>3998500</v>
      </c>
      <c r="I391" s="50">
        <v>21643863.77</v>
      </c>
      <c r="J391" s="50">
        <v>0</v>
      </c>
      <c r="K391" s="50">
        <v>149127348.05000001</v>
      </c>
      <c r="L391" s="51">
        <f t="shared" si="0"/>
        <v>0.78693309243208298</v>
      </c>
      <c r="M391" s="50">
        <v>112976108.06999999</v>
      </c>
      <c r="N391" s="51">
        <f t="shared" si="1"/>
        <v>0.59616588946956939</v>
      </c>
      <c r="O391" s="50">
        <v>14734770.18</v>
      </c>
      <c r="P391" s="51">
        <f t="shared" si="2"/>
        <v>7.7754204145947317E-2</v>
      </c>
      <c r="Q391" s="50">
        <v>12960770.18</v>
      </c>
      <c r="R391" s="52">
        <f t="shared" si="3"/>
        <v>-1774000</v>
      </c>
    </row>
    <row r="392" spans="1:18" x14ac:dyDescent="0.25">
      <c r="A392" s="49" t="s">
        <v>334</v>
      </c>
      <c r="B392" s="49" t="s">
        <v>230</v>
      </c>
      <c r="C392" s="49" t="s">
        <v>231</v>
      </c>
      <c r="D392" s="49" t="s">
        <v>69</v>
      </c>
      <c r="E392" s="50">
        <v>883769579</v>
      </c>
      <c r="F392" s="50">
        <v>2869779259</v>
      </c>
      <c r="G392" s="50">
        <v>1830781706</v>
      </c>
      <c r="H392" s="50">
        <v>64155452.640000001</v>
      </c>
      <c r="I392" s="50">
        <v>385726978.13</v>
      </c>
      <c r="J392" s="50">
        <v>448800</v>
      </c>
      <c r="K392" s="50">
        <v>965763640.41999996</v>
      </c>
      <c r="L392" s="51">
        <f t="shared" si="0"/>
        <v>0.33652889412704473</v>
      </c>
      <c r="M392" s="50">
        <v>883443706.65999997</v>
      </c>
      <c r="N392" s="51">
        <f t="shared" si="1"/>
        <v>0.30784378411315294</v>
      </c>
      <c r="O392" s="50">
        <v>1453684387.8099999</v>
      </c>
      <c r="P392" s="51">
        <f t="shared" si="2"/>
        <v>0.50654919999545511</v>
      </c>
      <c r="Q392" s="50">
        <v>414686834.81</v>
      </c>
      <c r="R392" s="52">
        <f t="shared" si="3"/>
        <v>-1038997553</v>
      </c>
    </row>
    <row r="393" spans="1:18" x14ac:dyDescent="0.25">
      <c r="A393" s="49" t="s">
        <v>334</v>
      </c>
      <c r="B393" s="49" t="s">
        <v>232</v>
      </c>
      <c r="C393" s="49" t="s">
        <v>233</v>
      </c>
      <c r="D393" s="49" t="s">
        <v>69</v>
      </c>
      <c r="E393" s="50">
        <v>667187579</v>
      </c>
      <c r="F393" s="50">
        <v>667187579</v>
      </c>
      <c r="G393" s="50">
        <v>646404248</v>
      </c>
      <c r="H393" s="50">
        <v>64155452.640000001</v>
      </c>
      <c r="I393" s="50">
        <v>207621842.74000001</v>
      </c>
      <c r="J393" s="50">
        <v>0</v>
      </c>
      <c r="K393" s="50">
        <v>301466971.04000002</v>
      </c>
      <c r="L393" s="51">
        <f t="shared" si="0"/>
        <v>0.45184739723699208</v>
      </c>
      <c r="M393" s="50">
        <v>219826092.28</v>
      </c>
      <c r="N393" s="51">
        <f t="shared" si="1"/>
        <v>0.32948169180469711</v>
      </c>
      <c r="O393" s="50">
        <v>93943312.579999998</v>
      </c>
      <c r="P393" s="51">
        <f t="shared" si="2"/>
        <v>0.1408049483187396</v>
      </c>
      <c r="Q393" s="50">
        <v>73159981.579999998</v>
      </c>
      <c r="R393" s="52">
        <f t="shared" si="3"/>
        <v>-20783331</v>
      </c>
    </row>
    <row r="394" spans="1:18" x14ac:dyDescent="0.25">
      <c r="A394" s="49" t="s">
        <v>334</v>
      </c>
      <c r="B394" s="49" t="s">
        <v>234</v>
      </c>
      <c r="C394" s="49" t="s">
        <v>235</v>
      </c>
      <c r="D394" s="49" t="s">
        <v>85</v>
      </c>
      <c r="E394" s="50">
        <v>33062000</v>
      </c>
      <c r="F394" s="50">
        <v>19951724</v>
      </c>
      <c r="G394" s="50">
        <v>10198794</v>
      </c>
      <c r="H394" s="50">
        <v>0</v>
      </c>
      <c r="I394" s="50">
        <v>0</v>
      </c>
      <c r="J394" s="50">
        <v>0</v>
      </c>
      <c r="K394" s="50">
        <v>6551172.9400000004</v>
      </c>
      <c r="L394" s="51">
        <f t="shared" si="0"/>
        <v>0.32835122117767868</v>
      </c>
      <c r="M394" s="50">
        <v>3403720</v>
      </c>
      <c r="N394" s="51">
        <f t="shared" si="1"/>
        <v>0.1705977889429505</v>
      </c>
      <c r="O394" s="50">
        <v>13400551.060000001</v>
      </c>
      <c r="P394" s="51">
        <f t="shared" si="2"/>
        <v>0.67164877882232132</v>
      </c>
      <c r="Q394" s="50">
        <v>3647621.06</v>
      </c>
      <c r="R394" s="52">
        <f t="shared" si="3"/>
        <v>-9752930</v>
      </c>
    </row>
    <row r="395" spans="1:18" x14ac:dyDescent="0.25">
      <c r="A395" s="49" t="s">
        <v>334</v>
      </c>
      <c r="B395" s="49" t="s">
        <v>324</v>
      </c>
      <c r="C395" s="49" t="s">
        <v>325</v>
      </c>
      <c r="D395" s="49" t="s">
        <v>85</v>
      </c>
      <c r="E395" s="50">
        <v>72100000</v>
      </c>
      <c r="F395" s="50">
        <v>72100000</v>
      </c>
      <c r="G395" s="50">
        <v>71925000</v>
      </c>
      <c r="H395" s="50">
        <v>53968532.640000001</v>
      </c>
      <c r="I395" s="50">
        <v>815400</v>
      </c>
      <c r="J395" s="50">
        <v>0</v>
      </c>
      <c r="K395" s="50">
        <v>16883370</v>
      </c>
      <c r="L395" s="51">
        <f t="shared" si="0"/>
        <v>0.23416601941747572</v>
      </c>
      <c r="M395" s="50">
        <v>16883370</v>
      </c>
      <c r="N395" s="51">
        <f t="shared" si="1"/>
        <v>0.23416601941747572</v>
      </c>
      <c r="O395" s="50">
        <v>432697.36</v>
      </c>
      <c r="P395" s="51">
        <f t="shared" si="2"/>
        <v>6.0013503467406379E-3</v>
      </c>
      <c r="Q395" s="50">
        <v>257697.36</v>
      </c>
      <c r="R395" s="52">
        <f t="shared" si="3"/>
        <v>-175000</v>
      </c>
    </row>
    <row r="396" spans="1:18" x14ac:dyDescent="0.25">
      <c r="A396" s="49" t="s">
        <v>334</v>
      </c>
      <c r="B396" s="49" t="s">
        <v>236</v>
      </c>
      <c r="C396" s="49" t="s">
        <v>237</v>
      </c>
      <c r="D396" s="49" t="s">
        <v>69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1" t="e">
        <f t="shared" si="0"/>
        <v>#DIV/0!</v>
      </c>
      <c r="M396" s="50">
        <v>0</v>
      </c>
      <c r="N396" s="51" t="e">
        <f t="shared" si="1"/>
        <v>#DIV/0!</v>
      </c>
      <c r="O396" s="50">
        <v>0</v>
      </c>
      <c r="P396" s="51" t="e">
        <f t="shared" si="2"/>
        <v>#DIV/0!</v>
      </c>
      <c r="Q396" s="50">
        <v>0</v>
      </c>
      <c r="R396" s="52">
        <f t="shared" si="3"/>
        <v>0</v>
      </c>
    </row>
    <row r="397" spans="1:18" x14ac:dyDescent="0.25">
      <c r="A397" s="49" t="s">
        <v>334</v>
      </c>
      <c r="B397" s="49" t="s">
        <v>236</v>
      </c>
      <c r="C397" s="49" t="s">
        <v>237</v>
      </c>
      <c r="D397" s="49" t="s">
        <v>85</v>
      </c>
      <c r="E397" s="50">
        <v>147248000</v>
      </c>
      <c r="F397" s="50">
        <v>141523000</v>
      </c>
      <c r="G397" s="50">
        <v>131022659</v>
      </c>
      <c r="H397" s="50">
        <v>0</v>
      </c>
      <c r="I397" s="50">
        <v>33474600</v>
      </c>
      <c r="J397" s="50">
        <v>0</v>
      </c>
      <c r="K397" s="50">
        <v>80817505.359999999</v>
      </c>
      <c r="L397" s="51">
        <f t="shared" si="0"/>
        <v>0.57105562601131976</v>
      </c>
      <c r="M397" s="50">
        <v>8291005</v>
      </c>
      <c r="N397" s="51">
        <f t="shared" si="1"/>
        <v>5.8584152399256656E-2</v>
      </c>
      <c r="O397" s="50">
        <v>27230894.640000001</v>
      </c>
      <c r="P397" s="51">
        <f t="shared" si="2"/>
        <v>0.19241320944298806</v>
      </c>
      <c r="Q397" s="50">
        <v>16730553.640000001</v>
      </c>
      <c r="R397" s="52">
        <f t="shared" si="3"/>
        <v>-10500341</v>
      </c>
    </row>
    <row r="398" spans="1:18" x14ac:dyDescent="0.25">
      <c r="A398" s="49" t="s">
        <v>334</v>
      </c>
      <c r="B398" s="49" t="s">
        <v>238</v>
      </c>
      <c r="C398" s="49" t="s">
        <v>239</v>
      </c>
      <c r="D398" s="49" t="s">
        <v>69</v>
      </c>
      <c r="E398" s="50">
        <v>0</v>
      </c>
      <c r="F398" s="50">
        <v>0</v>
      </c>
      <c r="G398" s="50">
        <v>0</v>
      </c>
      <c r="H398" s="50">
        <v>0</v>
      </c>
      <c r="I398" s="50">
        <v>0</v>
      </c>
      <c r="J398" s="50">
        <v>0</v>
      </c>
      <c r="K398" s="50">
        <v>0</v>
      </c>
      <c r="L398" s="51" t="e">
        <f t="shared" si="0"/>
        <v>#DIV/0!</v>
      </c>
      <c r="M398" s="50">
        <v>0</v>
      </c>
      <c r="N398" s="51" t="e">
        <f t="shared" si="1"/>
        <v>#DIV/0!</v>
      </c>
      <c r="O398" s="50">
        <v>0</v>
      </c>
      <c r="P398" s="51" t="e">
        <f t="shared" si="2"/>
        <v>#DIV/0!</v>
      </c>
      <c r="Q398" s="50">
        <v>0</v>
      </c>
      <c r="R398" s="52">
        <f t="shared" si="3"/>
        <v>0</v>
      </c>
    </row>
    <row r="399" spans="1:18" x14ac:dyDescent="0.25">
      <c r="A399" s="49" t="s">
        <v>334</v>
      </c>
      <c r="B399" s="49" t="s">
        <v>238</v>
      </c>
      <c r="C399" s="49" t="s">
        <v>239</v>
      </c>
      <c r="D399" s="49" t="s">
        <v>85</v>
      </c>
      <c r="E399" s="50">
        <v>69415579</v>
      </c>
      <c r="F399" s="50">
        <v>88250855</v>
      </c>
      <c r="G399" s="50">
        <v>88250855</v>
      </c>
      <c r="H399" s="50">
        <v>7801920</v>
      </c>
      <c r="I399" s="50">
        <v>39155250</v>
      </c>
      <c r="J399" s="50">
        <v>0</v>
      </c>
      <c r="K399" s="50">
        <v>39072562.829999998</v>
      </c>
      <c r="L399" s="51">
        <f t="shared" si="0"/>
        <v>0.44274429783144875</v>
      </c>
      <c r="M399" s="50">
        <v>38575637.369999997</v>
      </c>
      <c r="N399" s="51">
        <f t="shared" si="1"/>
        <v>0.43711346898565456</v>
      </c>
      <c r="O399" s="50">
        <v>2221122.17</v>
      </c>
      <c r="P399" s="51">
        <f t="shared" si="2"/>
        <v>2.5168279332817796E-2</v>
      </c>
      <c r="Q399" s="50">
        <v>2221122.17</v>
      </c>
      <c r="R399" s="52">
        <f t="shared" si="3"/>
        <v>0</v>
      </c>
    </row>
    <row r="400" spans="1:18" x14ac:dyDescent="0.25">
      <c r="A400" s="49" t="s">
        <v>334</v>
      </c>
      <c r="B400" s="49" t="s">
        <v>282</v>
      </c>
      <c r="C400" s="49" t="s">
        <v>283</v>
      </c>
      <c r="D400" s="49" t="s">
        <v>85</v>
      </c>
      <c r="E400" s="50">
        <v>21137000</v>
      </c>
      <c r="F400" s="50">
        <v>21137000</v>
      </c>
      <c r="G400" s="50">
        <v>21137000</v>
      </c>
      <c r="H400" s="50">
        <v>0</v>
      </c>
      <c r="I400" s="50">
        <v>5279595.8600000003</v>
      </c>
      <c r="J400" s="50">
        <v>0</v>
      </c>
      <c r="K400" s="50">
        <v>13982594.789999999</v>
      </c>
      <c r="L400" s="51">
        <f t="shared" si="0"/>
        <v>0.6615222022992856</v>
      </c>
      <c r="M400" s="50">
        <v>13982594.789999999</v>
      </c>
      <c r="N400" s="51">
        <f t="shared" si="1"/>
        <v>0.6615222022992856</v>
      </c>
      <c r="O400" s="50">
        <v>1874809.35</v>
      </c>
      <c r="P400" s="51">
        <f t="shared" si="2"/>
        <v>8.8697986942328624E-2</v>
      </c>
      <c r="Q400" s="50">
        <v>1874809.35</v>
      </c>
      <c r="R400" s="52">
        <f t="shared" si="3"/>
        <v>0</v>
      </c>
    </row>
    <row r="401" spans="1:18" x14ac:dyDescent="0.25">
      <c r="A401" s="49" t="s">
        <v>334</v>
      </c>
      <c r="B401" s="49" t="s">
        <v>326</v>
      </c>
      <c r="C401" s="49" t="s">
        <v>327</v>
      </c>
      <c r="D401" s="49" t="s">
        <v>85</v>
      </c>
      <c r="E401" s="50">
        <v>29458000</v>
      </c>
      <c r="F401" s="50">
        <v>29458000</v>
      </c>
      <c r="G401" s="50">
        <v>29448040</v>
      </c>
      <c r="H401" s="50">
        <v>0</v>
      </c>
      <c r="I401" s="50">
        <v>3126074.23</v>
      </c>
      <c r="J401" s="50">
        <v>0</v>
      </c>
      <c r="K401" s="50">
        <v>25143123.059999999</v>
      </c>
      <c r="L401" s="51">
        <f t="shared" si="0"/>
        <v>0.85352444361463775</v>
      </c>
      <c r="M401" s="50">
        <v>25143123.059999999</v>
      </c>
      <c r="N401" s="51">
        <f t="shared" si="1"/>
        <v>0.85352444361463775</v>
      </c>
      <c r="O401" s="50">
        <v>1188802.71</v>
      </c>
      <c r="P401" s="51">
        <f t="shared" si="2"/>
        <v>4.0355852739493513E-2</v>
      </c>
      <c r="Q401" s="50">
        <v>1178842.71</v>
      </c>
      <c r="R401" s="52">
        <f t="shared" si="3"/>
        <v>-9960</v>
      </c>
    </row>
    <row r="402" spans="1:18" x14ac:dyDescent="0.25">
      <c r="A402" s="49" t="s">
        <v>334</v>
      </c>
      <c r="B402" s="49" t="s">
        <v>240</v>
      </c>
      <c r="C402" s="49" t="s">
        <v>241</v>
      </c>
      <c r="D402" s="49" t="s">
        <v>85</v>
      </c>
      <c r="E402" s="50">
        <v>5405000</v>
      </c>
      <c r="F402" s="50">
        <v>5405000</v>
      </c>
      <c r="G402" s="50">
        <v>5379700</v>
      </c>
      <c r="H402" s="50">
        <v>0</v>
      </c>
      <c r="I402" s="50">
        <v>0</v>
      </c>
      <c r="J402" s="50">
        <v>0</v>
      </c>
      <c r="K402" s="50">
        <v>5356450</v>
      </c>
      <c r="L402" s="51">
        <f t="shared" si="0"/>
        <v>0.99101757631822385</v>
      </c>
      <c r="M402" s="50">
        <v>3981450</v>
      </c>
      <c r="N402" s="51">
        <f t="shared" si="1"/>
        <v>0.73662349676225714</v>
      </c>
      <c r="O402" s="50">
        <v>48550</v>
      </c>
      <c r="P402" s="51">
        <f t="shared" si="2"/>
        <v>8.9824236817761336E-3</v>
      </c>
      <c r="Q402" s="50">
        <v>23250</v>
      </c>
      <c r="R402" s="52">
        <f t="shared" si="3"/>
        <v>-25300</v>
      </c>
    </row>
    <row r="403" spans="1:18" x14ac:dyDescent="0.25">
      <c r="A403" s="49" t="s">
        <v>334</v>
      </c>
      <c r="B403" s="49" t="s">
        <v>242</v>
      </c>
      <c r="C403" s="49" t="s">
        <v>243</v>
      </c>
      <c r="D403" s="49" t="s">
        <v>85</v>
      </c>
      <c r="E403" s="50">
        <v>289362000</v>
      </c>
      <c r="F403" s="50">
        <v>289362000</v>
      </c>
      <c r="G403" s="50">
        <v>289042200</v>
      </c>
      <c r="H403" s="50">
        <v>2385000</v>
      </c>
      <c r="I403" s="50">
        <v>125770922.65000001</v>
      </c>
      <c r="J403" s="50">
        <v>0</v>
      </c>
      <c r="K403" s="50">
        <v>113660192.06</v>
      </c>
      <c r="L403" s="51">
        <f t="shared" si="0"/>
        <v>0.39279584762339215</v>
      </c>
      <c r="M403" s="50">
        <v>109565192.06</v>
      </c>
      <c r="N403" s="51">
        <f t="shared" si="1"/>
        <v>0.37864402395615182</v>
      </c>
      <c r="O403" s="50">
        <v>47545885.289999999</v>
      </c>
      <c r="P403" s="51">
        <f t="shared" si="2"/>
        <v>0.16431281678312978</v>
      </c>
      <c r="Q403" s="50">
        <v>47226085.289999999</v>
      </c>
      <c r="R403" s="52">
        <f t="shared" si="3"/>
        <v>-319800</v>
      </c>
    </row>
    <row r="404" spans="1:18" x14ac:dyDescent="0.25">
      <c r="A404" s="49" t="s">
        <v>334</v>
      </c>
      <c r="B404" s="49" t="s">
        <v>328</v>
      </c>
      <c r="C404" s="49" t="s">
        <v>329</v>
      </c>
      <c r="D404" s="49" t="s">
        <v>85</v>
      </c>
      <c r="E404" s="50">
        <v>8088000</v>
      </c>
      <c r="F404" s="50">
        <v>1754053148</v>
      </c>
      <c r="G404" s="50">
        <v>735838926</v>
      </c>
      <c r="H404" s="50">
        <v>0</v>
      </c>
      <c r="I404" s="50">
        <v>1537555.78</v>
      </c>
      <c r="J404" s="50">
        <v>0</v>
      </c>
      <c r="K404" s="50">
        <v>658569745.77999997</v>
      </c>
      <c r="L404" s="51">
        <f t="shared" si="0"/>
        <v>0.37545598121180762</v>
      </c>
      <c r="M404" s="50">
        <v>657890690.77999997</v>
      </c>
      <c r="N404" s="51">
        <f t="shared" si="1"/>
        <v>0.3750688464201542</v>
      </c>
      <c r="O404" s="50">
        <v>1093945846.4400001</v>
      </c>
      <c r="P404" s="51">
        <f t="shared" si="2"/>
        <v>0.62366744570273425</v>
      </c>
      <c r="Q404" s="50">
        <v>75731624.439999998</v>
      </c>
      <c r="R404" s="52">
        <f t="shared" si="3"/>
        <v>-1018214222</v>
      </c>
    </row>
    <row r="405" spans="1:18" x14ac:dyDescent="0.25">
      <c r="A405" s="49" t="s">
        <v>334</v>
      </c>
      <c r="B405" s="49" t="s">
        <v>330</v>
      </c>
      <c r="C405" s="49" t="s">
        <v>331</v>
      </c>
      <c r="D405" s="49" t="s">
        <v>85</v>
      </c>
      <c r="E405" s="50">
        <v>0</v>
      </c>
      <c r="F405" s="50">
        <v>1745965148</v>
      </c>
      <c r="G405" s="50">
        <v>727750926</v>
      </c>
      <c r="H405" s="50">
        <v>0</v>
      </c>
      <c r="I405" s="50">
        <v>858500.78</v>
      </c>
      <c r="J405" s="50">
        <v>0</v>
      </c>
      <c r="K405" s="50">
        <v>651794361.77999997</v>
      </c>
      <c r="L405" s="51">
        <f t="shared" si="0"/>
        <v>0.37331464635856521</v>
      </c>
      <c r="M405" s="50">
        <v>651794361.77999997</v>
      </c>
      <c r="N405" s="51">
        <f t="shared" si="1"/>
        <v>0.37331464635856521</v>
      </c>
      <c r="O405" s="50">
        <v>1093312285.4400001</v>
      </c>
      <c r="P405" s="51">
        <f t="shared" si="2"/>
        <v>0.62619364807618716</v>
      </c>
      <c r="Q405" s="50">
        <v>75098063.439999998</v>
      </c>
      <c r="R405" s="52">
        <f t="shared" si="3"/>
        <v>-1018214222</v>
      </c>
    </row>
    <row r="406" spans="1:18" x14ac:dyDescent="0.25">
      <c r="A406" s="49" t="s">
        <v>334</v>
      </c>
      <c r="B406" s="49" t="s">
        <v>358</v>
      </c>
      <c r="C406" s="49" t="s">
        <v>359</v>
      </c>
      <c r="D406" s="49" t="s">
        <v>85</v>
      </c>
      <c r="E406" s="50">
        <v>8088000</v>
      </c>
      <c r="F406" s="50">
        <v>8088000</v>
      </c>
      <c r="G406" s="50">
        <v>8088000</v>
      </c>
      <c r="H406" s="50">
        <v>0</v>
      </c>
      <c r="I406" s="50">
        <v>679055</v>
      </c>
      <c r="J406" s="50">
        <v>0</v>
      </c>
      <c r="K406" s="50">
        <v>6775384</v>
      </c>
      <c r="L406" s="51">
        <f t="shared" si="0"/>
        <v>0.8377082096933729</v>
      </c>
      <c r="M406" s="50">
        <v>6096329</v>
      </c>
      <c r="N406" s="51">
        <f t="shared" si="1"/>
        <v>0.75374987636003954</v>
      </c>
      <c r="O406" s="50">
        <v>633561</v>
      </c>
      <c r="P406" s="51">
        <f t="shared" si="2"/>
        <v>7.8333456973293775E-2</v>
      </c>
      <c r="Q406" s="50">
        <v>633561</v>
      </c>
      <c r="R406" s="52">
        <f t="shared" si="3"/>
        <v>0</v>
      </c>
    </row>
    <row r="407" spans="1:18" x14ac:dyDescent="0.25">
      <c r="A407" s="49" t="s">
        <v>334</v>
      </c>
      <c r="B407" s="49" t="s">
        <v>244</v>
      </c>
      <c r="C407" s="49" t="s">
        <v>245</v>
      </c>
      <c r="D407" s="49" t="s">
        <v>69</v>
      </c>
      <c r="E407" s="50">
        <v>208494000</v>
      </c>
      <c r="F407" s="50">
        <v>448538532</v>
      </c>
      <c r="G407" s="50">
        <v>448538532</v>
      </c>
      <c r="H407" s="50">
        <v>0</v>
      </c>
      <c r="I407" s="50">
        <v>176567579.61000001</v>
      </c>
      <c r="J407" s="50">
        <v>448800</v>
      </c>
      <c r="K407" s="50">
        <v>5726923.5999999996</v>
      </c>
      <c r="L407" s="51">
        <f t="shared" si="0"/>
        <v>1.2767963489031973E-2</v>
      </c>
      <c r="M407" s="50">
        <v>5726923.5999999996</v>
      </c>
      <c r="N407" s="51">
        <f t="shared" si="1"/>
        <v>1.2767963489031973E-2</v>
      </c>
      <c r="O407" s="50">
        <v>265795228.78999999</v>
      </c>
      <c r="P407" s="51">
        <f t="shared" si="2"/>
        <v>0.59258059191668289</v>
      </c>
      <c r="Q407" s="50">
        <v>265795228.78999999</v>
      </c>
      <c r="R407" s="52">
        <f t="shared" si="3"/>
        <v>0</v>
      </c>
    </row>
    <row r="408" spans="1:18" x14ac:dyDescent="0.25">
      <c r="A408" s="49" t="s">
        <v>334</v>
      </c>
      <c r="B408" s="49" t="s">
        <v>246</v>
      </c>
      <c r="C408" s="49" t="s">
        <v>247</v>
      </c>
      <c r="D408" s="49" t="s">
        <v>69</v>
      </c>
      <c r="E408" s="50">
        <v>0</v>
      </c>
      <c r="F408" s="50">
        <v>240044532</v>
      </c>
      <c r="G408" s="50">
        <v>240044532</v>
      </c>
      <c r="H408" s="50">
        <v>0</v>
      </c>
      <c r="I408" s="50">
        <v>0</v>
      </c>
      <c r="J408" s="50">
        <v>0</v>
      </c>
      <c r="K408" s="50">
        <v>0</v>
      </c>
      <c r="L408" s="51">
        <f t="shared" si="0"/>
        <v>0</v>
      </c>
      <c r="M408" s="50">
        <v>0</v>
      </c>
      <c r="N408" s="51">
        <f t="shared" si="1"/>
        <v>0</v>
      </c>
      <c r="O408" s="50">
        <v>240044532</v>
      </c>
      <c r="P408" s="51">
        <f t="shared" si="2"/>
        <v>1</v>
      </c>
      <c r="Q408" s="50">
        <v>240044532</v>
      </c>
      <c r="R408" s="52">
        <f t="shared" si="3"/>
        <v>0</v>
      </c>
    </row>
    <row r="409" spans="1:18" x14ac:dyDescent="0.25">
      <c r="A409" s="49" t="s">
        <v>334</v>
      </c>
      <c r="B409" s="49" t="s">
        <v>246</v>
      </c>
      <c r="C409" s="49" t="s">
        <v>247</v>
      </c>
      <c r="D409" s="49" t="s">
        <v>85</v>
      </c>
      <c r="E409" s="50">
        <v>208494000</v>
      </c>
      <c r="F409" s="50">
        <v>208494000</v>
      </c>
      <c r="G409" s="50">
        <v>208494000</v>
      </c>
      <c r="H409" s="50">
        <v>0</v>
      </c>
      <c r="I409" s="50">
        <v>176567579.61000001</v>
      </c>
      <c r="J409" s="50">
        <v>448800</v>
      </c>
      <c r="K409" s="50">
        <v>5726923.5999999996</v>
      </c>
      <c r="L409" s="51">
        <f t="shared" si="0"/>
        <v>2.7468049919901771E-2</v>
      </c>
      <c r="M409" s="50">
        <v>5726923.5999999996</v>
      </c>
      <c r="N409" s="51">
        <f t="shared" si="1"/>
        <v>2.7468049919901771E-2</v>
      </c>
      <c r="O409" s="50">
        <v>25750696.789999999</v>
      </c>
      <c r="P409" s="51">
        <f t="shared" si="2"/>
        <v>0.12350809514902107</v>
      </c>
      <c r="Q409" s="50">
        <v>25750696.789999999</v>
      </c>
      <c r="R409" s="52">
        <f t="shared" si="3"/>
        <v>0</v>
      </c>
    </row>
    <row r="410" spans="1:18" x14ac:dyDescent="0.25">
      <c r="A410" s="49" t="s">
        <v>334</v>
      </c>
      <c r="B410" s="49" t="s">
        <v>248</v>
      </c>
      <c r="C410" s="49" t="s">
        <v>249</v>
      </c>
      <c r="D410" s="49" t="s">
        <v>69</v>
      </c>
      <c r="E410" s="50">
        <v>11597046000</v>
      </c>
      <c r="F410" s="50">
        <v>11597046000</v>
      </c>
      <c r="G410" s="50">
        <v>11532505208</v>
      </c>
      <c r="H410" s="50">
        <v>0</v>
      </c>
      <c r="I410" s="50">
        <v>2085191595.03</v>
      </c>
      <c r="J410" s="50">
        <v>0</v>
      </c>
      <c r="K410" s="50">
        <v>9374859844.1700001</v>
      </c>
      <c r="L410" s="51">
        <f t="shared" si="0"/>
        <v>0.80838343179547623</v>
      </c>
      <c r="M410" s="50">
        <v>9329859844.1700001</v>
      </c>
      <c r="N410" s="51">
        <f t="shared" si="1"/>
        <v>0.8045031333125694</v>
      </c>
      <c r="O410" s="50">
        <v>136994560.80000001</v>
      </c>
      <c r="P410" s="51">
        <f t="shared" si="2"/>
        <v>1.1812884143082644E-2</v>
      </c>
      <c r="Q410" s="50">
        <v>72453768.799999997</v>
      </c>
      <c r="R410" s="52">
        <f t="shared" si="3"/>
        <v>-64540792</v>
      </c>
    </row>
    <row r="411" spans="1:18" x14ac:dyDescent="0.25">
      <c r="A411" s="49" t="s">
        <v>334</v>
      </c>
      <c r="B411" s="49" t="s">
        <v>250</v>
      </c>
      <c r="C411" s="49" t="s">
        <v>251</v>
      </c>
      <c r="D411" s="49" t="s">
        <v>69</v>
      </c>
      <c r="E411" s="50">
        <v>9955805000</v>
      </c>
      <c r="F411" s="50">
        <v>9915805000</v>
      </c>
      <c r="G411" s="50">
        <v>9871264208</v>
      </c>
      <c r="H411" s="50">
        <v>0</v>
      </c>
      <c r="I411" s="50">
        <v>1997477013.8900001</v>
      </c>
      <c r="J411" s="50">
        <v>0</v>
      </c>
      <c r="K411" s="50">
        <v>7873787194.1099997</v>
      </c>
      <c r="L411" s="51">
        <f t="shared" si="0"/>
        <v>0.79406434415662663</v>
      </c>
      <c r="M411" s="50">
        <v>7873787194.1099997</v>
      </c>
      <c r="N411" s="51">
        <f t="shared" si="1"/>
        <v>0.79406434415662663</v>
      </c>
      <c r="O411" s="50">
        <v>44540792</v>
      </c>
      <c r="P411" s="51">
        <f t="shared" si="2"/>
        <v>4.4918987414536695E-3</v>
      </c>
      <c r="Q411" s="50">
        <v>0</v>
      </c>
      <c r="R411" s="52">
        <f t="shared" si="3"/>
        <v>-44540792</v>
      </c>
    </row>
    <row r="412" spans="1:18" x14ac:dyDescent="0.25">
      <c r="A412" s="49" t="s">
        <v>334</v>
      </c>
      <c r="B412" s="49" t="s">
        <v>360</v>
      </c>
      <c r="C412" s="49" t="s">
        <v>361</v>
      </c>
      <c r="D412" s="49" t="s">
        <v>69</v>
      </c>
      <c r="E412" s="50">
        <v>80000000</v>
      </c>
      <c r="F412" s="50">
        <v>40000000</v>
      </c>
      <c r="G412" s="50">
        <v>0</v>
      </c>
      <c r="H412" s="50">
        <v>0</v>
      </c>
      <c r="I412" s="50">
        <v>0</v>
      </c>
      <c r="J412" s="50">
        <v>0</v>
      </c>
      <c r="K412" s="50">
        <v>0</v>
      </c>
      <c r="L412" s="51">
        <f t="shared" si="0"/>
        <v>0</v>
      </c>
      <c r="M412" s="50">
        <v>0</v>
      </c>
      <c r="N412" s="51">
        <f t="shared" si="1"/>
        <v>0</v>
      </c>
      <c r="O412" s="50">
        <v>40000000</v>
      </c>
      <c r="P412" s="51">
        <f t="shared" si="2"/>
        <v>1</v>
      </c>
      <c r="Q412" s="50">
        <v>0</v>
      </c>
      <c r="R412" s="52">
        <f t="shared" si="3"/>
        <v>-40000000</v>
      </c>
    </row>
    <row r="413" spans="1:18" x14ac:dyDescent="0.25">
      <c r="A413" s="49" t="s">
        <v>334</v>
      </c>
      <c r="B413" s="49" t="s">
        <v>362</v>
      </c>
      <c r="C413" s="49" t="s">
        <v>257</v>
      </c>
      <c r="D413" s="49" t="s">
        <v>69</v>
      </c>
      <c r="E413" s="50">
        <v>673849000</v>
      </c>
      <c r="F413" s="50">
        <v>673849000</v>
      </c>
      <c r="G413" s="50">
        <v>670070086</v>
      </c>
      <c r="H413" s="50">
        <v>0</v>
      </c>
      <c r="I413" s="50">
        <v>132150780</v>
      </c>
      <c r="J413" s="50">
        <v>0</v>
      </c>
      <c r="K413" s="50">
        <v>537919306</v>
      </c>
      <c r="L413" s="51">
        <f t="shared" si="0"/>
        <v>0.79827870338903817</v>
      </c>
      <c r="M413" s="50">
        <v>537919306</v>
      </c>
      <c r="N413" s="51">
        <f t="shared" si="1"/>
        <v>0.79827870338903817</v>
      </c>
      <c r="O413" s="50">
        <v>3778914</v>
      </c>
      <c r="P413" s="51">
        <f t="shared" si="2"/>
        <v>5.6079537106977972E-3</v>
      </c>
      <c r="Q413" s="50">
        <v>0</v>
      </c>
      <c r="R413" s="52">
        <f t="shared" si="3"/>
        <v>-3778914</v>
      </c>
    </row>
    <row r="414" spans="1:18" x14ac:dyDescent="0.25">
      <c r="A414" s="49" t="s">
        <v>334</v>
      </c>
      <c r="B414" s="49" t="s">
        <v>363</v>
      </c>
      <c r="C414" s="49" t="s">
        <v>259</v>
      </c>
      <c r="D414" s="49" t="s">
        <v>69</v>
      </c>
      <c r="E414" s="50">
        <v>135856000</v>
      </c>
      <c r="F414" s="50">
        <v>135856000</v>
      </c>
      <c r="G414" s="50">
        <v>135094122</v>
      </c>
      <c r="H414" s="50">
        <v>0</v>
      </c>
      <c r="I414" s="50">
        <v>26642650</v>
      </c>
      <c r="J414" s="50">
        <v>0</v>
      </c>
      <c r="K414" s="50">
        <v>108451472</v>
      </c>
      <c r="L414" s="51">
        <f t="shared" si="0"/>
        <v>0.79828253444823927</v>
      </c>
      <c r="M414" s="50">
        <v>108451472</v>
      </c>
      <c r="N414" s="51">
        <f t="shared" si="1"/>
        <v>0.79828253444823927</v>
      </c>
      <c r="O414" s="50">
        <v>761878</v>
      </c>
      <c r="P414" s="51">
        <f t="shared" si="2"/>
        <v>5.6079819809209753E-3</v>
      </c>
      <c r="Q414" s="50">
        <v>0</v>
      </c>
      <c r="R414" s="52">
        <f t="shared" si="3"/>
        <v>-761878</v>
      </c>
    </row>
    <row r="415" spans="1:18" x14ac:dyDescent="0.25">
      <c r="A415" s="49" t="s">
        <v>334</v>
      </c>
      <c r="B415" s="49" t="s">
        <v>364</v>
      </c>
      <c r="C415" s="49" t="s">
        <v>365</v>
      </c>
      <c r="D415" s="49" t="s">
        <v>85</v>
      </c>
      <c r="E415" s="50">
        <v>9066100000</v>
      </c>
      <c r="F415" s="50">
        <v>9066100000</v>
      </c>
      <c r="G415" s="50">
        <v>9066100000</v>
      </c>
      <c r="H415" s="50">
        <v>0</v>
      </c>
      <c r="I415" s="50">
        <v>1838683583.8900001</v>
      </c>
      <c r="J415" s="50">
        <v>0</v>
      </c>
      <c r="K415" s="50">
        <v>7227416416.1099997</v>
      </c>
      <c r="L415" s="51">
        <f t="shared" si="0"/>
        <v>0.79719134094152944</v>
      </c>
      <c r="M415" s="50">
        <v>7227416416.1099997</v>
      </c>
      <c r="N415" s="51">
        <f t="shared" si="1"/>
        <v>0.79719134094152944</v>
      </c>
      <c r="O415" s="50">
        <v>0</v>
      </c>
      <c r="P415" s="51">
        <f t="shared" si="2"/>
        <v>0</v>
      </c>
      <c r="Q415" s="50">
        <v>0</v>
      </c>
      <c r="R415" s="52">
        <f t="shared" si="3"/>
        <v>0</v>
      </c>
    </row>
    <row r="416" spans="1:18" x14ac:dyDescent="0.25">
      <c r="A416" s="49" t="s">
        <v>334</v>
      </c>
      <c r="B416" s="49" t="s">
        <v>366</v>
      </c>
      <c r="C416" s="49" t="s">
        <v>367</v>
      </c>
      <c r="D416" s="49" t="s">
        <v>69</v>
      </c>
      <c r="E416" s="50">
        <v>550000000</v>
      </c>
      <c r="F416" s="50">
        <v>550000000</v>
      </c>
      <c r="G416" s="50">
        <v>530000000</v>
      </c>
      <c r="H416" s="50">
        <v>0</v>
      </c>
      <c r="I416" s="50">
        <v>80000000</v>
      </c>
      <c r="J416" s="50">
        <v>0</v>
      </c>
      <c r="K416" s="50">
        <v>450000000</v>
      </c>
      <c r="L416" s="51">
        <f t="shared" si="0"/>
        <v>0.81818181818181823</v>
      </c>
      <c r="M416" s="50">
        <v>405000000</v>
      </c>
      <c r="N416" s="51">
        <f t="shared" si="1"/>
        <v>0.73636363636363633</v>
      </c>
      <c r="O416" s="50">
        <v>20000000</v>
      </c>
      <c r="P416" s="51">
        <f t="shared" si="2"/>
        <v>3.6363636363636362E-2</v>
      </c>
      <c r="Q416" s="50">
        <v>0</v>
      </c>
      <c r="R416" s="52">
        <f t="shared" si="3"/>
        <v>-20000000</v>
      </c>
    </row>
    <row r="417" spans="1:18" x14ac:dyDescent="0.25">
      <c r="A417" s="49" t="s">
        <v>334</v>
      </c>
      <c r="B417" s="49" t="s">
        <v>368</v>
      </c>
      <c r="C417" s="49" t="s">
        <v>369</v>
      </c>
      <c r="D417" s="49" t="s">
        <v>69</v>
      </c>
      <c r="E417" s="50">
        <v>550000000</v>
      </c>
      <c r="F417" s="50">
        <v>550000000</v>
      </c>
      <c r="G417" s="50">
        <v>530000000</v>
      </c>
      <c r="H417" s="50">
        <v>0</v>
      </c>
      <c r="I417" s="50">
        <v>80000000</v>
      </c>
      <c r="J417" s="50">
        <v>0</v>
      </c>
      <c r="K417" s="50">
        <v>450000000</v>
      </c>
      <c r="L417" s="51">
        <f t="shared" si="0"/>
        <v>0.81818181818181823</v>
      </c>
      <c r="M417" s="50">
        <v>405000000</v>
      </c>
      <c r="N417" s="51">
        <f t="shared" si="1"/>
        <v>0.73636363636363633</v>
      </c>
      <c r="O417" s="50">
        <v>20000000</v>
      </c>
      <c r="P417" s="51">
        <f t="shared" si="2"/>
        <v>3.6363636363636362E-2</v>
      </c>
      <c r="Q417" s="50">
        <v>0</v>
      </c>
      <c r="R417" s="52">
        <f t="shared" si="3"/>
        <v>-20000000</v>
      </c>
    </row>
    <row r="418" spans="1:18" x14ac:dyDescent="0.25">
      <c r="A418" s="49" t="s">
        <v>334</v>
      </c>
      <c r="B418" s="49" t="s">
        <v>260</v>
      </c>
      <c r="C418" s="49" t="s">
        <v>261</v>
      </c>
      <c r="D418" s="49" t="s">
        <v>69</v>
      </c>
      <c r="E418" s="50">
        <v>1002889000</v>
      </c>
      <c r="F418" s="50">
        <v>1002889000</v>
      </c>
      <c r="G418" s="50">
        <v>1002889000</v>
      </c>
      <c r="H418" s="50">
        <v>0</v>
      </c>
      <c r="I418" s="50">
        <v>34082.19</v>
      </c>
      <c r="J418" s="50">
        <v>0</v>
      </c>
      <c r="K418" s="50">
        <v>960401149.00999999</v>
      </c>
      <c r="L418" s="51">
        <f t="shared" si="0"/>
        <v>0.95763454281580518</v>
      </c>
      <c r="M418" s="50">
        <v>960401149.00999999</v>
      </c>
      <c r="N418" s="51">
        <f t="shared" si="1"/>
        <v>0.95763454281580518</v>
      </c>
      <c r="O418" s="50">
        <v>42453768.799999997</v>
      </c>
      <c r="P418" s="51">
        <f t="shared" si="2"/>
        <v>4.2331473174000309E-2</v>
      </c>
      <c r="Q418" s="50">
        <v>42453768.799999997</v>
      </c>
      <c r="R418" s="52">
        <f t="shared" si="3"/>
        <v>0</v>
      </c>
    </row>
    <row r="419" spans="1:18" x14ac:dyDescent="0.25">
      <c r="A419" s="49" t="s">
        <v>334</v>
      </c>
      <c r="B419" s="49" t="s">
        <v>262</v>
      </c>
      <c r="C419" s="49" t="s">
        <v>263</v>
      </c>
      <c r="D419" s="49" t="s">
        <v>69</v>
      </c>
      <c r="E419" s="50">
        <v>657462000</v>
      </c>
      <c r="F419" s="50">
        <v>657462000</v>
      </c>
      <c r="G419" s="50">
        <v>657462000</v>
      </c>
      <c r="H419" s="50">
        <v>0</v>
      </c>
      <c r="I419" s="50">
        <v>34082.19</v>
      </c>
      <c r="J419" s="50">
        <v>0</v>
      </c>
      <c r="K419" s="50">
        <v>657427917.80999994</v>
      </c>
      <c r="L419" s="51">
        <f t="shared" si="0"/>
        <v>0.99994816097356187</v>
      </c>
      <c r="M419" s="50">
        <v>657427917.80999994</v>
      </c>
      <c r="N419" s="51">
        <f t="shared" si="1"/>
        <v>0.99994816097356187</v>
      </c>
      <c r="O419" s="50">
        <v>0</v>
      </c>
      <c r="P419" s="51">
        <f t="shared" si="2"/>
        <v>0</v>
      </c>
      <c r="Q419" s="50">
        <v>0</v>
      </c>
      <c r="R419" s="52">
        <f t="shared" si="3"/>
        <v>0</v>
      </c>
    </row>
    <row r="420" spans="1:18" x14ac:dyDescent="0.25">
      <c r="A420" s="49" t="s">
        <v>334</v>
      </c>
      <c r="B420" s="49" t="s">
        <v>264</v>
      </c>
      <c r="C420" s="49" t="s">
        <v>265</v>
      </c>
      <c r="D420" s="49" t="s">
        <v>69</v>
      </c>
      <c r="E420" s="50">
        <v>345427000</v>
      </c>
      <c r="F420" s="50">
        <v>345427000</v>
      </c>
      <c r="G420" s="50">
        <v>345427000</v>
      </c>
      <c r="H420" s="50">
        <v>0</v>
      </c>
      <c r="I420" s="50">
        <v>0</v>
      </c>
      <c r="J420" s="50">
        <v>0</v>
      </c>
      <c r="K420" s="50">
        <v>302973231.19999999</v>
      </c>
      <c r="L420" s="51">
        <f t="shared" si="0"/>
        <v>0.87709771152805072</v>
      </c>
      <c r="M420" s="50">
        <v>302973231.19999999</v>
      </c>
      <c r="N420" s="51">
        <f t="shared" si="1"/>
        <v>0.87709771152805072</v>
      </c>
      <c r="O420" s="50">
        <v>42453768.799999997</v>
      </c>
      <c r="P420" s="51">
        <f t="shared" si="2"/>
        <v>0.1229022884719492</v>
      </c>
      <c r="Q420" s="50">
        <v>42453768.799999997</v>
      </c>
      <c r="R420" s="52">
        <f t="shared" si="3"/>
        <v>0</v>
      </c>
    </row>
    <row r="421" spans="1:18" x14ac:dyDescent="0.25">
      <c r="A421" s="49" t="s">
        <v>334</v>
      </c>
      <c r="B421" s="49" t="s">
        <v>286</v>
      </c>
      <c r="C421" s="49" t="s">
        <v>287</v>
      </c>
      <c r="D421" s="49" t="s">
        <v>69</v>
      </c>
      <c r="E421" s="50">
        <v>88352000</v>
      </c>
      <c r="F421" s="50">
        <v>128352000</v>
      </c>
      <c r="G421" s="50">
        <v>128352000</v>
      </c>
      <c r="H421" s="50">
        <v>0</v>
      </c>
      <c r="I421" s="50">
        <v>7680498.9500000002</v>
      </c>
      <c r="J421" s="50">
        <v>0</v>
      </c>
      <c r="K421" s="50">
        <v>90671501.049999997</v>
      </c>
      <c r="L421" s="51">
        <f t="shared" si="0"/>
        <v>0.70642842378770876</v>
      </c>
      <c r="M421" s="50">
        <v>90671501.049999997</v>
      </c>
      <c r="N421" s="51">
        <f t="shared" si="1"/>
        <v>0.70642842378770876</v>
      </c>
      <c r="O421" s="50">
        <v>30000000</v>
      </c>
      <c r="P421" s="51">
        <f t="shared" si="2"/>
        <v>0.2337322363500374</v>
      </c>
      <c r="Q421" s="50">
        <v>30000000</v>
      </c>
      <c r="R421" s="52">
        <f t="shared" si="3"/>
        <v>0</v>
      </c>
    </row>
    <row r="422" spans="1:18" x14ac:dyDescent="0.25">
      <c r="A422" s="49" t="s">
        <v>334</v>
      </c>
      <c r="B422" s="49" t="s">
        <v>288</v>
      </c>
      <c r="C422" s="49" t="s">
        <v>289</v>
      </c>
      <c r="D422" s="49" t="s">
        <v>69</v>
      </c>
      <c r="E422" s="50">
        <v>65000000</v>
      </c>
      <c r="F422" s="50">
        <v>105000000</v>
      </c>
      <c r="G422" s="50">
        <v>105000000</v>
      </c>
      <c r="H422" s="50">
        <v>0</v>
      </c>
      <c r="I422" s="50">
        <v>2968870</v>
      </c>
      <c r="J422" s="50">
        <v>0</v>
      </c>
      <c r="K422" s="50">
        <v>82031130</v>
      </c>
      <c r="L422" s="51">
        <f t="shared" si="0"/>
        <v>0.78124885714285719</v>
      </c>
      <c r="M422" s="50">
        <v>82031130</v>
      </c>
      <c r="N422" s="51">
        <f t="shared" si="1"/>
        <v>0.78124885714285719</v>
      </c>
      <c r="O422" s="50">
        <v>20000000</v>
      </c>
      <c r="P422" s="51">
        <f t="shared" si="2"/>
        <v>0.19047619047619047</v>
      </c>
      <c r="Q422" s="50">
        <v>20000000</v>
      </c>
      <c r="R422" s="52">
        <f t="shared" si="3"/>
        <v>0</v>
      </c>
    </row>
    <row r="423" spans="1:18" x14ac:dyDescent="0.25">
      <c r="A423" s="49" t="s">
        <v>334</v>
      </c>
      <c r="B423" s="49" t="s">
        <v>370</v>
      </c>
      <c r="C423" s="49" t="s">
        <v>371</v>
      </c>
      <c r="D423" s="49" t="s">
        <v>69</v>
      </c>
      <c r="E423" s="50">
        <v>23352000</v>
      </c>
      <c r="F423" s="50">
        <v>23352000</v>
      </c>
      <c r="G423" s="50">
        <v>23352000</v>
      </c>
      <c r="H423" s="50">
        <v>0</v>
      </c>
      <c r="I423" s="50">
        <v>4711628.95</v>
      </c>
      <c r="J423" s="50">
        <v>0</v>
      </c>
      <c r="K423" s="50">
        <v>8640371.0500000007</v>
      </c>
      <c r="L423" s="51">
        <f t="shared" si="0"/>
        <v>0.37000561193902026</v>
      </c>
      <c r="M423" s="50">
        <v>8640371.0500000007</v>
      </c>
      <c r="N423" s="51">
        <f t="shared" si="1"/>
        <v>0.37000561193902026</v>
      </c>
      <c r="O423" s="50">
        <v>10000000</v>
      </c>
      <c r="P423" s="51">
        <f t="shared" si="2"/>
        <v>0.42822884549503254</v>
      </c>
      <c r="Q423" s="50">
        <v>10000000</v>
      </c>
      <c r="R423" s="52">
        <f t="shared" si="3"/>
        <v>0</v>
      </c>
    </row>
    <row r="424" spans="1:18" x14ac:dyDescent="0.25">
      <c r="A424" s="49" t="s">
        <v>334</v>
      </c>
      <c r="B424" s="49" t="s">
        <v>372</v>
      </c>
      <c r="C424" s="49" t="s">
        <v>373</v>
      </c>
      <c r="D424" s="49" t="s">
        <v>85</v>
      </c>
      <c r="E424" s="50">
        <v>573100000</v>
      </c>
      <c r="F424" s="50">
        <v>827134852</v>
      </c>
      <c r="G424" s="50">
        <v>827134852</v>
      </c>
      <c r="H424" s="50">
        <v>0</v>
      </c>
      <c r="I424" s="50">
        <v>0</v>
      </c>
      <c r="J424" s="50">
        <v>0</v>
      </c>
      <c r="K424" s="50">
        <v>0</v>
      </c>
      <c r="L424" s="51">
        <f t="shared" si="0"/>
        <v>0</v>
      </c>
      <c r="M424" s="50">
        <v>0</v>
      </c>
      <c r="N424" s="51">
        <f t="shared" si="1"/>
        <v>0</v>
      </c>
      <c r="O424" s="50">
        <v>827134852</v>
      </c>
      <c r="P424" s="51">
        <f t="shared" si="2"/>
        <v>1</v>
      </c>
      <c r="Q424" s="50">
        <v>827134852</v>
      </c>
      <c r="R424" s="52">
        <f t="shared" si="3"/>
        <v>0</v>
      </c>
    </row>
    <row r="425" spans="1:18" x14ac:dyDescent="0.25">
      <c r="A425" s="49" t="s">
        <v>334</v>
      </c>
      <c r="B425" s="49" t="s">
        <v>374</v>
      </c>
      <c r="C425" s="49" t="s">
        <v>375</v>
      </c>
      <c r="D425" s="49" t="s">
        <v>85</v>
      </c>
      <c r="E425" s="50">
        <v>573100000</v>
      </c>
      <c r="F425" s="50">
        <v>827134852</v>
      </c>
      <c r="G425" s="50">
        <v>827134852</v>
      </c>
      <c r="H425" s="50">
        <v>0</v>
      </c>
      <c r="I425" s="50">
        <v>0</v>
      </c>
      <c r="J425" s="50">
        <v>0</v>
      </c>
      <c r="K425" s="50">
        <v>0</v>
      </c>
      <c r="L425" s="51">
        <f t="shared" si="0"/>
        <v>0</v>
      </c>
      <c r="M425" s="50">
        <v>0</v>
      </c>
      <c r="N425" s="51">
        <f t="shared" si="1"/>
        <v>0</v>
      </c>
      <c r="O425" s="50">
        <v>827134852</v>
      </c>
      <c r="P425" s="51">
        <f t="shared" si="2"/>
        <v>1</v>
      </c>
      <c r="Q425" s="50">
        <v>827134852</v>
      </c>
      <c r="R425" s="52">
        <f t="shared" si="3"/>
        <v>0</v>
      </c>
    </row>
    <row r="426" spans="1:18" x14ac:dyDescent="0.25">
      <c r="A426" s="49" t="s">
        <v>334</v>
      </c>
      <c r="B426" s="49" t="s">
        <v>376</v>
      </c>
      <c r="C426" s="49" t="s">
        <v>377</v>
      </c>
      <c r="D426" s="49" t="s">
        <v>85</v>
      </c>
      <c r="E426" s="50">
        <v>573100000</v>
      </c>
      <c r="F426" s="50">
        <v>827134852</v>
      </c>
      <c r="G426" s="50">
        <v>827134852</v>
      </c>
      <c r="H426" s="50">
        <v>0</v>
      </c>
      <c r="I426" s="50">
        <v>0</v>
      </c>
      <c r="J426" s="50">
        <v>0</v>
      </c>
      <c r="K426" s="50">
        <v>0</v>
      </c>
      <c r="L426" s="51">
        <f t="shared" si="0"/>
        <v>0</v>
      </c>
      <c r="M426" s="50">
        <v>0</v>
      </c>
      <c r="N426" s="51">
        <f t="shared" si="1"/>
        <v>0</v>
      </c>
      <c r="O426" s="50">
        <v>827134852</v>
      </c>
      <c r="P426" s="51">
        <f t="shared" si="2"/>
        <v>1</v>
      </c>
      <c r="Q426" s="50">
        <v>827134852</v>
      </c>
      <c r="R426" s="52">
        <f t="shared" si="3"/>
        <v>0</v>
      </c>
    </row>
    <row r="427" spans="1:18" x14ac:dyDescent="0.25">
      <c r="A427" s="49" t="s">
        <v>378</v>
      </c>
      <c r="B427" s="49"/>
      <c r="C427" s="49"/>
      <c r="D427" s="49" t="s">
        <v>69</v>
      </c>
      <c r="E427" s="50">
        <v>13837611334</v>
      </c>
      <c r="F427" s="50">
        <v>13837611334</v>
      </c>
      <c r="G427" s="50">
        <v>13338947262</v>
      </c>
      <c r="H427" s="50">
        <v>0</v>
      </c>
      <c r="I427" s="50">
        <v>468897549.35000002</v>
      </c>
      <c r="J427" s="50">
        <v>0</v>
      </c>
      <c r="K427" s="50">
        <v>9963585376.4899998</v>
      </c>
      <c r="L427" s="51">
        <f t="shared" si="0"/>
        <v>0.72003651034834015</v>
      </c>
      <c r="M427" s="50">
        <v>9954477412.9699993</v>
      </c>
      <c r="N427" s="51">
        <f t="shared" si="1"/>
        <v>0.71937830689832549</v>
      </c>
      <c r="O427" s="50">
        <v>3405128408.1599998</v>
      </c>
      <c r="P427" s="51">
        <f t="shared" si="2"/>
        <v>0.24607776053034211</v>
      </c>
      <c r="Q427" s="50">
        <v>2906464336.1599998</v>
      </c>
      <c r="R427" s="52">
        <f t="shared" si="3"/>
        <v>-498664072</v>
      </c>
    </row>
    <row r="428" spans="1:18" x14ac:dyDescent="0.25">
      <c r="A428" s="49" t="s">
        <v>378</v>
      </c>
      <c r="B428" s="49" t="s">
        <v>71</v>
      </c>
      <c r="C428" s="49" t="s">
        <v>72</v>
      </c>
      <c r="D428" s="49" t="s">
        <v>69</v>
      </c>
      <c r="E428" s="50">
        <v>13313316000</v>
      </c>
      <c r="F428" s="50">
        <v>13313316000</v>
      </c>
      <c r="G428" s="50">
        <v>12820057202</v>
      </c>
      <c r="H428" s="50">
        <v>0</v>
      </c>
      <c r="I428" s="50">
        <v>380095998.38999999</v>
      </c>
      <c r="J428" s="50">
        <v>0</v>
      </c>
      <c r="K428" s="50">
        <v>9555198611.1599998</v>
      </c>
      <c r="L428" s="51">
        <f t="shared" si="0"/>
        <v>0.71771740497709213</v>
      </c>
      <c r="M428" s="50">
        <v>9555198611.1599998</v>
      </c>
      <c r="N428" s="51">
        <f t="shared" si="1"/>
        <v>0.71771740497709213</v>
      </c>
      <c r="O428" s="50">
        <v>3378021390.4499998</v>
      </c>
      <c r="P428" s="51">
        <f t="shared" si="2"/>
        <v>0.25373253293544595</v>
      </c>
      <c r="Q428" s="50">
        <v>2884762592.4499998</v>
      </c>
      <c r="R428" s="52">
        <f t="shared" si="3"/>
        <v>-493258798</v>
      </c>
    </row>
    <row r="429" spans="1:18" x14ac:dyDescent="0.25">
      <c r="A429" s="49" t="s">
        <v>378</v>
      </c>
      <c r="B429" s="49" t="s">
        <v>73</v>
      </c>
      <c r="C429" s="49" t="s">
        <v>74</v>
      </c>
      <c r="D429" s="49" t="s">
        <v>69</v>
      </c>
      <c r="E429" s="50">
        <v>4473382000</v>
      </c>
      <c r="F429" s="50">
        <v>4473382000</v>
      </c>
      <c r="G429" s="50">
        <v>4227607925</v>
      </c>
      <c r="H429" s="50">
        <v>0</v>
      </c>
      <c r="I429" s="50">
        <v>0</v>
      </c>
      <c r="J429" s="50">
        <v>0</v>
      </c>
      <c r="K429" s="50">
        <v>3303784976.6399999</v>
      </c>
      <c r="L429" s="51">
        <f t="shared" si="0"/>
        <v>0.73854300317746169</v>
      </c>
      <c r="M429" s="50">
        <v>3303784976.6399999</v>
      </c>
      <c r="N429" s="51">
        <f t="shared" si="1"/>
        <v>0.73854300317746169</v>
      </c>
      <c r="O429" s="50">
        <v>1169597023.3599999</v>
      </c>
      <c r="P429" s="51">
        <f t="shared" si="2"/>
        <v>0.26145699682253826</v>
      </c>
      <c r="Q429" s="50">
        <v>923822948.36000001</v>
      </c>
      <c r="R429" s="52">
        <f t="shared" si="3"/>
        <v>-245774075</v>
      </c>
    </row>
    <row r="430" spans="1:18" x14ac:dyDescent="0.25">
      <c r="A430" s="49" t="s">
        <v>378</v>
      </c>
      <c r="B430" s="49" t="s">
        <v>75</v>
      </c>
      <c r="C430" s="49" t="s">
        <v>76</v>
      </c>
      <c r="D430" s="49" t="s">
        <v>69</v>
      </c>
      <c r="E430" s="50">
        <v>4473382000</v>
      </c>
      <c r="F430" s="50">
        <v>4473382000</v>
      </c>
      <c r="G430" s="50">
        <v>4227607925</v>
      </c>
      <c r="H430" s="50">
        <v>0</v>
      </c>
      <c r="I430" s="50">
        <v>0</v>
      </c>
      <c r="J430" s="50">
        <v>0</v>
      </c>
      <c r="K430" s="50">
        <v>3303784976.6399999</v>
      </c>
      <c r="L430" s="51">
        <f t="shared" si="0"/>
        <v>0.73854300317746169</v>
      </c>
      <c r="M430" s="50">
        <v>3303784976.6399999</v>
      </c>
      <c r="N430" s="51">
        <f t="shared" si="1"/>
        <v>0.73854300317746169</v>
      </c>
      <c r="O430" s="50">
        <v>1169597023.3599999</v>
      </c>
      <c r="P430" s="51">
        <f t="shared" si="2"/>
        <v>0.26145699682253826</v>
      </c>
      <c r="Q430" s="50">
        <v>923822948.36000001</v>
      </c>
      <c r="R430" s="52">
        <f t="shared" si="3"/>
        <v>-245774075</v>
      </c>
    </row>
    <row r="431" spans="1:18" x14ac:dyDescent="0.25">
      <c r="A431" s="49" t="s">
        <v>378</v>
      </c>
      <c r="B431" s="49" t="s">
        <v>77</v>
      </c>
      <c r="C431" s="49" t="s">
        <v>78</v>
      </c>
      <c r="D431" s="49" t="s">
        <v>69</v>
      </c>
      <c r="E431" s="50">
        <v>6745487000</v>
      </c>
      <c r="F431" s="50">
        <v>6745487000</v>
      </c>
      <c r="G431" s="50">
        <v>6561704118</v>
      </c>
      <c r="H431" s="50">
        <v>0</v>
      </c>
      <c r="I431" s="50">
        <v>0</v>
      </c>
      <c r="J431" s="50">
        <v>0</v>
      </c>
      <c r="K431" s="50">
        <v>4680327872.9099998</v>
      </c>
      <c r="L431" s="51">
        <f t="shared" si="0"/>
        <v>0.69384580726491651</v>
      </c>
      <c r="M431" s="50">
        <v>4680327872.9099998</v>
      </c>
      <c r="N431" s="51">
        <f t="shared" si="1"/>
        <v>0.69384580726491651</v>
      </c>
      <c r="O431" s="50">
        <v>2065159127.0899999</v>
      </c>
      <c r="P431" s="51">
        <f t="shared" si="2"/>
        <v>0.30615419273508349</v>
      </c>
      <c r="Q431" s="50">
        <v>1881376245.0899999</v>
      </c>
      <c r="R431" s="52">
        <f t="shared" si="3"/>
        <v>-183782882</v>
      </c>
    </row>
    <row r="432" spans="1:18" x14ac:dyDescent="0.25">
      <c r="A432" s="49" t="s">
        <v>378</v>
      </c>
      <c r="B432" s="49" t="s">
        <v>79</v>
      </c>
      <c r="C432" s="49" t="s">
        <v>80</v>
      </c>
      <c r="D432" s="49" t="s">
        <v>69</v>
      </c>
      <c r="E432" s="50">
        <v>1460185000</v>
      </c>
      <c r="F432" s="50">
        <v>1460185000</v>
      </c>
      <c r="G432" s="50">
        <v>1384875260</v>
      </c>
      <c r="H432" s="50">
        <v>0</v>
      </c>
      <c r="I432" s="50">
        <v>0</v>
      </c>
      <c r="J432" s="50">
        <v>0</v>
      </c>
      <c r="K432" s="50">
        <v>1090569202.98</v>
      </c>
      <c r="L432" s="51">
        <f t="shared" si="0"/>
        <v>0.74687056981135957</v>
      </c>
      <c r="M432" s="50">
        <v>1090569202.98</v>
      </c>
      <c r="N432" s="51">
        <f t="shared" si="1"/>
        <v>0.74687056981135957</v>
      </c>
      <c r="O432" s="50">
        <v>369615797.01999998</v>
      </c>
      <c r="P432" s="51">
        <f t="shared" si="2"/>
        <v>0.25312943018864048</v>
      </c>
      <c r="Q432" s="50">
        <v>294306057.01999998</v>
      </c>
      <c r="R432" s="52">
        <f t="shared" si="3"/>
        <v>-75309740</v>
      </c>
    </row>
    <row r="433" spans="1:18" x14ac:dyDescent="0.25">
      <c r="A433" s="49" t="s">
        <v>378</v>
      </c>
      <c r="B433" s="49" t="s">
        <v>81</v>
      </c>
      <c r="C433" s="49" t="s">
        <v>82</v>
      </c>
      <c r="D433" s="49" t="s">
        <v>69</v>
      </c>
      <c r="E433" s="50">
        <v>2519609000</v>
      </c>
      <c r="F433" s="50">
        <v>2519609000</v>
      </c>
      <c r="G433" s="50">
        <v>2470861258</v>
      </c>
      <c r="H433" s="50">
        <v>0</v>
      </c>
      <c r="I433" s="50">
        <v>0</v>
      </c>
      <c r="J433" s="50">
        <v>0</v>
      </c>
      <c r="K433" s="50">
        <v>1930973891.76</v>
      </c>
      <c r="L433" s="51">
        <f t="shared" si="0"/>
        <v>0.76637839115513562</v>
      </c>
      <c r="M433" s="50">
        <v>1930973891.76</v>
      </c>
      <c r="N433" s="51">
        <f t="shared" si="1"/>
        <v>0.76637839115513562</v>
      </c>
      <c r="O433" s="50">
        <v>588635108.24000001</v>
      </c>
      <c r="P433" s="51">
        <f t="shared" si="2"/>
        <v>0.23362160884486444</v>
      </c>
      <c r="Q433" s="50">
        <v>539887366.24000001</v>
      </c>
      <c r="R433" s="52">
        <f t="shared" si="3"/>
        <v>-48747742</v>
      </c>
    </row>
    <row r="434" spans="1:18" x14ac:dyDescent="0.25">
      <c r="A434" s="49" t="s">
        <v>378</v>
      </c>
      <c r="B434" s="49" t="s">
        <v>83</v>
      </c>
      <c r="C434" s="49" t="s">
        <v>84</v>
      </c>
      <c r="D434" s="49" t="s">
        <v>85</v>
      </c>
      <c r="E434" s="50">
        <v>830335000</v>
      </c>
      <c r="F434" s="50">
        <v>830335000</v>
      </c>
      <c r="G434" s="50">
        <v>811943800</v>
      </c>
      <c r="H434" s="50">
        <v>0</v>
      </c>
      <c r="I434" s="50">
        <v>0</v>
      </c>
      <c r="J434" s="50">
        <v>0</v>
      </c>
      <c r="K434" s="50">
        <v>241669.22</v>
      </c>
      <c r="L434" s="51">
        <f t="shared" si="0"/>
        <v>2.9105026284571888E-4</v>
      </c>
      <c r="M434" s="50">
        <v>241669.22</v>
      </c>
      <c r="N434" s="51">
        <f t="shared" si="1"/>
        <v>2.9105026284571888E-4</v>
      </c>
      <c r="O434" s="50">
        <v>830093330.77999997</v>
      </c>
      <c r="P434" s="51">
        <f t="shared" si="2"/>
        <v>0.9997089497371543</v>
      </c>
      <c r="Q434" s="50">
        <v>811702130.77999997</v>
      </c>
      <c r="R434" s="52">
        <f t="shared" si="3"/>
        <v>-18391200</v>
      </c>
    </row>
    <row r="435" spans="1:18" x14ac:dyDescent="0.25">
      <c r="A435" s="49" t="s">
        <v>378</v>
      </c>
      <c r="B435" s="49" t="s">
        <v>86</v>
      </c>
      <c r="C435" s="49" t="s">
        <v>87</v>
      </c>
      <c r="D435" s="49" t="s">
        <v>69</v>
      </c>
      <c r="E435" s="50">
        <v>738904000</v>
      </c>
      <c r="F435" s="50">
        <v>738904000</v>
      </c>
      <c r="G435" s="50">
        <v>738904000</v>
      </c>
      <c r="H435" s="50">
        <v>0</v>
      </c>
      <c r="I435" s="50">
        <v>0</v>
      </c>
      <c r="J435" s="50">
        <v>0</v>
      </c>
      <c r="K435" s="50">
        <v>737019487.25</v>
      </c>
      <c r="L435" s="51">
        <f t="shared" si="0"/>
        <v>0.99744958377542958</v>
      </c>
      <c r="M435" s="50">
        <v>737019487.25</v>
      </c>
      <c r="N435" s="51">
        <f t="shared" si="1"/>
        <v>0.99744958377542958</v>
      </c>
      <c r="O435" s="50">
        <v>1884512.75</v>
      </c>
      <c r="P435" s="51">
        <f t="shared" si="2"/>
        <v>2.5504162245704449E-3</v>
      </c>
      <c r="Q435" s="50">
        <v>1884512.75</v>
      </c>
      <c r="R435" s="52">
        <f t="shared" si="3"/>
        <v>0</v>
      </c>
    </row>
    <row r="436" spans="1:18" x14ac:dyDescent="0.25">
      <c r="A436" s="49" t="s">
        <v>378</v>
      </c>
      <c r="B436" s="49" t="s">
        <v>88</v>
      </c>
      <c r="C436" s="49" t="s">
        <v>89</v>
      </c>
      <c r="D436" s="49" t="s">
        <v>69</v>
      </c>
      <c r="E436" s="50">
        <v>1196454000</v>
      </c>
      <c r="F436" s="50">
        <v>1196454000</v>
      </c>
      <c r="G436" s="50">
        <v>1155119800</v>
      </c>
      <c r="H436" s="50">
        <v>0</v>
      </c>
      <c r="I436" s="50">
        <v>0</v>
      </c>
      <c r="J436" s="50">
        <v>0</v>
      </c>
      <c r="K436" s="50">
        <v>921523621.70000005</v>
      </c>
      <c r="L436" s="51">
        <f t="shared" si="0"/>
        <v>0.77021232884841373</v>
      </c>
      <c r="M436" s="50">
        <v>921523621.70000005</v>
      </c>
      <c r="N436" s="51">
        <f t="shared" si="1"/>
        <v>0.77021232884841373</v>
      </c>
      <c r="O436" s="50">
        <v>274930378.30000001</v>
      </c>
      <c r="P436" s="51">
        <f t="shared" si="2"/>
        <v>0.22978767115158627</v>
      </c>
      <c r="Q436" s="50">
        <v>233596178.30000001</v>
      </c>
      <c r="R436" s="52">
        <f t="shared" si="3"/>
        <v>-41334200</v>
      </c>
    </row>
    <row r="437" spans="1:18" x14ac:dyDescent="0.25">
      <c r="A437" s="49" t="s">
        <v>378</v>
      </c>
      <c r="B437" s="49" t="s">
        <v>90</v>
      </c>
      <c r="C437" s="49" t="s">
        <v>91</v>
      </c>
      <c r="D437" s="49" t="s">
        <v>69</v>
      </c>
      <c r="E437" s="50">
        <v>1012881000</v>
      </c>
      <c r="F437" s="50">
        <v>1012881000</v>
      </c>
      <c r="G437" s="50">
        <v>980982338</v>
      </c>
      <c r="H437" s="50">
        <v>0</v>
      </c>
      <c r="I437" s="50">
        <v>159439885</v>
      </c>
      <c r="J437" s="50">
        <v>0</v>
      </c>
      <c r="K437" s="50">
        <v>781808495</v>
      </c>
      <c r="L437" s="51">
        <f t="shared" si="0"/>
        <v>0.77186608792148337</v>
      </c>
      <c r="M437" s="50">
        <v>781808495</v>
      </c>
      <c r="N437" s="51">
        <f t="shared" si="1"/>
        <v>0.77186608792148337</v>
      </c>
      <c r="O437" s="50">
        <v>71632620</v>
      </c>
      <c r="P437" s="51">
        <f t="shared" si="2"/>
        <v>7.072165437005927E-2</v>
      </c>
      <c r="Q437" s="50">
        <v>39733958</v>
      </c>
      <c r="R437" s="52">
        <f t="shared" si="3"/>
        <v>-31898662</v>
      </c>
    </row>
    <row r="438" spans="1:18" x14ac:dyDescent="0.25">
      <c r="A438" s="49" t="s">
        <v>378</v>
      </c>
      <c r="B438" s="49" t="s">
        <v>379</v>
      </c>
      <c r="C438" s="49" t="s">
        <v>93</v>
      </c>
      <c r="D438" s="49" t="s">
        <v>69</v>
      </c>
      <c r="E438" s="50">
        <v>960939000</v>
      </c>
      <c r="F438" s="50">
        <v>960939000</v>
      </c>
      <c r="G438" s="50">
        <v>930676167</v>
      </c>
      <c r="H438" s="50">
        <v>0</v>
      </c>
      <c r="I438" s="50">
        <v>151262361</v>
      </c>
      <c r="J438" s="50">
        <v>0</v>
      </c>
      <c r="K438" s="50">
        <v>741717459</v>
      </c>
      <c r="L438" s="51">
        <f t="shared" si="0"/>
        <v>0.77186737035337316</v>
      </c>
      <c r="M438" s="50">
        <v>741717459</v>
      </c>
      <c r="N438" s="51">
        <f t="shared" si="1"/>
        <v>0.77186737035337316</v>
      </c>
      <c r="O438" s="50">
        <v>67959180</v>
      </c>
      <c r="P438" s="51">
        <f t="shared" si="2"/>
        <v>7.0721637897931081E-2</v>
      </c>
      <c r="Q438" s="50">
        <v>37696347</v>
      </c>
      <c r="R438" s="52">
        <f t="shared" si="3"/>
        <v>-30262833</v>
      </c>
    </row>
    <row r="439" spans="1:18" x14ac:dyDescent="0.25">
      <c r="A439" s="49" t="s">
        <v>378</v>
      </c>
      <c r="B439" s="49" t="s">
        <v>380</v>
      </c>
      <c r="C439" s="49" t="s">
        <v>95</v>
      </c>
      <c r="D439" s="49" t="s">
        <v>69</v>
      </c>
      <c r="E439" s="50">
        <v>51942000</v>
      </c>
      <c r="F439" s="50">
        <v>51942000</v>
      </c>
      <c r="G439" s="50">
        <v>50306171</v>
      </c>
      <c r="H439" s="50">
        <v>0</v>
      </c>
      <c r="I439" s="50">
        <v>8177524</v>
      </c>
      <c r="J439" s="50">
        <v>0</v>
      </c>
      <c r="K439" s="50">
        <v>40091036</v>
      </c>
      <c r="L439" s="51">
        <f t="shared" si="0"/>
        <v>0.77184236263524697</v>
      </c>
      <c r="M439" s="50">
        <v>40091036</v>
      </c>
      <c r="N439" s="51">
        <f t="shared" si="1"/>
        <v>0.77184236263524697</v>
      </c>
      <c r="O439" s="50">
        <v>3673440</v>
      </c>
      <c r="P439" s="51">
        <f t="shared" si="2"/>
        <v>7.0721959108236115E-2</v>
      </c>
      <c r="Q439" s="50">
        <v>2037611</v>
      </c>
      <c r="R439" s="52">
        <f t="shared" si="3"/>
        <v>-1635829</v>
      </c>
    </row>
    <row r="440" spans="1:18" x14ac:dyDescent="0.25">
      <c r="A440" s="49" t="s">
        <v>378</v>
      </c>
      <c r="B440" s="49" t="s">
        <v>96</v>
      </c>
      <c r="C440" s="49" t="s">
        <v>97</v>
      </c>
      <c r="D440" s="49" t="s">
        <v>69</v>
      </c>
      <c r="E440" s="50">
        <v>1081566000</v>
      </c>
      <c r="F440" s="50">
        <v>1081566000</v>
      </c>
      <c r="G440" s="50">
        <v>1049762821</v>
      </c>
      <c r="H440" s="50">
        <v>0</v>
      </c>
      <c r="I440" s="50">
        <v>220656113.38999999</v>
      </c>
      <c r="J440" s="50">
        <v>0</v>
      </c>
      <c r="K440" s="50">
        <v>789277266.61000001</v>
      </c>
      <c r="L440" s="51">
        <f t="shared" si="0"/>
        <v>0.72975414039457598</v>
      </c>
      <c r="M440" s="50">
        <v>789277266.61000001</v>
      </c>
      <c r="N440" s="51">
        <f t="shared" si="1"/>
        <v>0.72975414039457598</v>
      </c>
      <c r="O440" s="50">
        <v>71632620</v>
      </c>
      <c r="P440" s="51">
        <f t="shared" si="2"/>
        <v>6.6230465824554399E-2</v>
      </c>
      <c r="Q440" s="50">
        <v>39829441</v>
      </c>
      <c r="R440" s="52">
        <f t="shared" si="3"/>
        <v>-31803179</v>
      </c>
    </row>
    <row r="441" spans="1:18" x14ac:dyDescent="0.25">
      <c r="A441" s="49" t="s">
        <v>378</v>
      </c>
      <c r="B441" s="49" t="s">
        <v>381</v>
      </c>
      <c r="C441" s="49" t="s">
        <v>99</v>
      </c>
      <c r="D441" s="49" t="s">
        <v>69</v>
      </c>
      <c r="E441" s="50">
        <v>527737000</v>
      </c>
      <c r="F441" s="50">
        <v>527737000</v>
      </c>
      <c r="G441" s="50">
        <v>510656280</v>
      </c>
      <c r="H441" s="50">
        <v>0</v>
      </c>
      <c r="I441" s="50">
        <v>131287845</v>
      </c>
      <c r="J441" s="50">
        <v>0</v>
      </c>
      <c r="K441" s="50">
        <v>357877715</v>
      </c>
      <c r="L441" s="51">
        <f t="shared" si="0"/>
        <v>0.6781364865453815</v>
      </c>
      <c r="M441" s="50">
        <v>357877715</v>
      </c>
      <c r="N441" s="51">
        <f t="shared" si="1"/>
        <v>0.6781364865453815</v>
      </c>
      <c r="O441" s="50">
        <v>38571440</v>
      </c>
      <c r="P441" s="51">
        <f t="shared" si="2"/>
        <v>7.3088375459746044E-2</v>
      </c>
      <c r="Q441" s="50">
        <v>21490720</v>
      </c>
      <c r="R441" s="52">
        <f t="shared" si="3"/>
        <v>-17080720</v>
      </c>
    </row>
    <row r="442" spans="1:18" x14ac:dyDescent="0.25">
      <c r="A442" s="49" t="s">
        <v>378</v>
      </c>
      <c r="B442" s="49" t="s">
        <v>382</v>
      </c>
      <c r="C442" s="49" t="s">
        <v>101</v>
      </c>
      <c r="D442" s="49" t="s">
        <v>69</v>
      </c>
      <c r="E442" s="50">
        <v>155828000</v>
      </c>
      <c r="F442" s="50">
        <v>155828000</v>
      </c>
      <c r="G442" s="50">
        <v>150920514</v>
      </c>
      <c r="H442" s="50">
        <v>0</v>
      </c>
      <c r="I442" s="50">
        <v>24534530</v>
      </c>
      <c r="J442" s="50">
        <v>0</v>
      </c>
      <c r="K442" s="50">
        <v>120273150</v>
      </c>
      <c r="L442" s="51">
        <f t="shared" si="0"/>
        <v>0.77183272582591067</v>
      </c>
      <c r="M442" s="50">
        <v>120273150</v>
      </c>
      <c r="N442" s="51">
        <f t="shared" si="1"/>
        <v>0.77183272582591067</v>
      </c>
      <c r="O442" s="50">
        <v>11020320</v>
      </c>
      <c r="P442" s="51">
        <f t="shared" si="2"/>
        <v>7.0721051415663427E-2</v>
      </c>
      <c r="Q442" s="50">
        <v>6112834</v>
      </c>
      <c r="R442" s="52">
        <f t="shared" si="3"/>
        <v>-4907486</v>
      </c>
    </row>
    <row r="443" spans="1:18" x14ac:dyDescent="0.25">
      <c r="A443" s="49" t="s">
        <v>378</v>
      </c>
      <c r="B443" s="49" t="s">
        <v>383</v>
      </c>
      <c r="C443" s="49" t="s">
        <v>103</v>
      </c>
      <c r="D443" s="49" t="s">
        <v>69</v>
      </c>
      <c r="E443" s="50">
        <v>311656000</v>
      </c>
      <c r="F443" s="50">
        <v>311656000</v>
      </c>
      <c r="G443" s="50">
        <v>301841027</v>
      </c>
      <c r="H443" s="50">
        <v>0</v>
      </c>
      <c r="I443" s="50">
        <v>49068953</v>
      </c>
      <c r="J443" s="50">
        <v>0</v>
      </c>
      <c r="K443" s="50">
        <v>240546187</v>
      </c>
      <c r="L443" s="51">
        <f t="shared" si="0"/>
        <v>0.77183236324665661</v>
      </c>
      <c r="M443" s="50">
        <v>240546187</v>
      </c>
      <c r="N443" s="51">
        <f t="shared" si="1"/>
        <v>0.77183236324665661</v>
      </c>
      <c r="O443" s="50">
        <v>22040860</v>
      </c>
      <c r="P443" s="51">
        <f t="shared" si="2"/>
        <v>7.0721757322175727E-2</v>
      </c>
      <c r="Q443" s="50">
        <v>12225887</v>
      </c>
      <c r="R443" s="52">
        <f t="shared" si="3"/>
        <v>-9814973</v>
      </c>
    </row>
    <row r="444" spans="1:18" x14ac:dyDescent="0.25">
      <c r="A444" s="49" t="s">
        <v>378</v>
      </c>
      <c r="B444" s="49" t="s">
        <v>384</v>
      </c>
      <c r="C444" s="49" t="s">
        <v>385</v>
      </c>
      <c r="D444" s="49" t="s">
        <v>69</v>
      </c>
      <c r="E444" s="50">
        <v>86345000</v>
      </c>
      <c r="F444" s="50">
        <v>86345000</v>
      </c>
      <c r="G444" s="50">
        <v>86345000</v>
      </c>
      <c r="H444" s="50">
        <v>0</v>
      </c>
      <c r="I444" s="50">
        <v>15764785.390000001</v>
      </c>
      <c r="J444" s="50">
        <v>0</v>
      </c>
      <c r="K444" s="50">
        <v>70580214.609999999</v>
      </c>
      <c r="L444" s="51">
        <f t="shared" si="0"/>
        <v>0.81742098106433492</v>
      </c>
      <c r="M444" s="50">
        <v>70580214.609999999</v>
      </c>
      <c r="N444" s="51">
        <f t="shared" si="1"/>
        <v>0.81742098106433492</v>
      </c>
      <c r="O444" s="50">
        <v>0</v>
      </c>
      <c r="P444" s="51">
        <f t="shared" si="2"/>
        <v>0</v>
      </c>
      <c r="Q444" s="50">
        <v>0</v>
      </c>
      <c r="R444" s="52">
        <f t="shared" si="3"/>
        <v>0</v>
      </c>
    </row>
    <row r="445" spans="1:18" x14ac:dyDescent="0.25">
      <c r="A445" s="49" t="s">
        <v>378</v>
      </c>
      <c r="B445" s="49" t="s">
        <v>104</v>
      </c>
      <c r="C445" s="49" t="s">
        <v>105</v>
      </c>
      <c r="D445" s="49" t="s">
        <v>69</v>
      </c>
      <c r="E445" s="50">
        <v>31730334</v>
      </c>
      <c r="F445" s="50">
        <v>43352799</v>
      </c>
      <c r="G445" s="50">
        <v>43352799</v>
      </c>
      <c r="H445" s="50">
        <v>0</v>
      </c>
      <c r="I445" s="50">
        <v>886800</v>
      </c>
      <c r="J445" s="50">
        <v>0</v>
      </c>
      <c r="K445" s="50">
        <v>42465999</v>
      </c>
      <c r="L445" s="51">
        <f t="shared" si="0"/>
        <v>0.97954457335038503</v>
      </c>
      <c r="M445" s="50">
        <v>42465999</v>
      </c>
      <c r="N445" s="51">
        <f t="shared" si="1"/>
        <v>0.97954457335038503</v>
      </c>
      <c r="O445" s="50">
        <v>0</v>
      </c>
      <c r="P445" s="51">
        <f t="shared" si="2"/>
        <v>0</v>
      </c>
      <c r="Q445" s="50">
        <v>0</v>
      </c>
      <c r="R445" s="52">
        <f t="shared" si="3"/>
        <v>0</v>
      </c>
    </row>
    <row r="446" spans="1:18" x14ac:dyDescent="0.25">
      <c r="A446" s="49" t="s">
        <v>378</v>
      </c>
      <c r="B446" s="49" t="s">
        <v>150</v>
      </c>
      <c r="C446" s="49" t="s">
        <v>151</v>
      </c>
      <c r="D446" s="49" t="s">
        <v>69</v>
      </c>
      <c r="E446" s="50">
        <v>31730334</v>
      </c>
      <c r="F446" s="50">
        <v>43352799</v>
      </c>
      <c r="G446" s="50">
        <v>43352799</v>
      </c>
      <c r="H446" s="50">
        <v>0</v>
      </c>
      <c r="I446" s="50">
        <v>886800</v>
      </c>
      <c r="J446" s="50">
        <v>0</v>
      </c>
      <c r="K446" s="50">
        <v>42465999</v>
      </c>
      <c r="L446" s="51">
        <f t="shared" si="0"/>
        <v>0.97954457335038503</v>
      </c>
      <c r="M446" s="50">
        <v>42465999</v>
      </c>
      <c r="N446" s="51">
        <f t="shared" si="1"/>
        <v>0.97954457335038503</v>
      </c>
      <c r="O446" s="50">
        <v>0</v>
      </c>
      <c r="P446" s="51">
        <f t="shared" si="2"/>
        <v>0</v>
      </c>
      <c r="Q446" s="50">
        <v>0</v>
      </c>
      <c r="R446" s="52">
        <f t="shared" si="3"/>
        <v>0</v>
      </c>
    </row>
    <row r="447" spans="1:18" x14ac:dyDescent="0.25">
      <c r="A447" s="49" t="s">
        <v>378</v>
      </c>
      <c r="B447" s="49" t="s">
        <v>152</v>
      </c>
      <c r="C447" s="49" t="s">
        <v>153</v>
      </c>
      <c r="D447" s="49" t="s">
        <v>69</v>
      </c>
      <c r="E447" s="50">
        <v>31730334</v>
      </c>
      <c r="F447" s="50">
        <v>43352799</v>
      </c>
      <c r="G447" s="50">
        <v>43352799</v>
      </c>
      <c r="H447" s="50">
        <v>0</v>
      </c>
      <c r="I447" s="50">
        <v>886800</v>
      </c>
      <c r="J447" s="50">
        <v>0</v>
      </c>
      <c r="K447" s="50">
        <v>42465999</v>
      </c>
      <c r="L447" s="51">
        <f t="shared" si="0"/>
        <v>0.97954457335038503</v>
      </c>
      <c r="M447" s="50">
        <v>42465999</v>
      </c>
      <c r="N447" s="51">
        <f t="shared" si="1"/>
        <v>0.97954457335038503</v>
      </c>
      <c r="O447" s="50">
        <v>0</v>
      </c>
      <c r="P447" s="51">
        <f t="shared" si="2"/>
        <v>0</v>
      </c>
      <c r="Q447" s="50">
        <v>0</v>
      </c>
      <c r="R447" s="52">
        <f t="shared" si="3"/>
        <v>0</v>
      </c>
    </row>
    <row r="448" spans="1:18" x14ac:dyDescent="0.25">
      <c r="A448" s="49" t="s">
        <v>378</v>
      </c>
      <c r="B448" s="49" t="s">
        <v>248</v>
      </c>
      <c r="C448" s="49" t="s">
        <v>249</v>
      </c>
      <c r="D448" s="49" t="s">
        <v>69</v>
      </c>
      <c r="E448" s="50">
        <v>492565000</v>
      </c>
      <c r="F448" s="50">
        <v>480942535</v>
      </c>
      <c r="G448" s="50">
        <v>475537261</v>
      </c>
      <c r="H448" s="50">
        <v>0</v>
      </c>
      <c r="I448" s="50">
        <v>87914750.959999993</v>
      </c>
      <c r="J448" s="50">
        <v>0</v>
      </c>
      <c r="K448" s="50">
        <v>365920766.32999998</v>
      </c>
      <c r="L448" s="51">
        <f t="shared" si="0"/>
        <v>0.76084093150546561</v>
      </c>
      <c r="M448" s="50">
        <v>356812802.81</v>
      </c>
      <c r="N448" s="51">
        <f t="shared" si="1"/>
        <v>0.74190319392315762</v>
      </c>
      <c r="O448" s="50">
        <v>27107017.710000001</v>
      </c>
      <c r="P448" s="51">
        <f t="shared" si="2"/>
        <v>5.6362279767997646E-2</v>
      </c>
      <c r="Q448" s="50">
        <v>21701743.710000001</v>
      </c>
      <c r="R448" s="52">
        <f t="shared" si="3"/>
        <v>-5405274</v>
      </c>
    </row>
    <row r="449" spans="1:18" x14ac:dyDescent="0.25">
      <c r="A449" s="49" t="s">
        <v>378</v>
      </c>
      <c r="B449" s="49" t="s">
        <v>250</v>
      </c>
      <c r="C449" s="49" t="s">
        <v>251</v>
      </c>
      <c r="D449" s="49" t="s">
        <v>69</v>
      </c>
      <c r="E449" s="50">
        <v>154788000</v>
      </c>
      <c r="F449" s="50">
        <v>154788000</v>
      </c>
      <c r="G449" s="50">
        <v>149382726</v>
      </c>
      <c r="H449" s="50">
        <v>0</v>
      </c>
      <c r="I449" s="50">
        <v>32913119.260000002</v>
      </c>
      <c r="J449" s="50">
        <v>0</v>
      </c>
      <c r="K449" s="50">
        <v>109678940.73999999</v>
      </c>
      <c r="L449" s="51">
        <f t="shared" si="0"/>
        <v>0.70857521732950868</v>
      </c>
      <c r="M449" s="50">
        <v>109678940.73999999</v>
      </c>
      <c r="N449" s="51">
        <f t="shared" si="1"/>
        <v>0.70857521732950868</v>
      </c>
      <c r="O449" s="50">
        <v>12195940</v>
      </c>
      <c r="P449" s="51">
        <f t="shared" si="2"/>
        <v>7.8791249967697749E-2</v>
      </c>
      <c r="Q449" s="50">
        <v>6790666</v>
      </c>
      <c r="R449" s="52">
        <f t="shared" si="3"/>
        <v>-5405274</v>
      </c>
    </row>
    <row r="450" spans="1:18" x14ac:dyDescent="0.25">
      <c r="A450" s="49" t="s">
        <v>378</v>
      </c>
      <c r="B450" s="49" t="s">
        <v>386</v>
      </c>
      <c r="C450" s="49" t="s">
        <v>257</v>
      </c>
      <c r="D450" s="49" t="s">
        <v>69</v>
      </c>
      <c r="E450" s="50">
        <v>128817000</v>
      </c>
      <c r="F450" s="50">
        <v>128817000</v>
      </c>
      <c r="G450" s="50">
        <v>124229640</v>
      </c>
      <c r="H450" s="50">
        <v>0</v>
      </c>
      <c r="I450" s="50">
        <v>28824523.77</v>
      </c>
      <c r="J450" s="50">
        <v>0</v>
      </c>
      <c r="K450" s="50">
        <v>89633356.230000004</v>
      </c>
      <c r="L450" s="51">
        <f t="shared" si="0"/>
        <v>0.69581931134865738</v>
      </c>
      <c r="M450" s="50">
        <v>89633356.230000004</v>
      </c>
      <c r="N450" s="51">
        <f t="shared" si="1"/>
        <v>0.69581931134865738</v>
      </c>
      <c r="O450" s="50">
        <v>10359120</v>
      </c>
      <c r="P450" s="51">
        <f t="shared" si="2"/>
        <v>8.0417336221150937E-2</v>
      </c>
      <c r="Q450" s="50">
        <v>5771760</v>
      </c>
      <c r="R450" s="52">
        <f t="shared" si="3"/>
        <v>-4587360</v>
      </c>
    </row>
    <row r="451" spans="1:18" x14ac:dyDescent="0.25">
      <c r="A451" s="49" t="s">
        <v>378</v>
      </c>
      <c r="B451" s="49" t="s">
        <v>387</v>
      </c>
      <c r="C451" s="49" t="s">
        <v>259</v>
      </c>
      <c r="D451" s="49" t="s">
        <v>69</v>
      </c>
      <c r="E451" s="50">
        <v>25971000</v>
      </c>
      <c r="F451" s="50">
        <v>25971000</v>
      </c>
      <c r="G451" s="50">
        <v>25153086</v>
      </c>
      <c r="H451" s="50">
        <v>0</v>
      </c>
      <c r="I451" s="50">
        <v>4088595.49</v>
      </c>
      <c r="J451" s="50">
        <v>0</v>
      </c>
      <c r="K451" s="50">
        <v>20045584.510000002</v>
      </c>
      <c r="L451" s="51">
        <f t="shared" si="0"/>
        <v>0.7718449235685958</v>
      </c>
      <c r="M451" s="50">
        <v>20045584.510000002</v>
      </c>
      <c r="N451" s="51">
        <f t="shared" si="1"/>
        <v>0.7718449235685958</v>
      </c>
      <c r="O451" s="50">
        <v>1836820</v>
      </c>
      <c r="P451" s="51">
        <f t="shared" si="2"/>
        <v>7.0725809556813374E-2</v>
      </c>
      <c r="Q451" s="50">
        <v>1018906</v>
      </c>
      <c r="R451" s="52">
        <f t="shared" si="3"/>
        <v>-817914</v>
      </c>
    </row>
    <row r="452" spans="1:18" x14ac:dyDescent="0.25">
      <c r="A452" s="49" t="s">
        <v>378</v>
      </c>
      <c r="B452" s="49" t="s">
        <v>260</v>
      </c>
      <c r="C452" s="49" t="s">
        <v>261</v>
      </c>
      <c r="D452" s="49" t="s">
        <v>69</v>
      </c>
      <c r="E452" s="50">
        <v>312777000</v>
      </c>
      <c r="F452" s="50">
        <v>296154535</v>
      </c>
      <c r="G452" s="50">
        <v>296154535</v>
      </c>
      <c r="H452" s="50">
        <v>0</v>
      </c>
      <c r="I452" s="50">
        <v>49329748.990000002</v>
      </c>
      <c r="J452" s="50">
        <v>0</v>
      </c>
      <c r="K452" s="50">
        <v>231913708.30000001</v>
      </c>
      <c r="L452" s="51">
        <f t="shared" si="0"/>
        <v>0.78308342737348258</v>
      </c>
      <c r="M452" s="50">
        <v>222805744.78</v>
      </c>
      <c r="N452" s="51">
        <f t="shared" si="1"/>
        <v>0.75232933637163446</v>
      </c>
      <c r="O452" s="50">
        <v>14911077.710000001</v>
      </c>
      <c r="P452" s="51">
        <f t="shared" si="2"/>
        <v>5.03489764558223E-2</v>
      </c>
      <c r="Q452" s="50">
        <v>14911077.710000001</v>
      </c>
      <c r="R452" s="52">
        <f t="shared" si="3"/>
        <v>0</v>
      </c>
    </row>
    <row r="453" spans="1:18" x14ac:dyDescent="0.25">
      <c r="A453" s="49" t="s">
        <v>378</v>
      </c>
      <c r="B453" s="49" t="s">
        <v>262</v>
      </c>
      <c r="C453" s="49" t="s">
        <v>263</v>
      </c>
      <c r="D453" s="49" t="s">
        <v>69</v>
      </c>
      <c r="E453" s="50">
        <v>239389000</v>
      </c>
      <c r="F453" s="50">
        <v>239389000</v>
      </c>
      <c r="G453" s="50">
        <v>239389000</v>
      </c>
      <c r="H453" s="50">
        <v>0</v>
      </c>
      <c r="I453" s="50">
        <v>49329748.990000002</v>
      </c>
      <c r="J453" s="50">
        <v>0</v>
      </c>
      <c r="K453" s="50">
        <v>190059251.00999999</v>
      </c>
      <c r="L453" s="51">
        <f t="shared" si="0"/>
        <v>0.793934771480728</v>
      </c>
      <c r="M453" s="50">
        <v>180951287.49000001</v>
      </c>
      <c r="N453" s="51">
        <f t="shared" si="1"/>
        <v>0.75588806290180421</v>
      </c>
      <c r="O453" s="50">
        <v>0</v>
      </c>
      <c r="P453" s="51">
        <f t="shared" si="2"/>
        <v>0</v>
      </c>
      <c r="Q453" s="50">
        <v>0</v>
      </c>
      <c r="R453" s="52">
        <f t="shared" si="3"/>
        <v>0</v>
      </c>
    </row>
    <row r="454" spans="1:18" x14ac:dyDescent="0.25">
      <c r="A454" s="49" t="s">
        <v>378</v>
      </c>
      <c r="B454" s="49" t="s">
        <v>264</v>
      </c>
      <c r="C454" s="49" t="s">
        <v>265</v>
      </c>
      <c r="D454" s="49" t="s">
        <v>69</v>
      </c>
      <c r="E454" s="50">
        <v>73388000</v>
      </c>
      <c r="F454" s="50">
        <v>56765535</v>
      </c>
      <c r="G454" s="50">
        <v>56765535</v>
      </c>
      <c r="H454" s="50">
        <v>0</v>
      </c>
      <c r="I454" s="50">
        <v>0</v>
      </c>
      <c r="J454" s="50">
        <v>0</v>
      </c>
      <c r="K454" s="50">
        <v>41854457.289999999</v>
      </c>
      <c r="L454" s="51">
        <f t="shared" si="0"/>
        <v>0.73732163873730772</v>
      </c>
      <c r="M454" s="50">
        <v>41854457.289999999</v>
      </c>
      <c r="N454" s="51">
        <f t="shared" si="1"/>
        <v>0.73732163873730772</v>
      </c>
      <c r="O454" s="50">
        <v>14911077.710000001</v>
      </c>
      <c r="P454" s="51">
        <f t="shared" si="2"/>
        <v>0.26267836126269223</v>
      </c>
      <c r="Q454" s="50">
        <v>14911077.710000001</v>
      </c>
      <c r="R454" s="52">
        <f t="shared" si="3"/>
        <v>0</v>
      </c>
    </row>
    <row r="455" spans="1:18" x14ac:dyDescent="0.25">
      <c r="A455" s="49" t="s">
        <v>378</v>
      </c>
      <c r="B455" s="49" t="s">
        <v>286</v>
      </c>
      <c r="C455" s="49" t="s">
        <v>287</v>
      </c>
      <c r="D455" s="49" t="s">
        <v>69</v>
      </c>
      <c r="E455" s="50">
        <v>25000000</v>
      </c>
      <c r="F455" s="50">
        <v>30000000</v>
      </c>
      <c r="G455" s="50">
        <v>30000000</v>
      </c>
      <c r="H455" s="50">
        <v>0</v>
      </c>
      <c r="I455" s="50">
        <v>5671882.71</v>
      </c>
      <c r="J455" s="50">
        <v>0</v>
      </c>
      <c r="K455" s="50">
        <v>24328117.289999999</v>
      </c>
      <c r="L455" s="51">
        <f t="shared" si="0"/>
        <v>0.81093724299999992</v>
      </c>
      <c r="M455" s="50">
        <v>24328117.289999999</v>
      </c>
      <c r="N455" s="51">
        <f t="shared" si="1"/>
        <v>0.81093724299999992</v>
      </c>
      <c r="O455" s="50">
        <v>0</v>
      </c>
      <c r="P455" s="51">
        <f t="shared" si="2"/>
        <v>0</v>
      </c>
      <c r="Q455" s="50">
        <v>0</v>
      </c>
      <c r="R455" s="52">
        <f t="shared" si="3"/>
        <v>0</v>
      </c>
    </row>
    <row r="456" spans="1:18" x14ac:dyDescent="0.25">
      <c r="A456" s="49" t="s">
        <v>378</v>
      </c>
      <c r="B456" s="49" t="s">
        <v>288</v>
      </c>
      <c r="C456" s="49" t="s">
        <v>289</v>
      </c>
      <c r="D456" s="49" t="s">
        <v>69</v>
      </c>
      <c r="E456" s="50">
        <v>10000000</v>
      </c>
      <c r="F456" s="50">
        <v>10000000</v>
      </c>
      <c r="G456" s="50">
        <v>10000000</v>
      </c>
      <c r="H456" s="50">
        <v>0</v>
      </c>
      <c r="I456" s="50">
        <v>149689.87</v>
      </c>
      <c r="J456" s="50">
        <v>0</v>
      </c>
      <c r="K456" s="50">
        <v>9850310.1300000008</v>
      </c>
      <c r="L456" s="51">
        <f t="shared" si="0"/>
        <v>0.98503101300000007</v>
      </c>
      <c r="M456" s="50">
        <v>9850310.1300000008</v>
      </c>
      <c r="N456" s="51">
        <f t="shared" si="1"/>
        <v>0.98503101300000007</v>
      </c>
      <c r="O456" s="50">
        <v>0</v>
      </c>
      <c r="P456" s="51">
        <f t="shared" si="2"/>
        <v>0</v>
      </c>
      <c r="Q456" s="50">
        <v>0</v>
      </c>
      <c r="R456" s="52">
        <f t="shared" si="3"/>
        <v>0</v>
      </c>
    </row>
    <row r="457" spans="1:18" x14ac:dyDescent="0.25">
      <c r="A457" s="49" t="s">
        <v>378</v>
      </c>
      <c r="B457" s="49" t="s">
        <v>370</v>
      </c>
      <c r="C457" s="49" t="s">
        <v>371</v>
      </c>
      <c r="D457" s="49" t="s">
        <v>69</v>
      </c>
      <c r="E457" s="50">
        <v>15000000</v>
      </c>
      <c r="F457" s="50">
        <v>20000000</v>
      </c>
      <c r="G457" s="50">
        <v>20000000</v>
      </c>
      <c r="H457" s="50">
        <v>0</v>
      </c>
      <c r="I457" s="50">
        <v>5522192.8399999999</v>
      </c>
      <c r="J457" s="50">
        <v>0</v>
      </c>
      <c r="K457" s="50">
        <v>14477807.16</v>
      </c>
      <c r="L457" s="51">
        <f t="shared" si="0"/>
        <v>0.72389035800000001</v>
      </c>
      <c r="M457" s="50">
        <v>14477807.16</v>
      </c>
      <c r="N457" s="51">
        <f t="shared" si="1"/>
        <v>0.72389035800000001</v>
      </c>
      <c r="O457" s="50">
        <v>0</v>
      </c>
      <c r="P457" s="51">
        <f t="shared" si="2"/>
        <v>0</v>
      </c>
      <c r="Q457" s="50">
        <v>0</v>
      </c>
      <c r="R457" s="52">
        <f t="shared" si="3"/>
        <v>0</v>
      </c>
    </row>
    <row r="458" spans="1:18" x14ac:dyDescent="0.25">
      <c r="A458" s="53"/>
      <c r="B458" s="53"/>
      <c r="C458" s="53"/>
      <c r="D458" s="53"/>
      <c r="E458" s="54">
        <v>675435665000</v>
      </c>
      <c r="F458" s="54">
        <v>706635887660</v>
      </c>
      <c r="G458" s="54">
        <v>689412409420</v>
      </c>
      <c r="H458" s="54">
        <v>1540823112.25</v>
      </c>
      <c r="I458" s="54">
        <v>47031024775.5</v>
      </c>
      <c r="J458" s="54">
        <v>1239733773.9000001</v>
      </c>
      <c r="K458" s="54">
        <v>510260917256.20001</v>
      </c>
      <c r="L458" s="54"/>
      <c r="M458" s="54">
        <v>505020263485.75</v>
      </c>
      <c r="N458" s="54"/>
      <c r="O458" s="54">
        <v>146563388742.14999</v>
      </c>
      <c r="P458" s="54"/>
      <c r="Q458" s="54">
        <v>129339910502.14999</v>
      </c>
    </row>
  </sheetData>
  <sheetProtection selectLockedCells="1" selectUnlockedCells="1"/>
  <conditionalFormatting sqref="K2:K451">
    <cfRule type="cellIs" dxfId="75" priority="1" stopIfTrue="1" operator="lessThan">
      <formula>0</formula>
    </cfRule>
  </conditionalFormatting>
  <pageMargins left="0" right="0" top="0" bottom="0.74791666666666667" header="0.51180555555555551" footer="0.51180555555555551"/>
  <pageSetup paperSize="9" scale="85" firstPageNumber="0" orientation="landscape" horizontalDpi="300" verticalDpi="300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5"/>
  <sheetViews>
    <sheetView zoomScaleNormal="100" workbookViewId="0"/>
  </sheetViews>
  <sheetFormatPr baseColWidth="10" defaultColWidth="36.28515625" defaultRowHeight="15" x14ac:dyDescent="0.25"/>
  <cols>
    <col min="1" max="1" width="13" customWidth="1"/>
    <col min="2" max="2" width="18.140625" customWidth="1"/>
    <col min="3" max="3" width="74.140625" customWidth="1"/>
    <col min="4" max="4" width="6.5703125" customWidth="1"/>
    <col min="5" max="5" width="18.7109375" customWidth="1"/>
    <col min="6" max="7" width="18.5703125" customWidth="1"/>
    <col min="8" max="8" width="17.42578125" customWidth="1"/>
    <col min="9" max="9" width="18.5703125" customWidth="1"/>
    <col min="10" max="10" width="20" customWidth="1"/>
    <col min="11" max="12" width="18.5703125" customWidth="1"/>
    <col min="13" max="13" width="21.5703125" customWidth="1"/>
    <col min="14" max="14" width="18.5703125" customWidth="1"/>
  </cols>
  <sheetData>
    <row r="1" spans="1:14" x14ac:dyDescent="0.25">
      <c r="A1" s="144" t="s">
        <v>52</v>
      </c>
      <c r="B1" s="144" t="s">
        <v>53</v>
      </c>
      <c r="C1" s="144" t="s">
        <v>54</v>
      </c>
      <c r="D1" s="144" t="s">
        <v>55</v>
      </c>
      <c r="E1" s="144" t="s">
        <v>56</v>
      </c>
      <c r="F1" s="144" t="s">
        <v>57</v>
      </c>
      <c r="G1" s="144" t="s">
        <v>58</v>
      </c>
      <c r="H1" s="144" t="s">
        <v>59</v>
      </c>
      <c r="I1" s="144" t="s">
        <v>60</v>
      </c>
      <c r="J1" s="144" t="s">
        <v>61</v>
      </c>
      <c r="K1" s="144" t="s">
        <v>12</v>
      </c>
      <c r="L1" s="144" t="s">
        <v>63</v>
      </c>
      <c r="M1" s="144" t="s">
        <v>65</v>
      </c>
      <c r="N1" s="144" t="s">
        <v>67</v>
      </c>
    </row>
    <row r="2" spans="1:14" s="143" customFormat="1" x14ac:dyDescent="0.25">
      <c r="A2" s="143" t="s">
        <v>68</v>
      </c>
      <c r="D2" s="143" t="s">
        <v>69</v>
      </c>
      <c r="E2" s="257">
        <v>135087133000</v>
      </c>
      <c r="F2" s="257">
        <v>141087133000</v>
      </c>
      <c r="G2" s="257">
        <v>118867973854.75</v>
      </c>
      <c r="H2" s="257">
        <v>247600000.50999999</v>
      </c>
      <c r="I2" s="257">
        <v>15915257975.18</v>
      </c>
      <c r="J2" s="257">
        <v>490552471.35000002</v>
      </c>
      <c r="K2" s="257">
        <v>47482666457.669998</v>
      </c>
      <c r="L2" s="257">
        <v>46688607532.389999</v>
      </c>
      <c r="M2" s="257">
        <v>76951056095.289993</v>
      </c>
      <c r="N2" s="257">
        <v>54731896950.040001</v>
      </c>
    </row>
    <row r="3" spans="1:14" s="143" customFormat="1" x14ac:dyDescent="0.25">
      <c r="A3" s="143">
        <v>214779</v>
      </c>
      <c r="D3" s="143" t="s">
        <v>69</v>
      </c>
      <c r="E3" s="257">
        <v>2519449227</v>
      </c>
      <c r="F3" s="257">
        <v>2519449227</v>
      </c>
      <c r="G3" s="257">
        <v>1952521749</v>
      </c>
      <c r="H3" s="257">
        <v>13836339</v>
      </c>
      <c r="I3" s="257">
        <v>282927440.95999998</v>
      </c>
      <c r="J3" s="257">
        <v>692877.52</v>
      </c>
      <c r="K3" s="279">
        <v>873402661.24000001</v>
      </c>
      <c r="L3" s="257">
        <v>863346618.70000005</v>
      </c>
      <c r="M3" s="257">
        <v>1348589908.28</v>
      </c>
      <c r="N3" s="257">
        <v>781662430.27999997</v>
      </c>
    </row>
    <row r="4" spans="1:14" s="143" customFormat="1" x14ac:dyDescent="0.25">
      <c r="A4" s="143" t="s">
        <v>70</v>
      </c>
      <c r="B4" s="143" t="s">
        <v>71</v>
      </c>
      <c r="C4" s="143" t="s">
        <v>72</v>
      </c>
      <c r="D4" s="143" t="s">
        <v>69</v>
      </c>
      <c r="E4" s="257">
        <v>1386097000</v>
      </c>
      <c r="F4" s="257">
        <v>1372097000</v>
      </c>
      <c r="G4" s="257">
        <v>1364477635</v>
      </c>
      <c r="H4" s="257">
        <v>0</v>
      </c>
      <c r="I4" s="257">
        <v>132044243</v>
      </c>
      <c r="J4" s="257">
        <v>0</v>
      </c>
      <c r="K4" s="257">
        <v>473247915.54000002</v>
      </c>
      <c r="L4" s="257">
        <v>473247915.54000002</v>
      </c>
      <c r="M4" s="257">
        <v>766804841.46000004</v>
      </c>
      <c r="N4" s="257">
        <v>759185476.46000004</v>
      </c>
    </row>
    <row r="5" spans="1:14" s="143" customFormat="1" x14ac:dyDescent="0.25">
      <c r="A5" s="143" t="s">
        <v>70</v>
      </c>
      <c r="B5" s="143" t="s">
        <v>73</v>
      </c>
      <c r="C5" s="143" t="s">
        <v>74</v>
      </c>
      <c r="D5" s="143" t="s">
        <v>69</v>
      </c>
      <c r="E5" s="257">
        <v>526394000</v>
      </c>
      <c r="F5" s="257">
        <v>513555100</v>
      </c>
      <c r="G5" s="257">
        <v>513555100</v>
      </c>
      <c r="H5" s="257">
        <v>0</v>
      </c>
      <c r="I5" s="257">
        <v>0</v>
      </c>
      <c r="J5" s="257">
        <v>0</v>
      </c>
      <c r="K5" s="257">
        <v>183175535.19</v>
      </c>
      <c r="L5" s="257">
        <v>183175535.19</v>
      </c>
      <c r="M5" s="257">
        <v>330379564.81</v>
      </c>
      <c r="N5" s="257">
        <v>330379564.81</v>
      </c>
    </row>
    <row r="6" spans="1:14" s="143" customFormat="1" x14ac:dyDescent="0.25">
      <c r="A6" s="143" t="s">
        <v>70</v>
      </c>
      <c r="B6" s="143" t="s">
        <v>75</v>
      </c>
      <c r="C6" s="143" t="s">
        <v>76</v>
      </c>
      <c r="D6" s="143" t="s">
        <v>69</v>
      </c>
      <c r="E6" s="257">
        <v>526394000</v>
      </c>
      <c r="F6" s="257">
        <v>513555100</v>
      </c>
      <c r="G6" s="257">
        <v>513555100</v>
      </c>
      <c r="H6" s="257">
        <v>0</v>
      </c>
      <c r="I6" s="257">
        <v>0</v>
      </c>
      <c r="J6" s="257">
        <v>0</v>
      </c>
      <c r="K6" s="257">
        <v>183175535.19</v>
      </c>
      <c r="L6" s="257">
        <v>183175535.19</v>
      </c>
      <c r="M6" s="257">
        <v>330379564.81</v>
      </c>
      <c r="N6" s="257">
        <v>330379564.81</v>
      </c>
    </row>
    <row r="7" spans="1:14" s="143" customFormat="1" x14ac:dyDescent="0.25">
      <c r="A7" s="143" t="s">
        <v>70</v>
      </c>
      <c r="B7" s="143" t="s">
        <v>77</v>
      </c>
      <c r="C7" s="143" t="s">
        <v>78</v>
      </c>
      <c r="D7" s="143" t="s">
        <v>69</v>
      </c>
      <c r="E7" s="257">
        <v>649722000</v>
      </c>
      <c r="F7" s="257">
        <v>648560900</v>
      </c>
      <c r="G7" s="257">
        <v>640941535</v>
      </c>
      <c r="H7" s="257">
        <v>0</v>
      </c>
      <c r="I7" s="257">
        <v>0</v>
      </c>
      <c r="J7" s="257">
        <v>0</v>
      </c>
      <c r="K7" s="257">
        <v>212135623.34999999</v>
      </c>
      <c r="L7" s="257">
        <v>212135623.34999999</v>
      </c>
      <c r="M7" s="257">
        <v>436425276.64999998</v>
      </c>
      <c r="N7" s="257">
        <v>428805911.64999998</v>
      </c>
    </row>
    <row r="8" spans="1:14" s="143" customFormat="1" x14ac:dyDescent="0.25">
      <c r="A8" s="143" t="s">
        <v>70</v>
      </c>
      <c r="B8" s="143" t="s">
        <v>79</v>
      </c>
      <c r="C8" s="143" t="s">
        <v>80</v>
      </c>
      <c r="D8" s="143" t="s">
        <v>69</v>
      </c>
      <c r="E8" s="257">
        <v>138872000</v>
      </c>
      <c r="F8" s="257">
        <v>137710900</v>
      </c>
      <c r="G8" s="257">
        <v>137710900</v>
      </c>
      <c r="H8" s="257">
        <v>0</v>
      </c>
      <c r="I8" s="257">
        <v>0</v>
      </c>
      <c r="J8" s="257">
        <v>0</v>
      </c>
      <c r="K8" s="257">
        <v>39201173.579999998</v>
      </c>
      <c r="L8" s="257">
        <v>39201173.579999998</v>
      </c>
      <c r="M8" s="257">
        <v>98509726.420000002</v>
      </c>
      <c r="N8" s="257">
        <v>98509726.420000002</v>
      </c>
    </row>
    <row r="9" spans="1:14" s="143" customFormat="1" x14ac:dyDescent="0.25">
      <c r="A9" s="143" t="s">
        <v>70</v>
      </c>
      <c r="B9" s="143" t="s">
        <v>81</v>
      </c>
      <c r="C9" s="143" t="s">
        <v>82</v>
      </c>
      <c r="D9" s="143" t="s">
        <v>69</v>
      </c>
      <c r="E9" s="257">
        <v>289755000</v>
      </c>
      <c r="F9" s="257">
        <v>289755000</v>
      </c>
      <c r="G9" s="257">
        <v>282135635</v>
      </c>
      <c r="H9" s="257">
        <v>0</v>
      </c>
      <c r="I9" s="257">
        <v>0</v>
      </c>
      <c r="J9" s="257">
        <v>0</v>
      </c>
      <c r="K9" s="257">
        <v>83480764.030000001</v>
      </c>
      <c r="L9" s="257">
        <v>83480764.030000001</v>
      </c>
      <c r="M9" s="257">
        <v>206274235.97</v>
      </c>
      <c r="N9" s="257">
        <v>198654870.97</v>
      </c>
    </row>
    <row r="10" spans="1:14" s="143" customFormat="1" x14ac:dyDescent="0.25">
      <c r="A10" s="143" t="s">
        <v>70</v>
      </c>
      <c r="B10" s="143" t="s">
        <v>86</v>
      </c>
      <c r="C10" s="143" t="s">
        <v>87</v>
      </c>
      <c r="D10" s="143" t="s">
        <v>69</v>
      </c>
      <c r="E10" s="257">
        <v>83881000</v>
      </c>
      <c r="F10" s="257">
        <v>83881000</v>
      </c>
      <c r="G10" s="257">
        <v>83881000</v>
      </c>
      <c r="H10" s="257">
        <v>0</v>
      </c>
      <c r="I10" s="257">
        <v>0</v>
      </c>
      <c r="J10" s="257">
        <v>0</v>
      </c>
      <c r="K10" s="257">
        <v>74682002.099999994</v>
      </c>
      <c r="L10" s="257">
        <v>74682002.099999994</v>
      </c>
      <c r="M10" s="257">
        <v>9198997.9000000004</v>
      </c>
      <c r="N10" s="257">
        <v>9198997.9000000004</v>
      </c>
    </row>
    <row r="11" spans="1:14" s="143" customFormat="1" x14ac:dyDescent="0.25">
      <c r="A11" s="143" t="s">
        <v>70</v>
      </c>
      <c r="B11" s="143" t="s">
        <v>88</v>
      </c>
      <c r="C11" s="143" t="s">
        <v>89</v>
      </c>
      <c r="D11" s="143" t="s">
        <v>69</v>
      </c>
      <c r="E11" s="257">
        <v>47407000</v>
      </c>
      <c r="F11" s="257">
        <v>47407000</v>
      </c>
      <c r="G11" s="257">
        <v>47407000</v>
      </c>
      <c r="H11" s="257">
        <v>0</v>
      </c>
      <c r="I11" s="257">
        <v>0</v>
      </c>
      <c r="J11" s="257">
        <v>0</v>
      </c>
      <c r="K11" s="257">
        <v>14771683.640000001</v>
      </c>
      <c r="L11" s="257">
        <v>14771683.640000001</v>
      </c>
      <c r="M11" s="257">
        <v>32635316.359999999</v>
      </c>
      <c r="N11" s="257">
        <v>32635316.359999999</v>
      </c>
    </row>
    <row r="12" spans="1:14" s="143" customFormat="1" x14ac:dyDescent="0.25">
      <c r="A12" s="143" t="s">
        <v>70</v>
      </c>
      <c r="B12" s="143" t="s">
        <v>83</v>
      </c>
      <c r="C12" s="143" t="s">
        <v>84</v>
      </c>
      <c r="D12" s="143" t="s">
        <v>85</v>
      </c>
      <c r="E12" s="257">
        <v>89807000</v>
      </c>
      <c r="F12" s="257">
        <v>89807000</v>
      </c>
      <c r="G12" s="257">
        <v>89807000</v>
      </c>
      <c r="H12" s="257">
        <v>0</v>
      </c>
      <c r="I12" s="257">
        <v>0</v>
      </c>
      <c r="J12" s="257">
        <v>0</v>
      </c>
      <c r="K12" s="257">
        <v>0</v>
      </c>
      <c r="L12" s="257">
        <v>0</v>
      </c>
      <c r="M12" s="257">
        <v>89807000</v>
      </c>
      <c r="N12" s="257">
        <v>89807000</v>
      </c>
    </row>
    <row r="13" spans="1:14" s="143" customFormat="1" x14ac:dyDescent="0.25">
      <c r="A13" s="143" t="s">
        <v>70</v>
      </c>
      <c r="B13" s="143" t="s">
        <v>90</v>
      </c>
      <c r="C13" s="143" t="s">
        <v>91</v>
      </c>
      <c r="D13" s="143" t="s">
        <v>69</v>
      </c>
      <c r="E13" s="257">
        <v>105914000</v>
      </c>
      <c r="F13" s="257">
        <v>105914000</v>
      </c>
      <c r="G13" s="257">
        <v>105914000</v>
      </c>
      <c r="H13" s="257">
        <v>0</v>
      </c>
      <c r="I13" s="257">
        <v>66602910</v>
      </c>
      <c r="J13" s="257">
        <v>0</v>
      </c>
      <c r="K13" s="257">
        <v>39311090</v>
      </c>
      <c r="L13" s="257">
        <v>39311090</v>
      </c>
      <c r="M13" s="257">
        <v>0</v>
      </c>
      <c r="N13" s="257">
        <v>0</v>
      </c>
    </row>
    <row r="14" spans="1:14" s="143" customFormat="1" x14ac:dyDescent="0.25">
      <c r="A14" s="143" t="s">
        <v>70</v>
      </c>
      <c r="B14" s="143" t="s">
        <v>92</v>
      </c>
      <c r="C14" s="143" t="s">
        <v>93</v>
      </c>
      <c r="D14" s="143" t="s">
        <v>69</v>
      </c>
      <c r="E14" s="257">
        <v>100483000</v>
      </c>
      <c r="F14" s="257">
        <v>100483000</v>
      </c>
      <c r="G14" s="257">
        <v>100483000</v>
      </c>
      <c r="H14" s="257">
        <v>0</v>
      </c>
      <c r="I14" s="257">
        <v>63187873</v>
      </c>
      <c r="J14" s="257">
        <v>0</v>
      </c>
      <c r="K14" s="257">
        <v>37295127</v>
      </c>
      <c r="L14" s="257">
        <v>37295127</v>
      </c>
      <c r="M14" s="257">
        <v>0</v>
      </c>
      <c r="N14" s="257">
        <v>0</v>
      </c>
    </row>
    <row r="15" spans="1:14" s="143" customFormat="1" x14ac:dyDescent="0.25">
      <c r="A15" s="143" t="s">
        <v>70</v>
      </c>
      <c r="B15" s="143" t="s">
        <v>94</v>
      </c>
      <c r="C15" s="143" t="s">
        <v>95</v>
      </c>
      <c r="D15" s="143" t="s">
        <v>69</v>
      </c>
      <c r="E15" s="257">
        <v>5431000</v>
      </c>
      <c r="F15" s="257">
        <v>5431000</v>
      </c>
      <c r="G15" s="257">
        <v>5431000</v>
      </c>
      <c r="H15" s="257">
        <v>0</v>
      </c>
      <c r="I15" s="257">
        <v>3415037</v>
      </c>
      <c r="J15" s="257">
        <v>0</v>
      </c>
      <c r="K15" s="257">
        <v>2015963</v>
      </c>
      <c r="L15" s="257">
        <v>2015963</v>
      </c>
      <c r="M15" s="257">
        <v>0</v>
      </c>
      <c r="N15" s="257">
        <v>0</v>
      </c>
    </row>
    <row r="16" spans="1:14" s="143" customFormat="1" x14ac:dyDescent="0.25">
      <c r="A16" s="143" t="s">
        <v>70</v>
      </c>
      <c r="B16" s="143" t="s">
        <v>96</v>
      </c>
      <c r="C16" s="143" t="s">
        <v>97</v>
      </c>
      <c r="D16" s="143" t="s">
        <v>69</v>
      </c>
      <c r="E16" s="257">
        <v>104067000</v>
      </c>
      <c r="F16" s="257">
        <v>104067000</v>
      </c>
      <c r="G16" s="257">
        <v>104067000</v>
      </c>
      <c r="H16" s="257">
        <v>0</v>
      </c>
      <c r="I16" s="257">
        <v>65441333</v>
      </c>
      <c r="J16" s="257">
        <v>0</v>
      </c>
      <c r="K16" s="257">
        <v>38625667</v>
      </c>
      <c r="L16" s="257">
        <v>38625667</v>
      </c>
      <c r="M16" s="257">
        <v>0</v>
      </c>
      <c r="N16" s="257">
        <v>0</v>
      </c>
    </row>
    <row r="17" spans="1:14" s="143" customFormat="1" x14ac:dyDescent="0.25">
      <c r="A17" s="143" t="s">
        <v>70</v>
      </c>
      <c r="B17" s="143" t="s">
        <v>98</v>
      </c>
      <c r="C17" s="143" t="s">
        <v>99</v>
      </c>
      <c r="D17" s="143" t="s">
        <v>69</v>
      </c>
      <c r="E17" s="257">
        <v>55184000</v>
      </c>
      <c r="F17" s="257">
        <v>55184000</v>
      </c>
      <c r="G17" s="257">
        <v>55184000</v>
      </c>
      <c r="H17" s="257">
        <v>0</v>
      </c>
      <c r="I17" s="257">
        <v>34701919</v>
      </c>
      <c r="J17" s="257">
        <v>0</v>
      </c>
      <c r="K17" s="257">
        <v>20482081</v>
      </c>
      <c r="L17" s="257">
        <v>20482081</v>
      </c>
      <c r="M17" s="257">
        <v>0</v>
      </c>
      <c r="N17" s="257">
        <v>0</v>
      </c>
    </row>
    <row r="18" spans="1:14" s="143" customFormat="1" x14ac:dyDescent="0.25">
      <c r="A18" s="143" t="s">
        <v>70</v>
      </c>
      <c r="B18" s="143" t="s">
        <v>100</v>
      </c>
      <c r="C18" s="143" t="s">
        <v>101</v>
      </c>
      <c r="D18" s="143" t="s">
        <v>69</v>
      </c>
      <c r="E18" s="257">
        <v>16294000</v>
      </c>
      <c r="F18" s="257">
        <v>16294000</v>
      </c>
      <c r="G18" s="257">
        <v>16294000</v>
      </c>
      <c r="H18" s="257">
        <v>0</v>
      </c>
      <c r="I18" s="257">
        <v>10246140</v>
      </c>
      <c r="J18" s="257">
        <v>0</v>
      </c>
      <c r="K18" s="257">
        <v>6047860</v>
      </c>
      <c r="L18" s="257">
        <v>6047860</v>
      </c>
      <c r="M18" s="257">
        <v>0</v>
      </c>
      <c r="N18" s="257">
        <v>0</v>
      </c>
    </row>
    <row r="19" spans="1:14" s="143" customFormat="1" x14ac:dyDescent="0.25">
      <c r="A19" s="143" t="s">
        <v>70</v>
      </c>
      <c r="B19" s="143" t="s">
        <v>102</v>
      </c>
      <c r="C19" s="143" t="s">
        <v>103</v>
      </c>
      <c r="D19" s="143" t="s">
        <v>69</v>
      </c>
      <c r="E19" s="257">
        <v>32589000</v>
      </c>
      <c r="F19" s="257">
        <v>32589000</v>
      </c>
      <c r="G19" s="257">
        <v>32589000</v>
      </c>
      <c r="H19" s="257">
        <v>0</v>
      </c>
      <c r="I19" s="257">
        <v>20493274</v>
      </c>
      <c r="J19" s="257">
        <v>0</v>
      </c>
      <c r="K19" s="257">
        <v>12095726</v>
      </c>
      <c r="L19" s="257">
        <v>12095726</v>
      </c>
      <c r="M19" s="257">
        <v>0</v>
      </c>
      <c r="N19" s="257">
        <v>0</v>
      </c>
    </row>
    <row r="20" spans="1:14" s="143" customFormat="1" x14ac:dyDescent="0.25">
      <c r="A20" s="143" t="s">
        <v>70</v>
      </c>
      <c r="B20" s="143" t="s">
        <v>104</v>
      </c>
      <c r="C20" s="143" t="s">
        <v>105</v>
      </c>
      <c r="D20" s="143" t="s">
        <v>69</v>
      </c>
      <c r="E20" s="257">
        <v>342741579</v>
      </c>
      <c r="F20" s="257">
        <v>342741579</v>
      </c>
      <c r="G20" s="257">
        <v>147948290</v>
      </c>
      <c r="H20" s="257">
        <v>6950639</v>
      </c>
      <c r="I20" s="257">
        <v>52398363.049999997</v>
      </c>
      <c r="J20" s="257">
        <v>0</v>
      </c>
      <c r="K20" s="257">
        <v>85497090.780000001</v>
      </c>
      <c r="L20" s="257">
        <v>75486398.239999995</v>
      </c>
      <c r="M20" s="257">
        <v>197895486.16999999</v>
      </c>
      <c r="N20" s="257">
        <v>3102197.17</v>
      </c>
    </row>
    <row r="21" spans="1:14" s="143" customFormat="1" x14ac:dyDescent="0.25">
      <c r="A21" s="143" t="s">
        <v>70</v>
      </c>
      <c r="B21" s="143" t="s">
        <v>106</v>
      </c>
      <c r="C21" s="143" t="s">
        <v>107</v>
      </c>
      <c r="D21" s="143" t="s">
        <v>69</v>
      </c>
      <c r="E21" s="257">
        <v>125845446</v>
      </c>
      <c r="F21" s="257">
        <v>125845446</v>
      </c>
      <c r="G21" s="257">
        <v>62403661.030000001</v>
      </c>
      <c r="H21" s="257">
        <v>0</v>
      </c>
      <c r="I21" s="257">
        <v>20254252.149999999</v>
      </c>
      <c r="J21" s="257">
        <v>0</v>
      </c>
      <c r="K21" s="257">
        <v>41745368.600000001</v>
      </c>
      <c r="L21" s="257">
        <v>35119523.740000002</v>
      </c>
      <c r="M21" s="257">
        <v>63845825.25</v>
      </c>
      <c r="N21" s="257">
        <v>404040.28</v>
      </c>
    </row>
    <row r="22" spans="1:14" s="143" customFormat="1" x14ac:dyDescent="0.25">
      <c r="A22" s="143" t="s">
        <v>70</v>
      </c>
      <c r="B22" s="143" t="s">
        <v>108</v>
      </c>
      <c r="C22" s="143" t="s">
        <v>109</v>
      </c>
      <c r="D22" s="143" t="s">
        <v>69</v>
      </c>
      <c r="E22" s="257">
        <v>125765446</v>
      </c>
      <c r="F22" s="257">
        <v>125765446</v>
      </c>
      <c r="G22" s="257">
        <v>62323661.030000001</v>
      </c>
      <c r="H22" s="257">
        <v>0</v>
      </c>
      <c r="I22" s="257">
        <v>20254252.149999999</v>
      </c>
      <c r="J22" s="257">
        <v>0</v>
      </c>
      <c r="K22" s="257">
        <v>41745368.600000001</v>
      </c>
      <c r="L22" s="257">
        <v>35119523.740000002</v>
      </c>
      <c r="M22" s="257">
        <v>63765825.25</v>
      </c>
      <c r="N22" s="257">
        <v>324040.28000000003</v>
      </c>
    </row>
    <row r="23" spans="1:14" s="143" customFormat="1" x14ac:dyDescent="0.25">
      <c r="A23" s="143" t="s">
        <v>70</v>
      </c>
      <c r="B23" s="143" t="s">
        <v>110</v>
      </c>
      <c r="C23" s="143" t="s">
        <v>111</v>
      </c>
      <c r="D23" s="143" t="s">
        <v>69</v>
      </c>
      <c r="E23" s="257">
        <v>80000</v>
      </c>
      <c r="F23" s="257">
        <v>80000</v>
      </c>
      <c r="G23" s="257">
        <v>80000</v>
      </c>
      <c r="H23" s="257">
        <v>0</v>
      </c>
      <c r="I23" s="257">
        <v>0</v>
      </c>
      <c r="J23" s="257">
        <v>0</v>
      </c>
      <c r="K23" s="257">
        <v>0</v>
      </c>
      <c r="L23" s="257">
        <v>0</v>
      </c>
      <c r="M23" s="257">
        <v>80000</v>
      </c>
      <c r="N23" s="257">
        <v>80000</v>
      </c>
    </row>
    <row r="24" spans="1:14" s="143" customFormat="1" x14ac:dyDescent="0.25">
      <c r="A24" s="143" t="s">
        <v>70</v>
      </c>
      <c r="B24" s="143" t="s">
        <v>112</v>
      </c>
      <c r="C24" s="143" t="s">
        <v>113</v>
      </c>
      <c r="D24" s="143" t="s">
        <v>69</v>
      </c>
      <c r="E24" s="257">
        <v>131428353</v>
      </c>
      <c r="F24" s="257">
        <v>131428353</v>
      </c>
      <c r="G24" s="257">
        <v>58600000</v>
      </c>
      <c r="H24" s="257">
        <v>0</v>
      </c>
      <c r="I24" s="257">
        <v>23168507.449999999</v>
      </c>
      <c r="J24" s="257">
        <v>0</v>
      </c>
      <c r="K24" s="257">
        <v>35341492.350000001</v>
      </c>
      <c r="L24" s="257">
        <v>32339994.670000002</v>
      </c>
      <c r="M24" s="257">
        <v>72918353.200000003</v>
      </c>
      <c r="N24" s="257">
        <v>90000.2</v>
      </c>
    </row>
    <row r="25" spans="1:14" s="143" customFormat="1" x14ac:dyDescent="0.25">
      <c r="A25" s="143" t="s">
        <v>70</v>
      </c>
      <c r="B25" s="143" t="s">
        <v>114</v>
      </c>
      <c r="C25" s="143" t="s">
        <v>115</v>
      </c>
      <c r="D25" s="143" t="s">
        <v>69</v>
      </c>
      <c r="E25" s="257">
        <v>4971429</v>
      </c>
      <c r="F25" s="257">
        <v>4971429</v>
      </c>
      <c r="G25" s="257">
        <v>2400000</v>
      </c>
      <c r="H25" s="257">
        <v>0</v>
      </c>
      <c r="I25" s="257">
        <v>9639</v>
      </c>
      <c r="J25" s="257">
        <v>0</v>
      </c>
      <c r="K25" s="257">
        <v>2390361</v>
      </c>
      <c r="L25" s="257">
        <v>2390361</v>
      </c>
      <c r="M25" s="257">
        <v>2571429</v>
      </c>
      <c r="N25" s="257">
        <v>0</v>
      </c>
    </row>
    <row r="26" spans="1:14" s="143" customFormat="1" x14ac:dyDescent="0.25">
      <c r="A26" s="143" t="s">
        <v>70</v>
      </c>
      <c r="B26" s="143" t="s">
        <v>116</v>
      </c>
      <c r="C26" s="143" t="s">
        <v>117</v>
      </c>
      <c r="D26" s="143" t="s">
        <v>69</v>
      </c>
      <c r="E26" s="257">
        <v>56000000</v>
      </c>
      <c r="F26" s="257">
        <v>56000000</v>
      </c>
      <c r="G26" s="257">
        <v>27000000</v>
      </c>
      <c r="H26" s="257">
        <v>0</v>
      </c>
      <c r="I26" s="257">
        <v>8011460</v>
      </c>
      <c r="J26" s="257">
        <v>0</v>
      </c>
      <c r="K26" s="257">
        <v>18988540</v>
      </c>
      <c r="L26" s="257">
        <v>18988540</v>
      </c>
      <c r="M26" s="257">
        <v>29000000</v>
      </c>
      <c r="N26" s="257">
        <v>0</v>
      </c>
    </row>
    <row r="27" spans="1:14" s="143" customFormat="1" x14ac:dyDescent="0.25">
      <c r="A27" s="143" t="s">
        <v>70</v>
      </c>
      <c r="B27" s="143" t="s">
        <v>118</v>
      </c>
      <c r="C27" s="143" t="s">
        <v>119</v>
      </c>
      <c r="D27" s="143" t="s">
        <v>69</v>
      </c>
      <c r="E27" s="257">
        <v>20000</v>
      </c>
      <c r="F27" s="257">
        <v>20000</v>
      </c>
      <c r="G27" s="257">
        <v>20000</v>
      </c>
      <c r="H27" s="257">
        <v>0</v>
      </c>
      <c r="I27" s="257">
        <v>3600</v>
      </c>
      <c r="J27" s="257">
        <v>0</v>
      </c>
      <c r="K27" s="257">
        <v>16400</v>
      </c>
      <c r="L27" s="257">
        <v>16400</v>
      </c>
      <c r="M27" s="257">
        <v>0</v>
      </c>
      <c r="N27" s="257">
        <v>0</v>
      </c>
    </row>
    <row r="28" spans="1:14" s="143" customFormat="1" x14ac:dyDescent="0.25">
      <c r="A28" s="143" t="s">
        <v>70</v>
      </c>
      <c r="B28" s="143" t="s">
        <v>120</v>
      </c>
      <c r="C28" s="143" t="s">
        <v>121</v>
      </c>
      <c r="D28" s="143" t="s">
        <v>69</v>
      </c>
      <c r="E28" s="257">
        <v>70076924</v>
      </c>
      <c r="F28" s="257">
        <v>70076924</v>
      </c>
      <c r="G28" s="257">
        <v>29000000</v>
      </c>
      <c r="H28" s="257">
        <v>0</v>
      </c>
      <c r="I28" s="257">
        <v>15081608.449999999</v>
      </c>
      <c r="J28" s="257">
        <v>0</v>
      </c>
      <c r="K28" s="257">
        <v>13918391.35</v>
      </c>
      <c r="L28" s="257">
        <v>10916893.67</v>
      </c>
      <c r="M28" s="257">
        <v>41076924.200000003</v>
      </c>
      <c r="N28" s="257">
        <v>0.2</v>
      </c>
    </row>
    <row r="29" spans="1:14" s="143" customFormat="1" x14ac:dyDescent="0.25">
      <c r="A29" s="143" t="s">
        <v>70</v>
      </c>
      <c r="B29" s="143" t="s">
        <v>122</v>
      </c>
      <c r="C29" s="143" t="s">
        <v>123</v>
      </c>
      <c r="D29" s="143" t="s">
        <v>69</v>
      </c>
      <c r="E29" s="257">
        <v>360000</v>
      </c>
      <c r="F29" s="257">
        <v>360000</v>
      </c>
      <c r="G29" s="257">
        <v>180000</v>
      </c>
      <c r="H29" s="257">
        <v>0</v>
      </c>
      <c r="I29" s="257">
        <v>62200</v>
      </c>
      <c r="J29" s="257">
        <v>0</v>
      </c>
      <c r="K29" s="257">
        <v>27800</v>
      </c>
      <c r="L29" s="257">
        <v>27800</v>
      </c>
      <c r="M29" s="257">
        <v>270000</v>
      </c>
      <c r="N29" s="257">
        <v>90000</v>
      </c>
    </row>
    <row r="30" spans="1:14" s="143" customFormat="1" x14ac:dyDescent="0.25">
      <c r="A30" s="143" t="s">
        <v>70</v>
      </c>
      <c r="B30" s="143" t="s">
        <v>124</v>
      </c>
      <c r="C30" s="143" t="s">
        <v>125</v>
      </c>
      <c r="D30" s="143" t="s">
        <v>69</v>
      </c>
      <c r="E30" s="257">
        <v>8700000</v>
      </c>
      <c r="F30" s="257">
        <v>9250000</v>
      </c>
      <c r="G30" s="257">
        <v>8431000</v>
      </c>
      <c r="H30" s="257">
        <v>6801239</v>
      </c>
      <c r="I30" s="257">
        <v>236931</v>
      </c>
      <c r="J30" s="257">
        <v>0</v>
      </c>
      <c r="K30" s="257">
        <v>386830</v>
      </c>
      <c r="L30" s="257">
        <v>11830</v>
      </c>
      <c r="M30" s="257">
        <v>1825000</v>
      </c>
      <c r="N30" s="257">
        <v>1006000</v>
      </c>
    </row>
    <row r="31" spans="1:14" s="143" customFormat="1" x14ac:dyDescent="0.25">
      <c r="A31" s="143" t="s">
        <v>70</v>
      </c>
      <c r="B31" s="143" t="s">
        <v>126</v>
      </c>
      <c r="C31" s="143" t="s">
        <v>127</v>
      </c>
      <c r="D31" s="143" t="s">
        <v>69</v>
      </c>
      <c r="E31" s="257">
        <v>7000000</v>
      </c>
      <c r="F31" s="257">
        <v>7000000</v>
      </c>
      <c r="G31" s="257">
        <v>7000000</v>
      </c>
      <c r="H31" s="257">
        <v>6801239</v>
      </c>
      <c r="I31" s="257">
        <v>186931</v>
      </c>
      <c r="J31" s="257">
        <v>0</v>
      </c>
      <c r="K31" s="257">
        <v>11830</v>
      </c>
      <c r="L31" s="257">
        <v>11830</v>
      </c>
      <c r="M31" s="257">
        <v>0</v>
      </c>
      <c r="N31" s="257">
        <v>0</v>
      </c>
    </row>
    <row r="32" spans="1:14" s="143" customFormat="1" x14ac:dyDescent="0.25">
      <c r="A32" s="143" t="s">
        <v>70</v>
      </c>
      <c r="B32" s="143" t="s">
        <v>128</v>
      </c>
      <c r="C32" s="143" t="s">
        <v>129</v>
      </c>
      <c r="D32" s="143" t="s">
        <v>69</v>
      </c>
      <c r="E32" s="257">
        <v>1650000</v>
      </c>
      <c r="F32" s="257">
        <v>1650000</v>
      </c>
      <c r="G32" s="257">
        <v>831000</v>
      </c>
      <c r="H32" s="257">
        <v>0</v>
      </c>
      <c r="I32" s="257">
        <v>0</v>
      </c>
      <c r="J32" s="257">
        <v>0</v>
      </c>
      <c r="K32" s="257">
        <v>375000</v>
      </c>
      <c r="L32" s="257">
        <v>0</v>
      </c>
      <c r="M32" s="257">
        <v>1275000</v>
      </c>
      <c r="N32" s="257">
        <v>456000</v>
      </c>
    </row>
    <row r="33" spans="1:14" s="143" customFormat="1" x14ac:dyDescent="0.25">
      <c r="A33" s="143" t="s">
        <v>70</v>
      </c>
      <c r="B33" s="143" t="s">
        <v>130</v>
      </c>
      <c r="C33" s="143" t="s">
        <v>131</v>
      </c>
      <c r="D33" s="143" t="s">
        <v>69</v>
      </c>
      <c r="E33" s="257">
        <v>50000</v>
      </c>
      <c r="F33" s="257">
        <v>50000</v>
      </c>
      <c r="G33" s="257">
        <v>50000</v>
      </c>
      <c r="H33" s="257">
        <v>0</v>
      </c>
      <c r="I33" s="257">
        <v>50000</v>
      </c>
      <c r="J33" s="257">
        <v>0</v>
      </c>
      <c r="K33" s="257">
        <v>0</v>
      </c>
      <c r="L33" s="257">
        <v>0</v>
      </c>
      <c r="M33" s="257">
        <v>0</v>
      </c>
      <c r="N33" s="257">
        <v>0</v>
      </c>
    </row>
    <row r="34" spans="1:14" s="143" customFormat="1" x14ac:dyDescent="0.25">
      <c r="A34" s="143" t="s">
        <v>70</v>
      </c>
      <c r="B34" s="143" t="s">
        <v>132</v>
      </c>
      <c r="C34" s="143" t="s">
        <v>133</v>
      </c>
      <c r="D34" s="143" t="s">
        <v>69</v>
      </c>
      <c r="E34" s="257">
        <v>0</v>
      </c>
      <c r="F34" s="257">
        <v>550000</v>
      </c>
      <c r="G34" s="257">
        <v>550000</v>
      </c>
      <c r="H34" s="257">
        <v>0</v>
      </c>
      <c r="I34" s="257">
        <v>0</v>
      </c>
      <c r="J34" s="257">
        <v>0</v>
      </c>
      <c r="K34" s="257">
        <v>0</v>
      </c>
      <c r="L34" s="257">
        <v>0</v>
      </c>
      <c r="M34" s="257">
        <v>550000</v>
      </c>
      <c r="N34" s="257">
        <v>550000</v>
      </c>
    </row>
    <row r="35" spans="1:14" s="143" customFormat="1" x14ac:dyDescent="0.25">
      <c r="A35" s="143" t="s">
        <v>70</v>
      </c>
      <c r="B35" s="143" t="s">
        <v>134</v>
      </c>
      <c r="C35" s="143" t="s">
        <v>135</v>
      </c>
      <c r="D35" s="143" t="s">
        <v>69</v>
      </c>
      <c r="E35" s="257">
        <v>5851429</v>
      </c>
      <c r="F35" s="257">
        <v>5851429</v>
      </c>
      <c r="G35" s="257">
        <v>2200045</v>
      </c>
      <c r="H35" s="257">
        <v>0</v>
      </c>
      <c r="I35" s="257">
        <v>1365097</v>
      </c>
      <c r="J35" s="257">
        <v>0</v>
      </c>
      <c r="K35" s="257">
        <v>336989</v>
      </c>
      <c r="L35" s="257">
        <v>336989</v>
      </c>
      <c r="M35" s="257">
        <v>4149343</v>
      </c>
      <c r="N35" s="257">
        <v>497959</v>
      </c>
    </row>
    <row r="36" spans="1:14" s="143" customFormat="1" x14ac:dyDescent="0.25">
      <c r="A36" s="143" t="s">
        <v>70</v>
      </c>
      <c r="B36" s="143" t="s">
        <v>136</v>
      </c>
      <c r="C36" s="143" t="s">
        <v>137</v>
      </c>
      <c r="D36" s="143" t="s">
        <v>69</v>
      </c>
      <c r="E36" s="257">
        <v>3080000</v>
      </c>
      <c r="F36" s="257">
        <v>3080000</v>
      </c>
      <c r="G36" s="257">
        <v>90000</v>
      </c>
      <c r="H36" s="257">
        <v>0</v>
      </c>
      <c r="I36" s="257">
        <v>0</v>
      </c>
      <c r="J36" s="257">
        <v>0</v>
      </c>
      <c r="K36" s="257">
        <v>0</v>
      </c>
      <c r="L36" s="257">
        <v>0</v>
      </c>
      <c r="M36" s="257">
        <v>3080000</v>
      </c>
      <c r="N36" s="257">
        <v>90000</v>
      </c>
    </row>
    <row r="37" spans="1:14" s="143" customFormat="1" x14ac:dyDescent="0.25">
      <c r="A37" s="143" t="s">
        <v>70</v>
      </c>
      <c r="B37" s="143" t="s">
        <v>138</v>
      </c>
      <c r="C37" s="143" t="s">
        <v>139</v>
      </c>
      <c r="D37" s="143" t="s">
        <v>69</v>
      </c>
      <c r="E37" s="257">
        <v>2771429</v>
      </c>
      <c r="F37" s="257">
        <v>2771429</v>
      </c>
      <c r="G37" s="257">
        <v>2110045</v>
      </c>
      <c r="H37" s="257">
        <v>0</v>
      </c>
      <c r="I37" s="257">
        <v>1365097</v>
      </c>
      <c r="J37" s="257">
        <v>0</v>
      </c>
      <c r="K37" s="257">
        <v>336989</v>
      </c>
      <c r="L37" s="257">
        <v>336989</v>
      </c>
      <c r="M37" s="257">
        <v>1069343</v>
      </c>
      <c r="N37" s="257">
        <v>407959</v>
      </c>
    </row>
    <row r="38" spans="1:14" s="143" customFormat="1" x14ac:dyDescent="0.25">
      <c r="A38" s="143" t="s">
        <v>70</v>
      </c>
      <c r="B38" s="143" t="s">
        <v>140</v>
      </c>
      <c r="C38" s="143" t="s">
        <v>141</v>
      </c>
      <c r="D38" s="143" t="s">
        <v>69</v>
      </c>
      <c r="E38" s="257">
        <v>17774865</v>
      </c>
      <c r="F38" s="257">
        <v>17774865</v>
      </c>
      <c r="G38" s="257">
        <v>6720685.75</v>
      </c>
      <c r="H38" s="257">
        <v>149400</v>
      </c>
      <c r="I38" s="257">
        <v>1924727.65</v>
      </c>
      <c r="J38" s="257">
        <v>0</v>
      </c>
      <c r="K38" s="257">
        <v>4427336.83</v>
      </c>
      <c r="L38" s="257">
        <v>4418986.83</v>
      </c>
      <c r="M38" s="257">
        <v>11273400.52</v>
      </c>
      <c r="N38" s="257">
        <v>219221.27</v>
      </c>
    </row>
    <row r="39" spans="1:14" s="143" customFormat="1" x14ac:dyDescent="0.25">
      <c r="A39" s="143" t="s">
        <v>70</v>
      </c>
      <c r="B39" s="143" t="s">
        <v>142</v>
      </c>
      <c r="C39" s="143" t="s">
        <v>143</v>
      </c>
      <c r="D39" s="143" t="s">
        <v>69</v>
      </c>
      <c r="E39" s="257">
        <v>100000</v>
      </c>
      <c r="F39" s="257">
        <v>100000</v>
      </c>
      <c r="G39" s="257">
        <v>100000</v>
      </c>
      <c r="H39" s="257">
        <v>0</v>
      </c>
      <c r="I39" s="257">
        <v>0</v>
      </c>
      <c r="J39" s="257">
        <v>0</v>
      </c>
      <c r="K39" s="257">
        <v>0</v>
      </c>
      <c r="L39" s="257">
        <v>0</v>
      </c>
      <c r="M39" s="257">
        <v>100000</v>
      </c>
      <c r="N39" s="257">
        <v>100000</v>
      </c>
    </row>
    <row r="40" spans="1:14" s="143" customFormat="1" x14ac:dyDescent="0.25">
      <c r="A40" s="143" t="s">
        <v>70</v>
      </c>
      <c r="B40" s="143" t="s">
        <v>144</v>
      </c>
      <c r="C40" s="143" t="s">
        <v>145</v>
      </c>
      <c r="D40" s="143" t="s">
        <v>69</v>
      </c>
      <c r="E40" s="257">
        <v>6685715</v>
      </c>
      <c r="F40" s="257">
        <v>6685715</v>
      </c>
      <c r="G40" s="257">
        <v>4380100</v>
      </c>
      <c r="H40" s="257">
        <v>149400</v>
      </c>
      <c r="I40" s="257">
        <v>1511150</v>
      </c>
      <c r="J40" s="257">
        <v>0</v>
      </c>
      <c r="K40" s="257">
        <v>2675850</v>
      </c>
      <c r="L40" s="257">
        <v>2667500</v>
      </c>
      <c r="M40" s="257">
        <v>2349315</v>
      </c>
      <c r="N40" s="257">
        <v>43700</v>
      </c>
    </row>
    <row r="41" spans="1:14" s="143" customFormat="1" x14ac:dyDescent="0.25">
      <c r="A41" s="143" t="s">
        <v>70</v>
      </c>
      <c r="B41" s="143" t="s">
        <v>146</v>
      </c>
      <c r="C41" s="143" t="s">
        <v>147</v>
      </c>
      <c r="D41" s="143" t="s">
        <v>69</v>
      </c>
      <c r="E41" s="257">
        <v>5170968</v>
      </c>
      <c r="F41" s="257">
        <v>5170968</v>
      </c>
      <c r="G41" s="257">
        <v>1238081</v>
      </c>
      <c r="H41" s="257">
        <v>0</v>
      </c>
      <c r="I41" s="257">
        <v>166082.4</v>
      </c>
      <c r="J41" s="257">
        <v>0</v>
      </c>
      <c r="K41" s="257">
        <v>998982.08</v>
      </c>
      <c r="L41" s="257">
        <v>998982.08</v>
      </c>
      <c r="M41" s="257">
        <v>4005903.52</v>
      </c>
      <c r="N41" s="257">
        <v>73016.52</v>
      </c>
    </row>
    <row r="42" spans="1:14" s="143" customFormat="1" x14ac:dyDescent="0.25">
      <c r="A42" s="143" t="s">
        <v>70</v>
      </c>
      <c r="B42" s="143" t="s">
        <v>148</v>
      </c>
      <c r="C42" s="143" t="s">
        <v>149</v>
      </c>
      <c r="D42" s="143" t="s">
        <v>69</v>
      </c>
      <c r="E42" s="257">
        <v>5818182</v>
      </c>
      <c r="F42" s="257">
        <v>5818182</v>
      </c>
      <c r="G42" s="257">
        <v>1002504.75</v>
      </c>
      <c r="H42" s="257">
        <v>0</v>
      </c>
      <c r="I42" s="257">
        <v>247495.25</v>
      </c>
      <c r="J42" s="257">
        <v>0</v>
      </c>
      <c r="K42" s="257">
        <v>752504.75</v>
      </c>
      <c r="L42" s="257">
        <v>752504.75</v>
      </c>
      <c r="M42" s="257">
        <v>4818182</v>
      </c>
      <c r="N42" s="257">
        <v>2504.75</v>
      </c>
    </row>
    <row r="43" spans="1:14" s="143" customFormat="1" x14ac:dyDescent="0.25">
      <c r="A43" s="143" t="s">
        <v>70</v>
      </c>
      <c r="B43" s="143" t="s">
        <v>150</v>
      </c>
      <c r="C43" s="143" t="s">
        <v>151</v>
      </c>
      <c r="D43" s="143" t="s">
        <v>69</v>
      </c>
      <c r="E43" s="257">
        <v>32290000</v>
      </c>
      <c r="F43" s="257">
        <v>32290000</v>
      </c>
      <c r="G43" s="257">
        <v>3683014.22</v>
      </c>
      <c r="H43" s="257">
        <v>0</v>
      </c>
      <c r="I43" s="257">
        <v>612040</v>
      </c>
      <c r="J43" s="257">
        <v>0</v>
      </c>
      <c r="K43" s="257">
        <v>2990873</v>
      </c>
      <c r="L43" s="257">
        <v>2990873</v>
      </c>
      <c r="M43" s="257">
        <v>28687087</v>
      </c>
      <c r="N43" s="257">
        <v>80101.22</v>
      </c>
    </row>
    <row r="44" spans="1:14" s="143" customFormat="1" x14ac:dyDescent="0.25">
      <c r="A44" s="143" t="s">
        <v>70</v>
      </c>
      <c r="B44" s="143" t="s">
        <v>152</v>
      </c>
      <c r="C44" s="143" t="s">
        <v>153</v>
      </c>
      <c r="D44" s="143" t="s">
        <v>69</v>
      </c>
      <c r="E44" s="257">
        <v>32290000</v>
      </c>
      <c r="F44" s="257">
        <v>32290000</v>
      </c>
      <c r="G44" s="257">
        <v>3683014.22</v>
      </c>
      <c r="H44" s="257">
        <v>0</v>
      </c>
      <c r="I44" s="257">
        <v>612040</v>
      </c>
      <c r="J44" s="257">
        <v>0</v>
      </c>
      <c r="K44" s="257">
        <v>2990873</v>
      </c>
      <c r="L44" s="257">
        <v>2990873</v>
      </c>
      <c r="M44" s="257">
        <v>28687087</v>
      </c>
      <c r="N44" s="257">
        <v>80101.22</v>
      </c>
    </row>
    <row r="45" spans="1:14" s="143" customFormat="1" x14ac:dyDescent="0.25">
      <c r="A45" s="143" t="s">
        <v>70</v>
      </c>
      <c r="B45" s="143" t="s">
        <v>154</v>
      </c>
      <c r="C45" s="143" t="s">
        <v>155</v>
      </c>
      <c r="D45" s="143" t="s">
        <v>69</v>
      </c>
      <c r="E45" s="257">
        <v>2150000</v>
      </c>
      <c r="F45" s="257">
        <v>1031135</v>
      </c>
      <c r="G45" s="257">
        <v>600000</v>
      </c>
      <c r="H45" s="257">
        <v>0</v>
      </c>
      <c r="I45" s="257">
        <v>500000</v>
      </c>
      <c r="J45" s="257">
        <v>0</v>
      </c>
      <c r="K45" s="257">
        <v>0</v>
      </c>
      <c r="L45" s="257">
        <v>0</v>
      </c>
      <c r="M45" s="257">
        <v>531135</v>
      </c>
      <c r="N45" s="257">
        <v>100000</v>
      </c>
    </row>
    <row r="46" spans="1:14" s="143" customFormat="1" x14ac:dyDescent="0.25">
      <c r="A46" s="143" t="s">
        <v>70</v>
      </c>
      <c r="B46" s="143" t="s">
        <v>156</v>
      </c>
      <c r="C46" s="143" t="s">
        <v>157</v>
      </c>
      <c r="D46" s="143" t="s">
        <v>69</v>
      </c>
      <c r="E46" s="257">
        <v>0</v>
      </c>
      <c r="F46" s="257">
        <v>0</v>
      </c>
      <c r="G46" s="257">
        <v>0</v>
      </c>
      <c r="H46" s="257">
        <v>0</v>
      </c>
      <c r="I46" s="257">
        <v>0</v>
      </c>
      <c r="J46" s="257">
        <v>0</v>
      </c>
      <c r="K46" s="257">
        <v>0</v>
      </c>
      <c r="L46" s="257">
        <v>0</v>
      </c>
      <c r="M46" s="257">
        <v>0</v>
      </c>
      <c r="N46" s="257">
        <v>0</v>
      </c>
    </row>
    <row r="47" spans="1:14" s="143" customFormat="1" x14ac:dyDescent="0.25">
      <c r="A47" s="143" t="s">
        <v>70</v>
      </c>
      <c r="B47" s="143" t="s">
        <v>158</v>
      </c>
      <c r="C47" s="143" t="s">
        <v>159</v>
      </c>
      <c r="D47" s="143" t="s">
        <v>69</v>
      </c>
      <c r="E47" s="257">
        <v>1550000</v>
      </c>
      <c r="F47" s="257">
        <v>431135</v>
      </c>
      <c r="G47" s="257">
        <v>0</v>
      </c>
      <c r="H47" s="257">
        <v>0</v>
      </c>
      <c r="I47" s="257">
        <v>0</v>
      </c>
      <c r="J47" s="257">
        <v>0</v>
      </c>
      <c r="K47" s="257">
        <v>0</v>
      </c>
      <c r="L47" s="257">
        <v>0</v>
      </c>
      <c r="M47" s="257">
        <v>431135</v>
      </c>
      <c r="N47" s="257">
        <v>0</v>
      </c>
    </row>
    <row r="48" spans="1:14" s="143" customFormat="1" x14ac:dyDescent="0.25">
      <c r="A48" s="143" t="s">
        <v>70</v>
      </c>
      <c r="B48" s="143" t="s">
        <v>160</v>
      </c>
      <c r="C48" s="143" t="s">
        <v>161</v>
      </c>
      <c r="D48" s="143" t="s">
        <v>69</v>
      </c>
      <c r="E48" s="257">
        <v>600000</v>
      </c>
      <c r="F48" s="257">
        <v>600000</v>
      </c>
      <c r="G48" s="257">
        <v>600000</v>
      </c>
      <c r="H48" s="257">
        <v>0</v>
      </c>
      <c r="I48" s="257">
        <v>500000</v>
      </c>
      <c r="J48" s="257">
        <v>0</v>
      </c>
      <c r="K48" s="257">
        <v>0</v>
      </c>
      <c r="L48" s="257">
        <v>0</v>
      </c>
      <c r="M48" s="257">
        <v>100000</v>
      </c>
      <c r="N48" s="257">
        <v>100000</v>
      </c>
    </row>
    <row r="49" spans="1:14" s="143" customFormat="1" x14ac:dyDescent="0.25">
      <c r="A49" s="143" t="s">
        <v>70</v>
      </c>
      <c r="B49" s="143" t="s">
        <v>162</v>
      </c>
      <c r="C49" s="143" t="s">
        <v>163</v>
      </c>
      <c r="D49" s="143" t="s">
        <v>69</v>
      </c>
      <c r="E49" s="257">
        <v>17019667</v>
      </c>
      <c r="F49" s="257">
        <v>17019667</v>
      </c>
      <c r="G49" s="257">
        <v>4059200</v>
      </c>
      <c r="H49" s="257">
        <v>0</v>
      </c>
      <c r="I49" s="257">
        <v>3654988.8</v>
      </c>
      <c r="J49" s="257">
        <v>0</v>
      </c>
      <c r="K49" s="257">
        <v>268201</v>
      </c>
      <c r="L49" s="257">
        <v>268201</v>
      </c>
      <c r="M49" s="257">
        <v>13096477.199999999</v>
      </c>
      <c r="N49" s="257">
        <v>136010.20000000001</v>
      </c>
    </row>
    <row r="50" spans="1:14" s="143" customFormat="1" x14ac:dyDescent="0.25">
      <c r="A50" s="143" t="s">
        <v>70</v>
      </c>
      <c r="B50" s="143" t="s">
        <v>164</v>
      </c>
      <c r="C50" s="143" t="s">
        <v>165</v>
      </c>
      <c r="D50" s="143" t="s">
        <v>69</v>
      </c>
      <c r="E50" s="257">
        <v>300000</v>
      </c>
      <c r="F50" s="257">
        <v>300000</v>
      </c>
      <c r="G50" s="257">
        <v>0</v>
      </c>
      <c r="H50" s="257">
        <v>0</v>
      </c>
      <c r="I50" s="257">
        <v>0</v>
      </c>
      <c r="J50" s="257">
        <v>0</v>
      </c>
      <c r="K50" s="257">
        <v>0</v>
      </c>
      <c r="L50" s="257">
        <v>0</v>
      </c>
      <c r="M50" s="257">
        <v>300000</v>
      </c>
      <c r="N50" s="257">
        <v>0</v>
      </c>
    </row>
    <row r="51" spans="1:14" s="143" customFormat="1" x14ac:dyDescent="0.25">
      <c r="A51" s="143" t="s">
        <v>70</v>
      </c>
      <c r="B51" s="143" t="s">
        <v>166</v>
      </c>
      <c r="C51" s="143" t="s">
        <v>167</v>
      </c>
      <c r="D51" s="143" t="s">
        <v>69</v>
      </c>
      <c r="E51" s="257">
        <v>9066667</v>
      </c>
      <c r="F51" s="257">
        <v>9066667</v>
      </c>
      <c r="G51" s="257">
        <v>600000</v>
      </c>
      <c r="H51" s="257">
        <v>0</v>
      </c>
      <c r="I51" s="257">
        <v>500000</v>
      </c>
      <c r="J51" s="257">
        <v>0</v>
      </c>
      <c r="K51" s="257">
        <v>98201</v>
      </c>
      <c r="L51" s="257">
        <v>98201</v>
      </c>
      <c r="M51" s="257">
        <v>8468466</v>
      </c>
      <c r="N51" s="257">
        <v>1799</v>
      </c>
    </row>
    <row r="52" spans="1:14" s="143" customFormat="1" x14ac:dyDescent="0.25">
      <c r="A52" s="143" t="s">
        <v>70</v>
      </c>
      <c r="B52" s="143" t="s">
        <v>168</v>
      </c>
      <c r="C52" s="143" t="s">
        <v>169</v>
      </c>
      <c r="D52" s="143" t="s">
        <v>69</v>
      </c>
      <c r="E52" s="257">
        <v>2900000</v>
      </c>
      <c r="F52" s="257">
        <v>2900000</v>
      </c>
      <c r="G52" s="257">
        <v>2127200</v>
      </c>
      <c r="H52" s="257">
        <v>0</v>
      </c>
      <c r="I52" s="257">
        <v>1827200</v>
      </c>
      <c r="J52" s="257">
        <v>0</v>
      </c>
      <c r="K52" s="257">
        <v>170000</v>
      </c>
      <c r="L52" s="257">
        <v>170000</v>
      </c>
      <c r="M52" s="257">
        <v>902800</v>
      </c>
      <c r="N52" s="257">
        <v>130000</v>
      </c>
    </row>
    <row r="53" spans="1:14" s="143" customFormat="1" x14ac:dyDescent="0.25">
      <c r="A53" s="143" t="s">
        <v>70</v>
      </c>
      <c r="B53" s="143" t="s">
        <v>170</v>
      </c>
      <c r="C53" s="143" t="s">
        <v>171</v>
      </c>
      <c r="D53" s="143" t="s">
        <v>69</v>
      </c>
      <c r="E53" s="257">
        <v>393000</v>
      </c>
      <c r="F53" s="257">
        <v>393000</v>
      </c>
      <c r="G53" s="257">
        <v>0</v>
      </c>
      <c r="H53" s="257">
        <v>0</v>
      </c>
      <c r="I53" s="257">
        <v>0</v>
      </c>
      <c r="J53" s="257">
        <v>0</v>
      </c>
      <c r="K53" s="257">
        <v>0</v>
      </c>
      <c r="L53" s="257">
        <v>0</v>
      </c>
      <c r="M53" s="257">
        <v>393000</v>
      </c>
      <c r="N53" s="257">
        <v>0</v>
      </c>
    </row>
    <row r="54" spans="1:14" s="143" customFormat="1" x14ac:dyDescent="0.25">
      <c r="A54" s="143" t="s">
        <v>70</v>
      </c>
      <c r="B54" s="143" t="s">
        <v>172</v>
      </c>
      <c r="C54" s="143" t="s">
        <v>173</v>
      </c>
      <c r="D54" s="143" t="s">
        <v>69</v>
      </c>
      <c r="E54" s="257">
        <v>4360000</v>
      </c>
      <c r="F54" s="257">
        <v>4360000</v>
      </c>
      <c r="G54" s="257">
        <v>1332000</v>
      </c>
      <c r="H54" s="257">
        <v>0</v>
      </c>
      <c r="I54" s="257">
        <v>1327788.8</v>
      </c>
      <c r="J54" s="257">
        <v>0</v>
      </c>
      <c r="K54" s="257">
        <v>0</v>
      </c>
      <c r="L54" s="257">
        <v>0</v>
      </c>
      <c r="M54" s="257">
        <v>3032211.2</v>
      </c>
      <c r="N54" s="257">
        <v>4211.2</v>
      </c>
    </row>
    <row r="55" spans="1:14" s="143" customFormat="1" x14ac:dyDescent="0.25">
      <c r="A55" s="143" t="s">
        <v>70</v>
      </c>
      <c r="B55" s="143" t="s">
        <v>174</v>
      </c>
      <c r="C55" s="143" t="s">
        <v>175</v>
      </c>
      <c r="D55" s="143" t="s">
        <v>69</v>
      </c>
      <c r="E55" s="257">
        <v>681819</v>
      </c>
      <c r="F55" s="257">
        <v>1250684</v>
      </c>
      <c r="G55" s="257">
        <v>1250684</v>
      </c>
      <c r="H55" s="257">
        <v>0</v>
      </c>
      <c r="I55" s="257">
        <v>681819</v>
      </c>
      <c r="J55" s="257">
        <v>0</v>
      </c>
      <c r="K55" s="257">
        <v>0</v>
      </c>
      <c r="L55" s="257">
        <v>0</v>
      </c>
      <c r="M55" s="257">
        <v>568865</v>
      </c>
      <c r="N55" s="257">
        <v>568865</v>
      </c>
    </row>
    <row r="56" spans="1:14" s="143" customFormat="1" x14ac:dyDescent="0.25">
      <c r="A56" s="143" t="s">
        <v>70</v>
      </c>
      <c r="B56" s="143" t="s">
        <v>176</v>
      </c>
      <c r="C56" s="143" t="s">
        <v>177</v>
      </c>
      <c r="D56" s="143" t="s">
        <v>69</v>
      </c>
      <c r="E56" s="257">
        <v>681819</v>
      </c>
      <c r="F56" s="257">
        <v>1250684</v>
      </c>
      <c r="G56" s="257">
        <v>1250684</v>
      </c>
      <c r="H56" s="257">
        <v>0</v>
      </c>
      <c r="I56" s="257">
        <v>681819</v>
      </c>
      <c r="J56" s="257">
        <v>0</v>
      </c>
      <c r="K56" s="257">
        <v>0</v>
      </c>
      <c r="L56" s="257">
        <v>0</v>
      </c>
      <c r="M56" s="257">
        <v>568865</v>
      </c>
      <c r="N56" s="257">
        <v>568865</v>
      </c>
    </row>
    <row r="57" spans="1:14" s="143" customFormat="1" x14ac:dyDescent="0.25">
      <c r="A57" s="143" t="s">
        <v>70</v>
      </c>
      <c r="B57" s="143" t="s">
        <v>178</v>
      </c>
      <c r="C57" s="143" t="s">
        <v>179</v>
      </c>
      <c r="D57" s="143" t="s">
        <v>69</v>
      </c>
      <c r="E57" s="257">
        <v>1000000</v>
      </c>
      <c r="F57" s="257">
        <v>1000000</v>
      </c>
      <c r="G57" s="257">
        <v>0</v>
      </c>
      <c r="H57" s="257">
        <v>0</v>
      </c>
      <c r="I57" s="257">
        <v>0</v>
      </c>
      <c r="J57" s="257">
        <v>0</v>
      </c>
      <c r="K57" s="257">
        <v>0</v>
      </c>
      <c r="L57" s="257">
        <v>0</v>
      </c>
      <c r="M57" s="257">
        <v>1000000</v>
      </c>
      <c r="N57" s="257">
        <v>0</v>
      </c>
    </row>
    <row r="58" spans="1:14" s="143" customFormat="1" x14ac:dyDescent="0.25">
      <c r="A58" s="143" t="s">
        <v>70</v>
      </c>
      <c r="B58" s="143" t="s">
        <v>182</v>
      </c>
      <c r="C58" s="143" t="s">
        <v>183</v>
      </c>
      <c r="D58" s="143" t="s">
        <v>69</v>
      </c>
      <c r="E58" s="257">
        <v>1000000</v>
      </c>
      <c r="F58" s="257">
        <v>1000000</v>
      </c>
      <c r="G58" s="257">
        <v>0</v>
      </c>
      <c r="H58" s="257">
        <v>0</v>
      </c>
      <c r="I58" s="257">
        <v>0</v>
      </c>
      <c r="J58" s="257">
        <v>0</v>
      </c>
      <c r="K58" s="257">
        <v>0</v>
      </c>
      <c r="L58" s="257">
        <v>0</v>
      </c>
      <c r="M58" s="257">
        <v>1000000</v>
      </c>
      <c r="N58" s="257">
        <v>0</v>
      </c>
    </row>
    <row r="59" spans="1:14" s="143" customFormat="1" x14ac:dyDescent="0.25">
      <c r="A59" s="143" t="s">
        <v>70</v>
      </c>
      <c r="B59" s="143" t="s">
        <v>184</v>
      </c>
      <c r="C59" s="143" t="s">
        <v>185</v>
      </c>
      <c r="D59" s="143" t="s">
        <v>69</v>
      </c>
      <c r="E59" s="257">
        <v>42229000</v>
      </c>
      <c r="F59" s="257">
        <v>42229000</v>
      </c>
      <c r="G59" s="257">
        <v>23334000</v>
      </c>
      <c r="H59" s="257">
        <v>6885700</v>
      </c>
      <c r="I59" s="257">
        <v>6093566.4100000001</v>
      </c>
      <c r="J59" s="257">
        <v>692877.52</v>
      </c>
      <c r="K59" s="257">
        <v>5742941.4199999999</v>
      </c>
      <c r="L59" s="257">
        <v>5697591.4199999999</v>
      </c>
      <c r="M59" s="257">
        <v>22813914.649999999</v>
      </c>
      <c r="N59" s="257">
        <v>3918914.65</v>
      </c>
    </row>
    <row r="60" spans="1:14" s="143" customFormat="1" x14ac:dyDescent="0.25">
      <c r="A60" s="143" t="s">
        <v>70</v>
      </c>
      <c r="B60" s="143" t="s">
        <v>186</v>
      </c>
      <c r="C60" s="143" t="s">
        <v>187</v>
      </c>
      <c r="D60" s="143" t="s">
        <v>69</v>
      </c>
      <c r="E60" s="257">
        <v>17137000</v>
      </c>
      <c r="F60" s="257">
        <v>17137000</v>
      </c>
      <c r="G60" s="257">
        <v>8919000</v>
      </c>
      <c r="H60" s="257">
        <v>4950000</v>
      </c>
      <c r="I60" s="257">
        <v>1483835</v>
      </c>
      <c r="J60" s="257">
        <v>0</v>
      </c>
      <c r="K60" s="257">
        <v>2435165</v>
      </c>
      <c r="L60" s="257">
        <v>2435165</v>
      </c>
      <c r="M60" s="257">
        <v>8268000</v>
      </c>
      <c r="N60" s="257">
        <v>50000</v>
      </c>
    </row>
    <row r="61" spans="1:14" s="143" customFormat="1" x14ac:dyDescent="0.25">
      <c r="A61" s="143" t="s">
        <v>70</v>
      </c>
      <c r="B61" s="143" t="s">
        <v>188</v>
      </c>
      <c r="C61" s="143" t="s">
        <v>189</v>
      </c>
      <c r="D61" s="143" t="s">
        <v>69</v>
      </c>
      <c r="E61" s="257">
        <v>11100000</v>
      </c>
      <c r="F61" s="257">
        <v>11100000</v>
      </c>
      <c r="G61" s="257">
        <v>3800000</v>
      </c>
      <c r="H61" s="257">
        <v>0</v>
      </c>
      <c r="I61" s="257">
        <v>1412835</v>
      </c>
      <c r="J61" s="257">
        <v>0</v>
      </c>
      <c r="K61" s="257">
        <v>2387165</v>
      </c>
      <c r="L61" s="257">
        <v>2387165</v>
      </c>
      <c r="M61" s="257">
        <v>7300000</v>
      </c>
      <c r="N61" s="257">
        <v>0</v>
      </c>
    </row>
    <row r="62" spans="1:14" s="143" customFormat="1" x14ac:dyDescent="0.25">
      <c r="A62" s="143" t="s">
        <v>70</v>
      </c>
      <c r="B62" s="143" t="s">
        <v>190</v>
      </c>
      <c r="C62" s="143" t="s">
        <v>191</v>
      </c>
      <c r="D62" s="143" t="s">
        <v>69</v>
      </c>
      <c r="E62" s="257">
        <v>5000000</v>
      </c>
      <c r="F62" s="257">
        <v>5000000</v>
      </c>
      <c r="G62" s="257">
        <v>5000000</v>
      </c>
      <c r="H62" s="257">
        <v>4950000</v>
      </c>
      <c r="I62" s="257">
        <v>0</v>
      </c>
      <c r="J62" s="257">
        <v>0</v>
      </c>
      <c r="K62" s="257">
        <v>0</v>
      </c>
      <c r="L62" s="257">
        <v>0</v>
      </c>
      <c r="M62" s="257">
        <v>50000</v>
      </c>
      <c r="N62" s="257">
        <v>50000</v>
      </c>
    </row>
    <row r="63" spans="1:14" s="143" customFormat="1" x14ac:dyDescent="0.25">
      <c r="A63" s="143" t="s">
        <v>70</v>
      </c>
      <c r="B63" s="143" t="s">
        <v>192</v>
      </c>
      <c r="C63" s="143" t="s">
        <v>193</v>
      </c>
      <c r="D63" s="143" t="s">
        <v>69</v>
      </c>
      <c r="E63" s="257">
        <v>126000</v>
      </c>
      <c r="F63" s="257">
        <v>126000</v>
      </c>
      <c r="G63" s="257">
        <v>119000</v>
      </c>
      <c r="H63" s="257">
        <v>0</v>
      </c>
      <c r="I63" s="257">
        <v>71000</v>
      </c>
      <c r="J63" s="257">
        <v>0</v>
      </c>
      <c r="K63" s="257">
        <v>48000</v>
      </c>
      <c r="L63" s="257">
        <v>48000</v>
      </c>
      <c r="M63" s="257">
        <v>7000</v>
      </c>
      <c r="N63" s="257">
        <v>0</v>
      </c>
    </row>
    <row r="64" spans="1:14" s="143" customFormat="1" x14ac:dyDescent="0.25">
      <c r="A64" s="143" t="s">
        <v>70</v>
      </c>
      <c r="B64" s="143" t="s">
        <v>194</v>
      </c>
      <c r="C64" s="143" t="s">
        <v>195</v>
      </c>
      <c r="D64" s="143" t="s">
        <v>69</v>
      </c>
      <c r="E64" s="257">
        <v>911000</v>
      </c>
      <c r="F64" s="257">
        <v>911000</v>
      </c>
      <c r="G64" s="257">
        <v>0</v>
      </c>
      <c r="H64" s="257">
        <v>0</v>
      </c>
      <c r="I64" s="257">
        <v>0</v>
      </c>
      <c r="J64" s="257">
        <v>0</v>
      </c>
      <c r="K64" s="257">
        <v>0</v>
      </c>
      <c r="L64" s="257">
        <v>0</v>
      </c>
      <c r="M64" s="257">
        <v>911000</v>
      </c>
      <c r="N64" s="257">
        <v>0</v>
      </c>
    </row>
    <row r="65" spans="1:14" s="143" customFormat="1" x14ac:dyDescent="0.25">
      <c r="A65" s="143" t="s">
        <v>70</v>
      </c>
      <c r="B65" s="143" t="s">
        <v>196</v>
      </c>
      <c r="C65" s="143" t="s">
        <v>197</v>
      </c>
      <c r="D65" s="143" t="s">
        <v>69</v>
      </c>
      <c r="E65" s="257">
        <v>3000000</v>
      </c>
      <c r="F65" s="257">
        <v>3000000</v>
      </c>
      <c r="G65" s="257">
        <v>1400000</v>
      </c>
      <c r="H65" s="257">
        <v>0</v>
      </c>
      <c r="I65" s="257">
        <v>0</v>
      </c>
      <c r="J65" s="257">
        <v>0</v>
      </c>
      <c r="K65" s="257">
        <v>673282</v>
      </c>
      <c r="L65" s="257">
        <v>673282</v>
      </c>
      <c r="M65" s="257">
        <v>2326718</v>
      </c>
      <c r="N65" s="257">
        <v>726718</v>
      </c>
    </row>
    <row r="66" spans="1:14" s="143" customFormat="1" x14ac:dyDescent="0.25">
      <c r="A66" s="143" t="s">
        <v>70</v>
      </c>
      <c r="B66" s="143" t="s">
        <v>198</v>
      </c>
      <c r="C66" s="143" t="s">
        <v>199</v>
      </c>
      <c r="D66" s="143" t="s">
        <v>69</v>
      </c>
      <c r="E66" s="257">
        <v>3000000</v>
      </c>
      <c r="F66" s="257">
        <v>3000000</v>
      </c>
      <c r="G66" s="257">
        <v>1400000</v>
      </c>
      <c r="H66" s="257">
        <v>0</v>
      </c>
      <c r="I66" s="257">
        <v>0</v>
      </c>
      <c r="J66" s="257">
        <v>0</v>
      </c>
      <c r="K66" s="257">
        <v>673282</v>
      </c>
      <c r="L66" s="257">
        <v>673282</v>
      </c>
      <c r="M66" s="257">
        <v>2326718</v>
      </c>
      <c r="N66" s="257">
        <v>726718</v>
      </c>
    </row>
    <row r="67" spans="1:14" s="143" customFormat="1" x14ac:dyDescent="0.25">
      <c r="A67" s="143" t="s">
        <v>70</v>
      </c>
      <c r="B67" s="143" t="s">
        <v>200</v>
      </c>
      <c r="C67" s="143" t="s">
        <v>201</v>
      </c>
      <c r="D67" s="143" t="s">
        <v>69</v>
      </c>
      <c r="E67" s="257">
        <v>936000</v>
      </c>
      <c r="F67" s="257">
        <v>936000</v>
      </c>
      <c r="G67" s="257">
        <v>771000</v>
      </c>
      <c r="H67" s="257">
        <v>0</v>
      </c>
      <c r="I67" s="257">
        <v>508225</v>
      </c>
      <c r="J67" s="257">
        <v>0</v>
      </c>
      <c r="K67" s="257">
        <v>0</v>
      </c>
      <c r="L67" s="257">
        <v>0</v>
      </c>
      <c r="M67" s="257">
        <v>427775</v>
      </c>
      <c r="N67" s="257">
        <v>262775</v>
      </c>
    </row>
    <row r="68" spans="1:14" s="143" customFormat="1" x14ac:dyDescent="0.25">
      <c r="A68" s="143" t="s">
        <v>70</v>
      </c>
      <c r="B68" s="143" t="s">
        <v>202</v>
      </c>
      <c r="C68" s="143" t="s">
        <v>203</v>
      </c>
      <c r="D68" s="143" t="s">
        <v>69</v>
      </c>
      <c r="E68" s="257">
        <v>771000</v>
      </c>
      <c r="F68" s="257">
        <v>771000</v>
      </c>
      <c r="G68" s="257">
        <v>771000</v>
      </c>
      <c r="H68" s="257">
        <v>0</v>
      </c>
      <c r="I68" s="257">
        <v>508225</v>
      </c>
      <c r="J68" s="257">
        <v>0</v>
      </c>
      <c r="K68" s="257">
        <v>0</v>
      </c>
      <c r="L68" s="257">
        <v>0</v>
      </c>
      <c r="M68" s="257">
        <v>262775</v>
      </c>
      <c r="N68" s="257">
        <v>262775</v>
      </c>
    </row>
    <row r="69" spans="1:14" s="143" customFormat="1" x14ac:dyDescent="0.25">
      <c r="A69" s="143" t="s">
        <v>70</v>
      </c>
      <c r="B69" s="143" t="s">
        <v>204</v>
      </c>
      <c r="C69" s="143" t="s">
        <v>205</v>
      </c>
      <c r="D69" s="143" t="s">
        <v>69</v>
      </c>
      <c r="E69" s="257">
        <v>165000</v>
      </c>
      <c r="F69" s="257">
        <v>165000</v>
      </c>
      <c r="G69" s="257">
        <v>0</v>
      </c>
      <c r="H69" s="257">
        <v>0</v>
      </c>
      <c r="I69" s="257">
        <v>0</v>
      </c>
      <c r="J69" s="257">
        <v>0</v>
      </c>
      <c r="K69" s="257">
        <v>0</v>
      </c>
      <c r="L69" s="257">
        <v>0</v>
      </c>
      <c r="M69" s="257">
        <v>165000</v>
      </c>
      <c r="N69" s="257">
        <v>0</v>
      </c>
    </row>
    <row r="70" spans="1:14" s="143" customFormat="1" x14ac:dyDescent="0.25">
      <c r="A70" s="143" t="s">
        <v>70</v>
      </c>
      <c r="B70" s="143" t="s">
        <v>206</v>
      </c>
      <c r="C70" s="143" t="s">
        <v>207</v>
      </c>
      <c r="D70" s="143" t="s">
        <v>69</v>
      </c>
      <c r="E70" s="257">
        <v>312000</v>
      </c>
      <c r="F70" s="257">
        <v>312000</v>
      </c>
      <c r="G70" s="257">
        <v>0</v>
      </c>
      <c r="H70" s="257">
        <v>0</v>
      </c>
      <c r="I70" s="257">
        <v>0</v>
      </c>
      <c r="J70" s="257">
        <v>0</v>
      </c>
      <c r="K70" s="257">
        <v>0</v>
      </c>
      <c r="L70" s="257">
        <v>0</v>
      </c>
      <c r="M70" s="257">
        <v>312000</v>
      </c>
      <c r="N70" s="257">
        <v>0</v>
      </c>
    </row>
    <row r="71" spans="1:14" s="143" customFormat="1" x14ac:dyDescent="0.25">
      <c r="A71" s="143" t="s">
        <v>70</v>
      </c>
      <c r="B71" s="143" t="s">
        <v>208</v>
      </c>
      <c r="C71" s="143" t="s">
        <v>209</v>
      </c>
      <c r="D71" s="143" t="s">
        <v>69</v>
      </c>
      <c r="E71" s="257">
        <v>206000</v>
      </c>
      <c r="F71" s="257">
        <v>206000</v>
      </c>
      <c r="G71" s="257">
        <v>0</v>
      </c>
      <c r="H71" s="257">
        <v>0</v>
      </c>
      <c r="I71" s="257">
        <v>0</v>
      </c>
      <c r="J71" s="257">
        <v>0</v>
      </c>
      <c r="K71" s="257">
        <v>0</v>
      </c>
      <c r="L71" s="257">
        <v>0</v>
      </c>
      <c r="M71" s="257">
        <v>206000</v>
      </c>
      <c r="N71" s="257">
        <v>0</v>
      </c>
    </row>
    <row r="72" spans="1:14" s="143" customFormat="1" x14ac:dyDescent="0.25">
      <c r="A72" s="143" t="s">
        <v>70</v>
      </c>
      <c r="B72" s="143" t="s">
        <v>210</v>
      </c>
      <c r="C72" s="143" t="s">
        <v>211</v>
      </c>
      <c r="D72" s="143" t="s">
        <v>69</v>
      </c>
      <c r="E72" s="257">
        <v>106000</v>
      </c>
      <c r="F72" s="257">
        <v>106000</v>
      </c>
      <c r="G72" s="257">
        <v>0</v>
      </c>
      <c r="H72" s="257">
        <v>0</v>
      </c>
      <c r="I72" s="257">
        <v>0</v>
      </c>
      <c r="J72" s="257">
        <v>0</v>
      </c>
      <c r="K72" s="257">
        <v>0</v>
      </c>
      <c r="L72" s="257">
        <v>0</v>
      </c>
      <c r="M72" s="257">
        <v>106000</v>
      </c>
      <c r="N72" s="257">
        <v>0</v>
      </c>
    </row>
    <row r="73" spans="1:14" s="143" customFormat="1" x14ac:dyDescent="0.25">
      <c r="A73" s="143" t="s">
        <v>70</v>
      </c>
      <c r="B73" s="143" t="s">
        <v>212</v>
      </c>
      <c r="C73" s="143" t="s">
        <v>213</v>
      </c>
      <c r="D73" s="143" t="s">
        <v>69</v>
      </c>
      <c r="E73" s="257">
        <v>20844000</v>
      </c>
      <c r="F73" s="257">
        <v>20844000</v>
      </c>
      <c r="G73" s="257">
        <v>12244000</v>
      </c>
      <c r="H73" s="257">
        <v>1935700</v>
      </c>
      <c r="I73" s="257">
        <v>4101506.41</v>
      </c>
      <c r="J73" s="257">
        <v>692877.52</v>
      </c>
      <c r="K73" s="257">
        <v>2634494.42</v>
      </c>
      <c r="L73" s="257">
        <v>2589144.42</v>
      </c>
      <c r="M73" s="257">
        <v>11479421.65</v>
      </c>
      <c r="N73" s="257">
        <v>2879421.65</v>
      </c>
    </row>
    <row r="74" spans="1:14" s="143" customFormat="1" x14ac:dyDescent="0.25">
      <c r="A74" s="143" t="s">
        <v>70</v>
      </c>
      <c r="B74" s="143" t="s">
        <v>214</v>
      </c>
      <c r="C74" s="143" t="s">
        <v>215</v>
      </c>
      <c r="D74" s="143" t="s">
        <v>69</v>
      </c>
      <c r="E74" s="257">
        <v>3000000</v>
      </c>
      <c r="F74" s="257">
        <v>3000000</v>
      </c>
      <c r="G74" s="257">
        <v>3000000</v>
      </c>
      <c r="H74" s="257">
        <v>1391440</v>
      </c>
      <c r="I74" s="257">
        <v>715064.12</v>
      </c>
      <c r="J74" s="257">
        <v>692877.52</v>
      </c>
      <c r="K74" s="257">
        <v>84624</v>
      </c>
      <c r="L74" s="257">
        <v>84624</v>
      </c>
      <c r="M74" s="257">
        <v>115994.36</v>
      </c>
      <c r="N74" s="257">
        <v>115994.36</v>
      </c>
    </row>
    <row r="75" spans="1:14" s="143" customFormat="1" x14ac:dyDescent="0.25">
      <c r="A75" s="143" t="s">
        <v>70</v>
      </c>
      <c r="B75" s="143" t="s">
        <v>216</v>
      </c>
      <c r="C75" s="143" t="s">
        <v>217</v>
      </c>
      <c r="D75" s="143" t="s">
        <v>69</v>
      </c>
      <c r="E75" s="257">
        <v>271000</v>
      </c>
      <c r="F75" s="257">
        <v>271000</v>
      </c>
      <c r="G75" s="257">
        <v>271000</v>
      </c>
      <c r="H75" s="257">
        <v>0</v>
      </c>
      <c r="I75" s="257">
        <v>152000</v>
      </c>
      <c r="J75" s="257">
        <v>0</v>
      </c>
      <c r="K75" s="257">
        <v>112500</v>
      </c>
      <c r="L75" s="257">
        <v>112500</v>
      </c>
      <c r="M75" s="257">
        <v>6500</v>
      </c>
      <c r="N75" s="257">
        <v>6500</v>
      </c>
    </row>
    <row r="76" spans="1:14" s="143" customFormat="1" x14ac:dyDescent="0.25">
      <c r="A76" s="143" t="s">
        <v>70</v>
      </c>
      <c r="B76" s="143" t="s">
        <v>218</v>
      </c>
      <c r="C76" s="143" t="s">
        <v>219</v>
      </c>
      <c r="D76" s="143" t="s">
        <v>69</v>
      </c>
      <c r="E76" s="257">
        <v>12000000</v>
      </c>
      <c r="F76" s="257">
        <v>12000000</v>
      </c>
      <c r="G76" s="257">
        <v>3400000</v>
      </c>
      <c r="H76" s="257">
        <v>0</v>
      </c>
      <c r="I76" s="257">
        <v>610378.88</v>
      </c>
      <c r="J76" s="257">
        <v>0</v>
      </c>
      <c r="K76" s="257">
        <v>2328350.92</v>
      </c>
      <c r="L76" s="257">
        <v>2283000.92</v>
      </c>
      <c r="M76" s="257">
        <v>9061270.1999999993</v>
      </c>
      <c r="N76" s="257">
        <v>461270.2</v>
      </c>
    </row>
    <row r="77" spans="1:14" s="143" customFormat="1" x14ac:dyDescent="0.25">
      <c r="A77" s="143" t="s">
        <v>70</v>
      </c>
      <c r="B77" s="143" t="s">
        <v>220</v>
      </c>
      <c r="C77" s="143" t="s">
        <v>221</v>
      </c>
      <c r="D77" s="143" t="s">
        <v>69</v>
      </c>
      <c r="E77" s="257">
        <v>1445000</v>
      </c>
      <c r="F77" s="257">
        <v>1445000</v>
      </c>
      <c r="G77" s="257">
        <v>1445000</v>
      </c>
      <c r="H77" s="257">
        <v>0</v>
      </c>
      <c r="I77" s="257">
        <v>0</v>
      </c>
      <c r="J77" s="257">
        <v>0</v>
      </c>
      <c r="K77" s="257">
        <v>0</v>
      </c>
      <c r="L77" s="257">
        <v>0</v>
      </c>
      <c r="M77" s="257">
        <v>1445000</v>
      </c>
      <c r="N77" s="257">
        <v>1445000</v>
      </c>
    </row>
    <row r="78" spans="1:14" s="143" customFormat="1" x14ac:dyDescent="0.25">
      <c r="A78" s="143" t="s">
        <v>70</v>
      </c>
      <c r="B78" s="143" t="s">
        <v>222</v>
      </c>
      <c r="C78" s="143" t="s">
        <v>223</v>
      </c>
      <c r="D78" s="143" t="s">
        <v>69</v>
      </c>
      <c r="E78" s="257">
        <v>2500000</v>
      </c>
      <c r="F78" s="257">
        <v>2500000</v>
      </c>
      <c r="G78" s="257">
        <v>2500000</v>
      </c>
      <c r="H78" s="257">
        <v>478260</v>
      </c>
      <c r="I78" s="257">
        <v>1411853.41</v>
      </c>
      <c r="J78" s="257">
        <v>0</v>
      </c>
      <c r="K78" s="257">
        <v>0</v>
      </c>
      <c r="L78" s="257">
        <v>0</v>
      </c>
      <c r="M78" s="257">
        <v>609886.59</v>
      </c>
      <c r="N78" s="257">
        <v>609886.59</v>
      </c>
    </row>
    <row r="79" spans="1:14" s="143" customFormat="1" x14ac:dyDescent="0.25">
      <c r="A79" s="143" t="s">
        <v>70</v>
      </c>
      <c r="B79" s="143" t="s">
        <v>224</v>
      </c>
      <c r="C79" s="143" t="s">
        <v>225</v>
      </c>
      <c r="D79" s="143" t="s">
        <v>69</v>
      </c>
      <c r="E79" s="257">
        <v>66000</v>
      </c>
      <c r="F79" s="257">
        <v>66000</v>
      </c>
      <c r="G79" s="257">
        <v>66000</v>
      </c>
      <c r="H79" s="257">
        <v>66000</v>
      </c>
      <c r="I79" s="257">
        <v>0</v>
      </c>
      <c r="J79" s="257">
        <v>0</v>
      </c>
      <c r="K79" s="257">
        <v>0</v>
      </c>
      <c r="L79" s="257">
        <v>0</v>
      </c>
      <c r="M79" s="257">
        <v>0</v>
      </c>
      <c r="N79" s="257">
        <v>0</v>
      </c>
    </row>
    <row r="80" spans="1:14" s="143" customFormat="1" x14ac:dyDescent="0.25">
      <c r="A80" s="143" t="s">
        <v>70</v>
      </c>
      <c r="B80" s="143" t="s">
        <v>226</v>
      </c>
      <c r="C80" s="143" t="s">
        <v>227</v>
      </c>
      <c r="D80" s="143" t="s">
        <v>69</v>
      </c>
      <c r="E80" s="257">
        <v>562000</v>
      </c>
      <c r="F80" s="257">
        <v>562000</v>
      </c>
      <c r="G80" s="257">
        <v>562000</v>
      </c>
      <c r="H80" s="257">
        <v>0</v>
      </c>
      <c r="I80" s="257">
        <v>328670</v>
      </c>
      <c r="J80" s="257">
        <v>0</v>
      </c>
      <c r="K80" s="257">
        <v>0</v>
      </c>
      <c r="L80" s="257">
        <v>0</v>
      </c>
      <c r="M80" s="257">
        <v>233330</v>
      </c>
      <c r="N80" s="257">
        <v>233330</v>
      </c>
    </row>
    <row r="81" spans="1:14" s="143" customFormat="1" x14ac:dyDescent="0.25">
      <c r="A81" s="143" t="s">
        <v>70</v>
      </c>
      <c r="B81" s="143" t="s">
        <v>228</v>
      </c>
      <c r="C81" s="143" t="s">
        <v>229</v>
      </c>
      <c r="D81" s="143" t="s">
        <v>69</v>
      </c>
      <c r="E81" s="257">
        <v>1000000</v>
      </c>
      <c r="F81" s="257">
        <v>1000000</v>
      </c>
      <c r="G81" s="257">
        <v>1000000</v>
      </c>
      <c r="H81" s="257">
        <v>0</v>
      </c>
      <c r="I81" s="257">
        <v>883540</v>
      </c>
      <c r="J81" s="257">
        <v>0</v>
      </c>
      <c r="K81" s="257">
        <v>109019.5</v>
      </c>
      <c r="L81" s="257">
        <v>109019.5</v>
      </c>
      <c r="M81" s="257">
        <v>7440.5</v>
      </c>
      <c r="N81" s="257">
        <v>7440.5</v>
      </c>
    </row>
    <row r="82" spans="1:14" s="143" customFormat="1" x14ac:dyDescent="0.25">
      <c r="A82" s="143" t="s">
        <v>70</v>
      </c>
      <c r="B82" s="143" t="s">
        <v>248</v>
      </c>
      <c r="C82" s="143" t="s">
        <v>249</v>
      </c>
      <c r="D82" s="143" t="s">
        <v>69</v>
      </c>
      <c r="E82" s="257">
        <v>731283000</v>
      </c>
      <c r="F82" s="257">
        <v>745283000</v>
      </c>
      <c r="G82" s="257">
        <v>408212500</v>
      </c>
      <c r="H82" s="257">
        <v>0</v>
      </c>
      <c r="I82" s="257">
        <v>92391268.5</v>
      </c>
      <c r="J82" s="257">
        <v>0</v>
      </c>
      <c r="K82" s="257">
        <v>308914713.5</v>
      </c>
      <c r="L82" s="257">
        <v>308914713.5</v>
      </c>
      <c r="M82" s="257">
        <v>343977018</v>
      </c>
      <c r="N82" s="257">
        <v>6906518</v>
      </c>
    </row>
    <row r="83" spans="1:14" s="143" customFormat="1" x14ac:dyDescent="0.25">
      <c r="A83" s="143" t="s">
        <v>70</v>
      </c>
      <c r="B83" s="143" t="s">
        <v>250</v>
      </c>
      <c r="C83" s="143" t="s">
        <v>251</v>
      </c>
      <c r="D83" s="143" t="s">
        <v>69</v>
      </c>
      <c r="E83" s="257">
        <v>268185000</v>
      </c>
      <c r="F83" s="257">
        <v>268185000</v>
      </c>
      <c r="G83" s="257">
        <v>149339403.30000001</v>
      </c>
      <c r="H83" s="257">
        <v>0</v>
      </c>
      <c r="I83" s="257">
        <v>34189006.299999997</v>
      </c>
      <c r="J83" s="257">
        <v>0</v>
      </c>
      <c r="K83" s="257">
        <v>115150397</v>
      </c>
      <c r="L83" s="257">
        <v>115150397</v>
      </c>
      <c r="M83" s="257">
        <v>118845596.7</v>
      </c>
      <c r="N83" s="257">
        <v>0</v>
      </c>
    </row>
    <row r="84" spans="1:14" s="143" customFormat="1" x14ac:dyDescent="0.25">
      <c r="A84" s="143" t="s">
        <v>70</v>
      </c>
      <c r="B84" s="143" t="s">
        <v>252</v>
      </c>
      <c r="C84" s="143" t="s">
        <v>253</v>
      </c>
      <c r="D84" s="143" t="s">
        <v>69</v>
      </c>
      <c r="E84" s="257">
        <v>2000000</v>
      </c>
      <c r="F84" s="257">
        <v>2000000</v>
      </c>
      <c r="G84" s="257">
        <v>2000000</v>
      </c>
      <c r="H84" s="257">
        <v>0</v>
      </c>
      <c r="I84" s="257">
        <v>0</v>
      </c>
      <c r="J84" s="257">
        <v>0</v>
      </c>
      <c r="K84" s="257">
        <v>2000000</v>
      </c>
      <c r="L84" s="257">
        <v>2000000</v>
      </c>
      <c r="M84" s="257">
        <v>0</v>
      </c>
      <c r="N84" s="257">
        <v>0</v>
      </c>
    </row>
    <row r="85" spans="1:14" s="143" customFormat="1" x14ac:dyDescent="0.25">
      <c r="A85" s="143" t="s">
        <v>70</v>
      </c>
      <c r="B85" s="143" t="s">
        <v>254</v>
      </c>
      <c r="C85" s="143" t="s">
        <v>255</v>
      </c>
      <c r="D85" s="143" t="s">
        <v>69</v>
      </c>
      <c r="E85" s="257">
        <v>250000000</v>
      </c>
      <c r="F85" s="257">
        <v>250000000</v>
      </c>
      <c r="G85" s="257">
        <v>131154403.3</v>
      </c>
      <c r="H85" s="257">
        <v>0</v>
      </c>
      <c r="I85" s="257">
        <v>24011545.300000001</v>
      </c>
      <c r="J85" s="257">
        <v>0</v>
      </c>
      <c r="K85" s="257">
        <v>107142858</v>
      </c>
      <c r="L85" s="257">
        <v>107142858</v>
      </c>
      <c r="M85" s="257">
        <v>118845596.7</v>
      </c>
      <c r="N85" s="257">
        <v>0</v>
      </c>
    </row>
    <row r="86" spans="1:14" s="143" customFormat="1" x14ac:dyDescent="0.25">
      <c r="A86" s="143" t="s">
        <v>70</v>
      </c>
      <c r="B86" s="143" t="s">
        <v>256</v>
      </c>
      <c r="C86" s="143" t="s">
        <v>257</v>
      </c>
      <c r="D86" s="143" t="s">
        <v>69</v>
      </c>
      <c r="E86" s="257">
        <v>13470000</v>
      </c>
      <c r="F86" s="257">
        <v>13470000</v>
      </c>
      <c r="G86" s="257">
        <v>13470000</v>
      </c>
      <c r="H86" s="257">
        <v>0</v>
      </c>
      <c r="I86" s="257">
        <v>8470437</v>
      </c>
      <c r="J86" s="257">
        <v>0</v>
      </c>
      <c r="K86" s="257">
        <v>4999563</v>
      </c>
      <c r="L86" s="257">
        <v>4999563</v>
      </c>
      <c r="M86" s="257">
        <v>0</v>
      </c>
      <c r="N86" s="257">
        <v>0</v>
      </c>
    </row>
    <row r="87" spans="1:14" s="143" customFormat="1" x14ac:dyDescent="0.25">
      <c r="A87" s="143" t="s">
        <v>70</v>
      </c>
      <c r="B87" s="143" t="s">
        <v>258</v>
      </c>
      <c r="C87" s="143" t="s">
        <v>259</v>
      </c>
      <c r="D87" s="143" t="s">
        <v>69</v>
      </c>
      <c r="E87" s="257">
        <v>2715000</v>
      </c>
      <c r="F87" s="257">
        <v>2715000</v>
      </c>
      <c r="G87" s="257">
        <v>2715000</v>
      </c>
      <c r="H87" s="257">
        <v>0</v>
      </c>
      <c r="I87" s="257">
        <v>1707024</v>
      </c>
      <c r="J87" s="257">
        <v>0</v>
      </c>
      <c r="K87" s="257">
        <v>1007976</v>
      </c>
      <c r="L87" s="257">
        <v>1007976</v>
      </c>
      <c r="M87" s="257">
        <v>0</v>
      </c>
      <c r="N87" s="257">
        <v>0</v>
      </c>
    </row>
    <row r="88" spans="1:14" s="143" customFormat="1" x14ac:dyDescent="0.25">
      <c r="A88" s="143" t="s">
        <v>70</v>
      </c>
      <c r="B88" s="143" t="s">
        <v>260</v>
      </c>
      <c r="C88" s="143" t="s">
        <v>261</v>
      </c>
      <c r="D88" s="143" t="s">
        <v>69</v>
      </c>
      <c r="E88" s="257">
        <v>39757000</v>
      </c>
      <c r="F88" s="257">
        <v>53757000</v>
      </c>
      <c r="G88" s="257">
        <v>47202596.700000003</v>
      </c>
      <c r="H88" s="257">
        <v>0</v>
      </c>
      <c r="I88" s="257">
        <v>9382126.6999999993</v>
      </c>
      <c r="J88" s="257">
        <v>0</v>
      </c>
      <c r="K88" s="257">
        <v>30913952</v>
      </c>
      <c r="L88" s="257">
        <v>30913952</v>
      </c>
      <c r="M88" s="257">
        <v>13460921.300000001</v>
      </c>
      <c r="N88" s="257">
        <v>6906518</v>
      </c>
    </row>
    <row r="89" spans="1:14" s="143" customFormat="1" x14ac:dyDescent="0.25">
      <c r="A89" s="143" t="s">
        <v>70</v>
      </c>
      <c r="B89" s="143" t="s">
        <v>262</v>
      </c>
      <c r="C89" s="143" t="s">
        <v>263</v>
      </c>
      <c r="D89" s="143" t="s">
        <v>69</v>
      </c>
      <c r="E89" s="257">
        <v>30000000</v>
      </c>
      <c r="F89" s="257">
        <v>44000000</v>
      </c>
      <c r="G89" s="257">
        <v>37445596.700000003</v>
      </c>
      <c r="H89" s="257">
        <v>0</v>
      </c>
      <c r="I89" s="257">
        <v>9382126.6999999993</v>
      </c>
      <c r="J89" s="257">
        <v>0</v>
      </c>
      <c r="K89" s="257">
        <v>28063470</v>
      </c>
      <c r="L89" s="257">
        <v>28063470</v>
      </c>
      <c r="M89" s="257">
        <v>6554403.2999999998</v>
      </c>
      <c r="N89" s="257">
        <v>0</v>
      </c>
    </row>
    <row r="90" spans="1:14" s="143" customFormat="1" x14ac:dyDescent="0.25">
      <c r="A90" s="143" t="s">
        <v>70</v>
      </c>
      <c r="B90" s="143" t="s">
        <v>264</v>
      </c>
      <c r="C90" s="143" t="s">
        <v>265</v>
      </c>
      <c r="D90" s="143" t="s">
        <v>69</v>
      </c>
      <c r="E90" s="257">
        <v>9757000</v>
      </c>
      <c r="F90" s="257">
        <v>9757000</v>
      </c>
      <c r="G90" s="257">
        <v>9757000</v>
      </c>
      <c r="H90" s="257">
        <v>0</v>
      </c>
      <c r="I90" s="257">
        <v>0</v>
      </c>
      <c r="J90" s="257">
        <v>0</v>
      </c>
      <c r="K90" s="257">
        <v>2850482</v>
      </c>
      <c r="L90" s="257">
        <v>2850482</v>
      </c>
      <c r="M90" s="257">
        <v>6906518</v>
      </c>
      <c r="N90" s="257">
        <v>6906518</v>
      </c>
    </row>
    <row r="91" spans="1:14" s="143" customFormat="1" x14ac:dyDescent="0.25">
      <c r="A91" s="143" t="s">
        <v>70</v>
      </c>
      <c r="B91" s="143" t="s">
        <v>266</v>
      </c>
      <c r="C91" s="143" t="s">
        <v>267</v>
      </c>
      <c r="D91" s="143" t="s">
        <v>69</v>
      </c>
      <c r="E91" s="257">
        <v>423341000</v>
      </c>
      <c r="F91" s="257">
        <v>423341000</v>
      </c>
      <c r="G91" s="257">
        <v>211670500</v>
      </c>
      <c r="H91" s="257">
        <v>0</v>
      </c>
      <c r="I91" s="257">
        <v>48820135.5</v>
      </c>
      <c r="J91" s="257">
        <v>0</v>
      </c>
      <c r="K91" s="257">
        <v>162850364.5</v>
      </c>
      <c r="L91" s="257">
        <v>162850364.5</v>
      </c>
      <c r="M91" s="257">
        <v>211670500</v>
      </c>
      <c r="N91" s="257">
        <v>0</v>
      </c>
    </row>
    <row r="92" spans="1:14" s="143" customFormat="1" x14ac:dyDescent="0.25">
      <c r="A92" s="143" t="s">
        <v>70</v>
      </c>
      <c r="B92" s="143" t="s">
        <v>268</v>
      </c>
      <c r="C92" s="143" t="s">
        <v>269</v>
      </c>
      <c r="D92" s="143" t="s">
        <v>69</v>
      </c>
      <c r="E92" s="257">
        <v>406300000</v>
      </c>
      <c r="F92" s="257">
        <v>406300000</v>
      </c>
      <c r="G92" s="257">
        <v>194629500</v>
      </c>
      <c r="H92" s="257">
        <v>0</v>
      </c>
      <c r="I92" s="257">
        <v>35278416</v>
      </c>
      <c r="J92" s="257">
        <v>0</v>
      </c>
      <c r="K92" s="257">
        <v>159351084</v>
      </c>
      <c r="L92" s="257">
        <v>159351084</v>
      </c>
      <c r="M92" s="257">
        <v>211670500</v>
      </c>
      <c r="N92" s="257">
        <v>0</v>
      </c>
    </row>
    <row r="93" spans="1:14" s="143" customFormat="1" x14ac:dyDescent="0.25">
      <c r="A93" s="143" t="s">
        <v>70</v>
      </c>
      <c r="B93" s="143" t="s">
        <v>270</v>
      </c>
      <c r="C93" s="143" t="s">
        <v>271</v>
      </c>
      <c r="D93" s="143" t="s">
        <v>69</v>
      </c>
      <c r="E93" s="257">
        <v>13364000</v>
      </c>
      <c r="F93" s="257">
        <v>13364000</v>
      </c>
      <c r="G93" s="257">
        <v>13364000</v>
      </c>
      <c r="H93" s="257">
        <v>0</v>
      </c>
      <c r="I93" s="257">
        <v>13364000</v>
      </c>
      <c r="J93" s="257">
        <v>0</v>
      </c>
      <c r="K93" s="257">
        <v>0</v>
      </c>
      <c r="L93" s="257">
        <v>0</v>
      </c>
      <c r="M93" s="257">
        <v>0</v>
      </c>
      <c r="N93" s="257">
        <v>0</v>
      </c>
    </row>
    <row r="94" spans="1:14" s="143" customFormat="1" x14ac:dyDescent="0.25">
      <c r="A94" s="143" t="s">
        <v>70</v>
      </c>
      <c r="B94" s="143" t="s">
        <v>272</v>
      </c>
      <c r="C94" s="143" t="s">
        <v>273</v>
      </c>
      <c r="D94" s="143" t="s">
        <v>69</v>
      </c>
      <c r="E94" s="257">
        <v>3677000</v>
      </c>
      <c r="F94" s="257">
        <v>3677000</v>
      </c>
      <c r="G94" s="257">
        <v>3677000</v>
      </c>
      <c r="H94" s="257">
        <v>0</v>
      </c>
      <c r="I94" s="257">
        <v>177719.5</v>
      </c>
      <c r="J94" s="257">
        <v>0</v>
      </c>
      <c r="K94" s="257">
        <v>3499280.5</v>
      </c>
      <c r="L94" s="257">
        <v>3499280.5</v>
      </c>
      <c r="M94" s="257">
        <v>0</v>
      </c>
      <c r="N94" s="257">
        <v>0</v>
      </c>
    </row>
    <row r="95" spans="1:14" s="143" customFormat="1" x14ac:dyDescent="0.25">
      <c r="A95" s="143" t="s">
        <v>70</v>
      </c>
      <c r="B95" s="143" t="s">
        <v>230</v>
      </c>
      <c r="C95" s="143" t="s">
        <v>231</v>
      </c>
      <c r="D95" s="143" t="s">
        <v>85</v>
      </c>
      <c r="E95" s="257">
        <v>17098648</v>
      </c>
      <c r="F95" s="257">
        <v>17098648</v>
      </c>
      <c r="G95" s="257">
        <v>8549324</v>
      </c>
      <c r="H95" s="257">
        <v>0</v>
      </c>
      <c r="I95" s="257">
        <v>0</v>
      </c>
      <c r="J95" s="257">
        <v>0</v>
      </c>
      <c r="K95" s="257">
        <v>0</v>
      </c>
      <c r="L95" s="257">
        <v>0</v>
      </c>
      <c r="M95" s="257">
        <v>17098648</v>
      </c>
      <c r="N95" s="257">
        <v>8549324</v>
      </c>
    </row>
    <row r="96" spans="1:14" s="143" customFormat="1" x14ac:dyDescent="0.25">
      <c r="A96" s="143" t="s">
        <v>70</v>
      </c>
      <c r="B96" s="143" t="s">
        <v>232</v>
      </c>
      <c r="C96" s="143" t="s">
        <v>233</v>
      </c>
      <c r="D96" s="143" t="s">
        <v>85</v>
      </c>
      <c r="E96" s="257">
        <v>16598648</v>
      </c>
      <c r="F96" s="257">
        <v>16598648</v>
      </c>
      <c r="G96" s="257">
        <v>8049324</v>
      </c>
      <c r="H96" s="257">
        <v>0</v>
      </c>
      <c r="I96" s="257">
        <v>0</v>
      </c>
      <c r="J96" s="257">
        <v>0</v>
      </c>
      <c r="K96" s="257">
        <v>0</v>
      </c>
      <c r="L96" s="257">
        <v>0</v>
      </c>
      <c r="M96" s="257">
        <v>16598648</v>
      </c>
      <c r="N96" s="257">
        <v>8049324</v>
      </c>
    </row>
    <row r="97" spans="1:14" s="143" customFormat="1" x14ac:dyDescent="0.25">
      <c r="A97" s="143" t="s">
        <v>70</v>
      </c>
      <c r="B97" s="143" t="s">
        <v>234</v>
      </c>
      <c r="C97" s="143" t="s">
        <v>235</v>
      </c>
      <c r="D97" s="143" t="s">
        <v>85</v>
      </c>
      <c r="E97" s="257">
        <v>3000000</v>
      </c>
      <c r="F97" s="257">
        <v>3000000</v>
      </c>
      <c r="G97" s="257">
        <v>788324</v>
      </c>
      <c r="H97" s="257">
        <v>0</v>
      </c>
      <c r="I97" s="257">
        <v>0</v>
      </c>
      <c r="J97" s="257">
        <v>0</v>
      </c>
      <c r="K97" s="257">
        <v>0</v>
      </c>
      <c r="L97" s="257">
        <v>0</v>
      </c>
      <c r="M97" s="257">
        <v>3000000</v>
      </c>
      <c r="N97" s="257">
        <v>788324</v>
      </c>
    </row>
    <row r="98" spans="1:14" s="143" customFormat="1" x14ac:dyDescent="0.25">
      <c r="A98" s="143" t="s">
        <v>70</v>
      </c>
      <c r="B98" s="143" t="s">
        <v>236</v>
      </c>
      <c r="C98" s="143" t="s">
        <v>237</v>
      </c>
      <c r="D98" s="143" t="s">
        <v>85</v>
      </c>
      <c r="E98" s="257">
        <v>4000000</v>
      </c>
      <c r="F98" s="257">
        <v>4000000</v>
      </c>
      <c r="G98" s="257">
        <v>2000000</v>
      </c>
      <c r="H98" s="257">
        <v>0</v>
      </c>
      <c r="I98" s="257">
        <v>0</v>
      </c>
      <c r="J98" s="257">
        <v>0</v>
      </c>
      <c r="K98" s="257">
        <v>0</v>
      </c>
      <c r="L98" s="257">
        <v>0</v>
      </c>
      <c r="M98" s="257">
        <v>4000000</v>
      </c>
      <c r="N98" s="257">
        <v>2000000</v>
      </c>
    </row>
    <row r="99" spans="1:14" s="143" customFormat="1" x14ac:dyDescent="0.25">
      <c r="A99" s="143" t="s">
        <v>70</v>
      </c>
      <c r="B99" s="143" t="s">
        <v>238</v>
      </c>
      <c r="C99" s="143" t="s">
        <v>239</v>
      </c>
      <c r="D99" s="143" t="s">
        <v>85</v>
      </c>
      <c r="E99" s="257">
        <v>6337648</v>
      </c>
      <c r="F99" s="257">
        <v>6337648</v>
      </c>
      <c r="G99" s="257">
        <v>2000000</v>
      </c>
      <c r="H99" s="257">
        <v>0</v>
      </c>
      <c r="I99" s="257">
        <v>0</v>
      </c>
      <c r="J99" s="257">
        <v>0</v>
      </c>
      <c r="K99" s="257">
        <v>0</v>
      </c>
      <c r="L99" s="257">
        <v>0</v>
      </c>
      <c r="M99" s="257">
        <v>6337648</v>
      </c>
      <c r="N99" s="257">
        <v>2000000</v>
      </c>
    </row>
    <row r="100" spans="1:14" s="143" customFormat="1" x14ac:dyDescent="0.25">
      <c r="A100" s="143" t="s">
        <v>70</v>
      </c>
      <c r="B100" s="143" t="s">
        <v>240</v>
      </c>
      <c r="C100" s="143" t="s">
        <v>241</v>
      </c>
      <c r="D100" s="143" t="s">
        <v>85</v>
      </c>
      <c r="E100" s="257">
        <v>2261000</v>
      </c>
      <c r="F100" s="257">
        <v>2261000</v>
      </c>
      <c r="G100" s="257">
        <v>2261000</v>
      </c>
      <c r="H100" s="257">
        <v>0</v>
      </c>
      <c r="I100" s="257">
        <v>0</v>
      </c>
      <c r="J100" s="257">
        <v>0</v>
      </c>
      <c r="K100" s="257">
        <v>0</v>
      </c>
      <c r="L100" s="257">
        <v>0</v>
      </c>
      <c r="M100" s="257">
        <v>2261000</v>
      </c>
      <c r="N100" s="257">
        <v>2261000</v>
      </c>
    </row>
    <row r="101" spans="1:14" s="143" customFormat="1" x14ac:dyDescent="0.25">
      <c r="A101" s="143" t="s">
        <v>70</v>
      </c>
      <c r="B101" s="143" t="s">
        <v>242</v>
      </c>
      <c r="C101" s="143" t="s">
        <v>243</v>
      </c>
      <c r="D101" s="143" t="s">
        <v>85</v>
      </c>
      <c r="E101" s="257">
        <v>1000000</v>
      </c>
      <c r="F101" s="257">
        <v>1000000</v>
      </c>
      <c r="G101" s="257">
        <v>1000000</v>
      </c>
      <c r="H101" s="257">
        <v>0</v>
      </c>
      <c r="I101" s="257">
        <v>0</v>
      </c>
      <c r="J101" s="257">
        <v>0</v>
      </c>
      <c r="K101" s="257">
        <v>0</v>
      </c>
      <c r="L101" s="257">
        <v>0</v>
      </c>
      <c r="M101" s="257">
        <v>1000000</v>
      </c>
      <c r="N101" s="257">
        <v>1000000</v>
      </c>
    </row>
    <row r="102" spans="1:14" s="143" customFormat="1" x14ac:dyDescent="0.25">
      <c r="A102" s="143" t="s">
        <v>70</v>
      </c>
      <c r="B102" s="143" t="s">
        <v>244</v>
      </c>
      <c r="C102" s="143" t="s">
        <v>245</v>
      </c>
      <c r="D102" s="143" t="s">
        <v>85</v>
      </c>
      <c r="E102" s="257">
        <v>500000</v>
      </c>
      <c r="F102" s="257">
        <v>500000</v>
      </c>
      <c r="G102" s="257">
        <v>500000</v>
      </c>
      <c r="H102" s="257">
        <v>0</v>
      </c>
      <c r="I102" s="257">
        <v>0</v>
      </c>
      <c r="J102" s="257">
        <v>0</v>
      </c>
      <c r="K102" s="257">
        <v>0</v>
      </c>
      <c r="L102" s="257">
        <v>0</v>
      </c>
      <c r="M102" s="257">
        <v>500000</v>
      </c>
      <c r="N102" s="257">
        <v>500000</v>
      </c>
    </row>
    <row r="103" spans="1:14" s="143" customFormat="1" x14ac:dyDescent="0.25">
      <c r="A103" s="143" t="s">
        <v>70</v>
      </c>
      <c r="B103" s="143" t="s">
        <v>246</v>
      </c>
      <c r="C103" s="143" t="s">
        <v>247</v>
      </c>
      <c r="D103" s="143" t="s">
        <v>85</v>
      </c>
      <c r="E103" s="257">
        <v>500000</v>
      </c>
      <c r="F103" s="257">
        <v>500000</v>
      </c>
      <c r="G103" s="257">
        <v>500000</v>
      </c>
      <c r="H103" s="257">
        <v>0</v>
      </c>
      <c r="I103" s="257">
        <v>0</v>
      </c>
      <c r="J103" s="257">
        <v>0</v>
      </c>
      <c r="K103" s="257">
        <v>0</v>
      </c>
      <c r="L103" s="257">
        <v>0</v>
      </c>
      <c r="M103" s="257">
        <v>500000</v>
      </c>
      <c r="N103" s="257">
        <v>500000</v>
      </c>
    </row>
    <row r="104" spans="1:14" s="143" customFormat="1" x14ac:dyDescent="0.25">
      <c r="A104" s="143">
        <v>214780</v>
      </c>
      <c r="D104" s="143" t="s">
        <v>69</v>
      </c>
      <c r="E104" s="257">
        <v>1241247489</v>
      </c>
      <c r="F104" s="257">
        <v>1241247489</v>
      </c>
      <c r="G104" s="257">
        <v>1097485743.8499999</v>
      </c>
      <c r="H104" s="257">
        <v>129900</v>
      </c>
      <c r="I104" s="257">
        <v>129112259.16</v>
      </c>
      <c r="J104" s="257">
        <v>659414.19999999995</v>
      </c>
      <c r="K104" s="279">
        <v>412361866.26999998</v>
      </c>
      <c r="L104" s="257">
        <v>405685472.22000003</v>
      </c>
      <c r="M104" s="257">
        <v>698984049.37</v>
      </c>
      <c r="N104" s="257">
        <v>555222304.22000003</v>
      </c>
    </row>
    <row r="105" spans="1:14" s="143" customFormat="1" x14ac:dyDescent="0.25">
      <c r="A105" s="143" t="s">
        <v>274</v>
      </c>
      <c r="B105" s="143" t="s">
        <v>71</v>
      </c>
      <c r="C105" s="143" t="s">
        <v>72</v>
      </c>
      <c r="D105" s="143" t="s">
        <v>69</v>
      </c>
      <c r="E105" s="257">
        <v>953910000</v>
      </c>
      <c r="F105" s="257">
        <v>953910000</v>
      </c>
      <c r="G105" s="257">
        <v>953910000</v>
      </c>
      <c r="H105" s="257">
        <v>0</v>
      </c>
      <c r="I105" s="257">
        <v>89845276</v>
      </c>
      <c r="J105" s="257">
        <v>0</v>
      </c>
      <c r="K105" s="257">
        <v>334628825.88999999</v>
      </c>
      <c r="L105" s="257">
        <v>334628825.88999999</v>
      </c>
      <c r="M105" s="257">
        <v>529435898.11000001</v>
      </c>
      <c r="N105" s="257">
        <v>529435898.11000001</v>
      </c>
    </row>
    <row r="106" spans="1:14" s="143" customFormat="1" x14ac:dyDescent="0.25">
      <c r="A106" s="143" t="s">
        <v>274</v>
      </c>
      <c r="B106" s="143" t="s">
        <v>73</v>
      </c>
      <c r="C106" s="143" t="s">
        <v>74</v>
      </c>
      <c r="D106" s="143" t="s">
        <v>69</v>
      </c>
      <c r="E106" s="257">
        <v>383841000</v>
      </c>
      <c r="F106" s="257">
        <v>383841000</v>
      </c>
      <c r="G106" s="257">
        <v>383841000</v>
      </c>
      <c r="H106" s="257">
        <v>0</v>
      </c>
      <c r="I106" s="257">
        <v>0</v>
      </c>
      <c r="J106" s="257">
        <v>0</v>
      </c>
      <c r="K106" s="257">
        <v>134838551.34</v>
      </c>
      <c r="L106" s="257">
        <v>134838551.34</v>
      </c>
      <c r="M106" s="257">
        <v>249002448.66</v>
      </c>
      <c r="N106" s="257">
        <v>249002448.66</v>
      </c>
    </row>
    <row r="107" spans="1:14" s="143" customFormat="1" x14ac:dyDescent="0.25">
      <c r="A107" s="143" t="s">
        <v>274</v>
      </c>
      <c r="B107" s="143" t="s">
        <v>75</v>
      </c>
      <c r="C107" s="143" t="s">
        <v>76</v>
      </c>
      <c r="D107" s="143" t="s">
        <v>69</v>
      </c>
      <c r="E107" s="257">
        <v>383841000</v>
      </c>
      <c r="F107" s="257">
        <v>383841000</v>
      </c>
      <c r="G107" s="257">
        <v>383841000</v>
      </c>
      <c r="H107" s="257">
        <v>0</v>
      </c>
      <c r="I107" s="257">
        <v>0</v>
      </c>
      <c r="J107" s="257">
        <v>0</v>
      </c>
      <c r="K107" s="257">
        <v>134838551.34</v>
      </c>
      <c r="L107" s="257">
        <v>134838551.34</v>
      </c>
      <c r="M107" s="257">
        <v>249002448.66</v>
      </c>
      <c r="N107" s="257">
        <v>249002448.66</v>
      </c>
    </row>
    <row r="108" spans="1:14" s="143" customFormat="1" x14ac:dyDescent="0.25">
      <c r="A108" s="143" t="s">
        <v>274</v>
      </c>
      <c r="B108" s="143" t="s">
        <v>77</v>
      </c>
      <c r="C108" s="143" t="s">
        <v>78</v>
      </c>
      <c r="D108" s="143" t="s">
        <v>69</v>
      </c>
      <c r="E108" s="257">
        <v>425514000</v>
      </c>
      <c r="F108" s="257">
        <v>425514000</v>
      </c>
      <c r="G108" s="257">
        <v>425514000</v>
      </c>
      <c r="H108" s="257">
        <v>0</v>
      </c>
      <c r="I108" s="257">
        <v>0</v>
      </c>
      <c r="J108" s="257">
        <v>0</v>
      </c>
      <c r="K108" s="257">
        <v>145080550.55000001</v>
      </c>
      <c r="L108" s="257">
        <v>145080550.55000001</v>
      </c>
      <c r="M108" s="257">
        <v>280433449.44999999</v>
      </c>
      <c r="N108" s="257">
        <v>280433449.44999999</v>
      </c>
    </row>
    <row r="109" spans="1:14" s="143" customFormat="1" x14ac:dyDescent="0.25">
      <c r="A109" s="143" t="s">
        <v>274</v>
      </c>
      <c r="B109" s="143" t="s">
        <v>79</v>
      </c>
      <c r="C109" s="143" t="s">
        <v>80</v>
      </c>
      <c r="D109" s="143" t="s">
        <v>69</v>
      </c>
      <c r="E109" s="257">
        <v>70660000</v>
      </c>
      <c r="F109" s="257">
        <v>70660000</v>
      </c>
      <c r="G109" s="257">
        <v>70660000</v>
      </c>
      <c r="H109" s="257">
        <v>0</v>
      </c>
      <c r="I109" s="257">
        <v>0</v>
      </c>
      <c r="J109" s="257">
        <v>0</v>
      </c>
      <c r="K109" s="257">
        <v>23484072.559999999</v>
      </c>
      <c r="L109" s="257">
        <v>23484072.559999999</v>
      </c>
      <c r="M109" s="257">
        <v>47175927.439999998</v>
      </c>
      <c r="N109" s="257">
        <v>47175927.439999998</v>
      </c>
    </row>
    <row r="110" spans="1:14" s="143" customFormat="1" x14ac:dyDescent="0.25">
      <c r="A110" s="143" t="s">
        <v>274</v>
      </c>
      <c r="B110" s="143" t="s">
        <v>81</v>
      </c>
      <c r="C110" s="143" t="s">
        <v>82</v>
      </c>
      <c r="D110" s="143" t="s">
        <v>69</v>
      </c>
      <c r="E110" s="257">
        <v>211191000</v>
      </c>
      <c r="F110" s="257">
        <v>211191000</v>
      </c>
      <c r="G110" s="257">
        <v>211191000</v>
      </c>
      <c r="H110" s="257">
        <v>0</v>
      </c>
      <c r="I110" s="257">
        <v>0</v>
      </c>
      <c r="J110" s="257">
        <v>0</v>
      </c>
      <c r="K110" s="257">
        <v>64777503.189999998</v>
      </c>
      <c r="L110" s="257">
        <v>64777503.189999998</v>
      </c>
      <c r="M110" s="257">
        <v>146413496.81</v>
      </c>
      <c r="N110" s="257">
        <v>146413496.81</v>
      </c>
    </row>
    <row r="111" spans="1:14" s="143" customFormat="1" x14ac:dyDescent="0.25">
      <c r="A111" s="143" t="s">
        <v>274</v>
      </c>
      <c r="B111" s="143" t="s">
        <v>86</v>
      </c>
      <c r="C111" s="143" t="s">
        <v>87</v>
      </c>
      <c r="D111" s="143" t="s">
        <v>69</v>
      </c>
      <c r="E111" s="257">
        <v>46480000</v>
      </c>
      <c r="F111" s="257">
        <v>46480000</v>
      </c>
      <c r="G111" s="257">
        <v>46480000</v>
      </c>
      <c r="H111" s="257">
        <v>0</v>
      </c>
      <c r="I111" s="257">
        <v>0</v>
      </c>
      <c r="J111" s="257">
        <v>0</v>
      </c>
      <c r="K111" s="257">
        <v>44448031.07</v>
      </c>
      <c r="L111" s="257">
        <v>44448031.07</v>
      </c>
      <c r="M111" s="257">
        <v>2031968.93</v>
      </c>
      <c r="N111" s="257">
        <v>2031968.93</v>
      </c>
    </row>
    <row r="112" spans="1:14" s="143" customFormat="1" x14ac:dyDescent="0.25">
      <c r="A112" s="143" t="s">
        <v>274</v>
      </c>
      <c r="B112" s="143" t="s">
        <v>88</v>
      </c>
      <c r="C112" s="143" t="s">
        <v>89</v>
      </c>
      <c r="D112" s="143" t="s">
        <v>69</v>
      </c>
      <c r="E112" s="257">
        <v>35665000</v>
      </c>
      <c r="F112" s="257">
        <v>35665000</v>
      </c>
      <c r="G112" s="257">
        <v>35665000</v>
      </c>
      <c r="H112" s="257">
        <v>0</v>
      </c>
      <c r="I112" s="257">
        <v>0</v>
      </c>
      <c r="J112" s="257">
        <v>0</v>
      </c>
      <c r="K112" s="257">
        <v>12370943.73</v>
      </c>
      <c r="L112" s="257">
        <v>12370943.73</v>
      </c>
      <c r="M112" s="257">
        <v>23294056.27</v>
      </c>
      <c r="N112" s="257">
        <v>23294056.27</v>
      </c>
    </row>
    <row r="113" spans="1:14" s="143" customFormat="1" x14ac:dyDescent="0.25">
      <c r="A113" s="143" t="s">
        <v>274</v>
      </c>
      <c r="B113" s="143" t="s">
        <v>83</v>
      </c>
      <c r="C113" s="143" t="s">
        <v>84</v>
      </c>
      <c r="D113" s="143" t="s">
        <v>85</v>
      </c>
      <c r="E113" s="257">
        <v>61518000</v>
      </c>
      <c r="F113" s="257">
        <v>61518000</v>
      </c>
      <c r="G113" s="257">
        <v>61518000</v>
      </c>
      <c r="H113" s="257">
        <v>0</v>
      </c>
      <c r="I113" s="257">
        <v>0</v>
      </c>
      <c r="J113" s="257">
        <v>0</v>
      </c>
      <c r="K113" s="257">
        <v>0</v>
      </c>
      <c r="L113" s="257">
        <v>0</v>
      </c>
      <c r="M113" s="257">
        <v>61518000</v>
      </c>
      <c r="N113" s="257">
        <v>61518000</v>
      </c>
    </row>
    <row r="114" spans="1:14" s="143" customFormat="1" x14ac:dyDescent="0.25">
      <c r="A114" s="143" t="s">
        <v>274</v>
      </c>
      <c r="B114" s="143" t="s">
        <v>90</v>
      </c>
      <c r="C114" s="143" t="s">
        <v>91</v>
      </c>
      <c r="D114" s="143" t="s">
        <v>69</v>
      </c>
      <c r="E114" s="257">
        <v>72913000</v>
      </c>
      <c r="F114" s="257">
        <v>72913000</v>
      </c>
      <c r="G114" s="257">
        <v>72913000</v>
      </c>
      <c r="H114" s="257">
        <v>0</v>
      </c>
      <c r="I114" s="257">
        <v>45314870</v>
      </c>
      <c r="J114" s="257">
        <v>0</v>
      </c>
      <c r="K114" s="257">
        <v>27598130</v>
      </c>
      <c r="L114" s="257">
        <v>27598130</v>
      </c>
      <c r="M114" s="257">
        <v>0</v>
      </c>
      <c r="N114" s="257">
        <v>0</v>
      </c>
    </row>
    <row r="115" spans="1:14" s="143" customFormat="1" x14ac:dyDescent="0.25">
      <c r="A115" s="143" t="s">
        <v>274</v>
      </c>
      <c r="B115" s="143" t="s">
        <v>275</v>
      </c>
      <c r="C115" s="143" t="s">
        <v>93</v>
      </c>
      <c r="D115" s="143" t="s">
        <v>69</v>
      </c>
      <c r="E115" s="257">
        <v>69174000</v>
      </c>
      <c r="F115" s="257">
        <v>69174000</v>
      </c>
      <c r="G115" s="257">
        <v>69174000</v>
      </c>
      <c r="H115" s="257">
        <v>0</v>
      </c>
      <c r="I115" s="257">
        <v>42990755</v>
      </c>
      <c r="J115" s="257">
        <v>0</v>
      </c>
      <c r="K115" s="257">
        <v>26183245</v>
      </c>
      <c r="L115" s="257">
        <v>26183245</v>
      </c>
      <c r="M115" s="257">
        <v>0</v>
      </c>
      <c r="N115" s="257">
        <v>0</v>
      </c>
    </row>
    <row r="116" spans="1:14" s="143" customFormat="1" x14ac:dyDescent="0.25">
      <c r="A116" s="143" t="s">
        <v>274</v>
      </c>
      <c r="B116" s="143" t="s">
        <v>276</v>
      </c>
      <c r="C116" s="143" t="s">
        <v>95</v>
      </c>
      <c r="D116" s="143" t="s">
        <v>69</v>
      </c>
      <c r="E116" s="257">
        <v>3739000</v>
      </c>
      <c r="F116" s="257">
        <v>3739000</v>
      </c>
      <c r="G116" s="257">
        <v>3739000</v>
      </c>
      <c r="H116" s="257">
        <v>0</v>
      </c>
      <c r="I116" s="257">
        <v>2324115</v>
      </c>
      <c r="J116" s="257">
        <v>0</v>
      </c>
      <c r="K116" s="257">
        <v>1414885</v>
      </c>
      <c r="L116" s="257">
        <v>1414885</v>
      </c>
      <c r="M116" s="257">
        <v>0</v>
      </c>
      <c r="N116" s="257">
        <v>0</v>
      </c>
    </row>
    <row r="117" spans="1:14" s="143" customFormat="1" x14ac:dyDescent="0.25">
      <c r="A117" s="143" t="s">
        <v>274</v>
      </c>
      <c r="B117" s="143" t="s">
        <v>96</v>
      </c>
      <c r="C117" s="143" t="s">
        <v>97</v>
      </c>
      <c r="D117" s="143" t="s">
        <v>69</v>
      </c>
      <c r="E117" s="257">
        <v>71642000</v>
      </c>
      <c r="F117" s="257">
        <v>71642000</v>
      </c>
      <c r="G117" s="257">
        <v>71642000</v>
      </c>
      <c r="H117" s="257">
        <v>0</v>
      </c>
      <c r="I117" s="257">
        <v>44530406</v>
      </c>
      <c r="J117" s="257">
        <v>0</v>
      </c>
      <c r="K117" s="257">
        <v>27111594</v>
      </c>
      <c r="L117" s="257">
        <v>27111594</v>
      </c>
      <c r="M117" s="257">
        <v>0</v>
      </c>
      <c r="N117" s="257">
        <v>0</v>
      </c>
    </row>
    <row r="118" spans="1:14" s="143" customFormat="1" x14ac:dyDescent="0.25">
      <c r="A118" s="143" t="s">
        <v>274</v>
      </c>
      <c r="B118" s="143" t="s">
        <v>277</v>
      </c>
      <c r="C118" s="143" t="s">
        <v>99</v>
      </c>
      <c r="D118" s="143" t="s">
        <v>69</v>
      </c>
      <c r="E118" s="257">
        <v>37990000</v>
      </c>
      <c r="F118" s="257">
        <v>37990000</v>
      </c>
      <c r="G118" s="257">
        <v>37990000</v>
      </c>
      <c r="H118" s="257">
        <v>0</v>
      </c>
      <c r="I118" s="257">
        <v>23612363</v>
      </c>
      <c r="J118" s="257">
        <v>0</v>
      </c>
      <c r="K118" s="257">
        <v>14377637</v>
      </c>
      <c r="L118" s="257">
        <v>14377637</v>
      </c>
      <c r="M118" s="257">
        <v>0</v>
      </c>
      <c r="N118" s="257">
        <v>0</v>
      </c>
    </row>
    <row r="119" spans="1:14" s="143" customFormat="1" x14ac:dyDescent="0.25">
      <c r="A119" s="143" t="s">
        <v>274</v>
      </c>
      <c r="B119" s="143" t="s">
        <v>278</v>
      </c>
      <c r="C119" s="143" t="s">
        <v>101</v>
      </c>
      <c r="D119" s="143" t="s">
        <v>69</v>
      </c>
      <c r="E119" s="257">
        <v>11217000</v>
      </c>
      <c r="F119" s="257">
        <v>11217000</v>
      </c>
      <c r="G119" s="257">
        <v>11217000</v>
      </c>
      <c r="H119" s="257">
        <v>0</v>
      </c>
      <c r="I119" s="257">
        <v>6972349</v>
      </c>
      <c r="J119" s="257">
        <v>0</v>
      </c>
      <c r="K119" s="257">
        <v>4244651</v>
      </c>
      <c r="L119" s="257">
        <v>4244651</v>
      </c>
      <c r="M119" s="257">
        <v>0</v>
      </c>
      <c r="N119" s="257">
        <v>0</v>
      </c>
    </row>
    <row r="120" spans="1:14" s="143" customFormat="1" x14ac:dyDescent="0.25">
      <c r="A120" s="143" t="s">
        <v>274</v>
      </c>
      <c r="B120" s="143" t="s">
        <v>279</v>
      </c>
      <c r="C120" s="143" t="s">
        <v>103</v>
      </c>
      <c r="D120" s="143" t="s">
        <v>69</v>
      </c>
      <c r="E120" s="257">
        <v>22435000</v>
      </c>
      <c r="F120" s="257">
        <v>22435000</v>
      </c>
      <c r="G120" s="257">
        <v>22435000</v>
      </c>
      <c r="H120" s="257">
        <v>0</v>
      </c>
      <c r="I120" s="257">
        <v>13945694</v>
      </c>
      <c r="J120" s="257">
        <v>0</v>
      </c>
      <c r="K120" s="257">
        <v>8489306</v>
      </c>
      <c r="L120" s="257">
        <v>8489306</v>
      </c>
      <c r="M120" s="257">
        <v>0</v>
      </c>
      <c r="N120" s="257">
        <v>0</v>
      </c>
    </row>
    <row r="121" spans="1:14" s="143" customFormat="1" x14ac:dyDescent="0.25">
      <c r="A121" s="143" t="s">
        <v>274</v>
      </c>
      <c r="B121" s="143" t="s">
        <v>104</v>
      </c>
      <c r="C121" s="143" t="s">
        <v>105</v>
      </c>
      <c r="D121" s="143" t="s">
        <v>69</v>
      </c>
      <c r="E121" s="257">
        <v>155922650</v>
      </c>
      <c r="F121" s="257">
        <v>155922650</v>
      </c>
      <c r="G121" s="257">
        <v>70233161.849999994</v>
      </c>
      <c r="H121" s="257">
        <v>129900</v>
      </c>
      <c r="I121" s="257">
        <v>27153829.190000001</v>
      </c>
      <c r="J121" s="257">
        <v>0</v>
      </c>
      <c r="K121" s="257">
        <v>40613202.130000003</v>
      </c>
      <c r="L121" s="257">
        <v>37492703.850000001</v>
      </c>
      <c r="M121" s="257">
        <v>88025718.680000007</v>
      </c>
      <c r="N121" s="257">
        <v>2336230.5299999998</v>
      </c>
    </row>
    <row r="122" spans="1:14" s="143" customFormat="1" x14ac:dyDescent="0.25">
      <c r="A122" s="143" t="s">
        <v>274</v>
      </c>
      <c r="B122" s="143" t="s">
        <v>106</v>
      </c>
      <c r="C122" s="143" t="s">
        <v>107</v>
      </c>
      <c r="D122" s="143" t="s">
        <v>69</v>
      </c>
      <c r="E122" s="257">
        <v>78966646</v>
      </c>
      <c r="F122" s="257">
        <v>78966646</v>
      </c>
      <c r="G122" s="257">
        <v>39334909</v>
      </c>
      <c r="H122" s="257">
        <v>0</v>
      </c>
      <c r="I122" s="257">
        <v>11746270.59</v>
      </c>
      <c r="J122" s="257">
        <v>0</v>
      </c>
      <c r="K122" s="257">
        <v>27542965.199999999</v>
      </c>
      <c r="L122" s="257">
        <v>26499121.780000001</v>
      </c>
      <c r="M122" s="257">
        <v>39677410.210000001</v>
      </c>
      <c r="N122" s="257">
        <v>45673.21</v>
      </c>
    </row>
    <row r="123" spans="1:14" s="143" customFormat="1" x14ac:dyDescent="0.25">
      <c r="A123" s="143" t="s">
        <v>274</v>
      </c>
      <c r="B123" s="143" t="s">
        <v>280</v>
      </c>
      <c r="C123" s="143" t="s">
        <v>281</v>
      </c>
      <c r="D123" s="143" t="s">
        <v>69</v>
      </c>
      <c r="E123" s="257">
        <v>67899341</v>
      </c>
      <c r="F123" s="257">
        <v>67899341</v>
      </c>
      <c r="G123" s="257">
        <v>32868082</v>
      </c>
      <c r="H123" s="257">
        <v>0</v>
      </c>
      <c r="I123" s="257">
        <v>10079888.91</v>
      </c>
      <c r="J123" s="257">
        <v>0</v>
      </c>
      <c r="K123" s="257">
        <v>22787918.77</v>
      </c>
      <c r="L123" s="257">
        <v>22787918.77</v>
      </c>
      <c r="M123" s="257">
        <v>35031533.32</v>
      </c>
      <c r="N123" s="257">
        <v>274.32</v>
      </c>
    </row>
    <row r="124" spans="1:14" s="143" customFormat="1" x14ac:dyDescent="0.25">
      <c r="A124" s="143" t="s">
        <v>274</v>
      </c>
      <c r="B124" s="143" t="s">
        <v>108</v>
      </c>
      <c r="C124" s="143" t="s">
        <v>109</v>
      </c>
      <c r="D124" s="143" t="s">
        <v>69</v>
      </c>
      <c r="E124" s="257">
        <v>11067305</v>
      </c>
      <c r="F124" s="257">
        <v>11067305</v>
      </c>
      <c r="G124" s="257">
        <v>6466827</v>
      </c>
      <c r="H124" s="257">
        <v>0</v>
      </c>
      <c r="I124" s="257">
        <v>1666381.68</v>
      </c>
      <c r="J124" s="257">
        <v>0</v>
      </c>
      <c r="K124" s="257">
        <v>4755046.43</v>
      </c>
      <c r="L124" s="257">
        <v>3711203.01</v>
      </c>
      <c r="M124" s="257">
        <v>4645876.8899999997</v>
      </c>
      <c r="N124" s="257">
        <v>45398.89</v>
      </c>
    </row>
    <row r="125" spans="1:14" s="143" customFormat="1" x14ac:dyDescent="0.25">
      <c r="A125" s="143" t="s">
        <v>274</v>
      </c>
      <c r="B125" s="143" t="s">
        <v>112</v>
      </c>
      <c r="C125" s="143" t="s">
        <v>113</v>
      </c>
      <c r="D125" s="143" t="s">
        <v>69</v>
      </c>
      <c r="E125" s="257">
        <v>14518657</v>
      </c>
      <c r="F125" s="257">
        <v>14482767</v>
      </c>
      <c r="G125" s="257">
        <v>8423775</v>
      </c>
      <c r="H125" s="257">
        <v>0</v>
      </c>
      <c r="I125" s="257">
        <v>1683184.6</v>
      </c>
      <c r="J125" s="257">
        <v>0</v>
      </c>
      <c r="K125" s="257">
        <v>6715532.9299999997</v>
      </c>
      <c r="L125" s="257">
        <v>5825594.0700000003</v>
      </c>
      <c r="M125" s="257">
        <v>6084049.4699999997</v>
      </c>
      <c r="N125" s="257">
        <v>25057.47</v>
      </c>
    </row>
    <row r="126" spans="1:14" s="143" customFormat="1" x14ac:dyDescent="0.25">
      <c r="A126" s="143" t="s">
        <v>274</v>
      </c>
      <c r="B126" s="143" t="s">
        <v>114</v>
      </c>
      <c r="C126" s="143" t="s">
        <v>115</v>
      </c>
      <c r="D126" s="143" t="s">
        <v>69</v>
      </c>
      <c r="E126" s="257">
        <v>1280000</v>
      </c>
      <c r="F126" s="257">
        <v>1244110</v>
      </c>
      <c r="G126" s="257">
        <v>634110</v>
      </c>
      <c r="H126" s="257">
        <v>0</v>
      </c>
      <c r="I126" s="257">
        <v>280545</v>
      </c>
      <c r="J126" s="257">
        <v>0</v>
      </c>
      <c r="K126" s="257">
        <v>329035</v>
      </c>
      <c r="L126" s="257">
        <v>329035</v>
      </c>
      <c r="M126" s="257">
        <v>634530</v>
      </c>
      <c r="N126" s="257">
        <v>24530</v>
      </c>
    </row>
    <row r="127" spans="1:14" s="143" customFormat="1" x14ac:dyDescent="0.25">
      <c r="A127" s="143" t="s">
        <v>274</v>
      </c>
      <c r="B127" s="143" t="s">
        <v>116</v>
      </c>
      <c r="C127" s="143" t="s">
        <v>117</v>
      </c>
      <c r="D127" s="143" t="s">
        <v>69</v>
      </c>
      <c r="E127" s="257">
        <v>3685715</v>
      </c>
      <c r="F127" s="257">
        <v>3685715</v>
      </c>
      <c r="G127" s="257">
        <v>1671429</v>
      </c>
      <c r="H127" s="257">
        <v>0</v>
      </c>
      <c r="I127" s="257">
        <v>468026</v>
      </c>
      <c r="J127" s="257">
        <v>0</v>
      </c>
      <c r="K127" s="257">
        <v>1203303</v>
      </c>
      <c r="L127" s="257">
        <v>1203303</v>
      </c>
      <c r="M127" s="257">
        <v>2014386</v>
      </c>
      <c r="N127" s="257">
        <v>100</v>
      </c>
    </row>
    <row r="128" spans="1:14" s="143" customFormat="1" x14ac:dyDescent="0.25">
      <c r="A128" s="143" t="s">
        <v>274</v>
      </c>
      <c r="B128" s="143" t="s">
        <v>120</v>
      </c>
      <c r="C128" s="143" t="s">
        <v>121</v>
      </c>
      <c r="D128" s="143" t="s">
        <v>69</v>
      </c>
      <c r="E128" s="257">
        <v>9552942</v>
      </c>
      <c r="F128" s="257">
        <v>9552942</v>
      </c>
      <c r="G128" s="257">
        <v>6118236</v>
      </c>
      <c r="H128" s="257">
        <v>0</v>
      </c>
      <c r="I128" s="257">
        <v>934613.6</v>
      </c>
      <c r="J128" s="257">
        <v>0</v>
      </c>
      <c r="K128" s="257">
        <v>5183194.93</v>
      </c>
      <c r="L128" s="257">
        <v>4293256.07</v>
      </c>
      <c r="M128" s="257">
        <v>3435133.47</v>
      </c>
      <c r="N128" s="257">
        <v>427.47</v>
      </c>
    </row>
    <row r="129" spans="1:14" s="143" customFormat="1" x14ac:dyDescent="0.25">
      <c r="A129" s="143" t="s">
        <v>274</v>
      </c>
      <c r="B129" s="143" t="s">
        <v>124</v>
      </c>
      <c r="C129" s="143" t="s">
        <v>125</v>
      </c>
      <c r="D129" s="143" t="s">
        <v>69</v>
      </c>
      <c r="E129" s="257">
        <v>16719000</v>
      </c>
      <c r="F129" s="257">
        <v>16619000</v>
      </c>
      <c r="G129" s="257">
        <v>1100000</v>
      </c>
      <c r="H129" s="257">
        <v>0</v>
      </c>
      <c r="I129" s="257">
        <v>95000</v>
      </c>
      <c r="J129" s="257">
        <v>0</v>
      </c>
      <c r="K129" s="257">
        <v>5000</v>
      </c>
      <c r="L129" s="257">
        <v>0</v>
      </c>
      <c r="M129" s="257">
        <v>16519000</v>
      </c>
      <c r="N129" s="257">
        <v>1000000</v>
      </c>
    </row>
    <row r="130" spans="1:14" s="143" customFormat="1" x14ac:dyDescent="0.25">
      <c r="A130" s="143" t="s">
        <v>274</v>
      </c>
      <c r="B130" s="143" t="s">
        <v>126</v>
      </c>
      <c r="C130" s="143" t="s">
        <v>127</v>
      </c>
      <c r="D130" s="143" t="s">
        <v>69</v>
      </c>
      <c r="E130" s="257">
        <v>719000</v>
      </c>
      <c r="F130" s="257">
        <v>619000</v>
      </c>
      <c r="G130" s="257">
        <v>80000</v>
      </c>
      <c r="H130" s="257">
        <v>0</v>
      </c>
      <c r="I130" s="257">
        <v>80000</v>
      </c>
      <c r="J130" s="257">
        <v>0</v>
      </c>
      <c r="K130" s="257">
        <v>0</v>
      </c>
      <c r="L130" s="257">
        <v>0</v>
      </c>
      <c r="M130" s="257">
        <v>539000</v>
      </c>
      <c r="N130" s="257">
        <v>0</v>
      </c>
    </row>
    <row r="131" spans="1:14" s="143" customFormat="1" x14ac:dyDescent="0.25">
      <c r="A131" s="143" t="s">
        <v>274</v>
      </c>
      <c r="B131" s="143" t="s">
        <v>128</v>
      </c>
      <c r="C131" s="143" t="s">
        <v>129</v>
      </c>
      <c r="D131" s="143" t="s">
        <v>69</v>
      </c>
      <c r="E131" s="257">
        <v>16000000</v>
      </c>
      <c r="F131" s="257">
        <v>16000000</v>
      </c>
      <c r="G131" s="257">
        <v>1020000</v>
      </c>
      <c r="H131" s="257">
        <v>0</v>
      </c>
      <c r="I131" s="257">
        <v>15000</v>
      </c>
      <c r="J131" s="257">
        <v>0</v>
      </c>
      <c r="K131" s="257">
        <v>5000</v>
      </c>
      <c r="L131" s="257">
        <v>0</v>
      </c>
      <c r="M131" s="257">
        <v>15980000</v>
      </c>
      <c r="N131" s="257">
        <v>1000000</v>
      </c>
    </row>
    <row r="132" spans="1:14" s="143" customFormat="1" x14ac:dyDescent="0.25">
      <c r="A132" s="143" t="s">
        <v>274</v>
      </c>
      <c r="B132" s="143" t="s">
        <v>134</v>
      </c>
      <c r="C132" s="143" t="s">
        <v>135</v>
      </c>
      <c r="D132" s="143" t="s">
        <v>69</v>
      </c>
      <c r="E132" s="257">
        <v>2200000</v>
      </c>
      <c r="F132" s="257">
        <v>2200000</v>
      </c>
      <c r="G132" s="257">
        <v>1367240</v>
      </c>
      <c r="H132" s="257">
        <v>0</v>
      </c>
      <c r="I132" s="257">
        <v>199900</v>
      </c>
      <c r="J132" s="257">
        <v>0</v>
      </c>
      <c r="K132" s="257">
        <v>1167240</v>
      </c>
      <c r="L132" s="257">
        <v>1117240</v>
      </c>
      <c r="M132" s="257">
        <v>832860</v>
      </c>
      <c r="N132" s="257">
        <v>100</v>
      </c>
    </row>
    <row r="133" spans="1:14" s="143" customFormat="1" x14ac:dyDescent="0.25">
      <c r="A133" s="143" t="s">
        <v>274</v>
      </c>
      <c r="B133" s="143" t="s">
        <v>136</v>
      </c>
      <c r="C133" s="143" t="s">
        <v>137</v>
      </c>
      <c r="D133" s="143" t="s">
        <v>69</v>
      </c>
      <c r="E133" s="257">
        <v>1200000</v>
      </c>
      <c r="F133" s="257">
        <v>1200000</v>
      </c>
      <c r="G133" s="257">
        <v>1017240</v>
      </c>
      <c r="H133" s="257">
        <v>0</v>
      </c>
      <c r="I133" s="257">
        <v>0</v>
      </c>
      <c r="J133" s="257">
        <v>0</v>
      </c>
      <c r="K133" s="257">
        <v>1017240</v>
      </c>
      <c r="L133" s="257">
        <v>1017240</v>
      </c>
      <c r="M133" s="257">
        <v>182760</v>
      </c>
      <c r="N133" s="257">
        <v>0</v>
      </c>
    </row>
    <row r="134" spans="1:14" s="143" customFormat="1" x14ac:dyDescent="0.25">
      <c r="A134" s="143" t="s">
        <v>274</v>
      </c>
      <c r="B134" s="143" t="s">
        <v>138</v>
      </c>
      <c r="C134" s="143" t="s">
        <v>139</v>
      </c>
      <c r="D134" s="143" t="s">
        <v>69</v>
      </c>
      <c r="E134" s="257">
        <v>1000000</v>
      </c>
      <c r="F134" s="257">
        <v>1000000</v>
      </c>
      <c r="G134" s="257">
        <v>350000</v>
      </c>
      <c r="H134" s="257">
        <v>0</v>
      </c>
      <c r="I134" s="257">
        <v>199900</v>
      </c>
      <c r="J134" s="257">
        <v>0</v>
      </c>
      <c r="K134" s="257">
        <v>150000</v>
      </c>
      <c r="L134" s="257">
        <v>100000</v>
      </c>
      <c r="M134" s="257">
        <v>650100</v>
      </c>
      <c r="N134" s="257">
        <v>100</v>
      </c>
    </row>
    <row r="135" spans="1:14" s="143" customFormat="1" x14ac:dyDescent="0.25">
      <c r="A135" s="143" t="s">
        <v>274</v>
      </c>
      <c r="B135" s="143" t="s">
        <v>140</v>
      </c>
      <c r="C135" s="143" t="s">
        <v>141</v>
      </c>
      <c r="D135" s="143" t="s">
        <v>69</v>
      </c>
      <c r="E135" s="257">
        <v>6813730</v>
      </c>
      <c r="F135" s="257">
        <v>7898620</v>
      </c>
      <c r="G135" s="257">
        <v>6775823</v>
      </c>
      <c r="H135" s="257">
        <v>129900</v>
      </c>
      <c r="I135" s="257">
        <v>2780220</v>
      </c>
      <c r="J135" s="257">
        <v>0</v>
      </c>
      <c r="K135" s="257">
        <v>2623670</v>
      </c>
      <c r="L135" s="257">
        <v>2604000</v>
      </c>
      <c r="M135" s="257">
        <v>2364830</v>
      </c>
      <c r="N135" s="257">
        <v>1242033</v>
      </c>
    </row>
    <row r="136" spans="1:14" s="143" customFormat="1" x14ac:dyDescent="0.25">
      <c r="A136" s="143" t="s">
        <v>274</v>
      </c>
      <c r="B136" s="143" t="s">
        <v>142</v>
      </c>
      <c r="C136" s="143" t="s">
        <v>143</v>
      </c>
      <c r="D136" s="143" t="s">
        <v>69</v>
      </c>
      <c r="E136" s="257">
        <v>250000</v>
      </c>
      <c r="F136" s="257">
        <v>484890</v>
      </c>
      <c r="G136" s="257">
        <v>484890</v>
      </c>
      <c r="H136" s="257">
        <v>0</v>
      </c>
      <c r="I136" s="257">
        <v>142070</v>
      </c>
      <c r="J136" s="257">
        <v>0</v>
      </c>
      <c r="K136" s="257">
        <v>143820</v>
      </c>
      <c r="L136" s="257">
        <v>140850</v>
      </c>
      <c r="M136" s="257">
        <v>199000</v>
      </c>
      <c r="N136" s="257">
        <v>199000</v>
      </c>
    </row>
    <row r="137" spans="1:14" s="143" customFormat="1" x14ac:dyDescent="0.25">
      <c r="A137" s="143" t="s">
        <v>274</v>
      </c>
      <c r="B137" s="143" t="s">
        <v>144</v>
      </c>
      <c r="C137" s="143" t="s">
        <v>145</v>
      </c>
      <c r="D137" s="143" t="s">
        <v>69</v>
      </c>
      <c r="E137" s="257">
        <v>6563730</v>
      </c>
      <c r="F137" s="257">
        <v>7413730</v>
      </c>
      <c r="G137" s="257">
        <v>6290933</v>
      </c>
      <c r="H137" s="257">
        <v>129900</v>
      </c>
      <c r="I137" s="257">
        <v>2638150</v>
      </c>
      <c r="J137" s="257">
        <v>0</v>
      </c>
      <c r="K137" s="257">
        <v>2479850</v>
      </c>
      <c r="L137" s="257">
        <v>2463150</v>
      </c>
      <c r="M137" s="257">
        <v>2165830</v>
      </c>
      <c r="N137" s="257">
        <v>1043033</v>
      </c>
    </row>
    <row r="138" spans="1:14" s="143" customFormat="1" x14ac:dyDescent="0.25">
      <c r="A138" s="143" t="s">
        <v>274</v>
      </c>
      <c r="B138" s="143" t="s">
        <v>150</v>
      </c>
      <c r="C138" s="143" t="s">
        <v>151</v>
      </c>
      <c r="D138" s="143" t="s">
        <v>69</v>
      </c>
      <c r="E138" s="257">
        <v>4277392</v>
      </c>
      <c r="F138" s="257">
        <v>4277392</v>
      </c>
      <c r="G138" s="257">
        <v>1890348</v>
      </c>
      <c r="H138" s="257">
        <v>0</v>
      </c>
      <c r="I138" s="257">
        <v>628854</v>
      </c>
      <c r="J138" s="257">
        <v>0</v>
      </c>
      <c r="K138" s="257">
        <v>1260694</v>
      </c>
      <c r="L138" s="257">
        <v>889548</v>
      </c>
      <c r="M138" s="257">
        <v>2387844</v>
      </c>
      <c r="N138" s="257">
        <v>800</v>
      </c>
    </row>
    <row r="139" spans="1:14" s="143" customFormat="1" x14ac:dyDescent="0.25">
      <c r="A139" s="143" t="s">
        <v>274</v>
      </c>
      <c r="B139" s="143" t="s">
        <v>152</v>
      </c>
      <c r="C139" s="143" t="s">
        <v>153</v>
      </c>
      <c r="D139" s="143" t="s">
        <v>69</v>
      </c>
      <c r="E139" s="257">
        <v>4277392</v>
      </c>
      <c r="F139" s="257">
        <v>4277392</v>
      </c>
      <c r="G139" s="257">
        <v>1890348</v>
      </c>
      <c r="H139" s="257">
        <v>0</v>
      </c>
      <c r="I139" s="257">
        <v>628854</v>
      </c>
      <c r="J139" s="257">
        <v>0</v>
      </c>
      <c r="K139" s="257">
        <v>1260694</v>
      </c>
      <c r="L139" s="257">
        <v>889548</v>
      </c>
      <c r="M139" s="257">
        <v>2387844</v>
      </c>
      <c r="N139" s="257">
        <v>800</v>
      </c>
    </row>
    <row r="140" spans="1:14" s="143" customFormat="1" x14ac:dyDescent="0.25">
      <c r="A140" s="143" t="s">
        <v>274</v>
      </c>
      <c r="B140" s="143" t="s">
        <v>154</v>
      </c>
      <c r="C140" s="143" t="s">
        <v>155</v>
      </c>
      <c r="D140" s="143" t="s">
        <v>69</v>
      </c>
      <c r="E140" s="257">
        <v>12267225</v>
      </c>
      <c r="F140" s="257">
        <v>12667225</v>
      </c>
      <c r="G140" s="257">
        <v>5495807</v>
      </c>
      <c r="H140" s="257">
        <v>0</v>
      </c>
      <c r="I140" s="257">
        <v>4196900</v>
      </c>
      <c r="J140" s="257">
        <v>0</v>
      </c>
      <c r="K140" s="257">
        <v>1298100</v>
      </c>
      <c r="L140" s="257">
        <v>557200</v>
      </c>
      <c r="M140" s="257">
        <v>7172225</v>
      </c>
      <c r="N140" s="257">
        <v>807</v>
      </c>
    </row>
    <row r="141" spans="1:14" s="143" customFormat="1" x14ac:dyDescent="0.25">
      <c r="A141" s="143" t="s">
        <v>274</v>
      </c>
      <c r="B141" s="143" t="s">
        <v>156</v>
      </c>
      <c r="C141" s="143" t="s">
        <v>157</v>
      </c>
      <c r="D141" s="143" t="s">
        <v>69</v>
      </c>
      <c r="E141" s="257">
        <v>12267225</v>
      </c>
      <c r="F141" s="257">
        <v>12667225</v>
      </c>
      <c r="G141" s="257">
        <v>5495807</v>
      </c>
      <c r="H141" s="257">
        <v>0</v>
      </c>
      <c r="I141" s="257">
        <v>4196900</v>
      </c>
      <c r="J141" s="257">
        <v>0</v>
      </c>
      <c r="K141" s="257">
        <v>1298100</v>
      </c>
      <c r="L141" s="257">
        <v>557200</v>
      </c>
      <c r="M141" s="257">
        <v>7172225</v>
      </c>
      <c r="N141" s="257">
        <v>807</v>
      </c>
    </row>
    <row r="142" spans="1:14" s="143" customFormat="1" x14ac:dyDescent="0.25">
      <c r="A142" s="143" t="s">
        <v>274</v>
      </c>
      <c r="B142" s="143" t="s">
        <v>162</v>
      </c>
      <c r="C142" s="143" t="s">
        <v>163</v>
      </c>
      <c r="D142" s="143" t="s">
        <v>69</v>
      </c>
      <c r="E142" s="257">
        <v>17894000</v>
      </c>
      <c r="F142" s="257">
        <v>17012000</v>
      </c>
      <c r="G142" s="257">
        <v>5185260</v>
      </c>
      <c r="H142" s="257">
        <v>0</v>
      </c>
      <c r="I142" s="257">
        <v>5173500</v>
      </c>
      <c r="J142" s="257">
        <v>0</v>
      </c>
      <c r="K142" s="257">
        <v>0</v>
      </c>
      <c r="L142" s="257">
        <v>0</v>
      </c>
      <c r="M142" s="257">
        <v>11838500</v>
      </c>
      <c r="N142" s="257">
        <v>11760</v>
      </c>
    </row>
    <row r="143" spans="1:14" s="143" customFormat="1" x14ac:dyDescent="0.25">
      <c r="A143" s="143" t="s">
        <v>274</v>
      </c>
      <c r="B143" s="143" t="s">
        <v>166</v>
      </c>
      <c r="C143" s="143" t="s">
        <v>167</v>
      </c>
      <c r="D143" s="143" t="s">
        <v>69</v>
      </c>
      <c r="E143" s="257">
        <v>7000000</v>
      </c>
      <c r="F143" s="257">
        <v>7000000</v>
      </c>
      <c r="G143" s="257">
        <v>2550000</v>
      </c>
      <c r="H143" s="257">
        <v>0</v>
      </c>
      <c r="I143" s="257">
        <v>2550000</v>
      </c>
      <c r="J143" s="257">
        <v>0</v>
      </c>
      <c r="K143" s="257">
        <v>0</v>
      </c>
      <c r="L143" s="257">
        <v>0</v>
      </c>
      <c r="M143" s="257">
        <v>4450000</v>
      </c>
      <c r="N143" s="257">
        <v>0</v>
      </c>
    </row>
    <row r="144" spans="1:14" s="143" customFormat="1" x14ac:dyDescent="0.25">
      <c r="A144" s="143" t="s">
        <v>274</v>
      </c>
      <c r="B144" s="143" t="s">
        <v>168</v>
      </c>
      <c r="C144" s="143" t="s">
        <v>169</v>
      </c>
      <c r="D144" s="143" t="s">
        <v>69</v>
      </c>
      <c r="E144" s="257">
        <v>3000000</v>
      </c>
      <c r="F144" s="257">
        <v>2968000</v>
      </c>
      <c r="G144" s="257">
        <v>760</v>
      </c>
      <c r="H144" s="257">
        <v>0</v>
      </c>
      <c r="I144" s="257">
        <v>0</v>
      </c>
      <c r="J144" s="257">
        <v>0</v>
      </c>
      <c r="K144" s="257">
        <v>0</v>
      </c>
      <c r="L144" s="257">
        <v>0</v>
      </c>
      <c r="M144" s="257">
        <v>2968000</v>
      </c>
      <c r="N144" s="257">
        <v>760</v>
      </c>
    </row>
    <row r="145" spans="1:14" s="143" customFormat="1" x14ac:dyDescent="0.25">
      <c r="A145" s="143" t="s">
        <v>274</v>
      </c>
      <c r="B145" s="143" t="s">
        <v>170</v>
      </c>
      <c r="C145" s="143" t="s">
        <v>171</v>
      </c>
      <c r="D145" s="143" t="s">
        <v>69</v>
      </c>
      <c r="E145" s="257">
        <v>4494000</v>
      </c>
      <c r="F145" s="257">
        <v>4494000</v>
      </c>
      <c r="G145" s="257">
        <v>2623500</v>
      </c>
      <c r="H145" s="257">
        <v>0</v>
      </c>
      <c r="I145" s="257">
        <v>2623500</v>
      </c>
      <c r="J145" s="257">
        <v>0</v>
      </c>
      <c r="K145" s="257">
        <v>0</v>
      </c>
      <c r="L145" s="257">
        <v>0</v>
      </c>
      <c r="M145" s="257">
        <v>1870500</v>
      </c>
      <c r="N145" s="257">
        <v>0</v>
      </c>
    </row>
    <row r="146" spans="1:14" s="143" customFormat="1" x14ac:dyDescent="0.25">
      <c r="A146" s="143" t="s">
        <v>274</v>
      </c>
      <c r="B146" s="143" t="s">
        <v>172</v>
      </c>
      <c r="C146" s="143" t="s">
        <v>173</v>
      </c>
      <c r="D146" s="143" t="s">
        <v>69</v>
      </c>
      <c r="E146" s="257">
        <v>3400000</v>
      </c>
      <c r="F146" s="257">
        <v>2550000</v>
      </c>
      <c r="G146" s="257">
        <v>11000</v>
      </c>
      <c r="H146" s="257">
        <v>0</v>
      </c>
      <c r="I146" s="257">
        <v>0</v>
      </c>
      <c r="J146" s="257">
        <v>0</v>
      </c>
      <c r="K146" s="257">
        <v>0</v>
      </c>
      <c r="L146" s="257">
        <v>0</v>
      </c>
      <c r="M146" s="257">
        <v>2550000</v>
      </c>
      <c r="N146" s="257">
        <v>11000</v>
      </c>
    </row>
    <row r="147" spans="1:14" s="143" customFormat="1" x14ac:dyDescent="0.25">
      <c r="A147" s="143" t="s">
        <v>274</v>
      </c>
      <c r="B147" s="143" t="s">
        <v>174</v>
      </c>
      <c r="C147" s="143" t="s">
        <v>175</v>
      </c>
      <c r="D147" s="143" t="s">
        <v>69</v>
      </c>
      <c r="E147" s="257">
        <v>466000</v>
      </c>
      <c r="F147" s="257">
        <v>399000</v>
      </c>
      <c r="G147" s="257">
        <v>50000</v>
      </c>
      <c r="H147" s="257">
        <v>0</v>
      </c>
      <c r="I147" s="257">
        <v>50000</v>
      </c>
      <c r="J147" s="257">
        <v>0</v>
      </c>
      <c r="K147" s="257">
        <v>0</v>
      </c>
      <c r="L147" s="257">
        <v>0</v>
      </c>
      <c r="M147" s="257">
        <v>349000</v>
      </c>
      <c r="N147" s="257">
        <v>0</v>
      </c>
    </row>
    <row r="148" spans="1:14" s="143" customFormat="1" x14ac:dyDescent="0.25">
      <c r="A148" s="143" t="s">
        <v>274</v>
      </c>
      <c r="B148" s="143" t="s">
        <v>176</v>
      </c>
      <c r="C148" s="143" t="s">
        <v>177</v>
      </c>
      <c r="D148" s="143" t="s">
        <v>69</v>
      </c>
      <c r="E148" s="257">
        <v>466000</v>
      </c>
      <c r="F148" s="257">
        <v>399000</v>
      </c>
      <c r="G148" s="257">
        <v>50000</v>
      </c>
      <c r="H148" s="257">
        <v>0</v>
      </c>
      <c r="I148" s="257">
        <v>50000</v>
      </c>
      <c r="J148" s="257">
        <v>0</v>
      </c>
      <c r="K148" s="257">
        <v>0</v>
      </c>
      <c r="L148" s="257">
        <v>0</v>
      </c>
      <c r="M148" s="257">
        <v>349000</v>
      </c>
      <c r="N148" s="257">
        <v>0</v>
      </c>
    </row>
    <row r="149" spans="1:14" s="143" customFormat="1" x14ac:dyDescent="0.25">
      <c r="A149" s="143" t="s">
        <v>274</v>
      </c>
      <c r="B149" s="143" t="s">
        <v>178</v>
      </c>
      <c r="C149" s="143" t="s">
        <v>179</v>
      </c>
      <c r="D149" s="143" t="s">
        <v>69</v>
      </c>
      <c r="E149" s="257">
        <v>1800000</v>
      </c>
      <c r="F149" s="257">
        <v>1400000</v>
      </c>
      <c r="G149" s="257">
        <v>609999.85</v>
      </c>
      <c r="H149" s="257">
        <v>0</v>
      </c>
      <c r="I149" s="257">
        <v>600000</v>
      </c>
      <c r="J149" s="257">
        <v>0</v>
      </c>
      <c r="K149" s="257">
        <v>0</v>
      </c>
      <c r="L149" s="257">
        <v>0</v>
      </c>
      <c r="M149" s="257">
        <v>800000</v>
      </c>
      <c r="N149" s="257">
        <v>9999.85</v>
      </c>
    </row>
    <row r="150" spans="1:14" s="143" customFormat="1" x14ac:dyDescent="0.25">
      <c r="A150" s="143" t="s">
        <v>274</v>
      </c>
      <c r="B150" s="143" t="s">
        <v>182</v>
      </c>
      <c r="C150" s="143" t="s">
        <v>183</v>
      </c>
      <c r="D150" s="143" t="s">
        <v>69</v>
      </c>
      <c r="E150" s="257">
        <v>1800000</v>
      </c>
      <c r="F150" s="257">
        <v>1400000</v>
      </c>
      <c r="G150" s="257">
        <v>609999.85</v>
      </c>
      <c r="H150" s="257">
        <v>0</v>
      </c>
      <c r="I150" s="257">
        <v>600000</v>
      </c>
      <c r="J150" s="257">
        <v>0</v>
      </c>
      <c r="K150" s="257">
        <v>0</v>
      </c>
      <c r="L150" s="257">
        <v>0</v>
      </c>
      <c r="M150" s="257">
        <v>800000</v>
      </c>
      <c r="N150" s="257">
        <v>9999.85</v>
      </c>
    </row>
    <row r="151" spans="1:14" s="143" customFormat="1" x14ac:dyDescent="0.25">
      <c r="A151" s="143" t="s">
        <v>274</v>
      </c>
      <c r="B151" s="143" t="s">
        <v>184</v>
      </c>
      <c r="C151" s="143" t="s">
        <v>185</v>
      </c>
      <c r="D151" s="143" t="s">
        <v>69</v>
      </c>
      <c r="E151" s="257">
        <v>57954839</v>
      </c>
      <c r="F151" s="257">
        <v>57954839</v>
      </c>
      <c r="G151" s="257">
        <v>21568582</v>
      </c>
      <c r="H151" s="257">
        <v>0</v>
      </c>
      <c r="I151" s="257">
        <v>4921376.62</v>
      </c>
      <c r="J151" s="257">
        <v>659414.19999999995</v>
      </c>
      <c r="K151" s="257">
        <v>7273539.5999999996</v>
      </c>
      <c r="L151" s="257">
        <v>4084763.83</v>
      </c>
      <c r="M151" s="257">
        <v>45100508.579999998</v>
      </c>
      <c r="N151" s="257">
        <v>8714251.5800000001</v>
      </c>
    </row>
    <row r="152" spans="1:14" s="143" customFormat="1" x14ac:dyDescent="0.25">
      <c r="A152" s="143" t="s">
        <v>274</v>
      </c>
      <c r="B152" s="143" t="s">
        <v>186</v>
      </c>
      <c r="C152" s="143" t="s">
        <v>187</v>
      </c>
      <c r="D152" s="143" t="s">
        <v>69</v>
      </c>
      <c r="E152" s="257">
        <v>17854839</v>
      </c>
      <c r="F152" s="257">
        <v>17803839</v>
      </c>
      <c r="G152" s="257">
        <v>5404210</v>
      </c>
      <c r="H152" s="257">
        <v>0</v>
      </c>
      <c r="I152" s="257">
        <v>2716550</v>
      </c>
      <c r="J152" s="257">
        <v>0</v>
      </c>
      <c r="K152" s="257">
        <v>1064265</v>
      </c>
      <c r="L152" s="257">
        <v>1064265</v>
      </c>
      <c r="M152" s="257">
        <v>14023024</v>
      </c>
      <c r="N152" s="257">
        <v>1623395</v>
      </c>
    </row>
    <row r="153" spans="1:14" s="143" customFormat="1" x14ac:dyDescent="0.25">
      <c r="A153" s="143" t="s">
        <v>274</v>
      </c>
      <c r="B153" s="143" t="s">
        <v>188</v>
      </c>
      <c r="C153" s="143" t="s">
        <v>189</v>
      </c>
      <c r="D153" s="143" t="s">
        <v>69</v>
      </c>
      <c r="E153" s="257">
        <v>9354839</v>
      </c>
      <c r="F153" s="257">
        <v>9354839</v>
      </c>
      <c r="G153" s="257">
        <v>2279210</v>
      </c>
      <c r="H153" s="257">
        <v>0</v>
      </c>
      <c r="I153" s="257">
        <v>1214940</v>
      </c>
      <c r="J153" s="257">
        <v>0</v>
      </c>
      <c r="K153" s="257">
        <v>1064265</v>
      </c>
      <c r="L153" s="257">
        <v>1064265</v>
      </c>
      <c r="M153" s="257">
        <v>7075634</v>
      </c>
      <c r="N153" s="257">
        <v>5</v>
      </c>
    </row>
    <row r="154" spans="1:14" s="143" customFormat="1" x14ac:dyDescent="0.25">
      <c r="A154" s="143" t="s">
        <v>274</v>
      </c>
      <c r="B154" s="143" t="s">
        <v>192</v>
      </c>
      <c r="C154" s="143" t="s">
        <v>193</v>
      </c>
      <c r="D154" s="143" t="s">
        <v>69</v>
      </c>
      <c r="E154" s="257">
        <v>8500000</v>
      </c>
      <c r="F154" s="257">
        <v>8449000</v>
      </c>
      <c r="G154" s="257">
        <v>3125000</v>
      </c>
      <c r="H154" s="257">
        <v>0</v>
      </c>
      <c r="I154" s="257">
        <v>1501610</v>
      </c>
      <c r="J154" s="257">
        <v>0</v>
      </c>
      <c r="K154" s="257">
        <v>0</v>
      </c>
      <c r="L154" s="257">
        <v>0</v>
      </c>
      <c r="M154" s="257">
        <v>6947390</v>
      </c>
      <c r="N154" s="257">
        <v>1623390</v>
      </c>
    </row>
    <row r="155" spans="1:14" s="143" customFormat="1" x14ac:dyDescent="0.25">
      <c r="A155" s="143" t="s">
        <v>274</v>
      </c>
      <c r="B155" s="143" t="s">
        <v>196</v>
      </c>
      <c r="C155" s="143" t="s">
        <v>197</v>
      </c>
      <c r="D155" s="143" t="s">
        <v>69</v>
      </c>
      <c r="E155" s="257">
        <v>2460000</v>
      </c>
      <c r="F155" s="257">
        <v>4211000</v>
      </c>
      <c r="G155" s="257">
        <v>3581000</v>
      </c>
      <c r="H155" s="257">
        <v>0</v>
      </c>
      <c r="I155" s="257">
        <v>578218.69999999995</v>
      </c>
      <c r="J155" s="257">
        <v>0</v>
      </c>
      <c r="K155" s="257">
        <v>353217</v>
      </c>
      <c r="L155" s="257">
        <v>353217</v>
      </c>
      <c r="M155" s="257">
        <v>3279564.3</v>
      </c>
      <c r="N155" s="257">
        <v>2649564.2999999998</v>
      </c>
    </row>
    <row r="156" spans="1:14" s="143" customFormat="1" x14ac:dyDescent="0.25">
      <c r="A156" s="143" t="s">
        <v>274</v>
      </c>
      <c r="B156" s="143" t="s">
        <v>198</v>
      </c>
      <c r="C156" s="143" t="s">
        <v>199</v>
      </c>
      <c r="D156" s="143" t="s">
        <v>69</v>
      </c>
      <c r="E156" s="257">
        <v>2460000</v>
      </c>
      <c r="F156" s="257">
        <v>4211000</v>
      </c>
      <c r="G156" s="257">
        <v>3581000</v>
      </c>
      <c r="H156" s="257">
        <v>0</v>
      </c>
      <c r="I156" s="257">
        <v>578218.69999999995</v>
      </c>
      <c r="J156" s="257">
        <v>0</v>
      </c>
      <c r="K156" s="257">
        <v>353217</v>
      </c>
      <c r="L156" s="257">
        <v>353217</v>
      </c>
      <c r="M156" s="257">
        <v>3279564.3</v>
      </c>
      <c r="N156" s="257">
        <v>2649564.2999999998</v>
      </c>
    </row>
    <row r="157" spans="1:14" s="143" customFormat="1" x14ac:dyDescent="0.25">
      <c r="A157" s="143" t="s">
        <v>274</v>
      </c>
      <c r="B157" s="143" t="s">
        <v>200</v>
      </c>
      <c r="C157" s="143" t="s">
        <v>201</v>
      </c>
      <c r="D157" s="143" t="s">
        <v>69</v>
      </c>
      <c r="E157" s="257">
        <v>2000000</v>
      </c>
      <c r="F157" s="257">
        <v>1950000</v>
      </c>
      <c r="G157" s="257">
        <v>1438000</v>
      </c>
      <c r="H157" s="257">
        <v>0</v>
      </c>
      <c r="I157" s="257">
        <v>374132.35</v>
      </c>
      <c r="J157" s="257">
        <v>0</v>
      </c>
      <c r="K157" s="257">
        <v>373368.18</v>
      </c>
      <c r="L157" s="257">
        <v>373368.18</v>
      </c>
      <c r="M157" s="257">
        <v>1202499.47</v>
      </c>
      <c r="N157" s="257">
        <v>690499.47</v>
      </c>
    </row>
    <row r="158" spans="1:14" s="143" customFormat="1" x14ac:dyDescent="0.25">
      <c r="A158" s="143" t="s">
        <v>274</v>
      </c>
      <c r="B158" s="143" t="s">
        <v>202</v>
      </c>
      <c r="C158" s="143" t="s">
        <v>203</v>
      </c>
      <c r="D158" s="143" t="s">
        <v>69</v>
      </c>
      <c r="E158" s="257">
        <v>2000000</v>
      </c>
      <c r="F158" s="257">
        <v>1950000</v>
      </c>
      <c r="G158" s="257">
        <v>1438000</v>
      </c>
      <c r="H158" s="257">
        <v>0</v>
      </c>
      <c r="I158" s="257">
        <v>374132.35</v>
      </c>
      <c r="J158" s="257">
        <v>0</v>
      </c>
      <c r="K158" s="257">
        <v>373368.18</v>
      </c>
      <c r="L158" s="257">
        <v>373368.18</v>
      </c>
      <c r="M158" s="257">
        <v>1202499.47</v>
      </c>
      <c r="N158" s="257">
        <v>690499.47</v>
      </c>
    </row>
    <row r="159" spans="1:14" s="143" customFormat="1" x14ac:dyDescent="0.25">
      <c r="A159" s="143" t="s">
        <v>274</v>
      </c>
      <c r="B159" s="143" t="s">
        <v>206</v>
      </c>
      <c r="C159" s="143" t="s">
        <v>207</v>
      </c>
      <c r="D159" s="143" t="s">
        <v>69</v>
      </c>
      <c r="E159" s="257">
        <v>6710000</v>
      </c>
      <c r="F159" s="257">
        <v>5060000</v>
      </c>
      <c r="G159" s="257">
        <v>0</v>
      </c>
      <c r="H159" s="257">
        <v>0</v>
      </c>
      <c r="I159" s="257">
        <v>0</v>
      </c>
      <c r="J159" s="257">
        <v>0</v>
      </c>
      <c r="K159" s="257">
        <v>0</v>
      </c>
      <c r="L159" s="257">
        <v>0</v>
      </c>
      <c r="M159" s="257">
        <v>5060000</v>
      </c>
      <c r="N159" s="257">
        <v>0</v>
      </c>
    </row>
    <row r="160" spans="1:14" s="143" customFormat="1" x14ac:dyDescent="0.25">
      <c r="A160" s="143" t="s">
        <v>274</v>
      </c>
      <c r="B160" s="143" t="s">
        <v>208</v>
      </c>
      <c r="C160" s="143" t="s">
        <v>209</v>
      </c>
      <c r="D160" s="143" t="s">
        <v>69</v>
      </c>
      <c r="E160" s="257">
        <v>3710000</v>
      </c>
      <c r="F160" s="257">
        <v>2810000</v>
      </c>
      <c r="G160" s="257">
        <v>0</v>
      </c>
      <c r="H160" s="257">
        <v>0</v>
      </c>
      <c r="I160" s="257">
        <v>0</v>
      </c>
      <c r="J160" s="257">
        <v>0</v>
      </c>
      <c r="K160" s="257">
        <v>0</v>
      </c>
      <c r="L160" s="257">
        <v>0</v>
      </c>
      <c r="M160" s="257">
        <v>2810000</v>
      </c>
      <c r="N160" s="257">
        <v>0</v>
      </c>
    </row>
    <row r="161" spans="1:14" s="143" customFormat="1" x14ac:dyDescent="0.25">
      <c r="A161" s="143" t="s">
        <v>274</v>
      </c>
      <c r="B161" s="143" t="s">
        <v>210</v>
      </c>
      <c r="C161" s="143" t="s">
        <v>211</v>
      </c>
      <c r="D161" s="143" t="s">
        <v>69</v>
      </c>
      <c r="E161" s="257">
        <v>3000000</v>
      </c>
      <c r="F161" s="257">
        <v>2250000</v>
      </c>
      <c r="G161" s="257">
        <v>0</v>
      </c>
      <c r="H161" s="257">
        <v>0</v>
      </c>
      <c r="I161" s="257">
        <v>0</v>
      </c>
      <c r="J161" s="257">
        <v>0</v>
      </c>
      <c r="K161" s="257">
        <v>0</v>
      </c>
      <c r="L161" s="257">
        <v>0</v>
      </c>
      <c r="M161" s="257">
        <v>2250000</v>
      </c>
      <c r="N161" s="257">
        <v>0</v>
      </c>
    </row>
    <row r="162" spans="1:14" s="143" customFormat="1" x14ac:dyDescent="0.25">
      <c r="A162" s="143" t="s">
        <v>274</v>
      </c>
      <c r="B162" s="143" t="s">
        <v>212</v>
      </c>
      <c r="C162" s="143" t="s">
        <v>213</v>
      </c>
      <c r="D162" s="143" t="s">
        <v>69</v>
      </c>
      <c r="E162" s="257">
        <v>28930000</v>
      </c>
      <c r="F162" s="257">
        <v>28930000</v>
      </c>
      <c r="G162" s="257">
        <v>11145372</v>
      </c>
      <c r="H162" s="257">
        <v>0</v>
      </c>
      <c r="I162" s="257">
        <v>1252475.57</v>
      </c>
      <c r="J162" s="257">
        <v>659414.19999999995</v>
      </c>
      <c r="K162" s="257">
        <v>5482689.4199999999</v>
      </c>
      <c r="L162" s="257">
        <v>2293913.65</v>
      </c>
      <c r="M162" s="257">
        <v>21535420.809999999</v>
      </c>
      <c r="N162" s="257">
        <v>3750792.81</v>
      </c>
    </row>
    <row r="163" spans="1:14" s="143" customFormat="1" x14ac:dyDescent="0.25">
      <c r="A163" s="143" t="s">
        <v>274</v>
      </c>
      <c r="B163" s="143" t="s">
        <v>214</v>
      </c>
      <c r="C163" s="143" t="s">
        <v>215</v>
      </c>
      <c r="D163" s="143" t="s">
        <v>69</v>
      </c>
      <c r="E163" s="257">
        <v>8000000</v>
      </c>
      <c r="F163" s="257">
        <v>8000000</v>
      </c>
      <c r="G163" s="257">
        <v>3000000</v>
      </c>
      <c r="H163" s="257">
        <v>0</v>
      </c>
      <c r="I163" s="257">
        <v>372158.57</v>
      </c>
      <c r="J163" s="257">
        <v>0</v>
      </c>
      <c r="K163" s="257">
        <v>1591410.77</v>
      </c>
      <c r="L163" s="257">
        <v>759565</v>
      </c>
      <c r="M163" s="257">
        <v>6036430.6600000001</v>
      </c>
      <c r="N163" s="257">
        <v>1036430.66</v>
      </c>
    </row>
    <row r="164" spans="1:14" s="143" customFormat="1" x14ac:dyDescent="0.25">
      <c r="A164" s="143" t="s">
        <v>274</v>
      </c>
      <c r="B164" s="143" t="s">
        <v>218</v>
      </c>
      <c r="C164" s="143" t="s">
        <v>219</v>
      </c>
      <c r="D164" s="143" t="s">
        <v>69</v>
      </c>
      <c r="E164" s="257">
        <v>8000000</v>
      </c>
      <c r="F164" s="257">
        <v>8000000</v>
      </c>
      <c r="G164" s="257">
        <v>2800000</v>
      </c>
      <c r="H164" s="257">
        <v>0</v>
      </c>
      <c r="I164" s="257">
        <v>295000</v>
      </c>
      <c r="J164" s="257">
        <v>102498</v>
      </c>
      <c r="K164" s="257">
        <v>1859418.65</v>
      </c>
      <c r="L164" s="257">
        <v>1534348.65</v>
      </c>
      <c r="M164" s="257">
        <v>5743083.3499999996</v>
      </c>
      <c r="N164" s="257">
        <v>543083.35</v>
      </c>
    </row>
    <row r="165" spans="1:14" s="143" customFormat="1" x14ac:dyDescent="0.25">
      <c r="A165" s="143" t="s">
        <v>274</v>
      </c>
      <c r="B165" s="143" t="s">
        <v>222</v>
      </c>
      <c r="C165" s="143" t="s">
        <v>223</v>
      </c>
      <c r="D165" s="143" t="s">
        <v>69</v>
      </c>
      <c r="E165" s="257">
        <v>4930000</v>
      </c>
      <c r="F165" s="257">
        <v>4930000</v>
      </c>
      <c r="G165" s="257">
        <v>1764372</v>
      </c>
      <c r="H165" s="257">
        <v>0</v>
      </c>
      <c r="I165" s="257">
        <v>585317</v>
      </c>
      <c r="J165" s="257">
        <v>234566.2</v>
      </c>
      <c r="K165" s="257">
        <v>370460</v>
      </c>
      <c r="L165" s="257">
        <v>0</v>
      </c>
      <c r="M165" s="257">
        <v>3739656.8</v>
      </c>
      <c r="N165" s="257">
        <v>574028.80000000005</v>
      </c>
    </row>
    <row r="166" spans="1:14" s="143" customFormat="1" x14ac:dyDescent="0.25">
      <c r="A166" s="143" t="s">
        <v>274</v>
      </c>
      <c r="B166" s="143" t="s">
        <v>228</v>
      </c>
      <c r="C166" s="143" t="s">
        <v>229</v>
      </c>
      <c r="D166" s="143" t="s">
        <v>69</v>
      </c>
      <c r="E166" s="257">
        <v>8000000</v>
      </c>
      <c r="F166" s="257">
        <v>8000000</v>
      </c>
      <c r="G166" s="257">
        <v>3581000</v>
      </c>
      <c r="H166" s="257">
        <v>0</v>
      </c>
      <c r="I166" s="257">
        <v>0</v>
      </c>
      <c r="J166" s="257">
        <v>322350</v>
      </c>
      <c r="K166" s="257">
        <v>1661400</v>
      </c>
      <c r="L166" s="257">
        <v>0</v>
      </c>
      <c r="M166" s="257">
        <v>6016250</v>
      </c>
      <c r="N166" s="257">
        <v>1597250</v>
      </c>
    </row>
    <row r="167" spans="1:14" s="143" customFormat="1" x14ac:dyDescent="0.25">
      <c r="A167" s="143" t="s">
        <v>274</v>
      </c>
      <c r="B167" s="143" t="s">
        <v>248</v>
      </c>
      <c r="C167" s="143" t="s">
        <v>249</v>
      </c>
      <c r="D167" s="143" t="s">
        <v>69</v>
      </c>
      <c r="E167" s="257">
        <v>43960000</v>
      </c>
      <c r="F167" s="257">
        <v>43960000</v>
      </c>
      <c r="G167" s="257">
        <v>37960000</v>
      </c>
      <c r="H167" s="257">
        <v>0</v>
      </c>
      <c r="I167" s="257">
        <v>7191777.3499999996</v>
      </c>
      <c r="J167" s="257">
        <v>0</v>
      </c>
      <c r="K167" s="257">
        <v>24199107.649999999</v>
      </c>
      <c r="L167" s="257">
        <v>24199107.649999999</v>
      </c>
      <c r="M167" s="257">
        <v>12569115</v>
      </c>
      <c r="N167" s="257">
        <v>6569115</v>
      </c>
    </row>
    <row r="168" spans="1:14" s="143" customFormat="1" x14ac:dyDescent="0.25">
      <c r="A168" s="143" t="s">
        <v>274</v>
      </c>
      <c r="B168" s="143" t="s">
        <v>250</v>
      </c>
      <c r="C168" s="143" t="s">
        <v>251</v>
      </c>
      <c r="D168" s="143" t="s">
        <v>69</v>
      </c>
      <c r="E168" s="257">
        <v>11142000</v>
      </c>
      <c r="F168" s="257">
        <v>11142000</v>
      </c>
      <c r="G168" s="257">
        <v>11142000</v>
      </c>
      <c r="H168" s="257">
        <v>0</v>
      </c>
      <c r="I168" s="257">
        <v>6925645</v>
      </c>
      <c r="J168" s="257">
        <v>0</v>
      </c>
      <c r="K168" s="257">
        <v>4216355</v>
      </c>
      <c r="L168" s="257">
        <v>4216355</v>
      </c>
      <c r="M168" s="257">
        <v>0</v>
      </c>
      <c r="N168" s="257">
        <v>0</v>
      </c>
    </row>
    <row r="169" spans="1:14" s="143" customFormat="1" x14ac:dyDescent="0.25">
      <c r="A169" s="143" t="s">
        <v>274</v>
      </c>
      <c r="B169" s="143" t="s">
        <v>284</v>
      </c>
      <c r="C169" s="143" t="s">
        <v>257</v>
      </c>
      <c r="D169" s="143" t="s">
        <v>69</v>
      </c>
      <c r="E169" s="257">
        <v>9273000</v>
      </c>
      <c r="F169" s="257">
        <v>9273000</v>
      </c>
      <c r="G169" s="257">
        <v>9273000</v>
      </c>
      <c r="H169" s="257">
        <v>0</v>
      </c>
      <c r="I169" s="257">
        <v>5764086</v>
      </c>
      <c r="J169" s="257">
        <v>0</v>
      </c>
      <c r="K169" s="257">
        <v>3508914</v>
      </c>
      <c r="L169" s="257">
        <v>3508914</v>
      </c>
      <c r="M169" s="257">
        <v>0</v>
      </c>
      <c r="N169" s="257">
        <v>0</v>
      </c>
    </row>
    <row r="170" spans="1:14" s="143" customFormat="1" x14ac:dyDescent="0.25">
      <c r="A170" s="143" t="s">
        <v>274</v>
      </c>
      <c r="B170" s="143" t="s">
        <v>285</v>
      </c>
      <c r="C170" s="143" t="s">
        <v>259</v>
      </c>
      <c r="D170" s="143" t="s">
        <v>69</v>
      </c>
      <c r="E170" s="257">
        <v>1869000</v>
      </c>
      <c r="F170" s="257">
        <v>1869000</v>
      </c>
      <c r="G170" s="257">
        <v>1869000</v>
      </c>
      <c r="H170" s="257">
        <v>0</v>
      </c>
      <c r="I170" s="257">
        <v>1161559</v>
      </c>
      <c r="J170" s="257">
        <v>0</v>
      </c>
      <c r="K170" s="257">
        <v>707441</v>
      </c>
      <c r="L170" s="257">
        <v>707441</v>
      </c>
      <c r="M170" s="257">
        <v>0</v>
      </c>
      <c r="N170" s="257">
        <v>0</v>
      </c>
    </row>
    <row r="171" spans="1:14" s="143" customFormat="1" x14ac:dyDescent="0.25">
      <c r="A171" s="143" t="s">
        <v>274</v>
      </c>
      <c r="B171" s="143" t="s">
        <v>260</v>
      </c>
      <c r="C171" s="143" t="s">
        <v>261</v>
      </c>
      <c r="D171" s="143" t="s">
        <v>69</v>
      </c>
      <c r="E171" s="257">
        <v>24818000</v>
      </c>
      <c r="F171" s="257">
        <v>26818000</v>
      </c>
      <c r="G171" s="257">
        <v>26818000</v>
      </c>
      <c r="H171" s="257">
        <v>0</v>
      </c>
      <c r="I171" s="257">
        <v>266132.34999999998</v>
      </c>
      <c r="J171" s="257">
        <v>0</v>
      </c>
      <c r="K171" s="257">
        <v>19982752.649999999</v>
      </c>
      <c r="L171" s="257">
        <v>19982752.649999999</v>
      </c>
      <c r="M171" s="257">
        <v>6569115</v>
      </c>
      <c r="N171" s="257">
        <v>6569115</v>
      </c>
    </row>
    <row r="172" spans="1:14" s="143" customFormat="1" x14ac:dyDescent="0.25">
      <c r="A172" s="143" t="s">
        <v>274</v>
      </c>
      <c r="B172" s="143" t="s">
        <v>262</v>
      </c>
      <c r="C172" s="143" t="s">
        <v>263</v>
      </c>
      <c r="D172" s="143" t="s">
        <v>69</v>
      </c>
      <c r="E172" s="257">
        <v>17000000</v>
      </c>
      <c r="F172" s="257">
        <v>19000000</v>
      </c>
      <c r="G172" s="257">
        <v>19000000</v>
      </c>
      <c r="H172" s="257">
        <v>0</v>
      </c>
      <c r="I172" s="257">
        <v>266132.34999999998</v>
      </c>
      <c r="J172" s="257">
        <v>0</v>
      </c>
      <c r="K172" s="257">
        <v>16833867.649999999</v>
      </c>
      <c r="L172" s="257">
        <v>16833867.649999999</v>
      </c>
      <c r="M172" s="257">
        <v>1900000</v>
      </c>
      <c r="N172" s="257">
        <v>1900000</v>
      </c>
    </row>
    <row r="173" spans="1:14" s="143" customFormat="1" x14ac:dyDescent="0.25">
      <c r="A173" s="143" t="s">
        <v>274</v>
      </c>
      <c r="B173" s="143" t="s">
        <v>264</v>
      </c>
      <c r="C173" s="143" t="s">
        <v>265</v>
      </c>
      <c r="D173" s="143" t="s">
        <v>69</v>
      </c>
      <c r="E173" s="257">
        <v>7818000</v>
      </c>
      <c r="F173" s="257">
        <v>7818000</v>
      </c>
      <c r="G173" s="257">
        <v>7818000</v>
      </c>
      <c r="H173" s="257">
        <v>0</v>
      </c>
      <c r="I173" s="257">
        <v>0</v>
      </c>
      <c r="J173" s="257">
        <v>0</v>
      </c>
      <c r="K173" s="257">
        <v>3148885</v>
      </c>
      <c r="L173" s="257">
        <v>3148885</v>
      </c>
      <c r="M173" s="257">
        <v>4669115</v>
      </c>
      <c r="N173" s="257">
        <v>4669115</v>
      </c>
    </row>
    <row r="174" spans="1:14" s="143" customFormat="1" x14ac:dyDescent="0.25">
      <c r="A174" s="143" t="s">
        <v>274</v>
      </c>
      <c r="B174" s="143" t="s">
        <v>286</v>
      </c>
      <c r="C174" s="143" t="s">
        <v>287</v>
      </c>
      <c r="D174" s="143" t="s">
        <v>69</v>
      </c>
      <c r="E174" s="257">
        <v>8000000</v>
      </c>
      <c r="F174" s="257">
        <v>6000000</v>
      </c>
      <c r="G174" s="257">
        <v>0</v>
      </c>
      <c r="H174" s="257">
        <v>0</v>
      </c>
      <c r="I174" s="257">
        <v>0</v>
      </c>
      <c r="J174" s="257">
        <v>0</v>
      </c>
      <c r="K174" s="257">
        <v>0</v>
      </c>
      <c r="L174" s="257">
        <v>0</v>
      </c>
      <c r="M174" s="257">
        <v>6000000</v>
      </c>
      <c r="N174" s="257">
        <v>0</v>
      </c>
    </row>
    <row r="175" spans="1:14" s="143" customFormat="1" x14ac:dyDescent="0.25">
      <c r="A175" s="143" t="s">
        <v>274</v>
      </c>
      <c r="B175" s="143" t="s">
        <v>288</v>
      </c>
      <c r="C175" s="143" t="s">
        <v>289</v>
      </c>
      <c r="D175" s="143" t="s">
        <v>69</v>
      </c>
      <c r="E175" s="257">
        <v>8000000</v>
      </c>
      <c r="F175" s="257">
        <v>6000000</v>
      </c>
      <c r="G175" s="257">
        <v>0</v>
      </c>
      <c r="H175" s="257">
        <v>0</v>
      </c>
      <c r="I175" s="257">
        <v>0</v>
      </c>
      <c r="J175" s="257">
        <v>0</v>
      </c>
      <c r="K175" s="257">
        <v>0</v>
      </c>
      <c r="L175" s="257">
        <v>0</v>
      </c>
      <c r="M175" s="257">
        <v>6000000</v>
      </c>
      <c r="N175" s="257">
        <v>0</v>
      </c>
    </row>
    <row r="176" spans="1:14" s="143" customFormat="1" x14ac:dyDescent="0.25">
      <c r="A176" s="143" t="s">
        <v>274</v>
      </c>
      <c r="B176" s="143" t="s">
        <v>230</v>
      </c>
      <c r="C176" s="143" t="s">
        <v>231</v>
      </c>
      <c r="D176" s="143" t="s">
        <v>85</v>
      </c>
      <c r="E176" s="257">
        <v>29500000</v>
      </c>
      <c r="F176" s="257">
        <v>29500000</v>
      </c>
      <c r="G176" s="257">
        <v>13814000</v>
      </c>
      <c r="H176" s="257">
        <v>0</v>
      </c>
      <c r="I176" s="257">
        <v>0</v>
      </c>
      <c r="J176" s="257">
        <v>0</v>
      </c>
      <c r="K176" s="257">
        <v>5647191</v>
      </c>
      <c r="L176" s="257">
        <v>5280071</v>
      </c>
      <c r="M176" s="257">
        <v>23852809</v>
      </c>
      <c r="N176" s="257">
        <v>8166809</v>
      </c>
    </row>
    <row r="177" spans="1:14" s="143" customFormat="1" x14ac:dyDescent="0.25">
      <c r="A177" s="143" t="s">
        <v>274</v>
      </c>
      <c r="B177" s="143" t="s">
        <v>232</v>
      </c>
      <c r="C177" s="143" t="s">
        <v>233</v>
      </c>
      <c r="D177" s="143" t="s">
        <v>85</v>
      </c>
      <c r="E177" s="257">
        <v>29500000</v>
      </c>
      <c r="F177" s="257">
        <v>29500000</v>
      </c>
      <c r="G177" s="257">
        <v>13814000</v>
      </c>
      <c r="H177" s="257">
        <v>0</v>
      </c>
      <c r="I177" s="257">
        <v>0</v>
      </c>
      <c r="J177" s="257">
        <v>0</v>
      </c>
      <c r="K177" s="257">
        <v>5647191</v>
      </c>
      <c r="L177" s="257">
        <v>5280071</v>
      </c>
      <c r="M177" s="257">
        <v>23852809</v>
      </c>
      <c r="N177" s="257">
        <v>8166809</v>
      </c>
    </row>
    <row r="178" spans="1:14" s="143" customFormat="1" x14ac:dyDescent="0.25">
      <c r="A178" s="143" t="s">
        <v>274</v>
      </c>
      <c r="B178" s="143" t="s">
        <v>236</v>
      </c>
      <c r="C178" s="143" t="s">
        <v>237</v>
      </c>
      <c r="D178" s="143" t="s">
        <v>85</v>
      </c>
      <c r="E178" s="257">
        <v>4700000</v>
      </c>
      <c r="F178" s="257">
        <v>5950000</v>
      </c>
      <c r="G178" s="257">
        <v>4425000</v>
      </c>
      <c r="H178" s="257">
        <v>0</v>
      </c>
      <c r="I178" s="257">
        <v>0</v>
      </c>
      <c r="J178" s="257">
        <v>0</v>
      </c>
      <c r="K178" s="257">
        <v>777120</v>
      </c>
      <c r="L178" s="257">
        <v>410000</v>
      </c>
      <c r="M178" s="257">
        <v>5172880</v>
      </c>
      <c r="N178" s="257">
        <v>3647880</v>
      </c>
    </row>
    <row r="179" spans="1:14" s="143" customFormat="1" x14ac:dyDescent="0.25">
      <c r="A179" s="143" t="s">
        <v>274</v>
      </c>
      <c r="B179" s="143" t="s">
        <v>238</v>
      </c>
      <c r="C179" s="143" t="s">
        <v>239</v>
      </c>
      <c r="D179" s="143" t="s">
        <v>85</v>
      </c>
      <c r="E179" s="257">
        <v>3800000</v>
      </c>
      <c r="F179" s="257">
        <v>3800000</v>
      </c>
      <c r="G179" s="257">
        <v>914000</v>
      </c>
      <c r="H179" s="257">
        <v>0</v>
      </c>
      <c r="I179" s="257">
        <v>0</v>
      </c>
      <c r="J179" s="257">
        <v>0</v>
      </c>
      <c r="K179" s="257">
        <v>913570</v>
      </c>
      <c r="L179" s="257">
        <v>913570</v>
      </c>
      <c r="M179" s="257">
        <v>2886430</v>
      </c>
      <c r="N179" s="257">
        <v>430</v>
      </c>
    </row>
    <row r="180" spans="1:14" s="143" customFormat="1" x14ac:dyDescent="0.25">
      <c r="A180" s="143" t="s">
        <v>274</v>
      </c>
      <c r="B180" s="143" t="s">
        <v>282</v>
      </c>
      <c r="C180" s="143" t="s">
        <v>283</v>
      </c>
      <c r="D180" s="143" t="s">
        <v>85</v>
      </c>
      <c r="E180" s="257">
        <v>1000000</v>
      </c>
      <c r="F180" s="257">
        <v>750000</v>
      </c>
      <c r="G180" s="257">
        <v>0</v>
      </c>
      <c r="H180" s="257">
        <v>0</v>
      </c>
      <c r="I180" s="257">
        <v>0</v>
      </c>
      <c r="J180" s="257">
        <v>0</v>
      </c>
      <c r="K180" s="257">
        <v>0</v>
      </c>
      <c r="L180" s="257">
        <v>0</v>
      </c>
      <c r="M180" s="257">
        <v>750000</v>
      </c>
      <c r="N180" s="257">
        <v>0</v>
      </c>
    </row>
    <row r="181" spans="1:14" s="143" customFormat="1" x14ac:dyDescent="0.25">
      <c r="A181" s="143" t="s">
        <v>274</v>
      </c>
      <c r="B181" s="143" t="s">
        <v>240</v>
      </c>
      <c r="C181" s="143" t="s">
        <v>241</v>
      </c>
      <c r="D181" s="143" t="s">
        <v>85</v>
      </c>
      <c r="E181" s="257">
        <v>16000000</v>
      </c>
      <c r="F181" s="257">
        <v>16000000</v>
      </c>
      <c r="G181" s="257">
        <v>8000000</v>
      </c>
      <c r="H181" s="257">
        <v>0</v>
      </c>
      <c r="I181" s="257">
        <v>0</v>
      </c>
      <c r="J181" s="257">
        <v>0</v>
      </c>
      <c r="K181" s="257">
        <v>3956501</v>
      </c>
      <c r="L181" s="257">
        <v>3956501</v>
      </c>
      <c r="M181" s="257">
        <v>12043499</v>
      </c>
      <c r="N181" s="257">
        <v>4043499</v>
      </c>
    </row>
    <row r="182" spans="1:14" s="143" customFormat="1" x14ac:dyDescent="0.25">
      <c r="A182" s="143" t="s">
        <v>274</v>
      </c>
      <c r="B182" s="143" t="s">
        <v>242</v>
      </c>
      <c r="C182" s="143" t="s">
        <v>243</v>
      </c>
      <c r="D182" s="143" t="s">
        <v>85</v>
      </c>
      <c r="E182" s="257">
        <v>4000000</v>
      </c>
      <c r="F182" s="257">
        <v>3000000</v>
      </c>
      <c r="G182" s="257">
        <v>475000</v>
      </c>
      <c r="H182" s="257">
        <v>0</v>
      </c>
      <c r="I182" s="257">
        <v>0</v>
      </c>
      <c r="J182" s="257">
        <v>0</v>
      </c>
      <c r="K182" s="257">
        <v>0</v>
      </c>
      <c r="L182" s="257">
        <v>0</v>
      </c>
      <c r="M182" s="257">
        <v>3000000</v>
      </c>
      <c r="N182" s="257">
        <v>475000</v>
      </c>
    </row>
    <row r="183" spans="1:14" s="143" customFormat="1" x14ac:dyDescent="0.25">
      <c r="A183" s="143">
        <v>214781</v>
      </c>
      <c r="D183" s="143" t="s">
        <v>69</v>
      </c>
      <c r="E183" s="257">
        <v>11325587195</v>
      </c>
      <c r="F183" s="257">
        <v>11325587195</v>
      </c>
      <c r="G183" s="257">
        <v>10630631596</v>
      </c>
      <c r="H183" s="257">
        <v>79300</v>
      </c>
      <c r="I183" s="257">
        <v>1115102592.72</v>
      </c>
      <c r="J183" s="257">
        <v>10448100.220000001</v>
      </c>
      <c r="K183" s="257">
        <v>4064003766.7800002</v>
      </c>
      <c r="L183" s="257">
        <v>4020083955.6300001</v>
      </c>
      <c r="M183" s="257">
        <v>6135953435.2799997</v>
      </c>
      <c r="N183" s="257">
        <v>5440997836.2799997</v>
      </c>
    </row>
    <row r="184" spans="1:14" s="143" customFormat="1" x14ac:dyDescent="0.25">
      <c r="A184" s="143" t="s">
        <v>290</v>
      </c>
      <c r="B184" s="143" t="s">
        <v>71</v>
      </c>
      <c r="C184" s="143" t="s">
        <v>72</v>
      </c>
      <c r="D184" s="143" t="s">
        <v>69</v>
      </c>
      <c r="E184" s="257">
        <v>9908319000</v>
      </c>
      <c r="F184" s="257">
        <v>9908319000</v>
      </c>
      <c r="G184" s="257">
        <v>9899719000</v>
      </c>
      <c r="H184" s="257">
        <v>0</v>
      </c>
      <c r="I184" s="257">
        <v>909901536</v>
      </c>
      <c r="J184" s="257">
        <v>0</v>
      </c>
      <c r="K184" s="257">
        <v>3681564420.54</v>
      </c>
      <c r="L184" s="257">
        <v>3681564420.54</v>
      </c>
      <c r="M184" s="257">
        <v>5316853043.46</v>
      </c>
      <c r="N184" s="257">
        <v>5308253043.46</v>
      </c>
    </row>
    <row r="185" spans="1:14" s="143" customFormat="1" x14ac:dyDescent="0.25">
      <c r="A185" s="143" t="s">
        <v>290</v>
      </c>
      <c r="B185" s="143" t="s">
        <v>73</v>
      </c>
      <c r="C185" s="143" t="s">
        <v>74</v>
      </c>
      <c r="D185" s="143" t="s">
        <v>69</v>
      </c>
      <c r="E185" s="257">
        <v>3418584000</v>
      </c>
      <c r="F185" s="257">
        <v>3418584000</v>
      </c>
      <c r="G185" s="257">
        <v>3418584000</v>
      </c>
      <c r="H185" s="257">
        <v>0</v>
      </c>
      <c r="I185" s="257">
        <v>764487.75</v>
      </c>
      <c r="J185" s="257">
        <v>0</v>
      </c>
      <c r="K185" s="257">
        <v>1236293569.5599999</v>
      </c>
      <c r="L185" s="257">
        <v>1236293569.5599999</v>
      </c>
      <c r="M185" s="257">
        <v>2181525942.6900001</v>
      </c>
      <c r="N185" s="257">
        <v>2181525942.6900001</v>
      </c>
    </row>
    <row r="186" spans="1:14" s="143" customFormat="1" x14ac:dyDescent="0.25">
      <c r="A186" s="143" t="s">
        <v>290</v>
      </c>
      <c r="B186" s="143" t="s">
        <v>75</v>
      </c>
      <c r="C186" s="143" t="s">
        <v>76</v>
      </c>
      <c r="D186" s="143" t="s">
        <v>69</v>
      </c>
      <c r="E186" s="257">
        <v>3413584000</v>
      </c>
      <c r="F186" s="257">
        <v>3413584000</v>
      </c>
      <c r="G186" s="257">
        <v>3413584000</v>
      </c>
      <c r="H186" s="257">
        <v>0</v>
      </c>
      <c r="I186" s="257">
        <v>764487.75</v>
      </c>
      <c r="J186" s="257">
        <v>0</v>
      </c>
      <c r="K186" s="257">
        <v>1236293569.5599999</v>
      </c>
      <c r="L186" s="257">
        <v>1236293569.5599999</v>
      </c>
      <c r="M186" s="257">
        <v>2176525942.6900001</v>
      </c>
      <c r="N186" s="257">
        <v>2176525942.6900001</v>
      </c>
    </row>
    <row r="187" spans="1:14" s="143" customFormat="1" x14ac:dyDescent="0.25">
      <c r="A187" s="143" t="s">
        <v>290</v>
      </c>
      <c r="B187" s="143" t="s">
        <v>291</v>
      </c>
      <c r="C187" s="143" t="s">
        <v>292</v>
      </c>
      <c r="D187" s="143" t="s">
        <v>69</v>
      </c>
      <c r="E187" s="257">
        <v>5000000</v>
      </c>
      <c r="F187" s="257">
        <v>5000000</v>
      </c>
      <c r="G187" s="257">
        <v>5000000</v>
      </c>
      <c r="H187" s="257">
        <v>0</v>
      </c>
      <c r="I187" s="257">
        <v>0</v>
      </c>
      <c r="J187" s="257">
        <v>0</v>
      </c>
      <c r="K187" s="257">
        <v>0</v>
      </c>
      <c r="L187" s="257">
        <v>0</v>
      </c>
      <c r="M187" s="257">
        <v>5000000</v>
      </c>
      <c r="N187" s="257">
        <v>5000000</v>
      </c>
    </row>
    <row r="188" spans="1:14" s="143" customFormat="1" x14ac:dyDescent="0.25">
      <c r="A188" s="143" t="s">
        <v>290</v>
      </c>
      <c r="B188" s="143" t="s">
        <v>293</v>
      </c>
      <c r="C188" s="143" t="s">
        <v>294</v>
      </c>
      <c r="D188" s="143" t="s">
        <v>69</v>
      </c>
      <c r="E188" s="257">
        <v>11000000</v>
      </c>
      <c r="F188" s="257">
        <v>11000000</v>
      </c>
      <c r="G188" s="257">
        <v>11000000</v>
      </c>
      <c r="H188" s="257">
        <v>0</v>
      </c>
      <c r="I188" s="257">
        <v>0</v>
      </c>
      <c r="J188" s="257">
        <v>0</v>
      </c>
      <c r="K188" s="257">
        <v>2501038.35</v>
      </c>
      <c r="L188" s="257">
        <v>2501038.35</v>
      </c>
      <c r="M188" s="257">
        <v>8498961.6500000004</v>
      </c>
      <c r="N188" s="257">
        <v>8498961.6500000004</v>
      </c>
    </row>
    <row r="189" spans="1:14" s="143" customFormat="1" x14ac:dyDescent="0.25">
      <c r="A189" s="143" t="s">
        <v>290</v>
      </c>
      <c r="B189" s="143" t="s">
        <v>295</v>
      </c>
      <c r="C189" s="143" t="s">
        <v>296</v>
      </c>
      <c r="D189" s="143" t="s">
        <v>69</v>
      </c>
      <c r="E189" s="257">
        <v>11000000</v>
      </c>
      <c r="F189" s="257">
        <v>11000000</v>
      </c>
      <c r="G189" s="257">
        <v>11000000</v>
      </c>
      <c r="H189" s="257">
        <v>0</v>
      </c>
      <c r="I189" s="257">
        <v>0</v>
      </c>
      <c r="J189" s="257">
        <v>0</v>
      </c>
      <c r="K189" s="257">
        <v>2501038.35</v>
      </c>
      <c r="L189" s="257">
        <v>2501038.35</v>
      </c>
      <c r="M189" s="257">
        <v>8498961.6500000004</v>
      </c>
      <c r="N189" s="257">
        <v>8498961.6500000004</v>
      </c>
    </row>
    <row r="190" spans="1:14" s="143" customFormat="1" x14ac:dyDescent="0.25">
      <c r="A190" s="143" t="s">
        <v>290</v>
      </c>
      <c r="B190" s="143" t="s">
        <v>77</v>
      </c>
      <c r="C190" s="143" t="s">
        <v>78</v>
      </c>
      <c r="D190" s="143" t="s">
        <v>69</v>
      </c>
      <c r="E190" s="257">
        <v>4978167000</v>
      </c>
      <c r="F190" s="257">
        <v>4978167000</v>
      </c>
      <c r="G190" s="257">
        <v>4969567000</v>
      </c>
      <c r="H190" s="257">
        <v>0</v>
      </c>
      <c r="I190" s="257">
        <v>1327404.25</v>
      </c>
      <c r="J190" s="257">
        <v>0</v>
      </c>
      <c r="K190" s="257">
        <v>1850011456.6300001</v>
      </c>
      <c r="L190" s="257">
        <v>1850011456.6300001</v>
      </c>
      <c r="M190" s="257">
        <v>3126828139.1199999</v>
      </c>
      <c r="N190" s="257">
        <v>3118228139.1199999</v>
      </c>
    </row>
    <row r="191" spans="1:14" s="143" customFormat="1" x14ac:dyDescent="0.25">
      <c r="A191" s="143" t="s">
        <v>290</v>
      </c>
      <c r="B191" s="143" t="s">
        <v>79</v>
      </c>
      <c r="C191" s="143" t="s">
        <v>80</v>
      </c>
      <c r="D191" s="143" t="s">
        <v>69</v>
      </c>
      <c r="E191" s="257">
        <v>913627000</v>
      </c>
      <c r="F191" s="257">
        <v>913627000</v>
      </c>
      <c r="G191" s="257">
        <v>905027000</v>
      </c>
      <c r="H191" s="257">
        <v>0</v>
      </c>
      <c r="I191" s="257">
        <v>478674</v>
      </c>
      <c r="J191" s="257">
        <v>0</v>
      </c>
      <c r="K191" s="257">
        <v>309432788.57999998</v>
      </c>
      <c r="L191" s="257">
        <v>309432788.57999998</v>
      </c>
      <c r="M191" s="257">
        <v>603715537.41999996</v>
      </c>
      <c r="N191" s="257">
        <v>595115537.41999996</v>
      </c>
    </row>
    <row r="192" spans="1:14" s="143" customFormat="1" x14ac:dyDescent="0.25">
      <c r="A192" s="143" t="s">
        <v>290</v>
      </c>
      <c r="B192" s="143" t="s">
        <v>81</v>
      </c>
      <c r="C192" s="143" t="s">
        <v>82</v>
      </c>
      <c r="D192" s="143" t="s">
        <v>69</v>
      </c>
      <c r="E192" s="257">
        <v>2244831000</v>
      </c>
      <c r="F192" s="257">
        <v>2244831000</v>
      </c>
      <c r="G192" s="257">
        <v>2244831000</v>
      </c>
      <c r="H192" s="257">
        <v>0</v>
      </c>
      <c r="I192" s="257">
        <v>616723.5</v>
      </c>
      <c r="J192" s="257">
        <v>0</v>
      </c>
      <c r="K192" s="257">
        <v>814607790.38999999</v>
      </c>
      <c r="L192" s="257">
        <v>814607790.38999999</v>
      </c>
      <c r="M192" s="257">
        <v>1429606486.1099999</v>
      </c>
      <c r="N192" s="257">
        <v>1429606486.1099999</v>
      </c>
    </row>
    <row r="193" spans="1:14" s="143" customFormat="1" x14ac:dyDescent="0.25">
      <c r="A193" s="143" t="s">
        <v>290</v>
      </c>
      <c r="B193" s="143" t="s">
        <v>86</v>
      </c>
      <c r="C193" s="143" t="s">
        <v>87</v>
      </c>
      <c r="D193" s="143" t="s">
        <v>69</v>
      </c>
      <c r="E193" s="257">
        <v>540993000</v>
      </c>
      <c r="F193" s="257">
        <v>540993000</v>
      </c>
      <c r="G193" s="257">
        <v>540993000</v>
      </c>
      <c r="H193" s="257">
        <v>0</v>
      </c>
      <c r="I193" s="257">
        <v>0</v>
      </c>
      <c r="J193" s="257">
        <v>0</v>
      </c>
      <c r="K193" s="257">
        <v>493915397.87</v>
      </c>
      <c r="L193" s="257">
        <v>493915397.87</v>
      </c>
      <c r="M193" s="257">
        <v>47077602.130000003</v>
      </c>
      <c r="N193" s="257">
        <v>47077602.130000003</v>
      </c>
    </row>
    <row r="194" spans="1:14" s="143" customFormat="1" x14ac:dyDescent="0.25">
      <c r="A194" s="143" t="s">
        <v>290</v>
      </c>
      <c r="B194" s="143" t="s">
        <v>88</v>
      </c>
      <c r="C194" s="143" t="s">
        <v>89</v>
      </c>
      <c r="D194" s="143" t="s">
        <v>69</v>
      </c>
      <c r="E194" s="257">
        <v>630877000</v>
      </c>
      <c r="F194" s="257">
        <v>630877000</v>
      </c>
      <c r="G194" s="257">
        <v>630877000</v>
      </c>
      <c r="H194" s="257">
        <v>0</v>
      </c>
      <c r="I194" s="257">
        <v>232006.75</v>
      </c>
      <c r="J194" s="257">
        <v>0</v>
      </c>
      <c r="K194" s="257">
        <v>232055479.78999999</v>
      </c>
      <c r="L194" s="257">
        <v>232055479.78999999</v>
      </c>
      <c r="M194" s="257">
        <v>398589513.45999998</v>
      </c>
      <c r="N194" s="257">
        <v>398589513.45999998</v>
      </c>
    </row>
    <row r="195" spans="1:14" s="143" customFormat="1" x14ac:dyDescent="0.25">
      <c r="A195" s="143" t="s">
        <v>290</v>
      </c>
      <c r="B195" s="143" t="s">
        <v>83</v>
      </c>
      <c r="C195" s="143" t="s">
        <v>84</v>
      </c>
      <c r="D195" s="143" t="s">
        <v>85</v>
      </c>
      <c r="E195" s="257">
        <v>647839000</v>
      </c>
      <c r="F195" s="257">
        <v>647839000</v>
      </c>
      <c r="G195" s="257">
        <v>647839000</v>
      </c>
      <c r="H195" s="257">
        <v>0</v>
      </c>
      <c r="I195" s="257">
        <v>0</v>
      </c>
      <c r="J195" s="257">
        <v>0</v>
      </c>
      <c r="K195" s="257">
        <v>0</v>
      </c>
      <c r="L195" s="257">
        <v>0</v>
      </c>
      <c r="M195" s="257">
        <v>647839000</v>
      </c>
      <c r="N195" s="257">
        <v>647839000</v>
      </c>
    </row>
    <row r="196" spans="1:14" s="143" customFormat="1" x14ac:dyDescent="0.25">
      <c r="A196" s="143" t="s">
        <v>290</v>
      </c>
      <c r="B196" s="143" t="s">
        <v>90</v>
      </c>
      <c r="C196" s="143" t="s">
        <v>91</v>
      </c>
      <c r="D196" s="143" t="s">
        <v>69</v>
      </c>
      <c r="E196" s="257">
        <v>756883000</v>
      </c>
      <c r="F196" s="257">
        <v>756883000</v>
      </c>
      <c r="G196" s="257">
        <v>756883000</v>
      </c>
      <c r="H196" s="257">
        <v>0</v>
      </c>
      <c r="I196" s="257">
        <v>455828937</v>
      </c>
      <c r="J196" s="257">
        <v>0</v>
      </c>
      <c r="K196" s="257">
        <v>301054063</v>
      </c>
      <c r="L196" s="257">
        <v>301054063</v>
      </c>
      <c r="M196" s="257">
        <v>0</v>
      </c>
      <c r="N196" s="257">
        <v>0</v>
      </c>
    </row>
    <row r="197" spans="1:14" s="143" customFormat="1" x14ac:dyDescent="0.25">
      <c r="A197" s="143" t="s">
        <v>290</v>
      </c>
      <c r="B197" s="143" t="s">
        <v>297</v>
      </c>
      <c r="C197" s="143" t="s">
        <v>93</v>
      </c>
      <c r="D197" s="143" t="s">
        <v>69</v>
      </c>
      <c r="E197" s="257">
        <v>718069000</v>
      </c>
      <c r="F197" s="257">
        <v>718069000</v>
      </c>
      <c r="G197" s="257">
        <v>718069000</v>
      </c>
      <c r="H197" s="257">
        <v>0</v>
      </c>
      <c r="I197" s="257">
        <v>432451832</v>
      </c>
      <c r="J197" s="257">
        <v>0</v>
      </c>
      <c r="K197" s="257">
        <v>285617168</v>
      </c>
      <c r="L197" s="257">
        <v>285617168</v>
      </c>
      <c r="M197" s="257">
        <v>0</v>
      </c>
      <c r="N197" s="257">
        <v>0</v>
      </c>
    </row>
    <row r="198" spans="1:14" s="143" customFormat="1" x14ac:dyDescent="0.25">
      <c r="A198" s="143" t="s">
        <v>290</v>
      </c>
      <c r="B198" s="143" t="s">
        <v>298</v>
      </c>
      <c r="C198" s="143" t="s">
        <v>95</v>
      </c>
      <c r="D198" s="143" t="s">
        <v>69</v>
      </c>
      <c r="E198" s="257">
        <v>38814000</v>
      </c>
      <c r="F198" s="257">
        <v>38814000</v>
      </c>
      <c r="G198" s="257">
        <v>38814000</v>
      </c>
      <c r="H198" s="257">
        <v>0</v>
      </c>
      <c r="I198" s="257">
        <v>23377105</v>
      </c>
      <c r="J198" s="257">
        <v>0</v>
      </c>
      <c r="K198" s="257">
        <v>15436895</v>
      </c>
      <c r="L198" s="257">
        <v>15436895</v>
      </c>
      <c r="M198" s="257">
        <v>0</v>
      </c>
      <c r="N198" s="257">
        <v>0</v>
      </c>
    </row>
    <row r="199" spans="1:14" s="143" customFormat="1" x14ac:dyDescent="0.25">
      <c r="A199" s="143" t="s">
        <v>290</v>
      </c>
      <c r="B199" s="143" t="s">
        <v>96</v>
      </c>
      <c r="C199" s="143" t="s">
        <v>97</v>
      </c>
      <c r="D199" s="143" t="s">
        <v>69</v>
      </c>
      <c r="E199" s="257">
        <v>743685000</v>
      </c>
      <c r="F199" s="257">
        <v>743685000</v>
      </c>
      <c r="G199" s="257">
        <v>743685000</v>
      </c>
      <c r="H199" s="257">
        <v>0</v>
      </c>
      <c r="I199" s="257">
        <v>451980707</v>
      </c>
      <c r="J199" s="257">
        <v>0</v>
      </c>
      <c r="K199" s="257">
        <v>291704293</v>
      </c>
      <c r="L199" s="257">
        <v>291704293</v>
      </c>
      <c r="M199" s="257">
        <v>0</v>
      </c>
      <c r="N199" s="257">
        <v>0</v>
      </c>
    </row>
    <row r="200" spans="1:14" s="143" customFormat="1" x14ac:dyDescent="0.25">
      <c r="A200" s="143" t="s">
        <v>290</v>
      </c>
      <c r="B200" s="143" t="s">
        <v>299</v>
      </c>
      <c r="C200" s="143" t="s">
        <v>99</v>
      </c>
      <c r="D200" s="143" t="s">
        <v>69</v>
      </c>
      <c r="E200" s="257">
        <v>394355000</v>
      </c>
      <c r="F200" s="257">
        <v>394355000</v>
      </c>
      <c r="G200" s="257">
        <v>394355000</v>
      </c>
      <c r="H200" s="257">
        <v>0</v>
      </c>
      <c r="I200" s="257">
        <v>241582435</v>
      </c>
      <c r="J200" s="257">
        <v>0</v>
      </c>
      <c r="K200" s="257">
        <v>152772565</v>
      </c>
      <c r="L200" s="257">
        <v>152772565</v>
      </c>
      <c r="M200" s="257">
        <v>0</v>
      </c>
      <c r="N200" s="257">
        <v>0</v>
      </c>
    </row>
    <row r="201" spans="1:14" s="143" customFormat="1" x14ac:dyDescent="0.25">
      <c r="A201" s="143" t="s">
        <v>290</v>
      </c>
      <c r="B201" s="143" t="s">
        <v>300</v>
      </c>
      <c r="C201" s="143" t="s">
        <v>101</v>
      </c>
      <c r="D201" s="143" t="s">
        <v>69</v>
      </c>
      <c r="E201" s="257">
        <v>116443000</v>
      </c>
      <c r="F201" s="257">
        <v>116443000</v>
      </c>
      <c r="G201" s="257">
        <v>116443000</v>
      </c>
      <c r="H201" s="257">
        <v>0</v>
      </c>
      <c r="I201" s="257">
        <v>70132463</v>
      </c>
      <c r="J201" s="257">
        <v>0</v>
      </c>
      <c r="K201" s="257">
        <v>46310537</v>
      </c>
      <c r="L201" s="257">
        <v>46310537</v>
      </c>
      <c r="M201" s="257">
        <v>0</v>
      </c>
      <c r="N201" s="257">
        <v>0</v>
      </c>
    </row>
    <row r="202" spans="1:14" s="143" customFormat="1" x14ac:dyDescent="0.25">
      <c r="A202" s="143" t="s">
        <v>290</v>
      </c>
      <c r="B202" s="143" t="s">
        <v>301</v>
      </c>
      <c r="C202" s="143" t="s">
        <v>103</v>
      </c>
      <c r="D202" s="143" t="s">
        <v>69</v>
      </c>
      <c r="E202" s="257">
        <v>232887000</v>
      </c>
      <c r="F202" s="257">
        <v>232887000</v>
      </c>
      <c r="G202" s="257">
        <v>232887000</v>
      </c>
      <c r="H202" s="257">
        <v>0</v>
      </c>
      <c r="I202" s="257">
        <v>140265809</v>
      </c>
      <c r="J202" s="257">
        <v>0</v>
      </c>
      <c r="K202" s="257">
        <v>92621191</v>
      </c>
      <c r="L202" s="257">
        <v>92621191</v>
      </c>
      <c r="M202" s="257">
        <v>0</v>
      </c>
      <c r="N202" s="257">
        <v>0</v>
      </c>
    </row>
    <row r="203" spans="1:14" s="143" customFormat="1" x14ac:dyDescent="0.25">
      <c r="A203" s="143" t="s">
        <v>290</v>
      </c>
      <c r="B203" s="143" t="s">
        <v>104</v>
      </c>
      <c r="C203" s="143" t="s">
        <v>105</v>
      </c>
      <c r="D203" s="143" t="s">
        <v>69</v>
      </c>
      <c r="E203" s="257">
        <v>1006874402</v>
      </c>
      <c r="F203" s="257">
        <v>1006874402</v>
      </c>
      <c r="G203" s="257">
        <v>506722900</v>
      </c>
      <c r="H203" s="257">
        <v>79300</v>
      </c>
      <c r="I203" s="257">
        <v>123918723.47</v>
      </c>
      <c r="J203" s="257">
        <v>9097118.0299999993</v>
      </c>
      <c r="K203" s="257">
        <v>288081428.56</v>
      </c>
      <c r="L203" s="257">
        <v>244410265.33000001</v>
      </c>
      <c r="M203" s="257">
        <v>585697831.94000006</v>
      </c>
      <c r="N203" s="257">
        <v>85546329.939999998</v>
      </c>
    </row>
    <row r="204" spans="1:14" s="143" customFormat="1" x14ac:dyDescent="0.25">
      <c r="A204" s="143" t="s">
        <v>290</v>
      </c>
      <c r="B204" s="143" t="s">
        <v>106</v>
      </c>
      <c r="C204" s="143" t="s">
        <v>107</v>
      </c>
      <c r="D204" s="143" t="s">
        <v>69</v>
      </c>
      <c r="E204" s="257">
        <v>331717997</v>
      </c>
      <c r="F204" s="257">
        <v>331717997</v>
      </c>
      <c r="G204" s="257">
        <v>151238998</v>
      </c>
      <c r="H204" s="257">
        <v>0</v>
      </c>
      <c r="I204" s="257">
        <v>30318482.559999999</v>
      </c>
      <c r="J204" s="257">
        <v>8038499.04</v>
      </c>
      <c r="K204" s="257">
        <v>97290679.450000003</v>
      </c>
      <c r="L204" s="257">
        <v>85145808.409999996</v>
      </c>
      <c r="M204" s="257">
        <v>196070335.94999999</v>
      </c>
      <c r="N204" s="257">
        <v>15591336.949999999</v>
      </c>
    </row>
    <row r="205" spans="1:14" s="143" customFormat="1" x14ac:dyDescent="0.25">
      <c r="A205" s="143" t="s">
        <v>290</v>
      </c>
      <c r="B205" s="143" t="s">
        <v>280</v>
      </c>
      <c r="C205" s="143" t="s">
        <v>281</v>
      </c>
      <c r="D205" s="143" t="s">
        <v>69</v>
      </c>
      <c r="E205" s="257">
        <v>200526630</v>
      </c>
      <c r="F205" s="257">
        <v>200526630</v>
      </c>
      <c r="G205" s="257">
        <v>79143314</v>
      </c>
      <c r="H205" s="257">
        <v>0</v>
      </c>
      <c r="I205" s="257">
        <v>13321270</v>
      </c>
      <c r="J205" s="257">
        <v>0</v>
      </c>
      <c r="K205" s="257">
        <v>62677970</v>
      </c>
      <c r="L205" s="257">
        <v>50895430</v>
      </c>
      <c r="M205" s="257">
        <v>124527390</v>
      </c>
      <c r="N205" s="257">
        <v>3144074</v>
      </c>
    </row>
    <row r="206" spans="1:14" s="143" customFormat="1" x14ac:dyDescent="0.25">
      <c r="A206" s="143" t="s">
        <v>290</v>
      </c>
      <c r="B206" s="143" t="s">
        <v>302</v>
      </c>
      <c r="C206" s="143" t="s">
        <v>303</v>
      </c>
      <c r="D206" s="143" t="s">
        <v>69</v>
      </c>
      <c r="E206" s="257">
        <v>3933000</v>
      </c>
      <c r="F206" s="257">
        <v>3933000</v>
      </c>
      <c r="G206" s="257">
        <v>1566500</v>
      </c>
      <c r="H206" s="257">
        <v>0</v>
      </c>
      <c r="I206" s="257">
        <v>832209.34</v>
      </c>
      <c r="J206" s="257">
        <v>0</v>
      </c>
      <c r="K206" s="257">
        <v>722933.17</v>
      </c>
      <c r="L206" s="257">
        <v>493597.38</v>
      </c>
      <c r="M206" s="257">
        <v>2377857.4900000002</v>
      </c>
      <c r="N206" s="257">
        <v>11357.49</v>
      </c>
    </row>
    <row r="207" spans="1:14" s="143" customFormat="1" x14ac:dyDescent="0.25">
      <c r="A207" s="143" t="s">
        <v>290</v>
      </c>
      <c r="B207" s="143" t="s">
        <v>108</v>
      </c>
      <c r="C207" s="143" t="s">
        <v>109</v>
      </c>
      <c r="D207" s="143" t="s">
        <v>69</v>
      </c>
      <c r="E207" s="257">
        <v>98126131</v>
      </c>
      <c r="F207" s="257">
        <v>98126131</v>
      </c>
      <c r="G207" s="257">
        <v>53063066</v>
      </c>
      <c r="H207" s="257">
        <v>0</v>
      </c>
      <c r="I207" s="257">
        <v>15208283.98</v>
      </c>
      <c r="J207" s="257">
        <v>5202912</v>
      </c>
      <c r="K207" s="257">
        <v>26321724.079999998</v>
      </c>
      <c r="L207" s="257">
        <v>26321724.079999998</v>
      </c>
      <c r="M207" s="257">
        <v>51393210.939999998</v>
      </c>
      <c r="N207" s="257">
        <v>6330145.9400000004</v>
      </c>
    </row>
    <row r="208" spans="1:14" s="143" customFormat="1" x14ac:dyDescent="0.25">
      <c r="A208" s="143" t="s">
        <v>290</v>
      </c>
      <c r="B208" s="143" t="s">
        <v>304</v>
      </c>
      <c r="C208" s="143" t="s">
        <v>305</v>
      </c>
      <c r="D208" s="143" t="s">
        <v>69</v>
      </c>
      <c r="E208" s="257">
        <v>1774000</v>
      </c>
      <c r="F208" s="257">
        <v>1774000</v>
      </c>
      <c r="G208" s="257">
        <v>1087000</v>
      </c>
      <c r="H208" s="257">
        <v>0</v>
      </c>
      <c r="I208" s="257">
        <v>329637.62</v>
      </c>
      <c r="J208" s="257">
        <v>0</v>
      </c>
      <c r="K208" s="257">
        <v>677479.5</v>
      </c>
      <c r="L208" s="257">
        <v>544484.25</v>
      </c>
      <c r="M208" s="257">
        <v>766882.88</v>
      </c>
      <c r="N208" s="257">
        <v>79882.880000000005</v>
      </c>
    </row>
    <row r="209" spans="1:14" s="143" customFormat="1" x14ac:dyDescent="0.25">
      <c r="A209" s="143" t="s">
        <v>290</v>
      </c>
      <c r="B209" s="143" t="s">
        <v>110</v>
      </c>
      <c r="C209" s="143" t="s">
        <v>111</v>
      </c>
      <c r="D209" s="143" t="s">
        <v>69</v>
      </c>
      <c r="E209" s="257">
        <v>27358236</v>
      </c>
      <c r="F209" s="257">
        <v>27358236</v>
      </c>
      <c r="G209" s="257">
        <v>16379118</v>
      </c>
      <c r="H209" s="257">
        <v>0</v>
      </c>
      <c r="I209" s="257">
        <v>627081.62</v>
      </c>
      <c r="J209" s="257">
        <v>2835587.04</v>
      </c>
      <c r="K209" s="257">
        <v>6890572.7000000002</v>
      </c>
      <c r="L209" s="257">
        <v>6890572.7000000002</v>
      </c>
      <c r="M209" s="257">
        <v>17004994.640000001</v>
      </c>
      <c r="N209" s="257">
        <v>6025876.6399999997</v>
      </c>
    </row>
    <row r="210" spans="1:14" s="143" customFormat="1" x14ac:dyDescent="0.25">
      <c r="A210" s="143" t="s">
        <v>290</v>
      </c>
      <c r="B210" s="143" t="s">
        <v>112</v>
      </c>
      <c r="C210" s="143" t="s">
        <v>113</v>
      </c>
      <c r="D210" s="143" t="s">
        <v>69</v>
      </c>
      <c r="E210" s="257">
        <v>126929000</v>
      </c>
      <c r="F210" s="257">
        <v>126929000</v>
      </c>
      <c r="G210" s="257">
        <v>62914500</v>
      </c>
      <c r="H210" s="257">
        <v>0</v>
      </c>
      <c r="I210" s="257">
        <v>11349810.51</v>
      </c>
      <c r="J210" s="257">
        <v>0</v>
      </c>
      <c r="K210" s="257">
        <v>34835184.729999997</v>
      </c>
      <c r="L210" s="257">
        <v>33107401.359999999</v>
      </c>
      <c r="M210" s="257">
        <v>80744004.760000005</v>
      </c>
      <c r="N210" s="257">
        <v>16729504.76</v>
      </c>
    </row>
    <row r="211" spans="1:14" s="143" customFormat="1" x14ac:dyDescent="0.25">
      <c r="A211" s="143" t="s">
        <v>290</v>
      </c>
      <c r="B211" s="143" t="s">
        <v>114</v>
      </c>
      <c r="C211" s="143" t="s">
        <v>115</v>
      </c>
      <c r="D211" s="143" t="s">
        <v>69</v>
      </c>
      <c r="E211" s="257">
        <v>13400000</v>
      </c>
      <c r="F211" s="257">
        <v>13400000</v>
      </c>
      <c r="G211" s="257">
        <v>9700000</v>
      </c>
      <c r="H211" s="257">
        <v>0</v>
      </c>
      <c r="I211" s="257">
        <v>429881</v>
      </c>
      <c r="J211" s="257">
        <v>0</v>
      </c>
      <c r="K211" s="257">
        <v>5692714</v>
      </c>
      <c r="L211" s="257">
        <v>5692714</v>
      </c>
      <c r="M211" s="257">
        <v>7277405</v>
      </c>
      <c r="N211" s="257">
        <v>3577405</v>
      </c>
    </row>
    <row r="212" spans="1:14" s="143" customFormat="1" x14ac:dyDescent="0.25">
      <c r="A212" s="143" t="s">
        <v>290</v>
      </c>
      <c r="B212" s="143" t="s">
        <v>116</v>
      </c>
      <c r="C212" s="143" t="s">
        <v>117</v>
      </c>
      <c r="D212" s="143" t="s">
        <v>69</v>
      </c>
      <c r="E212" s="257">
        <v>49200000</v>
      </c>
      <c r="F212" s="257">
        <v>49200000</v>
      </c>
      <c r="G212" s="257">
        <v>21300000</v>
      </c>
      <c r="H212" s="257">
        <v>0</v>
      </c>
      <c r="I212" s="257">
        <v>5502430</v>
      </c>
      <c r="J212" s="257">
        <v>0</v>
      </c>
      <c r="K212" s="257">
        <v>15395325</v>
      </c>
      <c r="L212" s="257">
        <v>15395325</v>
      </c>
      <c r="M212" s="257">
        <v>28302245</v>
      </c>
      <c r="N212" s="257">
        <v>402245</v>
      </c>
    </row>
    <row r="213" spans="1:14" s="143" customFormat="1" x14ac:dyDescent="0.25">
      <c r="A213" s="143" t="s">
        <v>290</v>
      </c>
      <c r="B213" s="143" t="s">
        <v>118</v>
      </c>
      <c r="C213" s="143" t="s">
        <v>119</v>
      </c>
      <c r="D213" s="143" t="s">
        <v>69</v>
      </c>
      <c r="E213" s="257">
        <v>12000000</v>
      </c>
      <c r="F213" s="257">
        <v>12000000</v>
      </c>
      <c r="G213" s="257">
        <v>3550000</v>
      </c>
      <c r="H213" s="257">
        <v>0</v>
      </c>
      <c r="I213" s="257">
        <v>477180</v>
      </c>
      <c r="J213" s="257">
        <v>0</v>
      </c>
      <c r="K213" s="257">
        <v>731520</v>
      </c>
      <c r="L213" s="257">
        <v>731520</v>
      </c>
      <c r="M213" s="257">
        <v>10791300</v>
      </c>
      <c r="N213" s="257">
        <v>2341300</v>
      </c>
    </row>
    <row r="214" spans="1:14" s="143" customFormat="1" x14ac:dyDescent="0.25">
      <c r="A214" s="143" t="s">
        <v>290</v>
      </c>
      <c r="B214" s="143" t="s">
        <v>120</v>
      </c>
      <c r="C214" s="143" t="s">
        <v>121</v>
      </c>
      <c r="D214" s="143" t="s">
        <v>69</v>
      </c>
      <c r="E214" s="257">
        <v>47604000</v>
      </c>
      <c r="F214" s="257">
        <v>47604000</v>
      </c>
      <c r="G214" s="257">
        <v>25802000</v>
      </c>
      <c r="H214" s="257">
        <v>0</v>
      </c>
      <c r="I214" s="257">
        <v>4698926.96</v>
      </c>
      <c r="J214" s="257">
        <v>0</v>
      </c>
      <c r="K214" s="257">
        <v>11876018.279999999</v>
      </c>
      <c r="L214" s="257">
        <v>10148234.91</v>
      </c>
      <c r="M214" s="257">
        <v>31029054.760000002</v>
      </c>
      <c r="N214" s="257">
        <v>9227054.7599999998</v>
      </c>
    </row>
    <row r="215" spans="1:14" s="143" customFormat="1" x14ac:dyDescent="0.25">
      <c r="A215" s="143" t="s">
        <v>290</v>
      </c>
      <c r="B215" s="143" t="s">
        <v>122</v>
      </c>
      <c r="C215" s="143" t="s">
        <v>123</v>
      </c>
      <c r="D215" s="143" t="s">
        <v>69</v>
      </c>
      <c r="E215" s="257">
        <v>4725000</v>
      </c>
      <c r="F215" s="257">
        <v>4725000</v>
      </c>
      <c r="G215" s="257">
        <v>2562500</v>
      </c>
      <c r="H215" s="257">
        <v>0</v>
      </c>
      <c r="I215" s="257">
        <v>241392.55</v>
      </c>
      <c r="J215" s="257">
        <v>0</v>
      </c>
      <c r="K215" s="257">
        <v>1139607.45</v>
      </c>
      <c r="L215" s="257">
        <v>1139607.45</v>
      </c>
      <c r="M215" s="257">
        <v>3344000</v>
      </c>
      <c r="N215" s="257">
        <v>1181500</v>
      </c>
    </row>
    <row r="216" spans="1:14" s="143" customFormat="1" x14ac:dyDescent="0.25">
      <c r="A216" s="143" t="s">
        <v>290</v>
      </c>
      <c r="B216" s="143" t="s">
        <v>124</v>
      </c>
      <c r="C216" s="143" t="s">
        <v>125</v>
      </c>
      <c r="D216" s="143" t="s">
        <v>69</v>
      </c>
      <c r="E216" s="257">
        <v>3746000</v>
      </c>
      <c r="F216" s="257">
        <v>3746000</v>
      </c>
      <c r="G216" s="257">
        <v>2153700</v>
      </c>
      <c r="H216" s="257">
        <v>0</v>
      </c>
      <c r="I216" s="257">
        <v>630652.56999999995</v>
      </c>
      <c r="J216" s="257">
        <v>0</v>
      </c>
      <c r="K216" s="257">
        <v>269430.65000000002</v>
      </c>
      <c r="L216" s="257">
        <v>269430.65000000002</v>
      </c>
      <c r="M216" s="257">
        <v>2845916.78</v>
      </c>
      <c r="N216" s="257">
        <v>1253616.78</v>
      </c>
    </row>
    <row r="217" spans="1:14" s="143" customFormat="1" x14ac:dyDescent="0.25">
      <c r="A217" s="143" t="s">
        <v>290</v>
      </c>
      <c r="B217" s="143" t="s">
        <v>126</v>
      </c>
      <c r="C217" s="143" t="s">
        <v>127</v>
      </c>
      <c r="D217" s="143" t="s">
        <v>69</v>
      </c>
      <c r="E217" s="257">
        <v>500000</v>
      </c>
      <c r="F217" s="257">
        <v>500000</v>
      </c>
      <c r="G217" s="257">
        <v>430700</v>
      </c>
      <c r="H217" s="257">
        <v>0</v>
      </c>
      <c r="I217" s="257">
        <v>100000</v>
      </c>
      <c r="J217" s="257">
        <v>0</v>
      </c>
      <c r="K217" s="257">
        <v>71970</v>
      </c>
      <c r="L217" s="257">
        <v>71970</v>
      </c>
      <c r="M217" s="257">
        <v>328030</v>
      </c>
      <c r="N217" s="257">
        <v>258730</v>
      </c>
    </row>
    <row r="218" spans="1:14" s="143" customFormat="1" x14ac:dyDescent="0.25">
      <c r="A218" s="143" t="s">
        <v>290</v>
      </c>
      <c r="B218" s="143" t="s">
        <v>128</v>
      </c>
      <c r="C218" s="143" t="s">
        <v>129</v>
      </c>
      <c r="D218" s="143" t="s">
        <v>69</v>
      </c>
      <c r="E218" s="257">
        <v>1000000</v>
      </c>
      <c r="F218" s="257">
        <v>1000000</v>
      </c>
      <c r="G218" s="257">
        <v>500000</v>
      </c>
      <c r="H218" s="257">
        <v>0</v>
      </c>
      <c r="I218" s="257">
        <v>95845</v>
      </c>
      <c r="J218" s="257">
        <v>0</v>
      </c>
      <c r="K218" s="257">
        <v>73105</v>
      </c>
      <c r="L218" s="257">
        <v>73105</v>
      </c>
      <c r="M218" s="257">
        <v>831050</v>
      </c>
      <c r="N218" s="257">
        <v>331050</v>
      </c>
    </row>
    <row r="219" spans="1:14" s="143" customFormat="1" x14ac:dyDescent="0.25">
      <c r="A219" s="143" t="s">
        <v>290</v>
      </c>
      <c r="B219" s="143" t="s">
        <v>130</v>
      </c>
      <c r="C219" s="143" t="s">
        <v>131</v>
      </c>
      <c r="D219" s="143" t="s">
        <v>69</v>
      </c>
      <c r="E219" s="257">
        <v>200000</v>
      </c>
      <c r="F219" s="257">
        <v>200000</v>
      </c>
      <c r="G219" s="257">
        <v>200000</v>
      </c>
      <c r="H219" s="257">
        <v>0</v>
      </c>
      <c r="I219" s="257">
        <v>60841.5</v>
      </c>
      <c r="J219" s="257">
        <v>0</v>
      </c>
      <c r="K219" s="257">
        <v>36390</v>
      </c>
      <c r="L219" s="257">
        <v>36390</v>
      </c>
      <c r="M219" s="257">
        <v>102768.5</v>
      </c>
      <c r="N219" s="257">
        <v>102768.5</v>
      </c>
    </row>
    <row r="220" spans="1:14" s="143" customFormat="1" x14ac:dyDescent="0.25">
      <c r="A220" s="143" t="s">
        <v>290</v>
      </c>
      <c r="B220" s="143" t="s">
        <v>132</v>
      </c>
      <c r="C220" s="143" t="s">
        <v>133</v>
      </c>
      <c r="D220" s="143" t="s">
        <v>69</v>
      </c>
      <c r="E220" s="257">
        <v>2046000</v>
      </c>
      <c r="F220" s="257">
        <v>2046000</v>
      </c>
      <c r="G220" s="257">
        <v>1023000</v>
      </c>
      <c r="H220" s="257">
        <v>0</v>
      </c>
      <c r="I220" s="257">
        <v>373966.07</v>
      </c>
      <c r="J220" s="257">
        <v>0</v>
      </c>
      <c r="K220" s="257">
        <v>87965.65</v>
      </c>
      <c r="L220" s="257">
        <v>87965.65</v>
      </c>
      <c r="M220" s="257">
        <v>1584068.28</v>
      </c>
      <c r="N220" s="257">
        <v>561068.28</v>
      </c>
    </row>
    <row r="221" spans="1:14" s="143" customFormat="1" x14ac:dyDescent="0.25">
      <c r="A221" s="143" t="s">
        <v>290</v>
      </c>
      <c r="B221" s="143" t="s">
        <v>134</v>
      </c>
      <c r="C221" s="143" t="s">
        <v>135</v>
      </c>
      <c r="D221" s="143" t="s">
        <v>69</v>
      </c>
      <c r="E221" s="257">
        <v>334518795</v>
      </c>
      <c r="F221" s="257">
        <v>334518795</v>
      </c>
      <c r="G221" s="257">
        <v>177559398</v>
      </c>
      <c r="H221" s="257">
        <v>0</v>
      </c>
      <c r="I221" s="257">
        <v>49562451.060000002</v>
      </c>
      <c r="J221" s="257">
        <v>0</v>
      </c>
      <c r="K221" s="257">
        <v>103122280.08</v>
      </c>
      <c r="L221" s="257">
        <v>77707596.560000002</v>
      </c>
      <c r="M221" s="257">
        <v>181834063.86000001</v>
      </c>
      <c r="N221" s="257">
        <v>24874666.859999999</v>
      </c>
    </row>
    <row r="222" spans="1:14" s="143" customFormat="1" x14ac:dyDescent="0.25">
      <c r="A222" s="143" t="s">
        <v>290</v>
      </c>
      <c r="B222" s="143" t="s">
        <v>306</v>
      </c>
      <c r="C222" s="143" t="s">
        <v>307</v>
      </c>
      <c r="D222" s="143" t="s">
        <v>69</v>
      </c>
      <c r="E222" s="257">
        <v>2000000</v>
      </c>
      <c r="F222" s="257">
        <v>2000000</v>
      </c>
      <c r="G222" s="257">
        <v>0</v>
      </c>
      <c r="H222" s="257">
        <v>0</v>
      </c>
      <c r="I222" s="257">
        <v>0</v>
      </c>
      <c r="J222" s="257">
        <v>0</v>
      </c>
      <c r="K222" s="257">
        <v>0</v>
      </c>
      <c r="L222" s="257">
        <v>0</v>
      </c>
      <c r="M222" s="257">
        <v>2000000</v>
      </c>
      <c r="N222" s="257">
        <v>0</v>
      </c>
    </row>
    <row r="223" spans="1:14" s="143" customFormat="1" x14ac:dyDescent="0.25">
      <c r="A223" s="143" t="s">
        <v>290</v>
      </c>
      <c r="B223" s="143" t="s">
        <v>308</v>
      </c>
      <c r="C223" s="143" t="s">
        <v>309</v>
      </c>
      <c r="D223" s="143" t="s">
        <v>69</v>
      </c>
      <c r="E223" s="257">
        <v>5000000</v>
      </c>
      <c r="F223" s="257">
        <v>5000000</v>
      </c>
      <c r="G223" s="257">
        <v>5000000</v>
      </c>
      <c r="H223" s="257">
        <v>0</v>
      </c>
      <c r="I223" s="257">
        <v>4556956</v>
      </c>
      <c r="J223" s="257">
        <v>0</v>
      </c>
      <c r="K223" s="257">
        <v>0</v>
      </c>
      <c r="L223" s="257">
        <v>0</v>
      </c>
      <c r="M223" s="257">
        <v>443044</v>
      </c>
      <c r="N223" s="257">
        <v>443044</v>
      </c>
    </row>
    <row r="224" spans="1:14" s="143" customFormat="1" x14ac:dyDescent="0.25">
      <c r="A224" s="143" t="s">
        <v>290</v>
      </c>
      <c r="B224" s="143" t="s">
        <v>136</v>
      </c>
      <c r="C224" s="143" t="s">
        <v>137</v>
      </c>
      <c r="D224" s="143" t="s">
        <v>69</v>
      </c>
      <c r="E224" s="257">
        <v>319951179</v>
      </c>
      <c r="F224" s="257">
        <v>319951179</v>
      </c>
      <c r="G224" s="257">
        <v>166175590</v>
      </c>
      <c r="H224" s="257">
        <v>0</v>
      </c>
      <c r="I224" s="257">
        <v>43051397.57</v>
      </c>
      <c r="J224" s="257">
        <v>0</v>
      </c>
      <c r="K224" s="257">
        <v>101241778.08</v>
      </c>
      <c r="L224" s="257">
        <v>75872684.560000002</v>
      </c>
      <c r="M224" s="257">
        <v>175658003.34999999</v>
      </c>
      <c r="N224" s="257">
        <v>21882414.350000001</v>
      </c>
    </row>
    <row r="225" spans="1:14" s="143" customFormat="1" x14ac:dyDescent="0.25">
      <c r="A225" s="143" t="s">
        <v>290</v>
      </c>
      <c r="B225" s="143" t="s">
        <v>138</v>
      </c>
      <c r="C225" s="143" t="s">
        <v>139</v>
      </c>
      <c r="D225" s="143" t="s">
        <v>69</v>
      </c>
      <c r="E225" s="257">
        <v>7567616</v>
      </c>
      <c r="F225" s="257">
        <v>7567616</v>
      </c>
      <c r="G225" s="257">
        <v>6383808</v>
      </c>
      <c r="H225" s="257">
        <v>0</v>
      </c>
      <c r="I225" s="257">
        <v>1954097.49</v>
      </c>
      <c r="J225" s="257">
        <v>0</v>
      </c>
      <c r="K225" s="257">
        <v>1880502</v>
      </c>
      <c r="L225" s="257">
        <v>1834912</v>
      </c>
      <c r="M225" s="257">
        <v>3733016.51</v>
      </c>
      <c r="N225" s="257">
        <v>2549208.5099999998</v>
      </c>
    </row>
    <row r="226" spans="1:14" s="143" customFormat="1" x14ac:dyDescent="0.25">
      <c r="A226" s="143" t="s">
        <v>290</v>
      </c>
      <c r="B226" s="143" t="s">
        <v>140</v>
      </c>
      <c r="C226" s="143" t="s">
        <v>141</v>
      </c>
      <c r="D226" s="143" t="s">
        <v>69</v>
      </c>
      <c r="E226" s="257">
        <v>33445676</v>
      </c>
      <c r="F226" s="257">
        <v>33445676</v>
      </c>
      <c r="G226" s="257">
        <v>24617838</v>
      </c>
      <c r="H226" s="257">
        <v>79300</v>
      </c>
      <c r="I226" s="257">
        <v>5354799.8</v>
      </c>
      <c r="J226" s="257">
        <v>0</v>
      </c>
      <c r="K226" s="257">
        <v>13099631.1</v>
      </c>
      <c r="L226" s="257">
        <v>12985581.1</v>
      </c>
      <c r="M226" s="257">
        <v>14911945.1</v>
      </c>
      <c r="N226" s="257">
        <v>6084107.0999999996</v>
      </c>
    </row>
    <row r="227" spans="1:14" s="143" customFormat="1" x14ac:dyDescent="0.25">
      <c r="A227" s="143" t="s">
        <v>290</v>
      </c>
      <c r="B227" s="143" t="s">
        <v>142</v>
      </c>
      <c r="C227" s="143" t="s">
        <v>143</v>
      </c>
      <c r="D227" s="143" t="s">
        <v>69</v>
      </c>
      <c r="E227" s="257">
        <v>1700000</v>
      </c>
      <c r="F227" s="257">
        <v>1700000</v>
      </c>
      <c r="G227" s="257">
        <v>850000</v>
      </c>
      <c r="H227" s="257">
        <v>0</v>
      </c>
      <c r="I227" s="257">
        <v>127350</v>
      </c>
      <c r="J227" s="257">
        <v>0</v>
      </c>
      <c r="K227" s="257">
        <v>368270</v>
      </c>
      <c r="L227" s="257">
        <v>368270</v>
      </c>
      <c r="M227" s="257">
        <v>1204380</v>
      </c>
      <c r="N227" s="257">
        <v>354380</v>
      </c>
    </row>
    <row r="228" spans="1:14" s="143" customFormat="1" x14ac:dyDescent="0.25">
      <c r="A228" s="143" t="s">
        <v>290</v>
      </c>
      <c r="B228" s="143" t="s">
        <v>144</v>
      </c>
      <c r="C228" s="143" t="s">
        <v>145</v>
      </c>
      <c r="D228" s="143" t="s">
        <v>69</v>
      </c>
      <c r="E228" s="257">
        <v>24979191</v>
      </c>
      <c r="F228" s="257">
        <v>24979191</v>
      </c>
      <c r="G228" s="257">
        <v>18489596</v>
      </c>
      <c r="H228" s="257">
        <v>79300</v>
      </c>
      <c r="I228" s="257">
        <v>4503896</v>
      </c>
      <c r="J228" s="257">
        <v>0</v>
      </c>
      <c r="K228" s="257">
        <v>10876400</v>
      </c>
      <c r="L228" s="257">
        <v>10762350</v>
      </c>
      <c r="M228" s="257">
        <v>9519595</v>
      </c>
      <c r="N228" s="257">
        <v>3030000</v>
      </c>
    </row>
    <row r="229" spans="1:14" s="143" customFormat="1" x14ac:dyDescent="0.25">
      <c r="A229" s="143" t="s">
        <v>290</v>
      </c>
      <c r="B229" s="143" t="s">
        <v>146</v>
      </c>
      <c r="C229" s="143" t="s">
        <v>147</v>
      </c>
      <c r="D229" s="143" t="s">
        <v>69</v>
      </c>
      <c r="E229" s="257">
        <v>2035715</v>
      </c>
      <c r="F229" s="257">
        <v>2035715</v>
      </c>
      <c r="G229" s="257">
        <v>1092858</v>
      </c>
      <c r="H229" s="257">
        <v>0</v>
      </c>
      <c r="I229" s="257">
        <v>0</v>
      </c>
      <c r="J229" s="257">
        <v>0</v>
      </c>
      <c r="K229" s="257">
        <v>366738</v>
      </c>
      <c r="L229" s="257">
        <v>366738</v>
      </c>
      <c r="M229" s="257">
        <v>1668977</v>
      </c>
      <c r="N229" s="257">
        <v>726120</v>
      </c>
    </row>
    <row r="230" spans="1:14" s="143" customFormat="1" x14ac:dyDescent="0.25">
      <c r="A230" s="143" t="s">
        <v>290</v>
      </c>
      <c r="B230" s="143" t="s">
        <v>148</v>
      </c>
      <c r="C230" s="143" t="s">
        <v>149</v>
      </c>
      <c r="D230" s="143" t="s">
        <v>69</v>
      </c>
      <c r="E230" s="257">
        <v>4730770</v>
      </c>
      <c r="F230" s="257">
        <v>4730770</v>
      </c>
      <c r="G230" s="257">
        <v>4185384</v>
      </c>
      <c r="H230" s="257">
        <v>0</v>
      </c>
      <c r="I230" s="257">
        <v>723553.8</v>
      </c>
      <c r="J230" s="257">
        <v>0</v>
      </c>
      <c r="K230" s="257">
        <v>1488223.1</v>
      </c>
      <c r="L230" s="257">
        <v>1488223.1</v>
      </c>
      <c r="M230" s="257">
        <v>2518993.1</v>
      </c>
      <c r="N230" s="257">
        <v>1973607.1</v>
      </c>
    </row>
    <row r="231" spans="1:14" s="143" customFormat="1" x14ac:dyDescent="0.25">
      <c r="A231" s="143" t="s">
        <v>290</v>
      </c>
      <c r="B231" s="143" t="s">
        <v>150</v>
      </c>
      <c r="C231" s="143" t="s">
        <v>151</v>
      </c>
      <c r="D231" s="143" t="s">
        <v>69</v>
      </c>
      <c r="E231" s="257">
        <v>83546141</v>
      </c>
      <c r="F231" s="257">
        <v>83546141</v>
      </c>
      <c r="G231" s="257">
        <v>44073070</v>
      </c>
      <c r="H231" s="257">
        <v>0</v>
      </c>
      <c r="I231" s="257">
        <v>5426581</v>
      </c>
      <c r="J231" s="257">
        <v>0</v>
      </c>
      <c r="K231" s="257">
        <v>25358126</v>
      </c>
      <c r="L231" s="257">
        <v>25358126</v>
      </c>
      <c r="M231" s="257">
        <v>52761434</v>
      </c>
      <c r="N231" s="257">
        <v>13288363</v>
      </c>
    </row>
    <row r="232" spans="1:14" s="143" customFormat="1" x14ac:dyDescent="0.25">
      <c r="A232" s="143" t="s">
        <v>290</v>
      </c>
      <c r="B232" s="143" t="s">
        <v>152</v>
      </c>
      <c r="C232" s="143" t="s">
        <v>153</v>
      </c>
      <c r="D232" s="143" t="s">
        <v>69</v>
      </c>
      <c r="E232" s="257">
        <v>83546141</v>
      </c>
      <c r="F232" s="257">
        <v>83546141</v>
      </c>
      <c r="G232" s="257">
        <v>44073070</v>
      </c>
      <c r="H232" s="257">
        <v>0</v>
      </c>
      <c r="I232" s="257">
        <v>5426581</v>
      </c>
      <c r="J232" s="257">
        <v>0</v>
      </c>
      <c r="K232" s="257">
        <v>25358126</v>
      </c>
      <c r="L232" s="257">
        <v>25358126</v>
      </c>
      <c r="M232" s="257">
        <v>52761434</v>
      </c>
      <c r="N232" s="257">
        <v>13288363</v>
      </c>
    </row>
    <row r="233" spans="1:14" s="143" customFormat="1" x14ac:dyDescent="0.25">
      <c r="A233" s="143" t="s">
        <v>290</v>
      </c>
      <c r="B233" s="143" t="s">
        <v>154</v>
      </c>
      <c r="C233" s="143" t="s">
        <v>155</v>
      </c>
      <c r="D233" s="143" t="s">
        <v>69</v>
      </c>
      <c r="E233" s="257">
        <v>0</v>
      </c>
      <c r="F233" s="257">
        <v>0</v>
      </c>
      <c r="G233" s="257">
        <v>0</v>
      </c>
      <c r="H233" s="257">
        <v>0</v>
      </c>
      <c r="I233" s="257">
        <v>0</v>
      </c>
      <c r="J233" s="257">
        <v>0</v>
      </c>
      <c r="K233" s="257">
        <v>0</v>
      </c>
      <c r="L233" s="257">
        <v>0</v>
      </c>
      <c r="M233" s="257">
        <v>0</v>
      </c>
      <c r="N233" s="257">
        <v>0</v>
      </c>
    </row>
    <row r="234" spans="1:14" s="143" customFormat="1" x14ac:dyDescent="0.25">
      <c r="A234" s="143" t="s">
        <v>290</v>
      </c>
      <c r="B234" s="143" t="s">
        <v>156</v>
      </c>
      <c r="C234" s="143" t="s">
        <v>157</v>
      </c>
      <c r="D234" s="143" t="s">
        <v>69</v>
      </c>
      <c r="E234" s="257">
        <v>0</v>
      </c>
      <c r="F234" s="257">
        <v>0</v>
      </c>
      <c r="G234" s="257">
        <v>0</v>
      </c>
      <c r="H234" s="257">
        <v>0</v>
      </c>
      <c r="I234" s="257">
        <v>0</v>
      </c>
      <c r="J234" s="257">
        <v>0</v>
      </c>
      <c r="K234" s="257">
        <v>0</v>
      </c>
      <c r="L234" s="257">
        <v>0</v>
      </c>
      <c r="M234" s="257">
        <v>0</v>
      </c>
      <c r="N234" s="257">
        <v>0</v>
      </c>
    </row>
    <row r="235" spans="1:14" s="143" customFormat="1" x14ac:dyDescent="0.25">
      <c r="A235" s="143" t="s">
        <v>290</v>
      </c>
      <c r="B235" s="143" t="s">
        <v>162</v>
      </c>
      <c r="C235" s="143" t="s">
        <v>163</v>
      </c>
      <c r="D235" s="143" t="s">
        <v>69</v>
      </c>
      <c r="E235" s="257">
        <v>89480793</v>
      </c>
      <c r="F235" s="257">
        <v>89480793</v>
      </c>
      <c r="G235" s="257">
        <v>42220396</v>
      </c>
      <c r="H235" s="257">
        <v>0</v>
      </c>
      <c r="I235" s="257">
        <v>21137938.190000001</v>
      </c>
      <c r="J235" s="257">
        <v>1058618.99</v>
      </c>
      <c r="K235" s="257">
        <v>14105896.550000001</v>
      </c>
      <c r="L235" s="257">
        <v>9836121.25</v>
      </c>
      <c r="M235" s="257">
        <v>53178339.270000003</v>
      </c>
      <c r="N235" s="257">
        <v>5917942.2699999996</v>
      </c>
    </row>
    <row r="236" spans="1:14" s="143" customFormat="1" x14ac:dyDescent="0.25">
      <c r="A236" s="143" t="s">
        <v>290</v>
      </c>
      <c r="B236" s="143" t="s">
        <v>310</v>
      </c>
      <c r="C236" s="143" t="s">
        <v>311</v>
      </c>
      <c r="D236" s="143" t="s">
        <v>69</v>
      </c>
      <c r="E236" s="257">
        <v>13000000</v>
      </c>
      <c r="F236" s="257">
        <v>13000000</v>
      </c>
      <c r="G236" s="257">
        <v>8000000</v>
      </c>
      <c r="H236" s="257">
        <v>0</v>
      </c>
      <c r="I236" s="257">
        <v>2278063.0499999998</v>
      </c>
      <c r="J236" s="257">
        <v>0</v>
      </c>
      <c r="K236" s="257">
        <v>3515094.62</v>
      </c>
      <c r="L236" s="257">
        <v>2070272.92</v>
      </c>
      <c r="M236" s="257">
        <v>7206842.3300000001</v>
      </c>
      <c r="N236" s="257">
        <v>2206842.33</v>
      </c>
    </row>
    <row r="237" spans="1:14" s="143" customFormat="1" x14ac:dyDescent="0.25">
      <c r="A237" s="143" t="s">
        <v>290</v>
      </c>
      <c r="B237" s="143" t="s">
        <v>164</v>
      </c>
      <c r="C237" s="143" t="s">
        <v>165</v>
      </c>
      <c r="D237" s="143" t="s">
        <v>69</v>
      </c>
      <c r="E237" s="257">
        <v>1918000</v>
      </c>
      <c r="F237" s="257">
        <v>1918000</v>
      </c>
      <c r="G237" s="257">
        <v>1359000</v>
      </c>
      <c r="H237" s="257">
        <v>0</v>
      </c>
      <c r="I237" s="257">
        <v>443517.88</v>
      </c>
      <c r="J237" s="257">
        <v>0</v>
      </c>
      <c r="K237" s="257">
        <v>756606.25</v>
      </c>
      <c r="L237" s="257">
        <v>756606.25</v>
      </c>
      <c r="M237" s="257">
        <v>717875.87</v>
      </c>
      <c r="N237" s="257">
        <v>158875.87</v>
      </c>
    </row>
    <row r="238" spans="1:14" s="143" customFormat="1" x14ac:dyDescent="0.25">
      <c r="A238" s="143" t="s">
        <v>290</v>
      </c>
      <c r="B238" s="143" t="s">
        <v>166</v>
      </c>
      <c r="C238" s="143" t="s">
        <v>167</v>
      </c>
      <c r="D238" s="143" t="s">
        <v>69</v>
      </c>
      <c r="E238" s="257">
        <v>25420000</v>
      </c>
      <c r="F238" s="257">
        <v>25420000</v>
      </c>
      <c r="G238" s="257">
        <v>12660000</v>
      </c>
      <c r="H238" s="257">
        <v>0</v>
      </c>
      <c r="I238" s="257">
        <v>10792989</v>
      </c>
      <c r="J238" s="257">
        <v>0</v>
      </c>
      <c r="K238" s="257">
        <v>1133135</v>
      </c>
      <c r="L238" s="257">
        <v>486256</v>
      </c>
      <c r="M238" s="257">
        <v>13493876</v>
      </c>
      <c r="N238" s="257">
        <v>733876</v>
      </c>
    </row>
    <row r="239" spans="1:14" s="143" customFormat="1" x14ac:dyDescent="0.25">
      <c r="A239" s="143" t="s">
        <v>290</v>
      </c>
      <c r="B239" s="143" t="s">
        <v>312</v>
      </c>
      <c r="C239" s="143" t="s">
        <v>313</v>
      </c>
      <c r="D239" s="143" t="s">
        <v>69</v>
      </c>
      <c r="E239" s="257">
        <v>7181770</v>
      </c>
      <c r="F239" s="257">
        <v>7181770</v>
      </c>
      <c r="G239" s="257">
        <v>3590884</v>
      </c>
      <c r="H239" s="257">
        <v>0</v>
      </c>
      <c r="I239" s="257">
        <v>2061583.2</v>
      </c>
      <c r="J239" s="257">
        <v>0</v>
      </c>
      <c r="K239" s="257">
        <v>800000</v>
      </c>
      <c r="L239" s="257">
        <v>800000</v>
      </c>
      <c r="M239" s="257">
        <v>4320186.8</v>
      </c>
      <c r="N239" s="257">
        <v>729300.8</v>
      </c>
    </row>
    <row r="240" spans="1:14" s="143" customFormat="1" x14ac:dyDescent="0.25">
      <c r="A240" s="143" t="s">
        <v>290</v>
      </c>
      <c r="B240" s="143" t="s">
        <v>168</v>
      </c>
      <c r="C240" s="143" t="s">
        <v>169</v>
      </c>
      <c r="D240" s="143" t="s">
        <v>69</v>
      </c>
      <c r="E240" s="257">
        <v>8196286</v>
      </c>
      <c r="F240" s="257">
        <v>8196286</v>
      </c>
      <c r="G240" s="257">
        <v>4098144</v>
      </c>
      <c r="H240" s="257">
        <v>0</v>
      </c>
      <c r="I240" s="257">
        <v>1332293</v>
      </c>
      <c r="J240" s="257">
        <v>138618.99</v>
      </c>
      <c r="K240" s="257">
        <v>2247048.2000000002</v>
      </c>
      <c r="L240" s="257">
        <v>878973.6</v>
      </c>
      <c r="M240" s="257">
        <v>4478325.8099999996</v>
      </c>
      <c r="N240" s="257">
        <v>380183.81</v>
      </c>
    </row>
    <row r="241" spans="1:14" s="143" customFormat="1" x14ac:dyDescent="0.25">
      <c r="A241" s="143" t="s">
        <v>290</v>
      </c>
      <c r="B241" s="143" t="s">
        <v>170</v>
      </c>
      <c r="C241" s="143" t="s">
        <v>171</v>
      </c>
      <c r="D241" s="143" t="s">
        <v>69</v>
      </c>
      <c r="E241" s="257">
        <v>28160737</v>
      </c>
      <c r="F241" s="257">
        <v>28160737</v>
      </c>
      <c r="G241" s="257">
        <v>10410368</v>
      </c>
      <c r="H241" s="257">
        <v>0</v>
      </c>
      <c r="I241" s="257">
        <v>2995000</v>
      </c>
      <c r="J241" s="257">
        <v>920000</v>
      </c>
      <c r="K241" s="257">
        <v>5654012.4800000004</v>
      </c>
      <c r="L241" s="257">
        <v>4844012.4800000004</v>
      </c>
      <c r="M241" s="257">
        <v>18591724.52</v>
      </c>
      <c r="N241" s="257">
        <v>841355.52</v>
      </c>
    </row>
    <row r="242" spans="1:14" s="143" customFormat="1" x14ac:dyDescent="0.25">
      <c r="A242" s="143" t="s">
        <v>290</v>
      </c>
      <c r="B242" s="143" t="s">
        <v>172</v>
      </c>
      <c r="C242" s="143" t="s">
        <v>173</v>
      </c>
      <c r="D242" s="143" t="s">
        <v>69</v>
      </c>
      <c r="E242" s="257">
        <v>5604000</v>
      </c>
      <c r="F242" s="257">
        <v>5604000</v>
      </c>
      <c r="G242" s="257">
        <v>2102000</v>
      </c>
      <c r="H242" s="257">
        <v>0</v>
      </c>
      <c r="I242" s="257">
        <v>1234492.06</v>
      </c>
      <c r="J242" s="257">
        <v>0</v>
      </c>
      <c r="K242" s="257">
        <v>0</v>
      </c>
      <c r="L242" s="257">
        <v>0</v>
      </c>
      <c r="M242" s="257">
        <v>4369507.9400000004</v>
      </c>
      <c r="N242" s="257">
        <v>867507.94</v>
      </c>
    </row>
    <row r="243" spans="1:14" s="143" customFormat="1" x14ac:dyDescent="0.25">
      <c r="A243" s="143" t="s">
        <v>290</v>
      </c>
      <c r="B243" s="143" t="s">
        <v>174</v>
      </c>
      <c r="C243" s="143" t="s">
        <v>175</v>
      </c>
      <c r="D243" s="143" t="s">
        <v>69</v>
      </c>
      <c r="E243" s="257">
        <v>1340000</v>
      </c>
      <c r="F243" s="257">
        <v>1340000</v>
      </c>
      <c r="G243" s="257">
        <v>1270000</v>
      </c>
      <c r="H243" s="257">
        <v>0</v>
      </c>
      <c r="I243" s="257">
        <v>24800</v>
      </c>
      <c r="J243" s="257">
        <v>0</v>
      </c>
      <c r="K243" s="257">
        <v>200</v>
      </c>
      <c r="L243" s="257">
        <v>200</v>
      </c>
      <c r="M243" s="257">
        <v>1315000</v>
      </c>
      <c r="N243" s="257">
        <v>1245000</v>
      </c>
    </row>
    <row r="244" spans="1:14" s="143" customFormat="1" x14ac:dyDescent="0.25">
      <c r="A244" s="143" t="s">
        <v>290</v>
      </c>
      <c r="B244" s="143" t="s">
        <v>176</v>
      </c>
      <c r="C244" s="143" t="s">
        <v>177</v>
      </c>
      <c r="D244" s="143" t="s">
        <v>69</v>
      </c>
      <c r="E244" s="257">
        <v>1340000</v>
      </c>
      <c r="F244" s="257">
        <v>1340000</v>
      </c>
      <c r="G244" s="257">
        <v>1270000</v>
      </c>
      <c r="H244" s="257">
        <v>0</v>
      </c>
      <c r="I244" s="257">
        <v>24800</v>
      </c>
      <c r="J244" s="257">
        <v>0</v>
      </c>
      <c r="K244" s="257">
        <v>200</v>
      </c>
      <c r="L244" s="257">
        <v>200</v>
      </c>
      <c r="M244" s="257">
        <v>1315000</v>
      </c>
      <c r="N244" s="257">
        <v>1245000</v>
      </c>
    </row>
    <row r="245" spans="1:14" s="143" customFormat="1" x14ac:dyDescent="0.25">
      <c r="A245" s="143" t="s">
        <v>290</v>
      </c>
      <c r="B245" s="143" t="s">
        <v>178</v>
      </c>
      <c r="C245" s="143" t="s">
        <v>179</v>
      </c>
      <c r="D245" s="143" t="s">
        <v>69</v>
      </c>
      <c r="E245" s="257">
        <v>2150000</v>
      </c>
      <c r="F245" s="257">
        <v>2150000</v>
      </c>
      <c r="G245" s="257">
        <v>675000</v>
      </c>
      <c r="H245" s="257">
        <v>0</v>
      </c>
      <c r="I245" s="257">
        <v>113207.78</v>
      </c>
      <c r="J245" s="257">
        <v>0</v>
      </c>
      <c r="K245" s="257">
        <v>0</v>
      </c>
      <c r="L245" s="257">
        <v>0</v>
      </c>
      <c r="M245" s="257">
        <v>2036792.22</v>
      </c>
      <c r="N245" s="257">
        <v>561792.22</v>
      </c>
    </row>
    <row r="246" spans="1:14" s="143" customFormat="1" x14ac:dyDescent="0.25">
      <c r="A246" s="143" t="s">
        <v>290</v>
      </c>
      <c r="B246" s="143" t="s">
        <v>180</v>
      </c>
      <c r="C246" s="143" t="s">
        <v>181</v>
      </c>
      <c r="D246" s="143" t="s">
        <v>69</v>
      </c>
      <c r="E246" s="257">
        <v>150000</v>
      </c>
      <c r="F246" s="257">
        <v>150000</v>
      </c>
      <c r="G246" s="257">
        <v>150000</v>
      </c>
      <c r="H246" s="257">
        <v>0</v>
      </c>
      <c r="I246" s="257">
        <v>113207.78</v>
      </c>
      <c r="J246" s="257">
        <v>0</v>
      </c>
      <c r="K246" s="257">
        <v>0</v>
      </c>
      <c r="L246" s="257">
        <v>0</v>
      </c>
      <c r="M246" s="257">
        <v>36792.22</v>
      </c>
      <c r="N246" s="257">
        <v>36792.22</v>
      </c>
    </row>
    <row r="247" spans="1:14" s="143" customFormat="1" x14ac:dyDescent="0.25">
      <c r="A247" s="143" t="s">
        <v>290</v>
      </c>
      <c r="B247" s="143" t="s">
        <v>182</v>
      </c>
      <c r="C247" s="143" t="s">
        <v>183</v>
      </c>
      <c r="D247" s="143" t="s">
        <v>69</v>
      </c>
      <c r="E247" s="257">
        <v>2000000</v>
      </c>
      <c r="F247" s="257">
        <v>2000000</v>
      </c>
      <c r="G247" s="257">
        <v>525000</v>
      </c>
      <c r="H247" s="257">
        <v>0</v>
      </c>
      <c r="I247" s="257">
        <v>0</v>
      </c>
      <c r="J247" s="257">
        <v>0</v>
      </c>
      <c r="K247" s="257">
        <v>0</v>
      </c>
      <c r="L247" s="257">
        <v>0</v>
      </c>
      <c r="M247" s="257">
        <v>2000000</v>
      </c>
      <c r="N247" s="257">
        <v>525000</v>
      </c>
    </row>
    <row r="248" spans="1:14" s="143" customFormat="1" x14ac:dyDescent="0.25">
      <c r="A248" s="143" t="s">
        <v>290</v>
      </c>
      <c r="B248" s="143" t="s">
        <v>184</v>
      </c>
      <c r="C248" s="143" t="s">
        <v>185</v>
      </c>
      <c r="D248" s="143" t="s">
        <v>69</v>
      </c>
      <c r="E248" s="257">
        <v>65233793</v>
      </c>
      <c r="F248" s="257">
        <v>65233793</v>
      </c>
      <c r="G248" s="257">
        <v>21136896</v>
      </c>
      <c r="H248" s="257">
        <v>0</v>
      </c>
      <c r="I248" s="257">
        <v>4190386.21</v>
      </c>
      <c r="J248" s="257">
        <v>0</v>
      </c>
      <c r="K248" s="257">
        <v>6602798.79</v>
      </c>
      <c r="L248" s="257">
        <v>6602798.79</v>
      </c>
      <c r="M248" s="257">
        <v>54440608</v>
      </c>
      <c r="N248" s="257">
        <v>10343711</v>
      </c>
    </row>
    <row r="249" spans="1:14" s="143" customFormat="1" x14ac:dyDescent="0.25">
      <c r="A249" s="143" t="s">
        <v>290</v>
      </c>
      <c r="B249" s="143" t="s">
        <v>186</v>
      </c>
      <c r="C249" s="143" t="s">
        <v>187</v>
      </c>
      <c r="D249" s="143" t="s">
        <v>69</v>
      </c>
      <c r="E249" s="257">
        <v>34706100</v>
      </c>
      <c r="F249" s="257">
        <v>34706100</v>
      </c>
      <c r="G249" s="257">
        <v>15353050</v>
      </c>
      <c r="H249" s="257">
        <v>0</v>
      </c>
      <c r="I249" s="257">
        <v>4013671.21</v>
      </c>
      <c r="J249" s="257">
        <v>0</v>
      </c>
      <c r="K249" s="257">
        <v>5682398.79</v>
      </c>
      <c r="L249" s="257">
        <v>5682398.79</v>
      </c>
      <c r="M249" s="257">
        <v>25010030</v>
      </c>
      <c r="N249" s="257">
        <v>5656980</v>
      </c>
    </row>
    <row r="250" spans="1:14" s="143" customFormat="1" x14ac:dyDescent="0.25">
      <c r="A250" s="143" t="s">
        <v>290</v>
      </c>
      <c r="B250" s="143" t="s">
        <v>188</v>
      </c>
      <c r="C250" s="143" t="s">
        <v>189</v>
      </c>
      <c r="D250" s="143" t="s">
        <v>69</v>
      </c>
      <c r="E250" s="257">
        <v>26298967</v>
      </c>
      <c r="F250" s="257">
        <v>26298967</v>
      </c>
      <c r="G250" s="257">
        <v>13149484</v>
      </c>
      <c r="H250" s="257">
        <v>0</v>
      </c>
      <c r="I250" s="257">
        <v>4013671.21</v>
      </c>
      <c r="J250" s="257">
        <v>0</v>
      </c>
      <c r="K250" s="257">
        <v>5682398.79</v>
      </c>
      <c r="L250" s="257">
        <v>5682398.79</v>
      </c>
      <c r="M250" s="257">
        <v>16602897</v>
      </c>
      <c r="N250" s="257">
        <v>3453414</v>
      </c>
    </row>
    <row r="251" spans="1:14" s="143" customFormat="1" x14ac:dyDescent="0.25">
      <c r="A251" s="143" t="s">
        <v>290</v>
      </c>
      <c r="B251" s="143" t="s">
        <v>192</v>
      </c>
      <c r="C251" s="143" t="s">
        <v>193</v>
      </c>
      <c r="D251" s="143" t="s">
        <v>69</v>
      </c>
      <c r="E251" s="257">
        <v>8102133</v>
      </c>
      <c r="F251" s="257">
        <v>8102133</v>
      </c>
      <c r="G251" s="257">
        <v>2051066</v>
      </c>
      <c r="H251" s="257">
        <v>0</v>
      </c>
      <c r="I251" s="257">
        <v>0</v>
      </c>
      <c r="J251" s="257">
        <v>0</v>
      </c>
      <c r="K251" s="257">
        <v>0</v>
      </c>
      <c r="L251" s="257">
        <v>0</v>
      </c>
      <c r="M251" s="257">
        <v>8102133</v>
      </c>
      <c r="N251" s="257">
        <v>2051066</v>
      </c>
    </row>
    <row r="252" spans="1:14" s="143" customFormat="1" x14ac:dyDescent="0.25">
      <c r="A252" s="143" t="s">
        <v>290</v>
      </c>
      <c r="B252" s="143" t="s">
        <v>194</v>
      </c>
      <c r="C252" s="143" t="s">
        <v>195</v>
      </c>
      <c r="D252" s="143" t="s">
        <v>69</v>
      </c>
      <c r="E252" s="257">
        <v>305000</v>
      </c>
      <c r="F252" s="257">
        <v>305000</v>
      </c>
      <c r="G252" s="257">
        <v>152500</v>
      </c>
      <c r="H252" s="257">
        <v>0</v>
      </c>
      <c r="I252" s="257">
        <v>0</v>
      </c>
      <c r="J252" s="257">
        <v>0</v>
      </c>
      <c r="K252" s="257">
        <v>0</v>
      </c>
      <c r="L252" s="257">
        <v>0</v>
      </c>
      <c r="M252" s="257">
        <v>305000</v>
      </c>
      <c r="N252" s="257">
        <v>152500</v>
      </c>
    </row>
    <row r="253" spans="1:14" s="143" customFormat="1" x14ac:dyDescent="0.25">
      <c r="A253" s="143" t="s">
        <v>290</v>
      </c>
      <c r="B253" s="143" t="s">
        <v>200</v>
      </c>
      <c r="C253" s="143" t="s">
        <v>201</v>
      </c>
      <c r="D253" s="143" t="s">
        <v>69</v>
      </c>
      <c r="E253" s="257">
        <v>2978000</v>
      </c>
      <c r="F253" s="257">
        <v>2978000</v>
      </c>
      <c r="G253" s="257">
        <v>989000</v>
      </c>
      <c r="H253" s="257">
        <v>0</v>
      </c>
      <c r="I253" s="257">
        <v>0</v>
      </c>
      <c r="J253" s="257">
        <v>0</v>
      </c>
      <c r="K253" s="257">
        <v>0</v>
      </c>
      <c r="L253" s="257">
        <v>0</v>
      </c>
      <c r="M253" s="257">
        <v>2978000</v>
      </c>
      <c r="N253" s="257">
        <v>989000</v>
      </c>
    </row>
    <row r="254" spans="1:14" s="143" customFormat="1" x14ac:dyDescent="0.25">
      <c r="A254" s="143" t="s">
        <v>290</v>
      </c>
      <c r="B254" s="143" t="s">
        <v>314</v>
      </c>
      <c r="C254" s="143" t="s">
        <v>315</v>
      </c>
      <c r="D254" s="143" t="s">
        <v>69</v>
      </c>
      <c r="E254" s="257">
        <v>830000</v>
      </c>
      <c r="F254" s="257">
        <v>830000</v>
      </c>
      <c r="G254" s="257">
        <v>215000</v>
      </c>
      <c r="H254" s="257">
        <v>0</v>
      </c>
      <c r="I254" s="257">
        <v>0</v>
      </c>
      <c r="J254" s="257">
        <v>0</v>
      </c>
      <c r="K254" s="257">
        <v>0</v>
      </c>
      <c r="L254" s="257">
        <v>0</v>
      </c>
      <c r="M254" s="257">
        <v>830000</v>
      </c>
      <c r="N254" s="257">
        <v>215000</v>
      </c>
    </row>
    <row r="255" spans="1:14" s="143" customFormat="1" x14ac:dyDescent="0.25">
      <c r="A255" s="143" t="s">
        <v>290</v>
      </c>
      <c r="B255" s="143" t="s">
        <v>316</v>
      </c>
      <c r="C255" s="143" t="s">
        <v>317</v>
      </c>
      <c r="D255" s="143" t="s">
        <v>69</v>
      </c>
      <c r="E255" s="257">
        <v>67000</v>
      </c>
      <c r="F255" s="257">
        <v>67000</v>
      </c>
      <c r="G255" s="257">
        <v>33500</v>
      </c>
      <c r="H255" s="257">
        <v>0</v>
      </c>
      <c r="I255" s="257">
        <v>0</v>
      </c>
      <c r="J255" s="257">
        <v>0</v>
      </c>
      <c r="K255" s="257">
        <v>0</v>
      </c>
      <c r="L255" s="257">
        <v>0</v>
      </c>
      <c r="M255" s="257">
        <v>67000</v>
      </c>
      <c r="N255" s="257">
        <v>33500</v>
      </c>
    </row>
    <row r="256" spans="1:14" s="143" customFormat="1" x14ac:dyDescent="0.25">
      <c r="A256" s="143" t="s">
        <v>290</v>
      </c>
      <c r="B256" s="143" t="s">
        <v>318</v>
      </c>
      <c r="C256" s="143" t="s">
        <v>319</v>
      </c>
      <c r="D256" s="143" t="s">
        <v>69</v>
      </c>
      <c r="E256" s="257">
        <v>99000</v>
      </c>
      <c r="F256" s="257">
        <v>99000</v>
      </c>
      <c r="G256" s="257">
        <v>49500</v>
      </c>
      <c r="H256" s="257">
        <v>0</v>
      </c>
      <c r="I256" s="257">
        <v>0</v>
      </c>
      <c r="J256" s="257">
        <v>0</v>
      </c>
      <c r="K256" s="257">
        <v>0</v>
      </c>
      <c r="L256" s="257">
        <v>0</v>
      </c>
      <c r="M256" s="257">
        <v>99000</v>
      </c>
      <c r="N256" s="257">
        <v>49500</v>
      </c>
    </row>
    <row r="257" spans="1:14" s="143" customFormat="1" x14ac:dyDescent="0.25">
      <c r="A257" s="143" t="s">
        <v>290</v>
      </c>
      <c r="B257" s="143" t="s">
        <v>202</v>
      </c>
      <c r="C257" s="143" t="s">
        <v>203</v>
      </c>
      <c r="D257" s="143" t="s">
        <v>69</v>
      </c>
      <c r="E257" s="257">
        <v>1345000</v>
      </c>
      <c r="F257" s="257">
        <v>1345000</v>
      </c>
      <c r="G257" s="257">
        <v>372500</v>
      </c>
      <c r="H257" s="257">
        <v>0</v>
      </c>
      <c r="I257" s="257">
        <v>0</v>
      </c>
      <c r="J257" s="257">
        <v>0</v>
      </c>
      <c r="K257" s="257">
        <v>0</v>
      </c>
      <c r="L257" s="257">
        <v>0</v>
      </c>
      <c r="M257" s="257">
        <v>1345000</v>
      </c>
      <c r="N257" s="257">
        <v>372500</v>
      </c>
    </row>
    <row r="258" spans="1:14" s="143" customFormat="1" x14ac:dyDescent="0.25">
      <c r="A258" s="143" t="s">
        <v>290</v>
      </c>
      <c r="B258" s="143" t="s">
        <v>320</v>
      </c>
      <c r="C258" s="143" t="s">
        <v>321</v>
      </c>
      <c r="D258" s="143" t="s">
        <v>69</v>
      </c>
      <c r="E258" s="257">
        <v>40000</v>
      </c>
      <c r="F258" s="257">
        <v>40000</v>
      </c>
      <c r="G258" s="257">
        <v>20000</v>
      </c>
      <c r="H258" s="257">
        <v>0</v>
      </c>
      <c r="I258" s="257">
        <v>0</v>
      </c>
      <c r="J258" s="257">
        <v>0</v>
      </c>
      <c r="K258" s="257">
        <v>0</v>
      </c>
      <c r="L258" s="257">
        <v>0</v>
      </c>
      <c r="M258" s="257">
        <v>40000</v>
      </c>
      <c r="N258" s="257">
        <v>20000</v>
      </c>
    </row>
    <row r="259" spans="1:14" s="143" customFormat="1" x14ac:dyDescent="0.25">
      <c r="A259" s="143" t="s">
        <v>290</v>
      </c>
      <c r="B259" s="143" t="s">
        <v>204</v>
      </c>
      <c r="C259" s="143" t="s">
        <v>205</v>
      </c>
      <c r="D259" s="143" t="s">
        <v>69</v>
      </c>
      <c r="E259" s="257">
        <v>198000</v>
      </c>
      <c r="F259" s="257">
        <v>198000</v>
      </c>
      <c r="G259" s="257">
        <v>99000</v>
      </c>
      <c r="H259" s="257">
        <v>0</v>
      </c>
      <c r="I259" s="257">
        <v>0</v>
      </c>
      <c r="J259" s="257">
        <v>0</v>
      </c>
      <c r="K259" s="257">
        <v>0</v>
      </c>
      <c r="L259" s="257">
        <v>0</v>
      </c>
      <c r="M259" s="257">
        <v>198000</v>
      </c>
      <c r="N259" s="257">
        <v>99000</v>
      </c>
    </row>
    <row r="260" spans="1:14" s="143" customFormat="1" x14ac:dyDescent="0.25">
      <c r="A260" s="143" t="s">
        <v>290</v>
      </c>
      <c r="B260" s="143" t="s">
        <v>322</v>
      </c>
      <c r="C260" s="143" t="s">
        <v>323</v>
      </c>
      <c r="D260" s="143" t="s">
        <v>69</v>
      </c>
      <c r="E260" s="257">
        <v>399000</v>
      </c>
      <c r="F260" s="257">
        <v>399000</v>
      </c>
      <c r="G260" s="257">
        <v>199500</v>
      </c>
      <c r="H260" s="257">
        <v>0</v>
      </c>
      <c r="I260" s="257">
        <v>0</v>
      </c>
      <c r="J260" s="257">
        <v>0</v>
      </c>
      <c r="K260" s="257">
        <v>0</v>
      </c>
      <c r="L260" s="257">
        <v>0</v>
      </c>
      <c r="M260" s="257">
        <v>399000</v>
      </c>
      <c r="N260" s="257">
        <v>199500</v>
      </c>
    </row>
    <row r="261" spans="1:14" s="143" customFormat="1" x14ac:dyDescent="0.25">
      <c r="A261" s="143" t="s">
        <v>290</v>
      </c>
      <c r="B261" s="143" t="s">
        <v>206</v>
      </c>
      <c r="C261" s="143" t="s">
        <v>207</v>
      </c>
      <c r="D261" s="143" t="s">
        <v>69</v>
      </c>
      <c r="E261" s="257">
        <v>3047000</v>
      </c>
      <c r="F261" s="257">
        <v>3047000</v>
      </c>
      <c r="G261" s="257">
        <v>873500</v>
      </c>
      <c r="H261" s="257">
        <v>0</v>
      </c>
      <c r="I261" s="257">
        <v>0</v>
      </c>
      <c r="J261" s="257">
        <v>0</v>
      </c>
      <c r="K261" s="257">
        <v>0</v>
      </c>
      <c r="L261" s="257">
        <v>0</v>
      </c>
      <c r="M261" s="257">
        <v>3047000</v>
      </c>
      <c r="N261" s="257">
        <v>873500</v>
      </c>
    </row>
    <row r="262" spans="1:14" s="143" customFormat="1" x14ac:dyDescent="0.25">
      <c r="A262" s="143" t="s">
        <v>290</v>
      </c>
      <c r="B262" s="143" t="s">
        <v>208</v>
      </c>
      <c r="C262" s="143" t="s">
        <v>209</v>
      </c>
      <c r="D262" s="143" t="s">
        <v>69</v>
      </c>
      <c r="E262" s="257">
        <v>251000</v>
      </c>
      <c r="F262" s="257">
        <v>251000</v>
      </c>
      <c r="G262" s="257">
        <v>125500</v>
      </c>
      <c r="H262" s="257">
        <v>0</v>
      </c>
      <c r="I262" s="257">
        <v>0</v>
      </c>
      <c r="J262" s="257">
        <v>0</v>
      </c>
      <c r="K262" s="257">
        <v>0</v>
      </c>
      <c r="L262" s="257">
        <v>0</v>
      </c>
      <c r="M262" s="257">
        <v>251000</v>
      </c>
      <c r="N262" s="257">
        <v>125500</v>
      </c>
    </row>
    <row r="263" spans="1:14" s="143" customFormat="1" x14ac:dyDescent="0.25">
      <c r="A263" s="143" t="s">
        <v>290</v>
      </c>
      <c r="B263" s="143" t="s">
        <v>210</v>
      </c>
      <c r="C263" s="143" t="s">
        <v>211</v>
      </c>
      <c r="D263" s="143" t="s">
        <v>69</v>
      </c>
      <c r="E263" s="257">
        <v>2796000</v>
      </c>
      <c r="F263" s="257">
        <v>2796000</v>
      </c>
      <c r="G263" s="257">
        <v>748000</v>
      </c>
      <c r="H263" s="257">
        <v>0</v>
      </c>
      <c r="I263" s="257">
        <v>0</v>
      </c>
      <c r="J263" s="257">
        <v>0</v>
      </c>
      <c r="K263" s="257">
        <v>0</v>
      </c>
      <c r="L263" s="257">
        <v>0</v>
      </c>
      <c r="M263" s="257">
        <v>2796000</v>
      </c>
      <c r="N263" s="257">
        <v>748000</v>
      </c>
    </row>
    <row r="264" spans="1:14" s="143" customFormat="1" x14ac:dyDescent="0.25">
      <c r="A264" s="143" t="s">
        <v>290</v>
      </c>
      <c r="B264" s="143" t="s">
        <v>212</v>
      </c>
      <c r="C264" s="143" t="s">
        <v>213</v>
      </c>
      <c r="D264" s="143" t="s">
        <v>69</v>
      </c>
      <c r="E264" s="257">
        <v>24502693</v>
      </c>
      <c r="F264" s="257">
        <v>24502693</v>
      </c>
      <c r="G264" s="257">
        <v>3921346</v>
      </c>
      <c r="H264" s="257">
        <v>0</v>
      </c>
      <c r="I264" s="257">
        <v>176715</v>
      </c>
      <c r="J264" s="257">
        <v>0</v>
      </c>
      <c r="K264" s="257">
        <v>920400</v>
      </c>
      <c r="L264" s="257">
        <v>920400</v>
      </c>
      <c r="M264" s="257">
        <v>23405578</v>
      </c>
      <c r="N264" s="257">
        <v>2824231</v>
      </c>
    </row>
    <row r="265" spans="1:14" s="143" customFormat="1" x14ac:dyDescent="0.25">
      <c r="A265" s="143" t="s">
        <v>290</v>
      </c>
      <c r="B265" s="143" t="s">
        <v>214</v>
      </c>
      <c r="C265" s="143" t="s">
        <v>215</v>
      </c>
      <c r="D265" s="143" t="s">
        <v>69</v>
      </c>
      <c r="E265" s="257">
        <v>7116000</v>
      </c>
      <c r="F265" s="257">
        <v>7116000</v>
      </c>
      <c r="G265" s="257">
        <v>1908000</v>
      </c>
      <c r="H265" s="257">
        <v>0</v>
      </c>
      <c r="I265" s="257">
        <v>0</v>
      </c>
      <c r="J265" s="257">
        <v>0</v>
      </c>
      <c r="K265" s="257">
        <v>119000</v>
      </c>
      <c r="L265" s="257">
        <v>119000</v>
      </c>
      <c r="M265" s="257">
        <v>6997000</v>
      </c>
      <c r="N265" s="257">
        <v>1789000</v>
      </c>
    </row>
    <row r="266" spans="1:14" s="143" customFormat="1" x14ac:dyDescent="0.25">
      <c r="A266" s="143" t="s">
        <v>290</v>
      </c>
      <c r="B266" s="143" t="s">
        <v>216</v>
      </c>
      <c r="C266" s="143" t="s">
        <v>217</v>
      </c>
      <c r="D266" s="143" t="s">
        <v>69</v>
      </c>
      <c r="E266" s="257">
        <v>0</v>
      </c>
      <c r="F266" s="257">
        <v>0</v>
      </c>
      <c r="G266" s="257">
        <v>0</v>
      </c>
      <c r="H266" s="257">
        <v>0</v>
      </c>
      <c r="I266" s="257">
        <v>0</v>
      </c>
      <c r="J266" s="257">
        <v>0</v>
      </c>
      <c r="K266" s="257">
        <v>0</v>
      </c>
      <c r="L266" s="257">
        <v>0</v>
      </c>
      <c r="M266" s="257">
        <v>0</v>
      </c>
      <c r="N266" s="257">
        <v>0</v>
      </c>
    </row>
    <row r="267" spans="1:14" s="143" customFormat="1" x14ac:dyDescent="0.25">
      <c r="A267" s="143" t="s">
        <v>290</v>
      </c>
      <c r="B267" s="143" t="s">
        <v>218</v>
      </c>
      <c r="C267" s="143" t="s">
        <v>219</v>
      </c>
      <c r="D267" s="143" t="s">
        <v>69</v>
      </c>
      <c r="E267" s="257">
        <v>15203693</v>
      </c>
      <c r="F267" s="257">
        <v>15203693</v>
      </c>
      <c r="G267" s="257">
        <v>871846</v>
      </c>
      <c r="H267" s="257">
        <v>0</v>
      </c>
      <c r="I267" s="257">
        <v>39375</v>
      </c>
      <c r="J267" s="257">
        <v>0</v>
      </c>
      <c r="K267" s="257">
        <v>410000</v>
      </c>
      <c r="L267" s="257">
        <v>410000</v>
      </c>
      <c r="M267" s="257">
        <v>14754318</v>
      </c>
      <c r="N267" s="257">
        <v>422471</v>
      </c>
    </row>
    <row r="268" spans="1:14" s="143" customFormat="1" x14ac:dyDescent="0.25">
      <c r="A268" s="143" t="s">
        <v>290</v>
      </c>
      <c r="B268" s="143" t="s">
        <v>220</v>
      </c>
      <c r="C268" s="143" t="s">
        <v>221</v>
      </c>
      <c r="D268" s="143" t="s">
        <v>69</v>
      </c>
      <c r="E268" s="257">
        <v>133000</v>
      </c>
      <c r="F268" s="257">
        <v>133000</v>
      </c>
      <c r="G268" s="257">
        <v>66500</v>
      </c>
      <c r="H268" s="257">
        <v>0</v>
      </c>
      <c r="I268" s="257">
        <v>0</v>
      </c>
      <c r="J268" s="257">
        <v>0</v>
      </c>
      <c r="K268" s="257">
        <v>0</v>
      </c>
      <c r="L268" s="257">
        <v>0</v>
      </c>
      <c r="M268" s="257">
        <v>133000</v>
      </c>
      <c r="N268" s="257">
        <v>66500</v>
      </c>
    </row>
    <row r="269" spans="1:14" s="143" customFormat="1" x14ac:dyDescent="0.25">
      <c r="A269" s="143" t="s">
        <v>290</v>
      </c>
      <c r="B269" s="143" t="s">
        <v>222</v>
      </c>
      <c r="C269" s="143" t="s">
        <v>223</v>
      </c>
      <c r="D269" s="143" t="s">
        <v>69</v>
      </c>
      <c r="E269" s="257">
        <v>1356000</v>
      </c>
      <c r="F269" s="257">
        <v>1356000</v>
      </c>
      <c r="G269" s="257">
        <v>728000</v>
      </c>
      <c r="H269" s="257">
        <v>0</v>
      </c>
      <c r="I269" s="257">
        <v>0</v>
      </c>
      <c r="J269" s="257">
        <v>0</v>
      </c>
      <c r="K269" s="257">
        <v>386600</v>
      </c>
      <c r="L269" s="257">
        <v>386600</v>
      </c>
      <c r="M269" s="257">
        <v>969400</v>
      </c>
      <c r="N269" s="257">
        <v>341400</v>
      </c>
    </row>
    <row r="270" spans="1:14" s="143" customFormat="1" x14ac:dyDescent="0.25">
      <c r="A270" s="143" t="s">
        <v>290</v>
      </c>
      <c r="B270" s="143" t="s">
        <v>224</v>
      </c>
      <c r="C270" s="143" t="s">
        <v>225</v>
      </c>
      <c r="D270" s="143" t="s">
        <v>69</v>
      </c>
      <c r="E270" s="257">
        <v>123000</v>
      </c>
      <c r="F270" s="257">
        <v>123000</v>
      </c>
      <c r="G270" s="257">
        <v>61500</v>
      </c>
      <c r="H270" s="257">
        <v>0</v>
      </c>
      <c r="I270" s="257">
        <v>0</v>
      </c>
      <c r="J270" s="257">
        <v>0</v>
      </c>
      <c r="K270" s="257">
        <v>4800</v>
      </c>
      <c r="L270" s="257">
        <v>4800</v>
      </c>
      <c r="M270" s="257">
        <v>118200</v>
      </c>
      <c r="N270" s="257">
        <v>56700</v>
      </c>
    </row>
    <row r="271" spans="1:14" s="143" customFormat="1" x14ac:dyDescent="0.25">
      <c r="A271" s="143" t="s">
        <v>290</v>
      </c>
      <c r="B271" s="143" t="s">
        <v>228</v>
      </c>
      <c r="C271" s="143" t="s">
        <v>229</v>
      </c>
      <c r="D271" s="143" t="s">
        <v>69</v>
      </c>
      <c r="E271" s="257">
        <v>571000</v>
      </c>
      <c r="F271" s="257">
        <v>571000</v>
      </c>
      <c r="G271" s="257">
        <v>285500</v>
      </c>
      <c r="H271" s="257">
        <v>0</v>
      </c>
      <c r="I271" s="257">
        <v>137340</v>
      </c>
      <c r="J271" s="257">
        <v>0</v>
      </c>
      <c r="K271" s="257">
        <v>0</v>
      </c>
      <c r="L271" s="257">
        <v>0</v>
      </c>
      <c r="M271" s="257">
        <v>433660</v>
      </c>
      <c r="N271" s="257">
        <v>148160</v>
      </c>
    </row>
    <row r="272" spans="1:14" s="143" customFormat="1" x14ac:dyDescent="0.25">
      <c r="A272" s="143" t="s">
        <v>290</v>
      </c>
      <c r="B272" s="143" t="s">
        <v>248</v>
      </c>
      <c r="C272" s="143" t="s">
        <v>249</v>
      </c>
      <c r="D272" s="143" t="s">
        <v>69</v>
      </c>
      <c r="E272" s="257">
        <v>298129000</v>
      </c>
      <c r="F272" s="257">
        <v>298129000</v>
      </c>
      <c r="G272" s="257">
        <v>163323300</v>
      </c>
      <c r="H272" s="257">
        <v>0</v>
      </c>
      <c r="I272" s="257">
        <v>69670544.680000007</v>
      </c>
      <c r="J272" s="257">
        <v>0</v>
      </c>
      <c r="K272" s="257">
        <v>73744187.319999993</v>
      </c>
      <c r="L272" s="257">
        <v>73744187.319999993</v>
      </c>
      <c r="M272" s="257">
        <v>154714268</v>
      </c>
      <c r="N272" s="257">
        <v>19908568</v>
      </c>
    </row>
    <row r="273" spans="1:14" s="143" customFormat="1" x14ac:dyDescent="0.25">
      <c r="A273" s="143" t="s">
        <v>290</v>
      </c>
      <c r="B273" s="143" t="s">
        <v>250</v>
      </c>
      <c r="C273" s="143" t="s">
        <v>251</v>
      </c>
      <c r="D273" s="143" t="s">
        <v>69</v>
      </c>
      <c r="E273" s="257">
        <v>115667000</v>
      </c>
      <c r="F273" s="257">
        <v>115667000</v>
      </c>
      <c r="G273" s="257">
        <v>115667000</v>
      </c>
      <c r="H273" s="257">
        <v>0</v>
      </c>
      <c r="I273" s="257">
        <v>69665162.670000002</v>
      </c>
      <c r="J273" s="257">
        <v>0</v>
      </c>
      <c r="K273" s="257">
        <v>46001837.329999998</v>
      </c>
      <c r="L273" s="257">
        <v>46001837.329999998</v>
      </c>
      <c r="M273" s="257">
        <v>0</v>
      </c>
      <c r="N273" s="257">
        <v>0</v>
      </c>
    </row>
    <row r="274" spans="1:14" s="143" customFormat="1" x14ac:dyDescent="0.25">
      <c r="A274" s="143" t="s">
        <v>290</v>
      </c>
      <c r="B274" s="143" t="s">
        <v>332</v>
      </c>
      <c r="C274" s="143" t="s">
        <v>257</v>
      </c>
      <c r="D274" s="143" t="s">
        <v>69</v>
      </c>
      <c r="E274" s="257">
        <v>96260000</v>
      </c>
      <c r="F274" s="257">
        <v>96260000</v>
      </c>
      <c r="G274" s="257">
        <v>96260000</v>
      </c>
      <c r="H274" s="257">
        <v>0</v>
      </c>
      <c r="I274" s="257">
        <v>57976591.759999998</v>
      </c>
      <c r="J274" s="257">
        <v>0</v>
      </c>
      <c r="K274" s="257">
        <v>38283408.240000002</v>
      </c>
      <c r="L274" s="257">
        <v>38283408.240000002</v>
      </c>
      <c r="M274" s="257">
        <v>0</v>
      </c>
      <c r="N274" s="257">
        <v>0</v>
      </c>
    </row>
    <row r="275" spans="1:14" s="143" customFormat="1" x14ac:dyDescent="0.25">
      <c r="A275" s="143" t="s">
        <v>290</v>
      </c>
      <c r="B275" s="143" t="s">
        <v>333</v>
      </c>
      <c r="C275" s="143" t="s">
        <v>259</v>
      </c>
      <c r="D275" s="143" t="s">
        <v>69</v>
      </c>
      <c r="E275" s="257">
        <v>19407000</v>
      </c>
      <c r="F275" s="257">
        <v>19407000</v>
      </c>
      <c r="G275" s="257">
        <v>19407000</v>
      </c>
      <c r="H275" s="257">
        <v>0</v>
      </c>
      <c r="I275" s="257">
        <v>11688570.91</v>
      </c>
      <c r="J275" s="257">
        <v>0</v>
      </c>
      <c r="K275" s="257">
        <v>7718429.0899999999</v>
      </c>
      <c r="L275" s="257">
        <v>7718429.0899999999</v>
      </c>
      <c r="M275" s="257">
        <v>0</v>
      </c>
      <c r="N275" s="257">
        <v>0</v>
      </c>
    </row>
    <row r="276" spans="1:14" s="143" customFormat="1" x14ac:dyDescent="0.25">
      <c r="A276" s="143" t="s">
        <v>290</v>
      </c>
      <c r="B276" s="143" t="s">
        <v>260</v>
      </c>
      <c r="C276" s="143" t="s">
        <v>261</v>
      </c>
      <c r="D276" s="143" t="s">
        <v>69</v>
      </c>
      <c r="E276" s="257">
        <v>179462000</v>
      </c>
      <c r="F276" s="257">
        <v>179462000</v>
      </c>
      <c r="G276" s="257">
        <v>46906300</v>
      </c>
      <c r="H276" s="257">
        <v>0</v>
      </c>
      <c r="I276" s="257">
        <v>5382.01</v>
      </c>
      <c r="J276" s="257">
        <v>0</v>
      </c>
      <c r="K276" s="257">
        <v>27742349.989999998</v>
      </c>
      <c r="L276" s="257">
        <v>27742349.989999998</v>
      </c>
      <c r="M276" s="257">
        <v>151714268</v>
      </c>
      <c r="N276" s="257">
        <v>19158568</v>
      </c>
    </row>
    <row r="277" spans="1:14" s="143" customFormat="1" x14ac:dyDescent="0.25">
      <c r="A277" s="143" t="s">
        <v>290</v>
      </c>
      <c r="B277" s="143" t="s">
        <v>262</v>
      </c>
      <c r="C277" s="143" t="s">
        <v>263</v>
      </c>
      <c r="D277" s="143" t="s">
        <v>69</v>
      </c>
      <c r="E277" s="257">
        <v>150000000</v>
      </c>
      <c r="F277" s="257">
        <v>150000000</v>
      </c>
      <c r="G277" s="257">
        <v>17444300</v>
      </c>
      <c r="H277" s="257">
        <v>0</v>
      </c>
      <c r="I277" s="257">
        <v>5382.01</v>
      </c>
      <c r="J277" s="257">
        <v>0</v>
      </c>
      <c r="K277" s="257">
        <v>16763917.99</v>
      </c>
      <c r="L277" s="257">
        <v>16763917.99</v>
      </c>
      <c r="M277" s="257">
        <v>133230700</v>
      </c>
      <c r="N277" s="257">
        <v>675000</v>
      </c>
    </row>
    <row r="278" spans="1:14" s="143" customFormat="1" x14ac:dyDescent="0.25">
      <c r="A278" s="143" t="s">
        <v>290</v>
      </c>
      <c r="B278" s="143" t="s">
        <v>264</v>
      </c>
      <c r="C278" s="143" t="s">
        <v>265</v>
      </c>
      <c r="D278" s="143" t="s">
        <v>69</v>
      </c>
      <c r="E278" s="257">
        <v>29462000</v>
      </c>
      <c r="F278" s="257">
        <v>29462000</v>
      </c>
      <c r="G278" s="257">
        <v>29462000</v>
      </c>
      <c r="H278" s="257">
        <v>0</v>
      </c>
      <c r="I278" s="257">
        <v>0</v>
      </c>
      <c r="J278" s="257">
        <v>0</v>
      </c>
      <c r="K278" s="257">
        <v>10978432</v>
      </c>
      <c r="L278" s="257">
        <v>10978432</v>
      </c>
      <c r="M278" s="257">
        <v>18483568</v>
      </c>
      <c r="N278" s="257">
        <v>18483568</v>
      </c>
    </row>
    <row r="279" spans="1:14" s="143" customFormat="1" x14ac:dyDescent="0.25">
      <c r="A279" s="143" t="s">
        <v>290</v>
      </c>
      <c r="B279" s="143" t="s">
        <v>286</v>
      </c>
      <c r="C279" s="143" t="s">
        <v>287</v>
      </c>
      <c r="D279" s="143" t="s">
        <v>69</v>
      </c>
      <c r="E279" s="257">
        <v>3000000</v>
      </c>
      <c r="F279" s="257">
        <v>3000000</v>
      </c>
      <c r="G279" s="257">
        <v>750000</v>
      </c>
      <c r="H279" s="257">
        <v>0</v>
      </c>
      <c r="I279" s="257">
        <v>0</v>
      </c>
      <c r="J279" s="257">
        <v>0</v>
      </c>
      <c r="K279" s="257">
        <v>0</v>
      </c>
      <c r="L279" s="257">
        <v>0</v>
      </c>
      <c r="M279" s="257">
        <v>3000000</v>
      </c>
      <c r="N279" s="257">
        <v>750000</v>
      </c>
    </row>
    <row r="280" spans="1:14" s="143" customFormat="1" x14ac:dyDescent="0.25">
      <c r="A280" s="143" t="s">
        <v>290</v>
      </c>
      <c r="B280" s="143" t="s">
        <v>288</v>
      </c>
      <c r="C280" s="143" t="s">
        <v>289</v>
      </c>
      <c r="D280" s="143" t="s">
        <v>69</v>
      </c>
      <c r="E280" s="257">
        <v>3000000</v>
      </c>
      <c r="F280" s="257">
        <v>3000000</v>
      </c>
      <c r="G280" s="257">
        <v>750000</v>
      </c>
      <c r="H280" s="257">
        <v>0</v>
      </c>
      <c r="I280" s="257">
        <v>0</v>
      </c>
      <c r="J280" s="257">
        <v>0</v>
      </c>
      <c r="K280" s="257">
        <v>0</v>
      </c>
      <c r="L280" s="257">
        <v>0</v>
      </c>
      <c r="M280" s="257">
        <v>3000000</v>
      </c>
      <c r="N280" s="257">
        <v>750000</v>
      </c>
    </row>
    <row r="281" spans="1:14" s="143" customFormat="1" x14ac:dyDescent="0.25">
      <c r="A281" s="143" t="s">
        <v>290</v>
      </c>
      <c r="B281" s="143" t="s">
        <v>230</v>
      </c>
      <c r="C281" s="143" t="s">
        <v>231</v>
      </c>
      <c r="D281" s="143" t="s">
        <v>85</v>
      </c>
      <c r="E281" s="257">
        <v>47031000</v>
      </c>
      <c r="F281" s="257">
        <v>47031000</v>
      </c>
      <c r="G281" s="257">
        <v>39729500</v>
      </c>
      <c r="H281" s="257">
        <v>0</v>
      </c>
      <c r="I281" s="257">
        <v>7421402.3600000003</v>
      </c>
      <c r="J281" s="257">
        <v>1350982.19</v>
      </c>
      <c r="K281" s="257">
        <v>14010931.57</v>
      </c>
      <c r="L281" s="257">
        <v>13762283.65</v>
      </c>
      <c r="M281" s="257">
        <v>24247683.879999999</v>
      </c>
      <c r="N281" s="257">
        <v>16946183.879999999</v>
      </c>
    </row>
    <row r="282" spans="1:14" s="143" customFormat="1" x14ac:dyDescent="0.25">
      <c r="A282" s="143" t="s">
        <v>290</v>
      </c>
      <c r="B282" s="143" t="s">
        <v>232</v>
      </c>
      <c r="C282" s="143" t="s">
        <v>233</v>
      </c>
      <c r="D282" s="143" t="s">
        <v>85</v>
      </c>
      <c r="E282" s="257">
        <v>25000000</v>
      </c>
      <c r="F282" s="257">
        <v>23649017.809999999</v>
      </c>
      <c r="G282" s="257">
        <v>16347517.810000001</v>
      </c>
      <c r="H282" s="257">
        <v>0</v>
      </c>
      <c r="I282" s="257">
        <v>0</v>
      </c>
      <c r="J282" s="257">
        <v>0</v>
      </c>
      <c r="K282" s="257">
        <v>13762283.65</v>
      </c>
      <c r="L282" s="257">
        <v>13762283.65</v>
      </c>
      <c r="M282" s="257">
        <v>9886734.1600000001</v>
      </c>
      <c r="N282" s="257">
        <v>2585234.16</v>
      </c>
    </row>
    <row r="283" spans="1:14" s="143" customFormat="1" x14ac:dyDescent="0.25">
      <c r="A283" s="143" t="s">
        <v>290</v>
      </c>
      <c r="B283" s="143" t="s">
        <v>324</v>
      </c>
      <c r="C283" s="143" t="s">
        <v>325</v>
      </c>
      <c r="D283" s="143" t="s">
        <v>85</v>
      </c>
      <c r="E283" s="257">
        <v>15000000</v>
      </c>
      <c r="F283" s="257">
        <v>15000000</v>
      </c>
      <c r="G283" s="257">
        <v>13762284</v>
      </c>
      <c r="H283" s="257">
        <v>0</v>
      </c>
      <c r="I283" s="257">
        <v>0</v>
      </c>
      <c r="J283" s="257">
        <v>0</v>
      </c>
      <c r="K283" s="257">
        <v>13762283.65</v>
      </c>
      <c r="L283" s="257">
        <v>13762283.65</v>
      </c>
      <c r="M283" s="257">
        <v>1237716.3500000001</v>
      </c>
      <c r="N283" s="257">
        <v>0.35</v>
      </c>
    </row>
    <row r="284" spans="1:14" s="143" customFormat="1" x14ac:dyDescent="0.25">
      <c r="A284" s="143" t="s">
        <v>290</v>
      </c>
      <c r="B284" s="143" t="s">
        <v>236</v>
      </c>
      <c r="C284" s="143" t="s">
        <v>237</v>
      </c>
      <c r="D284" s="143" t="s">
        <v>85</v>
      </c>
      <c r="E284" s="257">
        <v>0</v>
      </c>
      <c r="F284" s="257">
        <v>0</v>
      </c>
      <c r="G284" s="257">
        <v>0</v>
      </c>
      <c r="H284" s="257">
        <v>0</v>
      </c>
      <c r="I284" s="257">
        <v>0</v>
      </c>
      <c r="J284" s="257">
        <v>0</v>
      </c>
      <c r="K284" s="257">
        <v>0</v>
      </c>
      <c r="L284" s="257">
        <v>0</v>
      </c>
      <c r="M284" s="257">
        <v>0</v>
      </c>
      <c r="N284" s="257">
        <v>0</v>
      </c>
    </row>
    <row r="285" spans="1:14" s="143" customFormat="1" x14ac:dyDescent="0.25">
      <c r="A285" s="143" t="s">
        <v>290</v>
      </c>
      <c r="B285" s="143" t="s">
        <v>238</v>
      </c>
      <c r="C285" s="143" t="s">
        <v>239</v>
      </c>
      <c r="D285" s="143" t="s">
        <v>85</v>
      </c>
      <c r="E285" s="257">
        <v>0</v>
      </c>
      <c r="F285" s="257">
        <v>0</v>
      </c>
      <c r="G285" s="257">
        <v>0</v>
      </c>
      <c r="H285" s="257">
        <v>0</v>
      </c>
      <c r="I285" s="257">
        <v>0</v>
      </c>
      <c r="J285" s="257">
        <v>0</v>
      </c>
      <c r="K285" s="257">
        <v>0</v>
      </c>
      <c r="L285" s="257">
        <v>0</v>
      </c>
      <c r="M285" s="257">
        <v>0</v>
      </c>
      <c r="N285" s="257">
        <v>0</v>
      </c>
    </row>
    <row r="286" spans="1:14" s="143" customFormat="1" x14ac:dyDescent="0.25">
      <c r="A286" s="143" t="s">
        <v>290</v>
      </c>
      <c r="B286" s="143" t="s">
        <v>282</v>
      </c>
      <c r="C286" s="143" t="s">
        <v>283</v>
      </c>
      <c r="D286" s="143" t="s">
        <v>85</v>
      </c>
      <c r="E286" s="257">
        <v>10000000</v>
      </c>
      <c r="F286" s="257">
        <v>8649017.8100000005</v>
      </c>
      <c r="G286" s="257">
        <v>2585233.81</v>
      </c>
      <c r="H286" s="257">
        <v>0</v>
      </c>
      <c r="I286" s="257">
        <v>0</v>
      </c>
      <c r="J286" s="257">
        <v>0</v>
      </c>
      <c r="K286" s="257">
        <v>0</v>
      </c>
      <c r="L286" s="257">
        <v>0</v>
      </c>
      <c r="M286" s="257">
        <v>8649017.8100000005</v>
      </c>
      <c r="N286" s="257">
        <v>2585233.81</v>
      </c>
    </row>
    <row r="287" spans="1:14" s="143" customFormat="1" x14ac:dyDescent="0.25">
      <c r="A287" s="143" t="s">
        <v>290</v>
      </c>
      <c r="B287" s="143" t="s">
        <v>326</v>
      </c>
      <c r="C287" s="143" t="s">
        <v>327</v>
      </c>
      <c r="D287" s="143" t="s">
        <v>85</v>
      </c>
      <c r="E287" s="257">
        <v>0</v>
      </c>
      <c r="F287" s="257">
        <v>0</v>
      </c>
      <c r="G287" s="257">
        <v>0</v>
      </c>
      <c r="H287" s="257">
        <v>0</v>
      </c>
      <c r="I287" s="257">
        <v>0</v>
      </c>
      <c r="J287" s="257">
        <v>0</v>
      </c>
      <c r="K287" s="257">
        <v>0</v>
      </c>
      <c r="L287" s="257">
        <v>0</v>
      </c>
      <c r="M287" s="257">
        <v>0</v>
      </c>
      <c r="N287" s="257">
        <v>0</v>
      </c>
    </row>
    <row r="288" spans="1:14" s="143" customFormat="1" x14ac:dyDescent="0.25">
      <c r="A288" s="143" t="s">
        <v>290</v>
      </c>
      <c r="B288" s="143" t="s">
        <v>328</v>
      </c>
      <c r="C288" s="143" t="s">
        <v>329</v>
      </c>
      <c r="D288" s="143" t="s">
        <v>85</v>
      </c>
      <c r="E288" s="257">
        <v>0</v>
      </c>
      <c r="F288" s="257">
        <v>1350982.19</v>
      </c>
      <c r="G288" s="257">
        <v>1350982.19</v>
      </c>
      <c r="H288" s="257">
        <v>0</v>
      </c>
      <c r="I288" s="257">
        <v>0</v>
      </c>
      <c r="J288" s="257">
        <v>1350982.19</v>
      </c>
      <c r="K288" s="257">
        <v>0</v>
      </c>
      <c r="L288" s="257">
        <v>0</v>
      </c>
      <c r="M288" s="257">
        <v>0</v>
      </c>
      <c r="N288" s="257">
        <v>0</v>
      </c>
    </row>
    <row r="289" spans="1:14" s="143" customFormat="1" x14ac:dyDescent="0.25">
      <c r="A289" s="143" t="s">
        <v>290</v>
      </c>
      <c r="B289" s="143" t="s">
        <v>330</v>
      </c>
      <c r="C289" s="143" t="s">
        <v>331</v>
      </c>
      <c r="D289" s="143" t="s">
        <v>85</v>
      </c>
      <c r="E289" s="257">
        <v>0</v>
      </c>
      <c r="F289" s="257">
        <v>1350982.19</v>
      </c>
      <c r="G289" s="257">
        <v>1350982.19</v>
      </c>
      <c r="H289" s="257">
        <v>0</v>
      </c>
      <c r="I289" s="257">
        <v>0</v>
      </c>
      <c r="J289" s="257">
        <v>1350982.19</v>
      </c>
      <c r="K289" s="257">
        <v>0</v>
      </c>
      <c r="L289" s="257">
        <v>0</v>
      </c>
      <c r="M289" s="257">
        <v>0</v>
      </c>
      <c r="N289" s="257">
        <v>0</v>
      </c>
    </row>
    <row r="290" spans="1:14" s="143" customFormat="1" x14ac:dyDescent="0.25">
      <c r="A290" s="143" t="s">
        <v>290</v>
      </c>
      <c r="B290" s="143" t="s">
        <v>244</v>
      </c>
      <c r="C290" s="143" t="s">
        <v>245</v>
      </c>
      <c r="D290" s="143" t="s">
        <v>85</v>
      </c>
      <c r="E290" s="257">
        <v>22031000</v>
      </c>
      <c r="F290" s="257">
        <v>22031000</v>
      </c>
      <c r="G290" s="257">
        <v>22031000</v>
      </c>
      <c r="H290" s="257">
        <v>0</v>
      </c>
      <c r="I290" s="257">
        <v>7421402.3600000003</v>
      </c>
      <c r="J290" s="257">
        <v>0</v>
      </c>
      <c r="K290" s="257">
        <v>248647.92</v>
      </c>
      <c r="L290" s="257">
        <v>0</v>
      </c>
      <c r="M290" s="257">
        <v>14360949.720000001</v>
      </c>
      <c r="N290" s="257">
        <v>14360949.720000001</v>
      </c>
    </row>
    <row r="291" spans="1:14" s="143" customFormat="1" x14ac:dyDescent="0.25">
      <c r="A291" s="143" t="s">
        <v>290</v>
      </c>
      <c r="B291" s="143" t="s">
        <v>246</v>
      </c>
      <c r="C291" s="143" t="s">
        <v>247</v>
      </c>
      <c r="D291" s="143" t="s">
        <v>85</v>
      </c>
      <c r="E291" s="257">
        <v>22031000</v>
      </c>
      <c r="F291" s="257">
        <v>22031000</v>
      </c>
      <c r="G291" s="257">
        <v>22031000</v>
      </c>
      <c r="H291" s="257">
        <v>0</v>
      </c>
      <c r="I291" s="257">
        <v>7421402.3600000003</v>
      </c>
      <c r="J291" s="257">
        <v>0</v>
      </c>
      <c r="K291" s="257">
        <v>248647.92</v>
      </c>
      <c r="L291" s="257">
        <v>0</v>
      </c>
      <c r="M291" s="257">
        <v>14360949.720000001</v>
      </c>
      <c r="N291" s="257">
        <v>14360949.720000001</v>
      </c>
    </row>
    <row r="292" spans="1:14" s="143" customFormat="1" x14ac:dyDescent="0.25">
      <c r="A292" s="143">
        <v>214783</v>
      </c>
      <c r="D292" s="143" t="s">
        <v>69</v>
      </c>
      <c r="E292" s="257">
        <v>106163237755</v>
      </c>
      <c r="F292" s="257">
        <v>112163237755</v>
      </c>
      <c r="G292" s="257">
        <v>91509405562.899994</v>
      </c>
      <c r="H292" s="257">
        <v>233554461.50999999</v>
      </c>
      <c r="I292" s="257">
        <v>12965180273.75</v>
      </c>
      <c r="J292" s="257">
        <v>478752079.41000003</v>
      </c>
      <c r="K292" s="257">
        <v>36750879651.699997</v>
      </c>
      <c r="L292" s="257">
        <v>36017472974.160004</v>
      </c>
      <c r="M292" s="257">
        <v>61734871288.629997</v>
      </c>
      <c r="N292" s="257">
        <v>41081039096.529999</v>
      </c>
    </row>
    <row r="293" spans="1:14" s="143" customFormat="1" x14ac:dyDescent="0.25">
      <c r="A293" s="143" t="s">
        <v>334</v>
      </c>
      <c r="B293" s="143" t="s">
        <v>71</v>
      </c>
      <c r="C293" s="143" t="s">
        <v>72</v>
      </c>
      <c r="D293" s="143" t="s">
        <v>69</v>
      </c>
      <c r="E293" s="257">
        <v>69224041000</v>
      </c>
      <c r="F293" s="257">
        <v>69224041000</v>
      </c>
      <c r="G293" s="257">
        <v>69024041000</v>
      </c>
      <c r="H293" s="257">
        <v>0</v>
      </c>
      <c r="I293" s="257">
        <v>5982688611.5</v>
      </c>
      <c r="J293" s="257">
        <v>0</v>
      </c>
      <c r="K293" s="257">
        <v>28032015144.200001</v>
      </c>
      <c r="L293" s="257">
        <v>28032015144.200001</v>
      </c>
      <c r="M293" s="257">
        <v>35209337244.300003</v>
      </c>
      <c r="N293" s="257">
        <v>35009337244.300003</v>
      </c>
    </row>
    <row r="294" spans="1:14" s="143" customFormat="1" x14ac:dyDescent="0.25">
      <c r="A294" s="143" t="s">
        <v>334</v>
      </c>
      <c r="B294" s="143" t="s">
        <v>73</v>
      </c>
      <c r="C294" s="143" t="s">
        <v>74</v>
      </c>
      <c r="D294" s="143" t="s">
        <v>69</v>
      </c>
      <c r="E294" s="257">
        <v>25618223000</v>
      </c>
      <c r="F294" s="257">
        <v>25618223000</v>
      </c>
      <c r="G294" s="257">
        <v>25618223000</v>
      </c>
      <c r="H294" s="257">
        <v>0</v>
      </c>
      <c r="I294" s="257">
        <v>160325</v>
      </c>
      <c r="J294" s="257">
        <v>0</v>
      </c>
      <c r="K294" s="257">
        <v>9824698125.1200008</v>
      </c>
      <c r="L294" s="257">
        <v>9824698125.1200008</v>
      </c>
      <c r="M294" s="257">
        <v>15793364549.879999</v>
      </c>
      <c r="N294" s="257">
        <v>15793364549.879999</v>
      </c>
    </row>
    <row r="295" spans="1:14" s="143" customFormat="1" x14ac:dyDescent="0.25">
      <c r="A295" s="143" t="s">
        <v>334</v>
      </c>
      <c r="B295" s="143" t="s">
        <v>75</v>
      </c>
      <c r="C295" s="143" t="s">
        <v>76</v>
      </c>
      <c r="D295" s="143" t="s">
        <v>69</v>
      </c>
      <c r="E295" s="257">
        <v>25601107000</v>
      </c>
      <c r="F295" s="257">
        <v>25601107000</v>
      </c>
      <c r="G295" s="257">
        <v>25601107000</v>
      </c>
      <c r="H295" s="257">
        <v>0</v>
      </c>
      <c r="I295" s="257">
        <v>160325</v>
      </c>
      <c r="J295" s="257">
        <v>0</v>
      </c>
      <c r="K295" s="257">
        <v>9809426325.1200008</v>
      </c>
      <c r="L295" s="257">
        <v>9809426325.1200008</v>
      </c>
      <c r="M295" s="257">
        <v>15791520349.879999</v>
      </c>
      <c r="N295" s="257">
        <v>15791520349.879999</v>
      </c>
    </row>
    <row r="296" spans="1:14" s="143" customFormat="1" x14ac:dyDescent="0.25">
      <c r="A296" s="143" t="s">
        <v>334</v>
      </c>
      <c r="B296" s="143" t="s">
        <v>335</v>
      </c>
      <c r="C296" s="143" t="s">
        <v>336</v>
      </c>
      <c r="D296" s="143" t="s">
        <v>69</v>
      </c>
      <c r="E296" s="257">
        <v>17116000</v>
      </c>
      <c r="F296" s="257">
        <v>17116000</v>
      </c>
      <c r="G296" s="257">
        <v>17116000</v>
      </c>
      <c r="H296" s="257">
        <v>0</v>
      </c>
      <c r="I296" s="257">
        <v>0</v>
      </c>
      <c r="J296" s="257">
        <v>0</v>
      </c>
      <c r="K296" s="257">
        <v>15271800</v>
      </c>
      <c r="L296" s="257">
        <v>15271800</v>
      </c>
      <c r="M296" s="257">
        <v>1844200</v>
      </c>
      <c r="N296" s="257">
        <v>1844200</v>
      </c>
    </row>
    <row r="297" spans="1:14" s="143" customFormat="1" x14ac:dyDescent="0.25">
      <c r="A297" s="143" t="s">
        <v>334</v>
      </c>
      <c r="B297" s="143" t="s">
        <v>293</v>
      </c>
      <c r="C297" s="143" t="s">
        <v>294</v>
      </c>
      <c r="D297" s="143" t="s">
        <v>69</v>
      </c>
      <c r="E297" s="257">
        <v>3406791000</v>
      </c>
      <c r="F297" s="257">
        <v>3406791000</v>
      </c>
      <c r="G297" s="257">
        <v>3406791000</v>
      </c>
      <c r="H297" s="257">
        <v>0</v>
      </c>
      <c r="I297" s="257">
        <v>40081.25</v>
      </c>
      <c r="J297" s="257">
        <v>0</v>
      </c>
      <c r="K297" s="257">
        <v>1506387748.29</v>
      </c>
      <c r="L297" s="257">
        <v>1506387748.29</v>
      </c>
      <c r="M297" s="257">
        <v>1900363170.46</v>
      </c>
      <c r="N297" s="257">
        <v>1900363170.46</v>
      </c>
    </row>
    <row r="298" spans="1:14" s="143" customFormat="1" x14ac:dyDescent="0.25">
      <c r="A298" s="143" t="s">
        <v>334</v>
      </c>
      <c r="B298" s="143" t="s">
        <v>295</v>
      </c>
      <c r="C298" s="143" t="s">
        <v>296</v>
      </c>
      <c r="D298" s="143" t="s">
        <v>69</v>
      </c>
      <c r="E298" s="257">
        <v>8000000</v>
      </c>
      <c r="F298" s="257">
        <v>8000000</v>
      </c>
      <c r="G298" s="257">
        <v>8000000</v>
      </c>
      <c r="H298" s="257">
        <v>0</v>
      </c>
      <c r="I298" s="257">
        <v>0</v>
      </c>
      <c r="J298" s="257">
        <v>0</v>
      </c>
      <c r="K298" s="257">
        <v>3008346.56</v>
      </c>
      <c r="L298" s="257">
        <v>3008346.56</v>
      </c>
      <c r="M298" s="257">
        <v>4991653.4400000004</v>
      </c>
      <c r="N298" s="257">
        <v>4991653.4400000004</v>
      </c>
    </row>
    <row r="299" spans="1:14" s="143" customFormat="1" x14ac:dyDescent="0.25">
      <c r="A299" s="143" t="s">
        <v>334</v>
      </c>
      <c r="B299" s="143" t="s">
        <v>337</v>
      </c>
      <c r="C299" s="143" t="s">
        <v>338</v>
      </c>
      <c r="D299" s="143" t="s">
        <v>69</v>
      </c>
      <c r="E299" s="257">
        <v>24994000</v>
      </c>
      <c r="F299" s="257">
        <v>24994000</v>
      </c>
      <c r="G299" s="257">
        <v>24994000</v>
      </c>
      <c r="H299" s="257">
        <v>0</v>
      </c>
      <c r="I299" s="257">
        <v>0</v>
      </c>
      <c r="J299" s="257">
        <v>0</v>
      </c>
      <c r="K299" s="257">
        <v>2932969</v>
      </c>
      <c r="L299" s="257">
        <v>2932969</v>
      </c>
      <c r="M299" s="257">
        <v>22061031</v>
      </c>
      <c r="N299" s="257">
        <v>22061031</v>
      </c>
    </row>
    <row r="300" spans="1:14" s="143" customFormat="1" x14ac:dyDescent="0.25">
      <c r="A300" s="143" t="s">
        <v>334</v>
      </c>
      <c r="B300" s="143" t="s">
        <v>339</v>
      </c>
      <c r="C300" s="143" t="s">
        <v>340</v>
      </c>
      <c r="D300" s="143" t="s">
        <v>69</v>
      </c>
      <c r="E300" s="257">
        <v>3373797000</v>
      </c>
      <c r="F300" s="257">
        <v>3373797000</v>
      </c>
      <c r="G300" s="257">
        <v>3373797000</v>
      </c>
      <c r="H300" s="257">
        <v>0</v>
      </c>
      <c r="I300" s="257">
        <v>40081.25</v>
      </c>
      <c r="J300" s="257">
        <v>0</v>
      </c>
      <c r="K300" s="257">
        <v>1500446432.73</v>
      </c>
      <c r="L300" s="257">
        <v>1500446432.73</v>
      </c>
      <c r="M300" s="257">
        <v>1873310486.02</v>
      </c>
      <c r="N300" s="257">
        <v>1873310486.02</v>
      </c>
    </row>
    <row r="301" spans="1:14" s="143" customFormat="1" x14ac:dyDescent="0.25">
      <c r="A301" s="143" t="s">
        <v>334</v>
      </c>
      <c r="B301" s="143" t="s">
        <v>77</v>
      </c>
      <c r="C301" s="143" t="s">
        <v>78</v>
      </c>
      <c r="D301" s="143" t="s">
        <v>69</v>
      </c>
      <c r="E301" s="257">
        <v>29694590000</v>
      </c>
      <c r="F301" s="257">
        <v>29694590000</v>
      </c>
      <c r="G301" s="257">
        <v>29494590000</v>
      </c>
      <c r="H301" s="257">
        <v>0</v>
      </c>
      <c r="I301" s="257">
        <v>118113.25</v>
      </c>
      <c r="J301" s="257">
        <v>0</v>
      </c>
      <c r="K301" s="257">
        <v>12178862362.790001</v>
      </c>
      <c r="L301" s="257">
        <v>12178862362.790001</v>
      </c>
      <c r="M301" s="257">
        <v>17515609523.959999</v>
      </c>
      <c r="N301" s="257">
        <v>17315609523.959999</v>
      </c>
    </row>
    <row r="302" spans="1:14" s="143" customFormat="1" x14ac:dyDescent="0.25">
      <c r="A302" s="143" t="s">
        <v>334</v>
      </c>
      <c r="B302" s="143" t="s">
        <v>79</v>
      </c>
      <c r="C302" s="143" t="s">
        <v>80</v>
      </c>
      <c r="D302" s="143" t="s">
        <v>69</v>
      </c>
      <c r="E302" s="257">
        <v>9856906000</v>
      </c>
      <c r="F302" s="257">
        <v>9856906000</v>
      </c>
      <c r="G302" s="257">
        <v>9656906000</v>
      </c>
      <c r="H302" s="257">
        <v>0</v>
      </c>
      <c r="I302" s="257">
        <v>49881.5</v>
      </c>
      <c r="J302" s="257">
        <v>0</v>
      </c>
      <c r="K302" s="257">
        <v>3832597141.4499998</v>
      </c>
      <c r="L302" s="257">
        <v>3832597141.4499998</v>
      </c>
      <c r="M302" s="257">
        <v>6024258977.0500002</v>
      </c>
      <c r="N302" s="257">
        <v>5824258977.0500002</v>
      </c>
    </row>
    <row r="303" spans="1:14" s="143" customFormat="1" x14ac:dyDescent="0.25">
      <c r="A303" s="143" t="s">
        <v>334</v>
      </c>
      <c r="B303" s="143" t="s">
        <v>81</v>
      </c>
      <c r="C303" s="143" t="s">
        <v>82</v>
      </c>
      <c r="D303" s="143" t="s">
        <v>69</v>
      </c>
      <c r="E303" s="257">
        <v>3637068000</v>
      </c>
      <c r="F303" s="257">
        <v>3637068000</v>
      </c>
      <c r="G303" s="257">
        <v>3637068000</v>
      </c>
      <c r="H303" s="257">
        <v>0</v>
      </c>
      <c r="I303" s="257">
        <v>0</v>
      </c>
      <c r="J303" s="257">
        <v>0</v>
      </c>
      <c r="K303" s="257">
        <v>1353288603.75</v>
      </c>
      <c r="L303" s="257">
        <v>1353288603.75</v>
      </c>
      <c r="M303" s="257">
        <v>2283779396.25</v>
      </c>
      <c r="N303" s="257">
        <v>2283779396.25</v>
      </c>
    </row>
    <row r="304" spans="1:14" s="143" customFormat="1" x14ac:dyDescent="0.25">
      <c r="A304" s="143" t="s">
        <v>334</v>
      </c>
      <c r="B304" s="143" t="s">
        <v>86</v>
      </c>
      <c r="C304" s="143" t="s">
        <v>87</v>
      </c>
      <c r="D304" s="143" t="s">
        <v>69</v>
      </c>
      <c r="E304" s="257">
        <v>3859929000</v>
      </c>
      <c r="F304" s="257">
        <v>3859929000</v>
      </c>
      <c r="G304" s="257">
        <v>3859929000</v>
      </c>
      <c r="H304" s="257">
        <v>0</v>
      </c>
      <c r="I304" s="257">
        <v>0</v>
      </c>
      <c r="J304" s="257">
        <v>0</v>
      </c>
      <c r="K304" s="257">
        <v>3840892017.1399999</v>
      </c>
      <c r="L304" s="257">
        <v>3840892017.1399999</v>
      </c>
      <c r="M304" s="257">
        <v>19036982.859999999</v>
      </c>
      <c r="N304" s="257">
        <v>19036982.859999999</v>
      </c>
    </row>
    <row r="305" spans="1:14" s="143" customFormat="1" x14ac:dyDescent="0.25">
      <c r="A305" s="143" t="s">
        <v>334</v>
      </c>
      <c r="B305" s="143" t="s">
        <v>88</v>
      </c>
      <c r="C305" s="143" t="s">
        <v>89</v>
      </c>
      <c r="D305" s="143" t="s">
        <v>69</v>
      </c>
      <c r="E305" s="257">
        <v>7961754000</v>
      </c>
      <c r="F305" s="257">
        <v>7961754000</v>
      </c>
      <c r="G305" s="257">
        <v>7961754000</v>
      </c>
      <c r="H305" s="257">
        <v>0</v>
      </c>
      <c r="I305" s="257">
        <v>68231.75</v>
      </c>
      <c r="J305" s="257">
        <v>0</v>
      </c>
      <c r="K305" s="257">
        <v>3146331138.1900001</v>
      </c>
      <c r="L305" s="257">
        <v>3146331138.1900001</v>
      </c>
      <c r="M305" s="257">
        <v>4815354630.0600004</v>
      </c>
      <c r="N305" s="257">
        <v>4815354630.0600004</v>
      </c>
    </row>
    <row r="306" spans="1:14" s="143" customFormat="1" x14ac:dyDescent="0.25">
      <c r="A306" s="143" t="s">
        <v>334</v>
      </c>
      <c r="B306" s="143" t="s">
        <v>83</v>
      </c>
      <c r="C306" s="143" t="s">
        <v>84</v>
      </c>
      <c r="D306" s="143" t="s">
        <v>85</v>
      </c>
      <c r="E306" s="257">
        <v>4378933000</v>
      </c>
      <c r="F306" s="257">
        <v>4378933000</v>
      </c>
      <c r="G306" s="257">
        <v>4378933000</v>
      </c>
      <c r="H306" s="257">
        <v>0</v>
      </c>
      <c r="I306" s="257">
        <v>0</v>
      </c>
      <c r="J306" s="257">
        <v>0</v>
      </c>
      <c r="K306" s="257">
        <v>5753462.2599999998</v>
      </c>
      <c r="L306" s="257">
        <v>5753462.2599999998</v>
      </c>
      <c r="M306" s="257">
        <v>4373179537.7399998</v>
      </c>
      <c r="N306" s="257">
        <v>4373179537.7399998</v>
      </c>
    </row>
    <row r="307" spans="1:14" s="143" customFormat="1" x14ac:dyDescent="0.25">
      <c r="A307" s="143" t="s">
        <v>334</v>
      </c>
      <c r="B307" s="143" t="s">
        <v>90</v>
      </c>
      <c r="C307" s="143" t="s">
        <v>91</v>
      </c>
      <c r="D307" s="143" t="s">
        <v>69</v>
      </c>
      <c r="E307" s="257">
        <v>5298410000</v>
      </c>
      <c r="F307" s="257">
        <v>5298410000</v>
      </c>
      <c r="G307" s="257">
        <v>5298410000</v>
      </c>
      <c r="H307" s="257">
        <v>0</v>
      </c>
      <c r="I307" s="257">
        <v>3016938095</v>
      </c>
      <c r="J307" s="257">
        <v>0</v>
      </c>
      <c r="K307" s="257">
        <v>2281471905</v>
      </c>
      <c r="L307" s="257">
        <v>2281471905</v>
      </c>
      <c r="M307" s="257">
        <v>0</v>
      </c>
      <c r="N307" s="257">
        <v>0</v>
      </c>
    </row>
    <row r="308" spans="1:14" s="143" customFormat="1" x14ac:dyDescent="0.25">
      <c r="A308" s="143" t="s">
        <v>334</v>
      </c>
      <c r="B308" s="143" t="s">
        <v>341</v>
      </c>
      <c r="C308" s="143" t="s">
        <v>93</v>
      </c>
      <c r="D308" s="143" t="s">
        <v>69</v>
      </c>
      <c r="E308" s="257">
        <v>5026697000</v>
      </c>
      <c r="F308" s="257">
        <v>5026697000</v>
      </c>
      <c r="G308" s="257">
        <v>5026697000</v>
      </c>
      <c r="H308" s="257">
        <v>0</v>
      </c>
      <c r="I308" s="257">
        <v>2862198875</v>
      </c>
      <c r="J308" s="257">
        <v>0</v>
      </c>
      <c r="K308" s="257">
        <v>2164498125</v>
      </c>
      <c r="L308" s="257">
        <v>2164498125</v>
      </c>
      <c r="M308" s="257">
        <v>0</v>
      </c>
      <c r="N308" s="257">
        <v>0</v>
      </c>
    </row>
    <row r="309" spans="1:14" s="143" customFormat="1" x14ac:dyDescent="0.25">
      <c r="A309" s="143" t="s">
        <v>334</v>
      </c>
      <c r="B309" s="143" t="s">
        <v>342</v>
      </c>
      <c r="C309" s="143" t="s">
        <v>95</v>
      </c>
      <c r="D309" s="143" t="s">
        <v>69</v>
      </c>
      <c r="E309" s="257">
        <v>271713000</v>
      </c>
      <c r="F309" s="257">
        <v>271713000</v>
      </c>
      <c r="G309" s="257">
        <v>271713000</v>
      </c>
      <c r="H309" s="257">
        <v>0</v>
      </c>
      <c r="I309" s="257">
        <v>154739220</v>
      </c>
      <c r="J309" s="257">
        <v>0</v>
      </c>
      <c r="K309" s="257">
        <v>116973780</v>
      </c>
      <c r="L309" s="257">
        <v>116973780</v>
      </c>
      <c r="M309" s="257">
        <v>0</v>
      </c>
      <c r="N309" s="257">
        <v>0</v>
      </c>
    </row>
    <row r="310" spans="1:14" s="143" customFormat="1" x14ac:dyDescent="0.25">
      <c r="A310" s="143" t="s">
        <v>334</v>
      </c>
      <c r="B310" s="143" t="s">
        <v>96</v>
      </c>
      <c r="C310" s="143" t="s">
        <v>97</v>
      </c>
      <c r="D310" s="143" t="s">
        <v>69</v>
      </c>
      <c r="E310" s="257">
        <v>5206027000</v>
      </c>
      <c r="F310" s="257">
        <v>5206027000</v>
      </c>
      <c r="G310" s="257">
        <v>5206027000</v>
      </c>
      <c r="H310" s="257">
        <v>0</v>
      </c>
      <c r="I310" s="257">
        <v>2965431997</v>
      </c>
      <c r="J310" s="257">
        <v>0</v>
      </c>
      <c r="K310" s="257">
        <v>2240595003</v>
      </c>
      <c r="L310" s="257">
        <v>2240595003</v>
      </c>
      <c r="M310" s="257">
        <v>0</v>
      </c>
      <c r="N310" s="257">
        <v>0</v>
      </c>
    </row>
    <row r="311" spans="1:14" s="143" customFormat="1" x14ac:dyDescent="0.25">
      <c r="A311" s="143" t="s">
        <v>334</v>
      </c>
      <c r="B311" s="143" t="s">
        <v>343</v>
      </c>
      <c r="C311" s="143" t="s">
        <v>99</v>
      </c>
      <c r="D311" s="143" t="s">
        <v>69</v>
      </c>
      <c r="E311" s="257">
        <v>2760607000</v>
      </c>
      <c r="F311" s="257">
        <v>2760607000</v>
      </c>
      <c r="G311" s="257">
        <v>2760607000</v>
      </c>
      <c r="H311" s="257">
        <v>0</v>
      </c>
      <c r="I311" s="257">
        <v>1572778980</v>
      </c>
      <c r="J311" s="257">
        <v>0</v>
      </c>
      <c r="K311" s="257">
        <v>1187828020</v>
      </c>
      <c r="L311" s="257">
        <v>1187828020</v>
      </c>
      <c r="M311" s="257">
        <v>0</v>
      </c>
      <c r="N311" s="257">
        <v>0</v>
      </c>
    </row>
    <row r="312" spans="1:14" s="143" customFormat="1" x14ac:dyDescent="0.25">
      <c r="A312" s="143" t="s">
        <v>334</v>
      </c>
      <c r="B312" s="143" t="s">
        <v>344</v>
      </c>
      <c r="C312" s="143" t="s">
        <v>101</v>
      </c>
      <c r="D312" s="143" t="s">
        <v>69</v>
      </c>
      <c r="E312" s="257">
        <v>815140000</v>
      </c>
      <c r="F312" s="257">
        <v>815140000</v>
      </c>
      <c r="G312" s="257">
        <v>815140000</v>
      </c>
      <c r="H312" s="257">
        <v>0</v>
      </c>
      <c r="I312" s="257">
        <v>464217146</v>
      </c>
      <c r="J312" s="257">
        <v>0</v>
      </c>
      <c r="K312" s="257">
        <v>350922854</v>
      </c>
      <c r="L312" s="257">
        <v>350922854</v>
      </c>
      <c r="M312" s="257">
        <v>0</v>
      </c>
      <c r="N312" s="257">
        <v>0</v>
      </c>
    </row>
    <row r="313" spans="1:14" s="143" customFormat="1" x14ac:dyDescent="0.25">
      <c r="A313" s="143" t="s">
        <v>334</v>
      </c>
      <c r="B313" s="143" t="s">
        <v>345</v>
      </c>
      <c r="C313" s="143" t="s">
        <v>103</v>
      </c>
      <c r="D313" s="143" t="s">
        <v>69</v>
      </c>
      <c r="E313" s="257">
        <v>1630280000</v>
      </c>
      <c r="F313" s="257">
        <v>1630280000</v>
      </c>
      <c r="G313" s="257">
        <v>1630280000</v>
      </c>
      <c r="H313" s="257">
        <v>0</v>
      </c>
      <c r="I313" s="257">
        <v>928435871</v>
      </c>
      <c r="J313" s="257">
        <v>0</v>
      </c>
      <c r="K313" s="257">
        <v>701844129</v>
      </c>
      <c r="L313" s="257">
        <v>701844129</v>
      </c>
      <c r="M313" s="257">
        <v>0</v>
      </c>
      <c r="N313" s="257">
        <v>0</v>
      </c>
    </row>
    <row r="314" spans="1:14" s="143" customFormat="1" x14ac:dyDescent="0.25">
      <c r="A314" s="143" t="s">
        <v>334</v>
      </c>
      <c r="B314" s="143" t="s">
        <v>104</v>
      </c>
      <c r="C314" s="143" t="s">
        <v>105</v>
      </c>
      <c r="D314" s="143" t="s">
        <v>69</v>
      </c>
      <c r="E314" s="257">
        <v>9869454182</v>
      </c>
      <c r="F314" s="257">
        <v>13869454182</v>
      </c>
      <c r="G314" s="257">
        <v>8449981708.3999996</v>
      </c>
      <c r="H314" s="257">
        <v>61006498.509999998</v>
      </c>
      <c r="I314" s="257">
        <v>1060007758</v>
      </c>
      <c r="J314" s="257">
        <v>462021817.82999998</v>
      </c>
      <c r="K314" s="257">
        <v>3051603990.3699999</v>
      </c>
      <c r="L314" s="257">
        <v>2971331515.25</v>
      </c>
      <c r="M314" s="257">
        <v>9234814117.2900009</v>
      </c>
      <c r="N314" s="257">
        <v>3815341643.6900001</v>
      </c>
    </row>
    <row r="315" spans="1:14" s="143" customFormat="1" x14ac:dyDescent="0.25">
      <c r="A315" s="143" t="s">
        <v>334</v>
      </c>
      <c r="B315" s="143" t="s">
        <v>106</v>
      </c>
      <c r="C315" s="143" t="s">
        <v>107</v>
      </c>
      <c r="D315" s="143" t="s">
        <v>69</v>
      </c>
      <c r="E315" s="257">
        <v>3181468559</v>
      </c>
      <c r="F315" s="257">
        <v>7181468559</v>
      </c>
      <c r="G315" s="257">
        <v>5170984067.8999996</v>
      </c>
      <c r="H315" s="257">
        <v>52159348.509999998</v>
      </c>
      <c r="I315" s="257">
        <v>258895746.09999999</v>
      </c>
      <c r="J315" s="257">
        <v>447517283.60000002</v>
      </c>
      <c r="K315" s="257">
        <v>1137059738.9100001</v>
      </c>
      <c r="L315" s="257">
        <v>1072647635.29</v>
      </c>
      <c r="M315" s="257">
        <v>5285836441.8800001</v>
      </c>
      <c r="N315" s="257">
        <v>3275351950.7800002</v>
      </c>
    </row>
    <row r="316" spans="1:14" s="143" customFormat="1" x14ac:dyDescent="0.25">
      <c r="A316" s="143" t="s">
        <v>334</v>
      </c>
      <c r="B316" s="143" t="s">
        <v>280</v>
      </c>
      <c r="C316" s="143" t="s">
        <v>281</v>
      </c>
      <c r="D316" s="143" t="s">
        <v>69</v>
      </c>
      <c r="E316" s="257">
        <v>431740903</v>
      </c>
      <c r="F316" s="257">
        <v>431740903</v>
      </c>
      <c r="G316" s="257">
        <v>215870451.80000001</v>
      </c>
      <c r="H316" s="257">
        <v>0</v>
      </c>
      <c r="I316" s="257">
        <v>69551197.189999998</v>
      </c>
      <c r="J316" s="257">
        <v>0</v>
      </c>
      <c r="K316" s="257">
        <v>146091092.88</v>
      </c>
      <c r="L316" s="257">
        <v>146091092.88</v>
      </c>
      <c r="M316" s="257">
        <v>216098612.93000001</v>
      </c>
      <c r="N316" s="257">
        <v>228161.73</v>
      </c>
    </row>
    <row r="317" spans="1:14" s="143" customFormat="1" x14ac:dyDescent="0.25">
      <c r="A317" s="143" t="s">
        <v>334</v>
      </c>
      <c r="B317" s="143" t="s">
        <v>108</v>
      </c>
      <c r="C317" s="143" t="s">
        <v>109</v>
      </c>
      <c r="D317" s="143" t="s">
        <v>69</v>
      </c>
      <c r="E317" s="257">
        <v>719138329</v>
      </c>
      <c r="F317" s="257">
        <v>719138329</v>
      </c>
      <c r="G317" s="257">
        <v>359569164.30000001</v>
      </c>
      <c r="H317" s="257">
        <v>0</v>
      </c>
      <c r="I317" s="257">
        <v>32864262.620000001</v>
      </c>
      <c r="J317" s="257">
        <v>0</v>
      </c>
      <c r="K317" s="257">
        <v>272164144.31</v>
      </c>
      <c r="L317" s="257">
        <v>209264289.03999999</v>
      </c>
      <c r="M317" s="257">
        <v>414109922.06999999</v>
      </c>
      <c r="N317" s="257">
        <v>54540757.369999997</v>
      </c>
    </row>
    <row r="318" spans="1:14" s="143" customFormat="1" x14ac:dyDescent="0.25">
      <c r="A318" s="143" t="s">
        <v>334</v>
      </c>
      <c r="B318" s="143" t="s">
        <v>304</v>
      </c>
      <c r="C318" s="143" t="s">
        <v>305</v>
      </c>
      <c r="D318" s="143" t="s">
        <v>69</v>
      </c>
      <c r="E318" s="257">
        <v>23472000</v>
      </c>
      <c r="F318" s="257">
        <v>23472000</v>
      </c>
      <c r="G318" s="257">
        <v>11736000</v>
      </c>
      <c r="H318" s="257">
        <v>0</v>
      </c>
      <c r="I318" s="257">
        <v>6854754.0599999996</v>
      </c>
      <c r="J318" s="257">
        <v>0</v>
      </c>
      <c r="K318" s="257">
        <v>1627014.4</v>
      </c>
      <c r="L318" s="257">
        <v>1627014.4</v>
      </c>
      <c r="M318" s="257">
        <v>14990231.539999999</v>
      </c>
      <c r="N318" s="257">
        <v>3254231.54</v>
      </c>
    </row>
    <row r="319" spans="1:14" s="143" customFormat="1" x14ac:dyDescent="0.25">
      <c r="A319" s="143" t="s">
        <v>334</v>
      </c>
      <c r="B319" s="143" t="s">
        <v>110</v>
      </c>
      <c r="C319" s="143" t="s">
        <v>111</v>
      </c>
      <c r="D319" s="143" t="s">
        <v>69</v>
      </c>
      <c r="E319" s="257">
        <v>2007117327</v>
      </c>
      <c r="F319" s="257">
        <v>2007117327</v>
      </c>
      <c r="G319" s="257">
        <v>583808451.79999995</v>
      </c>
      <c r="H319" s="257">
        <v>52159348.509999998</v>
      </c>
      <c r="I319" s="257">
        <v>149625532.22999999</v>
      </c>
      <c r="J319" s="257">
        <v>0</v>
      </c>
      <c r="K319" s="257">
        <v>273318076.62</v>
      </c>
      <c r="L319" s="257">
        <v>271805828.26999998</v>
      </c>
      <c r="M319" s="257">
        <v>1532014369.6400001</v>
      </c>
      <c r="N319" s="257">
        <v>108705494.44</v>
      </c>
    </row>
    <row r="320" spans="1:14" s="143" customFormat="1" x14ac:dyDescent="0.25">
      <c r="A320" s="143" t="s">
        <v>334</v>
      </c>
      <c r="B320" s="143" t="s">
        <v>110</v>
      </c>
      <c r="C320" s="143" t="s">
        <v>111</v>
      </c>
      <c r="D320" s="143" t="s">
        <v>85</v>
      </c>
      <c r="E320" s="257">
        <v>0</v>
      </c>
      <c r="F320" s="257">
        <v>4000000000</v>
      </c>
      <c r="G320" s="257">
        <v>4000000000</v>
      </c>
      <c r="H320" s="257">
        <v>0</v>
      </c>
      <c r="I320" s="257">
        <v>0</v>
      </c>
      <c r="J320" s="257">
        <v>447517283.60000002</v>
      </c>
      <c r="K320" s="257">
        <v>443859410.69999999</v>
      </c>
      <c r="L320" s="257">
        <v>443859410.69999999</v>
      </c>
      <c r="M320" s="257">
        <v>3108623305.6999998</v>
      </c>
      <c r="N320" s="257">
        <v>3108623305.6999998</v>
      </c>
    </row>
    <row r="321" spans="1:14" s="143" customFormat="1" x14ac:dyDescent="0.25">
      <c r="A321" s="143" t="s">
        <v>334</v>
      </c>
      <c r="B321" s="143" t="s">
        <v>112</v>
      </c>
      <c r="C321" s="143" t="s">
        <v>113</v>
      </c>
      <c r="D321" s="143" t="s">
        <v>69</v>
      </c>
      <c r="E321" s="257">
        <v>4328674526</v>
      </c>
      <c r="F321" s="257">
        <v>4328674526</v>
      </c>
      <c r="G321" s="257">
        <v>2187066229.5</v>
      </c>
      <c r="H321" s="257">
        <v>0</v>
      </c>
      <c r="I321" s="257">
        <v>461742144.05000001</v>
      </c>
      <c r="J321" s="257">
        <v>3242700</v>
      </c>
      <c r="K321" s="257">
        <v>1631068992.1800001</v>
      </c>
      <c r="L321" s="257">
        <v>1627616602.3800001</v>
      </c>
      <c r="M321" s="257">
        <v>2232620689.77</v>
      </c>
      <c r="N321" s="257">
        <v>91012393.269999996</v>
      </c>
    </row>
    <row r="322" spans="1:14" s="143" customFormat="1" x14ac:dyDescent="0.25">
      <c r="A322" s="143" t="s">
        <v>334</v>
      </c>
      <c r="B322" s="143" t="s">
        <v>114</v>
      </c>
      <c r="C322" s="143" t="s">
        <v>115</v>
      </c>
      <c r="D322" s="143" t="s">
        <v>69</v>
      </c>
      <c r="E322" s="257">
        <v>2503011786</v>
      </c>
      <c r="F322" s="257">
        <v>2503011786</v>
      </c>
      <c r="G322" s="257">
        <v>1251505893.5</v>
      </c>
      <c r="H322" s="257">
        <v>0</v>
      </c>
      <c r="I322" s="257">
        <v>318745537.5</v>
      </c>
      <c r="J322" s="257">
        <v>0</v>
      </c>
      <c r="K322" s="257">
        <v>932558925</v>
      </c>
      <c r="L322" s="257">
        <v>931783068</v>
      </c>
      <c r="M322" s="257">
        <v>1251707323.5</v>
      </c>
      <c r="N322" s="257">
        <v>201431</v>
      </c>
    </row>
    <row r="323" spans="1:14" s="143" customFormat="1" x14ac:dyDescent="0.25">
      <c r="A323" s="143" t="s">
        <v>334</v>
      </c>
      <c r="B323" s="143" t="s">
        <v>116</v>
      </c>
      <c r="C323" s="143" t="s">
        <v>117</v>
      </c>
      <c r="D323" s="143" t="s">
        <v>69</v>
      </c>
      <c r="E323" s="257">
        <v>973642474</v>
      </c>
      <c r="F323" s="257">
        <v>973642474</v>
      </c>
      <c r="G323" s="257">
        <v>460154570.5</v>
      </c>
      <c r="H323" s="257">
        <v>0</v>
      </c>
      <c r="I323" s="257">
        <v>42711723.950000003</v>
      </c>
      <c r="J323" s="257">
        <v>0</v>
      </c>
      <c r="K323" s="257">
        <v>416667010.55000001</v>
      </c>
      <c r="L323" s="257">
        <v>416582622.55000001</v>
      </c>
      <c r="M323" s="257">
        <v>514263739.5</v>
      </c>
      <c r="N323" s="257">
        <v>775836</v>
      </c>
    </row>
    <row r="324" spans="1:14" s="143" customFormat="1" x14ac:dyDescent="0.25">
      <c r="A324" s="143" t="s">
        <v>334</v>
      </c>
      <c r="B324" s="143" t="s">
        <v>118</v>
      </c>
      <c r="C324" s="143" t="s">
        <v>119</v>
      </c>
      <c r="D324" s="143" t="s">
        <v>69</v>
      </c>
      <c r="E324" s="257">
        <v>3942858</v>
      </c>
      <c r="F324" s="257">
        <v>3942858</v>
      </c>
      <c r="G324" s="257">
        <v>3942857.5</v>
      </c>
      <c r="H324" s="257">
        <v>0</v>
      </c>
      <c r="I324" s="257">
        <v>3026092.5</v>
      </c>
      <c r="J324" s="257">
        <v>0</v>
      </c>
      <c r="K324" s="257">
        <v>477870</v>
      </c>
      <c r="L324" s="257">
        <v>477870</v>
      </c>
      <c r="M324" s="257">
        <v>438895.5</v>
      </c>
      <c r="N324" s="257">
        <v>438895</v>
      </c>
    </row>
    <row r="325" spans="1:14" s="143" customFormat="1" x14ac:dyDescent="0.25">
      <c r="A325" s="143" t="s">
        <v>334</v>
      </c>
      <c r="B325" s="143" t="s">
        <v>120</v>
      </c>
      <c r="C325" s="143" t="s">
        <v>121</v>
      </c>
      <c r="D325" s="143" t="s">
        <v>69</v>
      </c>
      <c r="E325" s="257">
        <v>753229000</v>
      </c>
      <c r="F325" s="257">
        <v>753229000</v>
      </c>
      <c r="G325" s="257">
        <v>376614500</v>
      </c>
      <c r="H325" s="257">
        <v>0</v>
      </c>
      <c r="I325" s="257">
        <v>88089895.409999996</v>
      </c>
      <c r="J325" s="257">
        <v>0</v>
      </c>
      <c r="K325" s="257">
        <v>230971649.06</v>
      </c>
      <c r="L325" s="257">
        <v>228784061.06</v>
      </c>
      <c r="M325" s="257">
        <v>434167455.52999997</v>
      </c>
      <c r="N325" s="257">
        <v>57552955.530000001</v>
      </c>
    </row>
    <row r="326" spans="1:14" s="143" customFormat="1" x14ac:dyDescent="0.25">
      <c r="A326" s="143" t="s">
        <v>334</v>
      </c>
      <c r="B326" s="143" t="s">
        <v>122</v>
      </c>
      <c r="C326" s="143" t="s">
        <v>123</v>
      </c>
      <c r="D326" s="143" t="s">
        <v>69</v>
      </c>
      <c r="E326" s="257">
        <v>94848408</v>
      </c>
      <c r="F326" s="257">
        <v>94848408</v>
      </c>
      <c r="G326" s="257">
        <v>94848408</v>
      </c>
      <c r="H326" s="257">
        <v>0</v>
      </c>
      <c r="I326" s="257">
        <v>9168894.6899999995</v>
      </c>
      <c r="J326" s="257">
        <v>3242700</v>
      </c>
      <c r="K326" s="257">
        <v>50393537.57</v>
      </c>
      <c r="L326" s="257">
        <v>49988980.770000003</v>
      </c>
      <c r="M326" s="257">
        <v>32043275.739999998</v>
      </c>
      <c r="N326" s="257">
        <v>32043275.739999998</v>
      </c>
    </row>
    <row r="327" spans="1:14" s="143" customFormat="1" x14ac:dyDescent="0.25">
      <c r="A327" s="143" t="s">
        <v>334</v>
      </c>
      <c r="B327" s="143" t="s">
        <v>124</v>
      </c>
      <c r="C327" s="143" t="s">
        <v>125</v>
      </c>
      <c r="D327" s="143" t="s">
        <v>69</v>
      </c>
      <c r="E327" s="257">
        <v>4451091</v>
      </c>
      <c r="F327" s="257">
        <v>4451091</v>
      </c>
      <c r="G327" s="257">
        <v>3141090.75</v>
      </c>
      <c r="H327" s="257">
        <v>0</v>
      </c>
      <c r="I327" s="257">
        <v>926640</v>
      </c>
      <c r="J327" s="257">
        <v>0</v>
      </c>
      <c r="K327" s="257">
        <v>493470</v>
      </c>
      <c r="L327" s="257">
        <v>457470</v>
      </c>
      <c r="M327" s="257">
        <v>3030981</v>
      </c>
      <c r="N327" s="257">
        <v>1720980.75</v>
      </c>
    </row>
    <row r="328" spans="1:14" s="143" customFormat="1" x14ac:dyDescent="0.25">
      <c r="A328" s="143" t="s">
        <v>334</v>
      </c>
      <c r="B328" s="143" t="s">
        <v>126</v>
      </c>
      <c r="C328" s="143" t="s">
        <v>127</v>
      </c>
      <c r="D328" s="143" t="s">
        <v>69</v>
      </c>
      <c r="E328" s="257">
        <v>1831091</v>
      </c>
      <c r="F328" s="257">
        <v>1831091</v>
      </c>
      <c r="G328" s="257">
        <v>1831090.75</v>
      </c>
      <c r="H328" s="257">
        <v>0</v>
      </c>
      <c r="I328" s="257">
        <v>0</v>
      </c>
      <c r="J328" s="257">
        <v>0</v>
      </c>
      <c r="K328" s="257">
        <v>413470</v>
      </c>
      <c r="L328" s="257">
        <v>413470</v>
      </c>
      <c r="M328" s="257">
        <v>1417621</v>
      </c>
      <c r="N328" s="257">
        <v>1417620.75</v>
      </c>
    </row>
    <row r="329" spans="1:14" s="143" customFormat="1" x14ac:dyDescent="0.25">
      <c r="A329" s="143" t="s">
        <v>334</v>
      </c>
      <c r="B329" s="143" t="s">
        <v>128</v>
      </c>
      <c r="C329" s="143" t="s">
        <v>129</v>
      </c>
      <c r="D329" s="143" t="s">
        <v>69</v>
      </c>
      <c r="E329" s="257">
        <v>2620000</v>
      </c>
      <c r="F329" s="257">
        <v>2620000</v>
      </c>
      <c r="G329" s="257">
        <v>1310000</v>
      </c>
      <c r="H329" s="257">
        <v>0</v>
      </c>
      <c r="I329" s="257">
        <v>926640</v>
      </c>
      <c r="J329" s="257">
        <v>0</v>
      </c>
      <c r="K329" s="257">
        <v>80000</v>
      </c>
      <c r="L329" s="257">
        <v>44000</v>
      </c>
      <c r="M329" s="257">
        <v>1613360</v>
      </c>
      <c r="N329" s="257">
        <v>303360</v>
      </c>
    </row>
    <row r="330" spans="1:14" s="143" customFormat="1" x14ac:dyDescent="0.25">
      <c r="A330" s="143" t="s">
        <v>334</v>
      </c>
      <c r="B330" s="143" t="s">
        <v>134</v>
      </c>
      <c r="C330" s="143" t="s">
        <v>135</v>
      </c>
      <c r="D330" s="143" t="s">
        <v>69</v>
      </c>
      <c r="E330" s="257">
        <v>310063679</v>
      </c>
      <c r="F330" s="257">
        <v>310063679</v>
      </c>
      <c r="G330" s="257">
        <v>165502169.68000001</v>
      </c>
      <c r="H330" s="257">
        <v>0</v>
      </c>
      <c r="I330" s="257">
        <v>32345297.460000001</v>
      </c>
      <c r="J330" s="257">
        <v>9601834.2300000004</v>
      </c>
      <c r="K330" s="257">
        <v>33462663.260000002</v>
      </c>
      <c r="L330" s="257">
        <v>33315553.260000002</v>
      </c>
      <c r="M330" s="257">
        <v>234653884.05000001</v>
      </c>
      <c r="N330" s="257">
        <v>90092374.730000004</v>
      </c>
    </row>
    <row r="331" spans="1:14" s="143" customFormat="1" x14ac:dyDescent="0.25">
      <c r="A331" s="143" t="s">
        <v>334</v>
      </c>
      <c r="B331" s="143" t="s">
        <v>346</v>
      </c>
      <c r="C331" s="143" t="s">
        <v>347</v>
      </c>
      <c r="D331" s="143" t="s">
        <v>69</v>
      </c>
      <c r="E331" s="257">
        <v>21381819</v>
      </c>
      <c r="F331" s="257">
        <v>21381819</v>
      </c>
      <c r="G331" s="257">
        <v>21381818.75</v>
      </c>
      <c r="H331" s="257">
        <v>0</v>
      </c>
      <c r="I331" s="257">
        <v>4190000</v>
      </c>
      <c r="J331" s="257">
        <v>0</v>
      </c>
      <c r="K331" s="257">
        <v>4166088</v>
      </c>
      <c r="L331" s="257">
        <v>4166088</v>
      </c>
      <c r="M331" s="257">
        <v>13025731</v>
      </c>
      <c r="N331" s="257">
        <v>13025730.75</v>
      </c>
    </row>
    <row r="332" spans="1:14" s="143" customFormat="1" x14ac:dyDescent="0.25">
      <c r="A332" s="143" t="s">
        <v>334</v>
      </c>
      <c r="B332" s="143" t="s">
        <v>308</v>
      </c>
      <c r="C332" s="143" t="s">
        <v>309</v>
      </c>
      <c r="D332" s="143" t="s">
        <v>69</v>
      </c>
      <c r="E332" s="257">
        <v>106119000</v>
      </c>
      <c r="F332" s="257">
        <v>106119000</v>
      </c>
      <c r="G332" s="257">
        <v>53059500</v>
      </c>
      <c r="H332" s="257">
        <v>0</v>
      </c>
      <c r="I332" s="257">
        <v>23909262.780000001</v>
      </c>
      <c r="J332" s="257">
        <v>0</v>
      </c>
      <c r="K332" s="257">
        <v>4135000</v>
      </c>
      <c r="L332" s="257">
        <v>4125000</v>
      </c>
      <c r="M332" s="257">
        <v>78074737.219999999</v>
      </c>
      <c r="N332" s="257">
        <v>25015237.219999999</v>
      </c>
    </row>
    <row r="333" spans="1:14" s="143" customFormat="1" x14ac:dyDescent="0.25">
      <c r="A333" s="143" t="s">
        <v>334</v>
      </c>
      <c r="B333" s="143" t="s">
        <v>136</v>
      </c>
      <c r="C333" s="143" t="s">
        <v>137</v>
      </c>
      <c r="D333" s="143" t="s">
        <v>69</v>
      </c>
      <c r="E333" s="257">
        <v>126000000</v>
      </c>
      <c r="F333" s="257">
        <v>126000000</v>
      </c>
      <c r="G333" s="257">
        <v>57000000</v>
      </c>
      <c r="H333" s="257">
        <v>0</v>
      </c>
      <c r="I333" s="257">
        <v>577454.6</v>
      </c>
      <c r="J333" s="257">
        <v>9601834.2300000004</v>
      </c>
      <c r="K333" s="257">
        <v>16442191.359999999</v>
      </c>
      <c r="L333" s="257">
        <v>16442191.359999999</v>
      </c>
      <c r="M333" s="257">
        <v>99378519.810000002</v>
      </c>
      <c r="N333" s="257">
        <v>30378519.809999999</v>
      </c>
    </row>
    <row r="334" spans="1:14" s="143" customFormat="1" x14ac:dyDescent="0.25">
      <c r="A334" s="143" t="s">
        <v>334</v>
      </c>
      <c r="B334" s="143" t="s">
        <v>138</v>
      </c>
      <c r="C334" s="143" t="s">
        <v>139</v>
      </c>
      <c r="D334" s="143" t="s">
        <v>69</v>
      </c>
      <c r="E334" s="257">
        <v>56562860</v>
      </c>
      <c r="F334" s="257">
        <v>56562860</v>
      </c>
      <c r="G334" s="257">
        <v>34060850.93</v>
      </c>
      <c r="H334" s="257">
        <v>0</v>
      </c>
      <c r="I334" s="257">
        <v>3668580.08</v>
      </c>
      <c r="J334" s="257">
        <v>0</v>
      </c>
      <c r="K334" s="257">
        <v>8719383.9000000004</v>
      </c>
      <c r="L334" s="257">
        <v>8582273.9000000004</v>
      </c>
      <c r="M334" s="257">
        <v>44174896.020000003</v>
      </c>
      <c r="N334" s="257">
        <v>21672886.949999999</v>
      </c>
    </row>
    <row r="335" spans="1:14" s="143" customFormat="1" x14ac:dyDescent="0.25">
      <c r="A335" s="143" t="s">
        <v>334</v>
      </c>
      <c r="B335" s="143" t="s">
        <v>140</v>
      </c>
      <c r="C335" s="143" t="s">
        <v>141</v>
      </c>
      <c r="D335" s="143" t="s">
        <v>69</v>
      </c>
      <c r="E335" s="257">
        <v>128523280</v>
      </c>
      <c r="F335" s="257">
        <v>128523280</v>
      </c>
      <c r="G335" s="257">
        <v>71161343.019999996</v>
      </c>
      <c r="H335" s="257">
        <v>847150</v>
      </c>
      <c r="I335" s="257">
        <v>26725740</v>
      </c>
      <c r="J335" s="257">
        <v>0</v>
      </c>
      <c r="K335" s="257">
        <v>33919720</v>
      </c>
      <c r="L335" s="257">
        <v>33901070</v>
      </c>
      <c r="M335" s="257">
        <v>67030670</v>
      </c>
      <c r="N335" s="257">
        <v>9668733.0199999996</v>
      </c>
    </row>
    <row r="336" spans="1:14" s="143" customFormat="1" x14ac:dyDescent="0.25">
      <c r="A336" s="143" t="s">
        <v>334</v>
      </c>
      <c r="B336" s="143" t="s">
        <v>142</v>
      </c>
      <c r="C336" s="143" t="s">
        <v>143</v>
      </c>
      <c r="D336" s="143" t="s">
        <v>69</v>
      </c>
      <c r="E336" s="257">
        <v>4829000</v>
      </c>
      <c r="F336" s="257">
        <v>4829000</v>
      </c>
      <c r="G336" s="257">
        <v>3619140</v>
      </c>
      <c r="H336" s="257">
        <v>0</v>
      </c>
      <c r="I336" s="257">
        <v>509540</v>
      </c>
      <c r="J336" s="257">
        <v>0</v>
      </c>
      <c r="K336" s="257">
        <v>1130120</v>
      </c>
      <c r="L336" s="257">
        <v>1130120</v>
      </c>
      <c r="M336" s="257">
        <v>3189340</v>
      </c>
      <c r="N336" s="257">
        <v>1979480</v>
      </c>
    </row>
    <row r="337" spans="1:14" s="143" customFormat="1" x14ac:dyDescent="0.25">
      <c r="A337" s="143" t="s">
        <v>334</v>
      </c>
      <c r="B337" s="143" t="s">
        <v>144</v>
      </c>
      <c r="C337" s="143" t="s">
        <v>145</v>
      </c>
      <c r="D337" s="143" t="s">
        <v>69</v>
      </c>
      <c r="E337" s="257">
        <v>119154137</v>
      </c>
      <c r="F337" s="257">
        <v>119154137</v>
      </c>
      <c r="G337" s="257">
        <v>66407167.270000003</v>
      </c>
      <c r="H337" s="257">
        <v>847150</v>
      </c>
      <c r="I337" s="257">
        <v>26216200</v>
      </c>
      <c r="J337" s="257">
        <v>0</v>
      </c>
      <c r="K337" s="257">
        <v>32789600</v>
      </c>
      <c r="L337" s="257">
        <v>32770950</v>
      </c>
      <c r="M337" s="257">
        <v>59301187</v>
      </c>
      <c r="N337" s="257">
        <v>6554217.2699999996</v>
      </c>
    </row>
    <row r="338" spans="1:14" s="143" customFormat="1" x14ac:dyDescent="0.25">
      <c r="A338" s="143" t="s">
        <v>334</v>
      </c>
      <c r="B338" s="143" t="s">
        <v>146</v>
      </c>
      <c r="C338" s="143" t="s">
        <v>147</v>
      </c>
      <c r="D338" s="143" t="s">
        <v>69</v>
      </c>
      <c r="E338" s="257">
        <v>2851000</v>
      </c>
      <c r="F338" s="257">
        <v>2851000</v>
      </c>
      <c r="G338" s="257">
        <v>712750</v>
      </c>
      <c r="H338" s="257">
        <v>0</v>
      </c>
      <c r="I338" s="257">
        <v>0</v>
      </c>
      <c r="J338" s="257">
        <v>0</v>
      </c>
      <c r="K338" s="257">
        <v>0</v>
      </c>
      <c r="L338" s="257">
        <v>0</v>
      </c>
      <c r="M338" s="257">
        <v>2851000</v>
      </c>
      <c r="N338" s="257">
        <v>712750</v>
      </c>
    </row>
    <row r="339" spans="1:14" s="143" customFormat="1" x14ac:dyDescent="0.25">
      <c r="A339" s="143" t="s">
        <v>334</v>
      </c>
      <c r="B339" s="143" t="s">
        <v>148</v>
      </c>
      <c r="C339" s="143" t="s">
        <v>149</v>
      </c>
      <c r="D339" s="143" t="s">
        <v>69</v>
      </c>
      <c r="E339" s="257">
        <v>1689143</v>
      </c>
      <c r="F339" s="257">
        <v>1689143</v>
      </c>
      <c r="G339" s="257">
        <v>422285.75</v>
      </c>
      <c r="H339" s="257">
        <v>0</v>
      </c>
      <c r="I339" s="257">
        <v>0</v>
      </c>
      <c r="J339" s="257">
        <v>0</v>
      </c>
      <c r="K339" s="257">
        <v>0</v>
      </c>
      <c r="L339" s="257">
        <v>0</v>
      </c>
      <c r="M339" s="257">
        <v>1689143</v>
      </c>
      <c r="N339" s="257">
        <v>422285.75</v>
      </c>
    </row>
    <row r="340" spans="1:14" s="143" customFormat="1" x14ac:dyDescent="0.25">
      <c r="A340" s="143" t="s">
        <v>334</v>
      </c>
      <c r="B340" s="143" t="s">
        <v>150</v>
      </c>
      <c r="C340" s="143" t="s">
        <v>151</v>
      </c>
      <c r="D340" s="143" t="s">
        <v>69</v>
      </c>
      <c r="E340" s="257">
        <v>1290997262</v>
      </c>
      <c r="F340" s="257">
        <v>1244459372.29</v>
      </c>
      <c r="G340" s="257">
        <v>276054377.79000002</v>
      </c>
      <c r="H340" s="257">
        <v>0</v>
      </c>
      <c r="I340" s="257">
        <v>130403630.40000001</v>
      </c>
      <c r="J340" s="257">
        <v>0</v>
      </c>
      <c r="K340" s="257">
        <v>109156057.59999999</v>
      </c>
      <c r="L340" s="257">
        <v>109156057.59999999</v>
      </c>
      <c r="M340" s="257">
        <v>1004899684.29</v>
      </c>
      <c r="N340" s="257">
        <v>36494689.789999999</v>
      </c>
    </row>
    <row r="341" spans="1:14" s="143" customFormat="1" x14ac:dyDescent="0.25">
      <c r="A341" s="143" t="s">
        <v>334</v>
      </c>
      <c r="B341" s="143" t="s">
        <v>152</v>
      </c>
      <c r="C341" s="143" t="s">
        <v>153</v>
      </c>
      <c r="D341" s="143" t="s">
        <v>69</v>
      </c>
      <c r="E341" s="257">
        <v>1290997262</v>
      </c>
      <c r="F341" s="257">
        <v>1244459372.29</v>
      </c>
      <c r="G341" s="257">
        <v>276054377.79000002</v>
      </c>
      <c r="H341" s="257">
        <v>0</v>
      </c>
      <c r="I341" s="257">
        <v>130403630.40000001</v>
      </c>
      <c r="J341" s="257">
        <v>0</v>
      </c>
      <c r="K341" s="257">
        <v>109156057.59999999</v>
      </c>
      <c r="L341" s="257">
        <v>109156057.59999999</v>
      </c>
      <c r="M341" s="257">
        <v>1004899684.29</v>
      </c>
      <c r="N341" s="257">
        <v>36494689.789999999</v>
      </c>
    </row>
    <row r="342" spans="1:14" s="143" customFormat="1" x14ac:dyDescent="0.25">
      <c r="A342" s="143" t="s">
        <v>334</v>
      </c>
      <c r="B342" s="143" t="s">
        <v>154</v>
      </c>
      <c r="C342" s="143" t="s">
        <v>155</v>
      </c>
      <c r="D342" s="143" t="s">
        <v>69</v>
      </c>
      <c r="E342" s="257">
        <v>1413715</v>
      </c>
      <c r="F342" s="257">
        <v>1413715</v>
      </c>
      <c r="G342" s="257">
        <v>1413714.75</v>
      </c>
      <c r="H342" s="257">
        <v>0</v>
      </c>
      <c r="I342" s="257">
        <v>0</v>
      </c>
      <c r="J342" s="257">
        <v>0</v>
      </c>
      <c r="K342" s="257">
        <v>0</v>
      </c>
      <c r="L342" s="257">
        <v>0</v>
      </c>
      <c r="M342" s="257">
        <v>1413715</v>
      </c>
      <c r="N342" s="257">
        <v>1413714.75</v>
      </c>
    </row>
    <row r="343" spans="1:14" s="143" customFormat="1" x14ac:dyDescent="0.25">
      <c r="A343" s="143" t="s">
        <v>334</v>
      </c>
      <c r="B343" s="143" t="s">
        <v>156</v>
      </c>
      <c r="C343" s="143" t="s">
        <v>157</v>
      </c>
      <c r="D343" s="143" t="s">
        <v>69</v>
      </c>
      <c r="E343" s="257">
        <v>1413715</v>
      </c>
      <c r="F343" s="257">
        <v>1413715</v>
      </c>
      <c r="G343" s="257">
        <v>1413714.75</v>
      </c>
      <c r="H343" s="257">
        <v>0</v>
      </c>
      <c r="I343" s="257">
        <v>0</v>
      </c>
      <c r="J343" s="257">
        <v>0</v>
      </c>
      <c r="K343" s="257">
        <v>0</v>
      </c>
      <c r="L343" s="257">
        <v>0</v>
      </c>
      <c r="M343" s="257">
        <v>1413715</v>
      </c>
      <c r="N343" s="257">
        <v>1413714.75</v>
      </c>
    </row>
    <row r="344" spans="1:14" s="143" customFormat="1" x14ac:dyDescent="0.25">
      <c r="A344" s="143" t="s">
        <v>334</v>
      </c>
      <c r="B344" s="143" t="s">
        <v>162</v>
      </c>
      <c r="C344" s="143" t="s">
        <v>163</v>
      </c>
      <c r="D344" s="143" t="s">
        <v>69</v>
      </c>
      <c r="E344" s="257">
        <v>594069615</v>
      </c>
      <c r="F344" s="257">
        <v>594069615</v>
      </c>
      <c r="G344" s="257">
        <v>511724597.55000001</v>
      </c>
      <c r="H344" s="257">
        <v>8000000</v>
      </c>
      <c r="I344" s="257">
        <v>138632135</v>
      </c>
      <c r="J344" s="257">
        <v>1660000</v>
      </c>
      <c r="K344" s="257">
        <v>101578407.45</v>
      </c>
      <c r="L344" s="257">
        <v>89372185.75</v>
      </c>
      <c r="M344" s="257">
        <v>344199072.55000001</v>
      </c>
      <c r="N344" s="257">
        <v>261854055.09999999</v>
      </c>
    </row>
    <row r="345" spans="1:14" s="143" customFormat="1" x14ac:dyDescent="0.25">
      <c r="A345" s="143" t="s">
        <v>334</v>
      </c>
      <c r="B345" s="143" t="s">
        <v>310</v>
      </c>
      <c r="C345" s="143" t="s">
        <v>311</v>
      </c>
      <c r="D345" s="143" t="s">
        <v>69</v>
      </c>
      <c r="E345" s="257">
        <v>125656000</v>
      </c>
      <c r="F345" s="257">
        <v>125656000</v>
      </c>
      <c r="G345" s="257">
        <v>62828000</v>
      </c>
      <c r="H345" s="257">
        <v>0</v>
      </c>
      <c r="I345" s="257">
        <v>0</v>
      </c>
      <c r="J345" s="257">
        <v>0</v>
      </c>
      <c r="K345" s="257">
        <v>13349017</v>
      </c>
      <c r="L345" s="257">
        <v>13349017</v>
      </c>
      <c r="M345" s="257">
        <v>112306983</v>
      </c>
      <c r="N345" s="257">
        <v>49478983</v>
      </c>
    </row>
    <row r="346" spans="1:14" s="143" customFormat="1" x14ac:dyDescent="0.25">
      <c r="A346" s="143" t="s">
        <v>334</v>
      </c>
      <c r="B346" s="143" t="s">
        <v>164</v>
      </c>
      <c r="C346" s="143" t="s">
        <v>165</v>
      </c>
      <c r="D346" s="143" t="s">
        <v>69</v>
      </c>
      <c r="E346" s="257">
        <v>188229817</v>
      </c>
      <c r="F346" s="257">
        <v>188229817</v>
      </c>
      <c r="G346" s="257">
        <v>188229817</v>
      </c>
      <c r="H346" s="257">
        <v>0</v>
      </c>
      <c r="I346" s="257">
        <v>44081554.479999997</v>
      </c>
      <c r="J346" s="257">
        <v>0</v>
      </c>
      <c r="K346" s="257">
        <v>54525875.229999997</v>
      </c>
      <c r="L346" s="257">
        <v>54525875.229999997</v>
      </c>
      <c r="M346" s="257">
        <v>89622387.290000007</v>
      </c>
      <c r="N346" s="257">
        <v>89622387.290000007</v>
      </c>
    </row>
    <row r="347" spans="1:14" s="143" customFormat="1" x14ac:dyDescent="0.25">
      <c r="A347" s="143" t="s">
        <v>334</v>
      </c>
      <c r="B347" s="143" t="s">
        <v>166</v>
      </c>
      <c r="C347" s="143" t="s">
        <v>167</v>
      </c>
      <c r="D347" s="143" t="s">
        <v>69</v>
      </c>
      <c r="E347" s="257">
        <v>95028648</v>
      </c>
      <c r="F347" s="257">
        <v>95028648</v>
      </c>
      <c r="G347" s="257">
        <v>95028648</v>
      </c>
      <c r="H347" s="257">
        <v>8000000</v>
      </c>
      <c r="I347" s="257">
        <v>30741005.489999998</v>
      </c>
      <c r="J347" s="257">
        <v>0</v>
      </c>
      <c r="K347" s="257">
        <v>13217330.140000001</v>
      </c>
      <c r="L347" s="257">
        <v>13214915.140000001</v>
      </c>
      <c r="M347" s="257">
        <v>43070312.369999997</v>
      </c>
      <c r="N347" s="257">
        <v>43070312.369999997</v>
      </c>
    </row>
    <row r="348" spans="1:14" s="143" customFormat="1" x14ac:dyDescent="0.25">
      <c r="A348" s="143" t="s">
        <v>334</v>
      </c>
      <c r="B348" s="143" t="s">
        <v>312</v>
      </c>
      <c r="C348" s="143" t="s">
        <v>313</v>
      </c>
      <c r="D348" s="143" t="s">
        <v>69</v>
      </c>
      <c r="E348" s="257">
        <v>6300000</v>
      </c>
      <c r="F348" s="257">
        <v>6300000</v>
      </c>
      <c r="G348" s="257">
        <v>6300000</v>
      </c>
      <c r="H348" s="257">
        <v>0</v>
      </c>
      <c r="I348" s="257">
        <v>0</v>
      </c>
      <c r="J348" s="257">
        <v>0</v>
      </c>
      <c r="K348" s="257">
        <v>0</v>
      </c>
      <c r="L348" s="257">
        <v>0</v>
      </c>
      <c r="M348" s="257">
        <v>6300000</v>
      </c>
      <c r="N348" s="257">
        <v>6300000</v>
      </c>
    </row>
    <row r="349" spans="1:14" s="143" customFormat="1" x14ac:dyDescent="0.25">
      <c r="A349" s="143" t="s">
        <v>334</v>
      </c>
      <c r="B349" s="143" t="s">
        <v>168</v>
      </c>
      <c r="C349" s="143" t="s">
        <v>169</v>
      </c>
      <c r="D349" s="143" t="s">
        <v>69</v>
      </c>
      <c r="E349" s="257">
        <v>11141667</v>
      </c>
      <c r="F349" s="257">
        <v>11141667</v>
      </c>
      <c r="G349" s="257">
        <v>11141666.75</v>
      </c>
      <c r="H349" s="257">
        <v>0</v>
      </c>
      <c r="I349" s="257">
        <v>239000</v>
      </c>
      <c r="J349" s="257">
        <v>1660000</v>
      </c>
      <c r="K349" s="257">
        <v>1665000</v>
      </c>
      <c r="L349" s="257">
        <v>665000</v>
      </c>
      <c r="M349" s="257">
        <v>7577667</v>
      </c>
      <c r="N349" s="257">
        <v>7577666.75</v>
      </c>
    </row>
    <row r="350" spans="1:14" s="143" customFormat="1" x14ac:dyDescent="0.25">
      <c r="A350" s="143" t="s">
        <v>334</v>
      </c>
      <c r="B350" s="143" t="s">
        <v>170</v>
      </c>
      <c r="C350" s="143" t="s">
        <v>171</v>
      </c>
      <c r="D350" s="143" t="s">
        <v>69</v>
      </c>
      <c r="E350" s="257">
        <v>40562000</v>
      </c>
      <c r="F350" s="257">
        <v>40562000</v>
      </c>
      <c r="G350" s="257">
        <v>21044983</v>
      </c>
      <c r="H350" s="257">
        <v>0</v>
      </c>
      <c r="I350" s="257">
        <v>1130000</v>
      </c>
      <c r="J350" s="257">
        <v>0</v>
      </c>
      <c r="K350" s="257">
        <v>4354712.9800000004</v>
      </c>
      <c r="L350" s="257">
        <v>4354712.9800000004</v>
      </c>
      <c r="M350" s="257">
        <v>35077287.020000003</v>
      </c>
      <c r="N350" s="257">
        <v>15560270.02</v>
      </c>
    </row>
    <row r="351" spans="1:14" s="143" customFormat="1" x14ac:dyDescent="0.25">
      <c r="A351" s="143" t="s">
        <v>334</v>
      </c>
      <c r="B351" s="143" t="s">
        <v>172</v>
      </c>
      <c r="C351" s="143" t="s">
        <v>173</v>
      </c>
      <c r="D351" s="143" t="s">
        <v>69</v>
      </c>
      <c r="E351" s="257">
        <v>127151483</v>
      </c>
      <c r="F351" s="257">
        <v>127151483</v>
      </c>
      <c r="G351" s="257">
        <v>127151482.8</v>
      </c>
      <c r="H351" s="257">
        <v>0</v>
      </c>
      <c r="I351" s="257">
        <v>62440575.030000001</v>
      </c>
      <c r="J351" s="257">
        <v>0</v>
      </c>
      <c r="K351" s="257">
        <v>14466472.1</v>
      </c>
      <c r="L351" s="257">
        <v>3262665.4</v>
      </c>
      <c r="M351" s="257">
        <v>50244435.869999997</v>
      </c>
      <c r="N351" s="257">
        <v>50244435.670000002</v>
      </c>
    </row>
    <row r="352" spans="1:14" s="143" customFormat="1" x14ac:dyDescent="0.25">
      <c r="A352" s="143" t="s">
        <v>334</v>
      </c>
      <c r="B352" s="143" t="s">
        <v>174</v>
      </c>
      <c r="C352" s="143" t="s">
        <v>175</v>
      </c>
      <c r="D352" s="143" t="s">
        <v>69</v>
      </c>
      <c r="E352" s="257">
        <v>11126154</v>
      </c>
      <c r="F352" s="257">
        <v>11126154</v>
      </c>
      <c r="G352" s="257">
        <v>5563077.5</v>
      </c>
      <c r="H352" s="257">
        <v>0</v>
      </c>
      <c r="I352" s="257">
        <v>1732219</v>
      </c>
      <c r="J352" s="257">
        <v>0</v>
      </c>
      <c r="K352" s="257">
        <v>78882</v>
      </c>
      <c r="L352" s="257">
        <v>78882</v>
      </c>
      <c r="M352" s="257">
        <v>9315053</v>
      </c>
      <c r="N352" s="257">
        <v>3751976.5</v>
      </c>
    </row>
    <row r="353" spans="1:14" s="143" customFormat="1" x14ac:dyDescent="0.25">
      <c r="A353" s="143" t="s">
        <v>334</v>
      </c>
      <c r="B353" s="143" t="s">
        <v>176</v>
      </c>
      <c r="C353" s="143" t="s">
        <v>177</v>
      </c>
      <c r="D353" s="143" t="s">
        <v>69</v>
      </c>
      <c r="E353" s="257">
        <v>11126154</v>
      </c>
      <c r="F353" s="257">
        <v>11126154</v>
      </c>
      <c r="G353" s="257">
        <v>5563077.5</v>
      </c>
      <c r="H353" s="257">
        <v>0</v>
      </c>
      <c r="I353" s="257">
        <v>1732219</v>
      </c>
      <c r="J353" s="257">
        <v>0</v>
      </c>
      <c r="K353" s="257">
        <v>78882</v>
      </c>
      <c r="L353" s="257">
        <v>78882</v>
      </c>
      <c r="M353" s="257">
        <v>9315053</v>
      </c>
      <c r="N353" s="257">
        <v>3751976.5</v>
      </c>
    </row>
    <row r="354" spans="1:14" s="143" customFormat="1" x14ac:dyDescent="0.25">
      <c r="A354" s="143" t="s">
        <v>334</v>
      </c>
      <c r="B354" s="143" t="s">
        <v>178</v>
      </c>
      <c r="C354" s="143" t="s">
        <v>179</v>
      </c>
      <c r="D354" s="143" t="s">
        <v>69</v>
      </c>
      <c r="E354" s="257">
        <v>18666301</v>
      </c>
      <c r="F354" s="257">
        <v>65204190.710000001</v>
      </c>
      <c r="G354" s="257">
        <v>57371039.960000001</v>
      </c>
      <c r="H354" s="257">
        <v>0</v>
      </c>
      <c r="I354" s="257">
        <v>8604205.9900000002</v>
      </c>
      <c r="J354" s="257">
        <v>0</v>
      </c>
      <c r="K354" s="257">
        <v>4786058.97</v>
      </c>
      <c r="L354" s="257">
        <v>4786058.97</v>
      </c>
      <c r="M354" s="257">
        <v>51813925.75</v>
      </c>
      <c r="N354" s="257">
        <v>43980775</v>
      </c>
    </row>
    <row r="355" spans="1:14" s="143" customFormat="1" x14ac:dyDescent="0.25">
      <c r="A355" s="143" t="s">
        <v>334</v>
      </c>
      <c r="B355" s="143" t="s">
        <v>348</v>
      </c>
      <c r="C355" s="143" t="s">
        <v>349</v>
      </c>
      <c r="D355" s="143" t="s">
        <v>69</v>
      </c>
      <c r="E355" s="257">
        <v>3000000</v>
      </c>
      <c r="F355" s="257">
        <v>3000000</v>
      </c>
      <c r="G355" s="257">
        <v>3000000</v>
      </c>
      <c r="H355" s="257">
        <v>0</v>
      </c>
      <c r="I355" s="257">
        <v>248971.98</v>
      </c>
      <c r="J355" s="257">
        <v>0</v>
      </c>
      <c r="K355" s="257">
        <v>1190453.46</v>
      </c>
      <c r="L355" s="257">
        <v>1190453.46</v>
      </c>
      <c r="M355" s="257">
        <v>1560574.56</v>
      </c>
      <c r="N355" s="257">
        <v>1560574.56</v>
      </c>
    </row>
    <row r="356" spans="1:14" s="143" customFormat="1" x14ac:dyDescent="0.25">
      <c r="A356" s="143" t="s">
        <v>334</v>
      </c>
      <c r="B356" s="143" t="s">
        <v>180</v>
      </c>
      <c r="C356" s="143" t="s">
        <v>181</v>
      </c>
      <c r="D356" s="143" t="s">
        <v>69</v>
      </c>
      <c r="E356" s="257">
        <v>1275676</v>
      </c>
      <c r="F356" s="257">
        <v>47166460.710000001</v>
      </c>
      <c r="G356" s="257">
        <v>46528622.710000001</v>
      </c>
      <c r="H356" s="257">
        <v>0</v>
      </c>
      <c r="I356" s="257">
        <v>5413571.0099999998</v>
      </c>
      <c r="J356" s="257">
        <v>0</v>
      </c>
      <c r="K356" s="257">
        <v>431850.51</v>
      </c>
      <c r="L356" s="257">
        <v>431850.51</v>
      </c>
      <c r="M356" s="257">
        <v>41321039.189999998</v>
      </c>
      <c r="N356" s="257">
        <v>40683201.189999998</v>
      </c>
    </row>
    <row r="357" spans="1:14" s="143" customFormat="1" x14ac:dyDescent="0.25">
      <c r="A357" s="143" t="s">
        <v>334</v>
      </c>
      <c r="B357" s="143" t="s">
        <v>182</v>
      </c>
      <c r="C357" s="143" t="s">
        <v>183</v>
      </c>
      <c r="D357" s="143" t="s">
        <v>69</v>
      </c>
      <c r="E357" s="257">
        <v>14390625</v>
      </c>
      <c r="F357" s="257">
        <v>15037730</v>
      </c>
      <c r="G357" s="257">
        <v>7842417.25</v>
      </c>
      <c r="H357" s="257">
        <v>0</v>
      </c>
      <c r="I357" s="257">
        <v>2941663</v>
      </c>
      <c r="J357" s="257">
        <v>0</v>
      </c>
      <c r="K357" s="257">
        <v>3163755</v>
      </c>
      <c r="L357" s="257">
        <v>3163755</v>
      </c>
      <c r="M357" s="257">
        <v>8932312</v>
      </c>
      <c r="N357" s="257">
        <v>1736999.25</v>
      </c>
    </row>
    <row r="358" spans="1:14" s="143" customFormat="1" x14ac:dyDescent="0.25">
      <c r="A358" s="143" t="s">
        <v>334</v>
      </c>
      <c r="B358" s="143" t="s">
        <v>184</v>
      </c>
      <c r="C358" s="143" t="s">
        <v>185</v>
      </c>
      <c r="D358" s="143" t="s">
        <v>69</v>
      </c>
      <c r="E358" s="257">
        <v>14015826994</v>
      </c>
      <c r="F358" s="257">
        <v>14015826994</v>
      </c>
      <c r="G358" s="257">
        <v>7642003856.5</v>
      </c>
      <c r="H358" s="257">
        <v>48516075</v>
      </c>
      <c r="I358" s="257">
        <v>2073494801.04</v>
      </c>
      <c r="J358" s="257">
        <v>8281661.5800000001</v>
      </c>
      <c r="K358" s="257">
        <v>4102576138.0799999</v>
      </c>
      <c r="L358" s="257">
        <v>3537346993.23</v>
      </c>
      <c r="M358" s="257">
        <v>7782958318.3000002</v>
      </c>
      <c r="N358" s="257">
        <v>1409135180.8</v>
      </c>
    </row>
    <row r="359" spans="1:14" s="143" customFormat="1" x14ac:dyDescent="0.25">
      <c r="A359" s="143" t="s">
        <v>334</v>
      </c>
      <c r="B359" s="143" t="s">
        <v>186</v>
      </c>
      <c r="C359" s="143" t="s">
        <v>187</v>
      </c>
      <c r="D359" s="143" t="s">
        <v>69</v>
      </c>
      <c r="E359" s="257">
        <v>777682724</v>
      </c>
      <c r="F359" s="257">
        <v>777682724</v>
      </c>
      <c r="G359" s="257">
        <v>408027862</v>
      </c>
      <c r="H359" s="257">
        <v>0</v>
      </c>
      <c r="I359" s="257">
        <v>98454383.319999993</v>
      </c>
      <c r="J359" s="257">
        <v>0</v>
      </c>
      <c r="K359" s="257">
        <v>240527719.28</v>
      </c>
      <c r="L359" s="257">
        <v>196193437.31999999</v>
      </c>
      <c r="M359" s="257">
        <v>438700621.39999998</v>
      </c>
      <c r="N359" s="257">
        <v>69045759.400000006</v>
      </c>
    </row>
    <row r="360" spans="1:14" s="143" customFormat="1" x14ac:dyDescent="0.25">
      <c r="A360" s="143" t="s">
        <v>334</v>
      </c>
      <c r="B360" s="143" t="s">
        <v>188</v>
      </c>
      <c r="C360" s="143" t="s">
        <v>189</v>
      </c>
      <c r="D360" s="143" t="s">
        <v>69</v>
      </c>
      <c r="E360" s="257">
        <v>543016724</v>
      </c>
      <c r="F360" s="257">
        <v>543016724</v>
      </c>
      <c r="G360" s="257">
        <v>275508362</v>
      </c>
      <c r="H360" s="257">
        <v>0</v>
      </c>
      <c r="I360" s="257">
        <v>45688820.020000003</v>
      </c>
      <c r="J360" s="257">
        <v>0</v>
      </c>
      <c r="K360" s="257">
        <v>204508852.69999999</v>
      </c>
      <c r="L360" s="257">
        <v>196087370.74000001</v>
      </c>
      <c r="M360" s="257">
        <v>292819051.27999997</v>
      </c>
      <c r="N360" s="257">
        <v>25310689.280000001</v>
      </c>
    </row>
    <row r="361" spans="1:14" s="143" customFormat="1" x14ac:dyDescent="0.25">
      <c r="A361" s="143" t="s">
        <v>334</v>
      </c>
      <c r="B361" s="143" t="s">
        <v>190</v>
      </c>
      <c r="C361" s="143" t="s">
        <v>191</v>
      </c>
      <c r="D361" s="143" t="s">
        <v>69</v>
      </c>
      <c r="E361" s="257">
        <v>195656000</v>
      </c>
      <c r="F361" s="257">
        <v>195656000</v>
      </c>
      <c r="G361" s="257">
        <v>97828000</v>
      </c>
      <c r="H361" s="257">
        <v>0</v>
      </c>
      <c r="I361" s="257">
        <v>38336100</v>
      </c>
      <c r="J361" s="257">
        <v>0</v>
      </c>
      <c r="K361" s="257">
        <v>35912800</v>
      </c>
      <c r="L361" s="257">
        <v>0</v>
      </c>
      <c r="M361" s="257">
        <v>121407100</v>
      </c>
      <c r="N361" s="257">
        <v>23579100</v>
      </c>
    </row>
    <row r="362" spans="1:14" s="143" customFormat="1" x14ac:dyDescent="0.25">
      <c r="A362" s="143" t="s">
        <v>334</v>
      </c>
      <c r="B362" s="143" t="s">
        <v>350</v>
      </c>
      <c r="C362" s="143" t="s">
        <v>351</v>
      </c>
      <c r="D362" s="143" t="s">
        <v>69</v>
      </c>
      <c r="E362" s="257">
        <v>2674000</v>
      </c>
      <c r="F362" s="257">
        <v>2674000</v>
      </c>
      <c r="G362" s="257">
        <v>1337000</v>
      </c>
      <c r="H362" s="257">
        <v>0</v>
      </c>
      <c r="I362" s="257">
        <v>141746</v>
      </c>
      <c r="J362" s="257">
        <v>0</v>
      </c>
      <c r="K362" s="257">
        <v>77925</v>
      </c>
      <c r="L362" s="257">
        <v>77925</v>
      </c>
      <c r="M362" s="257">
        <v>2454329</v>
      </c>
      <c r="N362" s="257">
        <v>1117329</v>
      </c>
    </row>
    <row r="363" spans="1:14" s="143" customFormat="1" x14ac:dyDescent="0.25">
      <c r="A363" s="143" t="s">
        <v>334</v>
      </c>
      <c r="B363" s="143" t="s">
        <v>192</v>
      </c>
      <c r="C363" s="143" t="s">
        <v>193</v>
      </c>
      <c r="D363" s="143" t="s">
        <v>69</v>
      </c>
      <c r="E363" s="257">
        <v>30373000</v>
      </c>
      <c r="F363" s="257">
        <v>30373000</v>
      </c>
      <c r="G363" s="257">
        <v>30373000</v>
      </c>
      <c r="H363" s="257">
        <v>0</v>
      </c>
      <c r="I363" s="257">
        <v>14287717.300000001</v>
      </c>
      <c r="J363" s="257">
        <v>0</v>
      </c>
      <c r="K363" s="257">
        <v>28141.58</v>
      </c>
      <c r="L363" s="257">
        <v>28141.58</v>
      </c>
      <c r="M363" s="257">
        <v>16057141.119999999</v>
      </c>
      <c r="N363" s="257">
        <v>16057141.119999999</v>
      </c>
    </row>
    <row r="364" spans="1:14" s="143" customFormat="1" x14ac:dyDescent="0.25">
      <c r="A364" s="143" t="s">
        <v>334</v>
      </c>
      <c r="B364" s="143" t="s">
        <v>194</v>
      </c>
      <c r="C364" s="143" t="s">
        <v>195</v>
      </c>
      <c r="D364" s="143" t="s">
        <v>69</v>
      </c>
      <c r="E364" s="257">
        <v>5963000</v>
      </c>
      <c r="F364" s="257">
        <v>5963000</v>
      </c>
      <c r="G364" s="257">
        <v>2981500</v>
      </c>
      <c r="H364" s="257">
        <v>0</v>
      </c>
      <c r="I364" s="257">
        <v>0</v>
      </c>
      <c r="J364" s="257">
        <v>0</v>
      </c>
      <c r="K364" s="257">
        <v>0</v>
      </c>
      <c r="L364" s="257">
        <v>0</v>
      </c>
      <c r="M364" s="257">
        <v>5963000</v>
      </c>
      <c r="N364" s="257">
        <v>2981500</v>
      </c>
    </row>
    <row r="365" spans="1:14" s="143" customFormat="1" x14ac:dyDescent="0.25">
      <c r="A365" s="143" t="s">
        <v>334</v>
      </c>
      <c r="B365" s="143" t="s">
        <v>196</v>
      </c>
      <c r="C365" s="143" t="s">
        <v>197</v>
      </c>
      <c r="D365" s="143" t="s">
        <v>69</v>
      </c>
      <c r="E365" s="257">
        <v>10984366500</v>
      </c>
      <c r="F365" s="257">
        <v>10984366500</v>
      </c>
      <c r="G365" s="257">
        <v>5492183250</v>
      </c>
      <c r="H365" s="257">
        <v>0</v>
      </c>
      <c r="I365" s="257">
        <v>1197800881.6700001</v>
      </c>
      <c r="J365" s="257">
        <v>668410.92000000004</v>
      </c>
      <c r="K365" s="257">
        <v>3642618899.9000001</v>
      </c>
      <c r="L365" s="257">
        <v>3148520866.8499999</v>
      </c>
      <c r="M365" s="257">
        <v>6143278307.5100002</v>
      </c>
      <c r="N365" s="257">
        <v>651095057.50999999</v>
      </c>
    </row>
    <row r="366" spans="1:14" s="143" customFormat="1" x14ac:dyDescent="0.25">
      <c r="A366" s="143" t="s">
        <v>334</v>
      </c>
      <c r="B366" s="143" t="s">
        <v>198</v>
      </c>
      <c r="C366" s="143" t="s">
        <v>199</v>
      </c>
      <c r="D366" s="143" t="s">
        <v>69</v>
      </c>
      <c r="E366" s="257">
        <v>10972726000</v>
      </c>
      <c r="F366" s="257">
        <v>10972726000</v>
      </c>
      <c r="G366" s="257">
        <v>5486363000</v>
      </c>
      <c r="H366" s="257">
        <v>0</v>
      </c>
      <c r="I366" s="257">
        <v>1191980881.6700001</v>
      </c>
      <c r="J366" s="257">
        <v>668410.92000000004</v>
      </c>
      <c r="K366" s="257">
        <v>3642618899.9000001</v>
      </c>
      <c r="L366" s="257">
        <v>3148520866.8499999</v>
      </c>
      <c r="M366" s="257">
        <v>6137457807.5100002</v>
      </c>
      <c r="N366" s="257">
        <v>651094807.50999999</v>
      </c>
    </row>
    <row r="367" spans="1:14" s="143" customFormat="1" x14ac:dyDescent="0.25">
      <c r="A367" s="143" t="s">
        <v>334</v>
      </c>
      <c r="B367" s="143" t="s">
        <v>352</v>
      </c>
      <c r="C367" s="143" t="s">
        <v>353</v>
      </c>
      <c r="D367" s="143" t="s">
        <v>69</v>
      </c>
      <c r="E367" s="257">
        <v>11640500</v>
      </c>
      <c r="F367" s="257">
        <v>11640500</v>
      </c>
      <c r="G367" s="257">
        <v>5820250</v>
      </c>
      <c r="H367" s="257">
        <v>0</v>
      </c>
      <c r="I367" s="257">
        <v>5820000</v>
      </c>
      <c r="J367" s="257">
        <v>0</v>
      </c>
      <c r="K367" s="257">
        <v>0</v>
      </c>
      <c r="L367" s="257">
        <v>0</v>
      </c>
      <c r="M367" s="257">
        <v>5820500</v>
      </c>
      <c r="N367" s="257">
        <v>250</v>
      </c>
    </row>
    <row r="368" spans="1:14" s="143" customFormat="1" x14ac:dyDescent="0.25">
      <c r="A368" s="143" t="s">
        <v>334</v>
      </c>
      <c r="B368" s="143" t="s">
        <v>200</v>
      </c>
      <c r="C368" s="143" t="s">
        <v>201</v>
      </c>
      <c r="D368" s="143" t="s">
        <v>69</v>
      </c>
      <c r="E368" s="257">
        <v>446867786</v>
      </c>
      <c r="F368" s="257">
        <v>442289969</v>
      </c>
      <c r="G368" s="257">
        <v>284767836.5</v>
      </c>
      <c r="H368" s="257">
        <v>3542600</v>
      </c>
      <c r="I368" s="257">
        <v>29381489.390000001</v>
      </c>
      <c r="J368" s="257">
        <v>112900</v>
      </c>
      <c r="K368" s="257">
        <v>51777115.960000001</v>
      </c>
      <c r="L368" s="257">
        <v>45818314.950000003</v>
      </c>
      <c r="M368" s="257">
        <v>357475863.64999998</v>
      </c>
      <c r="N368" s="257">
        <v>199953731.15000001</v>
      </c>
    </row>
    <row r="369" spans="1:14" s="143" customFormat="1" x14ac:dyDescent="0.25">
      <c r="A369" s="143" t="s">
        <v>334</v>
      </c>
      <c r="B369" s="143" t="s">
        <v>314</v>
      </c>
      <c r="C369" s="143" t="s">
        <v>315</v>
      </c>
      <c r="D369" s="143" t="s">
        <v>69</v>
      </c>
      <c r="E369" s="257">
        <v>122902000</v>
      </c>
      <c r="F369" s="257">
        <v>122902000</v>
      </c>
      <c r="G369" s="257">
        <v>62192860</v>
      </c>
      <c r="H369" s="257">
        <v>0</v>
      </c>
      <c r="I369" s="257">
        <v>2884724</v>
      </c>
      <c r="J369" s="257">
        <v>0</v>
      </c>
      <c r="K369" s="257">
        <v>8371052.8099999996</v>
      </c>
      <c r="L369" s="257">
        <v>3852374.8</v>
      </c>
      <c r="M369" s="257">
        <v>111646223.19</v>
      </c>
      <c r="N369" s="257">
        <v>50937083.189999998</v>
      </c>
    </row>
    <row r="370" spans="1:14" s="143" customFormat="1" x14ac:dyDescent="0.25">
      <c r="A370" s="143" t="s">
        <v>334</v>
      </c>
      <c r="B370" s="143" t="s">
        <v>316</v>
      </c>
      <c r="C370" s="143" t="s">
        <v>317</v>
      </c>
      <c r="D370" s="143" t="s">
        <v>69</v>
      </c>
      <c r="E370" s="257">
        <v>50168000</v>
      </c>
      <c r="F370" s="257">
        <v>50168000</v>
      </c>
      <c r="G370" s="257">
        <v>25084000</v>
      </c>
      <c r="H370" s="257">
        <v>0</v>
      </c>
      <c r="I370" s="257">
        <v>0</v>
      </c>
      <c r="J370" s="257">
        <v>0</v>
      </c>
      <c r="K370" s="257">
        <v>3935643</v>
      </c>
      <c r="L370" s="257">
        <v>2495520</v>
      </c>
      <c r="M370" s="257">
        <v>46232357</v>
      </c>
      <c r="N370" s="257">
        <v>21148357</v>
      </c>
    </row>
    <row r="371" spans="1:14" s="143" customFormat="1" x14ac:dyDescent="0.25">
      <c r="A371" s="143" t="s">
        <v>334</v>
      </c>
      <c r="B371" s="143" t="s">
        <v>318</v>
      </c>
      <c r="C371" s="143" t="s">
        <v>319</v>
      </c>
      <c r="D371" s="143" t="s">
        <v>69</v>
      </c>
      <c r="E371" s="257">
        <v>89195672</v>
      </c>
      <c r="F371" s="257">
        <v>89195672</v>
      </c>
      <c r="G371" s="257">
        <v>55845623</v>
      </c>
      <c r="H371" s="257">
        <v>0</v>
      </c>
      <c r="I371" s="257">
        <v>13896000</v>
      </c>
      <c r="J371" s="257">
        <v>0</v>
      </c>
      <c r="K371" s="257">
        <v>39170598</v>
      </c>
      <c r="L371" s="257">
        <v>39170598</v>
      </c>
      <c r="M371" s="257">
        <v>36129074</v>
      </c>
      <c r="N371" s="257">
        <v>2779025</v>
      </c>
    </row>
    <row r="372" spans="1:14" s="143" customFormat="1" x14ac:dyDescent="0.25">
      <c r="A372" s="143" t="s">
        <v>334</v>
      </c>
      <c r="B372" s="143" t="s">
        <v>202</v>
      </c>
      <c r="C372" s="143" t="s">
        <v>203</v>
      </c>
      <c r="D372" s="143" t="s">
        <v>69</v>
      </c>
      <c r="E372" s="257">
        <v>90316000</v>
      </c>
      <c r="F372" s="257">
        <v>90316000</v>
      </c>
      <c r="G372" s="257">
        <v>90316000</v>
      </c>
      <c r="H372" s="257">
        <v>3542600</v>
      </c>
      <c r="I372" s="257">
        <v>12415765.390000001</v>
      </c>
      <c r="J372" s="257">
        <v>112900</v>
      </c>
      <c r="K372" s="257">
        <v>279434.37</v>
      </c>
      <c r="L372" s="257">
        <v>279434.37</v>
      </c>
      <c r="M372" s="257">
        <v>73965300.239999995</v>
      </c>
      <c r="N372" s="257">
        <v>73965300.239999995</v>
      </c>
    </row>
    <row r="373" spans="1:14" s="143" customFormat="1" x14ac:dyDescent="0.25">
      <c r="A373" s="143" t="s">
        <v>334</v>
      </c>
      <c r="B373" s="143" t="s">
        <v>320</v>
      </c>
      <c r="C373" s="143" t="s">
        <v>321</v>
      </c>
      <c r="D373" s="143" t="s">
        <v>69</v>
      </c>
      <c r="E373" s="257">
        <v>7059000</v>
      </c>
      <c r="F373" s="257">
        <v>2481183</v>
      </c>
      <c r="G373" s="257">
        <v>2481183</v>
      </c>
      <c r="H373" s="257">
        <v>0</v>
      </c>
      <c r="I373" s="257">
        <v>185000</v>
      </c>
      <c r="J373" s="257">
        <v>0</v>
      </c>
      <c r="K373" s="257">
        <v>0</v>
      </c>
      <c r="L373" s="257">
        <v>0</v>
      </c>
      <c r="M373" s="257">
        <v>2296183</v>
      </c>
      <c r="N373" s="257">
        <v>2296183</v>
      </c>
    </row>
    <row r="374" spans="1:14" s="143" customFormat="1" x14ac:dyDescent="0.25">
      <c r="A374" s="143" t="s">
        <v>334</v>
      </c>
      <c r="B374" s="143" t="s">
        <v>204</v>
      </c>
      <c r="C374" s="143" t="s">
        <v>205</v>
      </c>
      <c r="D374" s="143" t="s">
        <v>69</v>
      </c>
      <c r="E374" s="257">
        <v>61279000</v>
      </c>
      <c r="F374" s="257">
        <v>61279000</v>
      </c>
      <c r="G374" s="257">
        <v>22900057</v>
      </c>
      <c r="H374" s="257">
        <v>0</v>
      </c>
      <c r="I374" s="257">
        <v>0</v>
      </c>
      <c r="J374" s="257">
        <v>0</v>
      </c>
      <c r="K374" s="257">
        <v>20387.78</v>
      </c>
      <c r="L374" s="257">
        <v>20387.78</v>
      </c>
      <c r="M374" s="257">
        <v>61258612.219999999</v>
      </c>
      <c r="N374" s="257">
        <v>22879669.219999999</v>
      </c>
    </row>
    <row r="375" spans="1:14" s="143" customFormat="1" x14ac:dyDescent="0.25">
      <c r="A375" s="143" t="s">
        <v>334</v>
      </c>
      <c r="B375" s="143" t="s">
        <v>322</v>
      </c>
      <c r="C375" s="143" t="s">
        <v>323</v>
      </c>
      <c r="D375" s="143" t="s">
        <v>69</v>
      </c>
      <c r="E375" s="257">
        <v>25948114</v>
      </c>
      <c r="F375" s="257">
        <v>25948114</v>
      </c>
      <c r="G375" s="257">
        <v>25948113.5</v>
      </c>
      <c r="H375" s="257">
        <v>0</v>
      </c>
      <c r="I375" s="257">
        <v>0</v>
      </c>
      <c r="J375" s="257">
        <v>0</v>
      </c>
      <c r="K375" s="257">
        <v>0</v>
      </c>
      <c r="L375" s="257">
        <v>0</v>
      </c>
      <c r="M375" s="257">
        <v>25948114</v>
      </c>
      <c r="N375" s="257">
        <v>25948113.5</v>
      </c>
    </row>
    <row r="376" spans="1:14" s="143" customFormat="1" x14ac:dyDescent="0.25">
      <c r="A376" s="143" t="s">
        <v>334</v>
      </c>
      <c r="B376" s="143" t="s">
        <v>206</v>
      </c>
      <c r="C376" s="143" t="s">
        <v>207</v>
      </c>
      <c r="D376" s="143" t="s">
        <v>69</v>
      </c>
      <c r="E376" s="257">
        <v>150560000</v>
      </c>
      <c r="F376" s="257">
        <v>150560000</v>
      </c>
      <c r="G376" s="257">
        <v>126053720</v>
      </c>
      <c r="H376" s="257">
        <v>44973475</v>
      </c>
      <c r="I376" s="257">
        <v>10751611.08</v>
      </c>
      <c r="J376" s="257">
        <v>1121553.17</v>
      </c>
      <c r="K376" s="257">
        <v>29246806.899999999</v>
      </c>
      <c r="L376" s="257">
        <v>27806581.57</v>
      </c>
      <c r="M376" s="257">
        <v>64466553.850000001</v>
      </c>
      <c r="N376" s="257">
        <v>39960273.850000001</v>
      </c>
    </row>
    <row r="377" spans="1:14" s="143" customFormat="1" x14ac:dyDescent="0.25">
      <c r="A377" s="143" t="s">
        <v>334</v>
      </c>
      <c r="B377" s="143" t="s">
        <v>208</v>
      </c>
      <c r="C377" s="143" t="s">
        <v>209</v>
      </c>
      <c r="D377" s="143" t="s">
        <v>69</v>
      </c>
      <c r="E377" s="257">
        <v>53615000</v>
      </c>
      <c r="F377" s="257">
        <v>53615000</v>
      </c>
      <c r="G377" s="257">
        <v>29108720</v>
      </c>
      <c r="H377" s="257">
        <v>0</v>
      </c>
      <c r="I377" s="257">
        <v>7242000</v>
      </c>
      <c r="J377" s="257">
        <v>0</v>
      </c>
      <c r="K377" s="257">
        <v>9613580</v>
      </c>
      <c r="L377" s="257">
        <v>9613580</v>
      </c>
      <c r="M377" s="257">
        <v>36759420</v>
      </c>
      <c r="N377" s="257">
        <v>12253140</v>
      </c>
    </row>
    <row r="378" spans="1:14" s="143" customFormat="1" x14ac:dyDescent="0.25">
      <c r="A378" s="143" t="s">
        <v>334</v>
      </c>
      <c r="B378" s="143" t="s">
        <v>210</v>
      </c>
      <c r="C378" s="143" t="s">
        <v>211</v>
      </c>
      <c r="D378" s="143" t="s">
        <v>69</v>
      </c>
      <c r="E378" s="257">
        <v>96945000</v>
      </c>
      <c r="F378" s="257">
        <v>96945000</v>
      </c>
      <c r="G378" s="257">
        <v>96945000</v>
      </c>
      <c r="H378" s="257">
        <v>44973475</v>
      </c>
      <c r="I378" s="257">
        <v>3509611.08</v>
      </c>
      <c r="J378" s="257">
        <v>1121553.17</v>
      </c>
      <c r="K378" s="257">
        <v>19633226.899999999</v>
      </c>
      <c r="L378" s="257">
        <v>18193001.57</v>
      </c>
      <c r="M378" s="257">
        <v>27707133.850000001</v>
      </c>
      <c r="N378" s="257">
        <v>27707133.850000001</v>
      </c>
    </row>
    <row r="379" spans="1:14" s="143" customFormat="1" x14ac:dyDescent="0.25">
      <c r="A379" s="143" t="s">
        <v>334</v>
      </c>
      <c r="B379" s="143" t="s">
        <v>354</v>
      </c>
      <c r="C379" s="143" t="s">
        <v>355</v>
      </c>
      <c r="D379" s="143" t="s">
        <v>69</v>
      </c>
      <c r="E379" s="257">
        <v>0</v>
      </c>
      <c r="F379" s="257">
        <v>4577817</v>
      </c>
      <c r="G379" s="257">
        <v>4577817</v>
      </c>
      <c r="H379" s="257">
        <v>0</v>
      </c>
      <c r="I379" s="257">
        <v>0</v>
      </c>
      <c r="J379" s="257">
        <v>0</v>
      </c>
      <c r="K379" s="257">
        <v>0</v>
      </c>
      <c r="L379" s="257">
        <v>0</v>
      </c>
      <c r="M379" s="257">
        <v>4577817</v>
      </c>
      <c r="N379" s="257">
        <v>4577817</v>
      </c>
    </row>
    <row r="380" spans="1:14" s="143" customFormat="1" x14ac:dyDescent="0.25">
      <c r="A380" s="143" t="s">
        <v>334</v>
      </c>
      <c r="B380" s="143" t="s">
        <v>356</v>
      </c>
      <c r="C380" s="143" t="s">
        <v>357</v>
      </c>
      <c r="D380" s="143" t="s">
        <v>69</v>
      </c>
      <c r="E380" s="257">
        <v>0</v>
      </c>
      <c r="F380" s="257">
        <v>4577817</v>
      </c>
      <c r="G380" s="257">
        <v>4577817</v>
      </c>
      <c r="H380" s="257">
        <v>0</v>
      </c>
      <c r="I380" s="257">
        <v>0</v>
      </c>
      <c r="J380" s="257">
        <v>0</v>
      </c>
      <c r="K380" s="257">
        <v>0</v>
      </c>
      <c r="L380" s="257">
        <v>0</v>
      </c>
      <c r="M380" s="257">
        <v>4577817</v>
      </c>
      <c r="N380" s="257">
        <v>4577817</v>
      </c>
    </row>
    <row r="381" spans="1:14" s="143" customFormat="1" x14ac:dyDescent="0.25">
      <c r="A381" s="143" t="s">
        <v>334</v>
      </c>
      <c r="B381" s="143" t="s">
        <v>212</v>
      </c>
      <c r="C381" s="143" t="s">
        <v>213</v>
      </c>
      <c r="D381" s="143" t="s">
        <v>69</v>
      </c>
      <c r="E381" s="257">
        <v>1656349984</v>
      </c>
      <c r="F381" s="257">
        <v>1656349984</v>
      </c>
      <c r="G381" s="257">
        <v>1326393371</v>
      </c>
      <c r="H381" s="257">
        <v>0</v>
      </c>
      <c r="I381" s="257">
        <v>737106435.58000004</v>
      </c>
      <c r="J381" s="257">
        <v>6378797.4900000002</v>
      </c>
      <c r="K381" s="257">
        <v>138405596.03999999</v>
      </c>
      <c r="L381" s="257">
        <v>119007792.54000001</v>
      </c>
      <c r="M381" s="257">
        <v>774459154.88999999</v>
      </c>
      <c r="N381" s="257">
        <v>444502541.88999999</v>
      </c>
    </row>
    <row r="382" spans="1:14" s="143" customFormat="1" x14ac:dyDescent="0.25">
      <c r="A382" s="143" t="s">
        <v>334</v>
      </c>
      <c r="B382" s="143" t="s">
        <v>214</v>
      </c>
      <c r="C382" s="143" t="s">
        <v>215</v>
      </c>
      <c r="D382" s="143" t="s">
        <v>69</v>
      </c>
      <c r="E382" s="257">
        <v>34070136</v>
      </c>
      <c r="F382" s="257">
        <v>34070136</v>
      </c>
      <c r="G382" s="257">
        <v>17035068</v>
      </c>
      <c r="H382" s="257">
        <v>0</v>
      </c>
      <c r="I382" s="257">
        <v>0</v>
      </c>
      <c r="J382" s="257">
        <v>0</v>
      </c>
      <c r="K382" s="257">
        <v>0</v>
      </c>
      <c r="L382" s="257">
        <v>0</v>
      </c>
      <c r="M382" s="257">
        <v>34070136</v>
      </c>
      <c r="N382" s="257">
        <v>17035068</v>
      </c>
    </row>
    <row r="383" spans="1:14" s="143" customFormat="1" x14ac:dyDescent="0.25">
      <c r="A383" s="143" t="s">
        <v>334</v>
      </c>
      <c r="B383" s="143" t="s">
        <v>216</v>
      </c>
      <c r="C383" s="143" t="s">
        <v>217</v>
      </c>
      <c r="D383" s="143" t="s">
        <v>69</v>
      </c>
      <c r="E383" s="257">
        <v>65363019</v>
      </c>
      <c r="F383" s="257">
        <v>65363019</v>
      </c>
      <c r="G383" s="257">
        <v>32681509.75</v>
      </c>
      <c r="H383" s="257">
        <v>0</v>
      </c>
      <c r="I383" s="257">
        <v>200510.51</v>
      </c>
      <c r="J383" s="257">
        <v>103125.49</v>
      </c>
      <c r="K383" s="257">
        <v>5152757.07</v>
      </c>
      <c r="L383" s="257">
        <v>5152757.07</v>
      </c>
      <c r="M383" s="257">
        <v>59906625.93</v>
      </c>
      <c r="N383" s="257">
        <v>27225116.68</v>
      </c>
    </row>
    <row r="384" spans="1:14" s="143" customFormat="1" x14ac:dyDescent="0.25">
      <c r="A384" s="143" t="s">
        <v>334</v>
      </c>
      <c r="B384" s="143" t="s">
        <v>218</v>
      </c>
      <c r="C384" s="143" t="s">
        <v>219</v>
      </c>
      <c r="D384" s="143" t="s">
        <v>69</v>
      </c>
      <c r="E384" s="257">
        <v>146259000</v>
      </c>
      <c r="F384" s="257">
        <v>146259000</v>
      </c>
      <c r="G384" s="257">
        <v>146259000</v>
      </c>
      <c r="H384" s="257">
        <v>0</v>
      </c>
      <c r="I384" s="257">
        <v>53327216</v>
      </c>
      <c r="J384" s="257">
        <v>0</v>
      </c>
      <c r="K384" s="257">
        <v>9545144.6999999993</v>
      </c>
      <c r="L384" s="257">
        <v>9545144.6999999993</v>
      </c>
      <c r="M384" s="257">
        <v>83386639.299999997</v>
      </c>
      <c r="N384" s="257">
        <v>83386639.299999997</v>
      </c>
    </row>
    <row r="385" spans="1:14" s="143" customFormat="1" x14ac:dyDescent="0.25">
      <c r="A385" s="143" t="s">
        <v>334</v>
      </c>
      <c r="B385" s="143" t="s">
        <v>220</v>
      </c>
      <c r="C385" s="143" t="s">
        <v>221</v>
      </c>
      <c r="D385" s="143" t="s">
        <v>69</v>
      </c>
      <c r="E385" s="257">
        <v>643150000</v>
      </c>
      <c r="F385" s="257">
        <v>643150000</v>
      </c>
      <c r="G385" s="257">
        <v>410325211</v>
      </c>
      <c r="H385" s="257">
        <v>0</v>
      </c>
      <c r="I385" s="257">
        <v>297339665.14999998</v>
      </c>
      <c r="J385" s="257">
        <v>814772</v>
      </c>
      <c r="K385" s="257">
        <v>4284920</v>
      </c>
      <c r="L385" s="257">
        <v>4284920</v>
      </c>
      <c r="M385" s="257">
        <v>340710642.85000002</v>
      </c>
      <c r="N385" s="257">
        <v>107885853.84999999</v>
      </c>
    </row>
    <row r="386" spans="1:14" s="143" customFormat="1" x14ac:dyDescent="0.25">
      <c r="A386" s="143" t="s">
        <v>334</v>
      </c>
      <c r="B386" s="143" t="s">
        <v>222</v>
      </c>
      <c r="C386" s="143" t="s">
        <v>223</v>
      </c>
      <c r="D386" s="143" t="s">
        <v>69</v>
      </c>
      <c r="E386" s="257">
        <v>302355000</v>
      </c>
      <c r="F386" s="257">
        <v>302355000</v>
      </c>
      <c r="G386" s="257">
        <v>302355000</v>
      </c>
      <c r="H386" s="257">
        <v>0</v>
      </c>
      <c r="I386" s="257">
        <v>172478218.22</v>
      </c>
      <c r="J386" s="257">
        <v>5460900</v>
      </c>
      <c r="K386" s="257">
        <v>54506002.590000004</v>
      </c>
      <c r="L386" s="257">
        <v>35108199.090000004</v>
      </c>
      <c r="M386" s="257">
        <v>69909879.189999998</v>
      </c>
      <c r="N386" s="257">
        <v>69909879.189999998</v>
      </c>
    </row>
    <row r="387" spans="1:14" s="143" customFormat="1" x14ac:dyDescent="0.25">
      <c r="A387" s="143" t="s">
        <v>334</v>
      </c>
      <c r="B387" s="143" t="s">
        <v>224</v>
      </c>
      <c r="C387" s="143" t="s">
        <v>225</v>
      </c>
      <c r="D387" s="143" t="s">
        <v>69</v>
      </c>
      <c r="E387" s="257">
        <v>182921000</v>
      </c>
      <c r="F387" s="257">
        <v>182921000</v>
      </c>
      <c r="G387" s="257">
        <v>182921000</v>
      </c>
      <c r="H387" s="257">
        <v>0</v>
      </c>
      <c r="I387" s="257">
        <v>132528000</v>
      </c>
      <c r="J387" s="257">
        <v>0</v>
      </c>
      <c r="K387" s="257">
        <v>456463.25</v>
      </c>
      <c r="L387" s="257">
        <v>456463.25</v>
      </c>
      <c r="M387" s="257">
        <v>49936536.75</v>
      </c>
      <c r="N387" s="257">
        <v>49936536.75</v>
      </c>
    </row>
    <row r="388" spans="1:14" s="143" customFormat="1" x14ac:dyDescent="0.25">
      <c r="A388" s="143" t="s">
        <v>334</v>
      </c>
      <c r="B388" s="143" t="s">
        <v>226</v>
      </c>
      <c r="C388" s="143" t="s">
        <v>227</v>
      </c>
      <c r="D388" s="143" t="s">
        <v>69</v>
      </c>
      <c r="E388" s="257">
        <v>92727347</v>
      </c>
      <c r="F388" s="257">
        <v>92727347</v>
      </c>
      <c r="G388" s="257">
        <v>46363673.75</v>
      </c>
      <c r="H388" s="257">
        <v>0</v>
      </c>
      <c r="I388" s="257">
        <v>19174617.219999999</v>
      </c>
      <c r="J388" s="257">
        <v>0</v>
      </c>
      <c r="K388" s="257">
        <v>14830959.550000001</v>
      </c>
      <c r="L388" s="257">
        <v>14830959.550000001</v>
      </c>
      <c r="M388" s="257">
        <v>58721770.229999997</v>
      </c>
      <c r="N388" s="257">
        <v>12358096.98</v>
      </c>
    </row>
    <row r="389" spans="1:14" s="143" customFormat="1" x14ac:dyDescent="0.25">
      <c r="A389" s="143" t="s">
        <v>334</v>
      </c>
      <c r="B389" s="143" t="s">
        <v>228</v>
      </c>
      <c r="C389" s="143" t="s">
        <v>229</v>
      </c>
      <c r="D389" s="143" t="s">
        <v>69</v>
      </c>
      <c r="E389" s="257">
        <v>189504482</v>
      </c>
      <c r="F389" s="257">
        <v>189504482</v>
      </c>
      <c r="G389" s="257">
        <v>188452908.5</v>
      </c>
      <c r="H389" s="257">
        <v>0</v>
      </c>
      <c r="I389" s="257">
        <v>62058208.479999997</v>
      </c>
      <c r="J389" s="257">
        <v>0</v>
      </c>
      <c r="K389" s="257">
        <v>49629348.880000003</v>
      </c>
      <c r="L389" s="257">
        <v>49629348.880000003</v>
      </c>
      <c r="M389" s="257">
        <v>77816924.640000001</v>
      </c>
      <c r="N389" s="257">
        <v>76765351.140000001</v>
      </c>
    </row>
    <row r="390" spans="1:14" s="143" customFormat="1" x14ac:dyDescent="0.25">
      <c r="A390" s="143" t="s">
        <v>334</v>
      </c>
      <c r="B390" s="143" t="s">
        <v>230</v>
      </c>
      <c r="C390" s="143" t="s">
        <v>231</v>
      </c>
      <c r="D390" s="143" t="s">
        <v>69</v>
      </c>
      <c r="E390" s="257">
        <v>883769579</v>
      </c>
      <c r="F390" s="257">
        <v>2629734727</v>
      </c>
      <c r="G390" s="257">
        <v>1408937939.75</v>
      </c>
      <c r="H390" s="257">
        <v>124031888</v>
      </c>
      <c r="I390" s="257">
        <v>255773619.74000001</v>
      </c>
      <c r="J390" s="257">
        <v>8448600</v>
      </c>
      <c r="K390" s="257">
        <v>511887383.31999999</v>
      </c>
      <c r="L390" s="257">
        <v>468982325.75</v>
      </c>
      <c r="M390" s="257">
        <v>1729593235.9400001</v>
      </c>
      <c r="N390" s="257">
        <v>508796448.69</v>
      </c>
    </row>
    <row r="391" spans="1:14" s="143" customFormat="1" x14ac:dyDescent="0.25">
      <c r="A391" s="143" t="s">
        <v>334</v>
      </c>
      <c r="B391" s="143" t="s">
        <v>232</v>
      </c>
      <c r="C391" s="143" t="s">
        <v>233</v>
      </c>
      <c r="D391" s="143" t="s">
        <v>69</v>
      </c>
      <c r="E391" s="257">
        <v>667187579</v>
      </c>
      <c r="F391" s="257">
        <v>667187579</v>
      </c>
      <c r="G391" s="257">
        <v>661462578.75</v>
      </c>
      <c r="H391" s="257">
        <v>124031888</v>
      </c>
      <c r="I391" s="257">
        <v>12656004.279999999</v>
      </c>
      <c r="J391" s="257">
        <v>8448600</v>
      </c>
      <c r="K391" s="257">
        <v>110955081.86</v>
      </c>
      <c r="L391" s="257">
        <v>109071981.86</v>
      </c>
      <c r="M391" s="257">
        <v>411096004.86000001</v>
      </c>
      <c r="N391" s="257">
        <v>405371004.61000001</v>
      </c>
    </row>
    <row r="392" spans="1:14" s="143" customFormat="1" x14ac:dyDescent="0.25">
      <c r="A392" s="143" t="s">
        <v>334</v>
      </c>
      <c r="B392" s="143" t="s">
        <v>236</v>
      </c>
      <c r="C392" s="143" t="s">
        <v>237</v>
      </c>
      <c r="D392" s="143" t="s">
        <v>69</v>
      </c>
      <c r="E392" s="257">
        <v>0</v>
      </c>
      <c r="F392" s="257">
        <v>0</v>
      </c>
      <c r="G392" s="257">
        <v>0</v>
      </c>
      <c r="H392" s="257">
        <v>0</v>
      </c>
      <c r="I392" s="257">
        <v>0</v>
      </c>
      <c r="J392" s="257">
        <v>0</v>
      </c>
      <c r="K392" s="257">
        <v>0</v>
      </c>
      <c r="L392" s="257">
        <v>0</v>
      </c>
      <c r="M392" s="257">
        <v>0</v>
      </c>
      <c r="N392" s="257">
        <v>0</v>
      </c>
    </row>
    <row r="393" spans="1:14" s="143" customFormat="1" x14ac:dyDescent="0.25">
      <c r="A393" s="143" t="s">
        <v>334</v>
      </c>
      <c r="B393" s="143" t="s">
        <v>238</v>
      </c>
      <c r="C393" s="143" t="s">
        <v>239</v>
      </c>
      <c r="D393" s="143" t="s">
        <v>69</v>
      </c>
      <c r="E393" s="257">
        <v>0</v>
      </c>
      <c r="F393" s="257">
        <v>0</v>
      </c>
      <c r="G393" s="257">
        <v>0</v>
      </c>
      <c r="H393" s="257">
        <v>0</v>
      </c>
      <c r="I393" s="257">
        <v>0</v>
      </c>
      <c r="J393" s="257">
        <v>0</v>
      </c>
      <c r="K393" s="257">
        <v>0</v>
      </c>
      <c r="L393" s="257">
        <v>0</v>
      </c>
      <c r="M393" s="257">
        <v>0</v>
      </c>
      <c r="N393" s="257">
        <v>0</v>
      </c>
    </row>
    <row r="394" spans="1:14" s="143" customFormat="1" x14ac:dyDescent="0.25">
      <c r="A394" s="143" t="s">
        <v>334</v>
      </c>
      <c r="B394" s="143" t="s">
        <v>234</v>
      </c>
      <c r="C394" s="143" t="s">
        <v>235</v>
      </c>
      <c r="D394" s="143" t="s">
        <v>85</v>
      </c>
      <c r="E394" s="257">
        <v>33062000</v>
      </c>
      <c r="F394" s="257">
        <v>19951724</v>
      </c>
      <c r="G394" s="257">
        <v>19951724</v>
      </c>
      <c r="H394" s="257">
        <v>0</v>
      </c>
      <c r="I394" s="257">
        <v>0</v>
      </c>
      <c r="J394" s="257">
        <v>0</v>
      </c>
      <c r="K394" s="257">
        <v>0</v>
      </c>
      <c r="L394" s="257">
        <v>0</v>
      </c>
      <c r="M394" s="257">
        <v>19951724</v>
      </c>
      <c r="N394" s="257">
        <v>19951724</v>
      </c>
    </row>
    <row r="395" spans="1:14" s="143" customFormat="1" x14ac:dyDescent="0.25">
      <c r="A395" s="143" t="s">
        <v>334</v>
      </c>
      <c r="B395" s="143" t="s">
        <v>324</v>
      </c>
      <c r="C395" s="143" t="s">
        <v>325</v>
      </c>
      <c r="D395" s="143" t="s">
        <v>85</v>
      </c>
      <c r="E395" s="257">
        <v>72100000</v>
      </c>
      <c r="F395" s="257">
        <v>72100000</v>
      </c>
      <c r="G395" s="257">
        <v>72100000</v>
      </c>
      <c r="H395" s="257">
        <v>0</v>
      </c>
      <c r="I395" s="257">
        <v>0</v>
      </c>
      <c r="J395" s="257">
        <v>0</v>
      </c>
      <c r="K395" s="257">
        <v>16883370</v>
      </c>
      <c r="L395" s="257">
        <v>16883370</v>
      </c>
      <c r="M395" s="257">
        <v>55216630</v>
      </c>
      <c r="N395" s="257">
        <v>55216630</v>
      </c>
    </row>
    <row r="396" spans="1:14" s="143" customFormat="1" x14ac:dyDescent="0.25">
      <c r="A396" s="143" t="s">
        <v>334</v>
      </c>
      <c r="B396" s="143" t="s">
        <v>236</v>
      </c>
      <c r="C396" s="143" t="s">
        <v>237</v>
      </c>
      <c r="D396" s="143" t="s">
        <v>85</v>
      </c>
      <c r="E396" s="257">
        <v>147248000</v>
      </c>
      <c r="F396" s="257">
        <v>147248000</v>
      </c>
      <c r="G396" s="257">
        <v>141523000</v>
      </c>
      <c r="H396" s="257">
        <v>0</v>
      </c>
      <c r="I396" s="257">
        <v>5778197.3300000001</v>
      </c>
      <c r="J396" s="257">
        <v>0</v>
      </c>
      <c r="K396" s="257">
        <v>1883100</v>
      </c>
      <c r="L396" s="257">
        <v>0</v>
      </c>
      <c r="M396" s="257">
        <v>139586702.66999999</v>
      </c>
      <c r="N396" s="257">
        <v>133861702.67</v>
      </c>
    </row>
    <row r="397" spans="1:14" s="143" customFormat="1" x14ac:dyDescent="0.25">
      <c r="A397" s="143" t="s">
        <v>334</v>
      </c>
      <c r="B397" s="143" t="s">
        <v>238</v>
      </c>
      <c r="C397" s="143" t="s">
        <v>239</v>
      </c>
      <c r="D397" s="143" t="s">
        <v>85</v>
      </c>
      <c r="E397" s="257">
        <v>69415579</v>
      </c>
      <c r="F397" s="257">
        <v>82525855</v>
      </c>
      <c r="G397" s="257">
        <v>82525854.75</v>
      </c>
      <c r="H397" s="257">
        <v>0</v>
      </c>
      <c r="I397" s="257">
        <v>4541050</v>
      </c>
      <c r="J397" s="257">
        <v>8448600</v>
      </c>
      <c r="K397" s="257">
        <v>2306404</v>
      </c>
      <c r="L397" s="257">
        <v>2306404</v>
      </c>
      <c r="M397" s="257">
        <v>67229801</v>
      </c>
      <c r="N397" s="257">
        <v>67229800.75</v>
      </c>
    </row>
    <row r="398" spans="1:14" s="143" customFormat="1" x14ac:dyDescent="0.25">
      <c r="A398" s="143" t="s">
        <v>334</v>
      </c>
      <c r="B398" s="143" t="s">
        <v>282</v>
      </c>
      <c r="C398" s="143" t="s">
        <v>283</v>
      </c>
      <c r="D398" s="143" t="s">
        <v>85</v>
      </c>
      <c r="E398" s="257">
        <v>21137000</v>
      </c>
      <c r="F398" s="257">
        <v>21137000</v>
      </c>
      <c r="G398" s="257">
        <v>21137000</v>
      </c>
      <c r="H398" s="257">
        <v>0</v>
      </c>
      <c r="I398" s="257">
        <v>0</v>
      </c>
      <c r="J398" s="257">
        <v>0</v>
      </c>
      <c r="K398" s="257">
        <v>13982594.789999999</v>
      </c>
      <c r="L398" s="257">
        <v>13982594.789999999</v>
      </c>
      <c r="M398" s="257">
        <v>7154405.21</v>
      </c>
      <c r="N398" s="257">
        <v>7154405.21</v>
      </c>
    </row>
    <row r="399" spans="1:14" s="143" customFormat="1" x14ac:dyDescent="0.25">
      <c r="A399" s="143" t="s">
        <v>334</v>
      </c>
      <c r="B399" s="143" t="s">
        <v>326</v>
      </c>
      <c r="C399" s="143" t="s">
        <v>327</v>
      </c>
      <c r="D399" s="143" t="s">
        <v>85</v>
      </c>
      <c r="E399" s="257">
        <v>29458000</v>
      </c>
      <c r="F399" s="257">
        <v>29458000</v>
      </c>
      <c r="G399" s="257">
        <v>29458000</v>
      </c>
      <c r="H399" s="257">
        <v>0</v>
      </c>
      <c r="I399" s="257">
        <v>0</v>
      </c>
      <c r="J399" s="257">
        <v>0</v>
      </c>
      <c r="K399" s="257">
        <v>16265225.01</v>
      </c>
      <c r="L399" s="257">
        <v>16265225.01</v>
      </c>
      <c r="M399" s="257">
        <v>13192774.99</v>
      </c>
      <c r="N399" s="257">
        <v>13192774.99</v>
      </c>
    </row>
    <row r="400" spans="1:14" s="143" customFormat="1" x14ac:dyDescent="0.25">
      <c r="A400" s="143" t="s">
        <v>334</v>
      </c>
      <c r="B400" s="143" t="s">
        <v>240</v>
      </c>
      <c r="C400" s="143" t="s">
        <v>241</v>
      </c>
      <c r="D400" s="143" t="s">
        <v>85</v>
      </c>
      <c r="E400" s="257">
        <v>5405000</v>
      </c>
      <c r="F400" s="257">
        <v>5405000</v>
      </c>
      <c r="G400" s="257">
        <v>5405000</v>
      </c>
      <c r="H400" s="257">
        <v>0</v>
      </c>
      <c r="I400" s="257">
        <v>0</v>
      </c>
      <c r="J400" s="257">
        <v>0</v>
      </c>
      <c r="K400" s="257">
        <v>3981450</v>
      </c>
      <c r="L400" s="257">
        <v>3981450</v>
      </c>
      <c r="M400" s="257">
        <v>1423550</v>
      </c>
      <c r="N400" s="257">
        <v>1423550</v>
      </c>
    </row>
    <row r="401" spans="1:14" s="143" customFormat="1" x14ac:dyDescent="0.25">
      <c r="A401" s="143" t="s">
        <v>334</v>
      </c>
      <c r="B401" s="143" t="s">
        <v>242</v>
      </c>
      <c r="C401" s="143" t="s">
        <v>243</v>
      </c>
      <c r="D401" s="143" t="s">
        <v>85</v>
      </c>
      <c r="E401" s="257">
        <v>289362000</v>
      </c>
      <c r="F401" s="257">
        <v>289362000</v>
      </c>
      <c r="G401" s="257">
        <v>289362000</v>
      </c>
      <c r="H401" s="257">
        <v>124031888</v>
      </c>
      <c r="I401" s="257">
        <v>2336756.9500000002</v>
      </c>
      <c r="J401" s="257">
        <v>0</v>
      </c>
      <c r="K401" s="257">
        <v>55652938.060000002</v>
      </c>
      <c r="L401" s="257">
        <v>55652938.060000002</v>
      </c>
      <c r="M401" s="257">
        <v>107340416.98999999</v>
      </c>
      <c r="N401" s="257">
        <v>107340416.98999999</v>
      </c>
    </row>
    <row r="402" spans="1:14" s="143" customFormat="1" x14ac:dyDescent="0.25">
      <c r="A402" s="143" t="s">
        <v>334</v>
      </c>
      <c r="B402" s="143" t="s">
        <v>328</v>
      </c>
      <c r="C402" s="143" t="s">
        <v>329</v>
      </c>
      <c r="D402" s="143" t="s">
        <v>85</v>
      </c>
      <c r="E402" s="257">
        <v>8088000</v>
      </c>
      <c r="F402" s="257">
        <v>1754053148</v>
      </c>
      <c r="G402" s="257">
        <v>648228361</v>
      </c>
      <c r="H402" s="257">
        <v>0</v>
      </c>
      <c r="I402" s="257">
        <v>242117615.46000001</v>
      </c>
      <c r="J402" s="257">
        <v>0</v>
      </c>
      <c r="K402" s="257">
        <v>398460162.25999999</v>
      </c>
      <c r="L402" s="257">
        <v>357438204.69</v>
      </c>
      <c r="M402" s="257">
        <v>1113475370.28</v>
      </c>
      <c r="N402" s="257">
        <v>7650583.2800000003</v>
      </c>
    </row>
    <row r="403" spans="1:14" s="143" customFormat="1" x14ac:dyDescent="0.25">
      <c r="A403" s="143" t="s">
        <v>334</v>
      </c>
      <c r="B403" s="143" t="s">
        <v>330</v>
      </c>
      <c r="C403" s="143" t="s">
        <v>331</v>
      </c>
      <c r="D403" s="143" t="s">
        <v>85</v>
      </c>
      <c r="E403" s="257">
        <v>0</v>
      </c>
      <c r="F403" s="257">
        <v>1745965148</v>
      </c>
      <c r="G403" s="257">
        <v>640140361</v>
      </c>
      <c r="H403" s="257">
        <v>0</v>
      </c>
      <c r="I403" s="257">
        <v>236051615.46000001</v>
      </c>
      <c r="J403" s="257">
        <v>0</v>
      </c>
      <c r="K403" s="257">
        <v>396438163.25999999</v>
      </c>
      <c r="L403" s="257">
        <v>355416205.69</v>
      </c>
      <c r="M403" s="257">
        <v>1113475369.28</v>
      </c>
      <c r="N403" s="257">
        <v>7650582.2800000003</v>
      </c>
    </row>
    <row r="404" spans="1:14" s="143" customFormat="1" x14ac:dyDescent="0.25">
      <c r="A404" s="143" t="s">
        <v>334</v>
      </c>
      <c r="B404" s="143" t="s">
        <v>358</v>
      </c>
      <c r="C404" s="143" t="s">
        <v>359</v>
      </c>
      <c r="D404" s="143" t="s">
        <v>85</v>
      </c>
      <c r="E404" s="257">
        <v>8088000</v>
      </c>
      <c r="F404" s="257">
        <v>8088000</v>
      </c>
      <c r="G404" s="257">
        <v>8088000</v>
      </c>
      <c r="H404" s="257">
        <v>0</v>
      </c>
      <c r="I404" s="257">
        <v>6066000</v>
      </c>
      <c r="J404" s="257">
        <v>0</v>
      </c>
      <c r="K404" s="257">
        <v>2021999</v>
      </c>
      <c r="L404" s="257">
        <v>2021999</v>
      </c>
      <c r="M404" s="257">
        <v>1</v>
      </c>
      <c r="N404" s="257">
        <v>1</v>
      </c>
    </row>
    <row r="405" spans="1:14" s="143" customFormat="1" x14ac:dyDescent="0.25">
      <c r="A405" s="143" t="s">
        <v>334</v>
      </c>
      <c r="B405" s="143" t="s">
        <v>244</v>
      </c>
      <c r="C405" s="143" t="s">
        <v>245</v>
      </c>
      <c r="D405" s="143" t="s">
        <v>85</v>
      </c>
      <c r="E405" s="257">
        <v>208494000</v>
      </c>
      <c r="F405" s="257">
        <v>208494000</v>
      </c>
      <c r="G405" s="257">
        <v>99247000</v>
      </c>
      <c r="H405" s="257">
        <v>0</v>
      </c>
      <c r="I405" s="257">
        <v>1000000</v>
      </c>
      <c r="J405" s="257">
        <v>0</v>
      </c>
      <c r="K405" s="257">
        <v>2472139.2000000002</v>
      </c>
      <c r="L405" s="257">
        <v>2472139.2000000002</v>
      </c>
      <c r="M405" s="257">
        <v>205021860.80000001</v>
      </c>
      <c r="N405" s="257">
        <v>95774860.799999997</v>
      </c>
    </row>
    <row r="406" spans="1:14" s="143" customFormat="1" x14ac:dyDescent="0.25">
      <c r="A406" s="143" t="s">
        <v>334</v>
      </c>
      <c r="B406" s="143" t="s">
        <v>246</v>
      </c>
      <c r="C406" s="143" t="s">
        <v>247</v>
      </c>
      <c r="D406" s="143" t="s">
        <v>85</v>
      </c>
      <c r="E406" s="257">
        <v>208494000</v>
      </c>
      <c r="F406" s="257">
        <v>208494000</v>
      </c>
      <c r="G406" s="257">
        <v>99247000</v>
      </c>
      <c r="H406" s="257">
        <v>0</v>
      </c>
      <c r="I406" s="257">
        <v>1000000</v>
      </c>
      <c r="J406" s="257">
        <v>0</v>
      </c>
      <c r="K406" s="257">
        <v>2472139.2000000002</v>
      </c>
      <c r="L406" s="257">
        <v>2472139.2000000002</v>
      </c>
      <c r="M406" s="257">
        <v>205021860.80000001</v>
      </c>
      <c r="N406" s="257">
        <v>95774860.799999997</v>
      </c>
    </row>
    <row r="407" spans="1:14" s="143" customFormat="1" x14ac:dyDescent="0.25">
      <c r="A407" s="143" t="s">
        <v>334</v>
      </c>
      <c r="B407" s="143" t="s">
        <v>248</v>
      </c>
      <c r="C407" s="143" t="s">
        <v>249</v>
      </c>
      <c r="D407" s="143" t="s">
        <v>69</v>
      </c>
      <c r="E407" s="257">
        <v>11597046000</v>
      </c>
      <c r="F407" s="257">
        <v>11597046000</v>
      </c>
      <c r="G407" s="257">
        <v>4725509206.25</v>
      </c>
      <c r="H407" s="257">
        <v>0</v>
      </c>
      <c r="I407" s="257">
        <v>3593215483.4699998</v>
      </c>
      <c r="J407" s="257">
        <v>0</v>
      </c>
      <c r="K407" s="257">
        <v>1052796995.73</v>
      </c>
      <c r="L407" s="257">
        <v>1007796995.73</v>
      </c>
      <c r="M407" s="257">
        <v>6951033520.8000002</v>
      </c>
      <c r="N407" s="257">
        <v>79496727.049999997</v>
      </c>
    </row>
    <row r="408" spans="1:14" s="143" customFormat="1" x14ac:dyDescent="0.25">
      <c r="A408" s="143" t="s">
        <v>334</v>
      </c>
      <c r="B408" s="143" t="s">
        <v>250</v>
      </c>
      <c r="C408" s="143" t="s">
        <v>251</v>
      </c>
      <c r="D408" s="143" t="s">
        <v>69</v>
      </c>
      <c r="E408" s="257">
        <v>9955805000</v>
      </c>
      <c r="F408" s="257">
        <v>9935805000</v>
      </c>
      <c r="G408" s="257">
        <v>3875805000</v>
      </c>
      <c r="H408" s="257">
        <v>0</v>
      </c>
      <c r="I408" s="257">
        <v>3527224103</v>
      </c>
      <c r="J408" s="257">
        <v>0</v>
      </c>
      <c r="K408" s="257">
        <v>348580897</v>
      </c>
      <c r="L408" s="257">
        <v>348580897</v>
      </c>
      <c r="M408" s="257">
        <v>6060000000</v>
      </c>
      <c r="N408" s="257">
        <v>0</v>
      </c>
    </row>
    <row r="409" spans="1:14" s="143" customFormat="1" x14ac:dyDescent="0.25">
      <c r="A409" s="143" t="s">
        <v>334</v>
      </c>
      <c r="B409" s="143" t="s">
        <v>360</v>
      </c>
      <c r="C409" s="143" t="s">
        <v>361</v>
      </c>
      <c r="D409" s="143" t="s">
        <v>69</v>
      </c>
      <c r="E409" s="257">
        <v>80000000</v>
      </c>
      <c r="F409" s="257">
        <v>60000000</v>
      </c>
      <c r="G409" s="257">
        <v>0</v>
      </c>
      <c r="H409" s="257">
        <v>0</v>
      </c>
      <c r="I409" s="257">
        <v>0</v>
      </c>
      <c r="J409" s="257">
        <v>0</v>
      </c>
      <c r="K409" s="257">
        <v>0</v>
      </c>
      <c r="L409" s="257">
        <v>0</v>
      </c>
      <c r="M409" s="257">
        <v>60000000</v>
      </c>
      <c r="N409" s="257">
        <v>0</v>
      </c>
    </row>
    <row r="410" spans="1:14" s="143" customFormat="1" x14ac:dyDescent="0.25">
      <c r="A410" s="143" t="s">
        <v>334</v>
      </c>
      <c r="B410" s="143" t="s">
        <v>362</v>
      </c>
      <c r="C410" s="143" t="s">
        <v>257</v>
      </c>
      <c r="D410" s="143" t="s">
        <v>69</v>
      </c>
      <c r="E410" s="257">
        <v>673849000</v>
      </c>
      <c r="F410" s="257">
        <v>673849000</v>
      </c>
      <c r="G410" s="257">
        <v>673849000</v>
      </c>
      <c r="H410" s="257">
        <v>0</v>
      </c>
      <c r="I410" s="257">
        <v>383754830</v>
      </c>
      <c r="J410" s="257">
        <v>0</v>
      </c>
      <c r="K410" s="257">
        <v>290094170</v>
      </c>
      <c r="L410" s="257">
        <v>290094170</v>
      </c>
      <c r="M410" s="257">
        <v>0</v>
      </c>
      <c r="N410" s="257">
        <v>0</v>
      </c>
    </row>
    <row r="411" spans="1:14" s="143" customFormat="1" x14ac:dyDescent="0.25">
      <c r="A411" s="143" t="s">
        <v>334</v>
      </c>
      <c r="B411" s="143" t="s">
        <v>363</v>
      </c>
      <c r="C411" s="143" t="s">
        <v>259</v>
      </c>
      <c r="D411" s="143" t="s">
        <v>69</v>
      </c>
      <c r="E411" s="257">
        <v>135856000</v>
      </c>
      <c r="F411" s="257">
        <v>135856000</v>
      </c>
      <c r="G411" s="257">
        <v>135856000</v>
      </c>
      <c r="H411" s="257">
        <v>0</v>
      </c>
      <c r="I411" s="257">
        <v>77369273</v>
      </c>
      <c r="J411" s="257">
        <v>0</v>
      </c>
      <c r="K411" s="257">
        <v>58486727</v>
      </c>
      <c r="L411" s="257">
        <v>58486727</v>
      </c>
      <c r="M411" s="257">
        <v>0</v>
      </c>
      <c r="N411" s="257">
        <v>0</v>
      </c>
    </row>
    <row r="412" spans="1:14" s="143" customFormat="1" x14ac:dyDescent="0.25">
      <c r="A412" s="143" t="s">
        <v>334</v>
      </c>
      <c r="B412" s="143" t="s">
        <v>364</v>
      </c>
      <c r="C412" s="143" t="s">
        <v>365</v>
      </c>
      <c r="D412" s="143" t="s">
        <v>85</v>
      </c>
      <c r="E412" s="257">
        <v>9066100000</v>
      </c>
      <c r="F412" s="257">
        <v>9066100000</v>
      </c>
      <c r="G412" s="257">
        <v>3066100000</v>
      </c>
      <c r="H412" s="257">
        <v>0</v>
      </c>
      <c r="I412" s="257">
        <v>3066100000</v>
      </c>
      <c r="J412" s="257">
        <v>0</v>
      </c>
      <c r="K412" s="257">
        <v>0</v>
      </c>
      <c r="L412" s="257">
        <v>0</v>
      </c>
      <c r="M412" s="257">
        <v>6000000000</v>
      </c>
      <c r="N412" s="257">
        <v>0</v>
      </c>
    </row>
    <row r="413" spans="1:14" s="143" customFormat="1" x14ac:dyDescent="0.25">
      <c r="A413" s="143" t="s">
        <v>334</v>
      </c>
      <c r="B413" s="143" t="s">
        <v>366</v>
      </c>
      <c r="C413" s="143" t="s">
        <v>367</v>
      </c>
      <c r="D413" s="143" t="s">
        <v>69</v>
      </c>
      <c r="E413" s="257">
        <v>550000000</v>
      </c>
      <c r="F413" s="257">
        <v>550000000</v>
      </c>
      <c r="G413" s="257">
        <v>275000000</v>
      </c>
      <c r="H413" s="257">
        <v>0</v>
      </c>
      <c r="I413" s="257">
        <v>50000000</v>
      </c>
      <c r="J413" s="257">
        <v>0</v>
      </c>
      <c r="K413" s="257">
        <v>225000000</v>
      </c>
      <c r="L413" s="257">
        <v>180000000</v>
      </c>
      <c r="M413" s="257">
        <v>275000000</v>
      </c>
      <c r="N413" s="257">
        <v>0</v>
      </c>
    </row>
    <row r="414" spans="1:14" s="143" customFormat="1" x14ac:dyDescent="0.25">
      <c r="A414" s="143" t="s">
        <v>334</v>
      </c>
      <c r="B414" s="143" t="s">
        <v>368</v>
      </c>
      <c r="C414" s="143" t="s">
        <v>369</v>
      </c>
      <c r="D414" s="143" t="s">
        <v>69</v>
      </c>
      <c r="E414" s="257">
        <v>550000000</v>
      </c>
      <c r="F414" s="257">
        <v>550000000</v>
      </c>
      <c r="G414" s="257">
        <v>275000000</v>
      </c>
      <c r="H414" s="257">
        <v>0</v>
      </c>
      <c r="I414" s="257">
        <v>50000000</v>
      </c>
      <c r="J414" s="257">
        <v>0</v>
      </c>
      <c r="K414" s="257">
        <v>225000000</v>
      </c>
      <c r="L414" s="257">
        <v>180000000</v>
      </c>
      <c r="M414" s="257">
        <v>275000000</v>
      </c>
      <c r="N414" s="257">
        <v>0</v>
      </c>
    </row>
    <row r="415" spans="1:14" s="143" customFormat="1" x14ac:dyDescent="0.25">
      <c r="A415" s="143" t="s">
        <v>334</v>
      </c>
      <c r="B415" s="143" t="s">
        <v>260</v>
      </c>
      <c r="C415" s="143" t="s">
        <v>261</v>
      </c>
      <c r="D415" s="143" t="s">
        <v>69</v>
      </c>
      <c r="E415" s="257">
        <v>1002889000</v>
      </c>
      <c r="F415" s="257">
        <v>1002889000</v>
      </c>
      <c r="G415" s="257">
        <v>478028206.25</v>
      </c>
      <c r="H415" s="257">
        <v>0</v>
      </c>
      <c r="I415" s="257">
        <v>1138665.58</v>
      </c>
      <c r="J415" s="257">
        <v>0</v>
      </c>
      <c r="K415" s="257">
        <v>409068813.62</v>
      </c>
      <c r="L415" s="257">
        <v>409068813.62</v>
      </c>
      <c r="M415" s="257">
        <v>592681520.79999995</v>
      </c>
      <c r="N415" s="257">
        <v>67820727.049999997</v>
      </c>
    </row>
    <row r="416" spans="1:14" s="143" customFormat="1" x14ac:dyDescent="0.25">
      <c r="A416" s="143" t="s">
        <v>334</v>
      </c>
      <c r="B416" s="143" t="s">
        <v>262</v>
      </c>
      <c r="C416" s="143" t="s">
        <v>263</v>
      </c>
      <c r="D416" s="143" t="s">
        <v>69</v>
      </c>
      <c r="E416" s="257">
        <v>657462000</v>
      </c>
      <c r="F416" s="257">
        <v>657462000</v>
      </c>
      <c r="G416" s="257">
        <v>259216115</v>
      </c>
      <c r="H416" s="257">
        <v>0</v>
      </c>
      <c r="I416" s="257">
        <v>1138665.58</v>
      </c>
      <c r="J416" s="257">
        <v>0</v>
      </c>
      <c r="K416" s="257">
        <v>258077449.41999999</v>
      </c>
      <c r="L416" s="257">
        <v>258077449.41999999</v>
      </c>
      <c r="M416" s="257">
        <v>398245885</v>
      </c>
      <c r="N416" s="257">
        <v>0</v>
      </c>
    </row>
    <row r="417" spans="1:14" s="143" customFormat="1" x14ac:dyDescent="0.25">
      <c r="A417" s="143" t="s">
        <v>334</v>
      </c>
      <c r="B417" s="143" t="s">
        <v>264</v>
      </c>
      <c r="C417" s="143" t="s">
        <v>265</v>
      </c>
      <c r="D417" s="143" t="s">
        <v>69</v>
      </c>
      <c r="E417" s="257">
        <v>345427000</v>
      </c>
      <c r="F417" s="257">
        <v>345427000</v>
      </c>
      <c r="G417" s="257">
        <v>218812091.25</v>
      </c>
      <c r="H417" s="257">
        <v>0</v>
      </c>
      <c r="I417" s="257">
        <v>0</v>
      </c>
      <c r="J417" s="257">
        <v>0</v>
      </c>
      <c r="K417" s="257">
        <v>150991364.19999999</v>
      </c>
      <c r="L417" s="257">
        <v>150991364.19999999</v>
      </c>
      <c r="M417" s="257">
        <v>194435635.80000001</v>
      </c>
      <c r="N417" s="257">
        <v>67820727.049999997</v>
      </c>
    </row>
    <row r="418" spans="1:14" s="143" customFormat="1" x14ac:dyDescent="0.25">
      <c r="A418" s="143" t="s">
        <v>334</v>
      </c>
      <c r="B418" s="143" t="s">
        <v>286</v>
      </c>
      <c r="C418" s="143" t="s">
        <v>287</v>
      </c>
      <c r="D418" s="143" t="s">
        <v>69</v>
      </c>
      <c r="E418" s="257">
        <v>88352000</v>
      </c>
      <c r="F418" s="257">
        <v>108352000</v>
      </c>
      <c r="G418" s="257">
        <v>96676000</v>
      </c>
      <c r="H418" s="257">
        <v>0</v>
      </c>
      <c r="I418" s="257">
        <v>14852714.890000001</v>
      </c>
      <c r="J418" s="257">
        <v>0</v>
      </c>
      <c r="K418" s="257">
        <v>70147285.109999999</v>
      </c>
      <c r="L418" s="257">
        <v>70147285.109999999</v>
      </c>
      <c r="M418" s="257">
        <v>23352000</v>
      </c>
      <c r="N418" s="257">
        <v>11676000</v>
      </c>
    </row>
    <row r="419" spans="1:14" s="143" customFormat="1" x14ac:dyDescent="0.25">
      <c r="A419" s="143" t="s">
        <v>334</v>
      </c>
      <c r="B419" s="143" t="s">
        <v>288</v>
      </c>
      <c r="C419" s="143" t="s">
        <v>289</v>
      </c>
      <c r="D419" s="143" t="s">
        <v>69</v>
      </c>
      <c r="E419" s="257">
        <v>65000000</v>
      </c>
      <c r="F419" s="257">
        <v>85000000</v>
      </c>
      <c r="G419" s="257">
        <v>85000000</v>
      </c>
      <c r="H419" s="257">
        <v>0</v>
      </c>
      <c r="I419" s="257">
        <v>14852714.890000001</v>
      </c>
      <c r="J419" s="257">
        <v>0</v>
      </c>
      <c r="K419" s="257">
        <v>70147285.109999999</v>
      </c>
      <c r="L419" s="257">
        <v>70147285.109999999</v>
      </c>
      <c r="M419" s="257">
        <v>0</v>
      </c>
      <c r="N419" s="257">
        <v>0</v>
      </c>
    </row>
    <row r="420" spans="1:14" s="143" customFormat="1" x14ac:dyDescent="0.25">
      <c r="A420" s="143" t="s">
        <v>334</v>
      </c>
      <c r="B420" s="143" t="s">
        <v>370</v>
      </c>
      <c r="C420" s="143" t="s">
        <v>371</v>
      </c>
      <c r="D420" s="143" t="s">
        <v>69</v>
      </c>
      <c r="E420" s="257">
        <v>23352000</v>
      </c>
      <c r="F420" s="257">
        <v>23352000</v>
      </c>
      <c r="G420" s="257">
        <v>11676000</v>
      </c>
      <c r="H420" s="257">
        <v>0</v>
      </c>
      <c r="I420" s="257">
        <v>0</v>
      </c>
      <c r="J420" s="257">
        <v>0</v>
      </c>
      <c r="K420" s="257">
        <v>0</v>
      </c>
      <c r="L420" s="257">
        <v>0</v>
      </c>
      <c r="M420" s="257">
        <v>23352000</v>
      </c>
      <c r="N420" s="257">
        <v>11676000</v>
      </c>
    </row>
    <row r="421" spans="1:14" s="143" customFormat="1" x14ac:dyDescent="0.25">
      <c r="A421" s="143" t="s">
        <v>334</v>
      </c>
      <c r="B421" s="143" t="s">
        <v>372</v>
      </c>
      <c r="C421" s="143" t="s">
        <v>373</v>
      </c>
      <c r="D421" s="143" t="s">
        <v>85</v>
      </c>
      <c r="E421" s="257">
        <v>573100000</v>
      </c>
      <c r="F421" s="257">
        <v>827134852</v>
      </c>
      <c r="G421" s="257">
        <v>258931852</v>
      </c>
      <c r="H421" s="257">
        <v>0</v>
      </c>
      <c r="I421" s="257">
        <v>0</v>
      </c>
      <c r="J421" s="257">
        <v>0</v>
      </c>
      <c r="K421" s="257">
        <v>0</v>
      </c>
      <c r="L421" s="257">
        <v>0</v>
      </c>
      <c r="M421" s="257">
        <v>827134852</v>
      </c>
      <c r="N421" s="257">
        <v>258931852</v>
      </c>
    </row>
    <row r="422" spans="1:14" s="143" customFormat="1" x14ac:dyDescent="0.25">
      <c r="A422" s="143" t="s">
        <v>334</v>
      </c>
      <c r="B422" s="143" t="s">
        <v>374</v>
      </c>
      <c r="C422" s="143" t="s">
        <v>375</v>
      </c>
      <c r="D422" s="143" t="s">
        <v>85</v>
      </c>
      <c r="E422" s="257">
        <v>573100000</v>
      </c>
      <c r="F422" s="257">
        <v>827134852</v>
      </c>
      <c r="G422" s="257">
        <v>258931852</v>
      </c>
      <c r="H422" s="257">
        <v>0</v>
      </c>
      <c r="I422" s="257">
        <v>0</v>
      </c>
      <c r="J422" s="257">
        <v>0</v>
      </c>
      <c r="K422" s="257">
        <v>0</v>
      </c>
      <c r="L422" s="257">
        <v>0</v>
      </c>
      <c r="M422" s="257">
        <v>827134852</v>
      </c>
      <c r="N422" s="257">
        <v>258931852</v>
      </c>
    </row>
    <row r="423" spans="1:14" s="143" customFormat="1" x14ac:dyDescent="0.25">
      <c r="A423" s="143" t="s">
        <v>334</v>
      </c>
      <c r="B423" s="143" t="s">
        <v>376</v>
      </c>
      <c r="C423" s="143" t="s">
        <v>377</v>
      </c>
      <c r="D423" s="143" t="s">
        <v>85</v>
      </c>
      <c r="E423" s="257">
        <v>573100000</v>
      </c>
      <c r="F423" s="257">
        <v>827134852</v>
      </c>
      <c r="G423" s="257">
        <v>258931852</v>
      </c>
      <c r="H423" s="257">
        <v>0</v>
      </c>
      <c r="I423" s="257">
        <v>0</v>
      </c>
      <c r="J423" s="257">
        <v>0</v>
      </c>
      <c r="K423" s="257">
        <v>0</v>
      </c>
      <c r="L423" s="257">
        <v>0</v>
      </c>
      <c r="M423" s="257">
        <v>827134852</v>
      </c>
      <c r="N423" s="257">
        <v>258931852</v>
      </c>
    </row>
    <row r="424" spans="1:14" s="143" customFormat="1" x14ac:dyDescent="0.25">
      <c r="A424" s="143">
        <v>214784</v>
      </c>
      <c r="D424" s="143" t="s">
        <v>69</v>
      </c>
      <c r="E424" s="257">
        <v>13837611334</v>
      </c>
      <c r="F424" s="257">
        <v>13837611334</v>
      </c>
      <c r="G424" s="257">
        <v>13677929203</v>
      </c>
      <c r="H424" s="257">
        <v>0</v>
      </c>
      <c r="I424" s="257">
        <v>1422935408.5899999</v>
      </c>
      <c r="J424" s="257">
        <v>0</v>
      </c>
      <c r="K424" s="257">
        <v>5382018511.6800003</v>
      </c>
      <c r="L424" s="257">
        <v>5382018511.6800003</v>
      </c>
      <c r="M424" s="257">
        <v>7032657413.7299995</v>
      </c>
      <c r="N424" s="257">
        <v>6872975282.7299995</v>
      </c>
    </row>
    <row r="425" spans="1:14" s="143" customFormat="1" x14ac:dyDescent="0.25">
      <c r="A425" s="143" t="s">
        <v>378</v>
      </c>
      <c r="B425" s="143" t="s">
        <v>71</v>
      </c>
      <c r="C425" s="143" t="s">
        <v>72</v>
      </c>
      <c r="D425" s="143" t="s">
        <v>69</v>
      </c>
      <c r="E425" s="257">
        <v>13313316000</v>
      </c>
      <c r="F425" s="257">
        <v>13313316000</v>
      </c>
      <c r="G425" s="257">
        <v>13313316000</v>
      </c>
      <c r="H425" s="257">
        <v>0</v>
      </c>
      <c r="I425" s="257">
        <v>1234985798.97</v>
      </c>
      <c r="J425" s="257">
        <v>0</v>
      </c>
      <c r="K425" s="257">
        <v>5244300770.5100002</v>
      </c>
      <c r="L425" s="257">
        <v>5244300770.5100002</v>
      </c>
      <c r="M425" s="257">
        <v>6834029430.5200005</v>
      </c>
      <c r="N425" s="257">
        <v>6834029430.5200005</v>
      </c>
    </row>
    <row r="426" spans="1:14" s="143" customFormat="1" x14ac:dyDescent="0.25">
      <c r="A426" s="143" t="s">
        <v>378</v>
      </c>
      <c r="B426" s="143" t="s">
        <v>73</v>
      </c>
      <c r="C426" s="143" t="s">
        <v>74</v>
      </c>
      <c r="D426" s="143" t="s">
        <v>69</v>
      </c>
      <c r="E426" s="257">
        <v>4473382000</v>
      </c>
      <c r="F426" s="257">
        <v>4473382000</v>
      </c>
      <c r="G426" s="257">
        <v>4473382000</v>
      </c>
      <c r="H426" s="257">
        <v>0</v>
      </c>
      <c r="I426" s="257">
        <v>180140</v>
      </c>
      <c r="J426" s="257">
        <v>0</v>
      </c>
      <c r="K426" s="257">
        <v>1663820366.72</v>
      </c>
      <c r="L426" s="257">
        <v>1663820366.72</v>
      </c>
      <c r="M426" s="257">
        <v>2809381493.2800002</v>
      </c>
      <c r="N426" s="257">
        <v>2809381493.2800002</v>
      </c>
    </row>
    <row r="427" spans="1:14" s="143" customFormat="1" x14ac:dyDescent="0.25">
      <c r="A427" s="143" t="s">
        <v>378</v>
      </c>
      <c r="B427" s="143" t="s">
        <v>75</v>
      </c>
      <c r="C427" s="143" t="s">
        <v>76</v>
      </c>
      <c r="D427" s="143" t="s">
        <v>69</v>
      </c>
      <c r="E427" s="257">
        <v>4473382000</v>
      </c>
      <c r="F427" s="257">
        <v>4473382000</v>
      </c>
      <c r="G427" s="257">
        <v>4473382000</v>
      </c>
      <c r="H427" s="257">
        <v>0</v>
      </c>
      <c r="I427" s="257">
        <v>180140</v>
      </c>
      <c r="J427" s="257">
        <v>0</v>
      </c>
      <c r="K427" s="257">
        <v>1663820366.72</v>
      </c>
      <c r="L427" s="257">
        <v>1663820366.72</v>
      </c>
      <c r="M427" s="257">
        <v>2809381493.2800002</v>
      </c>
      <c r="N427" s="257">
        <v>2809381493.2800002</v>
      </c>
    </row>
    <row r="428" spans="1:14" s="143" customFormat="1" x14ac:dyDescent="0.25">
      <c r="A428" s="143" t="s">
        <v>378</v>
      </c>
      <c r="B428" s="143" t="s">
        <v>77</v>
      </c>
      <c r="C428" s="143" t="s">
        <v>78</v>
      </c>
      <c r="D428" s="143" t="s">
        <v>69</v>
      </c>
      <c r="E428" s="257">
        <v>6745487000</v>
      </c>
      <c r="F428" s="257">
        <v>6745487000</v>
      </c>
      <c r="G428" s="257">
        <v>6745487000</v>
      </c>
      <c r="H428" s="257">
        <v>0</v>
      </c>
      <c r="I428" s="257">
        <v>220373</v>
      </c>
      <c r="J428" s="257">
        <v>0</v>
      </c>
      <c r="K428" s="257">
        <v>2720618689.7600002</v>
      </c>
      <c r="L428" s="257">
        <v>2720618689.7600002</v>
      </c>
      <c r="M428" s="257">
        <v>4024647937.2399998</v>
      </c>
      <c r="N428" s="257">
        <v>4024647937.2399998</v>
      </c>
    </row>
    <row r="429" spans="1:14" s="143" customFormat="1" x14ac:dyDescent="0.25">
      <c r="A429" s="143" t="s">
        <v>378</v>
      </c>
      <c r="B429" s="143" t="s">
        <v>79</v>
      </c>
      <c r="C429" s="143" t="s">
        <v>80</v>
      </c>
      <c r="D429" s="143" t="s">
        <v>69</v>
      </c>
      <c r="E429" s="257">
        <v>1460185000</v>
      </c>
      <c r="F429" s="257">
        <v>1460185000</v>
      </c>
      <c r="G429" s="257">
        <v>1460185000</v>
      </c>
      <c r="H429" s="257">
        <v>0</v>
      </c>
      <c r="I429" s="257">
        <v>121296</v>
      </c>
      <c r="J429" s="257">
        <v>0</v>
      </c>
      <c r="K429" s="257">
        <v>544340725.79999995</v>
      </c>
      <c r="L429" s="257">
        <v>544340725.79999995</v>
      </c>
      <c r="M429" s="257">
        <v>915722978.20000005</v>
      </c>
      <c r="N429" s="257">
        <v>915722978.20000005</v>
      </c>
    </row>
    <row r="430" spans="1:14" s="143" customFormat="1" x14ac:dyDescent="0.25">
      <c r="A430" s="143" t="s">
        <v>378</v>
      </c>
      <c r="B430" s="143" t="s">
        <v>81</v>
      </c>
      <c r="C430" s="143" t="s">
        <v>82</v>
      </c>
      <c r="D430" s="143" t="s">
        <v>69</v>
      </c>
      <c r="E430" s="257">
        <v>2519609000</v>
      </c>
      <c r="F430" s="257">
        <v>2519609000</v>
      </c>
      <c r="G430" s="257">
        <v>2519609000</v>
      </c>
      <c r="H430" s="257">
        <v>0</v>
      </c>
      <c r="I430" s="257">
        <v>54042</v>
      </c>
      <c r="J430" s="257">
        <v>0</v>
      </c>
      <c r="K430" s="257">
        <v>973175914.96000004</v>
      </c>
      <c r="L430" s="257">
        <v>973175914.96000004</v>
      </c>
      <c r="M430" s="257">
        <v>1546379043.04</v>
      </c>
      <c r="N430" s="257">
        <v>1546379043.04</v>
      </c>
    </row>
    <row r="431" spans="1:14" s="143" customFormat="1" x14ac:dyDescent="0.25">
      <c r="A431" s="143" t="s">
        <v>378</v>
      </c>
      <c r="B431" s="143" t="s">
        <v>86</v>
      </c>
      <c r="C431" s="143" t="s">
        <v>87</v>
      </c>
      <c r="D431" s="143" t="s">
        <v>69</v>
      </c>
      <c r="E431" s="257">
        <v>738904000</v>
      </c>
      <c r="F431" s="257">
        <v>738904000</v>
      </c>
      <c r="G431" s="257">
        <v>738904000</v>
      </c>
      <c r="H431" s="257">
        <v>0</v>
      </c>
      <c r="I431" s="257">
        <v>0</v>
      </c>
      <c r="J431" s="257">
        <v>0</v>
      </c>
      <c r="K431" s="257">
        <v>737016521.14999998</v>
      </c>
      <c r="L431" s="257">
        <v>737016521.14999998</v>
      </c>
      <c r="M431" s="257">
        <v>1887478.85</v>
      </c>
      <c r="N431" s="257">
        <v>1887478.85</v>
      </c>
    </row>
    <row r="432" spans="1:14" s="143" customFormat="1" x14ac:dyDescent="0.25">
      <c r="A432" s="143" t="s">
        <v>378</v>
      </c>
      <c r="B432" s="143" t="s">
        <v>88</v>
      </c>
      <c r="C432" s="143" t="s">
        <v>89</v>
      </c>
      <c r="D432" s="143" t="s">
        <v>69</v>
      </c>
      <c r="E432" s="257">
        <v>1196454000</v>
      </c>
      <c r="F432" s="257">
        <v>1196454000</v>
      </c>
      <c r="G432" s="257">
        <v>1196454000</v>
      </c>
      <c r="H432" s="257">
        <v>0</v>
      </c>
      <c r="I432" s="257">
        <v>45035</v>
      </c>
      <c r="J432" s="257">
        <v>0</v>
      </c>
      <c r="K432" s="257">
        <v>466085527.85000002</v>
      </c>
      <c r="L432" s="257">
        <v>466085527.85000002</v>
      </c>
      <c r="M432" s="257">
        <v>730323437.14999998</v>
      </c>
      <c r="N432" s="257">
        <v>730323437.14999998</v>
      </c>
    </row>
    <row r="433" spans="1:14" s="143" customFormat="1" x14ac:dyDescent="0.25">
      <c r="A433" s="143" t="s">
        <v>378</v>
      </c>
      <c r="B433" s="143" t="s">
        <v>83</v>
      </c>
      <c r="C433" s="143" t="s">
        <v>84</v>
      </c>
      <c r="D433" s="143" t="s">
        <v>85</v>
      </c>
      <c r="E433" s="257">
        <v>830335000</v>
      </c>
      <c r="F433" s="257">
        <v>830335000</v>
      </c>
      <c r="G433" s="257">
        <v>830335000</v>
      </c>
      <c r="H433" s="257">
        <v>0</v>
      </c>
      <c r="I433" s="257">
        <v>0</v>
      </c>
      <c r="J433" s="257">
        <v>0</v>
      </c>
      <c r="K433" s="257">
        <v>0</v>
      </c>
      <c r="L433" s="257">
        <v>0</v>
      </c>
      <c r="M433" s="257">
        <v>830335000</v>
      </c>
      <c r="N433" s="257">
        <v>830335000</v>
      </c>
    </row>
    <row r="434" spans="1:14" s="143" customFormat="1" x14ac:dyDescent="0.25">
      <c r="A434" s="143" t="s">
        <v>378</v>
      </c>
      <c r="B434" s="143" t="s">
        <v>90</v>
      </c>
      <c r="C434" s="143" t="s">
        <v>91</v>
      </c>
      <c r="D434" s="143" t="s">
        <v>69</v>
      </c>
      <c r="E434" s="257">
        <v>1012881000</v>
      </c>
      <c r="F434" s="257">
        <v>1012881000</v>
      </c>
      <c r="G434" s="257">
        <v>1012881000</v>
      </c>
      <c r="H434" s="257">
        <v>0</v>
      </c>
      <c r="I434" s="257">
        <v>582515717</v>
      </c>
      <c r="J434" s="257">
        <v>0</v>
      </c>
      <c r="K434" s="257">
        <v>430365283</v>
      </c>
      <c r="L434" s="257">
        <v>430365283</v>
      </c>
      <c r="M434" s="257">
        <v>0</v>
      </c>
      <c r="N434" s="257">
        <v>0</v>
      </c>
    </row>
    <row r="435" spans="1:14" s="143" customFormat="1" x14ac:dyDescent="0.25">
      <c r="A435" s="143" t="s">
        <v>378</v>
      </c>
      <c r="B435" s="143" t="s">
        <v>379</v>
      </c>
      <c r="C435" s="143" t="s">
        <v>93</v>
      </c>
      <c r="D435" s="143" t="s">
        <v>69</v>
      </c>
      <c r="E435" s="257">
        <v>960939000</v>
      </c>
      <c r="F435" s="257">
        <v>960939000</v>
      </c>
      <c r="G435" s="257">
        <v>960939000</v>
      </c>
      <c r="H435" s="257">
        <v>0</v>
      </c>
      <c r="I435" s="257">
        <v>552642879</v>
      </c>
      <c r="J435" s="257">
        <v>0</v>
      </c>
      <c r="K435" s="257">
        <v>408296121</v>
      </c>
      <c r="L435" s="257">
        <v>408296121</v>
      </c>
      <c r="M435" s="257">
        <v>0</v>
      </c>
      <c r="N435" s="257">
        <v>0</v>
      </c>
    </row>
    <row r="436" spans="1:14" s="143" customFormat="1" x14ac:dyDescent="0.25">
      <c r="A436" s="143" t="s">
        <v>378</v>
      </c>
      <c r="B436" s="143" t="s">
        <v>380</v>
      </c>
      <c r="C436" s="143" t="s">
        <v>95</v>
      </c>
      <c r="D436" s="143" t="s">
        <v>69</v>
      </c>
      <c r="E436" s="257">
        <v>51942000</v>
      </c>
      <c r="F436" s="257">
        <v>51942000</v>
      </c>
      <c r="G436" s="257">
        <v>51942000</v>
      </c>
      <c r="H436" s="257">
        <v>0</v>
      </c>
      <c r="I436" s="257">
        <v>29872838</v>
      </c>
      <c r="J436" s="257">
        <v>0</v>
      </c>
      <c r="K436" s="257">
        <v>22069162</v>
      </c>
      <c r="L436" s="257">
        <v>22069162</v>
      </c>
      <c r="M436" s="257">
        <v>0</v>
      </c>
      <c r="N436" s="257">
        <v>0</v>
      </c>
    </row>
    <row r="437" spans="1:14" s="143" customFormat="1" x14ac:dyDescent="0.25">
      <c r="A437" s="143" t="s">
        <v>378</v>
      </c>
      <c r="B437" s="143" t="s">
        <v>96</v>
      </c>
      <c r="C437" s="143" t="s">
        <v>97</v>
      </c>
      <c r="D437" s="143" t="s">
        <v>69</v>
      </c>
      <c r="E437" s="257">
        <v>1081566000</v>
      </c>
      <c r="F437" s="257">
        <v>1081566000</v>
      </c>
      <c r="G437" s="257">
        <v>1081566000</v>
      </c>
      <c r="H437" s="257">
        <v>0</v>
      </c>
      <c r="I437" s="257">
        <v>652069568.97000003</v>
      </c>
      <c r="J437" s="257">
        <v>0</v>
      </c>
      <c r="K437" s="257">
        <v>429496431.02999997</v>
      </c>
      <c r="L437" s="257">
        <v>429496431.02999997</v>
      </c>
      <c r="M437" s="257">
        <v>0</v>
      </c>
      <c r="N437" s="257">
        <v>0</v>
      </c>
    </row>
    <row r="438" spans="1:14" s="143" customFormat="1" x14ac:dyDescent="0.25">
      <c r="A438" s="143" t="s">
        <v>378</v>
      </c>
      <c r="B438" s="143" t="s">
        <v>381</v>
      </c>
      <c r="C438" s="143" t="s">
        <v>99</v>
      </c>
      <c r="D438" s="143" t="s">
        <v>69</v>
      </c>
      <c r="E438" s="257">
        <v>527737000</v>
      </c>
      <c r="F438" s="257">
        <v>527737000</v>
      </c>
      <c r="G438" s="257">
        <v>527737000</v>
      </c>
      <c r="H438" s="257">
        <v>0</v>
      </c>
      <c r="I438" s="257">
        <v>335949010</v>
      </c>
      <c r="J438" s="257">
        <v>0</v>
      </c>
      <c r="K438" s="257">
        <v>191787990</v>
      </c>
      <c r="L438" s="257">
        <v>191787990</v>
      </c>
      <c r="M438" s="257">
        <v>0</v>
      </c>
      <c r="N438" s="257">
        <v>0</v>
      </c>
    </row>
    <row r="439" spans="1:14" s="143" customFormat="1" x14ac:dyDescent="0.25">
      <c r="A439" s="143" t="s">
        <v>378</v>
      </c>
      <c r="B439" s="143" t="s">
        <v>382</v>
      </c>
      <c r="C439" s="143" t="s">
        <v>101</v>
      </c>
      <c r="D439" s="143" t="s">
        <v>69</v>
      </c>
      <c r="E439" s="257">
        <v>155828000</v>
      </c>
      <c r="F439" s="257">
        <v>155828000</v>
      </c>
      <c r="G439" s="257">
        <v>155828000</v>
      </c>
      <c r="H439" s="257">
        <v>0</v>
      </c>
      <c r="I439" s="257">
        <v>89620442</v>
      </c>
      <c r="J439" s="257">
        <v>0</v>
      </c>
      <c r="K439" s="257">
        <v>66207558</v>
      </c>
      <c r="L439" s="257">
        <v>66207558</v>
      </c>
      <c r="M439" s="257">
        <v>0</v>
      </c>
      <c r="N439" s="257">
        <v>0</v>
      </c>
    </row>
    <row r="440" spans="1:14" s="143" customFormat="1" x14ac:dyDescent="0.25">
      <c r="A440" s="143" t="s">
        <v>378</v>
      </c>
      <c r="B440" s="143" t="s">
        <v>383</v>
      </c>
      <c r="C440" s="143" t="s">
        <v>103</v>
      </c>
      <c r="D440" s="143" t="s">
        <v>69</v>
      </c>
      <c r="E440" s="257">
        <v>311656000</v>
      </c>
      <c r="F440" s="257">
        <v>311656000</v>
      </c>
      <c r="G440" s="257">
        <v>311656000</v>
      </c>
      <c r="H440" s="257">
        <v>0</v>
      </c>
      <c r="I440" s="257">
        <v>179240976</v>
      </c>
      <c r="J440" s="257">
        <v>0</v>
      </c>
      <c r="K440" s="257">
        <v>132415024</v>
      </c>
      <c r="L440" s="257">
        <v>132415024</v>
      </c>
      <c r="M440" s="257">
        <v>0</v>
      </c>
      <c r="N440" s="257">
        <v>0</v>
      </c>
    </row>
    <row r="441" spans="1:14" s="143" customFormat="1" x14ac:dyDescent="0.25">
      <c r="A441" s="143" t="s">
        <v>378</v>
      </c>
      <c r="B441" s="143" t="s">
        <v>384</v>
      </c>
      <c r="C441" s="143" t="s">
        <v>385</v>
      </c>
      <c r="D441" s="143" t="s">
        <v>69</v>
      </c>
      <c r="E441" s="257">
        <v>86345000</v>
      </c>
      <c r="F441" s="257">
        <v>86345000</v>
      </c>
      <c r="G441" s="257">
        <v>86345000</v>
      </c>
      <c r="H441" s="257">
        <v>0</v>
      </c>
      <c r="I441" s="257">
        <v>47259140.969999999</v>
      </c>
      <c r="J441" s="257">
        <v>0</v>
      </c>
      <c r="K441" s="257">
        <v>39085859.030000001</v>
      </c>
      <c r="L441" s="257">
        <v>39085859.030000001</v>
      </c>
      <c r="M441" s="257">
        <v>0</v>
      </c>
      <c r="N441" s="257">
        <v>0</v>
      </c>
    </row>
    <row r="442" spans="1:14" s="143" customFormat="1" x14ac:dyDescent="0.25">
      <c r="A442" s="143" t="s">
        <v>378</v>
      </c>
      <c r="B442" s="143" t="s">
        <v>104</v>
      </c>
      <c r="C442" s="143" t="s">
        <v>105</v>
      </c>
      <c r="D442" s="143" t="s">
        <v>69</v>
      </c>
      <c r="E442" s="257">
        <v>31730334</v>
      </c>
      <c r="F442" s="257">
        <v>31730334</v>
      </c>
      <c r="G442" s="257">
        <v>31730334</v>
      </c>
      <c r="H442" s="257">
        <v>0</v>
      </c>
      <c r="I442" s="257">
        <v>31730334</v>
      </c>
      <c r="J442" s="257">
        <v>0</v>
      </c>
      <c r="K442" s="257">
        <v>0</v>
      </c>
      <c r="L442" s="257">
        <v>0</v>
      </c>
      <c r="M442" s="257">
        <v>0</v>
      </c>
      <c r="N442" s="257">
        <v>0</v>
      </c>
    </row>
    <row r="443" spans="1:14" s="143" customFormat="1" x14ac:dyDescent="0.25">
      <c r="A443" s="143" t="s">
        <v>378</v>
      </c>
      <c r="B443" s="143" t="s">
        <v>150</v>
      </c>
      <c r="C443" s="143" t="s">
        <v>151</v>
      </c>
      <c r="D443" s="143" t="s">
        <v>69</v>
      </c>
      <c r="E443" s="257">
        <v>31730334</v>
      </c>
      <c r="F443" s="257">
        <v>31730334</v>
      </c>
      <c r="G443" s="257">
        <v>31730334</v>
      </c>
      <c r="H443" s="257">
        <v>0</v>
      </c>
      <c r="I443" s="257">
        <v>31730334</v>
      </c>
      <c r="J443" s="257">
        <v>0</v>
      </c>
      <c r="K443" s="257">
        <v>0</v>
      </c>
      <c r="L443" s="257">
        <v>0</v>
      </c>
      <c r="M443" s="257">
        <v>0</v>
      </c>
      <c r="N443" s="257">
        <v>0</v>
      </c>
    </row>
    <row r="444" spans="1:14" s="143" customFormat="1" x14ac:dyDescent="0.25">
      <c r="A444" s="143" t="s">
        <v>378</v>
      </c>
      <c r="B444" s="143" t="s">
        <v>152</v>
      </c>
      <c r="C444" s="143" t="s">
        <v>153</v>
      </c>
      <c r="D444" s="143" t="s">
        <v>69</v>
      </c>
      <c r="E444" s="257">
        <v>31730334</v>
      </c>
      <c r="F444" s="257">
        <v>31730334</v>
      </c>
      <c r="G444" s="257">
        <v>31730334</v>
      </c>
      <c r="H444" s="257">
        <v>0</v>
      </c>
      <c r="I444" s="257">
        <v>31730334</v>
      </c>
      <c r="J444" s="257">
        <v>0</v>
      </c>
      <c r="K444" s="257">
        <v>0</v>
      </c>
      <c r="L444" s="257">
        <v>0</v>
      </c>
      <c r="M444" s="257">
        <v>0</v>
      </c>
      <c r="N444" s="257">
        <v>0</v>
      </c>
    </row>
    <row r="445" spans="1:14" s="143" customFormat="1" x14ac:dyDescent="0.25">
      <c r="A445" s="143" t="s">
        <v>378</v>
      </c>
      <c r="B445" s="143" t="s">
        <v>248</v>
      </c>
      <c r="C445" s="143" t="s">
        <v>249</v>
      </c>
      <c r="D445" s="143" t="s">
        <v>69</v>
      </c>
      <c r="E445" s="257">
        <v>492565000</v>
      </c>
      <c r="F445" s="257">
        <v>492565000</v>
      </c>
      <c r="G445" s="257">
        <v>332882869</v>
      </c>
      <c r="H445" s="257">
        <v>0</v>
      </c>
      <c r="I445" s="257">
        <v>156219275.62</v>
      </c>
      <c r="J445" s="257">
        <v>0</v>
      </c>
      <c r="K445" s="257">
        <v>137717741.16999999</v>
      </c>
      <c r="L445" s="257">
        <v>137717741.16999999</v>
      </c>
      <c r="M445" s="257">
        <v>198627983.21000001</v>
      </c>
      <c r="N445" s="257">
        <v>38945852.210000001</v>
      </c>
    </row>
    <row r="446" spans="1:14" s="143" customFormat="1" x14ac:dyDescent="0.25">
      <c r="A446" s="143" t="s">
        <v>378</v>
      </c>
      <c r="B446" s="143" t="s">
        <v>250</v>
      </c>
      <c r="C446" s="143" t="s">
        <v>251</v>
      </c>
      <c r="D446" s="143" t="s">
        <v>69</v>
      </c>
      <c r="E446" s="257">
        <v>154788000</v>
      </c>
      <c r="F446" s="257">
        <v>154788000</v>
      </c>
      <c r="G446" s="257">
        <v>154788000</v>
      </c>
      <c r="H446" s="257">
        <v>0</v>
      </c>
      <c r="I446" s="257">
        <v>98814195.310000002</v>
      </c>
      <c r="J446" s="257">
        <v>0</v>
      </c>
      <c r="K446" s="257">
        <v>55973804.689999998</v>
      </c>
      <c r="L446" s="257">
        <v>55973804.689999998</v>
      </c>
      <c r="M446" s="257">
        <v>0</v>
      </c>
      <c r="N446" s="257">
        <v>0</v>
      </c>
    </row>
    <row r="447" spans="1:14" s="143" customFormat="1" x14ac:dyDescent="0.25">
      <c r="A447" s="143" t="s">
        <v>378</v>
      </c>
      <c r="B447" s="143" t="s">
        <v>386</v>
      </c>
      <c r="C447" s="143" t="s">
        <v>257</v>
      </c>
      <c r="D447" s="143" t="s">
        <v>69</v>
      </c>
      <c r="E447" s="257">
        <v>128817000</v>
      </c>
      <c r="F447" s="257">
        <v>128817000</v>
      </c>
      <c r="G447" s="257">
        <v>128817000</v>
      </c>
      <c r="H447" s="257">
        <v>0</v>
      </c>
      <c r="I447" s="257">
        <v>83877850.950000003</v>
      </c>
      <c r="J447" s="257">
        <v>0</v>
      </c>
      <c r="K447" s="257">
        <v>44939149.049999997</v>
      </c>
      <c r="L447" s="257">
        <v>44939149.049999997</v>
      </c>
      <c r="M447" s="257">
        <v>0</v>
      </c>
      <c r="N447" s="257">
        <v>0</v>
      </c>
    </row>
    <row r="448" spans="1:14" s="143" customFormat="1" x14ac:dyDescent="0.25">
      <c r="A448" s="143" t="s">
        <v>378</v>
      </c>
      <c r="B448" s="143" t="s">
        <v>387</v>
      </c>
      <c r="C448" s="143" t="s">
        <v>259</v>
      </c>
      <c r="D448" s="143" t="s">
        <v>69</v>
      </c>
      <c r="E448" s="257">
        <v>25971000</v>
      </c>
      <c r="F448" s="257">
        <v>25971000</v>
      </c>
      <c r="G448" s="257">
        <v>25971000</v>
      </c>
      <c r="H448" s="257">
        <v>0</v>
      </c>
      <c r="I448" s="257">
        <v>14936344.359999999</v>
      </c>
      <c r="J448" s="257">
        <v>0</v>
      </c>
      <c r="K448" s="257">
        <v>11034655.640000001</v>
      </c>
      <c r="L448" s="257">
        <v>11034655.640000001</v>
      </c>
      <c r="M448" s="257">
        <v>0</v>
      </c>
      <c r="N448" s="257">
        <v>0</v>
      </c>
    </row>
    <row r="449" spans="1:14" s="143" customFormat="1" x14ac:dyDescent="0.25">
      <c r="A449" s="143" t="s">
        <v>378</v>
      </c>
      <c r="B449" s="143" t="s">
        <v>260</v>
      </c>
      <c r="C449" s="143" t="s">
        <v>261</v>
      </c>
      <c r="D449" s="143" t="s">
        <v>69</v>
      </c>
      <c r="E449" s="257">
        <v>312777000</v>
      </c>
      <c r="F449" s="257">
        <v>307777000</v>
      </c>
      <c r="G449" s="257">
        <v>155594869</v>
      </c>
      <c r="H449" s="257">
        <v>0</v>
      </c>
      <c r="I449" s="257">
        <v>43047438.310000002</v>
      </c>
      <c r="J449" s="257">
        <v>0</v>
      </c>
      <c r="K449" s="257">
        <v>73601578.480000004</v>
      </c>
      <c r="L449" s="257">
        <v>73601578.480000004</v>
      </c>
      <c r="M449" s="257">
        <v>191127983.21000001</v>
      </c>
      <c r="N449" s="257">
        <v>38945852.210000001</v>
      </c>
    </row>
    <row r="450" spans="1:14" s="143" customFormat="1" x14ac:dyDescent="0.25">
      <c r="A450" s="143" t="s">
        <v>378</v>
      </c>
      <c r="B450" s="143" t="s">
        <v>262</v>
      </c>
      <c r="C450" s="143" t="s">
        <v>263</v>
      </c>
      <c r="D450" s="143" t="s">
        <v>69</v>
      </c>
      <c r="E450" s="257">
        <v>239389000</v>
      </c>
      <c r="F450" s="257">
        <v>239389000</v>
      </c>
      <c r="G450" s="257">
        <v>98829334</v>
      </c>
      <c r="H450" s="257">
        <v>0</v>
      </c>
      <c r="I450" s="257">
        <v>42947310.310000002</v>
      </c>
      <c r="J450" s="257">
        <v>0</v>
      </c>
      <c r="K450" s="257">
        <v>55882021.689999998</v>
      </c>
      <c r="L450" s="257">
        <v>55882021.689999998</v>
      </c>
      <c r="M450" s="257">
        <v>140559668</v>
      </c>
      <c r="N450" s="257">
        <v>2</v>
      </c>
    </row>
    <row r="451" spans="1:14" s="143" customFormat="1" x14ac:dyDescent="0.25">
      <c r="A451" s="143" t="s">
        <v>378</v>
      </c>
      <c r="B451" s="143" t="s">
        <v>264</v>
      </c>
      <c r="C451" s="143" t="s">
        <v>265</v>
      </c>
      <c r="D451" s="143" t="s">
        <v>69</v>
      </c>
      <c r="E451" s="257">
        <v>73388000</v>
      </c>
      <c r="F451" s="257">
        <v>68388000</v>
      </c>
      <c r="G451" s="257">
        <v>56765535</v>
      </c>
      <c r="H451" s="257">
        <v>0</v>
      </c>
      <c r="I451" s="257">
        <v>100128</v>
      </c>
      <c r="J451" s="257">
        <v>0</v>
      </c>
      <c r="K451" s="257">
        <v>17719556.789999999</v>
      </c>
      <c r="L451" s="257">
        <v>17719556.789999999</v>
      </c>
      <c r="M451" s="257">
        <v>50568315.210000001</v>
      </c>
      <c r="N451" s="257">
        <v>38945850.210000001</v>
      </c>
    </row>
    <row r="452" spans="1:14" x14ac:dyDescent="0.25">
      <c r="A452" s="143" t="s">
        <v>378</v>
      </c>
      <c r="B452" s="143" t="s">
        <v>286</v>
      </c>
      <c r="C452" s="143" t="s">
        <v>287</v>
      </c>
      <c r="D452" s="143" t="s">
        <v>69</v>
      </c>
      <c r="E452" s="257">
        <v>25000000</v>
      </c>
      <c r="F452" s="257">
        <v>30000000</v>
      </c>
      <c r="G452" s="257">
        <v>22500000</v>
      </c>
      <c r="H452" s="257">
        <v>0</v>
      </c>
      <c r="I452" s="257">
        <v>14357642</v>
      </c>
      <c r="J452" s="257">
        <v>0</v>
      </c>
      <c r="K452" s="257">
        <v>8142358</v>
      </c>
      <c r="L452" s="257">
        <v>8142358</v>
      </c>
      <c r="M452" s="257">
        <v>7500000</v>
      </c>
      <c r="N452" s="257">
        <v>0</v>
      </c>
    </row>
    <row r="453" spans="1:14" x14ac:dyDescent="0.25">
      <c r="A453" s="143" t="s">
        <v>378</v>
      </c>
      <c r="B453" s="143" t="s">
        <v>288</v>
      </c>
      <c r="C453" s="143" t="s">
        <v>289</v>
      </c>
      <c r="D453" s="143" t="s">
        <v>69</v>
      </c>
      <c r="E453" s="257">
        <v>10000000</v>
      </c>
      <c r="F453" s="257">
        <v>10000000</v>
      </c>
      <c r="G453" s="257">
        <v>6500000</v>
      </c>
      <c r="H453" s="257">
        <v>0</v>
      </c>
      <c r="I453" s="257">
        <v>1585073.53</v>
      </c>
      <c r="J453" s="257">
        <v>0</v>
      </c>
      <c r="K453" s="257">
        <v>4914926.47</v>
      </c>
      <c r="L453" s="257">
        <v>4914926.47</v>
      </c>
      <c r="M453" s="257">
        <v>3500000</v>
      </c>
      <c r="N453" s="257">
        <v>0</v>
      </c>
    </row>
    <row r="454" spans="1:14" x14ac:dyDescent="0.25">
      <c r="A454" s="143" t="s">
        <v>378</v>
      </c>
      <c r="B454" s="143" t="s">
        <v>370</v>
      </c>
      <c r="C454" s="143" t="s">
        <v>371</v>
      </c>
      <c r="D454" s="143" t="s">
        <v>69</v>
      </c>
      <c r="E454" s="257">
        <v>15000000</v>
      </c>
      <c r="F454" s="257">
        <v>20000000</v>
      </c>
      <c r="G454" s="257">
        <v>16000000</v>
      </c>
      <c r="H454" s="257">
        <v>0</v>
      </c>
      <c r="I454" s="257">
        <v>12772568.470000001</v>
      </c>
      <c r="J454" s="257">
        <v>0</v>
      </c>
      <c r="K454" s="257">
        <v>3227431.53</v>
      </c>
      <c r="L454" s="257">
        <v>3227431.53</v>
      </c>
      <c r="M454" s="257">
        <v>4000000</v>
      </c>
      <c r="N454" s="257">
        <v>0</v>
      </c>
    </row>
    <row r="455" spans="1:14" s="143" customFormat="1" x14ac:dyDescent="0.25">
      <c r="A455" s="53"/>
      <c r="B455" s="53"/>
      <c r="C455" s="53"/>
      <c r="D455" s="53"/>
      <c r="E455" s="54">
        <v>675435665000</v>
      </c>
      <c r="F455" s="54">
        <v>705435665000</v>
      </c>
      <c r="G455" s="54">
        <v>594339869273.75</v>
      </c>
      <c r="H455" s="54">
        <v>1238000002.55</v>
      </c>
      <c r="I455" s="54">
        <v>79576289875.899994</v>
      </c>
      <c r="J455" s="54">
        <v>2452762356.75</v>
      </c>
      <c r="K455" s="54">
        <v>237413332288.35001</v>
      </c>
      <c r="L455" s="54">
        <v>233443037661.95001</v>
      </c>
      <c r="M455" s="54">
        <v>384755280476.45001</v>
      </c>
      <c r="N455" s="54">
        <v>273659484750.20001</v>
      </c>
    </row>
  </sheetData>
  <sheetProtection selectLockedCells="1" selectUnlockedCells="1"/>
  <conditionalFormatting sqref="K2:K451">
    <cfRule type="cellIs" dxfId="6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5"/>
  <sheetViews>
    <sheetView zoomScaleNormal="100" workbookViewId="0"/>
  </sheetViews>
  <sheetFormatPr baseColWidth="10" defaultColWidth="36.28515625" defaultRowHeight="15" x14ac:dyDescent="0.25"/>
  <cols>
    <col min="1" max="1" width="13" customWidth="1"/>
    <col min="2" max="2" width="18.140625" customWidth="1"/>
    <col min="3" max="3" width="27" customWidth="1"/>
    <col min="4" max="4" width="6.5703125" customWidth="1"/>
    <col min="5" max="5" width="18.7109375" customWidth="1"/>
    <col min="6" max="7" width="18.5703125" customWidth="1"/>
    <col min="8" max="8" width="17.42578125" customWidth="1"/>
    <col min="9" max="9" width="18.5703125" customWidth="1"/>
    <col min="10" max="10" width="20" customWidth="1"/>
    <col min="11" max="12" width="18.5703125" customWidth="1"/>
    <col min="13" max="13" width="21.5703125" customWidth="1"/>
    <col min="14" max="14" width="18.5703125" customWidth="1"/>
  </cols>
  <sheetData>
    <row r="1" spans="1:14" x14ac:dyDescent="0.25">
      <c r="A1" s="144" t="s">
        <v>52</v>
      </c>
      <c r="B1" s="144" t="s">
        <v>53</v>
      </c>
      <c r="C1" s="144" t="s">
        <v>54</v>
      </c>
      <c r="D1" s="144" t="s">
        <v>55</v>
      </c>
      <c r="E1" s="144" t="s">
        <v>56</v>
      </c>
      <c r="F1" s="144" t="s">
        <v>57</v>
      </c>
      <c r="G1" s="144" t="s">
        <v>58</v>
      </c>
      <c r="H1" s="144" t="s">
        <v>59</v>
      </c>
      <c r="I1" s="144" t="s">
        <v>60</v>
      </c>
      <c r="J1" s="144" t="s">
        <v>61</v>
      </c>
      <c r="K1" s="144" t="s">
        <v>12</v>
      </c>
      <c r="L1" s="144" t="s">
        <v>63</v>
      </c>
      <c r="M1" s="144" t="s">
        <v>65</v>
      </c>
      <c r="N1" s="144" t="s">
        <v>67</v>
      </c>
    </row>
    <row r="2" spans="1:14" s="143" customFormat="1" x14ac:dyDescent="0.25">
      <c r="A2" s="143" t="s">
        <v>68</v>
      </c>
      <c r="D2" s="143" t="s">
        <v>69</v>
      </c>
      <c r="E2" s="257">
        <v>135087133000</v>
      </c>
      <c r="F2" s="257">
        <v>141087133000</v>
      </c>
      <c r="G2" s="257">
        <v>119919073941.75</v>
      </c>
      <c r="H2" s="257">
        <v>154804108.91</v>
      </c>
      <c r="I2" s="257">
        <v>18608332590.849998</v>
      </c>
      <c r="J2" s="257">
        <v>212322471.77000001</v>
      </c>
      <c r="K2" s="257">
        <v>37854520162.080002</v>
      </c>
      <c r="L2" s="257">
        <v>37241467469.910004</v>
      </c>
      <c r="M2" s="257">
        <v>84257153666.389999</v>
      </c>
      <c r="N2" s="257">
        <v>63089094608.139999</v>
      </c>
    </row>
    <row r="3" spans="1:14" s="143" customFormat="1" x14ac:dyDescent="0.25">
      <c r="A3" s="143">
        <v>214779</v>
      </c>
      <c r="D3" s="143" t="s">
        <v>69</v>
      </c>
      <c r="E3" s="257">
        <v>2519449227</v>
      </c>
      <c r="F3" s="257">
        <v>2519449227</v>
      </c>
      <c r="G3" s="257">
        <v>1962141114</v>
      </c>
      <c r="H3" s="257">
        <v>6635366.4299999997</v>
      </c>
      <c r="I3" s="257">
        <v>356680576.75</v>
      </c>
      <c r="J3" s="257">
        <v>75350</v>
      </c>
      <c r="K3" s="257">
        <v>706416781.33000004</v>
      </c>
      <c r="L3" s="257">
        <v>690112796.55999994</v>
      </c>
      <c r="M3" s="257">
        <v>1449641152.49</v>
      </c>
      <c r="N3" s="257">
        <v>892333039.49000001</v>
      </c>
    </row>
    <row r="4" spans="1:14" s="143" customFormat="1" x14ac:dyDescent="0.25">
      <c r="A4" s="143" t="s">
        <v>70</v>
      </c>
      <c r="B4" s="143" t="s">
        <v>71</v>
      </c>
      <c r="C4" s="143" t="s">
        <v>72</v>
      </c>
      <c r="D4" s="143" t="s">
        <v>69</v>
      </c>
      <c r="E4" s="257">
        <v>1386097000</v>
      </c>
      <c r="F4" s="257">
        <v>1372097000</v>
      </c>
      <c r="G4" s="257">
        <v>1366097000</v>
      </c>
      <c r="H4" s="257">
        <v>0</v>
      </c>
      <c r="I4" s="257">
        <v>144359197</v>
      </c>
      <c r="J4" s="257">
        <v>0</v>
      </c>
      <c r="K4" s="257">
        <v>394573813.50999999</v>
      </c>
      <c r="L4" s="257">
        <v>394573813.50999999</v>
      </c>
      <c r="M4" s="257">
        <v>833163989.49000001</v>
      </c>
      <c r="N4" s="257">
        <v>827163989.49000001</v>
      </c>
    </row>
    <row r="5" spans="1:14" s="143" customFormat="1" x14ac:dyDescent="0.25">
      <c r="A5" s="143" t="s">
        <v>70</v>
      </c>
      <c r="B5" s="143" t="s">
        <v>73</v>
      </c>
      <c r="C5" s="143" t="s">
        <v>74</v>
      </c>
      <c r="D5" s="143" t="s">
        <v>69</v>
      </c>
      <c r="E5" s="257">
        <v>526394000</v>
      </c>
      <c r="F5" s="257">
        <v>513555100</v>
      </c>
      <c r="G5" s="257">
        <v>513555100</v>
      </c>
      <c r="H5" s="257">
        <v>0</v>
      </c>
      <c r="I5" s="257">
        <v>0</v>
      </c>
      <c r="J5" s="257">
        <v>0</v>
      </c>
      <c r="K5" s="257">
        <v>145731465.00999999</v>
      </c>
      <c r="L5" s="257">
        <v>145731465.00999999</v>
      </c>
      <c r="M5" s="257">
        <v>367823634.99000001</v>
      </c>
      <c r="N5" s="257">
        <v>367823634.99000001</v>
      </c>
    </row>
    <row r="6" spans="1:14" s="143" customFormat="1" x14ac:dyDescent="0.25">
      <c r="A6" s="143" t="s">
        <v>70</v>
      </c>
      <c r="B6" s="143" t="s">
        <v>75</v>
      </c>
      <c r="C6" s="143" t="s">
        <v>76</v>
      </c>
      <c r="D6" s="143" t="s">
        <v>69</v>
      </c>
      <c r="E6" s="257">
        <v>526394000</v>
      </c>
      <c r="F6" s="257">
        <v>513555100</v>
      </c>
      <c r="G6" s="257">
        <v>513555100</v>
      </c>
      <c r="H6" s="257">
        <v>0</v>
      </c>
      <c r="I6" s="257">
        <v>0</v>
      </c>
      <c r="J6" s="257">
        <v>0</v>
      </c>
      <c r="K6" s="257">
        <v>145731465.00999999</v>
      </c>
      <c r="L6" s="257">
        <v>145731465.00999999</v>
      </c>
      <c r="M6" s="257">
        <v>367823634.99000001</v>
      </c>
      <c r="N6" s="257">
        <v>367823634.99000001</v>
      </c>
    </row>
    <row r="7" spans="1:14" s="143" customFormat="1" x14ac:dyDescent="0.25">
      <c r="A7" s="143" t="s">
        <v>70</v>
      </c>
      <c r="B7" s="143" t="s">
        <v>77</v>
      </c>
      <c r="C7" s="143" t="s">
        <v>78</v>
      </c>
      <c r="D7" s="143" t="s">
        <v>69</v>
      </c>
      <c r="E7" s="257">
        <v>649722000</v>
      </c>
      <c r="F7" s="257">
        <v>648560900</v>
      </c>
      <c r="G7" s="257">
        <v>642560900</v>
      </c>
      <c r="H7" s="257">
        <v>0</v>
      </c>
      <c r="I7" s="257">
        <v>0</v>
      </c>
      <c r="J7" s="257">
        <v>0</v>
      </c>
      <c r="K7" s="257">
        <v>183220545.5</v>
      </c>
      <c r="L7" s="257">
        <v>183220545.5</v>
      </c>
      <c r="M7" s="257">
        <v>465340354.5</v>
      </c>
      <c r="N7" s="257">
        <v>459340354.5</v>
      </c>
    </row>
    <row r="8" spans="1:14" s="143" customFormat="1" x14ac:dyDescent="0.25">
      <c r="A8" s="143" t="s">
        <v>70</v>
      </c>
      <c r="B8" s="143" t="s">
        <v>79</v>
      </c>
      <c r="C8" s="143" t="s">
        <v>80</v>
      </c>
      <c r="D8" s="143" t="s">
        <v>69</v>
      </c>
      <c r="E8" s="257">
        <v>138872000</v>
      </c>
      <c r="F8" s="257">
        <v>137710900</v>
      </c>
      <c r="G8" s="257">
        <v>137710900</v>
      </c>
      <c r="H8" s="257">
        <v>0</v>
      </c>
      <c r="I8" s="257">
        <v>0</v>
      </c>
      <c r="J8" s="257">
        <v>0</v>
      </c>
      <c r="K8" s="257">
        <v>30927027.449999999</v>
      </c>
      <c r="L8" s="257">
        <v>30927027.449999999</v>
      </c>
      <c r="M8" s="257">
        <v>106783872.55</v>
      </c>
      <c r="N8" s="257">
        <v>106783872.55</v>
      </c>
    </row>
    <row r="9" spans="1:14" s="143" customFormat="1" x14ac:dyDescent="0.25">
      <c r="A9" s="143" t="s">
        <v>70</v>
      </c>
      <c r="B9" s="143" t="s">
        <v>81</v>
      </c>
      <c r="C9" s="143" t="s">
        <v>82</v>
      </c>
      <c r="D9" s="143" t="s">
        <v>69</v>
      </c>
      <c r="E9" s="257">
        <v>289755000</v>
      </c>
      <c r="F9" s="257">
        <v>289755000</v>
      </c>
      <c r="G9" s="257">
        <v>283755000</v>
      </c>
      <c r="H9" s="257">
        <v>0</v>
      </c>
      <c r="I9" s="257">
        <v>0</v>
      </c>
      <c r="J9" s="257">
        <v>0</v>
      </c>
      <c r="K9" s="257">
        <v>65880698.689999998</v>
      </c>
      <c r="L9" s="257">
        <v>65880698.689999998</v>
      </c>
      <c r="M9" s="257">
        <v>223874301.31</v>
      </c>
      <c r="N9" s="257">
        <v>217874301.31</v>
      </c>
    </row>
    <row r="10" spans="1:14" s="143" customFormat="1" x14ac:dyDescent="0.25">
      <c r="A10" s="143" t="s">
        <v>70</v>
      </c>
      <c r="B10" s="143" t="s">
        <v>86</v>
      </c>
      <c r="C10" s="143" t="s">
        <v>87</v>
      </c>
      <c r="D10" s="143" t="s">
        <v>69</v>
      </c>
      <c r="E10" s="257">
        <v>83881000</v>
      </c>
      <c r="F10" s="257">
        <v>83881000</v>
      </c>
      <c r="G10" s="257">
        <v>83881000</v>
      </c>
      <c r="H10" s="257">
        <v>0</v>
      </c>
      <c r="I10" s="257">
        <v>0</v>
      </c>
      <c r="J10" s="257">
        <v>0</v>
      </c>
      <c r="K10" s="257">
        <v>74682002.099999994</v>
      </c>
      <c r="L10" s="257">
        <v>74682002.099999994</v>
      </c>
      <c r="M10" s="257">
        <v>9198997.9000000004</v>
      </c>
      <c r="N10" s="257">
        <v>9198997.9000000004</v>
      </c>
    </row>
    <row r="11" spans="1:14" s="143" customFormat="1" x14ac:dyDescent="0.25">
      <c r="A11" s="143" t="s">
        <v>70</v>
      </c>
      <c r="B11" s="143" t="s">
        <v>88</v>
      </c>
      <c r="C11" s="143" t="s">
        <v>89</v>
      </c>
      <c r="D11" s="143" t="s">
        <v>69</v>
      </c>
      <c r="E11" s="257">
        <v>47407000</v>
      </c>
      <c r="F11" s="257">
        <v>47407000</v>
      </c>
      <c r="G11" s="257">
        <v>47407000</v>
      </c>
      <c r="H11" s="257">
        <v>0</v>
      </c>
      <c r="I11" s="257">
        <v>0</v>
      </c>
      <c r="J11" s="257">
        <v>0</v>
      </c>
      <c r="K11" s="257">
        <v>11730817.26</v>
      </c>
      <c r="L11" s="257">
        <v>11730817.26</v>
      </c>
      <c r="M11" s="257">
        <v>35676182.740000002</v>
      </c>
      <c r="N11" s="257">
        <v>35676182.740000002</v>
      </c>
    </row>
    <row r="12" spans="1:14" s="143" customFormat="1" x14ac:dyDescent="0.25">
      <c r="A12" s="143" t="s">
        <v>70</v>
      </c>
      <c r="B12" s="143" t="s">
        <v>83</v>
      </c>
      <c r="C12" s="143" t="s">
        <v>84</v>
      </c>
      <c r="D12" s="143" t="s">
        <v>85</v>
      </c>
      <c r="E12" s="257">
        <v>89807000</v>
      </c>
      <c r="F12" s="257">
        <v>89807000</v>
      </c>
      <c r="G12" s="257">
        <v>89807000</v>
      </c>
      <c r="H12" s="257">
        <v>0</v>
      </c>
      <c r="I12" s="257">
        <v>0</v>
      </c>
      <c r="J12" s="257">
        <v>0</v>
      </c>
      <c r="K12" s="257">
        <v>0</v>
      </c>
      <c r="L12" s="257">
        <v>0</v>
      </c>
      <c r="M12" s="257">
        <v>89807000</v>
      </c>
      <c r="N12" s="257">
        <v>89807000</v>
      </c>
    </row>
    <row r="13" spans="1:14" s="143" customFormat="1" x14ac:dyDescent="0.25">
      <c r="A13" s="143" t="s">
        <v>70</v>
      </c>
      <c r="B13" s="143" t="s">
        <v>90</v>
      </c>
      <c r="C13" s="143" t="s">
        <v>91</v>
      </c>
      <c r="D13" s="143" t="s">
        <v>69</v>
      </c>
      <c r="E13" s="257">
        <v>105914000</v>
      </c>
      <c r="F13" s="257">
        <v>105914000</v>
      </c>
      <c r="G13" s="257">
        <v>105914000</v>
      </c>
      <c r="H13" s="257">
        <v>0</v>
      </c>
      <c r="I13" s="257">
        <v>72814539</v>
      </c>
      <c r="J13" s="257">
        <v>0</v>
      </c>
      <c r="K13" s="257">
        <v>33099461</v>
      </c>
      <c r="L13" s="257">
        <v>33099461</v>
      </c>
      <c r="M13" s="257">
        <v>0</v>
      </c>
      <c r="N13" s="257">
        <v>0</v>
      </c>
    </row>
    <row r="14" spans="1:14" s="143" customFormat="1" x14ac:dyDescent="0.25">
      <c r="A14" s="143" t="s">
        <v>70</v>
      </c>
      <c r="B14" s="143" t="s">
        <v>92</v>
      </c>
      <c r="C14" s="143" t="s">
        <v>93</v>
      </c>
      <c r="D14" s="143" t="s">
        <v>69</v>
      </c>
      <c r="E14" s="257">
        <v>100483000</v>
      </c>
      <c r="F14" s="257">
        <v>100483000</v>
      </c>
      <c r="G14" s="257">
        <v>100483000</v>
      </c>
      <c r="H14" s="257">
        <v>0</v>
      </c>
      <c r="I14" s="257">
        <v>69080955</v>
      </c>
      <c r="J14" s="257">
        <v>0</v>
      </c>
      <c r="K14" s="257">
        <v>31402045</v>
      </c>
      <c r="L14" s="257">
        <v>31402045</v>
      </c>
      <c r="M14" s="257">
        <v>0</v>
      </c>
      <c r="N14" s="257">
        <v>0</v>
      </c>
    </row>
    <row r="15" spans="1:14" s="143" customFormat="1" x14ac:dyDescent="0.25">
      <c r="A15" s="143" t="s">
        <v>70</v>
      </c>
      <c r="B15" s="143" t="s">
        <v>94</v>
      </c>
      <c r="C15" s="143" t="s">
        <v>95</v>
      </c>
      <c r="D15" s="143" t="s">
        <v>69</v>
      </c>
      <c r="E15" s="257">
        <v>5431000</v>
      </c>
      <c r="F15" s="257">
        <v>5431000</v>
      </c>
      <c r="G15" s="257">
        <v>5431000</v>
      </c>
      <c r="H15" s="257">
        <v>0</v>
      </c>
      <c r="I15" s="257">
        <v>3733584</v>
      </c>
      <c r="J15" s="257">
        <v>0</v>
      </c>
      <c r="K15" s="257">
        <v>1697416</v>
      </c>
      <c r="L15" s="257">
        <v>1697416</v>
      </c>
      <c r="M15" s="257">
        <v>0</v>
      </c>
      <c r="N15" s="257">
        <v>0</v>
      </c>
    </row>
    <row r="16" spans="1:14" s="143" customFormat="1" x14ac:dyDescent="0.25">
      <c r="A16" s="143" t="s">
        <v>70</v>
      </c>
      <c r="B16" s="143" t="s">
        <v>96</v>
      </c>
      <c r="C16" s="143" t="s">
        <v>97</v>
      </c>
      <c r="D16" s="143" t="s">
        <v>69</v>
      </c>
      <c r="E16" s="257">
        <v>104067000</v>
      </c>
      <c r="F16" s="257">
        <v>104067000</v>
      </c>
      <c r="G16" s="257">
        <v>104067000</v>
      </c>
      <c r="H16" s="257">
        <v>0</v>
      </c>
      <c r="I16" s="257">
        <v>71544658</v>
      </c>
      <c r="J16" s="257">
        <v>0</v>
      </c>
      <c r="K16" s="257">
        <v>32522342</v>
      </c>
      <c r="L16" s="257">
        <v>32522342</v>
      </c>
      <c r="M16" s="257">
        <v>0</v>
      </c>
      <c r="N16" s="257">
        <v>0</v>
      </c>
    </row>
    <row r="17" spans="1:14" s="143" customFormat="1" x14ac:dyDescent="0.25">
      <c r="A17" s="143" t="s">
        <v>70</v>
      </c>
      <c r="B17" s="143" t="s">
        <v>98</v>
      </c>
      <c r="C17" s="143" t="s">
        <v>99</v>
      </c>
      <c r="D17" s="143" t="s">
        <v>69</v>
      </c>
      <c r="E17" s="257">
        <v>55184000</v>
      </c>
      <c r="F17" s="257">
        <v>55184000</v>
      </c>
      <c r="G17" s="257">
        <v>55184000</v>
      </c>
      <c r="H17" s="257">
        <v>0</v>
      </c>
      <c r="I17" s="257">
        <v>37938336</v>
      </c>
      <c r="J17" s="257">
        <v>0</v>
      </c>
      <c r="K17" s="257">
        <v>17245664</v>
      </c>
      <c r="L17" s="257">
        <v>17245664</v>
      </c>
      <c r="M17" s="257">
        <v>0</v>
      </c>
      <c r="N17" s="257">
        <v>0</v>
      </c>
    </row>
    <row r="18" spans="1:14" s="143" customFormat="1" x14ac:dyDescent="0.25">
      <c r="A18" s="143" t="s">
        <v>70</v>
      </c>
      <c r="B18" s="143" t="s">
        <v>100</v>
      </c>
      <c r="C18" s="143" t="s">
        <v>101</v>
      </c>
      <c r="D18" s="143" t="s">
        <v>69</v>
      </c>
      <c r="E18" s="257">
        <v>16294000</v>
      </c>
      <c r="F18" s="257">
        <v>16294000</v>
      </c>
      <c r="G18" s="257">
        <v>16294000</v>
      </c>
      <c r="H18" s="257">
        <v>0</v>
      </c>
      <c r="I18" s="257">
        <v>11201775</v>
      </c>
      <c r="J18" s="257">
        <v>0</v>
      </c>
      <c r="K18" s="257">
        <v>5092225</v>
      </c>
      <c r="L18" s="257">
        <v>5092225</v>
      </c>
      <c r="M18" s="257">
        <v>0</v>
      </c>
      <c r="N18" s="257">
        <v>0</v>
      </c>
    </row>
    <row r="19" spans="1:14" s="143" customFormat="1" x14ac:dyDescent="0.25">
      <c r="A19" s="143" t="s">
        <v>70</v>
      </c>
      <c r="B19" s="143" t="s">
        <v>102</v>
      </c>
      <c r="C19" s="143" t="s">
        <v>103</v>
      </c>
      <c r="D19" s="143" t="s">
        <v>69</v>
      </c>
      <c r="E19" s="257">
        <v>32589000</v>
      </c>
      <c r="F19" s="257">
        <v>32589000</v>
      </c>
      <c r="G19" s="257">
        <v>32589000</v>
      </c>
      <c r="H19" s="257">
        <v>0</v>
      </c>
      <c r="I19" s="257">
        <v>22404547</v>
      </c>
      <c r="J19" s="257">
        <v>0</v>
      </c>
      <c r="K19" s="257">
        <v>10184453</v>
      </c>
      <c r="L19" s="257">
        <v>10184453</v>
      </c>
      <c r="M19" s="257">
        <v>0</v>
      </c>
      <c r="N19" s="257">
        <v>0</v>
      </c>
    </row>
    <row r="20" spans="1:14" s="143" customFormat="1" x14ac:dyDescent="0.25">
      <c r="A20" s="143" t="s">
        <v>70</v>
      </c>
      <c r="B20" s="143" t="s">
        <v>104</v>
      </c>
      <c r="C20" s="143" t="s">
        <v>105</v>
      </c>
      <c r="D20" s="143" t="s">
        <v>69</v>
      </c>
      <c r="E20" s="257">
        <v>342741579</v>
      </c>
      <c r="F20" s="257">
        <v>342741579</v>
      </c>
      <c r="G20" s="257">
        <v>146348290</v>
      </c>
      <c r="H20" s="257">
        <v>1455465.2</v>
      </c>
      <c r="I20" s="257">
        <v>71990681.420000002</v>
      </c>
      <c r="J20" s="257">
        <v>30000</v>
      </c>
      <c r="K20" s="257">
        <v>57473936.329999998</v>
      </c>
      <c r="L20" s="257">
        <v>42027028.920000002</v>
      </c>
      <c r="M20" s="257">
        <v>211791496.05000001</v>
      </c>
      <c r="N20" s="257">
        <v>15398207.050000001</v>
      </c>
    </row>
    <row r="21" spans="1:14" s="143" customFormat="1" x14ac:dyDescent="0.25">
      <c r="A21" s="143" t="s">
        <v>70</v>
      </c>
      <c r="B21" s="143" t="s">
        <v>106</v>
      </c>
      <c r="C21" s="143" t="s">
        <v>107</v>
      </c>
      <c r="D21" s="143" t="s">
        <v>69</v>
      </c>
      <c r="E21" s="257">
        <v>125845446</v>
      </c>
      <c r="F21" s="257">
        <v>125845446</v>
      </c>
      <c r="G21" s="257">
        <v>62403661.030000001</v>
      </c>
      <c r="H21" s="257">
        <v>919365.2</v>
      </c>
      <c r="I21" s="257">
        <v>30453074.07</v>
      </c>
      <c r="J21" s="257">
        <v>30000</v>
      </c>
      <c r="K21" s="257">
        <v>23147660.600000001</v>
      </c>
      <c r="L21" s="257">
        <v>12972002.85</v>
      </c>
      <c r="M21" s="257">
        <v>71295346.129999995</v>
      </c>
      <c r="N21" s="257">
        <v>7853561.1600000001</v>
      </c>
    </row>
    <row r="22" spans="1:14" s="143" customFormat="1" x14ac:dyDescent="0.25">
      <c r="A22" s="143" t="s">
        <v>70</v>
      </c>
      <c r="B22" s="143" t="s">
        <v>108</v>
      </c>
      <c r="C22" s="143" t="s">
        <v>109</v>
      </c>
      <c r="D22" s="143" t="s">
        <v>69</v>
      </c>
      <c r="E22" s="257">
        <v>125765446</v>
      </c>
      <c r="F22" s="257">
        <v>125765446</v>
      </c>
      <c r="G22" s="257">
        <v>62323661.030000001</v>
      </c>
      <c r="H22" s="257">
        <v>919365.2</v>
      </c>
      <c r="I22" s="257">
        <v>30453074.07</v>
      </c>
      <c r="J22" s="257">
        <v>30000</v>
      </c>
      <c r="K22" s="257">
        <v>23147660.600000001</v>
      </c>
      <c r="L22" s="257">
        <v>12972002.85</v>
      </c>
      <c r="M22" s="257">
        <v>71215346.129999995</v>
      </c>
      <c r="N22" s="257">
        <v>7773561.1600000001</v>
      </c>
    </row>
    <row r="23" spans="1:14" s="143" customFormat="1" x14ac:dyDescent="0.25">
      <c r="A23" s="143" t="s">
        <v>70</v>
      </c>
      <c r="B23" s="143" t="s">
        <v>110</v>
      </c>
      <c r="C23" s="143" t="s">
        <v>111</v>
      </c>
      <c r="D23" s="143" t="s">
        <v>69</v>
      </c>
      <c r="E23" s="257">
        <v>80000</v>
      </c>
      <c r="F23" s="257">
        <v>80000</v>
      </c>
      <c r="G23" s="257">
        <v>80000</v>
      </c>
      <c r="H23" s="257">
        <v>0</v>
      </c>
      <c r="I23" s="257">
        <v>0</v>
      </c>
      <c r="J23" s="257">
        <v>0</v>
      </c>
      <c r="K23" s="257">
        <v>0</v>
      </c>
      <c r="L23" s="257">
        <v>0</v>
      </c>
      <c r="M23" s="257">
        <v>80000</v>
      </c>
      <c r="N23" s="257">
        <v>80000</v>
      </c>
    </row>
    <row r="24" spans="1:14" s="143" customFormat="1" x14ac:dyDescent="0.25">
      <c r="A24" s="143" t="s">
        <v>70</v>
      </c>
      <c r="B24" s="143" t="s">
        <v>112</v>
      </c>
      <c r="C24" s="143" t="s">
        <v>113</v>
      </c>
      <c r="D24" s="143" t="s">
        <v>69</v>
      </c>
      <c r="E24" s="257">
        <v>131428353</v>
      </c>
      <c r="F24" s="257">
        <v>131428353</v>
      </c>
      <c r="G24" s="257">
        <v>58600000</v>
      </c>
      <c r="H24" s="257">
        <v>0</v>
      </c>
      <c r="I24" s="257">
        <v>31363758.899999999</v>
      </c>
      <c r="J24" s="257">
        <v>0</v>
      </c>
      <c r="K24" s="257">
        <v>27146240.899999999</v>
      </c>
      <c r="L24" s="257">
        <v>22313101.239999998</v>
      </c>
      <c r="M24" s="257">
        <v>72918353.200000003</v>
      </c>
      <c r="N24" s="257">
        <v>90000.2</v>
      </c>
    </row>
    <row r="25" spans="1:14" s="143" customFormat="1" x14ac:dyDescent="0.25">
      <c r="A25" s="143" t="s">
        <v>70</v>
      </c>
      <c r="B25" s="143" t="s">
        <v>114</v>
      </c>
      <c r="C25" s="143" t="s">
        <v>115</v>
      </c>
      <c r="D25" s="143" t="s">
        <v>69</v>
      </c>
      <c r="E25" s="257">
        <v>4971429</v>
      </c>
      <c r="F25" s="257">
        <v>4971429</v>
      </c>
      <c r="G25" s="257">
        <v>2400000</v>
      </c>
      <c r="H25" s="257">
        <v>0</v>
      </c>
      <c r="I25" s="257">
        <v>437413</v>
      </c>
      <c r="J25" s="257">
        <v>0</v>
      </c>
      <c r="K25" s="257">
        <v>1962587</v>
      </c>
      <c r="L25" s="257">
        <v>1440455</v>
      </c>
      <c r="M25" s="257">
        <v>2571429</v>
      </c>
      <c r="N25" s="257">
        <v>0</v>
      </c>
    </row>
    <row r="26" spans="1:14" s="143" customFormat="1" x14ac:dyDescent="0.25">
      <c r="A26" s="143" t="s">
        <v>70</v>
      </c>
      <c r="B26" s="143" t="s">
        <v>116</v>
      </c>
      <c r="C26" s="143" t="s">
        <v>117</v>
      </c>
      <c r="D26" s="143" t="s">
        <v>69</v>
      </c>
      <c r="E26" s="257">
        <v>56000000</v>
      </c>
      <c r="F26" s="257">
        <v>56000000</v>
      </c>
      <c r="G26" s="257">
        <v>27000000</v>
      </c>
      <c r="H26" s="257">
        <v>0</v>
      </c>
      <c r="I26" s="257">
        <v>11626345</v>
      </c>
      <c r="J26" s="257">
        <v>0</v>
      </c>
      <c r="K26" s="257">
        <v>15373655</v>
      </c>
      <c r="L26" s="257">
        <v>11659400</v>
      </c>
      <c r="M26" s="257">
        <v>29000000</v>
      </c>
      <c r="N26" s="257">
        <v>0</v>
      </c>
    </row>
    <row r="27" spans="1:14" s="143" customFormat="1" x14ac:dyDescent="0.25">
      <c r="A27" s="143" t="s">
        <v>70</v>
      </c>
      <c r="B27" s="143" t="s">
        <v>118</v>
      </c>
      <c r="C27" s="143" t="s">
        <v>119</v>
      </c>
      <c r="D27" s="143" t="s">
        <v>69</v>
      </c>
      <c r="E27" s="257">
        <v>20000</v>
      </c>
      <c r="F27" s="257">
        <v>20000</v>
      </c>
      <c r="G27" s="257">
        <v>20000</v>
      </c>
      <c r="H27" s="257">
        <v>0</v>
      </c>
      <c r="I27" s="257">
        <v>3600</v>
      </c>
      <c r="J27" s="257">
        <v>0</v>
      </c>
      <c r="K27" s="257">
        <v>16400</v>
      </c>
      <c r="L27" s="257">
        <v>16400</v>
      </c>
      <c r="M27" s="257">
        <v>0</v>
      </c>
      <c r="N27" s="257">
        <v>0</v>
      </c>
    </row>
    <row r="28" spans="1:14" s="143" customFormat="1" x14ac:dyDescent="0.25">
      <c r="A28" s="143" t="s">
        <v>70</v>
      </c>
      <c r="B28" s="143" t="s">
        <v>120</v>
      </c>
      <c r="C28" s="143" t="s">
        <v>121</v>
      </c>
      <c r="D28" s="143" t="s">
        <v>69</v>
      </c>
      <c r="E28" s="257">
        <v>70076924</v>
      </c>
      <c r="F28" s="257">
        <v>70076924</v>
      </c>
      <c r="G28" s="257">
        <v>29000000</v>
      </c>
      <c r="H28" s="257">
        <v>0</v>
      </c>
      <c r="I28" s="257">
        <v>19206400.899999999</v>
      </c>
      <c r="J28" s="257">
        <v>0</v>
      </c>
      <c r="K28" s="257">
        <v>9793598.9000000004</v>
      </c>
      <c r="L28" s="257">
        <v>9196846.2400000002</v>
      </c>
      <c r="M28" s="257">
        <v>41076924.200000003</v>
      </c>
      <c r="N28" s="257">
        <v>0.2</v>
      </c>
    </row>
    <row r="29" spans="1:14" s="143" customFormat="1" x14ac:dyDescent="0.25">
      <c r="A29" s="143" t="s">
        <v>70</v>
      </c>
      <c r="B29" s="143" t="s">
        <v>122</v>
      </c>
      <c r="C29" s="143" t="s">
        <v>123</v>
      </c>
      <c r="D29" s="143" t="s">
        <v>69</v>
      </c>
      <c r="E29" s="257">
        <v>360000</v>
      </c>
      <c r="F29" s="257">
        <v>360000</v>
      </c>
      <c r="G29" s="257">
        <v>180000</v>
      </c>
      <c r="H29" s="257">
        <v>0</v>
      </c>
      <c r="I29" s="257">
        <v>90000</v>
      </c>
      <c r="J29" s="257">
        <v>0</v>
      </c>
      <c r="K29" s="257">
        <v>0</v>
      </c>
      <c r="L29" s="257">
        <v>0</v>
      </c>
      <c r="M29" s="257">
        <v>270000</v>
      </c>
      <c r="N29" s="257">
        <v>90000</v>
      </c>
    </row>
    <row r="30" spans="1:14" s="143" customFormat="1" x14ac:dyDescent="0.25">
      <c r="A30" s="143" t="s">
        <v>70</v>
      </c>
      <c r="B30" s="143" t="s">
        <v>124</v>
      </c>
      <c r="C30" s="143" t="s">
        <v>125</v>
      </c>
      <c r="D30" s="143" t="s">
        <v>69</v>
      </c>
      <c r="E30" s="257">
        <v>8700000</v>
      </c>
      <c r="F30" s="257">
        <v>9250000</v>
      </c>
      <c r="G30" s="257">
        <v>4931000</v>
      </c>
      <c r="H30" s="257">
        <v>0</v>
      </c>
      <c r="I30" s="257">
        <v>2200431</v>
      </c>
      <c r="J30" s="257">
        <v>0</v>
      </c>
      <c r="K30" s="257">
        <v>11830</v>
      </c>
      <c r="L30" s="257">
        <v>11830</v>
      </c>
      <c r="M30" s="257">
        <v>7037739</v>
      </c>
      <c r="N30" s="257">
        <v>2718739</v>
      </c>
    </row>
    <row r="31" spans="1:14" s="143" customFormat="1" x14ac:dyDescent="0.25">
      <c r="A31" s="143" t="s">
        <v>70</v>
      </c>
      <c r="B31" s="143" t="s">
        <v>126</v>
      </c>
      <c r="C31" s="143" t="s">
        <v>127</v>
      </c>
      <c r="D31" s="143" t="s">
        <v>69</v>
      </c>
      <c r="E31" s="257">
        <v>7000000</v>
      </c>
      <c r="F31" s="257">
        <v>7000000</v>
      </c>
      <c r="G31" s="257">
        <v>3500000</v>
      </c>
      <c r="H31" s="257">
        <v>0</v>
      </c>
      <c r="I31" s="257">
        <v>1737931</v>
      </c>
      <c r="J31" s="257">
        <v>0</v>
      </c>
      <c r="K31" s="257">
        <v>11830</v>
      </c>
      <c r="L31" s="257">
        <v>11830</v>
      </c>
      <c r="M31" s="257">
        <v>5250239</v>
      </c>
      <c r="N31" s="257">
        <v>1750239</v>
      </c>
    </row>
    <row r="32" spans="1:14" s="143" customFormat="1" x14ac:dyDescent="0.25">
      <c r="A32" s="143" t="s">
        <v>70</v>
      </c>
      <c r="B32" s="143" t="s">
        <v>128</v>
      </c>
      <c r="C32" s="143" t="s">
        <v>129</v>
      </c>
      <c r="D32" s="143" t="s">
        <v>69</v>
      </c>
      <c r="E32" s="257">
        <v>1650000</v>
      </c>
      <c r="F32" s="257">
        <v>1650000</v>
      </c>
      <c r="G32" s="257">
        <v>831000</v>
      </c>
      <c r="H32" s="257">
        <v>0</v>
      </c>
      <c r="I32" s="257">
        <v>412500</v>
      </c>
      <c r="J32" s="257">
        <v>0</v>
      </c>
      <c r="K32" s="257">
        <v>0</v>
      </c>
      <c r="L32" s="257">
        <v>0</v>
      </c>
      <c r="M32" s="257">
        <v>1237500</v>
      </c>
      <c r="N32" s="257">
        <v>418500</v>
      </c>
    </row>
    <row r="33" spans="1:14" s="143" customFormat="1" x14ac:dyDescent="0.25">
      <c r="A33" s="143" t="s">
        <v>70</v>
      </c>
      <c r="B33" s="143" t="s">
        <v>130</v>
      </c>
      <c r="C33" s="143" t="s">
        <v>131</v>
      </c>
      <c r="D33" s="143" t="s">
        <v>69</v>
      </c>
      <c r="E33" s="257">
        <v>50000</v>
      </c>
      <c r="F33" s="257">
        <v>50000</v>
      </c>
      <c r="G33" s="257">
        <v>50000</v>
      </c>
      <c r="H33" s="257">
        <v>0</v>
      </c>
      <c r="I33" s="257">
        <v>50000</v>
      </c>
      <c r="J33" s="257">
        <v>0</v>
      </c>
      <c r="K33" s="257">
        <v>0</v>
      </c>
      <c r="L33" s="257">
        <v>0</v>
      </c>
      <c r="M33" s="257">
        <v>0</v>
      </c>
      <c r="N33" s="257">
        <v>0</v>
      </c>
    </row>
    <row r="34" spans="1:14" s="143" customFormat="1" x14ac:dyDescent="0.25">
      <c r="A34" s="143" t="s">
        <v>70</v>
      </c>
      <c r="B34" s="143" t="s">
        <v>132</v>
      </c>
      <c r="C34" s="143" t="s">
        <v>133</v>
      </c>
      <c r="D34" s="143" t="s">
        <v>69</v>
      </c>
      <c r="E34" s="257">
        <v>0</v>
      </c>
      <c r="F34" s="257">
        <v>550000</v>
      </c>
      <c r="G34" s="257">
        <v>550000</v>
      </c>
      <c r="H34" s="257">
        <v>0</v>
      </c>
      <c r="I34" s="257">
        <v>0</v>
      </c>
      <c r="J34" s="257">
        <v>0</v>
      </c>
      <c r="K34" s="257">
        <v>0</v>
      </c>
      <c r="L34" s="257">
        <v>0</v>
      </c>
      <c r="M34" s="257">
        <v>550000</v>
      </c>
      <c r="N34" s="257">
        <v>550000</v>
      </c>
    </row>
    <row r="35" spans="1:14" s="143" customFormat="1" x14ac:dyDescent="0.25">
      <c r="A35" s="143" t="s">
        <v>70</v>
      </c>
      <c r="B35" s="143" t="s">
        <v>134</v>
      </c>
      <c r="C35" s="143" t="s">
        <v>135</v>
      </c>
      <c r="D35" s="143" t="s">
        <v>69</v>
      </c>
      <c r="E35" s="257">
        <v>5851429</v>
      </c>
      <c r="F35" s="257">
        <v>5851429</v>
      </c>
      <c r="G35" s="257">
        <v>3100045</v>
      </c>
      <c r="H35" s="257">
        <v>0</v>
      </c>
      <c r="I35" s="257">
        <v>1378842</v>
      </c>
      <c r="J35" s="257">
        <v>0</v>
      </c>
      <c r="K35" s="257">
        <v>323244</v>
      </c>
      <c r="L35" s="257">
        <v>41235</v>
      </c>
      <c r="M35" s="257">
        <v>4149343</v>
      </c>
      <c r="N35" s="257">
        <v>1397959</v>
      </c>
    </row>
    <row r="36" spans="1:14" s="143" customFormat="1" x14ac:dyDescent="0.25">
      <c r="A36" s="143" t="s">
        <v>70</v>
      </c>
      <c r="B36" s="143" t="s">
        <v>136</v>
      </c>
      <c r="C36" s="143" t="s">
        <v>137</v>
      </c>
      <c r="D36" s="143" t="s">
        <v>69</v>
      </c>
      <c r="E36" s="257">
        <v>3080000</v>
      </c>
      <c r="F36" s="257">
        <v>3080000</v>
      </c>
      <c r="G36" s="257">
        <v>990000</v>
      </c>
      <c r="H36" s="257">
        <v>0</v>
      </c>
      <c r="I36" s="257">
        <v>0</v>
      </c>
      <c r="J36" s="257">
        <v>0</v>
      </c>
      <c r="K36" s="257">
        <v>0</v>
      </c>
      <c r="L36" s="257">
        <v>0</v>
      </c>
      <c r="M36" s="257">
        <v>3080000</v>
      </c>
      <c r="N36" s="257">
        <v>990000</v>
      </c>
    </row>
    <row r="37" spans="1:14" s="143" customFormat="1" x14ac:dyDescent="0.25">
      <c r="A37" s="143" t="s">
        <v>70</v>
      </c>
      <c r="B37" s="143" t="s">
        <v>138</v>
      </c>
      <c r="C37" s="143" t="s">
        <v>139</v>
      </c>
      <c r="D37" s="143" t="s">
        <v>69</v>
      </c>
      <c r="E37" s="257">
        <v>2771429</v>
      </c>
      <c r="F37" s="257">
        <v>2771429</v>
      </c>
      <c r="G37" s="257">
        <v>2110045</v>
      </c>
      <c r="H37" s="257">
        <v>0</v>
      </c>
      <c r="I37" s="257">
        <v>1378842</v>
      </c>
      <c r="J37" s="257">
        <v>0</v>
      </c>
      <c r="K37" s="257">
        <v>323244</v>
      </c>
      <c r="L37" s="257">
        <v>41235</v>
      </c>
      <c r="M37" s="257">
        <v>1069343</v>
      </c>
      <c r="N37" s="257">
        <v>407959</v>
      </c>
    </row>
    <row r="38" spans="1:14" s="143" customFormat="1" x14ac:dyDescent="0.25">
      <c r="A38" s="143" t="s">
        <v>70</v>
      </c>
      <c r="B38" s="143" t="s">
        <v>140</v>
      </c>
      <c r="C38" s="143" t="s">
        <v>141</v>
      </c>
      <c r="D38" s="143" t="s">
        <v>69</v>
      </c>
      <c r="E38" s="257">
        <v>17774865</v>
      </c>
      <c r="F38" s="257">
        <v>17774865</v>
      </c>
      <c r="G38" s="257">
        <v>6720685.75</v>
      </c>
      <c r="H38" s="257">
        <v>50100</v>
      </c>
      <c r="I38" s="257">
        <v>2431727.65</v>
      </c>
      <c r="J38" s="257">
        <v>0</v>
      </c>
      <c r="K38" s="257">
        <v>3585886.83</v>
      </c>
      <c r="L38" s="257">
        <v>3527986.83</v>
      </c>
      <c r="M38" s="257">
        <v>11707150.52</v>
      </c>
      <c r="N38" s="257">
        <v>652971.27</v>
      </c>
    </row>
    <row r="39" spans="1:14" s="143" customFormat="1" x14ac:dyDescent="0.25">
      <c r="A39" s="143" t="s">
        <v>70</v>
      </c>
      <c r="B39" s="143" t="s">
        <v>142</v>
      </c>
      <c r="C39" s="143" t="s">
        <v>143</v>
      </c>
      <c r="D39" s="143" t="s">
        <v>69</v>
      </c>
      <c r="E39" s="257">
        <v>100000</v>
      </c>
      <c r="F39" s="257">
        <v>100000</v>
      </c>
      <c r="G39" s="257">
        <v>100000</v>
      </c>
      <c r="H39" s="257">
        <v>0</v>
      </c>
      <c r="I39" s="257">
        <v>0</v>
      </c>
      <c r="J39" s="257">
        <v>0</v>
      </c>
      <c r="K39" s="257">
        <v>0</v>
      </c>
      <c r="L39" s="257">
        <v>0</v>
      </c>
      <c r="M39" s="257">
        <v>100000</v>
      </c>
      <c r="N39" s="257">
        <v>100000</v>
      </c>
    </row>
    <row r="40" spans="1:14" s="143" customFormat="1" x14ac:dyDescent="0.25">
      <c r="A40" s="143" t="s">
        <v>70</v>
      </c>
      <c r="B40" s="143" t="s">
        <v>144</v>
      </c>
      <c r="C40" s="143" t="s">
        <v>145</v>
      </c>
      <c r="D40" s="143" t="s">
        <v>69</v>
      </c>
      <c r="E40" s="257">
        <v>6685715</v>
      </c>
      <c r="F40" s="257">
        <v>6685715</v>
      </c>
      <c r="G40" s="257">
        <v>4380100</v>
      </c>
      <c r="H40" s="257">
        <v>50100</v>
      </c>
      <c r="I40" s="257">
        <v>2018150</v>
      </c>
      <c r="J40" s="257">
        <v>0</v>
      </c>
      <c r="K40" s="257">
        <v>1834400</v>
      </c>
      <c r="L40" s="257">
        <v>1776500</v>
      </c>
      <c r="M40" s="257">
        <v>2783065</v>
      </c>
      <c r="N40" s="257">
        <v>477450</v>
      </c>
    </row>
    <row r="41" spans="1:14" s="143" customFormat="1" x14ac:dyDescent="0.25">
      <c r="A41" s="143" t="s">
        <v>70</v>
      </c>
      <c r="B41" s="143" t="s">
        <v>146</v>
      </c>
      <c r="C41" s="143" t="s">
        <v>147</v>
      </c>
      <c r="D41" s="143" t="s">
        <v>69</v>
      </c>
      <c r="E41" s="257">
        <v>5170968</v>
      </c>
      <c r="F41" s="257">
        <v>5170968</v>
      </c>
      <c r="G41" s="257">
        <v>1238081</v>
      </c>
      <c r="H41" s="257">
        <v>0</v>
      </c>
      <c r="I41" s="257">
        <v>166082.4</v>
      </c>
      <c r="J41" s="257">
        <v>0</v>
      </c>
      <c r="K41" s="257">
        <v>998982.08</v>
      </c>
      <c r="L41" s="257">
        <v>998982.08</v>
      </c>
      <c r="M41" s="257">
        <v>4005903.52</v>
      </c>
      <c r="N41" s="257">
        <v>73016.52</v>
      </c>
    </row>
    <row r="42" spans="1:14" s="143" customFormat="1" x14ac:dyDescent="0.25">
      <c r="A42" s="143" t="s">
        <v>70</v>
      </c>
      <c r="B42" s="143" t="s">
        <v>148</v>
      </c>
      <c r="C42" s="143" t="s">
        <v>149</v>
      </c>
      <c r="D42" s="143" t="s">
        <v>69</v>
      </c>
      <c r="E42" s="257">
        <v>5818182</v>
      </c>
      <c r="F42" s="257">
        <v>5818182</v>
      </c>
      <c r="G42" s="257">
        <v>1002504.75</v>
      </c>
      <c r="H42" s="257">
        <v>0</v>
      </c>
      <c r="I42" s="257">
        <v>247495.25</v>
      </c>
      <c r="J42" s="257">
        <v>0</v>
      </c>
      <c r="K42" s="257">
        <v>752504.75</v>
      </c>
      <c r="L42" s="257">
        <v>752504.75</v>
      </c>
      <c r="M42" s="257">
        <v>4818182</v>
      </c>
      <c r="N42" s="257">
        <v>2504.75</v>
      </c>
    </row>
    <row r="43" spans="1:14" s="143" customFormat="1" x14ac:dyDescent="0.25">
      <c r="A43" s="143" t="s">
        <v>70</v>
      </c>
      <c r="B43" s="143" t="s">
        <v>150</v>
      </c>
      <c r="C43" s="143" t="s">
        <v>151</v>
      </c>
      <c r="D43" s="143" t="s">
        <v>69</v>
      </c>
      <c r="E43" s="257">
        <v>32290000</v>
      </c>
      <c r="F43" s="257">
        <v>32290000</v>
      </c>
      <c r="G43" s="257">
        <v>3683014.22</v>
      </c>
      <c r="H43" s="257">
        <v>0</v>
      </c>
      <c r="I43" s="257">
        <v>612040</v>
      </c>
      <c r="J43" s="257">
        <v>0</v>
      </c>
      <c r="K43" s="257">
        <v>2990873</v>
      </c>
      <c r="L43" s="257">
        <v>2990873</v>
      </c>
      <c r="M43" s="257">
        <v>28687087</v>
      </c>
      <c r="N43" s="257">
        <v>80101.22</v>
      </c>
    </row>
    <row r="44" spans="1:14" s="143" customFormat="1" x14ac:dyDescent="0.25">
      <c r="A44" s="143" t="s">
        <v>70</v>
      </c>
      <c r="B44" s="143" t="s">
        <v>152</v>
      </c>
      <c r="C44" s="143" t="s">
        <v>153</v>
      </c>
      <c r="D44" s="143" t="s">
        <v>69</v>
      </c>
      <c r="E44" s="257">
        <v>32290000</v>
      </c>
      <c r="F44" s="257">
        <v>32290000</v>
      </c>
      <c r="G44" s="257">
        <v>3683014.22</v>
      </c>
      <c r="H44" s="257">
        <v>0</v>
      </c>
      <c r="I44" s="257">
        <v>612040</v>
      </c>
      <c r="J44" s="257">
        <v>0</v>
      </c>
      <c r="K44" s="257">
        <v>2990873</v>
      </c>
      <c r="L44" s="257">
        <v>2990873</v>
      </c>
      <c r="M44" s="257">
        <v>28687087</v>
      </c>
      <c r="N44" s="257">
        <v>80101.22</v>
      </c>
    </row>
    <row r="45" spans="1:14" s="143" customFormat="1" x14ac:dyDescent="0.25">
      <c r="A45" s="143" t="s">
        <v>70</v>
      </c>
      <c r="B45" s="143" t="s">
        <v>154</v>
      </c>
      <c r="C45" s="143" t="s">
        <v>155</v>
      </c>
      <c r="D45" s="143" t="s">
        <v>69</v>
      </c>
      <c r="E45" s="257">
        <v>2150000</v>
      </c>
      <c r="F45" s="257">
        <v>1031135</v>
      </c>
      <c r="G45" s="257">
        <v>600000</v>
      </c>
      <c r="H45" s="257">
        <v>0</v>
      </c>
      <c r="I45" s="257">
        <v>500000</v>
      </c>
      <c r="J45" s="257">
        <v>0</v>
      </c>
      <c r="K45" s="257">
        <v>0</v>
      </c>
      <c r="L45" s="257">
        <v>0</v>
      </c>
      <c r="M45" s="257">
        <v>531135</v>
      </c>
      <c r="N45" s="257">
        <v>100000</v>
      </c>
    </row>
    <row r="46" spans="1:14" s="143" customFormat="1" x14ac:dyDescent="0.25">
      <c r="A46" s="143" t="s">
        <v>70</v>
      </c>
      <c r="B46" s="143" t="s">
        <v>156</v>
      </c>
      <c r="C46" s="143" t="s">
        <v>157</v>
      </c>
      <c r="D46" s="143" t="s">
        <v>69</v>
      </c>
      <c r="E46" s="257">
        <v>0</v>
      </c>
      <c r="F46" s="257">
        <v>0</v>
      </c>
      <c r="G46" s="257">
        <v>0</v>
      </c>
      <c r="H46" s="257">
        <v>0</v>
      </c>
      <c r="I46" s="257">
        <v>0</v>
      </c>
      <c r="J46" s="257">
        <v>0</v>
      </c>
      <c r="K46" s="257">
        <v>0</v>
      </c>
      <c r="L46" s="257">
        <v>0</v>
      </c>
      <c r="M46" s="257">
        <v>0</v>
      </c>
      <c r="N46" s="257">
        <v>0</v>
      </c>
    </row>
    <row r="47" spans="1:14" s="143" customFormat="1" x14ac:dyDescent="0.25">
      <c r="A47" s="143" t="s">
        <v>70</v>
      </c>
      <c r="B47" s="143" t="s">
        <v>158</v>
      </c>
      <c r="C47" s="143" t="s">
        <v>159</v>
      </c>
      <c r="D47" s="143" t="s">
        <v>69</v>
      </c>
      <c r="E47" s="257">
        <v>1550000</v>
      </c>
      <c r="F47" s="257">
        <v>431135</v>
      </c>
      <c r="G47" s="257">
        <v>0</v>
      </c>
      <c r="H47" s="257">
        <v>0</v>
      </c>
      <c r="I47" s="257">
        <v>0</v>
      </c>
      <c r="J47" s="257">
        <v>0</v>
      </c>
      <c r="K47" s="257">
        <v>0</v>
      </c>
      <c r="L47" s="257">
        <v>0</v>
      </c>
      <c r="M47" s="257">
        <v>431135</v>
      </c>
      <c r="N47" s="257">
        <v>0</v>
      </c>
    </row>
    <row r="48" spans="1:14" s="143" customFormat="1" x14ac:dyDescent="0.25">
      <c r="A48" s="143" t="s">
        <v>70</v>
      </c>
      <c r="B48" s="143" t="s">
        <v>160</v>
      </c>
      <c r="C48" s="143" t="s">
        <v>161</v>
      </c>
      <c r="D48" s="143" t="s">
        <v>69</v>
      </c>
      <c r="E48" s="257">
        <v>600000</v>
      </c>
      <c r="F48" s="257">
        <v>600000</v>
      </c>
      <c r="G48" s="257">
        <v>600000</v>
      </c>
      <c r="H48" s="257">
        <v>0</v>
      </c>
      <c r="I48" s="257">
        <v>500000</v>
      </c>
      <c r="J48" s="257">
        <v>0</v>
      </c>
      <c r="K48" s="257">
        <v>0</v>
      </c>
      <c r="L48" s="257">
        <v>0</v>
      </c>
      <c r="M48" s="257">
        <v>100000</v>
      </c>
      <c r="N48" s="257">
        <v>100000</v>
      </c>
    </row>
    <row r="49" spans="1:14" s="143" customFormat="1" x14ac:dyDescent="0.25">
      <c r="A49" s="143" t="s">
        <v>70</v>
      </c>
      <c r="B49" s="143" t="s">
        <v>162</v>
      </c>
      <c r="C49" s="143" t="s">
        <v>163</v>
      </c>
      <c r="D49" s="143" t="s">
        <v>69</v>
      </c>
      <c r="E49" s="257">
        <v>17019667</v>
      </c>
      <c r="F49" s="257">
        <v>17019667</v>
      </c>
      <c r="G49" s="257">
        <v>5059200</v>
      </c>
      <c r="H49" s="257">
        <v>486000</v>
      </c>
      <c r="I49" s="257">
        <v>2368988.7999999998</v>
      </c>
      <c r="J49" s="257">
        <v>0</v>
      </c>
      <c r="K49" s="257">
        <v>268201</v>
      </c>
      <c r="L49" s="257">
        <v>170000</v>
      </c>
      <c r="M49" s="257">
        <v>13896477.199999999</v>
      </c>
      <c r="N49" s="257">
        <v>1936010.2</v>
      </c>
    </row>
    <row r="50" spans="1:14" s="143" customFormat="1" x14ac:dyDescent="0.25">
      <c r="A50" s="143" t="s">
        <v>70</v>
      </c>
      <c r="B50" s="143" t="s">
        <v>164</v>
      </c>
      <c r="C50" s="143" t="s">
        <v>165</v>
      </c>
      <c r="D50" s="143" t="s">
        <v>69</v>
      </c>
      <c r="E50" s="257">
        <v>300000</v>
      </c>
      <c r="F50" s="257">
        <v>300000</v>
      </c>
      <c r="G50" s="257">
        <v>0</v>
      </c>
      <c r="H50" s="257">
        <v>0</v>
      </c>
      <c r="I50" s="257">
        <v>0</v>
      </c>
      <c r="J50" s="257">
        <v>0</v>
      </c>
      <c r="K50" s="257">
        <v>0</v>
      </c>
      <c r="L50" s="257">
        <v>0</v>
      </c>
      <c r="M50" s="257">
        <v>300000</v>
      </c>
      <c r="N50" s="257">
        <v>0</v>
      </c>
    </row>
    <row r="51" spans="1:14" s="143" customFormat="1" x14ac:dyDescent="0.25">
      <c r="A51" s="143" t="s">
        <v>70</v>
      </c>
      <c r="B51" s="143" t="s">
        <v>166</v>
      </c>
      <c r="C51" s="143" t="s">
        <v>167</v>
      </c>
      <c r="D51" s="143" t="s">
        <v>69</v>
      </c>
      <c r="E51" s="257">
        <v>9066667</v>
      </c>
      <c r="F51" s="257">
        <v>9066667</v>
      </c>
      <c r="G51" s="257">
        <v>1600000</v>
      </c>
      <c r="H51" s="257">
        <v>0</v>
      </c>
      <c r="I51" s="257">
        <v>500000</v>
      </c>
      <c r="J51" s="257">
        <v>0</v>
      </c>
      <c r="K51" s="257">
        <v>98201</v>
      </c>
      <c r="L51" s="257">
        <v>0</v>
      </c>
      <c r="M51" s="257">
        <v>8468466</v>
      </c>
      <c r="N51" s="257">
        <v>1001799</v>
      </c>
    </row>
    <row r="52" spans="1:14" s="143" customFormat="1" x14ac:dyDescent="0.25">
      <c r="A52" s="143" t="s">
        <v>70</v>
      </c>
      <c r="B52" s="143" t="s">
        <v>168</v>
      </c>
      <c r="C52" s="143" t="s">
        <v>169</v>
      </c>
      <c r="D52" s="143" t="s">
        <v>69</v>
      </c>
      <c r="E52" s="257">
        <v>2900000</v>
      </c>
      <c r="F52" s="257">
        <v>2900000</v>
      </c>
      <c r="G52" s="257">
        <v>2127200</v>
      </c>
      <c r="H52" s="257">
        <v>486000</v>
      </c>
      <c r="I52" s="257">
        <v>1341200</v>
      </c>
      <c r="J52" s="257">
        <v>0</v>
      </c>
      <c r="K52" s="257">
        <v>170000</v>
      </c>
      <c r="L52" s="257">
        <v>170000</v>
      </c>
      <c r="M52" s="257">
        <v>902800</v>
      </c>
      <c r="N52" s="257">
        <v>130000</v>
      </c>
    </row>
    <row r="53" spans="1:14" s="143" customFormat="1" x14ac:dyDescent="0.25">
      <c r="A53" s="143" t="s">
        <v>70</v>
      </c>
      <c r="B53" s="143" t="s">
        <v>170</v>
      </c>
      <c r="C53" s="143" t="s">
        <v>171</v>
      </c>
      <c r="D53" s="143" t="s">
        <v>69</v>
      </c>
      <c r="E53" s="257">
        <v>393000</v>
      </c>
      <c r="F53" s="257">
        <v>393000</v>
      </c>
      <c r="G53" s="257">
        <v>0</v>
      </c>
      <c r="H53" s="257">
        <v>0</v>
      </c>
      <c r="I53" s="257">
        <v>0</v>
      </c>
      <c r="J53" s="257">
        <v>0</v>
      </c>
      <c r="K53" s="257">
        <v>0</v>
      </c>
      <c r="L53" s="257">
        <v>0</v>
      </c>
      <c r="M53" s="257">
        <v>393000</v>
      </c>
      <c r="N53" s="257">
        <v>0</v>
      </c>
    </row>
    <row r="54" spans="1:14" s="143" customFormat="1" x14ac:dyDescent="0.25">
      <c r="A54" s="143" t="s">
        <v>70</v>
      </c>
      <c r="B54" s="143" t="s">
        <v>172</v>
      </c>
      <c r="C54" s="143" t="s">
        <v>173</v>
      </c>
      <c r="D54" s="143" t="s">
        <v>69</v>
      </c>
      <c r="E54" s="257">
        <v>4360000</v>
      </c>
      <c r="F54" s="257">
        <v>4360000</v>
      </c>
      <c r="G54" s="257">
        <v>1332000</v>
      </c>
      <c r="H54" s="257">
        <v>0</v>
      </c>
      <c r="I54" s="257">
        <v>527788.80000000005</v>
      </c>
      <c r="J54" s="257">
        <v>0</v>
      </c>
      <c r="K54" s="257">
        <v>0</v>
      </c>
      <c r="L54" s="257">
        <v>0</v>
      </c>
      <c r="M54" s="257">
        <v>3832211.2</v>
      </c>
      <c r="N54" s="257">
        <v>804211.19999999995</v>
      </c>
    </row>
    <row r="55" spans="1:14" s="143" customFormat="1" x14ac:dyDescent="0.25">
      <c r="A55" s="143" t="s">
        <v>70</v>
      </c>
      <c r="B55" s="143" t="s">
        <v>174</v>
      </c>
      <c r="C55" s="143" t="s">
        <v>175</v>
      </c>
      <c r="D55" s="143" t="s">
        <v>69</v>
      </c>
      <c r="E55" s="257">
        <v>681819</v>
      </c>
      <c r="F55" s="257">
        <v>1250684</v>
      </c>
      <c r="G55" s="257">
        <v>1250684</v>
      </c>
      <c r="H55" s="257">
        <v>0</v>
      </c>
      <c r="I55" s="257">
        <v>681819</v>
      </c>
      <c r="J55" s="257">
        <v>0</v>
      </c>
      <c r="K55" s="257">
        <v>0</v>
      </c>
      <c r="L55" s="257">
        <v>0</v>
      </c>
      <c r="M55" s="257">
        <v>568865</v>
      </c>
      <c r="N55" s="257">
        <v>568865</v>
      </c>
    </row>
    <row r="56" spans="1:14" s="143" customFormat="1" x14ac:dyDescent="0.25">
      <c r="A56" s="143" t="s">
        <v>70</v>
      </c>
      <c r="B56" s="143" t="s">
        <v>176</v>
      </c>
      <c r="C56" s="143" t="s">
        <v>177</v>
      </c>
      <c r="D56" s="143" t="s">
        <v>69</v>
      </c>
      <c r="E56" s="257">
        <v>681819</v>
      </c>
      <c r="F56" s="257">
        <v>1250684</v>
      </c>
      <c r="G56" s="257">
        <v>1250684</v>
      </c>
      <c r="H56" s="257">
        <v>0</v>
      </c>
      <c r="I56" s="257">
        <v>681819</v>
      </c>
      <c r="J56" s="257">
        <v>0</v>
      </c>
      <c r="K56" s="257">
        <v>0</v>
      </c>
      <c r="L56" s="257">
        <v>0</v>
      </c>
      <c r="M56" s="257">
        <v>568865</v>
      </c>
      <c r="N56" s="257">
        <v>568865</v>
      </c>
    </row>
    <row r="57" spans="1:14" s="143" customFormat="1" x14ac:dyDescent="0.25">
      <c r="A57" s="143" t="s">
        <v>70</v>
      </c>
      <c r="B57" s="143" t="s">
        <v>178</v>
      </c>
      <c r="C57" s="143" t="s">
        <v>179</v>
      </c>
      <c r="D57" s="143" t="s">
        <v>69</v>
      </c>
      <c r="E57" s="257">
        <v>1000000</v>
      </c>
      <c r="F57" s="257">
        <v>1000000</v>
      </c>
      <c r="G57" s="257">
        <v>0</v>
      </c>
      <c r="H57" s="257">
        <v>0</v>
      </c>
      <c r="I57" s="257">
        <v>0</v>
      </c>
      <c r="J57" s="257">
        <v>0</v>
      </c>
      <c r="K57" s="257">
        <v>0</v>
      </c>
      <c r="L57" s="257">
        <v>0</v>
      </c>
      <c r="M57" s="257">
        <v>1000000</v>
      </c>
      <c r="N57" s="257">
        <v>0</v>
      </c>
    </row>
    <row r="58" spans="1:14" s="143" customFormat="1" x14ac:dyDescent="0.25">
      <c r="A58" s="143" t="s">
        <v>70</v>
      </c>
      <c r="B58" s="143" t="s">
        <v>182</v>
      </c>
      <c r="C58" s="143" t="s">
        <v>183</v>
      </c>
      <c r="D58" s="143" t="s">
        <v>69</v>
      </c>
      <c r="E58" s="257">
        <v>1000000</v>
      </c>
      <c r="F58" s="257">
        <v>1000000</v>
      </c>
      <c r="G58" s="257">
        <v>0</v>
      </c>
      <c r="H58" s="257">
        <v>0</v>
      </c>
      <c r="I58" s="257">
        <v>0</v>
      </c>
      <c r="J58" s="257">
        <v>0</v>
      </c>
      <c r="K58" s="257">
        <v>0</v>
      </c>
      <c r="L58" s="257">
        <v>0</v>
      </c>
      <c r="M58" s="257">
        <v>1000000</v>
      </c>
      <c r="N58" s="257">
        <v>0</v>
      </c>
    </row>
    <row r="59" spans="1:14" s="143" customFormat="1" x14ac:dyDescent="0.25">
      <c r="A59" s="143" t="s">
        <v>70</v>
      </c>
      <c r="B59" s="143" t="s">
        <v>184</v>
      </c>
      <c r="C59" s="143" t="s">
        <v>185</v>
      </c>
      <c r="D59" s="143" t="s">
        <v>69</v>
      </c>
      <c r="E59" s="257">
        <v>42229000</v>
      </c>
      <c r="F59" s="257">
        <v>42229000</v>
      </c>
      <c r="G59" s="257">
        <v>32934000</v>
      </c>
      <c r="H59" s="257">
        <v>5179901.2300000004</v>
      </c>
      <c r="I59" s="257">
        <v>3084034.4</v>
      </c>
      <c r="J59" s="257">
        <v>45350</v>
      </c>
      <c r="K59" s="257">
        <v>5329648.42</v>
      </c>
      <c r="L59" s="257">
        <v>4472571.0599999996</v>
      </c>
      <c r="M59" s="257">
        <v>28590065.949999999</v>
      </c>
      <c r="N59" s="257">
        <v>19295065.949999999</v>
      </c>
    </row>
    <row r="60" spans="1:14" s="143" customFormat="1" x14ac:dyDescent="0.25">
      <c r="A60" s="143" t="s">
        <v>70</v>
      </c>
      <c r="B60" s="143" t="s">
        <v>186</v>
      </c>
      <c r="C60" s="143" t="s">
        <v>187</v>
      </c>
      <c r="D60" s="143" t="s">
        <v>69</v>
      </c>
      <c r="E60" s="257">
        <v>17137000</v>
      </c>
      <c r="F60" s="257">
        <v>17137000</v>
      </c>
      <c r="G60" s="257">
        <v>8919000</v>
      </c>
      <c r="H60" s="257">
        <v>0</v>
      </c>
      <c r="I60" s="257">
        <v>1780778</v>
      </c>
      <c r="J60" s="257">
        <v>0</v>
      </c>
      <c r="K60" s="257">
        <v>2067222</v>
      </c>
      <c r="L60" s="257">
        <v>2067222</v>
      </c>
      <c r="M60" s="257">
        <v>13289000</v>
      </c>
      <c r="N60" s="257">
        <v>5071000</v>
      </c>
    </row>
    <row r="61" spans="1:14" s="143" customFormat="1" x14ac:dyDescent="0.25">
      <c r="A61" s="143" t="s">
        <v>70</v>
      </c>
      <c r="B61" s="143" t="s">
        <v>188</v>
      </c>
      <c r="C61" s="143" t="s">
        <v>189</v>
      </c>
      <c r="D61" s="143" t="s">
        <v>69</v>
      </c>
      <c r="E61" s="257">
        <v>11100000</v>
      </c>
      <c r="F61" s="257">
        <v>11100000</v>
      </c>
      <c r="G61" s="257">
        <v>3800000</v>
      </c>
      <c r="H61" s="257">
        <v>0</v>
      </c>
      <c r="I61" s="257">
        <v>1780778</v>
      </c>
      <c r="J61" s="257">
        <v>0</v>
      </c>
      <c r="K61" s="257">
        <v>2019222</v>
      </c>
      <c r="L61" s="257">
        <v>2019222</v>
      </c>
      <c r="M61" s="257">
        <v>7300000</v>
      </c>
      <c r="N61" s="257">
        <v>0</v>
      </c>
    </row>
    <row r="62" spans="1:14" s="143" customFormat="1" x14ac:dyDescent="0.25">
      <c r="A62" s="143" t="s">
        <v>70</v>
      </c>
      <c r="B62" s="143" t="s">
        <v>190</v>
      </c>
      <c r="C62" s="143" t="s">
        <v>191</v>
      </c>
      <c r="D62" s="143" t="s">
        <v>69</v>
      </c>
      <c r="E62" s="257">
        <v>5000000</v>
      </c>
      <c r="F62" s="257">
        <v>5000000</v>
      </c>
      <c r="G62" s="257">
        <v>5000000</v>
      </c>
      <c r="H62" s="257">
        <v>0</v>
      </c>
      <c r="I62" s="257">
        <v>0</v>
      </c>
      <c r="J62" s="257">
        <v>0</v>
      </c>
      <c r="K62" s="257">
        <v>0</v>
      </c>
      <c r="L62" s="257">
        <v>0</v>
      </c>
      <c r="M62" s="257">
        <v>5000000</v>
      </c>
      <c r="N62" s="257">
        <v>5000000</v>
      </c>
    </row>
    <row r="63" spans="1:14" s="143" customFormat="1" x14ac:dyDescent="0.25">
      <c r="A63" s="143" t="s">
        <v>70</v>
      </c>
      <c r="B63" s="143" t="s">
        <v>192</v>
      </c>
      <c r="C63" s="143" t="s">
        <v>193</v>
      </c>
      <c r="D63" s="143" t="s">
        <v>69</v>
      </c>
      <c r="E63" s="257">
        <v>126000</v>
      </c>
      <c r="F63" s="257">
        <v>126000</v>
      </c>
      <c r="G63" s="257">
        <v>119000</v>
      </c>
      <c r="H63" s="257">
        <v>0</v>
      </c>
      <c r="I63" s="257">
        <v>0</v>
      </c>
      <c r="J63" s="257">
        <v>0</v>
      </c>
      <c r="K63" s="257">
        <v>48000</v>
      </c>
      <c r="L63" s="257">
        <v>48000</v>
      </c>
      <c r="M63" s="257">
        <v>78000</v>
      </c>
      <c r="N63" s="257">
        <v>71000</v>
      </c>
    </row>
    <row r="64" spans="1:14" s="143" customFormat="1" x14ac:dyDescent="0.25">
      <c r="A64" s="143" t="s">
        <v>70</v>
      </c>
      <c r="B64" s="143" t="s">
        <v>194</v>
      </c>
      <c r="C64" s="143" t="s">
        <v>195</v>
      </c>
      <c r="D64" s="143" t="s">
        <v>69</v>
      </c>
      <c r="E64" s="257">
        <v>911000</v>
      </c>
      <c r="F64" s="257">
        <v>911000</v>
      </c>
      <c r="G64" s="257">
        <v>0</v>
      </c>
      <c r="H64" s="257">
        <v>0</v>
      </c>
      <c r="I64" s="257">
        <v>0</v>
      </c>
      <c r="J64" s="257">
        <v>0</v>
      </c>
      <c r="K64" s="257">
        <v>0</v>
      </c>
      <c r="L64" s="257">
        <v>0</v>
      </c>
      <c r="M64" s="257">
        <v>911000</v>
      </c>
      <c r="N64" s="257">
        <v>0</v>
      </c>
    </row>
    <row r="65" spans="1:14" s="143" customFormat="1" x14ac:dyDescent="0.25">
      <c r="A65" s="143" t="s">
        <v>70</v>
      </c>
      <c r="B65" s="143" t="s">
        <v>196</v>
      </c>
      <c r="C65" s="143" t="s">
        <v>197</v>
      </c>
      <c r="D65" s="143" t="s">
        <v>69</v>
      </c>
      <c r="E65" s="257">
        <v>3000000</v>
      </c>
      <c r="F65" s="257">
        <v>3000000</v>
      </c>
      <c r="G65" s="257">
        <v>2400000</v>
      </c>
      <c r="H65" s="257">
        <v>0</v>
      </c>
      <c r="I65" s="257">
        <v>0</v>
      </c>
      <c r="J65" s="257">
        <v>0</v>
      </c>
      <c r="K65" s="257">
        <v>673282</v>
      </c>
      <c r="L65" s="257">
        <v>0</v>
      </c>
      <c r="M65" s="257">
        <v>2326718</v>
      </c>
      <c r="N65" s="257">
        <v>1726718</v>
      </c>
    </row>
    <row r="66" spans="1:14" s="143" customFormat="1" x14ac:dyDescent="0.25">
      <c r="A66" s="143" t="s">
        <v>70</v>
      </c>
      <c r="B66" s="143" t="s">
        <v>198</v>
      </c>
      <c r="C66" s="143" t="s">
        <v>199</v>
      </c>
      <c r="D66" s="143" t="s">
        <v>69</v>
      </c>
      <c r="E66" s="257">
        <v>3000000</v>
      </c>
      <c r="F66" s="257">
        <v>3000000</v>
      </c>
      <c r="G66" s="257">
        <v>2400000</v>
      </c>
      <c r="H66" s="257">
        <v>0</v>
      </c>
      <c r="I66" s="257">
        <v>0</v>
      </c>
      <c r="J66" s="257">
        <v>0</v>
      </c>
      <c r="K66" s="257">
        <v>673282</v>
      </c>
      <c r="L66" s="257">
        <v>0</v>
      </c>
      <c r="M66" s="257">
        <v>2326718</v>
      </c>
      <c r="N66" s="257">
        <v>1726718</v>
      </c>
    </row>
    <row r="67" spans="1:14" s="143" customFormat="1" x14ac:dyDescent="0.25">
      <c r="A67" s="143" t="s">
        <v>70</v>
      </c>
      <c r="B67" s="143" t="s">
        <v>200</v>
      </c>
      <c r="C67" s="143" t="s">
        <v>201</v>
      </c>
      <c r="D67" s="143" t="s">
        <v>69</v>
      </c>
      <c r="E67" s="257">
        <v>936000</v>
      </c>
      <c r="F67" s="257">
        <v>936000</v>
      </c>
      <c r="G67" s="257">
        <v>771000</v>
      </c>
      <c r="H67" s="257">
        <v>771000</v>
      </c>
      <c r="I67" s="257">
        <v>0</v>
      </c>
      <c r="J67" s="257">
        <v>0</v>
      </c>
      <c r="K67" s="257">
        <v>0</v>
      </c>
      <c r="L67" s="257">
        <v>0</v>
      </c>
      <c r="M67" s="257">
        <v>165000</v>
      </c>
      <c r="N67" s="257">
        <v>0</v>
      </c>
    </row>
    <row r="68" spans="1:14" s="143" customFormat="1" x14ac:dyDescent="0.25">
      <c r="A68" s="143" t="s">
        <v>70</v>
      </c>
      <c r="B68" s="143" t="s">
        <v>202</v>
      </c>
      <c r="C68" s="143" t="s">
        <v>203</v>
      </c>
      <c r="D68" s="143" t="s">
        <v>69</v>
      </c>
      <c r="E68" s="257">
        <v>771000</v>
      </c>
      <c r="F68" s="257">
        <v>771000</v>
      </c>
      <c r="G68" s="257">
        <v>771000</v>
      </c>
      <c r="H68" s="257">
        <v>771000</v>
      </c>
      <c r="I68" s="257">
        <v>0</v>
      </c>
      <c r="J68" s="257">
        <v>0</v>
      </c>
      <c r="K68" s="257">
        <v>0</v>
      </c>
      <c r="L68" s="257">
        <v>0</v>
      </c>
      <c r="M68" s="257">
        <v>0</v>
      </c>
      <c r="N68" s="257">
        <v>0</v>
      </c>
    </row>
    <row r="69" spans="1:14" s="143" customFormat="1" x14ac:dyDescent="0.25">
      <c r="A69" s="143" t="s">
        <v>70</v>
      </c>
      <c r="B69" s="143" t="s">
        <v>204</v>
      </c>
      <c r="C69" s="143" t="s">
        <v>205</v>
      </c>
      <c r="D69" s="143" t="s">
        <v>69</v>
      </c>
      <c r="E69" s="257">
        <v>165000</v>
      </c>
      <c r="F69" s="257">
        <v>165000</v>
      </c>
      <c r="G69" s="257">
        <v>0</v>
      </c>
      <c r="H69" s="257">
        <v>0</v>
      </c>
      <c r="I69" s="257">
        <v>0</v>
      </c>
      <c r="J69" s="257">
        <v>0</v>
      </c>
      <c r="K69" s="257">
        <v>0</v>
      </c>
      <c r="L69" s="257">
        <v>0</v>
      </c>
      <c r="M69" s="257">
        <v>165000</v>
      </c>
      <c r="N69" s="257">
        <v>0</v>
      </c>
    </row>
    <row r="70" spans="1:14" s="143" customFormat="1" x14ac:dyDescent="0.25">
      <c r="A70" s="143" t="s">
        <v>70</v>
      </c>
      <c r="B70" s="143" t="s">
        <v>206</v>
      </c>
      <c r="C70" s="143" t="s">
        <v>207</v>
      </c>
      <c r="D70" s="143" t="s">
        <v>69</v>
      </c>
      <c r="E70" s="257">
        <v>312000</v>
      </c>
      <c r="F70" s="257">
        <v>312000</v>
      </c>
      <c r="G70" s="257">
        <v>0</v>
      </c>
      <c r="H70" s="257">
        <v>0</v>
      </c>
      <c r="I70" s="257">
        <v>0</v>
      </c>
      <c r="J70" s="257">
        <v>0</v>
      </c>
      <c r="K70" s="257">
        <v>0</v>
      </c>
      <c r="L70" s="257">
        <v>0</v>
      </c>
      <c r="M70" s="257">
        <v>312000</v>
      </c>
      <c r="N70" s="257">
        <v>0</v>
      </c>
    </row>
    <row r="71" spans="1:14" s="143" customFormat="1" x14ac:dyDescent="0.25">
      <c r="A71" s="143" t="s">
        <v>70</v>
      </c>
      <c r="B71" s="143" t="s">
        <v>208</v>
      </c>
      <c r="C71" s="143" t="s">
        <v>209</v>
      </c>
      <c r="D71" s="143" t="s">
        <v>69</v>
      </c>
      <c r="E71" s="257">
        <v>206000</v>
      </c>
      <c r="F71" s="257">
        <v>206000</v>
      </c>
      <c r="G71" s="257">
        <v>0</v>
      </c>
      <c r="H71" s="257">
        <v>0</v>
      </c>
      <c r="I71" s="257">
        <v>0</v>
      </c>
      <c r="J71" s="257">
        <v>0</v>
      </c>
      <c r="K71" s="257">
        <v>0</v>
      </c>
      <c r="L71" s="257">
        <v>0</v>
      </c>
      <c r="M71" s="257">
        <v>206000</v>
      </c>
      <c r="N71" s="257">
        <v>0</v>
      </c>
    </row>
    <row r="72" spans="1:14" s="143" customFormat="1" x14ac:dyDescent="0.25">
      <c r="A72" s="143" t="s">
        <v>70</v>
      </c>
      <c r="B72" s="143" t="s">
        <v>210</v>
      </c>
      <c r="C72" s="143" t="s">
        <v>211</v>
      </c>
      <c r="D72" s="143" t="s">
        <v>69</v>
      </c>
      <c r="E72" s="257">
        <v>106000</v>
      </c>
      <c r="F72" s="257">
        <v>106000</v>
      </c>
      <c r="G72" s="257">
        <v>0</v>
      </c>
      <c r="H72" s="257">
        <v>0</v>
      </c>
      <c r="I72" s="257">
        <v>0</v>
      </c>
      <c r="J72" s="257">
        <v>0</v>
      </c>
      <c r="K72" s="257">
        <v>0</v>
      </c>
      <c r="L72" s="257">
        <v>0</v>
      </c>
      <c r="M72" s="257">
        <v>106000</v>
      </c>
      <c r="N72" s="257">
        <v>0</v>
      </c>
    </row>
    <row r="73" spans="1:14" s="143" customFormat="1" x14ac:dyDescent="0.25">
      <c r="A73" s="143" t="s">
        <v>70</v>
      </c>
      <c r="B73" s="143" t="s">
        <v>212</v>
      </c>
      <c r="C73" s="143" t="s">
        <v>213</v>
      </c>
      <c r="D73" s="143" t="s">
        <v>69</v>
      </c>
      <c r="E73" s="257">
        <v>20844000</v>
      </c>
      <c r="F73" s="257">
        <v>20844000</v>
      </c>
      <c r="G73" s="257">
        <v>20844000</v>
      </c>
      <c r="H73" s="257">
        <v>4408901.2300000004</v>
      </c>
      <c r="I73" s="257">
        <v>1303256.3999999999</v>
      </c>
      <c r="J73" s="257">
        <v>45350</v>
      </c>
      <c r="K73" s="257">
        <v>2589144.42</v>
      </c>
      <c r="L73" s="257">
        <v>2405349.06</v>
      </c>
      <c r="M73" s="257">
        <v>12497347.949999999</v>
      </c>
      <c r="N73" s="257">
        <v>12497347.949999999</v>
      </c>
    </row>
    <row r="74" spans="1:14" s="143" customFormat="1" x14ac:dyDescent="0.25">
      <c r="A74" s="143" t="s">
        <v>70</v>
      </c>
      <c r="B74" s="143" t="s">
        <v>214</v>
      </c>
      <c r="C74" s="143" t="s">
        <v>215</v>
      </c>
      <c r="D74" s="143" t="s">
        <v>69</v>
      </c>
      <c r="E74" s="257">
        <v>3000000</v>
      </c>
      <c r="F74" s="257">
        <v>3000000</v>
      </c>
      <c r="G74" s="257">
        <v>3000000</v>
      </c>
      <c r="H74" s="257">
        <v>715064.24</v>
      </c>
      <c r="I74" s="257">
        <v>692877.52</v>
      </c>
      <c r="J74" s="257">
        <v>0</v>
      </c>
      <c r="K74" s="257">
        <v>84624</v>
      </c>
      <c r="L74" s="257">
        <v>84624</v>
      </c>
      <c r="M74" s="257">
        <v>1507434.24</v>
      </c>
      <c r="N74" s="257">
        <v>1507434.24</v>
      </c>
    </row>
    <row r="75" spans="1:14" s="143" customFormat="1" x14ac:dyDescent="0.25">
      <c r="A75" s="143" t="s">
        <v>70</v>
      </c>
      <c r="B75" s="143" t="s">
        <v>216</v>
      </c>
      <c r="C75" s="143" t="s">
        <v>217</v>
      </c>
      <c r="D75" s="143" t="s">
        <v>69</v>
      </c>
      <c r="E75" s="257">
        <v>271000</v>
      </c>
      <c r="F75" s="257">
        <v>271000</v>
      </c>
      <c r="G75" s="257">
        <v>271000</v>
      </c>
      <c r="H75" s="257">
        <v>157500</v>
      </c>
      <c r="I75" s="257">
        <v>0</v>
      </c>
      <c r="J75" s="257">
        <v>0</v>
      </c>
      <c r="K75" s="257">
        <v>112500</v>
      </c>
      <c r="L75" s="257">
        <v>112500</v>
      </c>
      <c r="M75" s="257">
        <v>1000</v>
      </c>
      <c r="N75" s="257">
        <v>1000</v>
      </c>
    </row>
    <row r="76" spans="1:14" s="143" customFormat="1" x14ac:dyDescent="0.25">
      <c r="A76" s="143" t="s">
        <v>70</v>
      </c>
      <c r="B76" s="143" t="s">
        <v>218</v>
      </c>
      <c r="C76" s="143" t="s">
        <v>219</v>
      </c>
      <c r="D76" s="143" t="s">
        <v>69</v>
      </c>
      <c r="E76" s="257">
        <v>12000000</v>
      </c>
      <c r="F76" s="257">
        <v>12000000</v>
      </c>
      <c r="G76" s="257">
        <v>12000000</v>
      </c>
      <c r="H76" s="257">
        <v>0</v>
      </c>
      <c r="I76" s="257">
        <v>610378.88</v>
      </c>
      <c r="J76" s="257">
        <v>45350</v>
      </c>
      <c r="K76" s="257">
        <v>2283000.92</v>
      </c>
      <c r="L76" s="257">
        <v>2099205.56</v>
      </c>
      <c r="M76" s="257">
        <v>9061270.1999999993</v>
      </c>
      <c r="N76" s="257">
        <v>9061270.1999999993</v>
      </c>
    </row>
    <row r="77" spans="1:14" s="143" customFormat="1" x14ac:dyDescent="0.25">
      <c r="A77" s="143" t="s">
        <v>70</v>
      </c>
      <c r="B77" s="143" t="s">
        <v>220</v>
      </c>
      <c r="C77" s="143" t="s">
        <v>221</v>
      </c>
      <c r="D77" s="143" t="s">
        <v>69</v>
      </c>
      <c r="E77" s="257">
        <v>1445000</v>
      </c>
      <c r="F77" s="257">
        <v>1445000</v>
      </c>
      <c r="G77" s="257">
        <v>1445000</v>
      </c>
      <c r="H77" s="257">
        <v>0</v>
      </c>
      <c r="I77" s="257">
        <v>0</v>
      </c>
      <c r="J77" s="257">
        <v>0</v>
      </c>
      <c r="K77" s="257">
        <v>0</v>
      </c>
      <c r="L77" s="257">
        <v>0</v>
      </c>
      <c r="M77" s="257">
        <v>1445000</v>
      </c>
      <c r="N77" s="257">
        <v>1445000</v>
      </c>
    </row>
    <row r="78" spans="1:14" s="143" customFormat="1" x14ac:dyDescent="0.25">
      <c r="A78" s="143" t="s">
        <v>70</v>
      </c>
      <c r="B78" s="143" t="s">
        <v>222</v>
      </c>
      <c r="C78" s="143" t="s">
        <v>223</v>
      </c>
      <c r="D78" s="143" t="s">
        <v>69</v>
      </c>
      <c r="E78" s="257">
        <v>2500000</v>
      </c>
      <c r="F78" s="257">
        <v>2500000</v>
      </c>
      <c r="G78" s="257">
        <v>2500000</v>
      </c>
      <c r="H78" s="257">
        <v>2025796.99</v>
      </c>
      <c r="I78" s="257">
        <v>0</v>
      </c>
      <c r="J78" s="257">
        <v>0</v>
      </c>
      <c r="K78" s="257">
        <v>0</v>
      </c>
      <c r="L78" s="257">
        <v>0</v>
      </c>
      <c r="M78" s="257">
        <v>474203.01</v>
      </c>
      <c r="N78" s="257">
        <v>474203.01</v>
      </c>
    </row>
    <row r="79" spans="1:14" s="143" customFormat="1" x14ac:dyDescent="0.25">
      <c r="A79" s="143" t="s">
        <v>70</v>
      </c>
      <c r="B79" s="143" t="s">
        <v>224</v>
      </c>
      <c r="C79" s="143" t="s">
        <v>225</v>
      </c>
      <c r="D79" s="143" t="s">
        <v>69</v>
      </c>
      <c r="E79" s="257">
        <v>66000</v>
      </c>
      <c r="F79" s="257">
        <v>66000</v>
      </c>
      <c r="G79" s="257">
        <v>66000</v>
      </c>
      <c r="H79" s="257">
        <v>66000</v>
      </c>
      <c r="I79" s="257">
        <v>0</v>
      </c>
      <c r="J79" s="257">
        <v>0</v>
      </c>
      <c r="K79" s="257">
        <v>0</v>
      </c>
      <c r="L79" s="257">
        <v>0</v>
      </c>
      <c r="M79" s="257">
        <v>0</v>
      </c>
      <c r="N79" s="257">
        <v>0</v>
      </c>
    </row>
    <row r="80" spans="1:14" s="143" customFormat="1" x14ac:dyDescent="0.25">
      <c r="A80" s="143" t="s">
        <v>70</v>
      </c>
      <c r="B80" s="143" t="s">
        <v>226</v>
      </c>
      <c r="C80" s="143" t="s">
        <v>227</v>
      </c>
      <c r="D80" s="143" t="s">
        <v>69</v>
      </c>
      <c r="E80" s="257">
        <v>562000</v>
      </c>
      <c r="F80" s="257">
        <v>562000</v>
      </c>
      <c r="G80" s="257">
        <v>562000</v>
      </c>
      <c r="H80" s="257">
        <v>561000</v>
      </c>
      <c r="I80" s="257">
        <v>0</v>
      </c>
      <c r="J80" s="257">
        <v>0</v>
      </c>
      <c r="K80" s="257">
        <v>0</v>
      </c>
      <c r="L80" s="257">
        <v>0</v>
      </c>
      <c r="M80" s="257">
        <v>1000</v>
      </c>
      <c r="N80" s="257">
        <v>1000</v>
      </c>
    </row>
    <row r="81" spans="1:14" s="143" customFormat="1" x14ac:dyDescent="0.25">
      <c r="A81" s="143" t="s">
        <v>70</v>
      </c>
      <c r="B81" s="143" t="s">
        <v>228</v>
      </c>
      <c r="C81" s="143" t="s">
        <v>229</v>
      </c>
      <c r="D81" s="143" t="s">
        <v>69</v>
      </c>
      <c r="E81" s="257">
        <v>1000000</v>
      </c>
      <c r="F81" s="257">
        <v>1000000</v>
      </c>
      <c r="G81" s="257">
        <v>1000000</v>
      </c>
      <c r="H81" s="257">
        <v>883540</v>
      </c>
      <c r="I81" s="257">
        <v>0</v>
      </c>
      <c r="J81" s="257">
        <v>0</v>
      </c>
      <c r="K81" s="257">
        <v>109019.5</v>
      </c>
      <c r="L81" s="257">
        <v>109019.5</v>
      </c>
      <c r="M81" s="257">
        <v>7440.5</v>
      </c>
      <c r="N81" s="257">
        <v>7440.5</v>
      </c>
    </row>
    <row r="82" spans="1:14" s="143" customFormat="1" x14ac:dyDescent="0.25">
      <c r="A82" s="143" t="s">
        <v>70</v>
      </c>
      <c r="B82" s="143" t="s">
        <v>248</v>
      </c>
      <c r="C82" s="143" t="s">
        <v>249</v>
      </c>
      <c r="D82" s="143" t="s">
        <v>69</v>
      </c>
      <c r="E82" s="257">
        <v>731283000</v>
      </c>
      <c r="F82" s="257">
        <v>745283000</v>
      </c>
      <c r="G82" s="257">
        <v>408212500</v>
      </c>
      <c r="H82" s="257">
        <v>0</v>
      </c>
      <c r="I82" s="257">
        <v>137246663.93000001</v>
      </c>
      <c r="J82" s="257">
        <v>0</v>
      </c>
      <c r="K82" s="257">
        <v>249039383.06999999</v>
      </c>
      <c r="L82" s="257">
        <v>249039383.06999999</v>
      </c>
      <c r="M82" s="257">
        <v>358996953</v>
      </c>
      <c r="N82" s="257">
        <v>21926453</v>
      </c>
    </row>
    <row r="83" spans="1:14" s="143" customFormat="1" x14ac:dyDescent="0.25">
      <c r="A83" s="143" t="s">
        <v>70</v>
      </c>
      <c r="B83" s="143" t="s">
        <v>250</v>
      </c>
      <c r="C83" s="143" t="s">
        <v>251</v>
      </c>
      <c r="D83" s="143" t="s">
        <v>69</v>
      </c>
      <c r="E83" s="257">
        <v>268185000</v>
      </c>
      <c r="F83" s="257">
        <v>268185000</v>
      </c>
      <c r="G83" s="257">
        <v>149339403.30000001</v>
      </c>
      <c r="H83" s="257">
        <v>0</v>
      </c>
      <c r="I83" s="257">
        <v>52995413.299999997</v>
      </c>
      <c r="J83" s="257">
        <v>0</v>
      </c>
      <c r="K83" s="257">
        <v>96343990</v>
      </c>
      <c r="L83" s="257">
        <v>96343990</v>
      </c>
      <c r="M83" s="257">
        <v>118845596.7</v>
      </c>
      <c r="N83" s="257">
        <v>0</v>
      </c>
    </row>
    <row r="84" spans="1:14" s="143" customFormat="1" x14ac:dyDescent="0.25">
      <c r="A84" s="143" t="s">
        <v>70</v>
      </c>
      <c r="B84" s="143" t="s">
        <v>252</v>
      </c>
      <c r="C84" s="143" t="s">
        <v>253</v>
      </c>
      <c r="D84" s="143" t="s">
        <v>69</v>
      </c>
      <c r="E84" s="257">
        <v>2000000</v>
      </c>
      <c r="F84" s="257">
        <v>2000000</v>
      </c>
      <c r="G84" s="257">
        <v>2000000</v>
      </c>
      <c r="H84" s="257">
        <v>0</v>
      </c>
      <c r="I84" s="257">
        <v>0</v>
      </c>
      <c r="J84" s="257">
        <v>0</v>
      </c>
      <c r="K84" s="257">
        <v>2000000</v>
      </c>
      <c r="L84" s="257">
        <v>2000000</v>
      </c>
      <c r="M84" s="257">
        <v>0</v>
      </c>
      <c r="N84" s="257">
        <v>0</v>
      </c>
    </row>
    <row r="85" spans="1:14" s="143" customFormat="1" x14ac:dyDescent="0.25">
      <c r="A85" s="143" t="s">
        <v>70</v>
      </c>
      <c r="B85" s="143" t="s">
        <v>254</v>
      </c>
      <c r="C85" s="143" t="s">
        <v>255</v>
      </c>
      <c r="D85" s="143" t="s">
        <v>69</v>
      </c>
      <c r="E85" s="257">
        <v>250000000</v>
      </c>
      <c r="F85" s="257">
        <v>250000000</v>
      </c>
      <c r="G85" s="257">
        <v>131154403.3</v>
      </c>
      <c r="H85" s="257">
        <v>0</v>
      </c>
      <c r="I85" s="257">
        <v>41868688.299999997</v>
      </c>
      <c r="J85" s="257">
        <v>0</v>
      </c>
      <c r="K85" s="257">
        <v>89285715</v>
      </c>
      <c r="L85" s="257">
        <v>89285715</v>
      </c>
      <c r="M85" s="257">
        <v>118845596.7</v>
      </c>
      <c r="N85" s="257">
        <v>0</v>
      </c>
    </row>
    <row r="86" spans="1:14" s="143" customFormat="1" x14ac:dyDescent="0.25">
      <c r="A86" s="143" t="s">
        <v>70</v>
      </c>
      <c r="B86" s="143" t="s">
        <v>256</v>
      </c>
      <c r="C86" s="143" t="s">
        <v>257</v>
      </c>
      <c r="D86" s="143" t="s">
        <v>69</v>
      </c>
      <c r="E86" s="257">
        <v>13470000</v>
      </c>
      <c r="F86" s="257">
        <v>13470000</v>
      </c>
      <c r="G86" s="257">
        <v>13470000</v>
      </c>
      <c r="H86" s="257">
        <v>0</v>
      </c>
      <c r="I86" s="257">
        <v>9260429</v>
      </c>
      <c r="J86" s="257">
        <v>0</v>
      </c>
      <c r="K86" s="257">
        <v>4209571</v>
      </c>
      <c r="L86" s="257">
        <v>4209571</v>
      </c>
      <c r="M86" s="257">
        <v>0</v>
      </c>
      <c r="N86" s="257">
        <v>0</v>
      </c>
    </row>
    <row r="87" spans="1:14" s="143" customFormat="1" x14ac:dyDescent="0.25">
      <c r="A87" s="143" t="s">
        <v>70</v>
      </c>
      <c r="B87" s="143" t="s">
        <v>258</v>
      </c>
      <c r="C87" s="143" t="s">
        <v>259</v>
      </c>
      <c r="D87" s="143" t="s">
        <v>69</v>
      </c>
      <c r="E87" s="257">
        <v>2715000</v>
      </c>
      <c r="F87" s="257">
        <v>2715000</v>
      </c>
      <c r="G87" s="257">
        <v>2715000</v>
      </c>
      <c r="H87" s="257">
        <v>0</v>
      </c>
      <c r="I87" s="257">
        <v>1866296</v>
      </c>
      <c r="J87" s="257">
        <v>0</v>
      </c>
      <c r="K87" s="257">
        <v>848704</v>
      </c>
      <c r="L87" s="257">
        <v>848704</v>
      </c>
      <c r="M87" s="257">
        <v>0</v>
      </c>
      <c r="N87" s="257">
        <v>0</v>
      </c>
    </row>
    <row r="88" spans="1:14" s="143" customFormat="1" x14ac:dyDescent="0.25">
      <c r="A88" s="143" t="s">
        <v>70</v>
      </c>
      <c r="B88" s="143" t="s">
        <v>260</v>
      </c>
      <c r="C88" s="143" t="s">
        <v>261</v>
      </c>
      <c r="D88" s="143" t="s">
        <v>69</v>
      </c>
      <c r="E88" s="257">
        <v>39757000</v>
      </c>
      <c r="F88" s="257">
        <v>53757000</v>
      </c>
      <c r="G88" s="257">
        <v>47202596.700000003</v>
      </c>
      <c r="H88" s="257">
        <v>0</v>
      </c>
      <c r="I88" s="257">
        <v>152698.13</v>
      </c>
      <c r="J88" s="257">
        <v>0</v>
      </c>
      <c r="K88" s="257">
        <v>25123445.57</v>
      </c>
      <c r="L88" s="257">
        <v>25123445.57</v>
      </c>
      <c r="M88" s="257">
        <v>28480856.300000001</v>
      </c>
      <c r="N88" s="257">
        <v>21926453</v>
      </c>
    </row>
    <row r="89" spans="1:14" s="143" customFormat="1" x14ac:dyDescent="0.25">
      <c r="A89" s="143" t="s">
        <v>70</v>
      </c>
      <c r="B89" s="143" t="s">
        <v>262</v>
      </c>
      <c r="C89" s="143" t="s">
        <v>263</v>
      </c>
      <c r="D89" s="143" t="s">
        <v>69</v>
      </c>
      <c r="E89" s="257">
        <v>30000000</v>
      </c>
      <c r="F89" s="257">
        <v>44000000</v>
      </c>
      <c r="G89" s="257">
        <v>37445596.700000003</v>
      </c>
      <c r="H89" s="257">
        <v>0</v>
      </c>
      <c r="I89" s="257">
        <v>152698.13</v>
      </c>
      <c r="J89" s="257">
        <v>0</v>
      </c>
      <c r="K89" s="257">
        <v>23292898.57</v>
      </c>
      <c r="L89" s="257">
        <v>23292898.57</v>
      </c>
      <c r="M89" s="257">
        <v>20554403.300000001</v>
      </c>
      <c r="N89" s="257">
        <v>14000000</v>
      </c>
    </row>
    <row r="90" spans="1:14" s="143" customFormat="1" x14ac:dyDescent="0.25">
      <c r="A90" s="143" t="s">
        <v>70</v>
      </c>
      <c r="B90" s="143" t="s">
        <v>264</v>
      </c>
      <c r="C90" s="143" t="s">
        <v>265</v>
      </c>
      <c r="D90" s="143" t="s">
        <v>69</v>
      </c>
      <c r="E90" s="257">
        <v>9757000</v>
      </c>
      <c r="F90" s="257">
        <v>9757000</v>
      </c>
      <c r="G90" s="257">
        <v>9757000</v>
      </c>
      <c r="H90" s="257">
        <v>0</v>
      </c>
      <c r="I90" s="257">
        <v>0</v>
      </c>
      <c r="J90" s="257">
        <v>0</v>
      </c>
      <c r="K90" s="257">
        <v>1830547</v>
      </c>
      <c r="L90" s="257">
        <v>1830547</v>
      </c>
      <c r="M90" s="257">
        <v>7926453</v>
      </c>
      <c r="N90" s="257">
        <v>7926453</v>
      </c>
    </row>
    <row r="91" spans="1:14" s="143" customFormat="1" x14ac:dyDescent="0.25">
      <c r="A91" s="143" t="s">
        <v>70</v>
      </c>
      <c r="B91" s="143" t="s">
        <v>266</v>
      </c>
      <c r="C91" s="143" t="s">
        <v>267</v>
      </c>
      <c r="D91" s="143" t="s">
        <v>69</v>
      </c>
      <c r="E91" s="257">
        <v>423341000</v>
      </c>
      <c r="F91" s="257">
        <v>423341000</v>
      </c>
      <c r="G91" s="257">
        <v>211670500</v>
      </c>
      <c r="H91" s="257">
        <v>0</v>
      </c>
      <c r="I91" s="257">
        <v>84098552.5</v>
      </c>
      <c r="J91" s="257">
        <v>0</v>
      </c>
      <c r="K91" s="257">
        <v>127571947.5</v>
      </c>
      <c r="L91" s="257">
        <v>127571947.5</v>
      </c>
      <c r="M91" s="257">
        <v>211670500</v>
      </c>
      <c r="N91" s="257">
        <v>0</v>
      </c>
    </row>
    <row r="92" spans="1:14" s="143" customFormat="1" x14ac:dyDescent="0.25">
      <c r="A92" s="143" t="s">
        <v>70</v>
      </c>
      <c r="B92" s="143" t="s">
        <v>268</v>
      </c>
      <c r="C92" s="143" t="s">
        <v>269</v>
      </c>
      <c r="D92" s="143" t="s">
        <v>69</v>
      </c>
      <c r="E92" s="257">
        <v>406300000</v>
      </c>
      <c r="F92" s="257">
        <v>406300000</v>
      </c>
      <c r="G92" s="257">
        <v>194629500</v>
      </c>
      <c r="H92" s="257">
        <v>0</v>
      </c>
      <c r="I92" s="257">
        <v>70556833</v>
      </c>
      <c r="J92" s="257">
        <v>0</v>
      </c>
      <c r="K92" s="257">
        <v>124072667</v>
      </c>
      <c r="L92" s="257">
        <v>124072667</v>
      </c>
      <c r="M92" s="257">
        <v>211670500</v>
      </c>
      <c r="N92" s="257">
        <v>0</v>
      </c>
    </row>
    <row r="93" spans="1:14" s="143" customFormat="1" x14ac:dyDescent="0.25">
      <c r="A93" s="143" t="s">
        <v>70</v>
      </c>
      <c r="B93" s="143" t="s">
        <v>270</v>
      </c>
      <c r="C93" s="143" t="s">
        <v>271</v>
      </c>
      <c r="D93" s="143" t="s">
        <v>69</v>
      </c>
      <c r="E93" s="257">
        <v>13364000</v>
      </c>
      <c r="F93" s="257">
        <v>13364000</v>
      </c>
      <c r="G93" s="257">
        <v>13364000</v>
      </c>
      <c r="H93" s="257">
        <v>0</v>
      </c>
      <c r="I93" s="257">
        <v>13364000</v>
      </c>
      <c r="J93" s="257">
        <v>0</v>
      </c>
      <c r="K93" s="257">
        <v>0</v>
      </c>
      <c r="L93" s="257">
        <v>0</v>
      </c>
      <c r="M93" s="257">
        <v>0</v>
      </c>
      <c r="N93" s="257">
        <v>0</v>
      </c>
    </row>
    <row r="94" spans="1:14" s="143" customFormat="1" x14ac:dyDescent="0.25">
      <c r="A94" s="143" t="s">
        <v>70</v>
      </c>
      <c r="B94" s="143" t="s">
        <v>272</v>
      </c>
      <c r="C94" s="143" t="s">
        <v>273</v>
      </c>
      <c r="D94" s="143" t="s">
        <v>69</v>
      </c>
      <c r="E94" s="257">
        <v>3677000</v>
      </c>
      <c r="F94" s="257">
        <v>3677000</v>
      </c>
      <c r="G94" s="257">
        <v>3677000</v>
      </c>
      <c r="H94" s="257">
        <v>0</v>
      </c>
      <c r="I94" s="257">
        <v>177719.5</v>
      </c>
      <c r="J94" s="257">
        <v>0</v>
      </c>
      <c r="K94" s="257">
        <v>3499280.5</v>
      </c>
      <c r="L94" s="257">
        <v>3499280.5</v>
      </c>
      <c r="M94" s="257">
        <v>0</v>
      </c>
      <c r="N94" s="257">
        <v>0</v>
      </c>
    </row>
    <row r="95" spans="1:14" s="143" customFormat="1" x14ac:dyDescent="0.25">
      <c r="A95" s="143" t="s">
        <v>70</v>
      </c>
      <c r="B95" s="143" t="s">
        <v>230</v>
      </c>
      <c r="C95" s="143" t="s">
        <v>231</v>
      </c>
      <c r="D95" s="143" t="s">
        <v>85</v>
      </c>
      <c r="E95" s="257">
        <v>17098648</v>
      </c>
      <c r="F95" s="257">
        <v>17098648</v>
      </c>
      <c r="G95" s="257">
        <v>8549324</v>
      </c>
      <c r="H95" s="257">
        <v>0</v>
      </c>
      <c r="I95" s="257">
        <v>0</v>
      </c>
      <c r="J95" s="257">
        <v>0</v>
      </c>
      <c r="K95" s="257">
        <v>0</v>
      </c>
      <c r="L95" s="257">
        <v>0</v>
      </c>
      <c r="M95" s="257">
        <v>17098648</v>
      </c>
      <c r="N95" s="257">
        <v>8549324</v>
      </c>
    </row>
    <row r="96" spans="1:14" s="143" customFormat="1" x14ac:dyDescent="0.25">
      <c r="A96" s="143" t="s">
        <v>70</v>
      </c>
      <c r="B96" s="143" t="s">
        <v>232</v>
      </c>
      <c r="C96" s="143" t="s">
        <v>233</v>
      </c>
      <c r="D96" s="143" t="s">
        <v>85</v>
      </c>
      <c r="E96" s="257">
        <v>16598648</v>
      </c>
      <c r="F96" s="257">
        <v>16598648</v>
      </c>
      <c r="G96" s="257">
        <v>8049324</v>
      </c>
      <c r="H96" s="257">
        <v>0</v>
      </c>
      <c r="I96" s="257">
        <v>0</v>
      </c>
      <c r="J96" s="257">
        <v>0</v>
      </c>
      <c r="K96" s="257">
        <v>0</v>
      </c>
      <c r="L96" s="257">
        <v>0</v>
      </c>
      <c r="M96" s="257">
        <v>16598648</v>
      </c>
      <c r="N96" s="257">
        <v>8049324</v>
      </c>
    </row>
    <row r="97" spans="1:14" s="143" customFormat="1" x14ac:dyDescent="0.25">
      <c r="A97" s="143" t="s">
        <v>70</v>
      </c>
      <c r="B97" s="143" t="s">
        <v>234</v>
      </c>
      <c r="C97" s="143" t="s">
        <v>235</v>
      </c>
      <c r="D97" s="143" t="s">
        <v>85</v>
      </c>
      <c r="E97" s="257">
        <v>3000000</v>
      </c>
      <c r="F97" s="257">
        <v>3000000</v>
      </c>
      <c r="G97" s="257">
        <v>788324</v>
      </c>
      <c r="H97" s="257">
        <v>0</v>
      </c>
      <c r="I97" s="257">
        <v>0</v>
      </c>
      <c r="J97" s="257">
        <v>0</v>
      </c>
      <c r="K97" s="257">
        <v>0</v>
      </c>
      <c r="L97" s="257">
        <v>0</v>
      </c>
      <c r="M97" s="257">
        <v>3000000</v>
      </c>
      <c r="N97" s="257">
        <v>788324</v>
      </c>
    </row>
    <row r="98" spans="1:14" s="143" customFormat="1" x14ac:dyDescent="0.25">
      <c r="A98" s="143" t="s">
        <v>70</v>
      </c>
      <c r="B98" s="143" t="s">
        <v>236</v>
      </c>
      <c r="C98" s="143" t="s">
        <v>237</v>
      </c>
      <c r="D98" s="143" t="s">
        <v>85</v>
      </c>
      <c r="E98" s="257">
        <v>4000000</v>
      </c>
      <c r="F98" s="257">
        <v>4000000</v>
      </c>
      <c r="G98" s="257">
        <v>2000000</v>
      </c>
      <c r="H98" s="257">
        <v>0</v>
      </c>
      <c r="I98" s="257">
        <v>0</v>
      </c>
      <c r="J98" s="257">
        <v>0</v>
      </c>
      <c r="K98" s="257">
        <v>0</v>
      </c>
      <c r="L98" s="257">
        <v>0</v>
      </c>
      <c r="M98" s="257">
        <v>4000000</v>
      </c>
      <c r="N98" s="257">
        <v>2000000</v>
      </c>
    </row>
    <row r="99" spans="1:14" s="143" customFormat="1" x14ac:dyDescent="0.25">
      <c r="A99" s="143" t="s">
        <v>70</v>
      </c>
      <c r="B99" s="143" t="s">
        <v>238</v>
      </c>
      <c r="C99" s="143" t="s">
        <v>239</v>
      </c>
      <c r="D99" s="143" t="s">
        <v>85</v>
      </c>
      <c r="E99" s="257">
        <v>6337648</v>
      </c>
      <c r="F99" s="257">
        <v>6337648</v>
      </c>
      <c r="G99" s="257">
        <v>2000000</v>
      </c>
      <c r="H99" s="257">
        <v>0</v>
      </c>
      <c r="I99" s="257">
        <v>0</v>
      </c>
      <c r="J99" s="257">
        <v>0</v>
      </c>
      <c r="K99" s="257">
        <v>0</v>
      </c>
      <c r="L99" s="257">
        <v>0</v>
      </c>
      <c r="M99" s="257">
        <v>6337648</v>
      </c>
      <c r="N99" s="257">
        <v>2000000</v>
      </c>
    </row>
    <row r="100" spans="1:14" s="143" customFormat="1" x14ac:dyDescent="0.25">
      <c r="A100" s="143" t="s">
        <v>70</v>
      </c>
      <c r="B100" s="143" t="s">
        <v>240</v>
      </c>
      <c r="C100" s="143" t="s">
        <v>241</v>
      </c>
      <c r="D100" s="143" t="s">
        <v>85</v>
      </c>
      <c r="E100" s="257">
        <v>2261000</v>
      </c>
      <c r="F100" s="257">
        <v>2261000</v>
      </c>
      <c r="G100" s="257">
        <v>2261000</v>
      </c>
      <c r="H100" s="257">
        <v>0</v>
      </c>
      <c r="I100" s="257">
        <v>0</v>
      </c>
      <c r="J100" s="257">
        <v>0</v>
      </c>
      <c r="K100" s="257">
        <v>0</v>
      </c>
      <c r="L100" s="257">
        <v>0</v>
      </c>
      <c r="M100" s="257">
        <v>2261000</v>
      </c>
      <c r="N100" s="257">
        <v>2261000</v>
      </c>
    </row>
    <row r="101" spans="1:14" s="143" customFormat="1" x14ac:dyDescent="0.25">
      <c r="A101" s="143" t="s">
        <v>70</v>
      </c>
      <c r="B101" s="143" t="s">
        <v>242</v>
      </c>
      <c r="C101" s="143" t="s">
        <v>243</v>
      </c>
      <c r="D101" s="143" t="s">
        <v>85</v>
      </c>
      <c r="E101" s="257">
        <v>1000000</v>
      </c>
      <c r="F101" s="257">
        <v>1000000</v>
      </c>
      <c r="G101" s="257">
        <v>1000000</v>
      </c>
      <c r="H101" s="257">
        <v>0</v>
      </c>
      <c r="I101" s="257">
        <v>0</v>
      </c>
      <c r="J101" s="257">
        <v>0</v>
      </c>
      <c r="K101" s="257">
        <v>0</v>
      </c>
      <c r="L101" s="257">
        <v>0</v>
      </c>
      <c r="M101" s="257">
        <v>1000000</v>
      </c>
      <c r="N101" s="257">
        <v>1000000</v>
      </c>
    </row>
    <row r="102" spans="1:14" s="143" customFormat="1" x14ac:dyDescent="0.25">
      <c r="A102" s="143" t="s">
        <v>70</v>
      </c>
      <c r="B102" s="143" t="s">
        <v>244</v>
      </c>
      <c r="C102" s="143" t="s">
        <v>245</v>
      </c>
      <c r="D102" s="143" t="s">
        <v>85</v>
      </c>
      <c r="E102" s="257">
        <v>500000</v>
      </c>
      <c r="F102" s="257">
        <v>500000</v>
      </c>
      <c r="G102" s="257">
        <v>500000</v>
      </c>
      <c r="H102" s="257">
        <v>0</v>
      </c>
      <c r="I102" s="257">
        <v>0</v>
      </c>
      <c r="J102" s="257">
        <v>0</v>
      </c>
      <c r="K102" s="257">
        <v>0</v>
      </c>
      <c r="L102" s="257">
        <v>0</v>
      </c>
      <c r="M102" s="257">
        <v>500000</v>
      </c>
      <c r="N102" s="257">
        <v>500000</v>
      </c>
    </row>
    <row r="103" spans="1:14" s="143" customFormat="1" x14ac:dyDescent="0.25">
      <c r="A103" s="143" t="s">
        <v>70</v>
      </c>
      <c r="B103" s="143" t="s">
        <v>246</v>
      </c>
      <c r="C103" s="143" t="s">
        <v>247</v>
      </c>
      <c r="D103" s="143" t="s">
        <v>85</v>
      </c>
      <c r="E103" s="257">
        <v>500000</v>
      </c>
      <c r="F103" s="257">
        <v>500000</v>
      </c>
      <c r="G103" s="257">
        <v>500000</v>
      </c>
      <c r="H103" s="257">
        <v>0</v>
      </c>
      <c r="I103" s="257">
        <v>0</v>
      </c>
      <c r="J103" s="257">
        <v>0</v>
      </c>
      <c r="K103" s="257">
        <v>0</v>
      </c>
      <c r="L103" s="257">
        <v>0</v>
      </c>
      <c r="M103" s="257">
        <v>500000</v>
      </c>
      <c r="N103" s="257">
        <v>500000</v>
      </c>
    </row>
    <row r="104" spans="1:14" s="143" customFormat="1" x14ac:dyDescent="0.25">
      <c r="A104" s="143">
        <v>214780</v>
      </c>
      <c r="D104" s="143" t="s">
        <v>69</v>
      </c>
      <c r="E104" s="257">
        <v>1241247489</v>
      </c>
      <c r="F104" s="257">
        <v>1241247489</v>
      </c>
      <c r="G104" s="257">
        <v>1101150743.8499999</v>
      </c>
      <c r="H104" s="257">
        <v>762142.48</v>
      </c>
      <c r="I104" s="257">
        <v>159937438.06999999</v>
      </c>
      <c r="J104" s="257">
        <v>831845.77</v>
      </c>
      <c r="K104" s="279">
        <v>334899853.06</v>
      </c>
      <c r="L104" s="257">
        <v>328814642.22000003</v>
      </c>
      <c r="M104" s="257">
        <v>744816209.62</v>
      </c>
      <c r="N104" s="257">
        <v>604719464.47000003</v>
      </c>
    </row>
    <row r="105" spans="1:14" s="143" customFormat="1" x14ac:dyDescent="0.25">
      <c r="A105" s="143" t="s">
        <v>274</v>
      </c>
      <c r="B105" s="143" t="s">
        <v>71</v>
      </c>
      <c r="C105" s="143" t="s">
        <v>72</v>
      </c>
      <c r="D105" s="143" t="s">
        <v>69</v>
      </c>
      <c r="E105" s="257">
        <v>953910000</v>
      </c>
      <c r="F105" s="257">
        <v>953910000</v>
      </c>
      <c r="G105" s="257">
        <v>953910000</v>
      </c>
      <c r="H105" s="257">
        <v>0</v>
      </c>
      <c r="I105" s="257">
        <v>99059534</v>
      </c>
      <c r="J105" s="257">
        <v>0</v>
      </c>
      <c r="K105" s="257">
        <v>278752042.54000002</v>
      </c>
      <c r="L105" s="257">
        <v>278752042.54000002</v>
      </c>
      <c r="M105" s="257">
        <v>576098423.46000004</v>
      </c>
      <c r="N105" s="257">
        <v>576098423.46000004</v>
      </c>
    </row>
    <row r="106" spans="1:14" s="143" customFormat="1" x14ac:dyDescent="0.25">
      <c r="A106" s="143" t="s">
        <v>274</v>
      </c>
      <c r="B106" s="143" t="s">
        <v>73</v>
      </c>
      <c r="C106" s="143" t="s">
        <v>74</v>
      </c>
      <c r="D106" s="143" t="s">
        <v>69</v>
      </c>
      <c r="E106" s="257">
        <v>383841000</v>
      </c>
      <c r="F106" s="257">
        <v>383841000</v>
      </c>
      <c r="G106" s="257">
        <v>383841000</v>
      </c>
      <c r="H106" s="257">
        <v>0</v>
      </c>
      <c r="I106" s="257">
        <v>0</v>
      </c>
      <c r="J106" s="257">
        <v>0</v>
      </c>
      <c r="K106" s="257">
        <v>107503028.66</v>
      </c>
      <c r="L106" s="257">
        <v>107503028.66</v>
      </c>
      <c r="M106" s="257">
        <v>276337971.33999997</v>
      </c>
      <c r="N106" s="257">
        <v>276337971.33999997</v>
      </c>
    </row>
    <row r="107" spans="1:14" s="143" customFormat="1" x14ac:dyDescent="0.25">
      <c r="A107" s="143" t="s">
        <v>274</v>
      </c>
      <c r="B107" s="143" t="s">
        <v>75</v>
      </c>
      <c r="C107" s="143" t="s">
        <v>76</v>
      </c>
      <c r="D107" s="143" t="s">
        <v>69</v>
      </c>
      <c r="E107" s="257">
        <v>383841000</v>
      </c>
      <c r="F107" s="257">
        <v>383841000</v>
      </c>
      <c r="G107" s="257">
        <v>383841000</v>
      </c>
      <c r="H107" s="257">
        <v>0</v>
      </c>
      <c r="I107" s="257">
        <v>0</v>
      </c>
      <c r="J107" s="257">
        <v>0</v>
      </c>
      <c r="K107" s="257">
        <v>107503028.66</v>
      </c>
      <c r="L107" s="257">
        <v>107503028.66</v>
      </c>
      <c r="M107" s="257">
        <v>276337971.33999997</v>
      </c>
      <c r="N107" s="257">
        <v>276337971.33999997</v>
      </c>
    </row>
    <row r="108" spans="1:14" s="143" customFormat="1" x14ac:dyDescent="0.25">
      <c r="A108" s="143" t="s">
        <v>274</v>
      </c>
      <c r="B108" s="143" t="s">
        <v>77</v>
      </c>
      <c r="C108" s="143" t="s">
        <v>78</v>
      </c>
      <c r="D108" s="143" t="s">
        <v>69</v>
      </c>
      <c r="E108" s="257">
        <v>425514000</v>
      </c>
      <c r="F108" s="257">
        <v>425514000</v>
      </c>
      <c r="G108" s="257">
        <v>425514000</v>
      </c>
      <c r="H108" s="257">
        <v>0</v>
      </c>
      <c r="I108" s="257">
        <v>0</v>
      </c>
      <c r="J108" s="257">
        <v>0</v>
      </c>
      <c r="K108" s="257">
        <v>125753547.88</v>
      </c>
      <c r="L108" s="257">
        <v>125753547.88</v>
      </c>
      <c r="M108" s="257">
        <v>299760452.12</v>
      </c>
      <c r="N108" s="257">
        <v>299760452.12</v>
      </c>
    </row>
    <row r="109" spans="1:14" s="143" customFormat="1" x14ac:dyDescent="0.25">
      <c r="A109" s="143" t="s">
        <v>274</v>
      </c>
      <c r="B109" s="143" t="s">
        <v>79</v>
      </c>
      <c r="C109" s="143" t="s">
        <v>80</v>
      </c>
      <c r="D109" s="143" t="s">
        <v>69</v>
      </c>
      <c r="E109" s="257">
        <v>70660000</v>
      </c>
      <c r="F109" s="257">
        <v>70660000</v>
      </c>
      <c r="G109" s="257">
        <v>70660000</v>
      </c>
      <c r="H109" s="257">
        <v>0</v>
      </c>
      <c r="I109" s="257">
        <v>0</v>
      </c>
      <c r="J109" s="257">
        <v>0</v>
      </c>
      <c r="K109" s="257">
        <v>18737651.760000002</v>
      </c>
      <c r="L109" s="257">
        <v>18737651.760000002</v>
      </c>
      <c r="M109" s="257">
        <v>51922348.240000002</v>
      </c>
      <c r="N109" s="257">
        <v>51922348.240000002</v>
      </c>
    </row>
    <row r="110" spans="1:14" s="143" customFormat="1" x14ac:dyDescent="0.25">
      <c r="A110" s="143" t="s">
        <v>274</v>
      </c>
      <c r="B110" s="143" t="s">
        <v>81</v>
      </c>
      <c r="C110" s="143" t="s">
        <v>82</v>
      </c>
      <c r="D110" s="143" t="s">
        <v>69</v>
      </c>
      <c r="E110" s="257">
        <v>211191000</v>
      </c>
      <c r="F110" s="257">
        <v>211191000</v>
      </c>
      <c r="G110" s="257">
        <v>211191000</v>
      </c>
      <c r="H110" s="257">
        <v>0</v>
      </c>
      <c r="I110" s="257">
        <v>0</v>
      </c>
      <c r="J110" s="257">
        <v>0</v>
      </c>
      <c r="K110" s="257">
        <v>52476664.460000001</v>
      </c>
      <c r="L110" s="257">
        <v>52476664.460000001</v>
      </c>
      <c r="M110" s="257">
        <v>158714335.53999999</v>
      </c>
      <c r="N110" s="257">
        <v>158714335.53999999</v>
      </c>
    </row>
    <row r="111" spans="1:14" s="143" customFormat="1" x14ac:dyDescent="0.25">
      <c r="A111" s="143" t="s">
        <v>274</v>
      </c>
      <c r="B111" s="143" t="s">
        <v>86</v>
      </c>
      <c r="C111" s="143" t="s">
        <v>87</v>
      </c>
      <c r="D111" s="143" t="s">
        <v>69</v>
      </c>
      <c r="E111" s="257">
        <v>46480000</v>
      </c>
      <c r="F111" s="257">
        <v>46480000</v>
      </c>
      <c r="G111" s="257">
        <v>46480000</v>
      </c>
      <c r="H111" s="257">
        <v>0</v>
      </c>
      <c r="I111" s="257">
        <v>0</v>
      </c>
      <c r="J111" s="257">
        <v>0</v>
      </c>
      <c r="K111" s="257">
        <v>44448031.07</v>
      </c>
      <c r="L111" s="257">
        <v>44448031.07</v>
      </c>
      <c r="M111" s="257">
        <v>2031968.93</v>
      </c>
      <c r="N111" s="257">
        <v>2031968.93</v>
      </c>
    </row>
    <row r="112" spans="1:14" s="143" customFormat="1" x14ac:dyDescent="0.25">
      <c r="A112" s="143" t="s">
        <v>274</v>
      </c>
      <c r="B112" s="143" t="s">
        <v>88</v>
      </c>
      <c r="C112" s="143" t="s">
        <v>89</v>
      </c>
      <c r="D112" s="143" t="s">
        <v>69</v>
      </c>
      <c r="E112" s="257">
        <v>35665000</v>
      </c>
      <c r="F112" s="257">
        <v>35665000</v>
      </c>
      <c r="G112" s="257">
        <v>35665000</v>
      </c>
      <c r="H112" s="257">
        <v>0</v>
      </c>
      <c r="I112" s="257">
        <v>0</v>
      </c>
      <c r="J112" s="257">
        <v>0</v>
      </c>
      <c r="K112" s="257">
        <v>10091200.59</v>
      </c>
      <c r="L112" s="257">
        <v>10091200.59</v>
      </c>
      <c r="M112" s="257">
        <v>25573799.41</v>
      </c>
      <c r="N112" s="257">
        <v>25573799.41</v>
      </c>
    </row>
    <row r="113" spans="1:14" s="143" customFormat="1" x14ac:dyDescent="0.25">
      <c r="A113" s="143" t="s">
        <v>274</v>
      </c>
      <c r="B113" s="143" t="s">
        <v>83</v>
      </c>
      <c r="C113" s="143" t="s">
        <v>84</v>
      </c>
      <c r="D113" s="143" t="s">
        <v>85</v>
      </c>
      <c r="E113" s="257">
        <v>61518000</v>
      </c>
      <c r="F113" s="257">
        <v>61518000</v>
      </c>
      <c r="G113" s="257">
        <v>61518000</v>
      </c>
      <c r="H113" s="257">
        <v>0</v>
      </c>
      <c r="I113" s="257">
        <v>0</v>
      </c>
      <c r="J113" s="257">
        <v>0</v>
      </c>
      <c r="K113" s="257">
        <v>0</v>
      </c>
      <c r="L113" s="257">
        <v>0</v>
      </c>
      <c r="M113" s="257">
        <v>61518000</v>
      </c>
      <c r="N113" s="257">
        <v>61518000</v>
      </c>
    </row>
    <row r="114" spans="1:14" s="143" customFormat="1" x14ac:dyDescent="0.25">
      <c r="A114" s="143" t="s">
        <v>274</v>
      </c>
      <c r="B114" s="143" t="s">
        <v>90</v>
      </c>
      <c r="C114" s="143" t="s">
        <v>91</v>
      </c>
      <c r="D114" s="143" t="s">
        <v>69</v>
      </c>
      <c r="E114" s="257">
        <v>72913000</v>
      </c>
      <c r="F114" s="257">
        <v>72913000</v>
      </c>
      <c r="G114" s="257">
        <v>72913000</v>
      </c>
      <c r="H114" s="257">
        <v>0</v>
      </c>
      <c r="I114" s="257">
        <v>49963645</v>
      </c>
      <c r="J114" s="257">
        <v>0</v>
      </c>
      <c r="K114" s="257">
        <v>22949355</v>
      </c>
      <c r="L114" s="257">
        <v>22949355</v>
      </c>
      <c r="M114" s="257">
        <v>0</v>
      </c>
      <c r="N114" s="257">
        <v>0</v>
      </c>
    </row>
    <row r="115" spans="1:14" s="143" customFormat="1" x14ac:dyDescent="0.25">
      <c r="A115" s="143" t="s">
        <v>274</v>
      </c>
      <c r="B115" s="143" t="s">
        <v>275</v>
      </c>
      <c r="C115" s="143" t="s">
        <v>93</v>
      </c>
      <c r="D115" s="143" t="s">
        <v>69</v>
      </c>
      <c r="E115" s="257">
        <v>69174000</v>
      </c>
      <c r="F115" s="257">
        <v>69174000</v>
      </c>
      <c r="G115" s="257">
        <v>69174000</v>
      </c>
      <c r="H115" s="257">
        <v>0</v>
      </c>
      <c r="I115" s="257">
        <v>47401288</v>
      </c>
      <c r="J115" s="257">
        <v>0</v>
      </c>
      <c r="K115" s="257">
        <v>21772712</v>
      </c>
      <c r="L115" s="257">
        <v>21772712</v>
      </c>
      <c r="M115" s="257">
        <v>0</v>
      </c>
      <c r="N115" s="257">
        <v>0</v>
      </c>
    </row>
    <row r="116" spans="1:14" s="143" customFormat="1" x14ac:dyDescent="0.25">
      <c r="A116" s="143" t="s">
        <v>274</v>
      </c>
      <c r="B116" s="143" t="s">
        <v>276</v>
      </c>
      <c r="C116" s="143" t="s">
        <v>95</v>
      </c>
      <c r="D116" s="143" t="s">
        <v>69</v>
      </c>
      <c r="E116" s="257">
        <v>3739000</v>
      </c>
      <c r="F116" s="257">
        <v>3739000</v>
      </c>
      <c r="G116" s="257">
        <v>3739000</v>
      </c>
      <c r="H116" s="257">
        <v>0</v>
      </c>
      <c r="I116" s="257">
        <v>2562357</v>
      </c>
      <c r="J116" s="257">
        <v>0</v>
      </c>
      <c r="K116" s="257">
        <v>1176643</v>
      </c>
      <c r="L116" s="257">
        <v>1176643</v>
      </c>
      <c r="M116" s="257">
        <v>0</v>
      </c>
      <c r="N116" s="257">
        <v>0</v>
      </c>
    </row>
    <row r="117" spans="1:14" s="143" customFormat="1" x14ac:dyDescent="0.25">
      <c r="A117" s="143" t="s">
        <v>274</v>
      </c>
      <c r="B117" s="143" t="s">
        <v>96</v>
      </c>
      <c r="C117" s="143" t="s">
        <v>97</v>
      </c>
      <c r="D117" s="143" t="s">
        <v>69</v>
      </c>
      <c r="E117" s="257">
        <v>71642000</v>
      </c>
      <c r="F117" s="257">
        <v>71642000</v>
      </c>
      <c r="G117" s="257">
        <v>71642000</v>
      </c>
      <c r="H117" s="257">
        <v>0</v>
      </c>
      <c r="I117" s="257">
        <v>49095889</v>
      </c>
      <c r="J117" s="257">
        <v>0</v>
      </c>
      <c r="K117" s="257">
        <v>22546111</v>
      </c>
      <c r="L117" s="257">
        <v>22546111</v>
      </c>
      <c r="M117" s="257">
        <v>0</v>
      </c>
      <c r="N117" s="257">
        <v>0</v>
      </c>
    </row>
    <row r="118" spans="1:14" s="143" customFormat="1" x14ac:dyDescent="0.25">
      <c r="A118" s="143" t="s">
        <v>274</v>
      </c>
      <c r="B118" s="143" t="s">
        <v>277</v>
      </c>
      <c r="C118" s="143" t="s">
        <v>99</v>
      </c>
      <c r="D118" s="143" t="s">
        <v>69</v>
      </c>
      <c r="E118" s="257">
        <v>37990000</v>
      </c>
      <c r="F118" s="257">
        <v>37990000</v>
      </c>
      <c r="G118" s="257">
        <v>37990000</v>
      </c>
      <c r="H118" s="257">
        <v>0</v>
      </c>
      <c r="I118" s="257">
        <v>26033645</v>
      </c>
      <c r="J118" s="257">
        <v>0</v>
      </c>
      <c r="K118" s="257">
        <v>11956355</v>
      </c>
      <c r="L118" s="257">
        <v>11956355</v>
      </c>
      <c r="M118" s="257">
        <v>0</v>
      </c>
      <c r="N118" s="257">
        <v>0</v>
      </c>
    </row>
    <row r="119" spans="1:14" s="143" customFormat="1" x14ac:dyDescent="0.25">
      <c r="A119" s="143" t="s">
        <v>274</v>
      </c>
      <c r="B119" s="143" t="s">
        <v>278</v>
      </c>
      <c r="C119" s="143" t="s">
        <v>101</v>
      </c>
      <c r="D119" s="143" t="s">
        <v>69</v>
      </c>
      <c r="E119" s="257">
        <v>11217000</v>
      </c>
      <c r="F119" s="257">
        <v>11217000</v>
      </c>
      <c r="G119" s="257">
        <v>11217000</v>
      </c>
      <c r="H119" s="257">
        <v>0</v>
      </c>
      <c r="I119" s="257">
        <v>7687081</v>
      </c>
      <c r="J119" s="257">
        <v>0</v>
      </c>
      <c r="K119" s="257">
        <v>3529919</v>
      </c>
      <c r="L119" s="257">
        <v>3529919</v>
      </c>
      <c r="M119" s="257">
        <v>0</v>
      </c>
      <c r="N119" s="257">
        <v>0</v>
      </c>
    </row>
    <row r="120" spans="1:14" s="143" customFormat="1" x14ac:dyDescent="0.25">
      <c r="A120" s="143" t="s">
        <v>274</v>
      </c>
      <c r="B120" s="143" t="s">
        <v>279</v>
      </c>
      <c r="C120" s="143" t="s">
        <v>103</v>
      </c>
      <c r="D120" s="143" t="s">
        <v>69</v>
      </c>
      <c r="E120" s="257">
        <v>22435000</v>
      </c>
      <c r="F120" s="257">
        <v>22435000</v>
      </c>
      <c r="G120" s="257">
        <v>22435000</v>
      </c>
      <c r="H120" s="257">
        <v>0</v>
      </c>
      <c r="I120" s="257">
        <v>15375163</v>
      </c>
      <c r="J120" s="257">
        <v>0</v>
      </c>
      <c r="K120" s="257">
        <v>7059837</v>
      </c>
      <c r="L120" s="257">
        <v>7059837</v>
      </c>
      <c r="M120" s="257">
        <v>0</v>
      </c>
      <c r="N120" s="257">
        <v>0</v>
      </c>
    </row>
    <row r="121" spans="1:14" s="143" customFormat="1" x14ac:dyDescent="0.25">
      <c r="A121" s="143" t="s">
        <v>274</v>
      </c>
      <c r="B121" s="143" t="s">
        <v>104</v>
      </c>
      <c r="C121" s="143" t="s">
        <v>105</v>
      </c>
      <c r="D121" s="143" t="s">
        <v>69</v>
      </c>
      <c r="E121" s="257">
        <v>155922650</v>
      </c>
      <c r="F121" s="257">
        <v>155922650</v>
      </c>
      <c r="G121" s="257">
        <v>73298161.849999994</v>
      </c>
      <c r="H121" s="257">
        <v>0</v>
      </c>
      <c r="I121" s="257">
        <v>41044323.469999999</v>
      </c>
      <c r="J121" s="257">
        <v>0</v>
      </c>
      <c r="K121" s="257">
        <v>28738313.039999999</v>
      </c>
      <c r="L121" s="257">
        <v>22653102.199999999</v>
      </c>
      <c r="M121" s="257">
        <v>86140013.489999995</v>
      </c>
      <c r="N121" s="257">
        <v>3515525.34</v>
      </c>
    </row>
    <row r="122" spans="1:14" s="143" customFormat="1" x14ac:dyDescent="0.25">
      <c r="A122" s="143" t="s">
        <v>274</v>
      </c>
      <c r="B122" s="143" t="s">
        <v>106</v>
      </c>
      <c r="C122" s="143" t="s">
        <v>107</v>
      </c>
      <c r="D122" s="143" t="s">
        <v>69</v>
      </c>
      <c r="E122" s="257">
        <v>78966646</v>
      </c>
      <c r="F122" s="257">
        <v>78966646</v>
      </c>
      <c r="G122" s="257">
        <v>39440909</v>
      </c>
      <c r="H122" s="257">
        <v>0</v>
      </c>
      <c r="I122" s="257">
        <v>19773936.82</v>
      </c>
      <c r="J122" s="257">
        <v>0</v>
      </c>
      <c r="K122" s="257">
        <v>19659302.16</v>
      </c>
      <c r="L122" s="257">
        <v>13895666.32</v>
      </c>
      <c r="M122" s="257">
        <v>39533407.020000003</v>
      </c>
      <c r="N122" s="257">
        <v>7670.02</v>
      </c>
    </row>
    <row r="123" spans="1:14" s="143" customFormat="1" x14ac:dyDescent="0.25">
      <c r="A123" s="143" t="s">
        <v>274</v>
      </c>
      <c r="B123" s="143" t="s">
        <v>280</v>
      </c>
      <c r="C123" s="143" t="s">
        <v>281</v>
      </c>
      <c r="D123" s="143" t="s">
        <v>69</v>
      </c>
      <c r="E123" s="257">
        <v>67899341</v>
      </c>
      <c r="F123" s="257">
        <v>67899341</v>
      </c>
      <c r="G123" s="257">
        <v>32974082</v>
      </c>
      <c r="H123" s="257">
        <v>0</v>
      </c>
      <c r="I123" s="257">
        <v>15798858.4</v>
      </c>
      <c r="J123" s="257">
        <v>0</v>
      </c>
      <c r="K123" s="257">
        <v>17175223.600000001</v>
      </c>
      <c r="L123" s="257">
        <v>11496568.68</v>
      </c>
      <c r="M123" s="257">
        <v>34925259</v>
      </c>
      <c r="N123" s="257">
        <v>0</v>
      </c>
    </row>
    <row r="124" spans="1:14" s="143" customFormat="1" x14ac:dyDescent="0.25">
      <c r="A124" s="143" t="s">
        <v>274</v>
      </c>
      <c r="B124" s="143" t="s">
        <v>108</v>
      </c>
      <c r="C124" s="143" t="s">
        <v>109</v>
      </c>
      <c r="D124" s="143" t="s">
        <v>69</v>
      </c>
      <c r="E124" s="257">
        <v>11067305</v>
      </c>
      <c r="F124" s="257">
        <v>11067305</v>
      </c>
      <c r="G124" s="257">
        <v>6466827</v>
      </c>
      <c r="H124" s="257">
        <v>0</v>
      </c>
      <c r="I124" s="257">
        <v>3975078.42</v>
      </c>
      <c r="J124" s="257">
        <v>0</v>
      </c>
      <c r="K124" s="257">
        <v>2484078.56</v>
      </c>
      <c r="L124" s="257">
        <v>2399097.64</v>
      </c>
      <c r="M124" s="257">
        <v>4608148.0199999996</v>
      </c>
      <c r="N124" s="257">
        <v>7670.02</v>
      </c>
    </row>
    <row r="125" spans="1:14" s="143" customFormat="1" x14ac:dyDescent="0.25">
      <c r="A125" s="143" t="s">
        <v>274</v>
      </c>
      <c r="B125" s="143" t="s">
        <v>112</v>
      </c>
      <c r="C125" s="143" t="s">
        <v>113</v>
      </c>
      <c r="D125" s="143" t="s">
        <v>69</v>
      </c>
      <c r="E125" s="257">
        <v>14518657</v>
      </c>
      <c r="F125" s="257">
        <v>14482767</v>
      </c>
      <c r="G125" s="257">
        <v>8423775</v>
      </c>
      <c r="H125" s="257">
        <v>0</v>
      </c>
      <c r="I125" s="257">
        <v>3826554.65</v>
      </c>
      <c r="J125" s="257">
        <v>0</v>
      </c>
      <c r="K125" s="257">
        <v>4572162.88</v>
      </c>
      <c r="L125" s="257">
        <v>4330887.88</v>
      </c>
      <c r="M125" s="257">
        <v>6084049.4699999997</v>
      </c>
      <c r="N125" s="257">
        <v>25057.47</v>
      </c>
    </row>
    <row r="126" spans="1:14" s="143" customFormat="1" x14ac:dyDescent="0.25">
      <c r="A126" s="143" t="s">
        <v>274</v>
      </c>
      <c r="B126" s="143" t="s">
        <v>114</v>
      </c>
      <c r="C126" s="143" t="s">
        <v>115</v>
      </c>
      <c r="D126" s="143" t="s">
        <v>69</v>
      </c>
      <c r="E126" s="257">
        <v>1280000</v>
      </c>
      <c r="F126" s="257">
        <v>1244110</v>
      </c>
      <c r="G126" s="257">
        <v>634110</v>
      </c>
      <c r="H126" s="257">
        <v>0</v>
      </c>
      <c r="I126" s="257">
        <v>373284</v>
      </c>
      <c r="J126" s="257">
        <v>0</v>
      </c>
      <c r="K126" s="257">
        <v>236296</v>
      </c>
      <c r="L126" s="257">
        <v>236296</v>
      </c>
      <c r="M126" s="257">
        <v>634530</v>
      </c>
      <c r="N126" s="257">
        <v>24530</v>
      </c>
    </row>
    <row r="127" spans="1:14" s="143" customFormat="1" x14ac:dyDescent="0.25">
      <c r="A127" s="143" t="s">
        <v>274</v>
      </c>
      <c r="B127" s="143" t="s">
        <v>116</v>
      </c>
      <c r="C127" s="143" t="s">
        <v>117</v>
      </c>
      <c r="D127" s="143" t="s">
        <v>69</v>
      </c>
      <c r="E127" s="257">
        <v>3685715</v>
      </c>
      <c r="F127" s="257">
        <v>3685715</v>
      </c>
      <c r="G127" s="257">
        <v>1671429</v>
      </c>
      <c r="H127" s="257">
        <v>0</v>
      </c>
      <c r="I127" s="257">
        <v>711010</v>
      </c>
      <c r="J127" s="257">
        <v>0</v>
      </c>
      <c r="K127" s="257">
        <v>960319</v>
      </c>
      <c r="L127" s="257">
        <v>719044</v>
      </c>
      <c r="M127" s="257">
        <v>2014386</v>
      </c>
      <c r="N127" s="257">
        <v>100</v>
      </c>
    </row>
    <row r="128" spans="1:14" s="143" customFormat="1" x14ac:dyDescent="0.25">
      <c r="A128" s="143" t="s">
        <v>274</v>
      </c>
      <c r="B128" s="143" t="s">
        <v>120</v>
      </c>
      <c r="C128" s="143" t="s">
        <v>121</v>
      </c>
      <c r="D128" s="143" t="s">
        <v>69</v>
      </c>
      <c r="E128" s="257">
        <v>9552942</v>
      </c>
      <c r="F128" s="257">
        <v>9552942</v>
      </c>
      <c r="G128" s="257">
        <v>6118236</v>
      </c>
      <c r="H128" s="257">
        <v>0</v>
      </c>
      <c r="I128" s="257">
        <v>2742260.65</v>
      </c>
      <c r="J128" s="257">
        <v>0</v>
      </c>
      <c r="K128" s="257">
        <v>3375547.88</v>
      </c>
      <c r="L128" s="257">
        <v>3375547.88</v>
      </c>
      <c r="M128" s="257">
        <v>3435133.47</v>
      </c>
      <c r="N128" s="257">
        <v>427.47</v>
      </c>
    </row>
    <row r="129" spans="1:14" s="143" customFormat="1" x14ac:dyDescent="0.25">
      <c r="A129" s="143" t="s">
        <v>274</v>
      </c>
      <c r="B129" s="143" t="s">
        <v>124</v>
      </c>
      <c r="C129" s="143" t="s">
        <v>125</v>
      </c>
      <c r="D129" s="143" t="s">
        <v>69</v>
      </c>
      <c r="E129" s="257">
        <v>16719000</v>
      </c>
      <c r="F129" s="257">
        <v>16619000</v>
      </c>
      <c r="G129" s="257">
        <v>3100000</v>
      </c>
      <c r="H129" s="257">
        <v>0</v>
      </c>
      <c r="I129" s="257">
        <v>2100000</v>
      </c>
      <c r="J129" s="257">
        <v>0</v>
      </c>
      <c r="K129" s="257">
        <v>0</v>
      </c>
      <c r="L129" s="257">
        <v>0</v>
      </c>
      <c r="M129" s="257">
        <v>14519000</v>
      </c>
      <c r="N129" s="257">
        <v>1000000</v>
      </c>
    </row>
    <row r="130" spans="1:14" s="143" customFormat="1" x14ac:dyDescent="0.25">
      <c r="A130" s="143" t="s">
        <v>274</v>
      </c>
      <c r="B130" s="143" t="s">
        <v>126</v>
      </c>
      <c r="C130" s="143" t="s">
        <v>127</v>
      </c>
      <c r="D130" s="143" t="s">
        <v>69</v>
      </c>
      <c r="E130" s="257">
        <v>719000</v>
      </c>
      <c r="F130" s="257">
        <v>619000</v>
      </c>
      <c r="G130" s="257">
        <v>80000</v>
      </c>
      <c r="H130" s="257">
        <v>0</v>
      </c>
      <c r="I130" s="257">
        <v>80000</v>
      </c>
      <c r="J130" s="257">
        <v>0</v>
      </c>
      <c r="K130" s="257">
        <v>0</v>
      </c>
      <c r="L130" s="257">
        <v>0</v>
      </c>
      <c r="M130" s="257">
        <v>539000</v>
      </c>
      <c r="N130" s="257">
        <v>0</v>
      </c>
    </row>
    <row r="131" spans="1:14" s="143" customFormat="1" x14ac:dyDescent="0.25">
      <c r="A131" s="143" t="s">
        <v>274</v>
      </c>
      <c r="B131" s="143" t="s">
        <v>128</v>
      </c>
      <c r="C131" s="143" t="s">
        <v>129</v>
      </c>
      <c r="D131" s="143" t="s">
        <v>69</v>
      </c>
      <c r="E131" s="257">
        <v>16000000</v>
      </c>
      <c r="F131" s="257">
        <v>16000000</v>
      </c>
      <c r="G131" s="257">
        <v>3020000</v>
      </c>
      <c r="H131" s="257">
        <v>0</v>
      </c>
      <c r="I131" s="257">
        <v>2020000</v>
      </c>
      <c r="J131" s="257">
        <v>0</v>
      </c>
      <c r="K131" s="257">
        <v>0</v>
      </c>
      <c r="L131" s="257">
        <v>0</v>
      </c>
      <c r="M131" s="257">
        <v>13980000</v>
      </c>
      <c r="N131" s="257">
        <v>1000000</v>
      </c>
    </row>
    <row r="132" spans="1:14" s="143" customFormat="1" x14ac:dyDescent="0.25">
      <c r="A132" s="143" t="s">
        <v>274</v>
      </c>
      <c r="B132" s="143" t="s">
        <v>134</v>
      </c>
      <c r="C132" s="143" t="s">
        <v>135</v>
      </c>
      <c r="D132" s="143" t="s">
        <v>69</v>
      </c>
      <c r="E132" s="257">
        <v>2200000</v>
      </c>
      <c r="F132" s="257">
        <v>2200000</v>
      </c>
      <c r="G132" s="257">
        <v>1417240</v>
      </c>
      <c r="H132" s="257">
        <v>0</v>
      </c>
      <c r="I132" s="257">
        <v>299900</v>
      </c>
      <c r="J132" s="257">
        <v>0</v>
      </c>
      <c r="K132" s="257">
        <v>1117240</v>
      </c>
      <c r="L132" s="257">
        <v>1117240</v>
      </c>
      <c r="M132" s="257">
        <v>782860</v>
      </c>
      <c r="N132" s="257">
        <v>100</v>
      </c>
    </row>
    <row r="133" spans="1:14" s="143" customFormat="1" x14ac:dyDescent="0.25">
      <c r="A133" s="143" t="s">
        <v>274</v>
      </c>
      <c r="B133" s="143" t="s">
        <v>136</v>
      </c>
      <c r="C133" s="143" t="s">
        <v>137</v>
      </c>
      <c r="D133" s="143" t="s">
        <v>69</v>
      </c>
      <c r="E133" s="257">
        <v>1200000</v>
      </c>
      <c r="F133" s="257">
        <v>1200000</v>
      </c>
      <c r="G133" s="257">
        <v>1017240</v>
      </c>
      <c r="H133" s="257">
        <v>0</v>
      </c>
      <c r="I133" s="257">
        <v>0</v>
      </c>
      <c r="J133" s="257">
        <v>0</v>
      </c>
      <c r="K133" s="257">
        <v>1017240</v>
      </c>
      <c r="L133" s="257">
        <v>1017240</v>
      </c>
      <c r="M133" s="257">
        <v>182760</v>
      </c>
      <c r="N133" s="257">
        <v>0</v>
      </c>
    </row>
    <row r="134" spans="1:14" s="143" customFormat="1" x14ac:dyDescent="0.25">
      <c r="A134" s="143" t="s">
        <v>274</v>
      </c>
      <c r="B134" s="143" t="s">
        <v>138</v>
      </c>
      <c r="C134" s="143" t="s">
        <v>139</v>
      </c>
      <c r="D134" s="143" t="s">
        <v>69</v>
      </c>
      <c r="E134" s="257">
        <v>1000000</v>
      </c>
      <c r="F134" s="257">
        <v>1000000</v>
      </c>
      <c r="G134" s="257">
        <v>400000</v>
      </c>
      <c r="H134" s="257">
        <v>0</v>
      </c>
      <c r="I134" s="257">
        <v>299900</v>
      </c>
      <c r="J134" s="257">
        <v>0</v>
      </c>
      <c r="K134" s="257">
        <v>100000</v>
      </c>
      <c r="L134" s="257">
        <v>100000</v>
      </c>
      <c r="M134" s="257">
        <v>600100</v>
      </c>
      <c r="N134" s="257">
        <v>100</v>
      </c>
    </row>
    <row r="135" spans="1:14" s="143" customFormat="1" x14ac:dyDescent="0.25">
      <c r="A135" s="143" t="s">
        <v>274</v>
      </c>
      <c r="B135" s="143" t="s">
        <v>140</v>
      </c>
      <c r="C135" s="143" t="s">
        <v>141</v>
      </c>
      <c r="D135" s="143" t="s">
        <v>69</v>
      </c>
      <c r="E135" s="257">
        <v>6813730</v>
      </c>
      <c r="F135" s="257">
        <v>7898620</v>
      </c>
      <c r="G135" s="257">
        <v>6775823</v>
      </c>
      <c r="H135" s="257">
        <v>0</v>
      </c>
      <c r="I135" s="257">
        <v>3782180</v>
      </c>
      <c r="J135" s="257">
        <v>0</v>
      </c>
      <c r="K135" s="257">
        <v>1942860</v>
      </c>
      <c r="L135" s="257">
        <v>1899760</v>
      </c>
      <c r="M135" s="257">
        <v>2173580</v>
      </c>
      <c r="N135" s="257">
        <v>1050783</v>
      </c>
    </row>
    <row r="136" spans="1:14" s="143" customFormat="1" x14ac:dyDescent="0.25">
      <c r="A136" s="143" t="s">
        <v>274</v>
      </c>
      <c r="B136" s="143" t="s">
        <v>142</v>
      </c>
      <c r="C136" s="143" t="s">
        <v>143</v>
      </c>
      <c r="D136" s="143" t="s">
        <v>69</v>
      </c>
      <c r="E136" s="257">
        <v>250000</v>
      </c>
      <c r="F136" s="257">
        <v>484890</v>
      </c>
      <c r="G136" s="257">
        <v>484890</v>
      </c>
      <c r="H136" s="257">
        <v>0</v>
      </c>
      <c r="I136" s="257">
        <v>254880</v>
      </c>
      <c r="J136" s="257">
        <v>0</v>
      </c>
      <c r="K136" s="257">
        <v>31010</v>
      </c>
      <c r="L136" s="257">
        <v>31010</v>
      </c>
      <c r="M136" s="257">
        <v>199000</v>
      </c>
      <c r="N136" s="257">
        <v>199000</v>
      </c>
    </row>
    <row r="137" spans="1:14" s="143" customFormat="1" x14ac:dyDescent="0.25">
      <c r="A137" s="143" t="s">
        <v>274</v>
      </c>
      <c r="B137" s="143" t="s">
        <v>144</v>
      </c>
      <c r="C137" s="143" t="s">
        <v>145</v>
      </c>
      <c r="D137" s="143" t="s">
        <v>69</v>
      </c>
      <c r="E137" s="257">
        <v>6563730</v>
      </c>
      <c r="F137" s="257">
        <v>7413730</v>
      </c>
      <c r="G137" s="257">
        <v>6290933</v>
      </c>
      <c r="H137" s="257">
        <v>0</v>
      </c>
      <c r="I137" s="257">
        <v>3527300</v>
      </c>
      <c r="J137" s="257">
        <v>0</v>
      </c>
      <c r="K137" s="257">
        <v>1911850</v>
      </c>
      <c r="L137" s="257">
        <v>1868750</v>
      </c>
      <c r="M137" s="257">
        <v>1974580</v>
      </c>
      <c r="N137" s="257">
        <v>851783</v>
      </c>
    </row>
    <row r="138" spans="1:14" s="143" customFormat="1" x14ac:dyDescent="0.25">
      <c r="A138" s="143" t="s">
        <v>274</v>
      </c>
      <c r="B138" s="143" t="s">
        <v>150</v>
      </c>
      <c r="C138" s="143" t="s">
        <v>151</v>
      </c>
      <c r="D138" s="143" t="s">
        <v>69</v>
      </c>
      <c r="E138" s="257">
        <v>4277392</v>
      </c>
      <c r="F138" s="257">
        <v>4277392</v>
      </c>
      <c r="G138" s="257">
        <v>1999348</v>
      </c>
      <c r="H138" s="257">
        <v>0</v>
      </c>
      <c r="I138" s="257">
        <v>1100452</v>
      </c>
      <c r="J138" s="257">
        <v>0</v>
      </c>
      <c r="K138" s="257">
        <v>889548</v>
      </c>
      <c r="L138" s="257">
        <v>889548</v>
      </c>
      <c r="M138" s="257">
        <v>2287392</v>
      </c>
      <c r="N138" s="257">
        <v>9348</v>
      </c>
    </row>
    <row r="139" spans="1:14" s="143" customFormat="1" x14ac:dyDescent="0.25">
      <c r="A139" s="143" t="s">
        <v>274</v>
      </c>
      <c r="B139" s="143" t="s">
        <v>152</v>
      </c>
      <c r="C139" s="143" t="s">
        <v>153</v>
      </c>
      <c r="D139" s="143" t="s">
        <v>69</v>
      </c>
      <c r="E139" s="257">
        <v>4277392</v>
      </c>
      <c r="F139" s="257">
        <v>4277392</v>
      </c>
      <c r="G139" s="257">
        <v>1999348</v>
      </c>
      <c r="H139" s="257">
        <v>0</v>
      </c>
      <c r="I139" s="257">
        <v>1100452</v>
      </c>
      <c r="J139" s="257">
        <v>0</v>
      </c>
      <c r="K139" s="257">
        <v>889548</v>
      </c>
      <c r="L139" s="257">
        <v>889548</v>
      </c>
      <c r="M139" s="257">
        <v>2287392</v>
      </c>
      <c r="N139" s="257">
        <v>9348</v>
      </c>
    </row>
    <row r="140" spans="1:14" s="143" customFormat="1" x14ac:dyDescent="0.25">
      <c r="A140" s="143" t="s">
        <v>274</v>
      </c>
      <c r="B140" s="143" t="s">
        <v>154</v>
      </c>
      <c r="C140" s="143" t="s">
        <v>155</v>
      </c>
      <c r="D140" s="143" t="s">
        <v>69</v>
      </c>
      <c r="E140" s="257">
        <v>12267225</v>
      </c>
      <c r="F140" s="257">
        <v>12667225</v>
      </c>
      <c r="G140" s="257">
        <v>6906807</v>
      </c>
      <c r="H140" s="257">
        <v>0</v>
      </c>
      <c r="I140" s="257">
        <v>4937800</v>
      </c>
      <c r="J140" s="257">
        <v>0</v>
      </c>
      <c r="K140" s="257">
        <v>557200</v>
      </c>
      <c r="L140" s="257">
        <v>520000</v>
      </c>
      <c r="M140" s="257">
        <v>7172225</v>
      </c>
      <c r="N140" s="257">
        <v>1411807</v>
      </c>
    </row>
    <row r="141" spans="1:14" s="143" customFormat="1" x14ac:dyDescent="0.25">
      <c r="A141" s="143" t="s">
        <v>274</v>
      </c>
      <c r="B141" s="143" t="s">
        <v>156</v>
      </c>
      <c r="C141" s="143" t="s">
        <v>157</v>
      </c>
      <c r="D141" s="143" t="s">
        <v>69</v>
      </c>
      <c r="E141" s="257">
        <v>12267225</v>
      </c>
      <c r="F141" s="257">
        <v>12667225</v>
      </c>
      <c r="G141" s="257">
        <v>6906807</v>
      </c>
      <c r="H141" s="257">
        <v>0</v>
      </c>
      <c r="I141" s="257">
        <v>4937800</v>
      </c>
      <c r="J141" s="257">
        <v>0</v>
      </c>
      <c r="K141" s="257">
        <v>557200</v>
      </c>
      <c r="L141" s="257">
        <v>520000</v>
      </c>
      <c r="M141" s="257">
        <v>7172225</v>
      </c>
      <c r="N141" s="257">
        <v>1411807</v>
      </c>
    </row>
    <row r="142" spans="1:14" s="143" customFormat="1" x14ac:dyDescent="0.25">
      <c r="A142" s="143" t="s">
        <v>274</v>
      </c>
      <c r="B142" s="143" t="s">
        <v>162</v>
      </c>
      <c r="C142" s="143" t="s">
        <v>163</v>
      </c>
      <c r="D142" s="143" t="s">
        <v>69</v>
      </c>
      <c r="E142" s="257">
        <v>17894000</v>
      </c>
      <c r="F142" s="257">
        <v>17012000</v>
      </c>
      <c r="G142" s="257">
        <v>5174260</v>
      </c>
      <c r="H142" s="257">
        <v>0</v>
      </c>
      <c r="I142" s="257">
        <v>5173500</v>
      </c>
      <c r="J142" s="257">
        <v>0</v>
      </c>
      <c r="K142" s="257">
        <v>0</v>
      </c>
      <c r="L142" s="257">
        <v>0</v>
      </c>
      <c r="M142" s="257">
        <v>11838500</v>
      </c>
      <c r="N142" s="257">
        <v>760</v>
      </c>
    </row>
    <row r="143" spans="1:14" s="143" customFormat="1" x14ac:dyDescent="0.25">
      <c r="A143" s="143" t="s">
        <v>274</v>
      </c>
      <c r="B143" s="143" t="s">
        <v>166</v>
      </c>
      <c r="C143" s="143" t="s">
        <v>167</v>
      </c>
      <c r="D143" s="143" t="s">
        <v>69</v>
      </c>
      <c r="E143" s="257">
        <v>7000000</v>
      </c>
      <c r="F143" s="257">
        <v>7000000</v>
      </c>
      <c r="G143" s="257">
        <v>2550000</v>
      </c>
      <c r="H143" s="257">
        <v>0</v>
      </c>
      <c r="I143" s="257">
        <v>2550000</v>
      </c>
      <c r="J143" s="257">
        <v>0</v>
      </c>
      <c r="K143" s="257">
        <v>0</v>
      </c>
      <c r="L143" s="257">
        <v>0</v>
      </c>
      <c r="M143" s="257">
        <v>4450000</v>
      </c>
      <c r="N143" s="257">
        <v>0</v>
      </c>
    </row>
    <row r="144" spans="1:14" s="143" customFormat="1" x14ac:dyDescent="0.25">
      <c r="A144" s="143" t="s">
        <v>274</v>
      </c>
      <c r="B144" s="143" t="s">
        <v>168</v>
      </c>
      <c r="C144" s="143" t="s">
        <v>169</v>
      </c>
      <c r="D144" s="143" t="s">
        <v>69</v>
      </c>
      <c r="E144" s="257">
        <v>3000000</v>
      </c>
      <c r="F144" s="257">
        <v>2968000</v>
      </c>
      <c r="G144" s="257">
        <v>760</v>
      </c>
      <c r="H144" s="257">
        <v>0</v>
      </c>
      <c r="I144" s="257">
        <v>0</v>
      </c>
      <c r="J144" s="257">
        <v>0</v>
      </c>
      <c r="K144" s="257">
        <v>0</v>
      </c>
      <c r="L144" s="257">
        <v>0</v>
      </c>
      <c r="M144" s="257">
        <v>2968000</v>
      </c>
      <c r="N144" s="257">
        <v>760</v>
      </c>
    </row>
    <row r="145" spans="1:14" s="143" customFormat="1" x14ac:dyDescent="0.25">
      <c r="A145" s="143" t="s">
        <v>274</v>
      </c>
      <c r="B145" s="143" t="s">
        <v>170</v>
      </c>
      <c r="C145" s="143" t="s">
        <v>171</v>
      </c>
      <c r="D145" s="143" t="s">
        <v>69</v>
      </c>
      <c r="E145" s="257">
        <v>4494000</v>
      </c>
      <c r="F145" s="257">
        <v>4494000</v>
      </c>
      <c r="G145" s="257">
        <v>2623500</v>
      </c>
      <c r="H145" s="257">
        <v>0</v>
      </c>
      <c r="I145" s="257">
        <v>2623500</v>
      </c>
      <c r="J145" s="257">
        <v>0</v>
      </c>
      <c r="K145" s="257">
        <v>0</v>
      </c>
      <c r="L145" s="257">
        <v>0</v>
      </c>
      <c r="M145" s="257">
        <v>1870500</v>
      </c>
      <c r="N145" s="257">
        <v>0</v>
      </c>
    </row>
    <row r="146" spans="1:14" s="143" customFormat="1" x14ac:dyDescent="0.25">
      <c r="A146" s="143" t="s">
        <v>274</v>
      </c>
      <c r="B146" s="143" t="s">
        <v>172</v>
      </c>
      <c r="C146" s="143" t="s">
        <v>173</v>
      </c>
      <c r="D146" s="143" t="s">
        <v>69</v>
      </c>
      <c r="E146" s="257">
        <v>3400000</v>
      </c>
      <c r="F146" s="257">
        <v>2550000</v>
      </c>
      <c r="G146" s="257">
        <v>0</v>
      </c>
      <c r="H146" s="257">
        <v>0</v>
      </c>
      <c r="I146" s="257">
        <v>0</v>
      </c>
      <c r="J146" s="257">
        <v>0</v>
      </c>
      <c r="K146" s="257">
        <v>0</v>
      </c>
      <c r="L146" s="257">
        <v>0</v>
      </c>
      <c r="M146" s="257">
        <v>2550000</v>
      </c>
      <c r="N146" s="257">
        <v>0</v>
      </c>
    </row>
    <row r="147" spans="1:14" s="143" customFormat="1" x14ac:dyDescent="0.25">
      <c r="A147" s="143" t="s">
        <v>274</v>
      </c>
      <c r="B147" s="143" t="s">
        <v>174</v>
      </c>
      <c r="C147" s="143" t="s">
        <v>175</v>
      </c>
      <c r="D147" s="143" t="s">
        <v>69</v>
      </c>
      <c r="E147" s="257">
        <v>466000</v>
      </c>
      <c r="F147" s="257">
        <v>399000</v>
      </c>
      <c r="G147" s="257">
        <v>50000</v>
      </c>
      <c r="H147" s="257">
        <v>0</v>
      </c>
      <c r="I147" s="257">
        <v>50000</v>
      </c>
      <c r="J147" s="257">
        <v>0</v>
      </c>
      <c r="K147" s="257">
        <v>0</v>
      </c>
      <c r="L147" s="257">
        <v>0</v>
      </c>
      <c r="M147" s="257">
        <v>349000</v>
      </c>
      <c r="N147" s="257">
        <v>0</v>
      </c>
    </row>
    <row r="148" spans="1:14" s="143" customFormat="1" x14ac:dyDescent="0.25">
      <c r="A148" s="143" t="s">
        <v>274</v>
      </c>
      <c r="B148" s="143" t="s">
        <v>176</v>
      </c>
      <c r="C148" s="143" t="s">
        <v>177</v>
      </c>
      <c r="D148" s="143" t="s">
        <v>69</v>
      </c>
      <c r="E148" s="257">
        <v>466000</v>
      </c>
      <c r="F148" s="257">
        <v>399000</v>
      </c>
      <c r="G148" s="257">
        <v>50000</v>
      </c>
      <c r="H148" s="257">
        <v>0</v>
      </c>
      <c r="I148" s="257">
        <v>50000</v>
      </c>
      <c r="J148" s="257">
        <v>0</v>
      </c>
      <c r="K148" s="257">
        <v>0</v>
      </c>
      <c r="L148" s="257">
        <v>0</v>
      </c>
      <c r="M148" s="257">
        <v>349000</v>
      </c>
      <c r="N148" s="257">
        <v>0</v>
      </c>
    </row>
    <row r="149" spans="1:14" s="143" customFormat="1" x14ac:dyDescent="0.25">
      <c r="A149" s="143" t="s">
        <v>274</v>
      </c>
      <c r="B149" s="143" t="s">
        <v>178</v>
      </c>
      <c r="C149" s="143" t="s">
        <v>179</v>
      </c>
      <c r="D149" s="143" t="s">
        <v>69</v>
      </c>
      <c r="E149" s="257">
        <v>1800000</v>
      </c>
      <c r="F149" s="257">
        <v>1400000</v>
      </c>
      <c r="G149" s="257">
        <v>9999.85</v>
      </c>
      <c r="H149" s="257">
        <v>0</v>
      </c>
      <c r="I149" s="257">
        <v>0</v>
      </c>
      <c r="J149" s="257">
        <v>0</v>
      </c>
      <c r="K149" s="257">
        <v>0</v>
      </c>
      <c r="L149" s="257">
        <v>0</v>
      </c>
      <c r="M149" s="257">
        <v>1400000</v>
      </c>
      <c r="N149" s="257">
        <v>9999.85</v>
      </c>
    </row>
    <row r="150" spans="1:14" s="143" customFormat="1" x14ac:dyDescent="0.25">
      <c r="A150" s="143" t="s">
        <v>274</v>
      </c>
      <c r="B150" s="143" t="s">
        <v>182</v>
      </c>
      <c r="C150" s="143" t="s">
        <v>183</v>
      </c>
      <c r="D150" s="143" t="s">
        <v>69</v>
      </c>
      <c r="E150" s="257">
        <v>1800000</v>
      </c>
      <c r="F150" s="257">
        <v>1400000</v>
      </c>
      <c r="G150" s="257">
        <v>9999.85</v>
      </c>
      <c r="H150" s="257">
        <v>0</v>
      </c>
      <c r="I150" s="257">
        <v>0</v>
      </c>
      <c r="J150" s="257">
        <v>0</v>
      </c>
      <c r="K150" s="257">
        <v>0</v>
      </c>
      <c r="L150" s="257">
        <v>0</v>
      </c>
      <c r="M150" s="257">
        <v>1400000</v>
      </c>
      <c r="N150" s="257">
        <v>9999.85</v>
      </c>
    </row>
    <row r="151" spans="1:14" s="143" customFormat="1" x14ac:dyDescent="0.25">
      <c r="A151" s="143" t="s">
        <v>274</v>
      </c>
      <c r="B151" s="143" t="s">
        <v>184</v>
      </c>
      <c r="C151" s="143" t="s">
        <v>185</v>
      </c>
      <c r="D151" s="143" t="s">
        <v>69</v>
      </c>
      <c r="E151" s="257">
        <v>57954839</v>
      </c>
      <c r="F151" s="257">
        <v>57954839</v>
      </c>
      <c r="G151" s="257">
        <v>22232582</v>
      </c>
      <c r="H151" s="257">
        <v>762142.48</v>
      </c>
      <c r="I151" s="257">
        <v>7478714.25</v>
      </c>
      <c r="J151" s="257">
        <v>831845.77</v>
      </c>
      <c r="K151" s="257">
        <v>3854913.83</v>
      </c>
      <c r="L151" s="257">
        <v>3854913.83</v>
      </c>
      <c r="M151" s="257">
        <v>45027222.670000002</v>
      </c>
      <c r="N151" s="257">
        <v>9304965.6699999999</v>
      </c>
    </row>
    <row r="152" spans="1:14" s="143" customFormat="1" x14ac:dyDescent="0.25">
      <c r="A152" s="143" t="s">
        <v>274</v>
      </c>
      <c r="B152" s="143" t="s">
        <v>186</v>
      </c>
      <c r="C152" s="143" t="s">
        <v>187</v>
      </c>
      <c r="D152" s="143" t="s">
        <v>69</v>
      </c>
      <c r="E152" s="257">
        <v>17854839</v>
      </c>
      <c r="F152" s="257">
        <v>17803839</v>
      </c>
      <c r="G152" s="257">
        <v>6178710</v>
      </c>
      <c r="H152" s="257">
        <v>0</v>
      </c>
      <c r="I152" s="257">
        <v>2946400</v>
      </c>
      <c r="J152" s="257">
        <v>0</v>
      </c>
      <c r="K152" s="257">
        <v>834415</v>
      </c>
      <c r="L152" s="257">
        <v>834415</v>
      </c>
      <c r="M152" s="257">
        <v>14023024</v>
      </c>
      <c r="N152" s="257">
        <v>2397895</v>
      </c>
    </row>
    <row r="153" spans="1:14" s="143" customFormat="1" x14ac:dyDescent="0.25">
      <c r="A153" s="143" t="s">
        <v>274</v>
      </c>
      <c r="B153" s="143" t="s">
        <v>188</v>
      </c>
      <c r="C153" s="143" t="s">
        <v>189</v>
      </c>
      <c r="D153" s="143" t="s">
        <v>69</v>
      </c>
      <c r="E153" s="257">
        <v>9354839</v>
      </c>
      <c r="F153" s="257">
        <v>9354839</v>
      </c>
      <c r="G153" s="257">
        <v>3053710</v>
      </c>
      <c r="H153" s="257">
        <v>0</v>
      </c>
      <c r="I153" s="257">
        <v>1444790</v>
      </c>
      <c r="J153" s="257">
        <v>0</v>
      </c>
      <c r="K153" s="257">
        <v>834415</v>
      </c>
      <c r="L153" s="257">
        <v>834415</v>
      </c>
      <c r="M153" s="257">
        <v>7075634</v>
      </c>
      <c r="N153" s="257">
        <v>774505</v>
      </c>
    </row>
    <row r="154" spans="1:14" s="143" customFormat="1" x14ac:dyDescent="0.25">
      <c r="A154" s="143" t="s">
        <v>274</v>
      </c>
      <c r="B154" s="143" t="s">
        <v>192</v>
      </c>
      <c r="C154" s="143" t="s">
        <v>193</v>
      </c>
      <c r="D154" s="143" t="s">
        <v>69</v>
      </c>
      <c r="E154" s="257">
        <v>8500000</v>
      </c>
      <c r="F154" s="257">
        <v>8449000</v>
      </c>
      <c r="G154" s="257">
        <v>3125000</v>
      </c>
      <c r="H154" s="257">
        <v>0</v>
      </c>
      <c r="I154" s="257">
        <v>1501610</v>
      </c>
      <c r="J154" s="257">
        <v>0</v>
      </c>
      <c r="K154" s="257">
        <v>0</v>
      </c>
      <c r="L154" s="257">
        <v>0</v>
      </c>
      <c r="M154" s="257">
        <v>6947390</v>
      </c>
      <c r="N154" s="257">
        <v>1623390</v>
      </c>
    </row>
    <row r="155" spans="1:14" s="143" customFormat="1" x14ac:dyDescent="0.25">
      <c r="A155" s="143" t="s">
        <v>274</v>
      </c>
      <c r="B155" s="143" t="s">
        <v>196</v>
      </c>
      <c r="C155" s="143" t="s">
        <v>197</v>
      </c>
      <c r="D155" s="143" t="s">
        <v>69</v>
      </c>
      <c r="E155" s="257">
        <v>2460000</v>
      </c>
      <c r="F155" s="257">
        <v>4211000</v>
      </c>
      <c r="G155" s="257">
        <v>3581000</v>
      </c>
      <c r="H155" s="257">
        <v>0</v>
      </c>
      <c r="I155" s="257">
        <v>578218.69999999995</v>
      </c>
      <c r="J155" s="257">
        <v>0</v>
      </c>
      <c r="K155" s="257">
        <v>353217</v>
      </c>
      <c r="L155" s="257">
        <v>353217</v>
      </c>
      <c r="M155" s="257">
        <v>3279564.3</v>
      </c>
      <c r="N155" s="257">
        <v>2649564.2999999998</v>
      </c>
    </row>
    <row r="156" spans="1:14" s="143" customFormat="1" x14ac:dyDescent="0.25">
      <c r="A156" s="143" t="s">
        <v>274</v>
      </c>
      <c r="B156" s="143" t="s">
        <v>198</v>
      </c>
      <c r="C156" s="143" t="s">
        <v>199</v>
      </c>
      <c r="D156" s="143" t="s">
        <v>69</v>
      </c>
      <c r="E156" s="257">
        <v>2460000</v>
      </c>
      <c r="F156" s="257">
        <v>4211000</v>
      </c>
      <c r="G156" s="257">
        <v>3581000</v>
      </c>
      <c r="H156" s="257">
        <v>0</v>
      </c>
      <c r="I156" s="257">
        <v>578218.69999999995</v>
      </c>
      <c r="J156" s="257">
        <v>0</v>
      </c>
      <c r="K156" s="257">
        <v>353217</v>
      </c>
      <c r="L156" s="257">
        <v>353217</v>
      </c>
      <c r="M156" s="257">
        <v>3279564.3</v>
      </c>
      <c r="N156" s="257">
        <v>2649564.2999999998</v>
      </c>
    </row>
    <row r="157" spans="1:14" s="143" customFormat="1" x14ac:dyDescent="0.25">
      <c r="A157" s="143" t="s">
        <v>274</v>
      </c>
      <c r="B157" s="143" t="s">
        <v>200</v>
      </c>
      <c r="C157" s="143" t="s">
        <v>201</v>
      </c>
      <c r="D157" s="143" t="s">
        <v>69</v>
      </c>
      <c r="E157" s="257">
        <v>2000000</v>
      </c>
      <c r="F157" s="257">
        <v>1950000</v>
      </c>
      <c r="G157" s="257">
        <v>802000</v>
      </c>
      <c r="H157" s="257">
        <v>0</v>
      </c>
      <c r="I157" s="257">
        <v>374132.35</v>
      </c>
      <c r="J157" s="257">
        <v>0</v>
      </c>
      <c r="K157" s="257">
        <v>373368.18</v>
      </c>
      <c r="L157" s="257">
        <v>373368.18</v>
      </c>
      <c r="M157" s="257">
        <v>1202499.47</v>
      </c>
      <c r="N157" s="257">
        <v>54499.47</v>
      </c>
    </row>
    <row r="158" spans="1:14" s="143" customFormat="1" x14ac:dyDescent="0.25">
      <c r="A158" s="143" t="s">
        <v>274</v>
      </c>
      <c r="B158" s="143" t="s">
        <v>202</v>
      </c>
      <c r="C158" s="143" t="s">
        <v>203</v>
      </c>
      <c r="D158" s="143" t="s">
        <v>69</v>
      </c>
      <c r="E158" s="257">
        <v>2000000</v>
      </c>
      <c r="F158" s="257">
        <v>1950000</v>
      </c>
      <c r="G158" s="257">
        <v>802000</v>
      </c>
      <c r="H158" s="257">
        <v>0</v>
      </c>
      <c r="I158" s="257">
        <v>374132.35</v>
      </c>
      <c r="J158" s="257">
        <v>0</v>
      </c>
      <c r="K158" s="257">
        <v>373368.18</v>
      </c>
      <c r="L158" s="257">
        <v>373368.18</v>
      </c>
      <c r="M158" s="257">
        <v>1202499.47</v>
      </c>
      <c r="N158" s="257">
        <v>54499.47</v>
      </c>
    </row>
    <row r="159" spans="1:14" s="143" customFormat="1" x14ac:dyDescent="0.25">
      <c r="A159" s="143" t="s">
        <v>274</v>
      </c>
      <c r="B159" s="143" t="s">
        <v>206</v>
      </c>
      <c r="C159" s="143" t="s">
        <v>207</v>
      </c>
      <c r="D159" s="143" t="s">
        <v>69</v>
      </c>
      <c r="E159" s="257">
        <v>6710000</v>
      </c>
      <c r="F159" s="257">
        <v>5060000</v>
      </c>
      <c r="G159" s="257">
        <v>406500</v>
      </c>
      <c r="H159" s="257">
        <v>0</v>
      </c>
      <c r="I159" s="257">
        <v>0</v>
      </c>
      <c r="J159" s="257">
        <v>0</v>
      </c>
      <c r="K159" s="257">
        <v>0</v>
      </c>
      <c r="L159" s="257">
        <v>0</v>
      </c>
      <c r="M159" s="257">
        <v>5060000</v>
      </c>
      <c r="N159" s="257">
        <v>406500</v>
      </c>
    </row>
    <row r="160" spans="1:14" s="143" customFormat="1" x14ac:dyDescent="0.25">
      <c r="A160" s="143" t="s">
        <v>274</v>
      </c>
      <c r="B160" s="143" t="s">
        <v>208</v>
      </c>
      <c r="C160" s="143" t="s">
        <v>209</v>
      </c>
      <c r="D160" s="143" t="s">
        <v>69</v>
      </c>
      <c r="E160" s="257">
        <v>3710000</v>
      </c>
      <c r="F160" s="257">
        <v>2810000</v>
      </c>
      <c r="G160" s="257">
        <v>206500</v>
      </c>
      <c r="H160" s="257">
        <v>0</v>
      </c>
      <c r="I160" s="257">
        <v>0</v>
      </c>
      <c r="J160" s="257">
        <v>0</v>
      </c>
      <c r="K160" s="257">
        <v>0</v>
      </c>
      <c r="L160" s="257">
        <v>0</v>
      </c>
      <c r="M160" s="257">
        <v>2810000</v>
      </c>
      <c r="N160" s="257">
        <v>206500</v>
      </c>
    </row>
    <row r="161" spans="1:14" s="143" customFormat="1" x14ac:dyDescent="0.25">
      <c r="A161" s="143" t="s">
        <v>274</v>
      </c>
      <c r="B161" s="143" t="s">
        <v>210</v>
      </c>
      <c r="C161" s="143" t="s">
        <v>211</v>
      </c>
      <c r="D161" s="143" t="s">
        <v>69</v>
      </c>
      <c r="E161" s="257">
        <v>3000000</v>
      </c>
      <c r="F161" s="257">
        <v>2250000</v>
      </c>
      <c r="G161" s="257">
        <v>200000</v>
      </c>
      <c r="H161" s="257">
        <v>0</v>
      </c>
      <c r="I161" s="257">
        <v>0</v>
      </c>
      <c r="J161" s="257">
        <v>0</v>
      </c>
      <c r="K161" s="257">
        <v>0</v>
      </c>
      <c r="L161" s="257">
        <v>0</v>
      </c>
      <c r="M161" s="257">
        <v>2250000</v>
      </c>
      <c r="N161" s="257">
        <v>200000</v>
      </c>
    </row>
    <row r="162" spans="1:14" s="143" customFormat="1" x14ac:dyDescent="0.25">
      <c r="A162" s="143" t="s">
        <v>274</v>
      </c>
      <c r="B162" s="143" t="s">
        <v>212</v>
      </c>
      <c r="C162" s="143" t="s">
        <v>213</v>
      </c>
      <c r="D162" s="143" t="s">
        <v>69</v>
      </c>
      <c r="E162" s="257">
        <v>28930000</v>
      </c>
      <c r="F162" s="257">
        <v>28930000</v>
      </c>
      <c r="G162" s="257">
        <v>11264372</v>
      </c>
      <c r="H162" s="257">
        <v>762142.48</v>
      </c>
      <c r="I162" s="257">
        <v>3579963.2</v>
      </c>
      <c r="J162" s="257">
        <v>831845.77</v>
      </c>
      <c r="K162" s="257">
        <v>2293913.65</v>
      </c>
      <c r="L162" s="257">
        <v>2293913.65</v>
      </c>
      <c r="M162" s="257">
        <v>21462134.899999999</v>
      </c>
      <c r="N162" s="257">
        <v>3796506.9</v>
      </c>
    </row>
    <row r="163" spans="1:14" s="143" customFormat="1" x14ac:dyDescent="0.25">
      <c r="A163" s="143" t="s">
        <v>274</v>
      </c>
      <c r="B163" s="143" t="s">
        <v>214</v>
      </c>
      <c r="C163" s="143" t="s">
        <v>215</v>
      </c>
      <c r="D163" s="143" t="s">
        <v>69</v>
      </c>
      <c r="E163" s="257">
        <v>8000000</v>
      </c>
      <c r="F163" s="257">
        <v>8000000</v>
      </c>
      <c r="G163" s="257">
        <v>3300000</v>
      </c>
      <c r="H163" s="257">
        <v>406142.48</v>
      </c>
      <c r="I163" s="257">
        <v>0</v>
      </c>
      <c r="J163" s="257">
        <v>831845.77</v>
      </c>
      <c r="K163" s="257">
        <v>759565</v>
      </c>
      <c r="L163" s="257">
        <v>759565</v>
      </c>
      <c r="M163" s="257">
        <v>6002446.75</v>
      </c>
      <c r="N163" s="257">
        <v>1302446.75</v>
      </c>
    </row>
    <row r="164" spans="1:14" s="143" customFormat="1" x14ac:dyDescent="0.25">
      <c r="A164" s="143" t="s">
        <v>274</v>
      </c>
      <c r="B164" s="143" t="s">
        <v>218</v>
      </c>
      <c r="C164" s="143" t="s">
        <v>219</v>
      </c>
      <c r="D164" s="143" t="s">
        <v>69</v>
      </c>
      <c r="E164" s="257">
        <v>8000000</v>
      </c>
      <c r="F164" s="257">
        <v>8000000</v>
      </c>
      <c r="G164" s="257">
        <v>3000000</v>
      </c>
      <c r="H164" s="257">
        <v>140000</v>
      </c>
      <c r="I164" s="257">
        <v>620070</v>
      </c>
      <c r="J164" s="257">
        <v>0</v>
      </c>
      <c r="K164" s="257">
        <v>1534348.65</v>
      </c>
      <c r="L164" s="257">
        <v>1534348.65</v>
      </c>
      <c r="M164" s="257">
        <v>5705581.3499999996</v>
      </c>
      <c r="N164" s="257">
        <v>705581.35</v>
      </c>
    </row>
    <row r="165" spans="1:14" s="143" customFormat="1" x14ac:dyDescent="0.25">
      <c r="A165" s="143" t="s">
        <v>274</v>
      </c>
      <c r="B165" s="143" t="s">
        <v>222</v>
      </c>
      <c r="C165" s="143" t="s">
        <v>223</v>
      </c>
      <c r="D165" s="143" t="s">
        <v>69</v>
      </c>
      <c r="E165" s="257">
        <v>4930000</v>
      </c>
      <c r="F165" s="257">
        <v>4930000</v>
      </c>
      <c r="G165" s="257">
        <v>2064372</v>
      </c>
      <c r="H165" s="257">
        <v>216000</v>
      </c>
      <c r="I165" s="257">
        <v>976143.2</v>
      </c>
      <c r="J165" s="257">
        <v>0</v>
      </c>
      <c r="K165" s="257">
        <v>0</v>
      </c>
      <c r="L165" s="257">
        <v>0</v>
      </c>
      <c r="M165" s="257">
        <v>3737856.8</v>
      </c>
      <c r="N165" s="257">
        <v>872228.8</v>
      </c>
    </row>
    <row r="166" spans="1:14" s="143" customFormat="1" x14ac:dyDescent="0.25">
      <c r="A166" s="143" t="s">
        <v>274</v>
      </c>
      <c r="B166" s="143" t="s">
        <v>228</v>
      </c>
      <c r="C166" s="143" t="s">
        <v>229</v>
      </c>
      <c r="D166" s="143" t="s">
        <v>69</v>
      </c>
      <c r="E166" s="257">
        <v>8000000</v>
      </c>
      <c r="F166" s="257">
        <v>8000000</v>
      </c>
      <c r="G166" s="257">
        <v>2900000</v>
      </c>
      <c r="H166" s="257">
        <v>0</v>
      </c>
      <c r="I166" s="257">
        <v>1983750</v>
      </c>
      <c r="J166" s="257">
        <v>0</v>
      </c>
      <c r="K166" s="257">
        <v>0</v>
      </c>
      <c r="L166" s="257">
        <v>0</v>
      </c>
      <c r="M166" s="257">
        <v>6016250</v>
      </c>
      <c r="N166" s="257">
        <v>916250</v>
      </c>
    </row>
    <row r="167" spans="1:14" s="143" customFormat="1" x14ac:dyDescent="0.25">
      <c r="A167" s="143" t="s">
        <v>274</v>
      </c>
      <c r="B167" s="143" t="s">
        <v>248</v>
      </c>
      <c r="C167" s="143" t="s">
        <v>249</v>
      </c>
      <c r="D167" s="143" t="s">
        <v>69</v>
      </c>
      <c r="E167" s="257">
        <v>43960000</v>
      </c>
      <c r="F167" s="257">
        <v>43960000</v>
      </c>
      <c r="G167" s="257">
        <v>37960000</v>
      </c>
      <c r="H167" s="257">
        <v>0</v>
      </c>
      <c r="I167" s="257">
        <v>7801746.3499999996</v>
      </c>
      <c r="J167" s="257">
        <v>0</v>
      </c>
      <c r="K167" s="257">
        <v>22460512.649999999</v>
      </c>
      <c r="L167" s="257">
        <v>22460512.649999999</v>
      </c>
      <c r="M167" s="257">
        <v>13697741</v>
      </c>
      <c r="N167" s="257">
        <v>7697741</v>
      </c>
    </row>
    <row r="168" spans="1:14" s="143" customFormat="1" x14ac:dyDescent="0.25">
      <c r="A168" s="143" t="s">
        <v>274</v>
      </c>
      <c r="B168" s="143" t="s">
        <v>250</v>
      </c>
      <c r="C168" s="143" t="s">
        <v>251</v>
      </c>
      <c r="D168" s="143" t="s">
        <v>69</v>
      </c>
      <c r="E168" s="257">
        <v>11142000</v>
      </c>
      <c r="F168" s="257">
        <v>11142000</v>
      </c>
      <c r="G168" s="257">
        <v>11142000</v>
      </c>
      <c r="H168" s="257">
        <v>0</v>
      </c>
      <c r="I168" s="257">
        <v>7635614</v>
      </c>
      <c r="J168" s="257">
        <v>0</v>
      </c>
      <c r="K168" s="257">
        <v>3506386</v>
      </c>
      <c r="L168" s="257">
        <v>3506386</v>
      </c>
      <c r="M168" s="257">
        <v>0</v>
      </c>
      <c r="N168" s="257">
        <v>0</v>
      </c>
    </row>
    <row r="169" spans="1:14" s="143" customFormat="1" x14ac:dyDescent="0.25">
      <c r="A169" s="143" t="s">
        <v>274</v>
      </c>
      <c r="B169" s="143" t="s">
        <v>284</v>
      </c>
      <c r="C169" s="143" t="s">
        <v>257</v>
      </c>
      <c r="D169" s="143" t="s">
        <v>69</v>
      </c>
      <c r="E169" s="257">
        <v>9273000</v>
      </c>
      <c r="F169" s="257">
        <v>9273000</v>
      </c>
      <c r="G169" s="257">
        <v>9273000</v>
      </c>
      <c r="H169" s="257">
        <v>0</v>
      </c>
      <c r="I169" s="257">
        <v>6354933</v>
      </c>
      <c r="J169" s="257">
        <v>0</v>
      </c>
      <c r="K169" s="257">
        <v>2918067</v>
      </c>
      <c r="L169" s="257">
        <v>2918067</v>
      </c>
      <c r="M169" s="257">
        <v>0</v>
      </c>
      <c r="N169" s="257">
        <v>0</v>
      </c>
    </row>
    <row r="170" spans="1:14" s="143" customFormat="1" x14ac:dyDescent="0.25">
      <c r="A170" s="143" t="s">
        <v>274</v>
      </c>
      <c r="B170" s="143" t="s">
        <v>285</v>
      </c>
      <c r="C170" s="143" t="s">
        <v>259</v>
      </c>
      <c r="D170" s="143" t="s">
        <v>69</v>
      </c>
      <c r="E170" s="257">
        <v>1869000</v>
      </c>
      <c r="F170" s="257">
        <v>1869000</v>
      </c>
      <c r="G170" s="257">
        <v>1869000</v>
      </c>
      <c r="H170" s="257">
        <v>0</v>
      </c>
      <c r="I170" s="257">
        <v>1280681</v>
      </c>
      <c r="J170" s="257">
        <v>0</v>
      </c>
      <c r="K170" s="257">
        <v>588319</v>
      </c>
      <c r="L170" s="257">
        <v>588319</v>
      </c>
      <c r="M170" s="257">
        <v>0</v>
      </c>
      <c r="N170" s="257">
        <v>0</v>
      </c>
    </row>
    <row r="171" spans="1:14" s="143" customFormat="1" x14ac:dyDescent="0.25">
      <c r="A171" s="143" t="s">
        <v>274</v>
      </c>
      <c r="B171" s="143" t="s">
        <v>260</v>
      </c>
      <c r="C171" s="143" t="s">
        <v>261</v>
      </c>
      <c r="D171" s="143" t="s">
        <v>69</v>
      </c>
      <c r="E171" s="257">
        <v>24818000</v>
      </c>
      <c r="F171" s="257">
        <v>26818000</v>
      </c>
      <c r="G171" s="257">
        <v>26818000</v>
      </c>
      <c r="H171" s="257">
        <v>0</v>
      </c>
      <c r="I171" s="257">
        <v>166132.35</v>
      </c>
      <c r="J171" s="257">
        <v>0</v>
      </c>
      <c r="K171" s="257">
        <v>18954126.649999999</v>
      </c>
      <c r="L171" s="257">
        <v>18954126.649999999</v>
      </c>
      <c r="M171" s="257">
        <v>7697741</v>
      </c>
      <c r="N171" s="257">
        <v>7697741</v>
      </c>
    </row>
    <row r="172" spans="1:14" s="143" customFormat="1" x14ac:dyDescent="0.25">
      <c r="A172" s="143" t="s">
        <v>274</v>
      </c>
      <c r="B172" s="143" t="s">
        <v>262</v>
      </c>
      <c r="C172" s="143" t="s">
        <v>263</v>
      </c>
      <c r="D172" s="143" t="s">
        <v>69</v>
      </c>
      <c r="E172" s="257">
        <v>17000000</v>
      </c>
      <c r="F172" s="257">
        <v>19000000</v>
      </c>
      <c r="G172" s="257">
        <v>19000000</v>
      </c>
      <c r="H172" s="257">
        <v>0</v>
      </c>
      <c r="I172" s="257">
        <v>166132.35</v>
      </c>
      <c r="J172" s="257">
        <v>0</v>
      </c>
      <c r="K172" s="257">
        <v>16833867.649999999</v>
      </c>
      <c r="L172" s="257">
        <v>16833867.649999999</v>
      </c>
      <c r="M172" s="257">
        <v>2000000</v>
      </c>
      <c r="N172" s="257">
        <v>2000000</v>
      </c>
    </row>
    <row r="173" spans="1:14" s="143" customFormat="1" x14ac:dyDescent="0.25">
      <c r="A173" s="143" t="s">
        <v>274</v>
      </c>
      <c r="B173" s="143" t="s">
        <v>264</v>
      </c>
      <c r="C173" s="143" t="s">
        <v>265</v>
      </c>
      <c r="D173" s="143" t="s">
        <v>69</v>
      </c>
      <c r="E173" s="257">
        <v>7818000</v>
      </c>
      <c r="F173" s="257">
        <v>7818000</v>
      </c>
      <c r="G173" s="257">
        <v>7818000</v>
      </c>
      <c r="H173" s="257">
        <v>0</v>
      </c>
      <c r="I173" s="257">
        <v>0</v>
      </c>
      <c r="J173" s="257">
        <v>0</v>
      </c>
      <c r="K173" s="257">
        <v>2120259</v>
      </c>
      <c r="L173" s="257">
        <v>2120259</v>
      </c>
      <c r="M173" s="257">
        <v>5697741</v>
      </c>
      <c r="N173" s="257">
        <v>5697741</v>
      </c>
    </row>
    <row r="174" spans="1:14" s="143" customFormat="1" x14ac:dyDescent="0.25">
      <c r="A174" s="143" t="s">
        <v>274</v>
      </c>
      <c r="B174" s="143" t="s">
        <v>286</v>
      </c>
      <c r="C174" s="143" t="s">
        <v>287</v>
      </c>
      <c r="D174" s="143" t="s">
        <v>69</v>
      </c>
      <c r="E174" s="257">
        <v>8000000</v>
      </c>
      <c r="F174" s="257">
        <v>6000000</v>
      </c>
      <c r="G174" s="257">
        <v>0</v>
      </c>
      <c r="H174" s="257">
        <v>0</v>
      </c>
      <c r="I174" s="257">
        <v>0</v>
      </c>
      <c r="J174" s="257">
        <v>0</v>
      </c>
      <c r="K174" s="257">
        <v>0</v>
      </c>
      <c r="L174" s="257">
        <v>0</v>
      </c>
      <c r="M174" s="257">
        <v>6000000</v>
      </c>
      <c r="N174" s="257">
        <v>0</v>
      </c>
    </row>
    <row r="175" spans="1:14" s="143" customFormat="1" x14ac:dyDescent="0.25">
      <c r="A175" s="143" t="s">
        <v>274</v>
      </c>
      <c r="B175" s="143" t="s">
        <v>288</v>
      </c>
      <c r="C175" s="143" t="s">
        <v>289</v>
      </c>
      <c r="D175" s="143" t="s">
        <v>69</v>
      </c>
      <c r="E175" s="257">
        <v>8000000</v>
      </c>
      <c r="F175" s="257">
        <v>6000000</v>
      </c>
      <c r="G175" s="257">
        <v>0</v>
      </c>
      <c r="H175" s="257">
        <v>0</v>
      </c>
      <c r="I175" s="257">
        <v>0</v>
      </c>
      <c r="J175" s="257">
        <v>0</v>
      </c>
      <c r="K175" s="257">
        <v>0</v>
      </c>
      <c r="L175" s="257">
        <v>0</v>
      </c>
      <c r="M175" s="257">
        <v>6000000</v>
      </c>
      <c r="N175" s="257">
        <v>0</v>
      </c>
    </row>
    <row r="176" spans="1:14" s="143" customFormat="1" x14ac:dyDescent="0.25">
      <c r="A176" s="143" t="s">
        <v>274</v>
      </c>
      <c r="B176" s="143" t="s">
        <v>230</v>
      </c>
      <c r="C176" s="143" t="s">
        <v>231</v>
      </c>
      <c r="D176" s="143" t="s">
        <v>85</v>
      </c>
      <c r="E176" s="257">
        <v>29500000</v>
      </c>
      <c r="F176" s="257">
        <v>29500000</v>
      </c>
      <c r="G176" s="257">
        <v>13750000</v>
      </c>
      <c r="H176" s="257">
        <v>0</v>
      </c>
      <c r="I176" s="257">
        <v>4553120</v>
      </c>
      <c r="J176" s="257">
        <v>0</v>
      </c>
      <c r="K176" s="257">
        <v>1094071</v>
      </c>
      <c r="L176" s="257">
        <v>1094071</v>
      </c>
      <c r="M176" s="257">
        <v>23852809</v>
      </c>
      <c r="N176" s="257">
        <v>8102809</v>
      </c>
    </row>
    <row r="177" spans="1:14" s="143" customFormat="1" x14ac:dyDescent="0.25">
      <c r="A177" s="143" t="s">
        <v>274</v>
      </c>
      <c r="B177" s="143" t="s">
        <v>232</v>
      </c>
      <c r="C177" s="143" t="s">
        <v>233</v>
      </c>
      <c r="D177" s="143" t="s">
        <v>85</v>
      </c>
      <c r="E177" s="257">
        <v>29500000</v>
      </c>
      <c r="F177" s="257">
        <v>29500000</v>
      </c>
      <c r="G177" s="257">
        <v>13750000</v>
      </c>
      <c r="H177" s="257">
        <v>0</v>
      </c>
      <c r="I177" s="257">
        <v>4553120</v>
      </c>
      <c r="J177" s="257">
        <v>0</v>
      </c>
      <c r="K177" s="257">
        <v>1094071</v>
      </c>
      <c r="L177" s="257">
        <v>1094071</v>
      </c>
      <c r="M177" s="257">
        <v>23852809</v>
      </c>
      <c r="N177" s="257">
        <v>8102809</v>
      </c>
    </row>
    <row r="178" spans="1:14" s="143" customFormat="1" x14ac:dyDescent="0.25">
      <c r="A178" s="143" t="s">
        <v>274</v>
      </c>
      <c r="B178" s="143" t="s">
        <v>236</v>
      </c>
      <c r="C178" s="143" t="s">
        <v>237</v>
      </c>
      <c r="D178" s="143" t="s">
        <v>85</v>
      </c>
      <c r="E178" s="257">
        <v>4700000</v>
      </c>
      <c r="F178" s="257">
        <v>5950000</v>
      </c>
      <c r="G178" s="257">
        <v>4425000</v>
      </c>
      <c r="H178" s="257">
        <v>0</v>
      </c>
      <c r="I178" s="257">
        <v>777120</v>
      </c>
      <c r="J178" s="257">
        <v>0</v>
      </c>
      <c r="K178" s="257">
        <v>0</v>
      </c>
      <c r="L178" s="257">
        <v>0</v>
      </c>
      <c r="M178" s="257">
        <v>5172880</v>
      </c>
      <c r="N178" s="257">
        <v>3647880</v>
      </c>
    </row>
    <row r="179" spans="1:14" s="143" customFormat="1" x14ac:dyDescent="0.25">
      <c r="A179" s="143" t="s">
        <v>274</v>
      </c>
      <c r="B179" s="143" t="s">
        <v>238</v>
      </c>
      <c r="C179" s="143" t="s">
        <v>239</v>
      </c>
      <c r="D179" s="143" t="s">
        <v>85</v>
      </c>
      <c r="E179" s="257">
        <v>3800000</v>
      </c>
      <c r="F179" s="257">
        <v>3800000</v>
      </c>
      <c r="G179" s="257">
        <v>950000</v>
      </c>
      <c r="H179" s="257">
        <v>0</v>
      </c>
      <c r="I179" s="257">
        <v>0</v>
      </c>
      <c r="J179" s="257">
        <v>0</v>
      </c>
      <c r="K179" s="257">
        <v>913570</v>
      </c>
      <c r="L179" s="257">
        <v>913570</v>
      </c>
      <c r="M179" s="257">
        <v>2886430</v>
      </c>
      <c r="N179" s="257">
        <v>36430</v>
      </c>
    </row>
    <row r="180" spans="1:14" s="143" customFormat="1" x14ac:dyDescent="0.25">
      <c r="A180" s="143" t="s">
        <v>274</v>
      </c>
      <c r="B180" s="143" t="s">
        <v>282</v>
      </c>
      <c r="C180" s="143" t="s">
        <v>283</v>
      </c>
      <c r="D180" s="143" t="s">
        <v>85</v>
      </c>
      <c r="E180" s="257">
        <v>1000000</v>
      </c>
      <c r="F180" s="257">
        <v>750000</v>
      </c>
      <c r="G180" s="257">
        <v>0</v>
      </c>
      <c r="H180" s="257">
        <v>0</v>
      </c>
      <c r="I180" s="257">
        <v>0</v>
      </c>
      <c r="J180" s="257">
        <v>0</v>
      </c>
      <c r="K180" s="257">
        <v>0</v>
      </c>
      <c r="L180" s="257">
        <v>0</v>
      </c>
      <c r="M180" s="257">
        <v>750000</v>
      </c>
      <c r="N180" s="257">
        <v>0</v>
      </c>
    </row>
    <row r="181" spans="1:14" s="143" customFormat="1" x14ac:dyDescent="0.25">
      <c r="A181" s="143" t="s">
        <v>274</v>
      </c>
      <c r="B181" s="143" t="s">
        <v>240</v>
      </c>
      <c r="C181" s="143" t="s">
        <v>241</v>
      </c>
      <c r="D181" s="143" t="s">
        <v>85</v>
      </c>
      <c r="E181" s="257">
        <v>16000000</v>
      </c>
      <c r="F181" s="257">
        <v>16000000</v>
      </c>
      <c r="G181" s="257">
        <v>8000000</v>
      </c>
      <c r="H181" s="257">
        <v>0</v>
      </c>
      <c r="I181" s="257">
        <v>3776000</v>
      </c>
      <c r="J181" s="257">
        <v>0</v>
      </c>
      <c r="K181" s="257">
        <v>180501</v>
      </c>
      <c r="L181" s="257">
        <v>180501</v>
      </c>
      <c r="M181" s="257">
        <v>12043499</v>
      </c>
      <c r="N181" s="257">
        <v>4043499</v>
      </c>
    </row>
    <row r="182" spans="1:14" s="143" customFormat="1" x14ac:dyDescent="0.25">
      <c r="A182" s="143" t="s">
        <v>274</v>
      </c>
      <c r="B182" s="143" t="s">
        <v>242</v>
      </c>
      <c r="C182" s="143" t="s">
        <v>243</v>
      </c>
      <c r="D182" s="143" t="s">
        <v>85</v>
      </c>
      <c r="E182" s="257">
        <v>4000000</v>
      </c>
      <c r="F182" s="257">
        <v>3000000</v>
      </c>
      <c r="G182" s="257">
        <v>375000</v>
      </c>
      <c r="H182" s="257">
        <v>0</v>
      </c>
      <c r="I182" s="257">
        <v>0</v>
      </c>
      <c r="J182" s="257">
        <v>0</v>
      </c>
      <c r="K182" s="257">
        <v>0</v>
      </c>
      <c r="L182" s="257">
        <v>0</v>
      </c>
      <c r="M182" s="257">
        <v>3000000</v>
      </c>
      <c r="N182" s="257">
        <v>375000</v>
      </c>
    </row>
    <row r="183" spans="1:14" s="143" customFormat="1" x14ac:dyDescent="0.25">
      <c r="A183" s="143">
        <v>214781</v>
      </c>
      <c r="D183" s="143" t="s">
        <v>69</v>
      </c>
      <c r="E183" s="257">
        <v>11325587195</v>
      </c>
      <c r="F183" s="257">
        <v>11325587195</v>
      </c>
      <c r="G183" s="257">
        <v>10650233096</v>
      </c>
      <c r="H183" s="257">
        <v>22606312</v>
      </c>
      <c r="I183" s="257">
        <v>1256218334.99</v>
      </c>
      <c r="J183" s="257">
        <v>6789084.2000000002</v>
      </c>
      <c r="K183" s="257">
        <v>3354640471.8699999</v>
      </c>
      <c r="L183" s="257">
        <v>3307745432.5900002</v>
      </c>
      <c r="M183" s="257">
        <v>6685332991.9399996</v>
      </c>
      <c r="N183" s="257">
        <v>6009978892.9399996</v>
      </c>
    </row>
    <row r="184" spans="1:14" s="143" customFormat="1" x14ac:dyDescent="0.25">
      <c r="A184" s="143" t="s">
        <v>290</v>
      </c>
      <c r="B184" s="143" t="s">
        <v>71</v>
      </c>
      <c r="C184" s="143" t="s">
        <v>72</v>
      </c>
      <c r="D184" s="143" t="s">
        <v>69</v>
      </c>
      <c r="E184" s="257">
        <v>9908319000</v>
      </c>
      <c r="F184" s="257">
        <v>9908319000</v>
      </c>
      <c r="G184" s="257">
        <v>9899719000</v>
      </c>
      <c r="H184" s="257">
        <v>0</v>
      </c>
      <c r="I184" s="257">
        <v>1009517342</v>
      </c>
      <c r="J184" s="257">
        <v>0</v>
      </c>
      <c r="K184" s="257">
        <v>3062048636.3699999</v>
      </c>
      <c r="L184" s="257">
        <v>3062048636.3699999</v>
      </c>
      <c r="M184" s="257">
        <v>5836753021.6300001</v>
      </c>
      <c r="N184" s="257">
        <v>5828153021.6300001</v>
      </c>
    </row>
    <row r="185" spans="1:14" s="143" customFormat="1" x14ac:dyDescent="0.25">
      <c r="A185" s="143" t="s">
        <v>290</v>
      </c>
      <c r="B185" s="143" t="s">
        <v>73</v>
      </c>
      <c r="C185" s="143" t="s">
        <v>74</v>
      </c>
      <c r="D185" s="143" t="s">
        <v>69</v>
      </c>
      <c r="E185" s="257">
        <v>3418584000</v>
      </c>
      <c r="F185" s="257">
        <v>3418584000</v>
      </c>
      <c r="G185" s="257">
        <v>3418584000</v>
      </c>
      <c r="H185" s="257">
        <v>0</v>
      </c>
      <c r="I185" s="257">
        <v>764487.75</v>
      </c>
      <c r="J185" s="257">
        <v>0</v>
      </c>
      <c r="K185" s="257">
        <v>988296577.44000006</v>
      </c>
      <c r="L185" s="257">
        <v>988296577.44000006</v>
      </c>
      <c r="M185" s="257">
        <v>2429522934.8099999</v>
      </c>
      <c r="N185" s="257">
        <v>2429522934.8099999</v>
      </c>
    </row>
    <row r="186" spans="1:14" s="143" customFormat="1" x14ac:dyDescent="0.25">
      <c r="A186" s="143" t="s">
        <v>290</v>
      </c>
      <c r="B186" s="143" t="s">
        <v>75</v>
      </c>
      <c r="C186" s="143" t="s">
        <v>76</v>
      </c>
      <c r="D186" s="143" t="s">
        <v>69</v>
      </c>
      <c r="E186" s="257">
        <v>3413584000</v>
      </c>
      <c r="F186" s="257">
        <v>3413584000</v>
      </c>
      <c r="G186" s="257">
        <v>3413584000</v>
      </c>
      <c r="H186" s="257">
        <v>0</v>
      </c>
      <c r="I186" s="257">
        <v>764487.75</v>
      </c>
      <c r="J186" s="257">
        <v>0</v>
      </c>
      <c r="K186" s="257">
        <v>988296577.44000006</v>
      </c>
      <c r="L186" s="257">
        <v>988296577.44000006</v>
      </c>
      <c r="M186" s="257">
        <v>2424522934.8099999</v>
      </c>
      <c r="N186" s="257">
        <v>2424522934.8099999</v>
      </c>
    </row>
    <row r="187" spans="1:14" s="143" customFormat="1" x14ac:dyDescent="0.25">
      <c r="A187" s="143" t="s">
        <v>290</v>
      </c>
      <c r="B187" s="143" t="s">
        <v>291</v>
      </c>
      <c r="C187" s="143" t="s">
        <v>292</v>
      </c>
      <c r="D187" s="143" t="s">
        <v>69</v>
      </c>
      <c r="E187" s="257">
        <v>5000000</v>
      </c>
      <c r="F187" s="257">
        <v>5000000</v>
      </c>
      <c r="G187" s="257">
        <v>5000000</v>
      </c>
      <c r="H187" s="257">
        <v>0</v>
      </c>
      <c r="I187" s="257">
        <v>0</v>
      </c>
      <c r="J187" s="257">
        <v>0</v>
      </c>
      <c r="K187" s="257">
        <v>0</v>
      </c>
      <c r="L187" s="257">
        <v>0</v>
      </c>
      <c r="M187" s="257">
        <v>5000000</v>
      </c>
      <c r="N187" s="257">
        <v>5000000</v>
      </c>
    </row>
    <row r="188" spans="1:14" s="143" customFormat="1" x14ac:dyDescent="0.25">
      <c r="A188" s="143" t="s">
        <v>290</v>
      </c>
      <c r="B188" s="143" t="s">
        <v>293</v>
      </c>
      <c r="C188" s="143" t="s">
        <v>294</v>
      </c>
      <c r="D188" s="143" t="s">
        <v>69</v>
      </c>
      <c r="E188" s="257">
        <v>11000000</v>
      </c>
      <c r="F188" s="257">
        <v>11000000</v>
      </c>
      <c r="G188" s="257">
        <v>11000000</v>
      </c>
      <c r="H188" s="257">
        <v>0</v>
      </c>
      <c r="I188" s="257">
        <v>0</v>
      </c>
      <c r="J188" s="257">
        <v>0</v>
      </c>
      <c r="K188" s="257">
        <v>2038014.35</v>
      </c>
      <c r="L188" s="257">
        <v>2038014.35</v>
      </c>
      <c r="M188" s="257">
        <v>8961985.6500000004</v>
      </c>
      <c r="N188" s="257">
        <v>8961985.6500000004</v>
      </c>
    </row>
    <row r="189" spans="1:14" s="143" customFormat="1" x14ac:dyDescent="0.25">
      <c r="A189" s="143" t="s">
        <v>290</v>
      </c>
      <c r="B189" s="143" t="s">
        <v>295</v>
      </c>
      <c r="C189" s="143" t="s">
        <v>296</v>
      </c>
      <c r="D189" s="143" t="s">
        <v>69</v>
      </c>
      <c r="E189" s="257">
        <v>11000000</v>
      </c>
      <c r="F189" s="257">
        <v>11000000</v>
      </c>
      <c r="G189" s="257">
        <v>11000000</v>
      </c>
      <c r="H189" s="257">
        <v>0</v>
      </c>
      <c r="I189" s="257">
        <v>0</v>
      </c>
      <c r="J189" s="257">
        <v>0</v>
      </c>
      <c r="K189" s="257">
        <v>2038014.35</v>
      </c>
      <c r="L189" s="257">
        <v>2038014.35</v>
      </c>
      <c r="M189" s="257">
        <v>8961985.6500000004</v>
      </c>
      <c r="N189" s="257">
        <v>8961985.6500000004</v>
      </c>
    </row>
    <row r="190" spans="1:14" s="143" customFormat="1" x14ac:dyDescent="0.25">
      <c r="A190" s="143" t="s">
        <v>290</v>
      </c>
      <c r="B190" s="143" t="s">
        <v>77</v>
      </c>
      <c r="C190" s="143" t="s">
        <v>78</v>
      </c>
      <c r="D190" s="143" t="s">
        <v>69</v>
      </c>
      <c r="E190" s="257">
        <v>4978167000</v>
      </c>
      <c r="F190" s="257">
        <v>4978167000</v>
      </c>
      <c r="G190" s="257">
        <v>4969567000</v>
      </c>
      <c r="H190" s="257">
        <v>0</v>
      </c>
      <c r="I190" s="257">
        <v>1327404.25</v>
      </c>
      <c r="J190" s="257">
        <v>0</v>
      </c>
      <c r="K190" s="257">
        <v>1578571494.5799999</v>
      </c>
      <c r="L190" s="257">
        <v>1578571494.5799999</v>
      </c>
      <c r="M190" s="257">
        <v>3398268101.1700001</v>
      </c>
      <c r="N190" s="257">
        <v>3389668101.1700001</v>
      </c>
    </row>
    <row r="191" spans="1:14" s="143" customFormat="1" x14ac:dyDescent="0.25">
      <c r="A191" s="143" t="s">
        <v>290</v>
      </c>
      <c r="B191" s="143" t="s">
        <v>79</v>
      </c>
      <c r="C191" s="143" t="s">
        <v>80</v>
      </c>
      <c r="D191" s="143" t="s">
        <v>69</v>
      </c>
      <c r="E191" s="257">
        <v>913627000</v>
      </c>
      <c r="F191" s="257">
        <v>913627000</v>
      </c>
      <c r="G191" s="257">
        <v>905027000</v>
      </c>
      <c r="H191" s="257">
        <v>0</v>
      </c>
      <c r="I191" s="257">
        <v>478674</v>
      </c>
      <c r="J191" s="257">
        <v>0</v>
      </c>
      <c r="K191" s="257">
        <v>247722096.81</v>
      </c>
      <c r="L191" s="257">
        <v>247722096.81</v>
      </c>
      <c r="M191" s="257">
        <v>665426229.19000006</v>
      </c>
      <c r="N191" s="257">
        <v>656826229.19000006</v>
      </c>
    </row>
    <row r="192" spans="1:14" s="143" customFormat="1" x14ac:dyDescent="0.25">
      <c r="A192" s="143" t="s">
        <v>290</v>
      </c>
      <c r="B192" s="143" t="s">
        <v>81</v>
      </c>
      <c r="C192" s="143" t="s">
        <v>82</v>
      </c>
      <c r="D192" s="143" t="s">
        <v>69</v>
      </c>
      <c r="E192" s="257">
        <v>2244831000</v>
      </c>
      <c r="F192" s="257">
        <v>2244831000</v>
      </c>
      <c r="G192" s="257">
        <v>2244831000</v>
      </c>
      <c r="H192" s="257">
        <v>0</v>
      </c>
      <c r="I192" s="257">
        <v>616723.5</v>
      </c>
      <c r="J192" s="257">
        <v>0</v>
      </c>
      <c r="K192" s="257">
        <v>651322648.28999996</v>
      </c>
      <c r="L192" s="257">
        <v>651322648.28999996</v>
      </c>
      <c r="M192" s="257">
        <v>1592891628.21</v>
      </c>
      <c r="N192" s="257">
        <v>1592891628.21</v>
      </c>
    </row>
    <row r="193" spans="1:14" s="143" customFormat="1" x14ac:dyDescent="0.25">
      <c r="A193" s="143" t="s">
        <v>290</v>
      </c>
      <c r="B193" s="143" t="s">
        <v>86</v>
      </c>
      <c r="C193" s="143" t="s">
        <v>87</v>
      </c>
      <c r="D193" s="143" t="s">
        <v>69</v>
      </c>
      <c r="E193" s="257">
        <v>540993000</v>
      </c>
      <c r="F193" s="257">
        <v>540993000</v>
      </c>
      <c r="G193" s="257">
        <v>540993000</v>
      </c>
      <c r="H193" s="257">
        <v>0</v>
      </c>
      <c r="I193" s="257">
        <v>0</v>
      </c>
      <c r="J193" s="257">
        <v>0</v>
      </c>
      <c r="K193" s="257">
        <v>493915397.87</v>
      </c>
      <c r="L193" s="257">
        <v>493915397.87</v>
      </c>
      <c r="M193" s="257">
        <v>47077602.130000003</v>
      </c>
      <c r="N193" s="257">
        <v>47077602.130000003</v>
      </c>
    </row>
    <row r="194" spans="1:14" s="143" customFormat="1" x14ac:dyDescent="0.25">
      <c r="A194" s="143" t="s">
        <v>290</v>
      </c>
      <c r="B194" s="143" t="s">
        <v>88</v>
      </c>
      <c r="C194" s="143" t="s">
        <v>89</v>
      </c>
      <c r="D194" s="143" t="s">
        <v>69</v>
      </c>
      <c r="E194" s="257">
        <v>630877000</v>
      </c>
      <c r="F194" s="257">
        <v>630877000</v>
      </c>
      <c r="G194" s="257">
        <v>630877000</v>
      </c>
      <c r="H194" s="257">
        <v>0</v>
      </c>
      <c r="I194" s="257">
        <v>232006.75</v>
      </c>
      <c r="J194" s="257">
        <v>0</v>
      </c>
      <c r="K194" s="257">
        <v>185611351.61000001</v>
      </c>
      <c r="L194" s="257">
        <v>185611351.61000001</v>
      </c>
      <c r="M194" s="257">
        <v>445033641.63999999</v>
      </c>
      <c r="N194" s="257">
        <v>445033641.63999999</v>
      </c>
    </row>
    <row r="195" spans="1:14" s="143" customFormat="1" x14ac:dyDescent="0.25">
      <c r="A195" s="143" t="s">
        <v>290</v>
      </c>
      <c r="B195" s="143" t="s">
        <v>83</v>
      </c>
      <c r="C195" s="143" t="s">
        <v>84</v>
      </c>
      <c r="D195" s="143" t="s">
        <v>85</v>
      </c>
      <c r="E195" s="257">
        <v>647839000</v>
      </c>
      <c r="F195" s="257">
        <v>647839000</v>
      </c>
      <c r="G195" s="257">
        <v>647839000</v>
      </c>
      <c r="H195" s="257">
        <v>0</v>
      </c>
      <c r="I195" s="257">
        <v>0</v>
      </c>
      <c r="J195" s="257">
        <v>0</v>
      </c>
      <c r="K195" s="257">
        <v>0</v>
      </c>
      <c r="L195" s="257">
        <v>0</v>
      </c>
      <c r="M195" s="257">
        <v>647839000</v>
      </c>
      <c r="N195" s="257">
        <v>647839000</v>
      </c>
    </row>
    <row r="196" spans="1:14" s="143" customFormat="1" x14ac:dyDescent="0.25">
      <c r="A196" s="143" t="s">
        <v>290</v>
      </c>
      <c r="B196" s="143" t="s">
        <v>90</v>
      </c>
      <c r="C196" s="143" t="s">
        <v>91</v>
      </c>
      <c r="D196" s="143" t="s">
        <v>69</v>
      </c>
      <c r="E196" s="257">
        <v>756883000</v>
      </c>
      <c r="F196" s="257">
        <v>756883000</v>
      </c>
      <c r="G196" s="257">
        <v>756883000</v>
      </c>
      <c r="H196" s="257">
        <v>0</v>
      </c>
      <c r="I196" s="257">
        <v>506406274</v>
      </c>
      <c r="J196" s="257">
        <v>0</v>
      </c>
      <c r="K196" s="257">
        <v>250476726</v>
      </c>
      <c r="L196" s="257">
        <v>250476726</v>
      </c>
      <c r="M196" s="257">
        <v>0</v>
      </c>
      <c r="N196" s="257">
        <v>0</v>
      </c>
    </row>
    <row r="197" spans="1:14" s="143" customFormat="1" x14ac:dyDescent="0.25">
      <c r="A197" s="143" t="s">
        <v>290</v>
      </c>
      <c r="B197" s="143" t="s">
        <v>297</v>
      </c>
      <c r="C197" s="143" t="s">
        <v>93</v>
      </c>
      <c r="D197" s="143" t="s">
        <v>69</v>
      </c>
      <c r="E197" s="257">
        <v>718069000</v>
      </c>
      <c r="F197" s="257">
        <v>718069000</v>
      </c>
      <c r="G197" s="257">
        <v>718069000</v>
      </c>
      <c r="H197" s="257">
        <v>0</v>
      </c>
      <c r="I197" s="257">
        <v>480435499</v>
      </c>
      <c r="J197" s="257">
        <v>0</v>
      </c>
      <c r="K197" s="257">
        <v>237633501</v>
      </c>
      <c r="L197" s="257">
        <v>237633501</v>
      </c>
      <c r="M197" s="257">
        <v>0</v>
      </c>
      <c r="N197" s="257">
        <v>0</v>
      </c>
    </row>
    <row r="198" spans="1:14" s="143" customFormat="1" x14ac:dyDescent="0.25">
      <c r="A198" s="143" t="s">
        <v>290</v>
      </c>
      <c r="B198" s="143" t="s">
        <v>298</v>
      </c>
      <c r="C198" s="143" t="s">
        <v>95</v>
      </c>
      <c r="D198" s="143" t="s">
        <v>69</v>
      </c>
      <c r="E198" s="257">
        <v>38814000</v>
      </c>
      <c r="F198" s="257">
        <v>38814000</v>
      </c>
      <c r="G198" s="257">
        <v>38814000</v>
      </c>
      <c r="H198" s="257">
        <v>0</v>
      </c>
      <c r="I198" s="257">
        <v>25970775</v>
      </c>
      <c r="J198" s="257">
        <v>0</v>
      </c>
      <c r="K198" s="257">
        <v>12843225</v>
      </c>
      <c r="L198" s="257">
        <v>12843225</v>
      </c>
      <c r="M198" s="257">
        <v>0</v>
      </c>
      <c r="N198" s="257">
        <v>0</v>
      </c>
    </row>
    <row r="199" spans="1:14" s="143" customFormat="1" x14ac:dyDescent="0.25">
      <c r="A199" s="143" t="s">
        <v>290</v>
      </c>
      <c r="B199" s="143" t="s">
        <v>96</v>
      </c>
      <c r="C199" s="143" t="s">
        <v>97</v>
      </c>
      <c r="D199" s="143" t="s">
        <v>69</v>
      </c>
      <c r="E199" s="257">
        <v>743685000</v>
      </c>
      <c r="F199" s="257">
        <v>743685000</v>
      </c>
      <c r="G199" s="257">
        <v>743685000</v>
      </c>
      <c r="H199" s="257">
        <v>0</v>
      </c>
      <c r="I199" s="257">
        <v>501019176</v>
      </c>
      <c r="J199" s="257">
        <v>0</v>
      </c>
      <c r="K199" s="257">
        <v>242665824</v>
      </c>
      <c r="L199" s="257">
        <v>242665824</v>
      </c>
      <c r="M199" s="257">
        <v>0</v>
      </c>
      <c r="N199" s="257">
        <v>0</v>
      </c>
    </row>
    <row r="200" spans="1:14" s="143" customFormat="1" x14ac:dyDescent="0.25">
      <c r="A200" s="143" t="s">
        <v>290</v>
      </c>
      <c r="B200" s="143" t="s">
        <v>299</v>
      </c>
      <c r="C200" s="143" t="s">
        <v>99</v>
      </c>
      <c r="D200" s="143" t="s">
        <v>69</v>
      </c>
      <c r="E200" s="257">
        <v>394355000</v>
      </c>
      <c r="F200" s="257">
        <v>394355000</v>
      </c>
      <c r="G200" s="257">
        <v>394355000</v>
      </c>
      <c r="H200" s="257">
        <v>0</v>
      </c>
      <c r="I200" s="257">
        <v>267277939</v>
      </c>
      <c r="J200" s="257">
        <v>0</v>
      </c>
      <c r="K200" s="257">
        <v>127077061</v>
      </c>
      <c r="L200" s="257">
        <v>127077061</v>
      </c>
      <c r="M200" s="257">
        <v>0</v>
      </c>
      <c r="N200" s="257">
        <v>0</v>
      </c>
    </row>
    <row r="201" spans="1:14" s="143" customFormat="1" x14ac:dyDescent="0.25">
      <c r="A201" s="143" t="s">
        <v>290</v>
      </c>
      <c r="B201" s="143" t="s">
        <v>300</v>
      </c>
      <c r="C201" s="143" t="s">
        <v>101</v>
      </c>
      <c r="D201" s="143" t="s">
        <v>69</v>
      </c>
      <c r="E201" s="257">
        <v>116443000</v>
      </c>
      <c r="F201" s="257">
        <v>116443000</v>
      </c>
      <c r="G201" s="257">
        <v>116443000</v>
      </c>
      <c r="H201" s="257">
        <v>0</v>
      </c>
      <c r="I201" s="257">
        <v>77913445</v>
      </c>
      <c r="J201" s="257">
        <v>0</v>
      </c>
      <c r="K201" s="257">
        <v>38529555</v>
      </c>
      <c r="L201" s="257">
        <v>38529555</v>
      </c>
      <c r="M201" s="257">
        <v>0</v>
      </c>
      <c r="N201" s="257">
        <v>0</v>
      </c>
    </row>
    <row r="202" spans="1:14" s="143" customFormat="1" x14ac:dyDescent="0.25">
      <c r="A202" s="143" t="s">
        <v>290</v>
      </c>
      <c r="B202" s="143" t="s">
        <v>301</v>
      </c>
      <c r="C202" s="143" t="s">
        <v>103</v>
      </c>
      <c r="D202" s="143" t="s">
        <v>69</v>
      </c>
      <c r="E202" s="257">
        <v>232887000</v>
      </c>
      <c r="F202" s="257">
        <v>232887000</v>
      </c>
      <c r="G202" s="257">
        <v>232887000</v>
      </c>
      <c r="H202" s="257">
        <v>0</v>
      </c>
      <c r="I202" s="257">
        <v>155827792</v>
      </c>
      <c r="J202" s="257">
        <v>0</v>
      </c>
      <c r="K202" s="257">
        <v>77059208</v>
      </c>
      <c r="L202" s="257">
        <v>77059208</v>
      </c>
      <c r="M202" s="257">
        <v>0</v>
      </c>
      <c r="N202" s="257">
        <v>0</v>
      </c>
    </row>
    <row r="203" spans="1:14" s="143" customFormat="1" x14ac:dyDescent="0.25">
      <c r="A203" s="143" t="s">
        <v>290</v>
      </c>
      <c r="B203" s="143" t="s">
        <v>104</v>
      </c>
      <c r="C203" s="143" t="s">
        <v>105</v>
      </c>
      <c r="D203" s="143" t="s">
        <v>69</v>
      </c>
      <c r="E203" s="257">
        <v>1006874402</v>
      </c>
      <c r="F203" s="257">
        <v>1006874402</v>
      </c>
      <c r="G203" s="257">
        <v>513547900</v>
      </c>
      <c r="H203" s="257">
        <v>950800</v>
      </c>
      <c r="I203" s="257">
        <v>166923805.47</v>
      </c>
      <c r="J203" s="257">
        <v>5372102.0099999998</v>
      </c>
      <c r="K203" s="257">
        <v>208974296.19</v>
      </c>
      <c r="L203" s="257">
        <v>162083783.78</v>
      </c>
      <c r="M203" s="257">
        <v>624653398.33000004</v>
      </c>
      <c r="N203" s="257">
        <v>131326896.33</v>
      </c>
    </row>
    <row r="204" spans="1:14" s="143" customFormat="1" x14ac:dyDescent="0.25">
      <c r="A204" s="143" t="s">
        <v>290</v>
      </c>
      <c r="B204" s="143" t="s">
        <v>106</v>
      </c>
      <c r="C204" s="143" t="s">
        <v>107</v>
      </c>
      <c r="D204" s="143" t="s">
        <v>69</v>
      </c>
      <c r="E204" s="257">
        <v>331717997</v>
      </c>
      <c r="F204" s="257">
        <v>331717997</v>
      </c>
      <c r="G204" s="257">
        <v>151638998</v>
      </c>
      <c r="H204" s="257">
        <v>0</v>
      </c>
      <c r="I204" s="257">
        <v>59179462.68</v>
      </c>
      <c r="J204" s="257">
        <v>2032800</v>
      </c>
      <c r="K204" s="257">
        <v>65007401.869999997</v>
      </c>
      <c r="L204" s="257">
        <v>44342595.039999999</v>
      </c>
      <c r="M204" s="257">
        <v>205498332.44999999</v>
      </c>
      <c r="N204" s="257">
        <v>25419333.449999999</v>
      </c>
    </row>
    <row r="205" spans="1:14" s="143" customFormat="1" x14ac:dyDescent="0.25">
      <c r="A205" s="143" t="s">
        <v>290</v>
      </c>
      <c r="B205" s="143" t="s">
        <v>280</v>
      </c>
      <c r="C205" s="143" t="s">
        <v>281</v>
      </c>
      <c r="D205" s="143" t="s">
        <v>69</v>
      </c>
      <c r="E205" s="257">
        <v>200526630</v>
      </c>
      <c r="F205" s="257">
        <v>200526630</v>
      </c>
      <c r="G205" s="257">
        <v>79143314</v>
      </c>
      <c r="H205" s="257">
        <v>0</v>
      </c>
      <c r="I205" s="257">
        <v>33472425</v>
      </c>
      <c r="J205" s="257">
        <v>2032800</v>
      </c>
      <c r="K205" s="257">
        <v>39540825</v>
      </c>
      <c r="L205" s="257">
        <v>35840825</v>
      </c>
      <c r="M205" s="257">
        <v>125480580</v>
      </c>
      <c r="N205" s="257">
        <v>4097264</v>
      </c>
    </row>
    <row r="206" spans="1:14" s="143" customFormat="1" x14ac:dyDescent="0.25">
      <c r="A206" s="143" t="s">
        <v>290</v>
      </c>
      <c r="B206" s="143" t="s">
        <v>302</v>
      </c>
      <c r="C206" s="143" t="s">
        <v>303</v>
      </c>
      <c r="D206" s="143" t="s">
        <v>69</v>
      </c>
      <c r="E206" s="257">
        <v>3933000</v>
      </c>
      <c r="F206" s="257">
        <v>3933000</v>
      </c>
      <c r="G206" s="257">
        <v>1966500</v>
      </c>
      <c r="H206" s="257">
        <v>0</v>
      </c>
      <c r="I206" s="257">
        <v>277847.93</v>
      </c>
      <c r="J206" s="257">
        <v>0</v>
      </c>
      <c r="K206" s="257">
        <v>493597.38</v>
      </c>
      <c r="L206" s="257">
        <v>493597.38</v>
      </c>
      <c r="M206" s="257">
        <v>3161554.69</v>
      </c>
      <c r="N206" s="257">
        <v>1195054.69</v>
      </c>
    </row>
    <row r="207" spans="1:14" s="143" customFormat="1" x14ac:dyDescent="0.25">
      <c r="A207" s="143" t="s">
        <v>290</v>
      </c>
      <c r="B207" s="143" t="s">
        <v>108</v>
      </c>
      <c r="C207" s="143" t="s">
        <v>109</v>
      </c>
      <c r="D207" s="143" t="s">
        <v>69</v>
      </c>
      <c r="E207" s="257">
        <v>98126131</v>
      </c>
      <c r="F207" s="257">
        <v>98126131</v>
      </c>
      <c r="G207" s="257">
        <v>53063066</v>
      </c>
      <c r="H207" s="257">
        <v>0</v>
      </c>
      <c r="I207" s="257">
        <v>24767430.23</v>
      </c>
      <c r="J207" s="257">
        <v>0</v>
      </c>
      <c r="K207" s="257">
        <v>17537922.539999999</v>
      </c>
      <c r="L207" s="257">
        <v>2868324.01</v>
      </c>
      <c r="M207" s="257">
        <v>55820778.229999997</v>
      </c>
      <c r="N207" s="257">
        <v>10757713.23</v>
      </c>
    </row>
    <row r="208" spans="1:14" s="143" customFormat="1" x14ac:dyDescent="0.25">
      <c r="A208" s="143" t="s">
        <v>290</v>
      </c>
      <c r="B208" s="143" t="s">
        <v>304</v>
      </c>
      <c r="C208" s="143" t="s">
        <v>305</v>
      </c>
      <c r="D208" s="143" t="s">
        <v>69</v>
      </c>
      <c r="E208" s="257">
        <v>1774000</v>
      </c>
      <c r="F208" s="257">
        <v>1774000</v>
      </c>
      <c r="G208" s="257">
        <v>1087000</v>
      </c>
      <c r="H208" s="257">
        <v>0</v>
      </c>
      <c r="I208" s="257">
        <v>34677.9</v>
      </c>
      <c r="J208" s="257">
        <v>0</v>
      </c>
      <c r="K208" s="257">
        <v>544484.25</v>
      </c>
      <c r="L208" s="257">
        <v>544484.25</v>
      </c>
      <c r="M208" s="257">
        <v>1194837.8500000001</v>
      </c>
      <c r="N208" s="257">
        <v>507837.85</v>
      </c>
    </row>
    <row r="209" spans="1:14" s="143" customFormat="1" x14ac:dyDescent="0.25">
      <c r="A209" s="143" t="s">
        <v>290</v>
      </c>
      <c r="B209" s="143" t="s">
        <v>110</v>
      </c>
      <c r="C209" s="143" t="s">
        <v>111</v>
      </c>
      <c r="D209" s="143" t="s">
        <v>69</v>
      </c>
      <c r="E209" s="257">
        <v>27358236</v>
      </c>
      <c r="F209" s="257">
        <v>27358236</v>
      </c>
      <c r="G209" s="257">
        <v>16379118</v>
      </c>
      <c r="H209" s="257">
        <v>0</v>
      </c>
      <c r="I209" s="257">
        <v>627081.62</v>
      </c>
      <c r="J209" s="257">
        <v>0</v>
      </c>
      <c r="K209" s="257">
        <v>6890572.7000000002</v>
      </c>
      <c r="L209" s="257">
        <v>4595364.4000000004</v>
      </c>
      <c r="M209" s="257">
        <v>19840581.68</v>
      </c>
      <c r="N209" s="257">
        <v>8861463.6799999997</v>
      </c>
    </row>
    <row r="210" spans="1:14" s="143" customFormat="1" x14ac:dyDescent="0.25">
      <c r="A210" s="143" t="s">
        <v>290</v>
      </c>
      <c r="B210" s="143" t="s">
        <v>112</v>
      </c>
      <c r="C210" s="143" t="s">
        <v>113</v>
      </c>
      <c r="D210" s="143" t="s">
        <v>69</v>
      </c>
      <c r="E210" s="257">
        <v>126929000</v>
      </c>
      <c r="F210" s="257">
        <v>126929000</v>
      </c>
      <c r="G210" s="257">
        <v>67914500</v>
      </c>
      <c r="H210" s="257">
        <v>0</v>
      </c>
      <c r="I210" s="257">
        <v>12748758.880000001</v>
      </c>
      <c r="J210" s="257">
        <v>0</v>
      </c>
      <c r="K210" s="257">
        <v>30436236.359999999</v>
      </c>
      <c r="L210" s="257">
        <v>28745828.300000001</v>
      </c>
      <c r="M210" s="257">
        <v>83744004.760000005</v>
      </c>
      <c r="N210" s="257">
        <v>24729504.760000002</v>
      </c>
    </row>
    <row r="211" spans="1:14" s="143" customFormat="1" x14ac:dyDescent="0.25">
      <c r="A211" s="143" t="s">
        <v>290</v>
      </c>
      <c r="B211" s="143" t="s">
        <v>114</v>
      </c>
      <c r="C211" s="143" t="s">
        <v>115</v>
      </c>
      <c r="D211" s="143" t="s">
        <v>69</v>
      </c>
      <c r="E211" s="257">
        <v>13400000</v>
      </c>
      <c r="F211" s="257">
        <v>13400000</v>
      </c>
      <c r="G211" s="257">
        <v>9700000</v>
      </c>
      <c r="H211" s="257">
        <v>0</v>
      </c>
      <c r="I211" s="257">
        <v>429881</v>
      </c>
      <c r="J211" s="257">
        <v>0</v>
      </c>
      <c r="K211" s="257">
        <v>5692714</v>
      </c>
      <c r="L211" s="257">
        <v>4261135</v>
      </c>
      <c r="M211" s="257">
        <v>7277405</v>
      </c>
      <c r="N211" s="257">
        <v>3577405</v>
      </c>
    </row>
    <row r="212" spans="1:14" s="143" customFormat="1" x14ac:dyDescent="0.25">
      <c r="A212" s="143" t="s">
        <v>290</v>
      </c>
      <c r="B212" s="143" t="s">
        <v>116</v>
      </c>
      <c r="C212" s="143" t="s">
        <v>117</v>
      </c>
      <c r="D212" s="143" t="s">
        <v>69</v>
      </c>
      <c r="E212" s="257">
        <v>49200000</v>
      </c>
      <c r="F212" s="257">
        <v>49200000</v>
      </c>
      <c r="G212" s="257">
        <v>26300000</v>
      </c>
      <c r="H212" s="257">
        <v>0</v>
      </c>
      <c r="I212" s="257">
        <v>8173595</v>
      </c>
      <c r="J212" s="257">
        <v>0</v>
      </c>
      <c r="K212" s="257">
        <v>12724160</v>
      </c>
      <c r="L212" s="257">
        <v>12724160</v>
      </c>
      <c r="M212" s="257">
        <v>28302245</v>
      </c>
      <c r="N212" s="257">
        <v>5402245</v>
      </c>
    </row>
    <row r="213" spans="1:14" s="143" customFormat="1" x14ac:dyDescent="0.25">
      <c r="A213" s="143" t="s">
        <v>290</v>
      </c>
      <c r="B213" s="143" t="s">
        <v>118</v>
      </c>
      <c r="C213" s="143" t="s">
        <v>119</v>
      </c>
      <c r="D213" s="143" t="s">
        <v>69</v>
      </c>
      <c r="E213" s="257">
        <v>12000000</v>
      </c>
      <c r="F213" s="257">
        <v>12000000</v>
      </c>
      <c r="G213" s="257">
        <v>3550000</v>
      </c>
      <c r="H213" s="257">
        <v>0</v>
      </c>
      <c r="I213" s="257">
        <v>477180</v>
      </c>
      <c r="J213" s="257">
        <v>0</v>
      </c>
      <c r="K213" s="257">
        <v>731520</v>
      </c>
      <c r="L213" s="257">
        <v>731520</v>
      </c>
      <c r="M213" s="257">
        <v>10791300</v>
      </c>
      <c r="N213" s="257">
        <v>2341300</v>
      </c>
    </row>
    <row r="214" spans="1:14" s="143" customFormat="1" x14ac:dyDescent="0.25">
      <c r="A214" s="143" t="s">
        <v>290</v>
      </c>
      <c r="B214" s="143" t="s">
        <v>120</v>
      </c>
      <c r="C214" s="143" t="s">
        <v>121</v>
      </c>
      <c r="D214" s="143" t="s">
        <v>69</v>
      </c>
      <c r="E214" s="257">
        <v>47604000</v>
      </c>
      <c r="F214" s="257">
        <v>47604000</v>
      </c>
      <c r="G214" s="257">
        <v>25802000</v>
      </c>
      <c r="H214" s="257">
        <v>0</v>
      </c>
      <c r="I214" s="257">
        <v>3426710.33</v>
      </c>
      <c r="J214" s="257">
        <v>0</v>
      </c>
      <c r="K214" s="257">
        <v>10148234.91</v>
      </c>
      <c r="L214" s="257">
        <v>9889405.8499999996</v>
      </c>
      <c r="M214" s="257">
        <v>34029054.759999998</v>
      </c>
      <c r="N214" s="257">
        <v>12227054.76</v>
      </c>
    </row>
    <row r="215" spans="1:14" s="143" customFormat="1" x14ac:dyDescent="0.25">
      <c r="A215" s="143" t="s">
        <v>290</v>
      </c>
      <c r="B215" s="143" t="s">
        <v>122</v>
      </c>
      <c r="C215" s="143" t="s">
        <v>123</v>
      </c>
      <c r="D215" s="143" t="s">
        <v>69</v>
      </c>
      <c r="E215" s="257">
        <v>4725000</v>
      </c>
      <c r="F215" s="257">
        <v>4725000</v>
      </c>
      <c r="G215" s="257">
        <v>2562500</v>
      </c>
      <c r="H215" s="257">
        <v>0</v>
      </c>
      <c r="I215" s="257">
        <v>241392.55</v>
      </c>
      <c r="J215" s="257">
        <v>0</v>
      </c>
      <c r="K215" s="257">
        <v>1139607.45</v>
      </c>
      <c r="L215" s="257">
        <v>1139607.45</v>
      </c>
      <c r="M215" s="257">
        <v>3344000</v>
      </c>
      <c r="N215" s="257">
        <v>1181500</v>
      </c>
    </row>
    <row r="216" spans="1:14" s="143" customFormat="1" x14ac:dyDescent="0.25">
      <c r="A216" s="143" t="s">
        <v>290</v>
      </c>
      <c r="B216" s="143" t="s">
        <v>124</v>
      </c>
      <c r="C216" s="143" t="s">
        <v>125</v>
      </c>
      <c r="D216" s="143" t="s">
        <v>69</v>
      </c>
      <c r="E216" s="257">
        <v>3746000</v>
      </c>
      <c r="F216" s="257">
        <v>3746000</v>
      </c>
      <c r="G216" s="257">
        <v>2153700</v>
      </c>
      <c r="H216" s="257">
        <v>0</v>
      </c>
      <c r="I216" s="257">
        <v>698642.57</v>
      </c>
      <c r="J216" s="257">
        <v>0</v>
      </c>
      <c r="K216" s="257">
        <v>201440.65</v>
      </c>
      <c r="L216" s="257">
        <v>175205.65</v>
      </c>
      <c r="M216" s="257">
        <v>2845916.78</v>
      </c>
      <c r="N216" s="257">
        <v>1253616.78</v>
      </c>
    </row>
    <row r="217" spans="1:14" s="143" customFormat="1" x14ac:dyDescent="0.25">
      <c r="A217" s="143" t="s">
        <v>290</v>
      </c>
      <c r="B217" s="143" t="s">
        <v>126</v>
      </c>
      <c r="C217" s="143" t="s">
        <v>127</v>
      </c>
      <c r="D217" s="143" t="s">
        <v>69</v>
      </c>
      <c r="E217" s="257">
        <v>500000</v>
      </c>
      <c r="F217" s="257">
        <v>500000</v>
      </c>
      <c r="G217" s="257">
        <v>430700</v>
      </c>
      <c r="H217" s="257">
        <v>0</v>
      </c>
      <c r="I217" s="257">
        <v>100000</v>
      </c>
      <c r="J217" s="257">
        <v>0</v>
      </c>
      <c r="K217" s="257">
        <v>71970</v>
      </c>
      <c r="L217" s="257">
        <v>71970</v>
      </c>
      <c r="M217" s="257">
        <v>328030</v>
      </c>
      <c r="N217" s="257">
        <v>258730</v>
      </c>
    </row>
    <row r="218" spans="1:14" s="143" customFormat="1" x14ac:dyDescent="0.25">
      <c r="A218" s="143" t="s">
        <v>290</v>
      </c>
      <c r="B218" s="143" t="s">
        <v>128</v>
      </c>
      <c r="C218" s="143" t="s">
        <v>129</v>
      </c>
      <c r="D218" s="143" t="s">
        <v>69</v>
      </c>
      <c r="E218" s="257">
        <v>1000000</v>
      </c>
      <c r="F218" s="257">
        <v>1000000</v>
      </c>
      <c r="G218" s="257">
        <v>500000</v>
      </c>
      <c r="H218" s="257">
        <v>0</v>
      </c>
      <c r="I218" s="257">
        <v>100195</v>
      </c>
      <c r="J218" s="257">
        <v>0</v>
      </c>
      <c r="K218" s="257">
        <v>68755</v>
      </c>
      <c r="L218" s="257">
        <v>42520</v>
      </c>
      <c r="M218" s="257">
        <v>831050</v>
      </c>
      <c r="N218" s="257">
        <v>331050</v>
      </c>
    </row>
    <row r="219" spans="1:14" s="143" customFormat="1" x14ac:dyDescent="0.25">
      <c r="A219" s="143" t="s">
        <v>290</v>
      </c>
      <c r="B219" s="143" t="s">
        <v>130</v>
      </c>
      <c r="C219" s="143" t="s">
        <v>131</v>
      </c>
      <c r="D219" s="143" t="s">
        <v>69</v>
      </c>
      <c r="E219" s="257">
        <v>200000</v>
      </c>
      <c r="F219" s="257">
        <v>200000</v>
      </c>
      <c r="G219" s="257">
        <v>200000</v>
      </c>
      <c r="H219" s="257">
        <v>0</v>
      </c>
      <c r="I219" s="257">
        <v>68081.5</v>
      </c>
      <c r="J219" s="257">
        <v>0</v>
      </c>
      <c r="K219" s="257">
        <v>29150</v>
      </c>
      <c r="L219" s="257">
        <v>29150</v>
      </c>
      <c r="M219" s="257">
        <v>102768.5</v>
      </c>
      <c r="N219" s="257">
        <v>102768.5</v>
      </c>
    </row>
    <row r="220" spans="1:14" s="143" customFormat="1" x14ac:dyDescent="0.25">
      <c r="A220" s="143" t="s">
        <v>290</v>
      </c>
      <c r="B220" s="143" t="s">
        <v>132</v>
      </c>
      <c r="C220" s="143" t="s">
        <v>133</v>
      </c>
      <c r="D220" s="143" t="s">
        <v>69</v>
      </c>
      <c r="E220" s="257">
        <v>2046000</v>
      </c>
      <c r="F220" s="257">
        <v>2046000</v>
      </c>
      <c r="G220" s="257">
        <v>1023000</v>
      </c>
      <c r="H220" s="257">
        <v>0</v>
      </c>
      <c r="I220" s="257">
        <v>430366.07</v>
      </c>
      <c r="J220" s="257">
        <v>0</v>
      </c>
      <c r="K220" s="257">
        <v>31565.65</v>
      </c>
      <c r="L220" s="257">
        <v>31565.65</v>
      </c>
      <c r="M220" s="257">
        <v>1584068.28</v>
      </c>
      <c r="N220" s="257">
        <v>561068.28</v>
      </c>
    </row>
    <row r="221" spans="1:14" s="143" customFormat="1" x14ac:dyDescent="0.25">
      <c r="A221" s="143" t="s">
        <v>290</v>
      </c>
      <c r="B221" s="143" t="s">
        <v>134</v>
      </c>
      <c r="C221" s="143" t="s">
        <v>135</v>
      </c>
      <c r="D221" s="143" t="s">
        <v>69</v>
      </c>
      <c r="E221" s="257">
        <v>334518795</v>
      </c>
      <c r="F221" s="257">
        <v>334518795</v>
      </c>
      <c r="G221" s="257">
        <v>178359398</v>
      </c>
      <c r="H221" s="257">
        <v>0</v>
      </c>
      <c r="I221" s="257">
        <v>60785368.390000001</v>
      </c>
      <c r="J221" s="257">
        <v>2958102.42</v>
      </c>
      <c r="K221" s="257">
        <v>71169492.560000002</v>
      </c>
      <c r="L221" s="257">
        <v>47494230.039999999</v>
      </c>
      <c r="M221" s="257">
        <v>199605831.63</v>
      </c>
      <c r="N221" s="257">
        <v>43446434.630000003</v>
      </c>
    </row>
    <row r="222" spans="1:14" s="143" customFormat="1" x14ac:dyDescent="0.25">
      <c r="A222" s="143" t="s">
        <v>290</v>
      </c>
      <c r="B222" s="143" t="s">
        <v>306</v>
      </c>
      <c r="C222" s="143" t="s">
        <v>307</v>
      </c>
      <c r="D222" s="143" t="s">
        <v>69</v>
      </c>
      <c r="E222" s="257">
        <v>2000000</v>
      </c>
      <c r="F222" s="257">
        <v>2000000</v>
      </c>
      <c r="G222" s="257">
        <v>800000</v>
      </c>
      <c r="H222" s="257">
        <v>0</v>
      </c>
      <c r="I222" s="257">
        <v>0</v>
      </c>
      <c r="J222" s="257">
        <v>0</v>
      </c>
      <c r="K222" s="257">
        <v>0</v>
      </c>
      <c r="L222" s="257">
        <v>0</v>
      </c>
      <c r="M222" s="257">
        <v>2000000</v>
      </c>
      <c r="N222" s="257">
        <v>800000</v>
      </c>
    </row>
    <row r="223" spans="1:14" s="143" customFormat="1" x14ac:dyDescent="0.25">
      <c r="A223" s="143" t="s">
        <v>290</v>
      </c>
      <c r="B223" s="143" t="s">
        <v>308</v>
      </c>
      <c r="C223" s="143" t="s">
        <v>309</v>
      </c>
      <c r="D223" s="143" t="s">
        <v>69</v>
      </c>
      <c r="E223" s="257">
        <v>5000000</v>
      </c>
      <c r="F223" s="257">
        <v>5000000</v>
      </c>
      <c r="G223" s="257">
        <v>5000000</v>
      </c>
      <c r="H223" s="257">
        <v>0</v>
      </c>
      <c r="I223" s="257">
        <v>4556956</v>
      </c>
      <c r="J223" s="257">
        <v>0</v>
      </c>
      <c r="K223" s="257">
        <v>0</v>
      </c>
      <c r="L223" s="257">
        <v>0</v>
      </c>
      <c r="M223" s="257">
        <v>443044</v>
      </c>
      <c r="N223" s="257">
        <v>443044</v>
      </c>
    </row>
    <row r="224" spans="1:14" s="143" customFormat="1" x14ac:dyDescent="0.25">
      <c r="A224" s="143" t="s">
        <v>290</v>
      </c>
      <c r="B224" s="143" t="s">
        <v>136</v>
      </c>
      <c r="C224" s="143" t="s">
        <v>137</v>
      </c>
      <c r="D224" s="143" t="s">
        <v>69</v>
      </c>
      <c r="E224" s="257">
        <v>319951179</v>
      </c>
      <c r="F224" s="257">
        <v>319951179</v>
      </c>
      <c r="G224" s="257">
        <v>166175590</v>
      </c>
      <c r="H224" s="257">
        <v>0</v>
      </c>
      <c r="I224" s="257">
        <v>54570650.939999998</v>
      </c>
      <c r="J224" s="257">
        <v>1707576</v>
      </c>
      <c r="K224" s="257">
        <v>71034552.560000002</v>
      </c>
      <c r="L224" s="257">
        <v>47373035.039999999</v>
      </c>
      <c r="M224" s="257">
        <v>192638399.5</v>
      </c>
      <c r="N224" s="257">
        <v>38862810.5</v>
      </c>
    </row>
    <row r="225" spans="1:14" s="143" customFormat="1" x14ac:dyDescent="0.25">
      <c r="A225" s="143" t="s">
        <v>290</v>
      </c>
      <c r="B225" s="143" t="s">
        <v>138</v>
      </c>
      <c r="C225" s="143" t="s">
        <v>139</v>
      </c>
      <c r="D225" s="143" t="s">
        <v>69</v>
      </c>
      <c r="E225" s="257">
        <v>7567616</v>
      </c>
      <c r="F225" s="257">
        <v>7567616</v>
      </c>
      <c r="G225" s="257">
        <v>6383808</v>
      </c>
      <c r="H225" s="257">
        <v>0</v>
      </c>
      <c r="I225" s="257">
        <v>1657761.45</v>
      </c>
      <c r="J225" s="257">
        <v>1250526.42</v>
      </c>
      <c r="K225" s="257">
        <v>134940</v>
      </c>
      <c r="L225" s="257">
        <v>121195</v>
      </c>
      <c r="M225" s="257">
        <v>4524388.13</v>
      </c>
      <c r="N225" s="257">
        <v>3340580.13</v>
      </c>
    </row>
    <row r="226" spans="1:14" s="143" customFormat="1" x14ac:dyDescent="0.25">
      <c r="A226" s="143" t="s">
        <v>290</v>
      </c>
      <c r="B226" s="143" t="s">
        <v>140</v>
      </c>
      <c r="C226" s="143" t="s">
        <v>141</v>
      </c>
      <c r="D226" s="143" t="s">
        <v>69</v>
      </c>
      <c r="E226" s="257">
        <v>33445676</v>
      </c>
      <c r="F226" s="257">
        <v>33445676</v>
      </c>
      <c r="G226" s="257">
        <v>24542838</v>
      </c>
      <c r="H226" s="257">
        <v>484300</v>
      </c>
      <c r="I226" s="257">
        <v>8918691.8000000007</v>
      </c>
      <c r="J226" s="257">
        <v>0</v>
      </c>
      <c r="K226" s="257">
        <v>10882651.1</v>
      </c>
      <c r="L226" s="257">
        <v>10858851.1</v>
      </c>
      <c r="M226" s="257">
        <v>13160033.1</v>
      </c>
      <c r="N226" s="257">
        <v>4257195.0999999996</v>
      </c>
    </row>
    <row r="227" spans="1:14" s="143" customFormat="1" x14ac:dyDescent="0.25">
      <c r="A227" s="143" t="s">
        <v>290</v>
      </c>
      <c r="B227" s="143" t="s">
        <v>142</v>
      </c>
      <c r="C227" s="143" t="s">
        <v>143</v>
      </c>
      <c r="D227" s="143" t="s">
        <v>69</v>
      </c>
      <c r="E227" s="257">
        <v>1700000</v>
      </c>
      <c r="F227" s="257">
        <v>1700000</v>
      </c>
      <c r="G227" s="257">
        <v>850000</v>
      </c>
      <c r="H227" s="257">
        <v>0</v>
      </c>
      <c r="I227" s="257">
        <v>48680</v>
      </c>
      <c r="J227" s="257">
        <v>0</v>
      </c>
      <c r="K227" s="257">
        <v>296940</v>
      </c>
      <c r="L227" s="257">
        <v>296940</v>
      </c>
      <c r="M227" s="257">
        <v>1354380</v>
      </c>
      <c r="N227" s="257">
        <v>504380</v>
      </c>
    </row>
    <row r="228" spans="1:14" s="143" customFormat="1" x14ac:dyDescent="0.25">
      <c r="A228" s="143" t="s">
        <v>290</v>
      </c>
      <c r="B228" s="143" t="s">
        <v>144</v>
      </c>
      <c r="C228" s="143" t="s">
        <v>145</v>
      </c>
      <c r="D228" s="143" t="s">
        <v>69</v>
      </c>
      <c r="E228" s="257">
        <v>24979191</v>
      </c>
      <c r="F228" s="257">
        <v>24979191</v>
      </c>
      <c r="G228" s="257">
        <v>18489596</v>
      </c>
      <c r="H228" s="257">
        <v>484300</v>
      </c>
      <c r="I228" s="257">
        <v>8713196</v>
      </c>
      <c r="J228" s="257">
        <v>0</v>
      </c>
      <c r="K228" s="257">
        <v>8730750</v>
      </c>
      <c r="L228" s="257">
        <v>8706950</v>
      </c>
      <c r="M228" s="257">
        <v>7050945</v>
      </c>
      <c r="N228" s="257">
        <v>561350</v>
      </c>
    </row>
    <row r="229" spans="1:14" s="143" customFormat="1" x14ac:dyDescent="0.25">
      <c r="A229" s="143" t="s">
        <v>290</v>
      </c>
      <c r="B229" s="143" t="s">
        <v>146</v>
      </c>
      <c r="C229" s="143" t="s">
        <v>147</v>
      </c>
      <c r="D229" s="143" t="s">
        <v>69</v>
      </c>
      <c r="E229" s="257">
        <v>2035715</v>
      </c>
      <c r="F229" s="257">
        <v>2035715</v>
      </c>
      <c r="G229" s="257">
        <v>1017858</v>
      </c>
      <c r="H229" s="257">
        <v>0</v>
      </c>
      <c r="I229" s="257">
        <v>133262</v>
      </c>
      <c r="J229" s="257">
        <v>0</v>
      </c>
      <c r="K229" s="257">
        <v>366738</v>
      </c>
      <c r="L229" s="257">
        <v>366738</v>
      </c>
      <c r="M229" s="257">
        <v>1535715</v>
      </c>
      <c r="N229" s="257">
        <v>517858</v>
      </c>
    </row>
    <row r="230" spans="1:14" s="143" customFormat="1" x14ac:dyDescent="0.25">
      <c r="A230" s="143" t="s">
        <v>290</v>
      </c>
      <c r="B230" s="143" t="s">
        <v>148</v>
      </c>
      <c r="C230" s="143" t="s">
        <v>149</v>
      </c>
      <c r="D230" s="143" t="s">
        <v>69</v>
      </c>
      <c r="E230" s="257">
        <v>4730770</v>
      </c>
      <c r="F230" s="257">
        <v>4730770</v>
      </c>
      <c r="G230" s="257">
        <v>4185384</v>
      </c>
      <c r="H230" s="257">
        <v>0</v>
      </c>
      <c r="I230" s="257">
        <v>23553.8</v>
      </c>
      <c r="J230" s="257">
        <v>0</v>
      </c>
      <c r="K230" s="257">
        <v>1488223.1</v>
      </c>
      <c r="L230" s="257">
        <v>1488223.1</v>
      </c>
      <c r="M230" s="257">
        <v>3218993.1</v>
      </c>
      <c r="N230" s="257">
        <v>2673607.1</v>
      </c>
    </row>
    <row r="231" spans="1:14" s="143" customFormat="1" x14ac:dyDescent="0.25">
      <c r="A231" s="143" t="s">
        <v>290</v>
      </c>
      <c r="B231" s="143" t="s">
        <v>150</v>
      </c>
      <c r="C231" s="143" t="s">
        <v>151</v>
      </c>
      <c r="D231" s="143" t="s">
        <v>69</v>
      </c>
      <c r="E231" s="257">
        <v>83546141</v>
      </c>
      <c r="F231" s="257">
        <v>83546141</v>
      </c>
      <c r="G231" s="257">
        <v>44073070</v>
      </c>
      <c r="H231" s="257">
        <v>0</v>
      </c>
      <c r="I231" s="257">
        <v>136095</v>
      </c>
      <c r="J231" s="257">
        <v>0</v>
      </c>
      <c r="K231" s="257">
        <v>22994033</v>
      </c>
      <c r="L231" s="257">
        <v>22994033</v>
      </c>
      <c r="M231" s="257">
        <v>60416013</v>
      </c>
      <c r="N231" s="257">
        <v>20942942</v>
      </c>
    </row>
    <row r="232" spans="1:14" s="143" customFormat="1" x14ac:dyDescent="0.25">
      <c r="A232" s="143" t="s">
        <v>290</v>
      </c>
      <c r="B232" s="143" t="s">
        <v>152</v>
      </c>
      <c r="C232" s="143" t="s">
        <v>153</v>
      </c>
      <c r="D232" s="143" t="s">
        <v>69</v>
      </c>
      <c r="E232" s="257">
        <v>83546141</v>
      </c>
      <c r="F232" s="257">
        <v>83546141</v>
      </c>
      <c r="G232" s="257">
        <v>44073070</v>
      </c>
      <c r="H232" s="257">
        <v>0</v>
      </c>
      <c r="I232" s="257">
        <v>136095</v>
      </c>
      <c r="J232" s="257">
        <v>0</v>
      </c>
      <c r="K232" s="257">
        <v>22994033</v>
      </c>
      <c r="L232" s="257">
        <v>22994033</v>
      </c>
      <c r="M232" s="257">
        <v>60416013</v>
      </c>
      <c r="N232" s="257">
        <v>20942942</v>
      </c>
    </row>
    <row r="233" spans="1:14" s="143" customFormat="1" x14ac:dyDescent="0.25">
      <c r="A233" s="143" t="s">
        <v>290</v>
      </c>
      <c r="B233" s="143" t="s">
        <v>154</v>
      </c>
      <c r="C233" s="143" t="s">
        <v>155</v>
      </c>
      <c r="D233" s="143" t="s">
        <v>69</v>
      </c>
      <c r="E233" s="257">
        <v>0</v>
      </c>
      <c r="F233" s="257">
        <v>0</v>
      </c>
      <c r="G233" s="257">
        <v>0</v>
      </c>
      <c r="H233" s="257">
        <v>0</v>
      </c>
      <c r="I233" s="257">
        <v>0</v>
      </c>
      <c r="J233" s="257">
        <v>0</v>
      </c>
      <c r="K233" s="257">
        <v>0</v>
      </c>
      <c r="L233" s="257">
        <v>0</v>
      </c>
      <c r="M233" s="257">
        <v>0</v>
      </c>
      <c r="N233" s="257">
        <v>0</v>
      </c>
    </row>
    <row r="234" spans="1:14" s="143" customFormat="1" x14ac:dyDescent="0.25">
      <c r="A234" s="143" t="s">
        <v>290</v>
      </c>
      <c r="B234" s="143" t="s">
        <v>156</v>
      </c>
      <c r="C234" s="143" t="s">
        <v>157</v>
      </c>
      <c r="D234" s="143" t="s">
        <v>69</v>
      </c>
      <c r="E234" s="257">
        <v>0</v>
      </c>
      <c r="F234" s="257">
        <v>0</v>
      </c>
      <c r="G234" s="257">
        <v>0</v>
      </c>
      <c r="H234" s="257">
        <v>0</v>
      </c>
      <c r="I234" s="257">
        <v>0</v>
      </c>
      <c r="J234" s="257">
        <v>0</v>
      </c>
      <c r="K234" s="257">
        <v>0</v>
      </c>
      <c r="L234" s="257">
        <v>0</v>
      </c>
      <c r="M234" s="257">
        <v>0</v>
      </c>
      <c r="N234" s="257">
        <v>0</v>
      </c>
    </row>
    <row r="235" spans="1:14" s="143" customFormat="1" x14ac:dyDescent="0.25">
      <c r="A235" s="143" t="s">
        <v>290</v>
      </c>
      <c r="B235" s="143" t="s">
        <v>162</v>
      </c>
      <c r="C235" s="143" t="s">
        <v>163</v>
      </c>
      <c r="D235" s="143" t="s">
        <v>69</v>
      </c>
      <c r="E235" s="257">
        <v>89480793</v>
      </c>
      <c r="F235" s="257">
        <v>89480793</v>
      </c>
      <c r="G235" s="257">
        <v>42920396</v>
      </c>
      <c r="H235" s="257">
        <v>466500</v>
      </c>
      <c r="I235" s="257">
        <v>24318578.370000001</v>
      </c>
      <c r="J235" s="257">
        <v>381199.59</v>
      </c>
      <c r="K235" s="257">
        <v>8283040.6500000004</v>
      </c>
      <c r="L235" s="257">
        <v>7473040.6500000004</v>
      </c>
      <c r="M235" s="257">
        <v>56031474.390000001</v>
      </c>
      <c r="N235" s="257">
        <v>9471077.3900000006</v>
      </c>
    </row>
    <row r="236" spans="1:14" s="143" customFormat="1" x14ac:dyDescent="0.25">
      <c r="A236" s="143" t="s">
        <v>290</v>
      </c>
      <c r="B236" s="143" t="s">
        <v>310</v>
      </c>
      <c r="C236" s="143" t="s">
        <v>311</v>
      </c>
      <c r="D236" s="143" t="s">
        <v>69</v>
      </c>
      <c r="E236" s="257">
        <v>13000000</v>
      </c>
      <c r="F236" s="257">
        <v>13000000</v>
      </c>
      <c r="G236" s="257">
        <v>8000000</v>
      </c>
      <c r="H236" s="257">
        <v>466500</v>
      </c>
      <c r="I236" s="257">
        <v>3411884.75</v>
      </c>
      <c r="J236" s="257">
        <v>0</v>
      </c>
      <c r="K236" s="257">
        <v>1914772.92</v>
      </c>
      <c r="L236" s="257">
        <v>1914772.92</v>
      </c>
      <c r="M236" s="257">
        <v>7206842.3300000001</v>
      </c>
      <c r="N236" s="257">
        <v>2206842.33</v>
      </c>
    </row>
    <row r="237" spans="1:14" s="143" customFormat="1" x14ac:dyDescent="0.25">
      <c r="A237" s="143" t="s">
        <v>290</v>
      </c>
      <c r="B237" s="143" t="s">
        <v>164</v>
      </c>
      <c r="C237" s="143" t="s">
        <v>165</v>
      </c>
      <c r="D237" s="143" t="s">
        <v>69</v>
      </c>
      <c r="E237" s="257">
        <v>1918000</v>
      </c>
      <c r="F237" s="257">
        <v>1918000</v>
      </c>
      <c r="G237" s="257">
        <v>1359000</v>
      </c>
      <c r="H237" s="257">
        <v>0</v>
      </c>
      <c r="I237" s="257">
        <v>443517.88</v>
      </c>
      <c r="J237" s="257">
        <v>0</v>
      </c>
      <c r="K237" s="257">
        <v>756606.25</v>
      </c>
      <c r="L237" s="257">
        <v>756606.25</v>
      </c>
      <c r="M237" s="257">
        <v>717875.87</v>
      </c>
      <c r="N237" s="257">
        <v>158875.87</v>
      </c>
    </row>
    <row r="238" spans="1:14" s="143" customFormat="1" x14ac:dyDescent="0.25">
      <c r="A238" s="143" t="s">
        <v>290</v>
      </c>
      <c r="B238" s="143" t="s">
        <v>166</v>
      </c>
      <c r="C238" s="143" t="s">
        <v>167</v>
      </c>
      <c r="D238" s="143" t="s">
        <v>69</v>
      </c>
      <c r="E238" s="257">
        <v>25420000</v>
      </c>
      <c r="F238" s="257">
        <v>25420000</v>
      </c>
      <c r="G238" s="257">
        <v>12660000</v>
      </c>
      <c r="H238" s="257">
        <v>0</v>
      </c>
      <c r="I238" s="257">
        <v>11441423</v>
      </c>
      <c r="J238" s="257">
        <v>0</v>
      </c>
      <c r="K238" s="257">
        <v>486256</v>
      </c>
      <c r="L238" s="257">
        <v>486256</v>
      </c>
      <c r="M238" s="257">
        <v>13492321</v>
      </c>
      <c r="N238" s="257">
        <v>732321</v>
      </c>
    </row>
    <row r="239" spans="1:14" s="143" customFormat="1" x14ac:dyDescent="0.25">
      <c r="A239" s="143" t="s">
        <v>290</v>
      </c>
      <c r="B239" s="143" t="s">
        <v>312</v>
      </c>
      <c r="C239" s="143" t="s">
        <v>313</v>
      </c>
      <c r="D239" s="143" t="s">
        <v>69</v>
      </c>
      <c r="E239" s="257">
        <v>7181770</v>
      </c>
      <c r="F239" s="257">
        <v>7181770</v>
      </c>
      <c r="G239" s="257">
        <v>3590884</v>
      </c>
      <c r="H239" s="257">
        <v>0</v>
      </c>
      <c r="I239" s="257">
        <v>1436583.2</v>
      </c>
      <c r="J239" s="257">
        <v>0</v>
      </c>
      <c r="K239" s="257">
        <v>800000</v>
      </c>
      <c r="L239" s="257">
        <v>800000</v>
      </c>
      <c r="M239" s="257">
        <v>4945186.8</v>
      </c>
      <c r="N239" s="257">
        <v>1354300.8</v>
      </c>
    </row>
    <row r="240" spans="1:14" s="143" customFormat="1" x14ac:dyDescent="0.25">
      <c r="A240" s="143" t="s">
        <v>290</v>
      </c>
      <c r="B240" s="143" t="s">
        <v>168</v>
      </c>
      <c r="C240" s="143" t="s">
        <v>169</v>
      </c>
      <c r="D240" s="143" t="s">
        <v>69</v>
      </c>
      <c r="E240" s="257">
        <v>8196286</v>
      </c>
      <c r="F240" s="257">
        <v>8196286</v>
      </c>
      <c r="G240" s="257">
        <v>4098144</v>
      </c>
      <c r="H240" s="257">
        <v>0</v>
      </c>
      <c r="I240" s="257">
        <v>2900677.48</v>
      </c>
      <c r="J240" s="257">
        <v>138618.99</v>
      </c>
      <c r="K240" s="257">
        <v>878973.6</v>
      </c>
      <c r="L240" s="257">
        <v>878973.6</v>
      </c>
      <c r="M240" s="257">
        <v>4278015.93</v>
      </c>
      <c r="N240" s="257">
        <v>179873.93</v>
      </c>
    </row>
    <row r="241" spans="1:14" s="143" customFormat="1" x14ac:dyDescent="0.25">
      <c r="A241" s="143" t="s">
        <v>290</v>
      </c>
      <c r="B241" s="143" t="s">
        <v>170</v>
      </c>
      <c r="C241" s="143" t="s">
        <v>171</v>
      </c>
      <c r="D241" s="143" t="s">
        <v>69</v>
      </c>
      <c r="E241" s="257">
        <v>28160737</v>
      </c>
      <c r="F241" s="257">
        <v>28160737</v>
      </c>
      <c r="G241" s="257">
        <v>10410368</v>
      </c>
      <c r="H241" s="257">
        <v>0</v>
      </c>
      <c r="I241" s="257">
        <v>3450000</v>
      </c>
      <c r="J241" s="257">
        <v>242580.6</v>
      </c>
      <c r="K241" s="257">
        <v>3446431.88</v>
      </c>
      <c r="L241" s="257">
        <v>2636431.88</v>
      </c>
      <c r="M241" s="257">
        <v>21021724.52</v>
      </c>
      <c r="N241" s="257">
        <v>3271355.52</v>
      </c>
    </row>
    <row r="242" spans="1:14" s="143" customFormat="1" x14ac:dyDescent="0.25">
      <c r="A242" s="143" t="s">
        <v>290</v>
      </c>
      <c r="B242" s="143" t="s">
        <v>172</v>
      </c>
      <c r="C242" s="143" t="s">
        <v>173</v>
      </c>
      <c r="D242" s="143" t="s">
        <v>69</v>
      </c>
      <c r="E242" s="257">
        <v>5604000</v>
      </c>
      <c r="F242" s="257">
        <v>5604000</v>
      </c>
      <c r="G242" s="257">
        <v>2802000</v>
      </c>
      <c r="H242" s="257">
        <v>0</v>
      </c>
      <c r="I242" s="257">
        <v>1234492.06</v>
      </c>
      <c r="J242" s="257">
        <v>0</v>
      </c>
      <c r="K242" s="257">
        <v>0</v>
      </c>
      <c r="L242" s="257">
        <v>0</v>
      </c>
      <c r="M242" s="257">
        <v>4369507.9400000004</v>
      </c>
      <c r="N242" s="257">
        <v>1567507.94</v>
      </c>
    </row>
    <row r="243" spans="1:14" s="143" customFormat="1" x14ac:dyDescent="0.25">
      <c r="A243" s="143" t="s">
        <v>290</v>
      </c>
      <c r="B243" s="143" t="s">
        <v>174</v>
      </c>
      <c r="C243" s="143" t="s">
        <v>175</v>
      </c>
      <c r="D243" s="143" t="s">
        <v>69</v>
      </c>
      <c r="E243" s="257">
        <v>1340000</v>
      </c>
      <c r="F243" s="257">
        <v>1340000</v>
      </c>
      <c r="G243" s="257">
        <v>1270000</v>
      </c>
      <c r="H243" s="257">
        <v>0</v>
      </c>
      <c r="I243" s="257">
        <v>25000</v>
      </c>
      <c r="J243" s="257">
        <v>0</v>
      </c>
      <c r="K243" s="257">
        <v>0</v>
      </c>
      <c r="L243" s="257">
        <v>0</v>
      </c>
      <c r="M243" s="257">
        <v>1315000</v>
      </c>
      <c r="N243" s="257">
        <v>1245000</v>
      </c>
    </row>
    <row r="244" spans="1:14" s="143" customFormat="1" x14ac:dyDescent="0.25">
      <c r="A244" s="143" t="s">
        <v>290</v>
      </c>
      <c r="B244" s="143" t="s">
        <v>176</v>
      </c>
      <c r="C244" s="143" t="s">
        <v>177</v>
      </c>
      <c r="D244" s="143" t="s">
        <v>69</v>
      </c>
      <c r="E244" s="257">
        <v>1340000</v>
      </c>
      <c r="F244" s="257">
        <v>1340000</v>
      </c>
      <c r="G244" s="257">
        <v>1270000</v>
      </c>
      <c r="H244" s="257">
        <v>0</v>
      </c>
      <c r="I244" s="257">
        <v>25000</v>
      </c>
      <c r="J244" s="257">
        <v>0</v>
      </c>
      <c r="K244" s="257">
        <v>0</v>
      </c>
      <c r="L244" s="257">
        <v>0</v>
      </c>
      <c r="M244" s="257">
        <v>1315000</v>
      </c>
      <c r="N244" s="257">
        <v>1245000</v>
      </c>
    </row>
    <row r="245" spans="1:14" s="143" customFormat="1" x14ac:dyDescent="0.25">
      <c r="A245" s="143" t="s">
        <v>290</v>
      </c>
      <c r="B245" s="143" t="s">
        <v>178</v>
      </c>
      <c r="C245" s="143" t="s">
        <v>179</v>
      </c>
      <c r="D245" s="143" t="s">
        <v>69</v>
      </c>
      <c r="E245" s="257">
        <v>2150000</v>
      </c>
      <c r="F245" s="257">
        <v>2150000</v>
      </c>
      <c r="G245" s="257">
        <v>675000</v>
      </c>
      <c r="H245" s="257">
        <v>0</v>
      </c>
      <c r="I245" s="257">
        <v>113207.78</v>
      </c>
      <c r="J245" s="257">
        <v>0</v>
      </c>
      <c r="K245" s="257">
        <v>0</v>
      </c>
      <c r="L245" s="257">
        <v>0</v>
      </c>
      <c r="M245" s="257">
        <v>2036792.22</v>
      </c>
      <c r="N245" s="257">
        <v>561792.22</v>
      </c>
    </row>
    <row r="246" spans="1:14" s="143" customFormat="1" x14ac:dyDescent="0.25">
      <c r="A246" s="143" t="s">
        <v>290</v>
      </c>
      <c r="B246" s="143" t="s">
        <v>180</v>
      </c>
      <c r="C246" s="143" t="s">
        <v>181</v>
      </c>
      <c r="D246" s="143" t="s">
        <v>69</v>
      </c>
      <c r="E246" s="257">
        <v>150000</v>
      </c>
      <c r="F246" s="257">
        <v>150000</v>
      </c>
      <c r="G246" s="257">
        <v>150000</v>
      </c>
      <c r="H246" s="257">
        <v>0</v>
      </c>
      <c r="I246" s="257">
        <v>113207.78</v>
      </c>
      <c r="J246" s="257">
        <v>0</v>
      </c>
      <c r="K246" s="257">
        <v>0</v>
      </c>
      <c r="L246" s="257">
        <v>0</v>
      </c>
      <c r="M246" s="257">
        <v>36792.22</v>
      </c>
      <c r="N246" s="257">
        <v>36792.22</v>
      </c>
    </row>
    <row r="247" spans="1:14" s="143" customFormat="1" x14ac:dyDescent="0.25">
      <c r="A247" s="143" t="s">
        <v>290</v>
      </c>
      <c r="B247" s="143" t="s">
        <v>182</v>
      </c>
      <c r="C247" s="143" t="s">
        <v>183</v>
      </c>
      <c r="D247" s="143" t="s">
        <v>69</v>
      </c>
      <c r="E247" s="257">
        <v>2000000</v>
      </c>
      <c r="F247" s="257">
        <v>2000000</v>
      </c>
      <c r="G247" s="257">
        <v>525000</v>
      </c>
      <c r="H247" s="257">
        <v>0</v>
      </c>
      <c r="I247" s="257">
        <v>0</v>
      </c>
      <c r="J247" s="257">
        <v>0</v>
      </c>
      <c r="K247" s="257">
        <v>0</v>
      </c>
      <c r="L247" s="257">
        <v>0</v>
      </c>
      <c r="M247" s="257">
        <v>2000000</v>
      </c>
      <c r="N247" s="257">
        <v>525000</v>
      </c>
    </row>
    <row r="248" spans="1:14" s="143" customFormat="1" x14ac:dyDescent="0.25">
      <c r="A248" s="143" t="s">
        <v>290</v>
      </c>
      <c r="B248" s="143" t="s">
        <v>184</v>
      </c>
      <c r="C248" s="143" t="s">
        <v>185</v>
      </c>
      <c r="D248" s="143" t="s">
        <v>69</v>
      </c>
      <c r="E248" s="257">
        <v>65233793</v>
      </c>
      <c r="F248" s="257">
        <v>65233793</v>
      </c>
      <c r="G248" s="257">
        <v>21136896</v>
      </c>
      <c r="H248" s="257">
        <v>0</v>
      </c>
      <c r="I248" s="257">
        <v>2098265.21</v>
      </c>
      <c r="J248" s="257">
        <v>66000</v>
      </c>
      <c r="K248" s="257">
        <v>5428919.79</v>
      </c>
      <c r="L248" s="257">
        <v>5428919.79</v>
      </c>
      <c r="M248" s="257">
        <v>57640608</v>
      </c>
      <c r="N248" s="257">
        <v>13543711</v>
      </c>
    </row>
    <row r="249" spans="1:14" s="143" customFormat="1" x14ac:dyDescent="0.25">
      <c r="A249" s="143" t="s">
        <v>290</v>
      </c>
      <c r="B249" s="143" t="s">
        <v>186</v>
      </c>
      <c r="C249" s="143" t="s">
        <v>187</v>
      </c>
      <c r="D249" s="143" t="s">
        <v>69</v>
      </c>
      <c r="E249" s="257">
        <v>34706100</v>
      </c>
      <c r="F249" s="257">
        <v>34706100</v>
      </c>
      <c r="G249" s="257">
        <v>15353050</v>
      </c>
      <c r="H249" s="257">
        <v>0</v>
      </c>
      <c r="I249" s="257">
        <v>1855550.21</v>
      </c>
      <c r="J249" s="257">
        <v>0</v>
      </c>
      <c r="K249" s="257">
        <v>4640519.79</v>
      </c>
      <c r="L249" s="257">
        <v>4640519.79</v>
      </c>
      <c r="M249" s="257">
        <v>28210030</v>
      </c>
      <c r="N249" s="257">
        <v>8856980</v>
      </c>
    </row>
    <row r="250" spans="1:14" s="143" customFormat="1" x14ac:dyDescent="0.25">
      <c r="A250" s="143" t="s">
        <v>290</v>
      </c>
      <c r="B250" s="143" t="s">
        <v>188</v>
      </c>
      <c r="C250" s="143" t="s">
        <v>189</v>
      </c>
      <c r="D250" s="143" t="s">
        <v>69</v>
      </c>
      <c r="E250" s="257">
        <v>26298967</v>
      </c>
      <c r="F250" s="257">
        <v>26298967</v>
      </c>
      <c r="G250" s="257">
        <v>13149484</v>
      </c>
      <c r="H250" s="257">
        <v>0</v>
      </c>
      <c r="I250" s="257">
        <v>1855550.21</v>
      </c>
      <c r="J250" s="257">
        <v>0</v>
      </c>
      <c r="K250" s="257">
        <v>4640519.79</v>
      </c>
      <c r="L250" s="257">
        <v>4640519.79</v>
      </c>
      <c r="M250" s="257">
        <v>19802897</v>
      </c>
      <c r="N250" s="257">
        <v>6653414</v>
      </c>
    </row>
    <row r="251" spans="1:14" s="143" customFormat="1" x14ac:dyDescent="0.25">
      <c r="A251" s="143" t="s">
        <v>290</v>
      </c>
      <c r="B251" s="143" t="s">
        <v>192</v>
      </c>
      <c r="C251" s="143" t="s">
        <v>193</v>
      </c>
      <c r="D251" s="143" t="s">
        <v>69</v>
      </c>
      <c r="E251" s="257">
        <v>8102133</v>
      </c>
      <c r="F251" s="257">
        <v>8102133</v>
      </c>
      <c r="G251" s="257">
        <v>2051066</v>
      </c>
      <c r="H251" s="257">
        <v>0</v>
      </c>
      <c r="I251" s="257">
        <v>0</v>
      </c>
      <c r="J251" s="257">
        <v>0</v>
      </c>
      <c r="K251" s="257">
        <v>0</v>
      </c>
      <c r="L251" s="257">
        <v>0</v>
      </c>
      <c r="M251" s="257">
        <v>8102133</v>
      </c>
      <c r="N251" s="257">
        <v>2051066</v>
      </c>
    </row>
    <row r="252" spans="1:14" s="143" customFormat="1" x14ac:dyDescent="0.25">
      <c r="A252" s="143" t="s">
        <v>290</v>
      </c>
      <c r="B252" s="143" t="s">
        <v>194</v>
      </c>
      <c r="C252" s="143" t="s">
        <v>195</v>
      </c>
      <c r="D252" s="143" t="s">
        <v>69</v>
      </c>
      <c r="E252" s="257">
        <v>305000</v>
      </c>
      <c r="F252" s="257">
        <v>305000</v>
      </c>
      <c r="G252" s="257">
        <v>152500</v>
      </c>
      <c r="H252" s="257">
        <v>0</v>
      </c>
      <c r="I252" s="257">
        <v>0</v>
      </c>
      <c r="J252" s="257">
        <v>0</v>
      </c>
      <c r="K252" s="257">
        <v>0</v>
      </c>
      <c r="L252" s="257">
        <v>0</v>
      </c>
      <c r="M252" s="257">
        <v>305000</v>
      </c>
      <c r="N252" s="257">
        <v>152500</v>
      </c>
    </row>
    <row r="253" spans="1:14" s="143" customFormat="1" x14ac:dyDescent="0.25">
      <c r="A253" s="143" t="s">
        <v>290</v>
      </c>
      <c r="B253" s="143" t="s">
        <v>200</v>
      </c>
      <c r="C253" s="143" t="s">
        <v>201</v>
      </c>
      <c r="D253" s="143" t="s">
        <v>69</v>
      </c>
      <c r="E253" s="257">
        <v>2978000</v>
      </c>
      <c r="F253" s="257">
        <v>2978000</v>
      </c>
      <c r="G253" s="257">
        <v>989000</v>
      </c>
      <c r="H253" s="257">
        <v>0</v>
      </c>
      <c r="I253" s="257">
        <v>0</v>
      </c>
      <c r="J253" s="257">
        <v>0</v>
      </c>
      <c r="K253" s="257">
        <v>0</v>
      </c>
      <c r="L253" s="257">
        <v>0</v>
      </c>
      <c r="M253" s="257">
        <v>2978000</v>
      </c>
      <c r="N253" s="257">
        <v>989000</v>
      </c>
    </row>
    <row r="254" spans="1:14" s="143" customFormat="1" x14ac:dyDescent="0.25">
      <c r="A254" s="143" t="s">
        <v>290</v>
      </c>
      <c r="B254" s="143" t="s">
        <v>314</v>
      </c>
      <c r="C254" s="143" t="s">
        <v>315</v>
      </c>
      <c r="D254" s="143" t="s">
        <v>69</v>
      </c>
      <c r="E254" s="257">
        <v>830000</v>
      </c>
      <c r="F254" s="257">
        <v>830000</v>
      </c>
      <c r="G254" s="257">
        <v>215000</v>
      </c>
      <c r="H254" s="257">
        <v>0</v>
      </c>
      <c r="I254" s="257">
        <v>0</v>
      </c>
      <c r="J254" s="257">
        <v>0</v>
      </c>
      <c r="K254" s="257">
        <v>0</v>
      </c>
      <c r="L254" s="257">
        <v>0</v>
      </c>
      <c r="M254" s="257">
        <v>830000</v>
      </c>
      <c r="N254" s="257">
        <v>215000</v>
      </c>
    </row>
    <row r="255" spans="1:14" s="143" customFormat="1" x14ac:dyDescent="0.25">
      <c r="A255" s="143" t="s">
        <v>290</v>
      </c>
      <c r="B255" s="143" t="s">
        <v>316</v>
      </c>
      <c r="C255" s="143" t="s">
        <v>317</v>
      </c>
      <c r="D255" s="143" t="s">
        <v>69</v>
      </c>
      <c r="E255" s="257">
        <v>67000</v>
      </c>
      <c r="F255" s="257">
        <v>67000</v>
      </c>
      <c r="G255" s="257">
        <v>33500</v>
      </c>
      <c r="H255" s="257">
        <v>0</v>
      </c>
      <c r="I255" s="257">
        <v>0</v>
      </c>
      <c r="J255" s="257">
        <v>0</v>
      </c>
      <c r="K255" s="257">
        <v>0</v>
      </c>
      <c r="L255" s="257">
        <v>0</v>
      </c>
      <c r="M255" s="257">
        <v>67000</v>
      </c>
      <c r="N255" s="257">
        <v>33500</v>
      </c>
    </row>
    <row r="256" spans="1:14" s="143" customFormat="1" x14ac:dyDescent="0.25">
      <c r="A256" s="143" t="s">
        <v>290</v>
      </c>
      <c r="B256" s="143" t="s">
        <v>318</v>
      </c>
      <c r="C256" s="143" t="s">
        <v>319</v>
      </c>
      <c r="D256" s="143" t="s">
        <v>69</v>
      </c>
      <c r="E256" s="257">
        <v>99000</v>
      </c>
      <c r="F256" s="257">
        <v>99000</v>
      </c>
      <c r="G256" s="257">
        <v>49500</v>
      </c>
      <c r="H256" s="257">
        <v>0</v>
      </c>
      <c r="I256" s="257">
        <v>0</v>
      </c>
      <c r="J256" s="257">
        <v>0</v>
      </c>
      <c r="K256" s="257">
        <v>0</v>
      </c>
      <c r="L256" s="257">
        <v>0</v>
      </c>
      <c r="M256" s="257">
        <v>99000</v>
      </c>
      <c r="N256" s="257">
        <v>49500</v>
      </c>
    </row>
    <row r="257" spans="1:14" s="143" customFormat="1" x14ac:dyDescent="0.25">
      <c r="A257" s="143" t="s">
        <v>290</v>
      </c>
      <c r="B257" s="143" t="s">
        <v>202</v>
      </c>
      <c r="C257" s="143" t="s">
        <v>203</v>
      </c>
      <c r="D257" s="143" t="s">
        <v>69</v>
      </c>
      <c r="E257" s="257">
        <v>1345000</v>
      </c>
      <c r="F257" s="257">
        <v>1345000</v>
      </c>
      <c r="G257" s="257">
        <v>372500</v>
      </c>
      <c r="H257" s="257">
        <v>0</v>
      </c>
      <c r="I257" s="257">
        <v>0</v>
      </c>
      <c r="J257" s="257">
        <v>0</v>
      </c>
      <c r="K257" s="257">
        <v>0</v>
      </c>
      <c r="L257" s="257">
        <v>0</v>
      </c>
      <c r="M257" s="257">
        <v>1345000</v>
      </c>
      <c r="N257" s="257">
        <v>372500</v>
      </c>
    </row>
    <row r="258" spans="1:14" s="143" customFormat="1" x14ac:dyDescent="0.25">
      <c r="A258" s="143" t="s">
        <v>290</v>
      </c>
      <c r="B258" s="143" t="s">
        <v>320</v>
      </c>
      <c r="C258" s="143" t="s">
        <v>321</v>
      </c>
      <c r="D258" s="143" t="s">
        <v>69</v>
      </c>
      <c r="E258" s="257">
        <v>40000</v>
      </c>
      <c r="F258" s="257">
        <v>40000</v>
      </c>
      <c r="G258" s="257">
        <v>20000</v>
      </c>
      <c r="H258" s="257">
        <v>0</v>
      </c>
      <c r="I258" s="257">
        <v>0</v>
      </c>
      <c r="J258" s="257">
        <v>0</v>
      </c>
      <c r="K258" s="257">
        <v>0</v>
      </c>
      <c r="L258" s="257">
        <v>0</v>
      </c>
      <c r="M258" s="257">
        <v>40000</v>
      </c>
      <c r="N258" s="257">
        <v>20000</v>
      </c>
    </row>
    <row r="259" spans="1:14" s="143" customFormat="1" x14ac:dyDescent="0.25">
      <c r="A259" s="143" t="s">
        <v>290</v>
      </c>
      <c r="B259" s="143" t="s">
        <v>204</v>
      </c>
      <c r="C259" s="143" t="s">
        <v>205</v>
      </c>
      <c r="D259" s="143" t="s">
        <v>69</v>
      </c>
      <c r="E259" s="257">
        <v>198000</v>
      </c>
      <c r="F259" s="257">
        <v>198000</v>
      </c>
      <c r="G259" s="257">
        <v>99000</v>
      </c>
      <c r="H259" s="257">
        <v>0</v>
      </c>
      <c r="I259" s="257">
        <v>0</v>
      </c>
      <c r="J259" s="257">
        <v>0</v>
      </c>
      <c r="K259" s="257">
        <v>0</v>
      </c>
      <c r="L259" s="257">
        <v>0</v>
      </c>
      <c r="M259" s="257">
        <v>198000</v>
      </c>
      <c r="N259" s="257">
        <v>99000</v>
      </c>
    </row>
    <row r="260" spans="1:14" s="143" customFormat="1" x14ac:dyDescent="0.25">
      <c r="A260" s="143" t="s">
        <v>290</v>
      </c>
      <c r="B260" s="143" t="s">
        <v>322</v>
      </c>
      <c r="C260" s="143" t="s">
        <v>323</v>
      </c>
      <c r="D260" s="143" t="s">
        <v>69</v>
      </c>
      <c r="E260" s="257">
        <v>399000</v>
      </c>
      <c r="F260" s="257">
        <v>399000</v>
      </c>
      <c r="G260" s="257">
        <v>199500</v>
      </c>
      <c r="H260" s="257">
        <v>0</v>
      </c>
      <c r="I260" s="257">
        <v>0</v>
      </c>
      <c r="J260" s="257">
        <v>0</v>
      </c>
      <c r="K260" s="257">
        <v>0</v>
      </c>
      <c r="L260" s="257">
        <v>0</v>
      </c>
      <c r="M260" s="257">
        <v>399000</v>
      </c>
      <c r="N260" s="257">
        <v>199500</v>
      </c>
    </row>
    <row r="261" spans="1:14" s="143" customFormat="1" x14ac:dyDescent="0.25">
      <c r="A261" s="143" t="s">
        <v>290</v>
      </c>
      <c r="B261" s="143" t="s">
        <v>206</v>
      </c>
      <c r="C261" s="143" t="s">
        <v>207</v>
      </c>
      <c r="D261" s="143" t="s">
        <v>69</v>
      </c>
      <c r="E261" s="257">
        <v>3047000</v>
      </c>
      <c r="F261" s="257">
        <v>3047000</v>
      </c>
      <c r="G261" s="257">
        <v>873500</v>
      </c>
      <c r="H261" s="257">
        <v>0</v>
      </c>
      <c r="I261" s="257">
        <v>0</v>
      </c>
      <c r="J261" s="257">
        <v>0</v>
      </c>
      <c r="K261" s="257">
        <v>0</v>
      </c>
      <c r="L261" s="257">
        <v>0</v>
      </c>
      <c r="M261" s="257">
        <v>3047000</v>
      </c>
      <c r="N261" s="257">
        <v>873500</v>
      </c>
    </row>
    <row r="262" spans="1:14" s="143" customFormat="1" x14ac:dyDescent="0.25">
      <c r="A262" s="143" t="s">
        <v>290</v>
      </c>
      <c r="B262" s="143" t="s">
        <v>208</v>
      </c>
      <c r="C262" s="143" t="s">
        <v>209</v>
      </c>
      <c r="D262" s="143" t="s">
        <v>69</v>
      </c>
      <c r="E262" s="257">
        <v>251000</v>
      </c>
      <c r="F262" s="257">
        <v>251000</v>
      </c>
      <c r="G262" s="257">
        <v>125500</v>
      </c>
      <c r="H262" s="257">
        <v>0</v>
      </c>
      <c r="I262" s="257">
        <v>0</v>
      </c>
      <c r="J262" s="257">
        <v>0</v>
      </c>
      <c r="K262" s="257">
        <v>0</v>
      </c>
      <c r="L262" s="257">
        <v>0</v>
      </c>
      <c r="M262" s="257">
        <v>251000</v>
      </c>
      <c r="N262" s="257">
        <v>125500</v>
      </c>
    </row>
    <row r="263" spans="1:14" s="143" customFormat="1" x14ac:dyDescent="0.25">
      <c r="A263" s="143" t="s">
        <v>290</v>
      </c>
      <c r="B263" s="143" t="s">
        <v>210</v>
      </c>
      <c r="C263" s="143" t="s">
        <v>211</v>
      </c>
      <c r="D263" s="143" t="s">
        <v>69</v>
      </c>
      <c r="E263" s="257">
        <v>2796000</v>
      </c>
      <c r="F263" s="257">
        <v>2796000</v>
      </c>
      <c r="G263" s="257">
        <v>748000</v>
      </c>
      <c r="H263" s="257">
        <v>0</v>
      </c>
      <c r="I263" s="257">
        <v>0</v>
      </c>
      <c r="J263" s="257">
        <v>0</v>
      </c>
      <c r="K263" s="257">
        <v>0</v>
      </c>
      <c r="L263" s="257">
        <v>0</v>
      </c>
      <c r="M263" s="257">
        <v>2796000</v>
      </c>
      <c r="N263" s="257">
        <v>748000</v>
      </c>
    </row>
    <row r="264" spans="1:14" s="143" customFormat="1" x14ac:dyDescent="0.25">
      <c r="A264" s="143" t="s">
        <v>290</v>
      </c>
      <c r="B264" s="143" t="s">
        <v>212</v>
      </c>
      <c r="C264" s="143" t="s">
        <v>213</v>
      </c>
      <c r="D264" s="143" t="s">
        <v>69</v>
      </c>
      <c r="E264" s="257">
        <v>24502693</v>
      </c>
      <c r="F264" s="257">
        <v>24502693</v>
      </c>
      <c r="G264" s="257">
        <v>3921346</v>
      </c>
      <c r="H264" s="257">
        <v>0</v>
      </c>
      <c r="I264" s="257">
        <v>242715</v>
      </c>
      <c r="J264" s="257">
        <v>66000</v>
      </c>
      <c r="K264" s="257">
        <v>788400</v>
      </c>
      <c r="L264" s="257">
        <v>788400</v>
      </c>
      <c r="M264" s="257">
        <v>23405578</v>
      </c>
      <c r="N264" s="257">
        <v>2824231</v>
      </c>
    </row>
    <row r="265" spans="1:14" s="143" customFormat="1" x14ac:dyDescent="0.25">
      <c r="A265" s="143" t="s">
        <v>290</v>
      </c>
      <c r="B265" s="143" t="s">
        <v>214</v>
      </c>
      <c r="C265" s="143" t="s">
        <v>215</v>
      </c>
      <c r="D265" s="143" t="s">
        <v>69</v>
      </c>
      <c r="E265" s="257">
        <v>7116000</v>
      </c>
      <c r="F265" s="257">
        <v>7116000</v>
      </c>
      <c r="G265" s="257">
        <v>1908000</v>
      </c>
      <c r="H265" s="257">
        <v>0</v>
      </c>
      <c r="I265" s="257">
        <v>0</v>
      </c>
      <c r="J265" s="257">
        <v>0</v>
      </c>
      <c r="K265" s="257">
        <v>119000</v>
      </c>
      <c r="L265" s="257">
        <v>119000</v>
      </c>
      <c r="M265" s="257">
        <v>6997000</v>
      </c>
      <c r="N265" s="257">
        <v>1789000</v>
      </c>
    </row>
    <row r="266" spans="1:14" s="143" customFormat="1" x14ac:dyDescent="0.25">
      <c r="A266" s="143" t="s">
        <v>290</v>
      </c>
      <c r="B266" s="143" t="s">
        <v>216</v>
      </c>
      <c r="C266" s="143" t="s">
        <v>217</v>
      </c>
      <c r="D266" s="143" t="s">
        <v>69</v>
      </c>
      <c r="E266" s="257">
        <v>0</v>
      </c>
      <c r="F266" s="257">
        <v>0</v>
      </c>
      <c r="G266" s="257">
        <v>0</v>
      </c>
      <c r="H266" s="257">
        <v>0</v>
      </c>
      <c r="I266" s="257">
        <v>0</v>
      </c>
      <c r="J266" s="257">
        <v>0</v>
      </c>
      <c r="K266" s="257">
        <v>0</v>
      </c>
      <c r="L266" s="257">
        <v>0</v>
      </c>
      <c r="M266" s="257">
        <v>0</v>
      </c>
      <c r="N266" s="257">
        <v>0</v>
      </c>
    </row>
    <row r="267" spans="1:14" s="143" customFormat="1" x14ac:dyDescent="0.25">
      <c r="A267" s="143" t="s">
        <v>290</v>
      </c>
      <c r="B267" s="143" t="s">
        <v>218</v>
      </c>
      <c r="C267" s="143" t="s">
        <v>219</v>
      </c>
      <c r="D267" s="143" t="s">
        <v>69</v>
      </c>
      <c r="E267" s="257">
        <v>15203693</v>
      </c>
      <c r="F267" s="257">
        <v>15203693</v>
      </c>
      <c r="G267" s="257">
        <v>871846</v>
      </c>
      <c r="H267" s="257">
        <v>0</v>
      </c>
      <c r="I267" s="257">
        <v>105375</v>
      </c>
      <c r="J267" s="257">
        <v>66000</v>
      </c>
      <c r="K267" s="257">
        <v>278000</v>
      </c>
      <c r="L267" s="257">
        <v>278000</v>
      </c>
      <c r="M267" s="257">
        <v>14754318</v>
      </c>
      <c r="N267" s="257">
        <v>422471</v>
      </c>
    </row>
    <row r="268" spans="1:14" s="143" customFormat="1" x14ac:dyDescent="0.25">
      <c r="A268" s="143" t="s">
        <v>290</v>
      </c>
      <c r="B268" s="143" t="s">
        <v>220</v>
      </c>
      <c r="C268" s="143" t="s">
        <v>221</v>
      </c>
      <c r="D268" s="143" t="s">
        <v>69</v>
      </c>
      <c r="E268" s="257">
        <v>133000</v>
      </c>
      <c r="F268" s="257">
        <v>133000</v>
      </c>
      <c r="G268" s="257">
        <v>66500</v>
      </c>
      <c r="H268" s="257">
        <v>0</v>
      </c>
      <c r="I268" s="257">
        <v>0</v>
      </c>
      <c r="J268" s="257">
        <v>0</v>
      </c>
      <c r="K268" s="257">
        <v>0</v>
      </c>
      <c r="L268" s="257">
        <v>0</v>
      </c>
      <c r="M268" s="257">
        <v>133000</v>
      </c>
      <c r="N268" s="257">
        <v>66500</v>
      </c>
    </row>
    <row r="269" spans="1:14" s="143" customFormat="1" x14ac:dyDescent="0.25">
      <c r="A269" s="143" t="s">
        <v>290</v>
      </c>
      <c r="B269" s="143" t="s">
        <v>222</v>
      </c>
      <c r="C269" s="143" t="s">
        <v>223</v>
      </c>
      <c r="D269" s="143" t="s">
        <v>69</v>
      </c>
      <c r="E269" s="257">
        <v>1356000</v>
      </c>
      <c r="F269" s="257">
        <v>1356000</v>
      </c>
      <c r="G269" s="257">
        <v>728000</v>
      </c>
      <c r="H269" s="257">
        <v>0</v>
      </c>
      <c r="I269" s="257">
        <v>0</v>
      </c>
      <c r="J269" s="257">
        <v>0</v>
      </c>
      <c r="K269" s="257">
        <v>386600</v>
      </c>
      <c r="L269" s="257">
        <v>386600</v>
      </c>
      <c r="M269" s="257">
        <v>969400</v>
      </c>
      <c r="N269" s="257">
        <v>341400</v>
      </c>
    </row>
    <row r="270" spans="1:14" s="143" customFormat="1" x14ac:dyDescent="0.25">
      <c r="A270" s="143" t="s">
        <v>290</v>
      </c>
      <c r="B270" s="143" t="s">
        <v>224</v>
      </c>
      <c r="C270" s="143" t="s">
        <v>225</v>
      </c>
      <c r="D270" s="143" t="s">
        <v>69</v>
      </c>
      <c r="E270" s="257">
        <v>123000</v>
      </c>
      <c r="F270" s="257">
        <v>123000</v>
      </c>
      <c r="G270" s="257">
        <v>61500</v>
      </c>
      <c r="H270" s="257">
        <v>0</v>
      </c>
      <c r="I270" s="257">
        <v>0</v>
      </c>
      <c r="J270" s="257">
        <v>0</v>
      </c>
      <c r="K270" s="257">
        <v>4800</v>
      </c>
      <c r="L270" s="257">
        <v>4800</v>
      </c>
      <c r="M270" s="257">
        <v>118200</v>
      </c>
      <c r="N270" s="257">
        <v>56700</v>
      </c>
    </row>
    <row r="271" spans="1:14" s="143" customFormat="1" x14ac:dyDescent="0.25">
      <c r="A271" s="143" t="s">
        <v>290</v>
      </c>
      <c r="B271" s="143" t="s">
        <v>228</v>
      </c>
      <c r="C271" s="143" t="s">
        <v>229</v>
      </c>
      <c r="D271" s="143" t="s">
        <v>69</v>
      </c>
      <c r="E271" s="257">
        <v>571000</v>
      </c>
      <c r="F271" s="257">
        <v>571000</v>
      </c>
      <c r="G271" s="257">
        <v>285500</v>
      </c>
      <c r="H271" s="257">
        <v>0</v>
      </c>
      <c r="I271" s="257">
        <v>137340</v>
      </c>
      <c r="J271" s="257">
        <v>0</v>
      </c>
      <c r="K271" s="257">
        <v>0</v>
      </c>
      <c r="L271" s="257">
        <v>0</v>
      </c>
      <c r="M271" s="257">
        <v>433660</v>
      </c>
      <c r="N271" s="257">
        <v>148160</v>
      </c>
    </row>
    <row r="272" spans="1:14" s="143" customFormat="1" x14ac:dyDescent="0.25">
      <c r="A272" s="143" t="s">
        <v>290</v>
      </c>
      <c r="B272" s="143" t="s">
        <v>248</v>
      </c>
      <c r="C272" s="143" t="s">
        <v>249</v>
      </c>
      <c r="D272" s="143" t="s">
        <v>69</v>
      </c>
      <c r="E272" s="257">
        <v>298129000</v>
      </c>
      <c r="F272" s="257">
        <v>298129000</v>
      </c>
      <c r="G272" s="257">
        <v>168798300</v>
      </c>
      <c r="H272" s="257">
        <v>0</v>
      </c>
      <c r="I272" s="257">
        <v>77399660.129999995</v>
      </c>
      <c r="J272" s="257">
        <v>0</v>
      </c>
      <c r="K272" s="257">
        <v>64426335.869999997</v>
      </c>
      <c r="L272" s="257">
        <v>64421809</v>
      </c>
      <c r="M272" s="257">
        <v>156303004</v>
      </c>
      <c r="N272" s="257">
        <v>26972304</v>
      </c>
    </row>
    <row r="273" spans="1:14" s="143" customFormat="1" x14ac:dyDescent="0.25">
      <c r="A273" s="143" t="s">
        <v>290</v>
      </c>
      <c r="B273" s="143" t="s">
        <v>250</v>
      </c>
      <c r="C273" s="143" t="s">
        <v>251</v>
      </c>
      <c r="D273" s="143" t="s">
        <v>69</v>
      </c>
      <c r="E273" s="257">
        <v>115667000</v>
      </c>
      <c r="F273" s="257">
        <v>115667000</v>
      </c>
      <c r="G273" s="257">
        <v>115667000</v>
      </c>
      <c r="H273" s="257">
        <v>0</v>
      </c>
      <c r="I273" s="257">
        <v>77394278.120000005</v>
      </c>
      <c r="J273" s="257">
        <v>0</v>
      </c>
      <c r="K273" s="257">
        <v>38272721.880000003</v>
      </c>
      <c r="L273" s="257">
        <v>38272721.880000003</v>
      </c>
      <c r="M273" s="257">
        <v>0</v>
      </c>
      <c r="N273" s="257">
        <v>0</v>
      </c>
    </row>
    <row r="274" spans="1:14" s="143" customFormat="1" x14ac:dyDescent="0.25">
      <c r="A274" s="143" t="s">
        <v>290</v>
      </c>
      <c r="B274" s="143" t="s">
        <v>332</v>
      </c>
      <c r="C274" s="143" t="s">
        <v>257</v>
      </c>
      <c r="D274" s="143" t="s">
        <v>69</v>
      </c>
      <c r="E274" s="257">
        <v>96260000</v>
      </c>
      <c r="F274" s="257">
        <v>96260000</v>
      </c>
      <c r="G274" s="257">
        <v>96260000</v>
      </c>
      <c r="H274" s="257">
        <v>0</v>
      </c>
      <c r="I274" s="257">
        <v>64408875.759999998</v>
      </c>
      <c r="J274" s="257">
        <v>0</v>
      </c>
      <c r="K274" s="257">
        <v>31851124.239999998</v>
      </c>
      <c r="L274" s="257">
        <v>31851124.239999998</v>
      </c>
      <c r="M274" s="257">
        <v>0</v>
      </c>
      <c r="N274" s="257">
        <v>0</v>
      </c>
    </row>
    <row r="275" spans="1:14" s="143" customFormat="1" x14ac:dyDescent="0.25">
      <c r="A275" s="143" t="s">
        <v>290</v>
      </c>
      <c r="B275" s="143" t="s">
        <v>333</v>
      </c>
      <c r="C275" s="143" t="s">
        <v>259</v>
      </c>
      <c r="D275" s="143" t="s">
        <v>69</v>
      </c>
      <c r="E275" s="257">
        <v>19407000</v>
      </c>
      <c r="F275" s="257">
        <v>19407000</v>
      </c>
      <c r="G275" s="257">
        <v>19407000</v>
      </c>
      <c r="H275" s="257">
        <v>0</v>
      </c>
      <c r="I275" s="257">
        <v>12985402.359999999</v>
      </c>
      <c r="J275" s="257">
        <v>0</v>
      </c>
      <c r="K275" s="257">
        <v>6421597.6399999997</v>
      </c>
      <c r="L275" s="257">
        <v>6421597.6399999997</v>
      </c>
      <c r="M275" s="257">
        <v>0</v>
      </c>
      <c r="N275" s="257">
        <v>0</v>
      </c>
    </row>
    <row r="276" spans="1:14" s="143" customFormat="1" x14ac:dyDescent="0.25">
      <c r="A276" s="143" t="s">
        <v>290</v>
      </c>
      <c r="B276" s="143" t="s">
        <v>260</v>
      </c>
      <c r="C276" s="143" t="s">
        <v>261</v>
      </c>
      <c r="D276" s="143" t="s">
        <v>69</v>
      </c>
      <c r="E276" s="257">
        <v>179462000</v>
      </c>
      <c r="F276" s="257">
        <v>179462000</v>
      </c>
      <c r="G276" s="257">
        <v>52381300</v>
      </c>
      <c r="H276" s="257">
        <v>0</v>
      </c>
      <c r="I276" s="257">
        <v>5382.01</v>
      </c>
      <c r="J276" s="257">
        <v>0</v>
      </c>
      <c r="K276" s="257">
        <v>26153613.989999998</v>
      </c>
      <c r="L276" s="257">
        <v>26149087.120000001</v>
      </c>
      <c r="M276" s="257">
        <v>153303004</v>
      </c>
      <c r="N276" s="257">
        <v>26222304</v>
      </c>
    </row>
    <row r="277" spans="1:14" s="143" customFormat="1" x14ac:dyDescent="0.25">
      <c r="A277" s="143" t="s">
        <v>290</v>
      </c>
      <c r="B277" s="143" t="s">
        <v>262</v>
      </c>
      <c r="C277" s="143" t="s">
        <v>263</v>
      </c>
      <c r="D277" s="143" t="s">
        <v>69</v>
      </c>
      <c r="E277" s="257">
        <v>150000000</v>
      </c>
      <c r="F277" s="257">
        <v>150000000</v>
      </c>
      <c r="G277" s="257">
        <v>22919300</v>
      </c>
      <c r="H277" s="257">
        <v>0</v>
      </c>
      <c r="I277" s="257">
        <v>5382.01</v>
      </c>
      <c r="J277" s="257">
        <v>0</v>
      </c>
      <c r="K277" s="257">
        <v>16763917.99</v>
      </c>
      <c r="L277" s="257">
        <v>16759391.119999999</v>
      </c>
      <c r="M277" s="257">
        <v>133230700</v>
      </c>
      <c r="N277" s="257">
        <v>6150000</v>
      </c>
    </row>
    <row r="278" spans="1:14" s="143" customFormat="1" x14ac:dyDescent="0.25">
      <c r="A278" s="143" t="s">
        <v>290</v>
      </c>
      <c r="B278" s="143" t="s">
        <v>264</v>
      </c>
      <c r="C278" s="143" t="s">
        <v>265</v>
      </c>
      <c r="D278" s="143" t="s">
        <v>69</v>
      </c>
      <c r="E278" s="257">
        <v>29462000</v>
      </c>
      <c r="F278" s="257">
        <v>29462000</v>
      </c>
      <c r="G278" s="257">
        <v>29462000</v>
      </c>
      <c r="H278" s="257">
        <v>0</v>
      </c>
      <c r="I278" s="257">
        <v>0</v>
      </c>
      <c r="J278" s="257">
        <v>0</v>
      </c>
      <c r="K278" s="257">
        <v>9389696</v>
      </c>
      <c r="L278" s="257">
        <v>9389696</v>
      </c>
      <c r="M278" s="257">
        <v>20072304</v>
      </c>
      <c r="N278" s="257">
        <v>20072304</v>
      </c>
    </row>
    <row r="279" spans="1:14" s="143" customFormat="1" x14ac:dyDescent="0.25">
      <c r="A279" s="143" t="s">
        <v>290</v>
      </c>
      <c r="B279" s="143" t="s">
        <v>286</v>
      </c>
      <c r="C279" s="143" t="s">
        <v>287</v>
      </c>
      <c r="D279" s="143" t="s">
        <v>69</v>
      </c>
      <c r="E279" s="257">
        <v>3000000</v>
      </c>
      <c r="F279" s="257">
        <v>3000000</v>
      </c>
      <c r="G279" s="257">
        <v>750000</v>
      </c>
      <c r="H279" s="257">
        <v>0</v>
      </c>
      <c r="I279" s="257">
        <v>0</v>
      </c>
      <c r="J279" s="257">
        <v>0</v>
      </c>
      <c r="K279" s="257">
        <v>0</v>
      </c>
      <c r="L279" s="257">
        <v>0</v>
      </c>
      <c r="M279" s="257">
        <v>3000000</v>
      </c>
      <c r="N279" s="257">
        <v>750000</v>
      </c>
    </row>
    <row r="280" spans="1:14" s="143" customFormat="1" x14ac:dyDescent="0.25">
      <c r="A280" s="143" t="s">
        <v>290</v>
      </c>
      <c r="B280" s="143" t="s">
        <v>288</v>
      </c>
      <c r="C280" s="143" t="s">
        <v>289</v>
      </c>
      <c r="D280" s="143" t="s">
        <v>69</v>
      </c>
      <c r="E280" s="257">
        <v>3000000</v>
      </c>
      <c r="F280" s="257">
        <v>3000000</v>
      </c>
      <c r="G280" s="257">
        <v>750000</v>
      </c>
      <c r="H280" s="257">
        <v>0</v>
      </c>
      <c r="I280" s="257">
        <v>0</v>
      </c>
      <c r="J280" s="257">
        <v>0</v>
      </c>
      <c r="K280" s="257">
        <v>0</v>
      </c>
      <c r="L280" s="257">
        <v>0</v>
      </c>
      <c r="M280" s="257">
        <v>3000000</v>
      </c>
      <c r="N280" s="257">
        <v>750000</v>
      </c>
    </row>
    <row r="281" spans="1:14" s="143" customFormat="1" x14ac:dyDescent="0.25">
      <c r="A281" s="143" t="s">
        <v>290</v>
      </c>
      <c r="B281" s="143" t="s">
        <v>230</v>
      </c>
      <c r="C281" s="143" t="s">
        <v>231</v>
      </c>
      <c r="D281" s="143" t="s">
        <v>85</v>
      </c>
      <c r="E281" s="257">
        <v>47031000</v>
      </c>
      <c r="F281" s="257">
        <v>47031000</v>
      </c>
      <c r="G281" s="257">
        <v>47031000</v>
      </c>
      <c r="H281" s="257">
        <v>21655512</v>
      </c>
      <c r="I281" s="257">
        <v>279262.18</v>
      </c>
      <c r="J281" s="257">
        <v>1350982.19</v>
      </c>
      <c r="K281" s="257">
        <v>13762283.65</v>
      </c>
      <c r="L281" s="257">
        <v>13762283.65</v>
      </c>
      <c r="M281" s="257">
        <v>9982959.9800000004</v>
      </c>
      <c r="N281" s="257">
        <v>9982959.9800000004</v>
      </c>
    </row>
    <row r="282" spans="1:14" s="143" customFormat="1" x14ac:dyDescent="0.25">
      <c r="A282" s="143" t="s">
        <v>290</v>
      </c>
      <c r="B282" s="143" t="s">
        <v>232</v>
      </c>
      <c r="C282" s="143" t="s">
        <v>233</v>
      </c>
      <c r="D282" s="143" t="s">
        <v>85</v>
      </c>
      <c r="E282" s="257">
        <v>25000000</v>
      </c>
      <c r="F282" s="257">
        <v>23649017.809999999</v>
      </c>
      <c r="G282" s="257">
        <v>23649017.809999999</v>
      </c>
      <c r="H282" s="257">
        <v>0</v>
      </c>
      <c r="I282" s="257">
        <v>0</v>
      </c>
      <c r="J282" s="257">
        <v>0</v>
      </c>
      <c r="K282" s="257">
        <v>13762283.65</v>
      </c>
      <c r="L282" s="257">
        <v>13762283.65</v>
      </c>
      <c r="M282" s="257">
        <v>9886734.1600000001</v>
      </c>
      <c r="N282" s="257">
        <v>9886734.1600000001</v>
      </c>
    </row>
    <row r="283" spans="1:14" s="143" customFormat="1" x14ac:dyDescent="0.25">
      <c r="A283" s="143" t="s">
        <v>290</v>
      </c>
      <c r="B283" s="143" t="s">
        <v>324</v>
      </c>
      <c r="C283" s="143" t="s">
        <v>325</v>
      </c>
      <c r="D283" s="143" t="s">
        <v>85</v>
      </c>
      <c r="E283" s="257">
        <v>15000000</v>
      </c>
      <c r="F283" s="257">
        <v>15000000</v>
      </c>
      <c r="G283" s="257">
        <v>15000000</v>
      </c>
      <c r="H283" s="257">
        <v>0</v>
      </c>
      <c r="I283" s="257">
        <v>0</v>
      </c>
      <c r="J283" s="257">
        <v>0</v>
      </c>
      <c r="K283" s="257">
        <v>13762283.65</v>
      </c>
      <c r="L283" s="257">
        <v>13762283.65</v>
      </c>
      <c r="M283" s="257">
        <v>1237716.3500000001</v>
      </c>
      <c r="N283" s="257">
        <v>1237716.3500000001</v>
      </c>
    </row>
    <row r="284" spans="1:14" s="143" customFormat="1" x14ac:dyDescent="0.25">
      <c r="A284" s="143" t="s">
        <v>290</v>
      </c>
      <c r="B284" s="143" t="s">
        <v>236</v>
      </c>
      <c r="C284" s="143" t="s">
        <v>237</v>
      </c>
      <c r="D284" s="143" t="s">
        <v>85</v>
      </c>
      <c r="E284" s="257">
        <v>0</v>
      </c>
      <c r="F284" s="257">
        <v>0</v>
      </c>
      <c r="G284" s="257">
        <v>0</v>
      </c>
      <c r="H284" s="257">
        <v>0</v>
      </c>
      <c r="I284" s="257">
        <v>0</v>
      </c>
      <c r="J284" s="257">
        <v>0</v>
      </c>
      <c r="K284" s="257">
        <v>0</v>
      </c>
      <c r="L284" s="257">
        <v>0</v>
      </c>
      <c r="M284" s="257">
        <v>0</v>
      </c>
      <c r="N284" s="257">
        <v>0</v>
      </c>
    </row>
    <row r="285" spans="1:14" s="143" customFormat="1" x14ac:dyDescent="0.25">
      <c r="A285" s="143" t="s">
        <v>290</v>
      </c>
      <c r="B285" s="143" t="s">
        <v>238</v>
      </c>
      <c r="C285" s="143" t="s">
        <v>239</v>
      </c>
      <c r="D285" s="143" t="s">
        <v>85</v>
      </c>
      <c r="E285" s="257">
        <v>0</v>
      </c>
      <c r="F285" s="257">
        <v>0</v>
      </c>
      <c r="G285" s="257">
        <v>0</v>
      </c>
      <c r="H285" s="257">
        <v>0</v>
      </c>
      <c r="I285" s="257">
        <v>0</v>
      </c>
      <c r="J285" s="257">
        <v>0</v>
      </c>
      <c r="K285" s="257">
        <v>0</v>
      </c>
      <c r="L285" s="257">
        <v>0</v>
      </c>
      <c r="M285" s="257">
        <v>0</v>
      </c>
      <c r="N285" s="257">
        <v>0</v>
      </c>
    </row>
    <row r="286" spans="1:14" s="143" customFormat="1" x14ac:dyDescent="0.25">
      <c r="A286" s="143" t="s">
        <v>290</v>
      </c>
      <c r="B286" s="143" t="s">
        <v>282</v>
      </c>
      <c r="C286" s="143" t="s">
        <v>283</v>
      </c>
      <c r="D286" s="143" t="s">
        <v>85</v>
      </c>
      <c r="E286" s="257">
        <v>10000000</v>
      </c>
      <c r="F286" s="257">
        <v>8649017.8100000005</v>
      </c>
      <c r="G286" s="257">
        <v>8649017.8100000005</v>
      </c>
      <c r="H286" s="257">
        <v>0</v>
      </c>
      <c r="I286" s="257">
        <v>0</v>
      </c>
      <c r="J286" s="257">
        <v>0</v>
      </c>
      <c r="K286" s="257">
        <v>0</v>
      </c>
      <c r="L286" s="257">
        <v>0</v>
      </c>
      <c r="M286" s="257">
        <v>8649017.8100000005</v>
      </c>
      <c r="N286" s="257">
        <v>8649017.8100000005</v>
      </c>
    </row>
    <row r="287" spans="1:14" s="143" customFormat="1" x14ac:dyDescent="0.25">
      <c r="A287" s="143" t="s">
        <v>290</v>
      </c>
      <c r="B287" s="143" t="s">
        <v>326</v>
      </c>
      <c r="C287" s="143" t="s">
        <v>327</v>
      </c>
      <c r="D287" s="143" t="s">
        <v>85</v>
      </c>
      <c r="E287" s="257">
        <v>0</v>
      </c>
      <c r="F287" s="257">
        <v>0</v>
      </c>
      <c r="G287" s="257">
        <v>0</v>
      </c>
      <c r="H287" s="257">
        <v>0</v>
      </c>
      <c r="I287" s="257">
        <v>0</v>
      </c>
      <c r="J287" s="257">
        <v>0</v>
      </c>
      <c r="K287" s="257">
        <v>0</v>
      </c>
      <c r="L287" s="257">
        <v>0</v>
      </c>
      <c r="M287" s="257">
        <v>0</v>
      </c>
      <c r="N287" s="257">
        <v>0</v>
      </c>
    </row>
    <row r="288" spans="1:14" s="143" customFormat="1" x14ac:dyDescent="0.25">
      <c r="A288" s="143" t="s">
        <v>290</v>
      </c>
      <c r="B288" s="143" t="s">
        <v>328</v>
      </c>
      <c r="C288" s="143" t="s">
        <v>329</v>
      </c>
      <c r="D288" s="143" t="s">
        <v>85</v>
      </c>
      <c r="E288" s="257">
        <v>0</v>
      </c>
      <c r="F288" s="257">
        <v>1350982.19</v>
      </c>
      <c r="G288" s="257">
        <v>1350982.19</v>
      </c>
      <c r="H288" s="257">
        <v>0</v>
      </c>
      <c r="I288" s="257">
        <v>0</v>
      </c>
      <c r="J288" s="257">
        <v>1350982.19</v>
      </c>
      <c r="K288" s="257">
        <v>0</v>
      </c>
      <c r="L288" s="257">
        <v>0</v>
      </c>
      <c r="M288" s="257">
        <v>0</v>
      </c>
      <c r="N288" s="257">
        <v>0</v>
      </c>
    </row>
    <row r="289" spans="1:14" s="143" customFormat="1" x14ac:dyDescent="0.25">
      <c r="A289" s="143" t="s">
        <v>290</v>
      </c>
      <c r="B289" s="143" t="s">
        <v>330</v>
      </c>
      <c r="C289" s="143" t="s">
        <v>331</v>
      </c>
      <c r="D289" s="143" t="s">
        <v>85</v>
      </c>
      <c r="E289" s="257">
        <v>0</v>
      </c>
      <c r="F289" s="257">
        <v>1350982.19</v>
      </c>
      <c r="G289" s="257">
        <v>1350982.19</v>
      </c>
      <c r="H289" s="257">
        <v>0</v>
      </c>
      <c r="I289" s="257">
        <v>0</v>
      </c>
      <c r="J289" s="257">
        <v>1350982.19</v>
      </c>
      <c r="K289" s="257">
        <v>0</v>
      </c>
      <c r="L289" s="257">
        <v>0</v>
      </c>
      <c r="M289" s="257">
        <v>0</v>
      </c>
      <c r="N289" s="257">
        <v>0</v>
      </c>
    </row>
    <row r="290" spans="1:14" s="143" customFormat="1" x14ac:dyDescent="0.25">
      <c r="A290" s="143" t="s">
        <v>290</v>
      </c>
      <c r="B290" s="143" t="s">
        <v>244</v>
      </c>
      <c r="C290" s="143" t="s">
        <v>245</v>
      </c>
      <c r="D290" s="143" t="s">
        <v>85</v>
      </c>
      <c r="E290" s="257">
        <v>22031000</v>
      </c>
      <c r="F290" s="257">
        <v>22031000</v>
      </c>
      <c r="G290" s="257">
        <v>22031000</v>
      </c>
      <c r="H290" s="257">
        <v>21655512</v>
      </c>
      <c r="I290" s="257">
        <v>279262.18</v>
      </c>
      <c r="J290" s="257">
        <v>0</v>
      </c>
      <c r="K290" s="257">
        <v>0</v>
      </c>
      <c r="L290" s="257">
        <v>0</v>
      </c>
      <c r="M290" s="257">
        <v>96225.82</v>
      </c>
      <c r="N290" s="257">
        <v>96225.82</v>
      </c>
    </row>
    <row r="291" spans="1:14" s="143" customFormat="1" x14ac:dyDescent="0.25">
      <c r="A291" s="143" t="s">
        <v>290</v>
      </c>
      <c r="B291" s="143" t="s">
        <v>246</v>
      </c>
      <c r="C291" s="143" t="s">
        <v>247</v>
      </c>
      <c r="D291" s="143" t="s">
        <v>85</v>
      </c>
      <c r="E291" s="257">
        <v>22031000</v>
      </c>
      <c r="F291" s="257">
        <v>22031000</v>
      </c>
      <c r="G291" s="257">
        <v>22031000</v>
      </c>
      <c r="H291" s="257">
        <v>21655512</v>
      </c>
      <c r="I291" s="257">
        <v>279262.18</v>
      </c>
      <c r="J291" s="257">
        <v>0</v>
      </c>
      <c r="K291" s="257">
        <v>0</v>
      </c>
      <c r="L291" s="257">
        <v>0</v>
      </c>
      <c r="M291" s="257">
        <v>96225.82</v>
      </c>
      <c r="N291" s="257">
        <v>96225.82</v>
      </c>
    </row>
    <row r="292" spans="1:14" s="143" customFormat="1" x14ac:dyDescent="0.25">
      <c r="A292" s="143">
        <v>214783</v>
      </c>
      <c r="D292" s="143" t="s">
        <v>69</v>
      </c>
      <c r="E292" s="257">
        <v>106163237755</v>
      </c>
      <c r="F292" s="257">
        <v>112163237755</v>
      </c>
      <c r="G292" s="257">
        <v>92527619784.899994</v>
      </c>
      <c r="H292" s="257">
        <v>124800288</v>
      </c>
      <c r="I292" s="257">
        <v>15238565596.290001</v>
      </c>
      <c r="J292" s="257">
        <v>204626191.80000001</v>
      </c>
      <c r="K292" s="257">
        <v>28981327550.299999</v>
      </c>
      <c r="L292" s="257">
        <v>28437559093.02</v>
      </c>
      <c r="M292" s="257">
        <v>67613918128.610001</v>
      </c>
      <c r="N292" s="257">
        <v>47978300158.510002</v>
      </c>
    </row>
    <row r="293" spans="1:14" s="143" customFormat="1" x14ac:dyDescent="0.25">
      <c r="A293" s="143" t="s">
        <v>334</v>
      </c>
      <c r="B293" s="143" t="s">
        <v>71</v>
      </c>
      <c r="C293" s="143" t="s">
        <v>72</v>
      </c>
      <c r="D293" s="143" t="s">
        <v>69</v>
      </c>
      <c r="E293" s="257">
        <v>69224041000</v>
      </c>
      <c r="F293" s="257">
        <v>69224041000</v>
      </c>
      <c r="G293" s="257">
        <v>69024041000</v>
      </c>
      <c r="H293" s="257">
        <v>0</v>
      </c>
      <c r="I293" s="257">
        <v>6729218550.5</v>
      </c>
      <c r="J293" s="257">
        <v>0</v>
      </c>
      <c r="K293" s="257">
        <v>23308359489.209999</v>
      </c>
      <c r="L293" s="257">
        <v>23308359489.209999</v>
      </c>
      <c r="M293" s="257">
        <v>39186462960.290001</v>
      </c>
      <c r="N293" s="257">
        <v>38986462960.290001</v>
      </c>
    </row>
    <row r="294" spans="1:14" s="143" customFormat="1" x14ac:dyDescent="0.25">
      <c r="A294" s="143" t="s">
        <v>334</v>
      </c>
      <c r="B294" s="143" t="s">
        <v>73</v>
      </c>
      <c r="C294" s="143" t="s">
        <v>74</v>
      </c>
      <c r="D294" s="143" t="s">
        <v>69</v>
      </c>
      <c r="E294" s="257">
        <v>25618223000</v>
      </c>
      <c r="F294" s="257">
        <v>25618223000</v>
      </c>
      <c r="G294" s="257">
        <v>25618223000</v>
      </c>
      <c r="H294" s="257">
        <v>0</v>
      </c>
      <c r="I294" s="257">
        <v>160325</v>
      </c>
      <c r="J294" s="257">
        <v>0</v>
      </c>
      <c r="K294" s="257">
        <v>7875448460.04</v>
      </c>
      <c r="L294" s="257">
        <v>7875448460.04</v>
      </c>
      <c r="M294" s="257">
        <v>17742614214.959999</v>
      </c>
      <c r="N294" s="257">
        <v>17742614214.959999</v>
      </c>
    </row>
    <row r="295" spans="1:14" s="143" customFormat="1" x14ac:dyDescent="0.25">
      <c r="A295" s="143" t="s">
        <v>334</v>
      </c>
      <c r="B295" s="143" t="s">
        <v>75</v>
      </c>
      <c r="C295" s="143" t="s">
        <v>76</v>
      </c>
      <c r="D295" s="143" t="s">
        <v>69</v>
      </c>
      <c r="E295" s="257">
        <v>25601107000</v>
      </c>
      <c r="F295" s="257">
        <v>25601107000</v>
      </c>
      <c r="G295" s="257">
        <v>25601107000</v>
      </c>
      <c r="H295" s="257">
        <v>0</v>
      </c>
      <c r="I295" s="257">
        <v>160325</v>
      </c>
      <c r="J295" s="257">
        <v>0</v>
      </c>
      <c r="K295" s="257">
        <v>7860176660.04</v>
      </c>
      <c r="L295" s="257">
        <v>7860176660.04</v>
      </c>
      <c r="M295" s="257">
        <v>17740770014.959999</v>
      </c>
      <c r="N295" s="257">
        <v>17740770014.959999</v>
      </c>
    </row>
    <row r="296" spans="1:14" s="143" customFormat="1" x14ac:dyDescent="0.25">
      <c r="A296" s="143" t="s">
        <v>334</v>
      </c>
      <c r="B296" s="143" t="s">
        <v>335</v>
      </c>
      <c r="C296" s="143" t="s">
        <v>336</v>
      </c>
      <c r="D296" s="143" t="s">
        <v>69</v>
      </c>
      <c r="E296" s="257">
        <v>17116000</v>
      </c>
      <c r="F296" s="257">
        <v>17116000</v>
      </c>
      <c r="G296" s="257">
        <v>17116000</v>
      </c>
      <c r="H296" s="257">
        <v>0</v>
      </c>
      <c r="I296" s="257">
        <v>0</v>
      </c>
      <c r="J296" s="257">
        <v>0</v>
      </c>
      <c r="K296" s="257">
        <v>15271800</v>
      </c>
      <c r="L296" s="257">
        <v>15271800</v>
      </c>
      <c r="M296" s="257">
        <v>1844200</v>
      </c>
      <c r="N296" s="257">
        <v>1844200</v>
      </c>
    </row>
    <row r="297" spans="1:14" s="143" customFormat="1" x14ac:dyDescent="0.25">
      <c r="A297" s="143" t="s">
        <v>334</v>
      </c>
      <c r="B297" s="143" t="s">
        <v>293</v>
      </c>
      <c r="C297" s="143" t="s">
        <v>294</v>
      </c>
      <c r="D297" s="143" t="s">
        <v>69</v>
      </c>
      <c r="E297" s="257">
        <v>3406791000</v>
      </c>
      <c r="F297" s="257">
        <v>3406791000</v>
      </c>
      <c r="G297" s="257">
        <v>3406791000</v>
      </c>
      <c r="H297" s="257">
        <v>0</v>
      </c>
      <c r="I297" s="257">
        <v>40081.25</v>
      </c>
      <c r="J297" s="257">
        <v>0</v>
      </c>
      <c r="K297" s="257">
        <v>1205688398.5899999</v>
      </c>
      <c r="L297" s="257">
        <v>1205688398.5899999</v>
      </c>
      <c r="M297" s="257">
        <v>2201062520.1599998</v>
      </c>
      <c r="N297" s="257">
        <v>2201062520.1599998</v>
      </c>
    </row>
    <row r="298" spans="1:14" s="143" customFormat="1" x14ac:dyDescent="0.25">
      <c r="A298" s="143" t="s">
        <v>334</v>
      </c>
      <c r="B298" s="143" t="s">
        <v>295</v>
      </c>
      <c r="C298" s="143" t="s">
        <v>296</v>
      </c>
      <c r="D298" s="143" t="s">
        <v>69</v>
      </c>
      <c r="E298" s="257">
        <v>8000000</v>
      </c>
      <c r="F298" s="257">
        <v>8000000</v>
      </c>
      <c r="G298" s="257">
        <v>8000000</v>
      </c>
      <c r="H298" s="257">
        <v>0</v>
      </c>
      <c r="I298" s="257">
        <v>0</v>
      </c>
      <c r="J298" s="257">
        <v>0</v>
      </c>
      <c r="K298" s="257">
        <v>2725908.56</v>
      </c>
      <c r="L298" s="257">
        <v>2725908.56</v>
      </c>
      <c r="M298" s="257">
        <v>5274091.4400000004</v>
      </c>
      <c r="N298" s="257">
        <v>5274091.4400000004</v>
      </c>
    </row>
    <row r="299" spans="1:14" s="143" customFormat="1" x14ac:dyDescent="0.25">
      <c r="A299" s="143" t="s">
        <v>334</v>
      </c>
      <c r="B299" s="143" t="s">
        <v>337</v>
      </c>
      <c r="C299" s="143" t="s">
        <v>338</v>
      </c>
      <c r="D299" s="143" t="s">
        <v>69</v>
      </c>
      <c r="E299" s="257">
        <v>24994000</v>
      </c>
      <c r="F299" s="257">
        <v>24994000</v>
      </c>
      <c r="G299" s="257">
        <v>24994000</v>
      </c>
      <c r="H299" s="257">
        <v>0</v>
      </c>
      <c r="I299" s="257">
        <v>0</v>
      </c>
      <c r="J299" s="257">
        <v>0</v>
      </c>
      <c r="K299" s="257">
        <v>2414363</v>
      </c>
      <c r="L299" s="257">
        <v>2414363</v>
      </c>
      <c r="M299" s="257">
        <v>22579637</v>
      </c>
      <c r="N299" s="257">
        <v>22579637</v>
      </c>
    </row>
    <row r="300" spans="1:14" s="143" customFormat="1" x14ac:dyDescent="0.25">
      <c r="A300" s="143" t="s">
        <v>334</v>
      </c>
      <c r="B300" s="143" t="s">
        <v>339</v>
      </c>
      <c r="C300" s="143" t="s">
        <v>340</v>
      </c>
      <c r="D300" s="143" t="s">
        <v>69</v>
      </c>
      <c r="E300" s="257">
        <v>3373797000</v>
      </c>
      <c r="F300" s="257">
        <v>3373797000</v>
      </c>
      <c r="G300" s="257">
        <v>3373797000</v>
      </c>
      <c r="H300" s="257">
        <v>0</v>
      </c>
      <c r="I300" s="257">
        <v>40081.25</v>
      </c>
      <c r="J300" s="257">
        <v>0</v>
      </c>
      <c r="K300" s="257">
        <v>1200548127.03</v>
      </c>
      <c r="L300" s="257">
        <v>1200548127.03</v>
      </c>
      <c r="M300" s="257">
        <v>2173208791.7199998</v>
      </c>
      <c r="N300" s="257">
        <v>2173208791.7199998</v>
      </c>
    </row>
    <row r="301" spans="1:14" s="143" customFormat="1" x14ac:dyDescent="0.25">
      <c r="A301" s="143" t="s">
        <v>334</v>
      </c>
      <c r="B301" s="143" t="s">
        <v>77</v>
      </c>
      <c r="C301" s="143" t="s">
        <v>78</v>
      </c>
      <c r="D301" s="143" t="s">
        <v>69</v>
      </c>
      <c r="E301" s="257">
        <v>29694590000</v>
      </c>
      <c r="F301" s="257">
        <v>29694590000</v>
      </c>
      <c r="G301" s="257">
        <v>29494590000</v>
      </c>
      <c r="H301" s="257">
        <v>0</v>
      </c>
      <c r="I301" s="257">
        <v>118113.25</v>
      </c>
      <c r="J301" s="257">
        <v>0</v>
      </c>
      <c r="K301" s="257">
        <v>10451685661.58</v>
      </c>
      <c r="L301" s="257">
        <v>10451685661.58</v>
      </c>
      <c r="M301" s="257">
        <v>19242786225.169998</v>
      </c>
      <c r="N301" s="257">
        <v>19042786225.169998</v>
      </c>
    </row>
    <row r="302" spans="1:14" s="143" customFormat="1" x14ac:dyDescent="0.25">
      <c r="A302" s="143" t="s">
        <v>334</v>
      </c>
      <c r="B302" s="143" t="s">
        <v>79</v>
      </c>
      <c r="C302" s="143" t="s">
        <v>80</v>
      </c>
      <c r="D302" s="143" t="s">
        <v>69</v>
      </c>
      <c r="E302" s="257">
        <v>9856906000</v>
      </c>
      <c r="F302" s="257">
        <v>9856906000</v>
      </c>
      <c r="G302" s="257">
        <v>9656906000</v>
      </c>
      <c r="H302" s="257">
        <v>0</v>
      </c>
      <c r="I302" s="257">
        <v>49881.5</v>
      </c>
      <c r="J302" s="257">
        <v>0</v>
      </c>
      <c r="K302" s="257">
        <v>3057339986.9299998</v>
      </c>
      <c r="L302" s="257">
        <v>3057339986.9299998</v>
      </c>
      <c r="M302" s="257">
        <v>6799516131.5699997</v>
      </c>
      <c r="N302" s="257">
        <v>6599516131.5699997</v>
      </c>
    </row>
    <row r="303" spans="1:14" s="143" customFormat="1" x14ac:dyDescent="0.25">
      <c r="A303" s="143" t="s">
        <v>334</v>
      </c>
      <c r="B303" s="143" t="s">
        <v>81</v>
      </c>
      <c r="C303" s="143" t="s">
        <v>82</v>
      </c>
      <c r="D303" s="143" t="s">
        <v>69</v>
      </c>
      <c r="E303" s="257">
        <v>3637068000</v>
      </c>
      <c r="F303" s="257">
        <v>3637068000</v>
      </c>
      <c r="G303" s="257">
        <v>3637068000</v>
      </c>
      <c r="H303" s="257">
        <v>0</v>
      </c>
      <c r="I303" s="257">
        <v>0</v>
      </c>
      <c r="J303" s="257">
        <v>0</v>
      </c>
      <c r="K303" s="257">
        <v>1087563927.22</v>
      </c>
      <c r="L303" s="257">
        <v>1087563927.22</v>
      </c>
      <c r="M303" s="257">
        <v>2549504072.7800002</v>
      </c>
      <c r="N303" s="257">
        <v>2549504072.7800002</v>
      </c>
    </row>
    <row r="304" spans="1:14" s="143" customFormat="1" x14ac:dyDescent="0.25">
      <c r="A304" s="143" t="s">
        <v>334</v>
      </c>
      <c r="B304" s="143" t="s">
        <v>86</v>
      </c>
      <c r="C304" s="143" t="s">
        <v>87</v>
      </c>
      <c r="D304" s="143" t="s">
        <v>69</v>
      </c>
      <c r="E304" s="257">
        <v>3859929000</v>
      </c>
      <c r="F304" s="257">
        <v>3859929000</v>
      </c>
      <c r="G304" s="257">
        <v>3859929000</v>
      </c>
      <c r="H304" s="257">
        <v>0</v>
      </c>
      <c r="I304" s="257">
        <v>0</v>
      </c>
      <c r="J304" s="257">
        <v>0</v>
      </c>
      <c r="K304" s="257">
        <v>3840892017.1399999</v>
      </c>
      <c r="L304" s="257">
        <v>3840892017.1399999</v>
      </c>
      <c r="M304" s="257">
        <v>19036982.859999999</v>
      </c>
      <c r="N304" s="257">
        <v>19036982.859999999</v>
      </c>
    </row>
    <row r="305" spans="1:14" s="143" customFormat="1" x14ac:dyDescent="0.25">
      <c r="A305" s="143" t="s">
        <v>334</v>
      </c>
      <c r="B305" s="143" t="s">
        <v>88</v>
      </c>
      <c r="C305" s="143" t="s">
        <v>89</v>
      </c>
      <c r="D305" s="143" t="s">
        <v>69</v>
      </c>
      <c r="E305" s="257">
        <v>7961754000</v>
      </c>
      <c r="F305" s="257">
        <v>7961754000</v>
      </c>
      <c r="G305" s="257">
        <v>7961754000</v>
      </c>
      <c r="H305" s="257">
        <v>0</v>
      </c>
      <c r="I305" s="257">
        <v>68231.75</v>
      </c>
      <c r="J305" s="257">
        <v>0</v>
      </c>
      <c r="K305" s="257">
        <v>2460136268.0300002</v>
      </c>
      <c r="L305" s="257">
        <v>2460136268.0300002</v>
      </c>
      <c r="M305" s="257">
        <v>5501549500.2200003</v>
      </c>
      <c r="N305" s="257">
        <v>5501549500.2200003</v>
      </c>
    </row>
    <row r="306" spans="1:14" s="143" customFormat="1" x14ac:dyDescent="0.25">
      <c r="A306" s="143" t="s">
        <v>334</v>
      </c>
      <c r="B306" s="143" t="s">
        <v>83</v>
      </c>
      <c r="C306" s="143" t="s">
        <v>84</v>
      </c>
      <c r="D306" s="143" t="s">
        <v>85</v>
      </c>
      <c r="E306" s="257">
        <v>4378933000</v>
      </c>
      <c r="F306" s="257">
        <v>4378933000</v>
      </c>
      <c r="G306" s="257">
        <v>4378933000</v>
      </c>
      <c r="H306" s="257">
        <v>0</v>
      </c>
      <c r="I306" s="257">
        <v>0</v>
      </c>
      <c r="J306" s="257">
        <v>0</v>
      </c>
      <c r="K306" s="257">
        <v>5753462.2599999998</v>
      </c>
      <c r="L306" s="257">
        <v>5753462.2599999998</v>
      </c>
      <c r="M306" s="257">
        <v>4373179537.7399998</v>
      </c>
      <c r="N306" s="257">
        <v>4373179537.7399998</v>
      </c>
    </row>
    <row r="307" spans="1:14" s="143" customFormat="1" x14ac:dyDescent="0.25">
      <c r="A307" s="143" t="s">
        <v>334</v>
      </c>
      <c r="B307" s="143" t="s">
        <v>90</v>
      </c>
      <c r="C307" s="143" t="s">
        <v>91</v>
      </c>
      <c r="D307" s="143" t="s">
        <v>69</v>
      </c>
      <c r="E307" s="257">
        <v>5298410000</v>
      </c>
      <c r="F307" s="257">
        <v>5298410000</v>
      </c>
      <c r="G307" s="257">
        <v>5298410000</v>
      </c>
      <c r="H307" s="257">
        <v>0</v>
      </c>
      <c r="I307" s="257">
        <v>3393576917</v>
      </c>
      <c r="J307" s="257">
        <v>0</v>
      </c>
      <c r="K307" s="257">
        <v>1904833083</v>
      </c>
      <c r="L307" s="257">
        <v>1904833083</v>
      </c>
      <c r="M307" s="257">
        <v>0</v>
      </c>
      <c r="N307" s="257">
        <v>0</v>
      </c>
    </row>
    <row r="308" spans="1:14" s="143" customFormat="1" x14ac:dyDescent="0.25">
      <c r="A308" s="143" t="s">
        <v>334</v>
      </c>
      <c r="B308" s="143" t="s">
        <v>341</v>
      </c>
      <c r="C308" s="143" t="s">
        <v>93</v>
      </c>
      <c r="D308" s="143" t="s">
        <v>69</v>
      </c>
      <c r="E308" s="257">
        <v>5026697000</v>
      </c>
      <c r="F308" s="257">
        <v>5026697000</v>
      </c>
      <c r="G308" s="257">
        <v>5026697000</v>
      </c>
      <c r="H308" s="257">
        <v>0</v>
      </c>
      <c r="I308" s="257">
        <v>3219528444</v>
      </c>
      <c r="J308" s="257">
        <v>0</v>
      </c>
      <c r="K308" s="257">
        <v>1807168556</v>
      </c>
      <c r="L308" s="257">
        <v>1807168556</v>
      </c>
      <c r="M308" s="257">
        <v>0</v>
      </c>
      <c r="N308" s="257">
        <v>0</v>
      </c>
    </row>
    <row r="309" spans="1:14" s="143" customFormat="1" x14ac:dyDescent="0.25">
      <c r="A309" s="143" t="s">
        <v>334</v>
      </c>
      <c r="B309" s="143" t="s">
        <v>342</v>
      </c>
      <c r="C309" s="143" t="s">
        <v>95</v>
      </c>
      <c r="D309" s="143" t="s">
        <v>69</v>
      </c>
      <c r="E309" s="257">
        <v>271713000</v>
      </c>
      <c r="F309" s="257">
        <v>271713000</v>
      </c>
      <c r="G309" s="257">
        <v>271713000</v>
      </c>
      <c r="H309" s="257">
        <v>0</v>
      </c>
      <c r="I309" s="257">
        <v>174048473</v>
      </c>
      <c r="J309" s="257">
        <v>0</v>
      </c>
      <c r="K309" s="257">
        <v>97664527</v>
      </c>
      <c r="L309" s="257">
        <v>97664527</v>
      </c>
      <c r="M309" s="257">
        <v>0</v>
      </c>
      <c r="N309" s="257">
        <v>0</v>
      </c>
    </row>
    <row r="310" spans="1:14" s="143" customFormat="1" x14ac:dyDescent="0.25">
      <c r="A310" s="143" t="s">
        <v>334</v>
      </c>
      <c r="B310" s="143" t="s">
        <v>96</v>
      </c>
      <c r="C310" s="143" t="s">
        <v>97</v>
      </c>
      <c r="D310" s="143" t="s">
        <v>69</v>
      </c>
      <c r="E310" s="257">
        <v>5206027000</v>
      </c>
      <c r="F310" s="257">
        <v>5206027000</v>
      </c>
      <c r="G310" s="257">
        <v>5206027000</v>
      </c>
      <c r="H310" s="257">
        <v>0</v>
      </c>
      <c r="I310" s="257">
        <v>3335323114</v>
      </c>
      <c r="J310" s="257">
        <v>0</v>
      </c>
      <c r="K310" s="257">
        <v>1870703886</v>
      </c>
      <c r="L310" s="257">
        <v>1870703886</v>
      </c>
      <c r="M310" s="257">
        <v>0</v>
      </c>
      <c r="N310" s="257">
        <v>0</v>
      </c>
    </row>
    <row r="311" spans="1:14" s="143" customFormat="1" x14ac:dyDescent="0.25">
      <c r="A311" s="143" t="s">
        <v>334</v>
      </c>
      <c r="B311" s="143" t="s">
        <v>343</v>
      </c>
      <c r="C311" s="143" t="s">
        <v>99</v>
      </c>
      <c r="D311" s="143" t="s">
        <v>69</v>
      </c>
      <c r="E311" s="257">
        <v>2760607000</v>
      </c>
      <c r="F311" s="257">
        <v>2760607000</v>
      </c>
      <c r="G311" s="257">
        <v>2760607000</v>
      </c>
      <c r="H311" s="257">
        <v>0</v>
      </c>
      <c r="I311" s="257">
        <v>1768886375</v>
      </c>
      <c r="J311" s="257">
        <v>0</v>
      </c>
      <c r="K311" s="257">
        <v>991720625</v>
      </c>
      <c r="L311" s="257">
        <v>991720625</v>
      </c>
      <c r="M311" s="257">
        <v>0</v>
      </c>
      <c r="N311" s="257">
        <v>0</v>
      </c>
    </row>
    <row r="312" spans="1:14" s="143" customFormat="1" x14ac:dyDescent="0.25">
      <c r="A312" s="143" t="s">
        <v>334</v>
      </c>
      <c r="B312" s="143" t="s">
        <v>344</v>
      </c>
      <c r="C312" s="143" t="s">
        <v>101</v>
      </c>
      <c r="D312" s="143" t="s">
        <v>69</v>
      </c>
      <c r="E312" s="257">
        <v>815140000</v>
      </c>
      <c r="F312" s="257">
        <v>815140000</v>
      </c>
      <c r="G312" s="257">
        <v>815140000</v>
      </c>
      <c r="H312" s="257">
        <v>0</v>
      </c>
      <c r="I312" s="257">
        <v>522145046</v>
      </c>
      <c r="J312" s="257">
        <v>0</v>
      </c>
      <c r="K312" s="257">
        <v>292994954</v>
      </c>
      <c r="L312" s="257">
        <v>292994954</v>
      </c>
      <c r="M312" s="257">
        <v>0</v>
      </c>
      <c r="N312" s="257">
        <v>0</v>
      </c>
    </row>
    <row r="313" spans="1:14" s="143" customFormat="1" x14ac:dyDescent="0.25">
      <c r="A313" s="143" t="s">
        <v>334</v>
      </c>
      <c r="B313" s="143" t="s">
        <v>345</v>
      </c>
      <c r="C313" s="143" t="s">
        <v>103</v>
      </c>
      <c r="D313" s="143" t="s">
        <v>69</v>
      </c>
      <c r="E313" s="257">
        <v>1630280000</v>
      </c>
      <c r="F313" s="257">
        <v>1630280000</v>
      </c>
      <c r="G313" s="257">
        <v>1630280000</v>
      </c>
      <c r="H313" s="257">
        <v>0</v>
      </c>
      <c r="I313" s="257">
        <v>1044291693</v>
      </c>
      <c r="J313" s="257">
        <v>0</v>
      </c>
      <c r="K313" s="257">
        <v>585988307</v>
      </c>
      <c r="L313" s="257">
        <v>585988307</v>
      </c>
      <c r="M313" s="257">
        <v>0</v>
      </c>
      <c r="N313" s="257">
        <v>0</v>
      </c>
    </row>
    <row r="314" spans="1:14" s="143" customFormat="1" x14ac:dyDescent="0.25">
      <c r="A314" s="143" t="s">
        <v>334</v>
      </c>
      <c r="B314" s="143" t="s">
        <v>104</v>
      </c>
      <c r="C314" s="143" t="s">
        <v>105</v>
      </c>
      <c r="D314" s="143" t="s">
        <v>69</v>
      </c>
      <c r="E314" s="257">
        <v>9869454182</v>
      </c>
      <c r="F314" s="257">
        <v>13869454182</v>
      </c>
      <c r="G314" s="257">
        <v>8449981708.3999996</v>
      </c>
      <c r="H314" s="257">
        <v>768400</v>
      </c>
      <c r="I314" s="257">
        <v>2061393717.0599999</v>
      </c>
      <c r="J314" s="257">
        <v>33032775.309999999</v>
      </c>
      <c r="K314" s="257">
        <v>2056339275.3</v>
      </c>
      <c r="L314" s="257">
        <v>1704786943.8399999</v>
      </c>
      <c r="M314" s="257">
        <v>9717920014.3299999</v>
      </c>
      <c r="N314" s="257">
        <v>4298447540.7299995</v>
      </c>
    </row>
    <row r="315" spans="1:14" s="143" customFormat="1" x14ac:dyDescent="0.25">
      <c r="A315" s="143" t="s">
        <v>334</v>
      </c>
      <c r="B315" s="143" t="s">
        <v>106</v>
      </c>
      <c r="C315" s="143" t="s">
        <v>107</v>
      </c>
      <c r="D315" s="143" t="s">
        <v>69</v>
      </c>
      <c r="E315" s="257">
        <v>3181468559</v>
      </c>
      <c r="F315" s="257">
        <v>7181468559</v>
      </c>
      <c r="G315" s="257">
        <v>5170984067.8999996</v>
      </c>
      <c r="H315" s="257">
        <v>0</v>
      </c>
      <c r="I315" s="257">
        <v>899388205.00999999</v>
      </c>
      <c r="J315" s="257">
        <v>28128457.43</v>
      </c>
      <c r="K315" s="257">
        <v>434402781.31</v>
      </c>
      <c r="L315" s="257">
        <v>378633229.85000002</v>
      </c>
      <c r="M315" s="257">
        <v>5819549115.25</v>
      </c>
      <c r="N315" s="257">
        <v>3809064624.1500001</v>
      </c>
    </row>
    <row r="316" spans="1:14" s="143" customFormat="1" x14ac:dyDescent="0.25">
      <c r="A316" s="143" t="s">
        <v>334</v>
      </c>
      <c r="B316" s="143" t="s">
        <v>280</v>
      </c>
      <c r="C316" s="143" t="s">
        <v>281</v>
      </c>
      <c r="D316" s="143" t="s">
        <v>69</v>
      </c>
      <c r="E316" s="257">
        <v>431740903</v>
      </c>
      <c r="F316" s="257">
        <v>431740903</v>
      </c>
      <c r="G316" s="257">
        <v>215870451.80000001</v>
      </c>
      <c r="H316" s="257">
        <v>0</v>
      </c>
      <c r="I316" s="257">
        <v>121391135.83</v>
      </c>
      <c r="J316" s="257">
        <v>0</v>
      </c>
      <c r="K316" s="257">
        <v>88345702.239999995</v>
      </c>
      <c r="L316" s="257">
        <v>87672835.859999999</v>
      </c>
      <c r="M316" s="257">
        <v>222004064.93000001</v>
      </c>
      <c r="N316" s="257">
        <v>6133613.7300000004</v>
      </c>
    </row>
    <row r="317" spans="1:14" s="143" customFormat="1" x14ac:dyDescent="0.25">
      <c r="A317" s="143" t="s">
        <v>334</v>
      </c>
      <c r="B317" s="143" t="s">
        <v>108</v>
      </c>
      <c r="C317" s="143" t="s">
        <v>109</v>
      </c>
      <c r="D317" s="143" t="s">
        <v>69</v>
      </c>
      <c r="E317" s="257">
        <v>719138329</v>
      </c>
      <c r="F317" s="257">
        <v>719138329</v>
      </c>
      <c r="G317" s="257">
        <v>359569164.30000001</v>
      </c>
      <c r="H317" s="257">
        <v>0</v>
      </c>
      <c r="I317" s="257">
        <v>205760533.88</v>
      </c>
      <c r="J317" s="257">
        <v>0</v>
      </c>
      <c r="K317" s="257">
        <v>99630741.400000006</v>
      </c>
      <c r="L317" s="257">
        <v>45550602.579999998</v>
      </c>
      <c r="M317" s="257">
        <v>413747053.72000003</v>
      </c>
      <c r="N317" s="257">
        <v>54177889.020000003</v>
      </c>
    </row>
    <row r="318" spans="1:14" s="143" customFormat="1" x14ac:dyDescent="0.25">
      <c r="A318" s="143" t="s">
        <v>334</v>
      </c>
      <c r="B318" s="143" t="s">
        <v>304</v>
      </c>
      <c r="C318" s="143" t="s">
        <v>305</v>
      </c>
      <c r="D318" s="143" t="s">
        <v>69</v>
      </c>
      <c r="E318" s="257">
        <v>23472000</v>
      </c>
      <c r="F318" s="257">
        <v>23472000</v>
      </c>
      <c r="G318" s="257">
        <v>11736000</v>
      </c>
      <c r="H318" s="257">
        <v>0</v>
      </c>
      <c r="I318" s="257">
        <v>0</v>
      </c>
      <c r="J318" s="257">
        <v>0</v>
      </c>
      <c r="K318" s="257">
        <v>1627014.4</v>
      </c>
      <c r="L318" s="257">
        <v>1627014.4</v>
      </c>
      <c r="M318" s="257">
        <v>21844985.600000001</v>
      </c>
      <c r="N318" s="257">
        <v>10108985.6</v>
      </c>
    </row>
    <row r="319" spans="1:14" s="143" customFormat="1" x14ac:dyDescent="0.25">
      <c r="A319" s="143" t="s">
        <v>334</v>
      </c>
      <c r="B319" s="143" t="s">
        <v>110</v>
      </c>
      <c r="C319" s="143" t="s">
        <v>111</v>
      </c>
      <c r="D319" s="143" t="s">
        <v>69</v>
      </c>
      <c r="E319" s="257">
        <v>2007117327</v>
      </c>
      <c r="F319" s="257">
        <v>2007117327</v>
      </c>
      <c r="G319" s="257">
        <v>583808451.79999995</v>
      </c>
      <c r="H319" s="257">
        <v>0</v>
      </c>
      <c r="I319" s="257">
        <v>79305283.299999997</v>
      </c>
      <c r="J319" s="257">
        <v>28128457.43</v>
      </c>
      <c r="K319" s="257">
        <v>244799323.27000001</v>
      </c>
      <c r="L319" s="257">
        <v>243782777.00999999</v>
      </c>
      <c r="M319" s="257">
        <v>1654884263</v>
      </c>
      <c r="N319" s="257">
        <v>231575387.80000001</v>
      </c>
    </row>
    <row r="320" spans="1:14" s="143" customFormat="1" x14ac:dyDescent="0.25">
      <c r="A320" s="143" t="s">
        <v>334</v>
      </c>
      <c r="B320" s="143" t="s">
        <v>110</v>
      </c>
      <c r="C320" s="143" t="s">
        <v>111</v>
      </c>
      <c r="D320" s="143" t="s">
        <v>85</v>
      </c>
      <c r="E320" s="257">
        <v>0</v>
      </c>
      <c r="F320" s="257">
        <v>4000000000</v>
      </c>
      <c r="G320" s="257">
        <v>4000000000</v>
      </c>
      <c r="H320" s="257">
        <v>0</v>
      </c>
      <c r="I320" s="257">
        <v>492931252</v>
      </c>
      <c r="J320" s="257">
        <v>0</v>
      </c>
      <c r="K320" s="257">
        <v>0</v>
      </c>
      <c r="L320" s="257">
        <v>0</v>
      </c>
      <c r="M320" s="257">
        <v>3507068748</v>
      </c>
      <c r="N320" s="257">
        <v>3507068748</v>
      </c>
    </row>
    <row r="321" spans="1:14" s="143" customFormat="1" x14ac:dyDescent="0.25">
      <c r="A321" s="143" t="s">
        <v>334</v>
      </c>
      <c r="B321" s="143" t="s">
        <v>112</v>
      </c>
      <c r="C321" s="143" t="s">
        <v>113</v>
      </c>
      <c r="D321" s="143" t="s">
        <v>69</v>
      </c>
      <c r="E321" s="257">
        <v>4328674526</v>
      </c>
      <c r="F321" s="257">
        <v>4328674526</v>
      </c>
      <c r="G321" s="257">
        <v>2187066229.5</v>
      </c>
      <c r="H321" s="257">
        <v>0</v>
      </c>
      <c r="I321" s="257">
        <v>707000134.03999996</v>
      </c>
      <c r="J321" s="257">
        <v>2429317.88</v>
      </c>
      <c r="K321" s="257">
        <v>1377832239.5799999</v>
      </c>
      <c r="L321" s="257">
        <v>1086656789.5799999</v>
      </c>
      <c r="M321" s="257">
        <v>2241412834.5</v>
      </c>
      <c r="N321" s="257">
        <v>99804538</v>
      </c>
    </row>
    <row r="322" spans="1:14" s="143" customFormat="1" x14ac:dyDescent="0.25">
      <c r="A322" s="143" t="s">
        <v>334</v>
      </c>
      <c r="B322" s="143" t="s">
        <v>114</v>
      </c>
      <c r="C322" s="143" t="s">
        <v>115</v>
      </c>
      <c r="D322" s="143" t="s">
        <v>69</v>
      </c>
      <c r="E322" s="257">
        <v>2503011786</v>
      </c>
      <c r="F322" s="257">
        <v>2503011786</v>
      </c>
      <c r="G322" s="257">
        <v>1251505893.5</v>
      </c>
      <c r="H322" s="257">
        <v>0</v>
      </c>
      <c r="I322" s="257">
        <v>406534583.5</v>
      </c>
      <c r="J322" s="257">
        <v>0</v>
      </c>
      <c r="K322" s="257">
        <v>844971310</v>
      </c>
      <c r="L322" s="257">
        <v>705602505</v>
      </c>
      <c r="M322" s="257">
        <v>1251505892.5</v>
      </c>
      <c r="N322" s="257">
        <v>0</v>
      </c>
    </row>
    <row r="323" spans="1:14" s="143" customFormat="1" x14ac:dyDescent="0.25">
      <c r="A323" s="143" t="s">
        <v>334</v>
      </c>
      <c r="B323" s="143" t="s">
        <v>116</v>
      </c>
      <c r="C323" s="143" t="s">
        <v>117</v>
      </c>
      <c r="D323" s="143" t="s">
        <v>69</v>
      </c>
      <c r="E323" s="257">
        <v>973642474</v>
      </c>
      <c r="F323" s="257">
        <v>973642474</v>
      </c>
      <c r="G323" s="257">
        <v>460154570.5</v>
      </c>
      <c r="H323" s="257">
        <v>0</v>
      </c>
      <c r="I323" s="257">
        <v>124206816.73</v>
      </c>
      <c r="J323" s="257">
        <v>0</v>
      </c>
      <c r="K323" s="257">
        <v>335947753.76999998</v>
      </c>
      <c r="L323" s="257">
        <v>184141108.77000001</v>
      </c>
      <c r="M323" s="257">
        <v>513487903.5</v>
      </c>
      <c r="N323" s="257">
        <v>0</v>
      </c>
    </row>
    <row r="324" spans="1:14" s="143" customFormat="1" x14ac:dyDescent="0.25">
      <c r="A324" s="143" t="s">
        <v>334</v>
      </c>
      <c r="B324" s="143" t="s">
        <v>118</v>
      </c>
      <c r="C324" s="143" t="s">
        <v>119</v>
      </c>
      <c r="D324" s="143" t="s">
        <v>69</v>
      </c>
      <c r="E324" s="257">
        <v>3942858</v>
      </c>
      <c r="F324" s="257">
        <v>3942858</v>
      </c>
      <c r="G324" s="257">
        <v>3942857.5</v>
      </c>
      <c r="H324" s="257">
        <v>0</v>
      </c>
      <c r="I324" s="257">
        <v>3026092.5</v>
      </c>
      <c r="J324" s="257">
        <v>0</v>
      </c>
      <c r="K324" s="257">
        <v>477870</v>
      </c>
      <c r="L324" s="257">
        <v>477870</v>
      </c>
      <c r="M324" s="257">
        <v>438895.5</v>
      </c>
      <c r="N324" s="257">
        <v>438895</v>
      </c>
    </row>
    <row r="325" spans="1:14" s="143" customFormat="1" x14ac:dyDescent="0.25">
      <c r="A325" s="143" t="s">
        <v>334</v>
      </c>
      <c r="B325" s="143" t="s">
        <v>120</v>
      </c>
      <c r="C325" s="143" t="s">
        <v>121</v>
      </c>
      <c r="D325" s="143" t="s">
        <v>69</v>
      </c>
      <c r="E325" s="257">
        <v>753229000</v>
      </c>
      <c r="F325" s="257">
        <v>753229000</v>
      </c>
      <c r="G325" s="257">
        <v>376614500</v>
      </c>
      <c r="H325" s="257">
        <v>0</v>
      </c>
      <c r="I325" s="257">
        <v>169750609.81999999</v>
      </c>
      <c r="J325" s="257">
        <v>2429317.88</v>
      </c>
      <c r="K325" s="257">
        <v>146651405.03999999</v>
      </c>
      <c r="L325" s="257">
        <v>146651405.03999999</v>
      </c>
      <c r="M325" s="257">
        <v>434397667.25999999</v>
      </c>
      <c r="N325" s="257">
        <v>57783167.259999998</v>
      </c>
    </row>
    <row r="326" spans="1:14" s="143" customFormat="1" x14ac:dyDescent="0.25">
      <c r="A326" s="143" t="s">
        <v>334</v>
      </c>
      <c r="B326" s="143" t="s">
        <v>122</v>
      </c>
      <c r="C326" s="143" t="s">
        <v>123</v>
      </c>
      <c r="D326" s="143" t="s">
        <v>69</v>
      </c>
      <c r="E326" s="257">
        <v>94848408</v>
      </c>
      <c r="F326" s="257">
        <v>94848408</v>
      </c>
      <c r="G326" s="257">
        <v>94848408</v>
      </c>
      <c r="H326" s="257">
        <v>0</v>
      </c>
      <c r="I326" s="257">
        <v>3482031.49</v>
      </c>
      <c r="J326" s="257">
        <v>0</v>
      </c>
      <c r="K326" s="257">
        <v>49783900.770000003</v>
      </c>
      <c r="L326" s="257">
        <v>49783900.770000003</v>
      </c>
      <c r="M326" s="257">
        <v>41582475.740000002</v>
      </c>
      <c r="N326" s="257">
        <v>41582475.740000002</v>
      </c>
    </row>
    <row r="327" spans="1:14" s="143" customFormat="1" x14ac:dyDescent="0.25">
      <c r="A327" s="143" t="s">
        <v>334</v>
      </c>
      <c r="B327" s="143" t="s">
        <v>124</v>
      </c>
      <c r="C327" s="143" t="s">
        <v>125</v>
      </c>
      <c r="D327" s="143" t="s">
        <v>69</v>
      </c>
      <c r="E327" s="257">
        <v>4451091</v>
      </c>
      <c r="F327" s="257">
        <v>4451091</v>
      </c>
      <c r="G327" s="257">
        <v>3141090.75</v>
      </c>
      <c r="H327" s="257">
        <v>0</v>
      </c>
      <c r="I327" s="257">
        <v>2031710</v>
      </c>
      <c r="J327" s="257">
        <v>0</v>
      </c>
      <c r="K327" s="257">
        <v>457470</v>
      </c>
      <c r="L327" s="257">
        <v>457470</v>
      </c>
      <c r="M327" s="257">
        <v>1961911</v>
      </c>
      <c r="N327" s="257">
        <v>651910.75</v>
      </c>
    </row>
    <row r="328" spans="1:14" s="143" customFormat="1" x14ac:dyDescent="0.25">
      <c r="A328" s="143" t="s">
        <v>334</v>
      </c>
      <c r="B328" s="143" t="s">
        <v>126</v>
      </c>
      <c r="C328" s="143" t="s">
        <v>127</v>
      </c>
      <c r="D328" s="143" t="s">
        <v>69</v>
      </c>
      <c r="E328" s="257">
        <v>1831091</v>
      </c>
      <c r="F328" s="257">
        <v>1831091</v>
      </c>
      <c r="G328" s="257">
        <v>1831090.75</v>
      </c>
      <c r="H328" s="257">
        <v>0</v>
      </c>
      <c r="I328" s="257">
        <v>1069070</v>
      </c>
      <c r="J328" s="257">
        <v>0</v>
      </c>
      <c r="K328" s="257">
        <v>413470</v>
      </c>
      <c r="L328" s="257">
        <v>413470</v>
      </c>
      <c r="M328" s="257">
        <v>348551</v>
      </c>
      <c r="N328" s="257">
        <v>348550.75</v>
      </c>
    </row>
    <row r="329" spans="1:14" s="143" customFormat="1" x14ac:dyDescent="0.25">
      <c r="A329" s="143" t="s">
        <v>334</v>
      </c>
      <c r="B329" s="143" t="s">
        <v>128</v>
      </c>
      <c r="C329" s="143" t="s">
        <v>129</v>
      </c>
      <c r="D329" s="143" t="s">
        <v>69</v>
      </c>
      <c r="E329" s="257">
        <v>2620000</v>
      </c>
      <c r="F329" s="257">
        <v>2620000</v>
      </c>
      <c r="G329" s="257">
        <v>1310000</v>
      </c>
      <c r="H329" s="257">
        <v>0</v>
      </c>
      <c r="I329" s="257">
        <v>962640</v>
      </c>
      <c r="J329" s="257">
        <v>0</v>
      </c>
      <c r="K329" s="257">
        <v>44000</v>
      </c>
      <c r="L329" s="257">
        <v>44000</v>
      </c>
      <c r="M329" s="257">
        <v>1613360</v>
      </c>
      <c r="N329" s="257">
        <v>303360</v>
      </c>
    </row>
    <row r="330" spans="1:14" s="143" customFormat="1" x14ac:dyDescent="0.25">
      <c r="A330" s="143" t="s">
        <v>334</v>
      </c>
      <c r="B330" s="143" t="s">
        <v>134</v>
      </c>
      <c r="C330" s="143" t="s">
        <v>135</v>
      </c>
      <c r="D330" s="143" t="s">
        <v>69</v>
      </c>
      <c r="E330" s="257">
        <v>310063679</v>
      </c>
      <c r="F330" s="257">
        <v>310063679</v>
      </c>
      <c r="G330" s="257">
        <v>165502169.68000001</v>
      </c>
      <c r="H330" s="257">
        <v>0</v>
      </c>
      <c r="I330" s="257">
        <v>43680840.130000003</v>
      </c>
      <c r="J330" s="257">
        <v>0</v>
      </c>
      <c r="K330" s="257">
        <v>29012355.260000002</v>
      </c>
      <c r="L330" s="257">
        <v>28781885.260000002</v>
      </c>
      <c r="M330" s="257">
        <v>237370483.61000001</v>
      </c>
      <c r="N330" s="257">
        <v>92808974.290000007</v>
      </c>
    </row>
    <row r="331" spans="1:14" s="143" customFormat="1" x14ac:dyDescent="0.25">
      <c r="A331" s="143" t="s">
        <v>334</v>
      </c>
      <c r="B331" s="143" t="s">
        <v>346</v>
      </c>
      <c r="C331" s="143" t="s">
        <v>347</v>
      </c>
      <c r="D331" s="143" t="s">
        <v>69</v>
      </c>
      <c r="E331" s="257">
        <v>21381819</v>
      </c>
      <c r="F331" s="257">
        <v>21381819</v>
      </c>
      <c r="G331" s="257">
        <v>21381818.75</v>
      </c>
      <c r="H331" s="257">
        <v>0</v>
      </c>
      <c r="I331" s="257">
        <v>4356088</v>
      </c>
      <c r="J331" s="257">
        <v>0</v>
      </c>
      <c r="K331" s="257">
        <v>0</v>
      </c>
      <c r="L331" s="257">
        <v>0</v>
      </c>
      <c r="M331" s="257">
        <v>17025731</v>
      </c>
      <c r="N331" s="257">
        <v>17025730.75</v>
      </c>
    </row>
    <row r="332" spans="1:14" s="143" customFormat="1" x14ac:dyDescent="0.25">
      <c r="A332" s="143" t="s">
        <v>334</v>
      </c>
      <c r="B332" s="143" t="s">
        <v>308</v>
      </c>
      <c r="C332" s="143" t="s">
        <v>309</v>
      </c>
      <c r="D332" s="143" t="s">
        <v>69</v>
      </c>
      <c r="E332" s="257">
        <v>106119000</v>
      </c>
      <c r="F332" s="257">
        <v>106119000</v>
      </c>
      <c r="G332" s="257">
        <v>53059500</v>
      </c>
      <c r="H332" s="257">
        <v>0</v>
      </c>
      <c r="I332" s="257">
        <v>25202663.219999999</v>
      </c>
      <c r="J332" s="257">
        <v>0</v>
      </c>
      <c r="K332" s="257">
        <v>4125000</v>
      </c>
      <c r="L332" s="257">
        <v>4125000</v>
      </c>
      <c r="M332" s="257">
        <v>76791336.780000001</v>
      </c>
      <c r="N332" s="257">
        <v>23731836.780000001</v>
      </c>
    </row>
    <row r="333" spans="1:14" s="143" customFormat="1" x14ac:dyDescent="0.25">
      <c r="A333" s="143" t="s">
        <v>334</v>
      </c>
      <c r="B333" s="143" t="s">
        <v>136</v>
      </c>
      <c r="C333" s="143" t="s">
        <v>137</v>
      </c>
      <c r="D333" s="143" t="s">
        <v>69</v>
      </c>
      <c r="E333" s="257">
        <v>126000000</v>
      </c>
      <c r="F333" s="257">
        <v>126000000</v>
      </c>
      <c r="G333" s="257">
        <v>57000000</v>
      </c>
      <c r="H333" s="257">
        <v>0</v>
      </c>
      <c r="I333" s="257">
        <v>10179288.83</v>
      </c>
      <c r="J333" s="257">
        <v>0</v>
      </c>
      <c r="K333" s="257">
        <v>16442191.359999999</v>
      </c>
      <c r="L333" s="257">
        <v>16442191.359999999</v>
      </c>
      <c r="M333" s="257">
        <v>99378519.810000002</v>
      </c>
      <c r="N333" s="257">
        <v>30378519.809999999</v>
      </c>
    </row>
    <row r="334" spans="1:14" s="143" customFormat="1" x14ac:dyDescent="0.25">
      <c r="A334" s="143" t="s">
        <v>334</v>
      </c>
      <c r="B334" s="143" t="s">
        <v>138</v>
      </c>
      <c r="C334" s="143" t="s">
        <v>139</v>
      </c>
      <c r="D334" s="143" t="s">
        <v>69</v>
      </c>
      <c r="E334" s="257">
        <v>56562860</v>
      </c>
      <c r="F334" s="257">
        <v>56562860</v>
      </c>
      <c r="G334" s="257">
        <v>34060850.93</v>
      </c>
      <c r="H334" s="257">
        <v>0</v>
      </c>
      <c r="I334" s="257">
        <v>3942800.08</v>
      </c>
      <c r="J334" s="257">
        <v>0</v>
      </c>
      <c r="K334" s="257">
        <v>8445163.9000000004</v>
      </c>
      <c r="L334" s="257">
        <v>8214693.9000000004</v>
      </c>
      <c r="M334" s="257">
        <v>44174896.020000003</v>
      </c>
      <c r="N334" s="257">
        <v>21672886.949999999</v>
      </c>
    </row>
    <row r="335" spans="1:14" s="143" customFormat="1" x14ac:dyDescent="0.25">
      <c r="A335" s="143" t="s">
        <v>334</v>
      </c>
      <c r="B335" s="143" t="s">
        <v>140</v>
      </c>
      <c r="C335" s="143" t="s">
        <v>141</v>
      </c>
      <c r="D335" s="143" t="s">
        <v>69</v>
      </c>
      <c r="E335" s="257">
        <v>128523280</v>
      </c>
      <c r="F335" s="257">
        <v>128523280</v>
      </c>
      <c r="G335" s="257">
        <v>71161343.019999996</v>
      </c>
      <c r="H335" s="257">
        <v>768400</v>
      </c>
      <c r="I335" s="257">
        <v>38671320</v>
      </c>
      <c r="J335" s="257">
        <v>0</v>
      </c>
      <c r="K335" s="257">
        <v>24379800</v>
      </c>
      <c r="L335" s="257">
        <v>23891210</v>
      </c>
      <c r="M335" s="257">
        <v>64703760</v>
      </c>
      <c r="N335" s="257">
        <v>7341823.0199999996</v>
      </c>
    </row>
    <row r="336" spans="1:14" s="143" customFormat="1" x14ac:dyDescent="0.25">
      <c r="A336" s="143" t="s">
        <v>334</v>
      </c>
      <c r="B336" s="143" t="s">
        <v>142</v>
      </c>
      <c r="C336" s="143" t="s">
        <v>143</v>
      </c>
      <c r="D336" s="143" t="s">
        <v>69</v>
      </c>
      <c r="E336" s="257">
        <v>4829000</v>
      </c>
      <c r="F336" s="257">
        <v>4829000</v>
      </c>
      <c r="G336" s="257">
        <v>3619140</v>
      </c>
      <c r="H336" s="257">
        <v>0</v>
      </c>
      <c r="I336" s="257">
        <v>888020</v>
      </c>
      <c r="J336" s="257">
        <v>0</v>
      </c>
      <c r="K336" s="257">
        <v>792500</v>
      </c>
      <c r="L336" s="257">
        <v>790610</v>
      </c>
      <c r="M336" s="257">
        <v>3148480</v>
      </c>
      <c r="N336" s="257">
        <v>1938620</v>
      </c>
    </row>
    <row r="337" spans="1:14" s="143" customFormat="1" x14ac:dyDescent="0.25">
      <c r="A337" s="143" t="s">
        <v>334</v>
      </c>
      <c r="B337" s="143" t="s">
        <v>144</v>
      </c>
      <c r="C337" s="143" t="s">
        <v>145</v>
      </c>
      <c r="D337" s="143" t="s">
        <v>69</v>
      </c>
      <c r="E337" s="257">
        <v>119154137</v>
      </c>
      <c r="F337" s="257">
        <v>119154137</v>
      </c>
      <c r="G337" s="257">
        <v>66407167.270000003</v>
      </c>
      <c r="H337" s="257">
        <v>768400</v>
      </c>
      <c r="I337" s="257">
        <v>37783300</v>
      </c>
      <c r="J337" s="257">
        <v>0</v>
      </c>
      <c r="K337" s="257">
        <v>23587300</v>
      </c>
      <c r="L337" s="257">
        <v>23100600</v>
      </c>
      <c r="M337" s="257">
        <v>57015137</v>
      </c>
      <c r="N337" s="257">
        <v>4268167.2699999996</v>
      </c>
    </row>
    <row r="338" spans="1:14" s="143" customFormat="1" x14ac:dyDescent="0.25">
      <c r="A338" s="143" t="s">
        <v>334</v>
      </c>
      <c r="B338" s="143" t="s">
        <v>146</v>
      </c>
      <c r="C338" s="143" t="s">
        <v>147</v>
      </c>
      <c r="D338" s="143" t="s">
        <v>69</v>
      </c>
      <c r="E338" s="257">
        <v>2851000</v>
      </c>
      <c r="F338" s="257">
        <v>2851000</v>
      </c>
      <c r="G338" s="257">
        <v>712750</v>
      </c>
      <c r="H338" s="257">
        <v>0</v>
      </c>
      <c r="I338" s="257">
        <v>0</v>
      </c>
      <c r="J338" s="257">
        <v>0</v>
      </c>
      <c r="K338" s="257">
        <v>0</v>
      </c>
      <c r="L338" s="257">
        <v>0</v>
      </c>
      <c r="M338" s="257">
        <v>2851000</v>
      </c>
      <c r="N338" s="257">
        <v>712750</v>
      </c>
    </row>
    <row r="339" spans="1:14" s="143" customFormat="1" x14ac:dyDescent="0.25">
      <c r="A339" s="143" t="s">
        <v>334</v>
      </c>
      <c r="B339" s="143" t="s">
        <v>148</v>
      </c>
      <c r="C339" s="143" t="s">
        <v>149</v>
      </c>
      <c r="D339" s="143" t="s">
        <v>69</v>
      </c>
      <c r="E339" s="257">
        <v>1689143</v>
      </c>
      <c r="F339" s="257">
        <v>1689143</v>
      </c>
      <c r="G339" s="257">
        <v>422285.75</v>
      </c>
      <c r="H339" s="257">
        <v>0</v>
      </c>
      <c r="I339" s="257">
        <v>0</v>
      </c>
      <c r="J339" s="257">
        <v>0</v>
      </c>
      <c r="K339" s="257">
        <v>0</v>
      </c>
      <c r="L339" s="257">
        <v>0</v>
      </c>
      <c r="M339" s="257">
        <v>1689143</v>
      </c>
      <c r="N339" s="257">
        <v>422285.75</v>
      </c>
    </row>
    <row r="340" spans="1:14" s="143" customFormat="1" x14ac:dyDescent="0.25">
      <c r="A340" s="143" t="s">
        <v>334</v>
      </c>
      <c r="B340" s="143" t="s">
        <v>150</v>
      </c>
      <c r="C340" s="143" t="s">
        <v>151</v>
      </c>
      <c r="D340" s="143" t="s">
        <v>69</v>
      </c>
      <c r="E340" s="257">
        <v>1290997262</v>
      </c>
      <c r="F340" s="257">
        <v>1244459372.29</v>
      </c>
      <c r="G340" s="257">
        <v>276054377.79000002</v>
      </c>
      <c r="H340" s="257">
        <v>0</v>
      </c>
      <c r="I340" s="257">
        <v>130403630.40000001</v>
      </c>
      <c r="J340" s="257">
        <v>0</v>
      </c>
      <c r="K340" s="257">
        <v>109156057.59999999</v>
      </c>
      <c r="L340" s="257">
        <v>107358787.59999999</v>
      </c>
      <c r="M340" s="257">
        <v>1004899684.29</v>
      </c>
      <c r="N340" s="257">
        <v>36494689.789999999</v>
      </c>
    </row>
    <row r="341" spans="1:14" s="143" customFormat="1" x14ac:dyDescent="0.25">
      <c r="A341" s="143" t="s">
        <v>334</v>
      </c>
      <c r="B341" s="143" t="s">
        <v>152</v>
      </c>
      <c r="C341" s="143" t="s">
        <v>153</v>
      </c>
      <c r="D341" s="143" t="s">
        <v>69</v>
      </c>
      <c r="E341" s="257">
        <v>1290997262</v>
      </c>
      <c r="F341" s="257">
        <v>1244459372.29</v>
      </c>
      <c r="G341" s="257">
        <v>276054377.79000002</v>
      </c>
      <c r="H341" s="257">
        <v>0</v>
      </c>
      <c r="I341" s="257">
        <v>130403630.40000001</v>
      </c>
      <c r="J341" s="257">
        <v>0</v>
      </c>
      <c r="K341" s="257">
        <v>109156057.59999999</v>
      </c>
      <c r="L341" s="257">
        <v>107358787.59999999</v>
      </c>
      <c r="M341" s="257">
        <v>1004899684.29</v>
      </c>
      <c r="N341" s="257">
        <v>36494689.789999999</v>
      </c>
    </row>
    <row r="342" spans="1:14" s="143" customFormat="1" x14ac:dyDescent="0.25">
      <c r="A342" s="143" t="s">
        <v>334</v>
      </c>
      <c r="B342" s="143" t="s">
        <v>154</v>
      </c>
      <c r="C342" s="143" t="s">
        <v>155</v>
      </c>
      <c r="D342" s="143" t="s">
        <v>69</v>
      </c>
      <c r="E342" s="257">
        <v>1413715</v>
      </c>
      <c r="F342" s="257">
        <v>1413715</v>
      </c>
      <c r="G342" s="257">
        <v>1413714.75</v>
      </c>
      <c r="H342" s="257">
        <v>0</v>
      </c>
      <c r="I342" s="257">
        <v>0</v>
      </c>
      <c r="J342" s="257">
        <v>0</v>
      </c>
      <c r="K342" s="257">
        <v>0</v>
      </c>
      <c r="L342" s="257">
        <v>0</v>
      </c>
      <c r="M342" s="257">
        <v>1413715</v>
      </c>
      <c r="N342" s="257">
        <v>1413714.75</v>
      </c>
    </row>
    <row r="343" spans="1:14" s="143" customFormat="1" x14ac:dyDescent="0.25">
      <c r="A343" s="143" t="s">
        <v>334</v>
      </c>
      <c r="B343" s="143" t="s">
        <v>156</v>
      </c>
      <c r="C343" s="143" t="s">
        <v>157</v>
      </c>
      <c r="D343" s="143" t="s">
        <v>69</v>
      </c>
      <c r="E343" s="257">
        <v>1413715</v>
      </c>
      <c r="F343" s="257">
        <v>1413715</v>
      </c>
      <c r="G343" s="257">
        <v>1413714.75</v>
      </c>
      <c r="H343" s="257">
        <v>0</v>
      </c>
      <c r="I343" s="257">
        <v>0</v>
      </c>
      <c r="J343" s="257">
        <v>0</v>
      </c>
      <c r="K343" s="257">
        <v>0</v>
      </c>
      <c r="L343" s="257">
        <v>0</v>
      </c>
      <c r="M343" s="257">
        <v>1413715</v>
      </c>
      <c r="N343" s="257">
        <v>1413714.75</v>
      </c>
    </row>
    <row r="344" spans="1:14" s="143" customFormat="1" x14ac:dyDescent="0.25">
      <c r="A344" s="143" t="s">
        <v>334</v>
      </c>
      <c r="B344" s="143" t="s">
        <v>162</v>
      </c>
      <c r="C344" s="143" t="s">
        <v>163</v>
      </c>
      <c r="D344" s="143" t="s">
        <v>69</v>
      </c>
      <c r="E344" s="257">
        <v>594069615</v>
      </c>
      <c r="F344" s="257">
        <v>594069615</v>
      </c>
      <c r="G344" s="257">
        <v>511724597.55000001</v>
      </c>
      <c r="H344" s="257">
        <v>0</v>
      </c>
      <c r="I344" s="257">
        <v>228732559.69</v>
      </c>
      <c r="J344" s="257">
        <v>2475000</v>
      </c>
      <c r="K344" s="257">
        <v>77382523.379999995</v>
      </c>
      <c r="L344" s="257">
        <v>77101523.379999995</v>
      </c>
      <c r="M344" s="257">
        <v>285479531.93000001</v>
      </c>
      <c r="N344" s="257">
        <v>203134514.47999999</v>
      </c>
    </row>
    <row r="345" spans="1:14" s="143" customFormat="1" x14ac:dyDescent="0.25">
      <c r="A345" s="143" t="s">
        <v>334</v>
      </c>
      <c r="B345" s="143" t="s">
        <v>310</v>
      </c>
      <c r="C345" s="143" t="s">
        <v>311</v>
      </c>
      <c r="D345" s="143" t="s">
        <v>69</v>
      </c>
      <c r="E345" s="257">
        <v>125656000</v>
      </c>
      <c r="F345" s="257">
        <v>125656000</v>
      </c>
      <c r="G345" s="257">
        <v>62828000</v>
      </c>
      <c r="H345" s="257">
        <v>0</v>
      </c>
      <c r="I345" s="257">
        <v>0</v>
      </c>
      <c r="J345" s="257">
        <v>0</v>
      </c>
      <c r="K345" s="257">
        <v>13349017</v>
      </c>
      <c r="L345" s="257">
        <v>13349017</v>
      </c>
      <c r="M345" s="257">
        <v>112306983</v>
      </c>
      <c r="N345" s="257">
        <v>49478983</v>
      </c>
    </row>
    <row r="346" spans="1:14" s="143" customFormat="1" x14ac:dyDescent="0.25">
      <c r="A346" s="143" t="s">
        <v>334</v>
      </c>
      <c r="B346" s="143" t="s">
        <v>164</v>
      </c>
      <c r="C346" s="143" t="s">
        <v>165</v>
      </c>
      <c r="D346" s="143" t="s">
        <v>69</v>
      </c>
      <c r="E346" s="257">
        <v>188229817</v>
      </c>
      <c r="F346" s="257">
        <v>188229817</v>
      </c>
      <c r="G346" s="257">
        <v>188229817</v>
      </c>
      <c r="H346" s="257">
        <v>0</v>
      </c>
      <c r="I346" s="257">
        <v>131180019.48999999</v>
      </c>
      <c r="J346" s="257">
        <v>0</v>
      </c>
      <c r="K346" s="257">
        <v>46922302.460000001</v>
      </c>
      <c r="L346" s="257">
        <v>46922302.460000001</v>
      </c>
      <c r="M346" s="257">
        <v>10127495.050000001</v>
      </c>
      <c r="N346" s="257">
        <v>10127495.050000001</v>
      </c>
    </row>
    <row r="347" spans="1:14" s="143" customFormat="1" x14ac:dyDescent="0.25">
      <c r="A347" s="143" t="s">
        <v>334</v>
      </c>
      <c r="B347" s="143" t="s">
        <v>166</v>
      </c>
      <c r="C347" s="143" t="s">
        <v>167</v>
      </c>
      <c r="D347" s="143" t="s">
        <v>69</v>
      </c>
      <c r="E347" s="257">
        <v>95028648</v>
      </c>
      <c r="F347" s="257">
        <v>95028648</v>
      </c>
      <c r="G347" s="257">
        <v>95028648</v>
      </c>
      <c r="H347" s="257">
        <v>0</v>
      </c>
      <c r="I347" s="257">
        <v>29156538.469999999</v>
      </c>
      <c r="J347" s="257">
        <v>2475000</v>
      </c>
      <c r="K347" s="257">
        <v>8828825.5399999991</v>
      </c>
      <c r="L347" s="257">
        <v>8822825.5399999991</v>
      </c>
      <c r="M347" s="257">
        <v>54568283.990000002</v>
      </c>
      <c r="N347" s="257">
        <v>54568283.990000002</v>
      </c>
    </row>
    <row r="348" spans="1:14" s="143" customFormat="1" x14ac:dyDescent="0.25">
      <c r="A348" s="143" t="s">
        <v>334</v>
      </c>
      <c r="B348" s="143" t="s">
        <v>312</v>
      </c>
      <c r="C348" s="143" t="s">
        <v>313</v>
      </c>
      <c r="D348" s="143" t="s">
        <v>69</v>
      </c>
      <c r="E348" s="257">
        <v>6300000</v>
      </c>
      <c r="F348" s="257">
        <v>6300000</v>
      </c>
      <c r="G348" s="257">
        <v>6300000</v>
      </c>
      <c r="H348" s="257">
        <v>0</v>
      </c>
      <c r="I348" s="257">
        <v>0</v>
      </c>
      <c r="J348" s="257">
        <v>0</v>
      </c>
      <c r="K348" s="257">
        <v>0</v>
      </c>
      <c r="L348" s="257">
        <v>0</v>
      </c>
      <c r="M348" s="257">
        <v>6300000</v>
      </c>
      <c r="N348" s="257">
        <v>6300000</v>
      </c>
    </row>
    <row r="349" spans="1:14" s="143" customFormat="1" x14ac:dyDescent="0.25">
      <c r="A349" s="143" t="s">
        <v>334</v>
      </c>
      <c r="B349" s="143" t="s">
        <v>168</v>
      </c>
      <c r="C349" s="143" t="s">
        <v>169</v>
      </c>
      <c r="D349" s="143" t="s">
        <v>69</v>
      </c>
      <c r="E349" s="257">
        <v>11141667</v>
      </c>
      <c r="F349" s="257">
        <v>11141667</v>
      </c>
      <c r="G349" s="257">
        <v>11141666.75</v>
      </c>
      <c r="H349" s="257">
        <v>0</v>
      </c>
      <c r="I349" s="257">
        <v>1239000</v>
      </c>
      <c r="J349" s="257">
        <v>0</v>
      </c>
      <c r="K349" s="257">
        <v>665000</v>
      </c>
      <c r="L349" s="257">
        <v>390000</v>
      </c>
      <c r="M349" s="257">
        <v>9237667</v>
      </c>
      <c r="N349" s="257">
        <v>9237666.75</v>
      </c>
    </row>
    <row r="350" spans="1:14" s="143" customFormat="1" x14ac:dyDescent="0.25">
      <c r="A350" s="143" t="s">
        <v>334</v>
      </c>
      <c r="B350" s="143" t="s">
        <v>170</v>
      </c>
      <c r="C350" s="143" t="s">
        <v>171</v>
      </c>
      <c r="D350" s="143" t="s">
        <v>69</v>
      </c>
      <c r="E350" s="257">
        <v>40562000</v>
      </c>
      <c r="F350" s="257">
        <v>40562000</v>
      </c>
      <c r="G350" s="257">
        <v>21044983</v>
      </c>
      <c r="H350" s="257">
        <v>0</v>
      </c>
      <c r="I350" s="257">
        <v>1130000</v>
      </c>
      <c r="J350" s="257">
        <v>0</v>
      </c>
      <c r="K350" s="257">
        <v>4354712.9800000004</v>
      </c>
      <c r="L350" s="257">
        <v>4354712.9800000004</v>
      </c>
      <c r="M350" s="257">
        <v>35077287.020000003</v>
      </c>
      <c r="N350" s="257">
        <v>15560270.02</v>
      </c>
    </row>
    <row r="351" spans="1:14" s="143" customFormat="1" x14ac:dyDescent="0.25">
      <c r="A351" s="143" t="s">
        <v>334</v>
      </c>
      <c r="B351" s="143" t="s">
        <v>172</v>
      </c>
      <c r="C351" s="143" t="s">
        <v>173</v>
      </c>
      <c r="D351" s="143" t="s">
        <v>69</v>
      </c>
      <c r="E351" s="257">
        <v>127151483</v>
      </c>
      <c r="F351" s="257">
        <v>127151483</v>
      </c>
      <c r="G351" s="257">
        <v>127151482.8</v>
      </c>
      <c r="H351" s="257">
        <v>0</v>
      </c>
      <c r="I351" s="257">
        <v>66027001.729999997</v>
      </c>
      <c r="J351" s="257">
        <v>0</v>
      </c>
      <c r="K351" s="257">
        <v>3262665.4</v>
      </c>
      <c r="L351" s="257">
        <v>3262665.4</v>
      </c>
      <c r="M351" s="257">
        <v>57861815.869999997</v>
      </c>
      <c r="N351" s="257">
        <v>57861815.670000002</v>
      </c>
    </row>
    <row r="352" spans="1:14" s="143" customFormat="1" x14ac:dyDescent="0.25">
      <c r="A352" s="143" t="s">
        <v>334</v>
      </c>
      <c r="B352" s="143" t="s">
        <v>174</v>
      </c>
      <c r="C352" s="143" t="s">
        <v>175</v>
      </c>
      <c r="D352" s="143" t="s">
        <v>69</v>
      </c>
      <c r="E352" s="257">
        <v>11126154</v>
      </c>
      <c r="F352" s="257">
        <v>11126154</v>
      </c>
      <c r="G352" s="257">
        <v>5563077.5</v>
      </c>
      <c r="H352" s="257">
        <v>0</v>
      </c>
      <c r="I352" s="257">
        <v>1732219</v>
      </c>
      <c r="J352" s="257">
        <v>0</v>
      </c>
      <c r="K352" s="257">
        <v>78882</v>
      </c>
      <c r="L352" s="257">
        <v>78882</v>
      </c>
      <c r="M352" s="257">
        <v>9315053</v>
      </c>
      <c r="N352" s="257">
        <v>3751976.5</v>
      </c>
    </row>
    <row r="353" spans="1:14" s="143" customFormat="1" x14ac:dyDescent="0.25">
      <c r="A353" s="143" t="s">
        <v>334</v>
      </c>
      <c r="B353" s="143" t="s">
        <v>176</v>
      </c>
      <c r="C353" s="143" t="s">
        <v>177</v>
      </c>
      <c r="D353" s="143" t="s">
        <v>69</v>
      </c>
      <c r="E353" s="257">
        <v>11126154</v>
      </c>
      <c r="F353" s="257">
        <v>11126154</v>
      </c>
      <c r="G353" s="257">
        <v>5563077.5</v>
      </c>
      <c r="H353" s="257">
        <v>0</v>
      </c>
      <c r="I353" s="257">
        <v>1732219</v>
      </c>
      <c r="J353" s="257">
        <v>0</v>
      </c>
      <c r="K353" s="257">
        <v>78882</v>
      </c>
      <c r="L353" s="257">
        <v>78882</v>
      </c>
      <c r="M353" s="257">
        <v>9315053</v>
      </c>
      <c r="N353" s="257">
        <v>3751976.5</v>
      </c>
    </row>
    <row r="354" spans="1:14" s="143" customFormat="1" x14ac:dyDescent="0.25">
      <c r="A354" s="143" t="s">
        <v>334</v>
      </c>
      <c r="B354" s="143" t="s">
        <v>178</v>
      </c>
      <c r="C354" s="143" t="s">
        <v>179</v>
      </c>
      <c r="D354" s="143" t="s">
        <v>69</v>
      </c>
      <c r="E354" s="257">
        <v>18666301</v>
      </c>
      <c r="F354" s="257">
        <v>65204190.710000001</v>
      </c>
      <c r="G354" s="257">
        <v>57371039.960000001</v>
      </c>
      <c r="H354" s="257">
        <v>0</v>
      </c>
      <c r="I354" s="257">
        <v>9753098.7899999991</v>
      </c>
      <c r="J354" s="257">
        <v>0</v>
      </c>
      <c r="K354" s="257">
        <v>3637166.17</v>
      </c>
      <c r="L354" s="257">
        <v>1827166.17</v>
      </c>
      <c r="M354" s="257">
        <v>51813925.75</v>
      </c>
      <c r="N354" s="257">
        <v>43980775</v>
      </c>
    </row>
    <row r="355" spans="1:14" s="143" customFormat="1" x14ac:dyDescent="0.25">
      <c r="A355" s="143" t="s">
        <v>334</v>
      </c>
      <c r="B355" s="143" t="s">
        <v>348</v>
      </c>
      <c r="C355" s="143" t="s">
        <v>349</v>
      </c>
      <c r="D355" s="143" t="s">
        <v>69</v>
      </c>
      <c r="E355" s="257">
        <v>3000000</v>
      </c>
      <c r="F355" s="257">
        <v>3000000</v>
      </c>
      <c r="G355" s="257">
        <v>3000000</v>
      </c>
      <c r="H355" s="257">
        <v>0</v>
      </c>
      <c r="I355" s="257">
        <v>966014.27</v>
      </c>
      <c r="J355" s="257">
        <v>0</v>
      </c>
      <c r="K355" s="257">
        <v>473411.17</v>
      </c>
      <c r="L355" s="257">
        <v>473411.17</v>
      </c>
      <c r="M355" s="257">
        <v>1560574.56</v>
      </c>
      <c r="N355" s="257">
        <v>1560574.56</v>
      </c>
    </row>
    <row r="356" spans="1:14" s="143" customFormat="1" x14ac:dyDescent="0.25">
      <c r="A356" s="143" t="s">
        <v>334</v>
      </c>
      <c r="B356" s="143" t="s">
        <v>180</v>
      </c>
      <c r="C356" s="143" t="s">
        <v>181</v>
      </c>
      <c r="D356" s="143" t="s">
        <v>69</v>
      </c>
      <c r="E356" s="257">
        <v>1275676</v>
      </c>
      <c r="F356" s="257">
        <v>47166460.710000001</v>
      </c>
      <c r="G356" s="257">
        <v>46528622.710000001</v>
      </c>
      <c r="H356" s="257">
        <v>0</v>
      </c>
      <c r="I356" s="257">
        <v>5845421.5199999996</v>
      </c>
      <c r="J356" s="257">
        <v>0</v>
      </c>
      <c r="K356" s="257">
        <v>0</v>
      </c>
      <c r="L356" s="257">
        <v>0</v>
      </c>
      <c r="M356" s="257">
        <v>41321039.189999998</v>
      </c>
      <c r="N356" s="257">
        <v>40683201.189999998</v>
      </c>
    </row>
    <row r="357" spans="1:14" s="143" customFormat="1" x14ac:dyDescent="0.25">
      <c r="A357" s="143" t="s">
        <v>334</v>
      </c>
      <c r="B357" s="143" t="s">
        <v>182</v>
      </c>
      <c r="C357" s="143" t="s">
        <v>183</v>
      </c>
      <c r="D357" s="143" t="s">
        <v>69</v>
      </c>
      <c r="E357" s="257">
        <v>14390625</v>
      </c>
      <c r="F357" s="257">
        <v>15037730</v>
      </c>
      <c r="G357" s="257">
        <v>7842417.25</v>
      </c>
      <c r="H357" s="257">
        <v>0</v>
      </c>
      <c r="I357" s="257">
        <v>2941663</v>
      </c>
      <c r="J357" s="257">
        <v>0</v>
      </c>
      <c r="K357" s="257">
        <v>3163755</v>
      </c>
      <c r="L357" s="257">
        <v>1353755</v>
      </c>
      <c r="M357" s="257">
        <v>8932312</v>
      </c>
      <c r="N357" s="257">
        <v>1736999.25</v>
      </c>
    </row>
    <row r="358" spans="1:14" s="143" customFormat="1" x14ac:dyDescent="0.25">
      <c r="A358" s="143" t="s">
        <v>334</v>
      </c>
      <c r="B358" s="143" t="s">
        <v>184</v>
      </c>
      <c r="C358" s="143" t="s">
        <v>185</v>
      </c>
      <c r="D358" s="143" t="s">
        <v>69</v>
      </c>
      <c r="E358" s="257">
        <v>14015826994</v>
      </c>
      <c r="F358" s="257">
        <v>14015826994</v>
      </c>
      <c r="G358" s="257">
        <v>7642003856.5</v>
      </c>
      <c r="H358" s="257">
        <v>0</v>
      </c>
      <c r="I358" s="257">
        <v>2320047085.29</v>
      </c>
      <c r="J358" s="257">
        <v>7021441.9100000001</v>
      </c>
      <c r="K358" s="257">
        <v>2543590843.5999999</v>
      </c>
      <c r="L358" s="257">
        <v>2480366772.0900002</v>
      </c>
      <c r="M358" s="257">
        <v>9145167623.2000008</v>
      </c>
      <c r="N358" s="257">
        <v>2771344485.6999998</v>
      </c>
    </row>
    <row r="359" spans="1:14" s="143" customFormat="1" x14ac:dyDescent="0.25">
      <c r="A359" s="143" t="s">
        <v>334</v>
      </c>
      <c r="B359" s="143" t="s">
        <v>186</v>
      </c>
      <c r="C359" s="143" t="s">
        <v>187</v>
      </c>
      <c r="D359" s="143" t="s">
        <v>69</v>
      </c>
      <c r="E359" s="257">
        <v>777682724</v>
      </c>
      <c r="F359" s="257">
        <v>777682724</v>
      </c>
      <c r="G359" s="257">
        <v>408027862</v>
      </c>
      <c r="H359" s="257">
        <v>0</v>
      </c>
      <c r="I359" s="257">
        <v>146714527.06</v>
      </c>
      <c r="J359" s="257">
        <v>0</v>
      </c>
      <c r="K359" s="257">
        <v>153815381.62</v>
      </c>
      <c r="L359" s="257">
        <v>148355024.28</v>
      </c>
      <c r="M359" s="257">
        <v>477152815.31999999</v>
      </c>
      <c r="N359" s="257">
        <v>107497953.31999999</v>
      </c>
    </row>
    <row r="360" spans="1:14" s="143" customFormat="1" x14ac:dyDescent="0.25">
      <c r="A360" s="143" t="s">
        <v>334</v>
      </c>
      <c r="B360" s="143" t="s">
        <v>188</v>
      </c>
      <c r="C360" s="143" t="s">
        <v>189</v>
      </c>
      <c r="D360" s="143" t="s">
        <v>69</v>
      </c>
      <c r="E360" s="257">
        <v>543016724</v>
      </c>
      <c r="F360" s="257">
        <v>543016724</v>
      </c>
      <c r="G360" s="257">
        <v>275508362</v>
      </c>
      <c r="H360" s="257">
        <v>0</v>
      </c>
      <c r="I360" s="257">
        <v>72422780.640000001</v>
      </c>
      <c r="J360" s="257">
        <v>0</v>
      </c>
      <c r="K360" s="257">
        <v>153709315.03999999</v>
      </c>
      <c r="L360" s="257">
        <v>148248957.69999999</v>
      </c>
      <c r="M360" s="257">
        <v>316884628.31999999</v>
      </c>
      <c r="N360" s="257">
        <v>49376266.32</v>
      </c>
    </row>
    <row r="361" spans="1:14" s="143" customFormat="1" x14ac:dyDescent="0.25">
      <c r="A361" s="143" t="s">
        <v>334</v>
      </c>
      <c r="B361" s="143" t="s">
        <v>190</v>
      </c>
      <c r="C361" s="143" t="s">
        <v>191</v>
      </c>
      <c r="D361" s="143" t="s">
        <v>69</v>
      </c>
      <c r="E361" s="257">
        <v>195656000</v>
      </c>
      <c r="F361" s="257">
        <v>195656000</v>
      </c>
      <c r="G361" s="257">
        <v>97828000</v>
      </c>
      <c r="H361" s="257">
        <v>0</v>
      </c>
      <c r="I361" s="257">
        <v>74248900</v>
      </c>
      <c r="J361" s="257">
        <v>0</v>
      </c>
      <c r="K361" s="257">
        <v>0</v>
      </c>
      <c r="L361" s="257">
        <v>0</v>
      </c>
      <c r="M361" s="257">
        <v>121407100</v>
      </c>
      <c r="N361" s="257">
        <v>23579100</v>
      </c>
    </row>
    <row r="362" spans="1:14" s="143" customFormat="1" x14ac:dyDescent="0.25">
      <c r="A362" s="143" t="s">
        <v>334</v>
      </c>
      <c r="B362" s="143" t="s">
        <v>350</v>
      </c>
      <c r="C362" s="143" t="s">
        <v>351</v>
      </c>
      <c r="D362" s="143" t="s">
        <v>69</v>
      </c>
      <c r="E362" s="257">
        <v>2674000</v>
      </c>
      <c r="F362" s="257">
        <v>2674000</v>
      </c>
      <c r="G362" s="257">
        <v>1337000</v>
      </c>
      <c r="H362" s="257">
        <v>0</v>
      </c>
      <c r="I362" s="257">
        <v>42846</v>
      </c>
      <c r="J362" s="257">
        <v>0</v>
      </c>
      <c r="K362" s="257">
        <v>77925</v>
      </c>
      <c r="L362" s="257">
        <v>77925</v>
      </c>
      <c r="M362" s="257">
        <v>2553229</v>
      </c>
      <c r="N362" s="257">
        <v>1216229</v>
      </c>
    </row>
    <row r="363" spans="1:14" s="143" customFormat="1" x14ac:dyDescent="0.25">
      <c r="A363" s="143" t="s">
        <v>334</v>
      </c>
      <c r="B363" s="143" t="s">
        <v>192</v>
      </c>
      <c r="C363" s="143" t="s">
        <v>193</v>
      </c>
      <c r="D363" s="143" t="s">
        <v>69</v>
      </c>
      <c r="E363" s="257">
        <v>30373000</v>
      </c>
      <c r="F363" s="257">
        <v>30373000</v>
      </c>
      <c r="G363" s="257">
        <v>30373000</v>
      </c>
      <c r="H363" s="257">
        <v>0</v>
      </c>
      <c r="I363" s="257">
        <v>0.42</v>
      </c>
      <c r="J363" s="257">
        <v>0</v>
      </c>
      <c r="K363" s="257">
        <v>28141.58</v>
      </c>
      <c r="L363" s="257">
        <v>28141.58</v>
      </c>
      <c r="M363" s="257">
        <v>30344858</v>
      </c>
      <c r="N363" s="257">
        <v>30344858</v>
      </c>
    </row>
    <row r="364" spans="1:14" s="143" customFormat="1" x14ac:dyDescent="0.25">
      <c r="A364" s="143" t="s">
        <v>334</v>
      </c>
      <c r="B364" s="143" t="s">
        <v>194</v>
      </c>
      <c r="C364" s="143" t="s">
        <v>195</v>
      </c>
      <c r="D364" s="143" t="s">
        <v>69</v>
      </c>
      <c r="E364" s="257">
        <v>5963000</v>
      </c>
      <c r="F364" s="257">
        <v>5963000</v>
      </c>
      <c r="G364" s="257">
        <v>2981500</v>
      </c>
      <c r="H364" s="257">
        <v>0</v>
      </c>
      <c r="I364" s="257">
        <v>0</v>
      </c>
      <c r="J364" s="257">
        <v>0</v>
      </c>
      <c r="K364" s="257">
        <v>0</v>
      </c>
      <c r="L364" s="257">
        <v>0</v>
      </c>
      <c r="M364" s="257">
        <v>5963000</v>
      </c>
      <c r="N364" s="257">
        <v>2981500</v>
      </c>
    </row>
    <row r="365" spans="1:14" s="143" customFormat="1" x14ac:dyDescent="0.25">
      <c r="A365" s="143" t="s">
        <v>334</v>
      </c>
      <c r="B365" s="143" t="s">
        <v>196</v>
      </c>
      <c r="C365" s="143" t="s">
        <v>197</v>
      </c>
      <c r="D365" s="143" t="s">
        <v>69</v>
      </c>
      <c r="E365" s="257">
        <v>10984366500</v>
      </c>
      <c r="F365" s="257">
        <v>10984366500</v>
      </c>
      <c r="G365" s="257">
        <v>5492183250</v>
      </c>
      <c r="H365" s="257">
        <v>0</v>
      </c>
      <c r="I365" s="257">
        <v>1824941026.3399999</v>
      </c>
      <c r="J365" s="257">
        <v>0</v>
      </c>
      <c r="K365" s="257">
        <v>2204406630.6999998</v>
      </c>
      <c r="L365" s="257">
        <v>2150774676.6999998</v>
      </c>
      <c r="M365" s="257">
        <v>6955018842.96</v>
      </c>
      <c r="N365" s="257">
        <v>1462835592.96</v>
      </c>
    </row>
    <row r="366" spans="1:14" s="143" customFormat="1" x14ac:dyDescent="0.25">
      <c r="A366" s="143" t="s">
        <v>334</v>
      </c>
      <c r="B366" s="143" t="s">
        <v>198</v>
      </c>
      <c r="C366" s="143" t="s">
        <v>199</v>
      </c>
      <c r="D366" s="143" t="s">
        <v>69</v>
      </c>
      <c r="E366" s="257">
        <v>10972726000</v>
      </c>
      <c r="F366" s="257">
        <v>10972726000</v>
      </c>
      <c r="G366" s="257">
        <v>5486363000</v>
      </c>
      <c r="H366" s="257">
        <v>0</v>
      </c>
      <c r="I366" s="257">
        <v>1824941026.3399999</v>
      </c>
      <c r="J366" s="257">
        <v>0</v>
      </c>
      <c r="K366" s="257">
        <v>2204406630.6999998</v>
      </c>
      <c r="L366" s="257">
        <v>2150774676.6999998</v>
      </c>
      <c r="M366" s="257">
        <v>6943378342.96</v>
      </c>
      <c r="N366" s="257">
        <v>1457015342.96</v>
      </c>
    </row>
    <row r="367" spans="1:14" s="143" customFormat="1" x14ac:dyDescent="0.25">
      <c r="A367" s="143" t="s">
        <v>334</v>
      </c>
      <c r="B367" s="143" t="s">
        <v>352</v>
      </c>
      <c r="C367" s="143" t="s">
        <v>353</v>
      </c>
      <c r="D367" s="143" t="s">
        <v>69</v>
      </c>
      <c r="E367" s="257">
        <v>11640500</v>
      </c>
      <c r="F367" s="257">
        <v>11640500</v>
      </c>
      <c r="G367" s="257">
        <v>5820250</v>
      </c>
      <c r="H367" s="257">
        <v>0</v>
      </c>
      <c r="I367" s="257">
        <v>0</v>
      </c>
      <c r="J367" s="257">
        <v>0</v>
      </c>
      <c r="K367" s="257">
        <v>0</v>
      </c>
      <c r="L367" s="257">
        <v>0</v>
      </c>
      <c r="M367" s="257">
        <v>11640500</v>
      </c>
      <c r="N367" s="257">
        <v>5820250</v>
      </c>
    </row>
    <row r="368" spans="1:14" s="143" customFormat="1" x14ac:dyDescent="0.25">
      <c r="A368" s="143" t="s">
        <v>334</v>
      </c>
      <c r="B368" s="143" t="s">
        <v>200</v>
      </c>
      <c r="C368" s="143" t="s">
        <v>201</v>
      </c>
      <c r="D368" s="143" t="s">
        <v>69</v>
      </c>
      <c r="E368" s="257">
        <v>446867786</v>
      </c>
      <c r="F368" s="257">
        <v>442289969</v>
      </c>
      <c r="G368" s="257">
        <v>284767836.5</v>
      </c>
      <c r="H368" s="257">
        <v>0</v>
      </c>
      <c r="I368" s="257">
        <v>9789497.8499999996</v>
      </c>
      <c r="J368" s="257">
        <v>6977441.9100000001</v>
      </c>
      <c r="K368" s="257">
        <v>38718427.170000002</v>
      </c>
      <c r="L368" s="257">
        <v>38718427.170000002</v>
      </c>
      <c r="M368" s="257">
        <v>386804602.06999999</v>
      </c>
      <c r="N368" s="257">
        <v>229282469.56999999</v>
      </c>
    </row>
    <row r="369" spans="1:14" s="143" customFormat="1" x14ac:dyDescent="0.25">
      <c r="A369" s="143" t="s">
        <v>334</v>
      </c>
      <c r="B369" s="143" t="s">
        <v>314</v>
      </c>
      <c r="C369" s="143" t="s">
        <v>315</v>
      </c>
      <c r="D369" s="143" t="s">
        <v>69</v>
      </c>
      <c r="E369" s="257">
        <v>122902000</v>
      </c>
      <c r="F369" s="257">
        <v>122902000</v>
      </c>
      <c r="G369" s="257">
        <v>62192860</v>
      </c>
      <c r="H369" s="257">
        <v>0</v>
      </c>
      <c r="I369" s="257">
        <v>8120620.8499999996</v>
      </c>
      <c r="J369" s="257">
        <v>0</v>
      </c>
      <c r="K369" s="257">
        <v>3727874.8</v>
      </c>
      <c r="L369" s="257">
        <v>3727874.8</v>
      </c>
      <c r="M369" s="257">
        <v>111053504.34999999</v>
      </c>
      <c r="N369" s="257">
        <v>50344364.350000001</v>
      </c>
    </row>
    <row r="370" spans="1:14" s="143" customFormat="1" x14ac:dyDescent="0.25">
      <c r="A370" s="143" t="s">
        <v>334</v>
      </c>
      <c r="B370" s="143" t="s">
        <v>316</v>
      </c>
      <c r="C370" s="143" t="s">
        <v>317</v>
      </c>
      <c r="D370" s="143" t="s">
        <v>69</v>
      </c>
      <c r="E370" s="257">
        <v>50168000</v>
      </c>
      <c r="F370" s="257">
        <v>50168000</v>
      </c>
      <c r="G370" s="257">
        <v>25084000</v>
      </c>
      <c r="H370" s="257">
        <v>0</v>
      </c>
      <c r="I370" s="257">
        <v>1440123</v>
      </c>
      <c r="J370" s="257">
        <v>0</v>
      </c>
      <c r="K370" s="257">
        <v>2495520</v>
      </c>
      <c r="L370" s="257">
        <v>2495520</v>
      </c>
      <c r="M370" s="257">
        <v>46232357</v>
      </c>
      <c r="N370" s="257">
        <v>21148357</v>
      </c>
    </row>
    <row r="371" spans="1:14" s="143" customFormat="1" x14ac:dyDescent="0.25">
      <c r="A371" s="143" t="s">
        <v>334</v>
      </c>
      <c r="B371" s="143" t="s">
        <v>318</v>
      </c>
      <c r="C371" s="143" t="s">
        <v>319</v>
      </c>
      <c r="D371" s="143" t="s">
        <v>69</v>
      </c>
      <c r="E371" s="257">
        <v>89195672</v>
      </c>
      <c r="F371" s="257">
        <v>89195672</v>
      </c>
      <c r="G371" s="257">
        <v>55845623</v>
      </c>
      <c r="H371" s="257">
        <v>0</v>
      </c>
      <c r="I371" s="257">
        <v>0</v>
      </c>
      <c r="J371" s="257">
        <v>6955000</v>
      </c>
      <c r="K371" s="257">
        <v>32215598</v>
      </c>
      <c r="L371" s="257">
        <v>32215598</v>
      </c>
      <c r="M371" s="257">
        <v>50025074</v>
      </c>
      <c r="N371" s="257">
        <v>16675025</v>
      </c>
    </row>
    <row r="372" spans="1:14" s="143" customFormat="1" x14ac:dyDescent="0.25">
      <c r="A372" s="143" t="s">
        <v>334</v>
      </c>
      <c r="B372" s="143" t="s">
        <v>202</v>
      </c>
      <c r="C372" s="143" t="s">
        <v>203</v>
      </c>
      <c r="D372" s="143" t="s">
        <v>69</v>
      </c>
      <c r="E372" s="257">
        <v>90316000</v>
      </c>
      <c r="F372" s="257">
        <v>90316000</v>
      </c>
      <c r="G372" s="257">
        <v>90316000</v>
      </c>
      <c r="H372" s="257">
        <v>0</v>
      </c>
      <c r="I372" s="257">
        <v>118754</v>
      </c>
      <c r="J372" s="257">
        <v>0</v>
      </c>
      <c r="K372" s="257">
        <v>279434.37</v>
      </c>
      <c r="L372" s="257">
        <v>279434.37</v>
      </c>
      <c r="M372" s="257">
        <v>89917811.629999995</v>
      </c>
      <c r="N372" s="257">
        <v>89917811.629999995</v>
      </c>
    </row>
    <row r="373" spans="1:14" s="143" customFormat="1" x14ac:dyDescent="0.25">
      <c r="A373" s="143" t="s">
        <v>334</v>
      </c>
      <c r="B373" s="143" t="s">
        <v>320</v>
      </c>
      <c r="C373" s="143" t="s">
        <v>321</v>
      </c>
      <c r="D373" s="143" t="s">
        <v>69</v>
      </c>
      <c r="E373" s="257">
        <v>7059000</v>
      </c>
      <c r="F373" s="257">
        <v>2481183</v>
      </c>
      <c r="G373" s="257">
        <v>2481183</v>
      </c>
      <c r="H373" s="257">
        <v>0</v>
      </c>
      <c r="I373" s="257">
        <v>110000</v>
      </c>
      <c r="J373" s="257">
        <v>0</v>
      </c>
      <c r="K373" s="257">
        <v>0</v>
      </c>
      <c r="L373" s="257">
        <v>0</v>
      </c>
      <c r="M373" s="257">
        <v>2371183</v>
      </c>
      <c r="N373" s="257">
        <v>2371183</v>
      </c>
    </row>
    <row r="374" spans="1:14" s="143" customFormat="1" x14ac:dyDescent="0.25">
      <c r="A374" s="143" t="s">
        <v>334</v>
      </c>
      <c r="B374" s="143" t="s">
        <v>204</v>
      </c>
      <c r="C374" s="143" t="s">
        <v>205</v>
      </c>
      <c r="D374" s="143" t="s">
        <v>69</v>
      </c>
      <c r="E374" s="257">
        <v>61279000</v>
      </c>
      <c r="F374" s="257">
        <v>61279000</v>
      </c>
      <c r="G374" s="257">
        <v>22900057</v>
      </c>
      <c r="H374" s="257">
        <v>0</v>
      </c>
      <c r="I374" s="257">
        <v>0</v>
      </c>
      <c r="J374" s="257">
        <v>22441.91</v>
      </c>
      <c r="K374" s="257">
        <v>0</v>
      </c>
      <c r="L374" s="257">
        <v>0</v>
      </c>
      <c r="M374" s="257">
        <v>61256558.090000004</v>
      </c>
      <c r="N374" s="257">
        <v>22877615.09</v>
      </c>
    </row>
    <row r="375" spans="1:14" s="143" customFormat="1" x14ac:dyDescent="0.25">
      <c r="A375" s="143" t="s">
        <v>334</v>
      </c>
      <c r="B375" s="143" t="s">
        <v>322</v>
      </c>
      <c r="C375" s="143" t="s">
        <v>323</v>
      </c>
      <c r="D375" s="143" t="s">
        <v>69</v>
      </c>
      <c r="E375" s="257">
        <v>25948114</v>
      </c>
      <c r="F375" s="257">
        <v>25948114</v>
      </c>
      <c r="G375" s="257">
        <v>25948113.5</v>
      </c>
      <c r="H375" s="257">
        <v>0</v>
      </c>
      <c r="I375" s="257">
        <v>0</v>
      </c>
      <c r="J375" s="257">
        <v>0</v>
      </c>
      <c r="K375" s="257">
        <v>0</v>
      </c>
      <c r="L375" s="257">
        <v>0</v>
      </c>
      <c r="M375" s="257">
        <v>25948114</v>
      </c>
      <c r="N375" s="257">
        <v>25948113.5</v>
      </c>
    </row>
    <row r="376" spans="1:14" s="143" customFormat="1" x14ac:dyDescent="0.25">
      <c r="A376" s="143" t="s">
        <v>334</v>
      </c>
      <c r="B376" s="143" t="s">
        <v>206</v>
      </c>
      <c r="C376" s="143" t="s">
        <v>207</v>
      </c>
      <c r="D376" s="143" t="s">
        <v>69</v>
      </c>
      <c r="E376" s="257">
        <v>150560000</v>
      </c>
      <c r="F376" s="257">
        <v>150560000</v>
      </c>
      <c r="G376" s="257">
        <v>126053720</v>
      </c>
      <c r="H376" s="257">
        <v>0</v>
      </c>
      <c r="I376" s="257">
        <v>13313389.58</v>
      </c>
      <c r="J376" s="257">
        <v>44000</v>
      </c>
      <c r="K376" s="257">
        <v>27762581.57</v>
      </c>
      <c r="L376" s="257">
        <v>27557195.899999999</v>
      </c>
      <c r="M376" s="257">
        <v>109440028.84999999</v>
      </c>
      <c r="N376" s="257">
        <v>84933748.849999994</v>
      </c>
    </row>
    <row r="377" spans="1:14" s="143" customFormat="1" x14ac:dyDescent="0.25">
      <c r="A377" s="143" t="s">
        <v>334</v>
      </c>
      <c r="B377" s="143" t="s">
        <v>208</v>
      </c>
      <c r="C377" s="143" t="s">
        <v>209</v>
      </c>
      <c r="D377" s="143" t="s">
        <v>69</v>
      </c>
      <c r="E377" s="257">
        <v>53615000</v>
      </c>
      <c r="F377" s="257">
        <v>53615000</v>
      </c>
      <c r="G377" s="257">
        <v>29108720</v>
      </c>
      <c r="H377" s="257">
        <v>0</v>
      </c>
      <c r="I377" s="257">
        <v>7242000</v>
      </c>
      <c r="J377" s="257">
        <v>44000</v>
      </c>
      <c r="K377" s="257">
        <v>9569580</v>
      </c>
      <c r="L377" s="257">
        <v>9569580</v>
      </c>
      <c r="M377" s="257">
        <v>36759420</v>
      </c>
      <c r="N377" s="257">
        <v>12253140</v>
      </c>
    </row>
    <row r="378" spans="1:14" s="143" customFormat="1" x14ac:dyDescent="0.25">
      <c r="A378" s="143" t="s">
        <v>334</v>
      </c>
      <c r="B378" s="143" t="s">
        <v>210</v>
      </c>
      <c r="C378" s="143" t="s">
        <v>211</v>
      </c>
      <c r="D378" s="143" t="s">
        <v>69</v>
      </c>
      <c r="E378" s="257">
        <v>96945000</v>
      </c>
      <c r="F378" s="257">
        <v>96945000</v>
      </c>
      <c r="G378" s="257">
        <v>96945000</v>
      </c>
      <c r="H378" s="257">
        <v>0</v>
      </c>
      <c r="I378" s="257">
        <v>6071389.5800000001</v>
      </c>
      <c r="J378" s="257">
        <v>0</v>
      </c>
      <c r="K378" s="257">
        <v>18193001.57</v>
      </c>
      <c r="L378" s="257">
        <v>17987615.899999999</v>
      </c>
      <c r="M378" s="257">
        <v>72680608.849999994</v>
      </c>
      <c r="N378" s="257">
        <v>72680608.849999994</v>
      </c>
    </row>
    <row r="379" spans="1:14" s="143" customFormat="1" x14ac:dyDescent="0.25">
      <c r="A379" s="143" t="s">
        <v>334</v>
      </c>
      <c r="B379" s="143" t="s">
        <v>354</v>
      </c>
      <c r="C379" s="143" t="s">
        <v>355</v>
      </c>
      <c r="D379" s="143" t="s">
        <v>69</v>
      </c>
      <c r="E379" s="257">
        <v>0</v>
      </c>
      <c r="F379" s="257">
        <v>4577817</v>
      </c>
      <c r="G379" s="257">
        <v>4577817</v>
      </c>
      <c r="H379" s="257">
        <v>0</v>
      </c>
      <c r="I379" s="257">
        <v>0</v>
      </c>
      <c r="J379" s="257">
        <v>0</v>
      </c>
      <c r="K379" s="257">
        <v>0</v>
      </c>
      <c r="L379" s="257">
        <v>0</v>
      </c>
      <c r="M379" s="257">
        <v>4577817</v>
      </c>
      <c r="N379" s="257">
        <v>4577817</v>
      </c>
    </row>
    <row r="380" spans="1:14" s="143" customFormat="1" x14ac:dyDescent="0.25">
      <c r="A380" s="143" t="s">
        <v>334</v>
      </c>
      <c r="B380" s="143" t="s">
        <v>356</v>
      </c>
      <c r="C380" s="143" t="s">
        <v>357</v>
      </c>
      <c r="D380" s="143" t="s">
        <v>69</v>
      </c>
      <c r="E380" s="257">
        <v>0</v>
      </c>
      <c r="F380" s="257">
        <v>4577817</v>
      </c>
      <c r="G380" s="257">
        <v>4577817</v>
      </c>
      <c r="H380" s="257">
        <v>0</v>
      </c>
      <c r="I380" s="257">
        <v>0</v>
      </c>
      <c r="J380" s="257">
        <v>0</v>
      </c>
      <c r="K380" s="257">
        <v>0</v>
      </c>
      <c r="L380" s="257">
        <v>0</v>
      </c>
      <c r="M380" s="257">
        <v>4577817</v>
      </c>
      <c r="N380" s="257">
        <v>4577817</v>
      </c>
    </row>
    <row r="381" spans="1:14" s="143" customFormat="1" x14ac:dyDescent="0.25">
      <c r="A381" s="143" t="s">
        <v>334</v>
      </c>
      <c r="B381" s="143" t="s">
        <v>212</v>
      </c>
      <c r="C381" s="143" t="s">
        <v>213</v>
      </c>
      <c r="D381" s="143" t="s">
        <v>69</v>
      </c>
      <c r="E381" s="257">
        <v>1656349984</v>
      </c>
      <c r="F381" s="257">
        <v>1656349984</v>
      </c>
      <c r="G381" s="257">
        <v>1326393371</v>
      </c>
      <c r="H381" s="257">
        <v>0</v>
      </c>
      <c r="I381" s="257">
        <v>325288644.45999998</v>
      </c>
      <c r="J381" s="257">
        <v>0</v>
      </c>
      <c r="K381" s="257">
        <v>118887822.54000001</v>
      </c>
      <c r="L381" s="257">
        <v>114961448.04000001</v>
      </c>
      <c r="M381" s="257">
        <v>1212173517</v>
      </c>
      <c r="N381" s="257">
        <v>882216904</v>
      </c>
    </row>
    <row r="382" spans="1:14" s="143" customFormat="1" x14ac:dyDescent="0.25">
      <c r="A382" s="143" t="s">
        <v>334</v>
      </c>
      <c r="B382" s="143" t="s">
        <v>214</v>
      </c>
      <c r="C382" s="143" t="s">
        <v>215</v>
      </c>
      <c r="D382" s="143" t="s">
        <v>69</v>
      </c>
      <c r="E382" s="257">
        <v>34070136</v>
      </c>
      <c r="F382" s="257">
        <v>34070136</v>
      </c>
      <c r="G382" s="257">
        <v>17035068</v>
      </c>
      <c r="H382" s="257">
        <v>0</v>
      </c>
      <c r="I382" s="257">
        <v>0</v>
      </c>
      <c r="J382" s="257">
        <v>0</v>
      </c>
      <c r="K382" s="257">
        <v>0</v>
      </c>
      <c r="L382" s="257">
        <v>0</v>
      </c>
      <c r="M382" s="257">
        <v>34070136</v>
      </c>
      <c r="N382" s="257">
        <v>17035068</v>
      </c>
    </row>
    <row r="383" spans="1:14" s="143" customFormat="1" x14ac:dyDescent="0.25">
      <c r="A383" s="143" t="s">
        <v>334</v>
      </c>
      <c r="B383" s="143" t="s">
        <v>216</v>
      </c>
      <c r="C383" s="143" t="s">
        <v>217</v>
      </c>
      <c r="D383" s="143" t="s">
        <v>69</v>
      </c>
      <c r="E383" s="257">
        <v>65363019</v>
      </c>
      <c r="F383" s="257">
        <v>65363019</v>
      </c>
      <c r="G383" s="257">
        <v>32681509.75</v>
      </c>
      <c r="H383" s="257">
        <v>0</v>
      </c>
      <c r="I383" s="257">
        <v>388524.54</v>
      </c>
      <c r="J383" s="257">
        <v>0</v>
      </c>
      <c r="K383" s="257">
        <v>5068757.07</v>
      </c>
      <c r="L383" s="257">
        <v>5068757.07</v>
      </c>
      <c r="M383" s="257">
        <v>59905737.390000001</v>
      </c>
      <c r="N383" s="257">
        <v>27224228.140000001</v>
      </c>
    </row>
    <row r="384" spans="1:14" s="143" customFormat="1" x14ac:dyDescent="0.25">
      <c r="A384" s="143" t="s">
        <v>334</v>
      </c>
      <c r="B384" s="143" t="s">
        <v>218</v>
      </c>
      <c r="C384" s="143" t="s">
        <v>219</v>
      </c>
      <c r="D384" s="143" t="s">
        <v>69</v>
      </c>
      <c r="E384" s="257">
        <v>146259000</v>
      </c>
      <c r="F384" s="257">
        <v>146259000</v>
      </c>
      <c r="G384" s="257">
        <v>146259000</v>
      </c>
      <c r="H384" s="257">
        <v>0</v>
      </c>
      <c r="I384" s="257">
        <v>53327216</v>
      </c>
      <c r="J384" s="257">
        <v>0</v>
      </c>
      <c r="K384" s="257">
        <v>9545144.6999999993</v>
      </c>
      <c r="L384" s="257">
        <v>9545144.6999999993</v>
      </c>
      <c r="M384" s="257">
        <v>83386639.299999997</v>
      </c>
      <c r="N384" s="257">
        <v>83386639.299999997</v>
      </c>
    </row>
    <row r="385" spans="1:14" s="143" customFormat="1" x14ac:dyDescent="0.25">
      <c r="A385" s="143" t="s">
        <v>334</v>
      </c>
      <c r="B385" s="143" t="s">
        <v>220</v>
      </c>
      <c r="C385" s="143" t="s">
        <v>221</v>
      </c>
      <c r="D385" s="143" t="s">
        <v>69</v>
      </c>
      <c r="E385" s="257">
        <v>643150000</v>
      </c>
      <c r="F385" s="257">
        <v>643150000</v>
      </c>
      <c r="G385" s="257">
        <v>410325211</v>
      </c>
      <c r="H385" s="257">
        <v>0</v>
      </c>
      <c r="I385" s="257">
        <v>1271562</v>
      </c>
      <c r="J385" s="257">
        <v>0</v>
      </c>
      <c r="K385" s="257">
        <v>4284920</v>
      </c>
      <c r="L385" s="257">
        <v>4031120</v>
      </c>
      <c r="M385" s="257">
        <v>637593518</v>
      </c>
      <c r="N385" s="257">
        <v>404768729</v>
      </c>
    </row>
    <row r="386" spans="1:14" s="143" customFormat="1" x14ac:dyDescent="0.25">
      <c r="A386" s="143" t="s">
        <v>334</v>
      </c>
      <c r="B386" s="143" t="s">
        <v>222</v>
      </c>
      <c r="C386" s="143" t="s">
        <v>223</v>
      </c>
      <c r="D386" s="143" t="s">
        <v>69</v>
      </c>
      <c r="E386" s="257">
        <v>302355000</v>
      </c>
      <c r="F386" s="257">
        <v>302355000</v>
      </c>
      <c r="G386" s="257">
        <v>302355000</v>
      </c>
      <c r="H386" s="257">
        <v>0</v>
      </c>
      <c r="I386" s="257">
        <v>189032546.22</v>
      </c>
      <c r="J386" s="257">
        <v>0</v>
      </c>
      <c r="K386" s="257">
        <v>35108199.090000004</v>
      </c>
      <c r="L386" s="257">
        <v>35108199.090000004</v>
      </c>
      <c r="M386" s="257">
        <v>78214254.689999998</v>
      </c>
      <c r="N386" s="257">
        <v>78214254.689999998</v>
      </c>
    </row>
    <row r="387" spans="1:14" s="143" customFormat="1" x14ac:dyDescent="0.25">
      <c r="A387" s="143" t="s">
        <v>334</v>
      </c>
      <c r="B387" s="143" t="s">
        <v>224</v>
      </c>
      <c r="C387" s="143" t="s">
        <v>225</v>
      </c>
      <c r="D387" s="143" t="s">
        <v>69</v>
      </c>
      <c r="E387" s="257">
        <v>182921000</v>
      </c>
      <c r="F387" s="257">
        <v>182921000</v>
      </c>
      <c r="G387" s="257">
        <v>182921000</v>
      </c>
      <c r="H387" s="257">
        <v>0</v>
      </c>
      <c r="I387" s="257">
        <v>35970</v>
      </c>
      <c r="J387" s="257">
        <v>0</v>
      </c>
      <c r="K387" s="257">
        <v>420493.25</v>
      </c>
      <c r="L387" s="257">
        <v>420493.25</v>
      </c>
      <c r="M387" s="257">
        <v>182464536.75</v>
      </c>
      <c r="N387" s="257">
        <v>182464536.75</v>
      </c>
    </row>
    <row r="388" spans="1:14" s="143" customFormat="1" x14ac:dyDescent="0.25">
      <c r="A388" s="143" t="s">
        <v>334</v>
      </c>
      <c r="B388" s="143" t="s">
        <v>226</v>
      </c>
      <c r="C388" s="143" t="s">
        <v>227</v>
      </c>
      <c r="D388" s="143" t="s">
        <v>69</v>
      </c>
      <c r="E388" s="257">
        <v>92727347</v>
      </c>
      <c r="F388" s="257">
        <v>92727347</v>
      </c>
      <c r="G388" s="257">
        <v>46363673.75</v>
      </c>
      <c r="H388" s="257">
        <v>0</v>
      </c>
      <c r="I388" s="257">
        <v>19174617.219999999</v>
      </c>
      <c r="J388" s="257">
        <v>0</v>
      </c>
      <c r="K388" s="257">
        <v>14830959.550000001</v>
      </c>
      <c r="L388" s="257">
        <v>14830959.550000001</v>
      </c>
      <c r="M388" s="257">
        <v>58721770.229999997</v>
      </c>
      <c r="N388" s="257">
        <v>12358096.98</v>
      </c>
    </row>
    <row r="389" spans="1:14" s="143" customFormat="1" x14ac:dyDescent="0.25">
      <c r="A389" s="143" t="s">
        <v>334</v>
      </c>
      <c r="B389" s="143" t="s">
        <v>228</v>
      </c>
      <c r="C389" s="143" t="s">
        <v>229</v>
      </c>
      <c r="D389" s="143" t="s">
        <v>69</v>
      </c>
      <c r="E389" s="257">
        <v>189504482</v>
      </c>
      <c r="F389" s="257">
        <v>189504482</v>
      </c>
      <c r="G389" s="257">
        <v>188452908.5</v>
      </c>
      <c r="H389" s="257">
        <v>0</v>
      </c>
      <c r="I389" s="257">
        <v>62058208.479999997</v>
      </c>
      <c r="J389" s="257">
        <v>0</v>
      </c>
      <c r="K389" s="257">
        <v>49629348.880000003</v>
      </c>
      <c r="L389" s="257">
        <v>45956774.380000003</v>
      </c>
      <c r="M389" s="257">
        <v>77816924.640000001</v>
      </c>
      <c r="N389" s="257">
        <v>76765351.140000001</v>
      </c>
    </row>
    <row r="390" spans="1:14" s="143" customFormat="1" x14ac:dyDescent="0.25">
      <c r="A390" s="143" t="s">
        <v>334</v>
      </c>
      <c r="B390" s="143" t="s">
        <v>230</v>
      </c>
      <c r="C390" s="143" t="s">
        <v>231</v>
      </c>
      <c r="D390" s="143" t="s">
        <v>69</v>
      </c>
      <c r="E390" s="257">
        <v>883769579</v>
      </c>
      <c r="F390" s="257">
        <v>2629734727</v>
      </c>
      <c r="G390" s="257">
        <v>2427152161.75</v>
      </c>
      <c r="H390" s="257">
        <v>124031888</v>
      </c>
      <c r="I390" s="257">
        <v>357100685.77999997</v>
      </c>
      <c r="J390" s="257">
        <v>164571974.58000001</v>
      </c>
      <c r="K390" s="257">
        <v>251021524.15000001</v>
      </c>
      <c r="L390" s="257">
        <v>122167139.12</v>
      </c>
      <c r="M390" s="257">
        <v>1733008654.49</v>
      </c>
      <c r="N390" s="257">
        <v>1530426089.24</v>
      </c>
    </row>
    <row r="391" spans="1:14" s="143" customFormat="1" x14ac:dyDescent="0.25">
      <c r="A391" s="143" t="s">
        <v>334</v>
      </c>
      <c r="B391" s="143" t="s">
        <v>232</v>
      </c>
      <c r="C391" s="143" t="s">
        <v>233</v>
      </c>
      <c r="D391" s="143" t="s">
        <v>69</v>
      </c>
      <c r="E391" s="257">
        <v>667187579</v>
      </c>
      <c r="F391" s="257">
        <v>667187579</v>
      </c>
      <c r="G391" s="257">
        <v>661462578.75</v>
      </c>
      <c r="H391" s="257">
        <v>124031888</v>
      </c>
      <c r="I391" s="257">
        <v>22987704.280000001</v>
      </c>
      <c r="J391" s="257">
        <v>3981450</v>
      </c>
      <c r="K391" s="257">
        <v>105090531.86</v>
      </c>
      <c r="L391" s="257">
        <v>85776446.459999993</v>
      </c>
      <c r="M391" s="257">
        <v>411096004.86000001</v>
      </c>
      <c r="N391" s="257">
        <v>405371004.61000001</v>
      </c>
    </row>
    <row r="392" spans="1:14" s="143" customFormat="1" x14ac:dyDescent="0.25">
      <c r="A392" s="143" t="s">
        <v>334</v>
      </c>
      <c r="B392" s="143" t="s">
        <v>236</v>
      </c>
      <c r="C392" s="143" t="s">
        <v>237</v>
      </c>
      <c r="D392" s="143" t="s">
        <v>69</v>
      </c>
      <c r="E392" s="257">
        <v>0</v>
      </c>
      <c r="F392" s="257">
        <v>0</v>
      </c>
      <c r="G392" s="257">
        <v>0</v>
      </c>
      <c r="H392" s="257">
        <v>0</v>
      </c>
      <c r="I392" s="257">
        <v>0</v>
      </c>
      <c r="J392" s="257">
        <v>0</v>
      </c>
      <c r="K392" s="257">
        <v>0</v>
      </c>
      <c r="L392" s="257">
        <v>0</v>
      </c>
      <c r="M392" s="257">
        <v>0</v>
      </c>
      <c r="N392" s="257">
        <v>0</v>
      </c>
    </row>
    <row r="393" spans="1:14" s="143" customFormat="1" x14ac:dyDescent="0.25">
      <c r="A393" s="143" t="s">
        <v>334</v>
      </c>
      <c r="B393" s="143" t="s">
        <v>238</v>
      </c>
      <c r="C393" s="143" t="s">
        <v>239</v>
      </c>
      <c r="D393" s="143" t="s">
        <v>69</v>
      </c>
      <c r="E393" s="257">
        <v>0</v>
      </c>
      <c r="F393" s="257">
        <v>0</v>
      </c>
      <c r="G393" s="257">
        <v>0</v>
      </c>
      <c r="H393" s="257">
        <v>0</v>
      </c>
      <c r="I393" s="257">
        <v>0</v>
      </c>
      <c r="J393" s="257">
        <v>0</v>
      </c>
      <c r="K393" s="257">
        <v>0</v>
      </c>
      <c r="L393" s="257">
        <v>0</v>
      </c>
      <c r="M393" s="257">
        <v>0</v>
      </c>
      <c r="N393" s="257">
        <v>0</v>
      </c>
    </row>
    <row r="394" spans="1:14" s="143" customFormat="1" x14ac:dyDescent="0.25">
      <c r="A394" s="143" t="s">
        <v>334</v>
      </c>
      <c r="B394" s="143" t="s">
        <v>234</v>
      </c>
      <c r="C394" s="143" t="s">
        <v>235</v>
      </c>
      <c r="D394" s="143" t="s">
        <v>85</v>
      </c>
      <c r="E394" s="257">
        <v>33062000</v>
      </c>
      <c r="F394" s="257">
        <v>19951724</v>
      </c>
      <c r="G394" s="257">
        <v>19951724</v>
      </c>
      <c r="H394" s="257">
        <v>0</v>
      </c>
      <c r="I394" s="257">
        <v>0</v>
      </c>
      <c r="J394" s="257">
        <v>0</v>
      </c>
      <c r="K394" s="257">
        <v>0</v>
      </c>
      <c r="L394" s="257">
        <v>0</v>
      </c>
      <c r="M394" s="257">
        <v>19951724</v>
      </c>
      <c r="N394" s="257">
        <v>19951724</v>
      </c>
    </row>
    <row r="395" spans="1:14" s="143" customFormat="1" x14ac:dyDescent="0.25">
      <c r="A395" s="143" t="s">
        <v>334</v>
      </c>
      <c r="B395" s="143" t="s">
        <v>324</v>
      </c>
      <c r="C395" s="143" t="s">
        <v>325</v>
      </c>
      <c r="D395" s="143" t="s">
        <v>85</v>
      </c>
      <c r="E395" s="257">
        <v>72100000</v>
      </c>
      <c r="F395" s="257">
        <v>72100000</v>
      </c>
      <c r="G395" s="257">
        <v>72100000</v>
      </c>
      <c r="H395" s="257">
        <v>0</v>
      </c>
      <c r="I395" s="257">
        <v>0</v>
      </c>
      <c r="J395" s="257">
        <v>0</v>
      </c>
      <c r="K395" s="257">
        <v>16883370</v>
      </c>
      <c r="L395" s="257">
        <v>16883370</v>
      </c>
      <c r="M395" s="257">
        <v>55216630</v>
      </c>
      <c r="N395" s="257">
        <v>55216630</v>
      </c>
    </row>
    <row r="396" spans="1:14" s="143" customFormat="1" x14ac:dyDescent="0.25">
      <c r="A396" s="143" t="s">
        <v>334</v>
      </c>
      <c r="B396" s="143" t="s">
        <v>236</v>
      </c>
      <c r="C396" s="143" t="s">
        <v>237</v>
      </c>
      <c r="D396" s="143" t="s">
        <v>85</v>
      </c>
      <c r="E396" s="257">
        <v>147248000</v>
      </c>
      <c r="F396" s="257">
        <v>147248000</v>
      </c>
      <c r="G396" s="257">
        <v>141523000</v>
      </c>
      <c r="H396" s="257">
        <v>0</v>
      </c>
      <c r="I396" s="257">
        <v>7661297.3300000001</v>
      </c>
      <c r="J396" s="257">
        <v>0</v>
      </c>
      <c r="K396" s="257">
        <v>0</v>
      </c>
      <c r="L396" s="257">
        <v>0</v>
      </c>
      <c r="M396" s="257">
        <v>139586702.66999999</v>
      </c>
      <c r="N396" s="257">
        <v>133861702.67</v>
      </c>
    </row>
    <row r="397" spans="1:14" s="143" customFormat="1" x14ac:dyDescent="0.25">
      <c r="A397" s="143" t="s">
        <v>334</v>
      </c>
      <c r="B397" s="143" t="s">
        <v>238</v>
      </c>
      <c r="C397" s="143" t="s">
        <v>239</v>
      </c>
      <c r="D397" s="143" t="s">
        <v>85</v>
      </c>
      <c r="E397" s="257">
        <v>69415579</v>
      </c>
      <c r="F397" s="257">
        <v>82525855</v>
      </c>
      <c r="G397" s="257">
        <v>82525854.75</v>
      </c>
      <c r="H397" s="257">
        <v>0</v>
      </c>
      <c r="I397" s="257">
        <v>12989650</v>
      </c>
      <c r="J397" s="257">
        <v>0</v>
      </c>
      <c r="K397" s="257">
        <v>2306404</v>
      </c>
      <c r="L397" s="257">
        <v>2306404</v>
      </c>
      <c r="M397" s="257">
        <v>67229801</v>
      </c>
      <c r="N397" s="257">
        <v>67229800.75</v>
      </c>
    </row>
    <row r="398" spans="1:14" s="143" customFormat="1" x14ac:dyDescent="0.25">
      <c r="A398" s="143" t="s">
        <v>334</v>
      </c>
      <c r="B398" s="143" t="s">
        <v>282</v>
      </c>
      <c r="C398" s="143" t="s">
        <v>283</v>
      </c>
      <c r="D398" s="143" t="s">
        <v>85</v>
      </c>
      <c r="E398" s="257">
        <v>21137000</v>
      </c>
      <c r="F398" s="257">
        <v>21137000</v>
      </c>
      <c r="G398" s="257">
        <v>21137000</v>
      </c>
      <c r="H398" s="257">
        <v>0</v>
      </c>
      <c r="I398" s="257">
        <v>0</v>
      </c>
      <c r="J398" s="257">
        <v>0</v>
      </c>
      <c r="K398" s="257">
        <v>13982594.789999999</v>
      </c>
      <c r="L398" s="257">
        <v>13982594.789999999</v>
      </c>
      <c r="M398" s="257">
        <v>7154405.21</v>
      </c>
      <c r="N398" s="257">
        <v>7154405.21</v>
      </c>
    </row>
    <row r="399" spans="1:14" s="143" customFormat="1" x14ac:dyDescent="0.25">
      <c r="A399" s="143" t="s">
        <v>334</v>
      </c>
      <c r="B399" s="143" t="s">
        <v>326</v>
      </c>
      <c r="C399" s="143" t="s">
        <v>327</v>
      </c>
      <c r="D399" s="143" t="s">
        <v>85</v>
      </c>
      <c r="E399" s="257">
        <v>29458000</v>
      </c>
      <c r="F399" s="257">
        <v>29458000</v>
      </c>
      <c r="G399" s="257">
        <v>29458000</v>
      </c>
      <c r="H399" s="257">
        <v>0</v>
      </c>
      <c r="I399" s="257">
        <v>0</v>
      </c>
      <c r="J399" s="257">
        <v>0</v>
      </c>
      <c r="K399" s="257">
        <v>16265225.01</v>
      </c>
      <c r="L399" s="257">
        <v>7117265.5599999996</v>
      </c>
      <c r="M399" s="257">
        <v>13192774.99</v>
      </c>
      <c r="N399" s="257">
        <v>13192774.99</v>
      </c>
    </row>
    <row r="400" spans="1:14" s="143" customFormat="1" x14ac:dyDescent="0.25">
      <c r="A400" s="143" t="s">
        <v>334</v>
      </c>
      <c r="B400" s="143" t="s">
        <v>240</v>
      </c>
      <c r="C400" s="143" t="s">
        <v>241</v>
      </c>
      <c r="D400" s="143" t="s">
        <v>85</v>
      </c>
      <c r="E400" s="257">
        <v>5405000</v>
      </c>
      <c r="F400" s="257">
        <v>5405000</v>
      </c>
      <c r="G400" s="257">
        <v>5405000</v>
      </c>
      <c r="H400" s="257">
        <v>0</v>
      </c>
      <c r="I400" s="257">
        <v>0</v>
      </c>
      <c r="J400" s="257">
        <v>3981450</v>
      </c>
      <c r="K400" s="257">
        <v>0</v>
      </c>
      <c r="L400" s="257">
        <v>0</v>
      </c>
      <c r="M400" s="257">
        <v>1423550</v>
      </c>
      <c r="N400" s="257">
        <v>1423550</v>
      </c>
    </row>
    <row r="401" spans="1:14" s="143" customFormat="1" x14ac:dyDescent="0.25">
      <c r="A401" s="143" t="s">
        <v>334</v>
      </c>
      <c r="B401" s="143" t="s">
        <v>242</v>
      </c>
      <c r="C401" s="143" t="s">
        <v>243</v>
      </c>
      <c r="D401" s="143" t="s">
        <v>85</v>
      </c>
      <c r="E401" s="257">
        <v>289362000</v>
      </c>
      <c r="F401" s="257">
        <v>289362000</v>
      </c>
      <c r="G401" s="257">
        <v>289362000</v>
      </c>
      <c r="H401" s="257">
        <v>124031888</v>
      </c>
      <c r="I401" s="257">
        <v>2336756.9500000002</v>
      </c>
      <c r="J401" s="257">
        <v>0</v>
      </c>
      <c r="K401" s="257">
        <v>55652938.060000002</v>
      </c>
      <c r="L401" s="257">
        <v>45486812.109999999</v>
      </c>
      <c r="M401" s="257">
        <v>107340416.98999999</v>
      </c>
      <c r="N401" s="257">
        <v>107340416.98999999</v>
      </c>
    </row>
    <row r="402" spans="1:14" s="143" customFormat="1" x14ac:dyDescent="0.25">
      <c r="A402" s="143" t="s">
        <v>334</v>
      </c>
      <c r="B402" s="143" t="s">
        <v>328</v>
      </c>
      <c r="C402" s="143" t="s">
        <v>329</v>
      </c>
      <c r="D402" s="143" t="s">
        <v>85</v>
      </c>
      <c r="E402" s="257">
        <v>8088000</v>
      </c>
      <c r="F402" s="257">
        <v>1754053148</v>
      </c>
      <c r="G402" s="257">
        <v>1661442583</v>
      </c>
      <c r="H402" s="257">
        <v>0</v>
      </c>
      <c r="I402" s="257">
        <v>333112981.5</v>
      </c>
      <c r="J402" s="257">
        <v>160590524.58000001</v>
      </c>
      <c r="K402" s="257">
        <v>143458853.09</v>
      </c>
      <c r="L402" s="257">
        <v>33918553.460000001</v>
      </c>
      <c r="M402" s="257">
        <v>1116890788.8299999</v>
      </c>
      <c r="N402" s="257">
        <v>1024280223.83</v>
      </c>
    </row>
    <row r="403" spans="1:14" s="143" customFormat="1" x14ac:dyDescent="0.25">
      <c r="A403" s="143" t="s">
        <v>334</v>
      </c>
      <c r="B403" s="143" t="s">
        <v>330</v>
      </c>
      <c r="C403" s="143" t="s">
        <v>331</v>
      </c>
      <c r="D403" s="143" t="s">
        <v>85</v>
      </c>
      <c r="E403" s="257">
        <v>0</v>
      </c>
      <c r="F403" s="257">
        <v>1745965148</v>
      </c>
      <c r="G403" s="257">
        <v>1653354583</v>
      </c>
      <c r="H403" s="257">
        <v>0</v>
      </c>
      <c r="I403" s="257">
        <v>333112981.5</v>
      </c>
      <c r="J403" s="257">
        <v>160590524.58000001</v>
      </c>
      <c r="K403" s="257">
        <v>141436854.09</v>
      </c>
      <c r="L403" s="257">
        <v>31896554.460000001</v>
      </c>
      <c r="M403" s="257">
        <v>1110824787.8299999</v>
      </c>
      <c r="N403" s="257">
        <v>1018214222.83</v>
      </c>
    </row>
    <row r="404" spans="1:14" s="143" customFormat="1" x14ac:dyDescent="0.25">
      <c r="A404" s="143" t="s">
        <v>334</v>
      </c>
      <c r="B404" s="143" t="s">
        <v>358</v>
      </c>
      <c r="C404" s="143" t="s">
        <v>359</v>
      </c>
      <c r="D404" s="143" t="s">
        <v>85</v>
      </c>
      <c r="E404" s="257">
        <v>8088000</v>
      </c>
      <c r="F404" s="257">
        <v>8088000</v>
      </c>
      <c r="G404" s="257">
        <v>8088000</v>
      </c>
      <c r="H404" s="257">
        <v>0</v>
      </c>
      <c r="I404" s="257">
        <v>0</v>
      </c>
      <c r="J404" s="257">
        <v>0</v>
      </c>
      <c r="K404" s="257">
        <v>2021999</v>
      </c>
      <c r="L404" s="257">
        <v>2021999</v>
      </c>
      <c r="M404" s="257">
        <v>6066001</v>
      </c>
      <c r="N404" s="257">
        <v>6066001</v>
      </c>
    </row>
    <row r="405" spans="1:14" s="143" customFormat="1" x14ac:dyDescent="0.25">
      <c r="A405" s="143" t="s">
        <v>334</v>
      </c>
      <c r="B405" s="143" t="s">
        <v>244</v>
      </c>
      <c r="C405" s="143" t="s">
        <v>245</v>
      </c>
      <c r="D405" s="143" t="s">
        <v>85</v>
      </c>
      <c r="E405" s="257">
        <v>208494000</v>
      </c>
      <c r="F405" s="257">
        <v>208494000</v>
      </c>
      <c r="G405" s="257">
        <v>104247000</v>
      </c>
      <c r="H405" s="257">
        <v>0</v>
      </c>
      <c r="I405" s="257">
        <v>1000000</v>
      </c>
      <c r="J405" s="257">
        <v>0</v>
      </c>
      <c r="K405" s="257">
        <v>2472139.2000000002</v>
      </c>
      <c r="L405" s="257">
        <v>2472139.2000000002</v>
      </c>
      <c r="M405" s="257">
        <v>205021860.80000001</v>
      </c>
      <c r="N405" s="257">
        <v>100774860.8</v>
      </c>
    </row>
    <row r="406" spans="1:14" s="143" customFormat="1" x14ac:dyDescent="0.25">
      <c r="A406" s="143" t="s">
        <v>334</v>
      </c>
      <c r="B406" s="143" t="s">
        <v>246</v>
      </c>
      <c r="C406" s="143" t="s">
        <v>247</v>
      </c>
      <c r="D406" s="143" t="s">
        <v>85</v>
      </c>
      <c r="E406" s="257">
        <v>208494000</v>
      </c>
      <c r="F406" s="257">
        <v>208494000</v>
      </c>
      <c r="G406" s="257">
        <v>104247000</v>
      </c>
      <c r="H406" s="257">
        <v>0</v>
      </c>
      <c r="I406" s="257">
        <v>1000000</v>
      </c>
      <c r="J406" s="257">
        <v>0</v>
      </c>
      <c r="K406" s="257">
        <v>2472139.2000000002</v>
      </c>
      <c r="L406" s="257">
        <v>2472139.2000000002</v>
      </c>
      <c r="M406" s="257">
        <v>205021860.80000001</v>
      </c>
      <c r="N406" s="257">
        <v>100774860.8</v>
      </c>
    </row>
    <row r="407" spans="1:14" s="143" customFormat="1" x14ac:dyDescent="0.25">
      <c r="A407" s="143" t="s">
        <v>334</v>
      </c>
      <c r="B407" s="143" t="s">
        <v>248</v>
      </c>
      <c r="C407" s="143" t="s">
        <v>249</v>
      </c>
      <c r="D407" s="143" t="s">
        <v>69</v>
      </c>
      <c r="E407" s="257">
        <v>11597046000</v>
      </c>
      <c r="F407" s="257">
        <v>11597046000</v>
      </c>
      <c r="G407" s="257">
        <v>4725509206.25</v>
      </c>
      <c r="H407" s="257">
        <v>0</v>
      </c>
      <c r="I407" s="257">
        <v>3770805557.6599998</v>
      </c>
      <c r="J407" s="257">
        <v>0</v>
      </c>
      <c r="K407" s="257">
        <v>822016418.03999996</v>
      </c>
      <c r="L407" s="257">
        <v>821878748.75999999</v>
      </c>
      <c r="M407" s="257">
        <v>7004224024.3000002</v>
      </c>
      <c r="N407" s="257">
        <v>132687230.55</v>
      </c>
    </row>
    <row r="408" spans="1:14" s="143" customFormat="1" x14ac:dyDescent="0.25">
      <c r="A408" s="143" t="s">
        <v>334</v>
      </c>
      <c r="B408" s="143" t="s">
        <v>250</v>
      </c>
      <c r="C408" s="143" t="s">
        <v>251</v>
      </c>
      <c r="D408" s="143" t="s">
        <v>69</v>
      </c>
      <c r="E408" s="257">
        <v>9955805000</v>
      </c>
      <c r="F408" s="257">
        <v>9935805000</v>
      </c>
      <c r="G408" s="257">
        <v>3875805000</v>
      </c>
      <c r="H408" s="257">
        <v>0</v>
      </c>
      <c r="I408" s="257">
        <v>3584765764</v>
      </c>
      <c r="J408" s="257">
        <v>0</v>
      </c>
      <c r="K408" s="257">
        <v>291039236</v>
      </c>
      <c r="L408" s="257">
        <v>291039236</v>
      </c>
      <c r="M408" s="257">
        <v>6060000000</v>
      </c>
      <c r="N408" s="257">
        <v>0</v>
      </c>
    </row>
    <row r="409" spans="1:14" s="143" customFormat="1" x14ac:dyDescent="0.25">
      <c r="A409" s="143" t="s">
        <v>334</v>
      </c>
      <c r="B409" s="143" t="s">
        <v>360</v>
      </c>
      <c r="C409" s="143" t="s">
        <v>361</v>
      </c>
      <c r="D409" s="143" t="s">
        <v>69</v>
      </c>
      <c r="E409" s="257">
        <v>80000000</v>
      </c>
      <c r="F409" s="257">
        <v>60000000</v>
      </c>
      <c r="G409" s="257">
        <v>0</v>
      </c>
      <c r="H409" s="257">
        <v>0</v>
      </c>
      <c r="I409" s="257">
        <v>0</v>
      </c>
      <c r="J409" s="257">
        <v>0</v>
      </c>
      <c r="K409" s="257">
        <v>0</v>
      </c>
      <c r="L409" s="257">
        <v>0</v>
      </c>
      <c r="M409" s="257">
        <v>60000000</v>
      </c>
      <c r="N409" s="257">
        <v>0</v>
      </c>
    </row>
    <row r="410" spans="1:14" s="143" customFormat="1" x14ac:dyDescent="0.25">
      <c r="A410" s="143" t="s">
        <v>334</v>
      </c>
      <c r="B410" s="143" t="s">
        <v>362</v>
      </c>
      <c r="C410" s="143" t="s">
        <v>257</v>
      </c>
      <c r="D410" s="143" t="s">
        <v>69</v>
      </c>
      <c r="E410" s="257">
        <v>673849000</v>
      </c>
      <c r="F410" s="257">
        <v>673849000</v>
      </c>
      <c r="G410" s="257">
        <v>673849000</v>
      </c>
      <c r="H410" s="257">
        <v>0</v>
      </c>
      <c r="I410" s="257">
        <v>431641850</v>
      </c>
      <c r="J410" s="257">
        <v>0</v>
      </c>
      <c r="K410" s="257">
        <v>242207150</v>
      </c>
      <c r="L410" s="257">
        <v>242207150</v>
      </c>
      <c r="M410" s="257">
        <v>0</v>
      </c>
      <c r="N410" s="257">
        <v>0</v>
      </c>
    </row>
    <row r="411" spans="1:14" s="143" customFormat="1" x14ac:dyDescent="0.25">
      <c r="A411" s="143" t="s">
        <v>334</v>
      </c>
      <c r="B411" s="143" t="s">
        <v>363</v>
      </c>
      <c r="C411" s="143" t="s">
        <v>259</v>
      </c>
      <c r="D411" s="143" t="s">
        <v>69</v>
      </c>
      <c r="E411" s="257">
        <v>135856000</v>
      </c>
      <c r="F411" s="257">
        <v>135856000</v>
      </c>
      <c r="G411" s="257">
        <v>135856000</v>
      </c>
      <c r="H411" s="257">
        <v>0</v>
      </c>
      <c r="I411" s="257">
        <v>87023914</v>
      </c>
      <c r="J411" s="257">
        <v>0</v>
      </c>
      <c r="K411" s="257">
        <v>48832086</v>
      </c>
      <c r="L411" s="257">
        <v>48832086</v>
      </c>
      <c r="M411" s="257">
        <v>0</v>
      </c>
      <c r="N411" s="257">
        <v>0</v>
      </c>
    </row>
    <row r="412" spans="1:14" s="143" customFormat="1" x14ac:dyDescent="0.25">
      <c r="A412" s="143" t="s">
        <v>334</v>
      </c>
      <c r="B412" s="143" t="s">
        <v>364</v>
      </c>
      <c r="C412" s="143" t="s">
        <v>365</v>
      </c>
      <c r="D412" s="143" t="s">
        <v>85</v>
      </c>
      <c r="E412" s="257">
        <v>9066100000</v>
      </c>
      <c r="F412" s="257">
        <v>9066100000</v>
      </c>
      <c r="G412" s="257">
        <v>3066100000</v>
      </c>
      <c r="H412" s="257">
        <v>0</v>
      </c>
      <c r="I412" s="257">
        <v>3066100000</v>
      </c>
      <c r="J412" s="257">
        <v>0</v>
      </c>
      <c r="K412" s="257">
        <v>0</v>
      </c>
      <c r="L412" s="257">
        <v>0</v>
      </c>
      <c r="M412" s="257">
        <v>6000000000</v>
      </c>
      <c r="N412" s="257">
        <v>0</v>
      </c>
    </row>
    <row r="413" spans="1:14" s="143" customFormat="1" x14ac:dyDescent="0.25">
      <c r="A413" s="143" t="s">
        <v>334</v>
      </c>
      <c r="B413" s="143" t="s">
        <v>366</v>
      </c>
      <c r="C413" s="143" t="s">
        <v>367</v>
      </c>
      <c r="D413" s="143" t="s">
        <v>69</v>
      </c>
      <c r="E413" s="257">
        <v>550000000</v>
      </c>
      <c r="F413" s="257">
        <v>550000000</v>
      </c>
      <c r="G413" s="257">
        <v>275000000</v>
      </c>
      <c r="H413" s="257">
        <v>0</v>
      </c>
      <c r="I413" s="257">
        <v>140000000</v>
      </c>
      <c r="J413" s="257">
        <v>0</v>
      </c>
      <c r="K413" s="257">
        <v>135000000</v>
      </c>
      <c r="L413" s="257">
        <v>135000000</v>
      </c>
      <c r="M413" s="257">
        <v>275000000</v>
      </c>
      <c r="N413" s="257">
        <v>0</v>
      </c>
    </row>
    <row r="414" spans="1:14" s="143" customFormat="1" x14ac:dyDescent="0.25">
      <c r="A414" s="143" t="s">
        <v>334</v>
      </c>
      <c r="B414" s="143" t="s">
        <v>368</v>
      </c>
      <c r="C414" s="143" t="s">
        <v>369</v>
      </c>
      <c r="D414" s="143" t="s">
        <v>69</v>
      </c>
      <c r="E414" s="257">
        <v>550000000</v>
      </c>
      <c r="F414" s="257">
        <v>550000000</v>
      </c>
      <c r="G414" s="257">
        <v>275000000</v>
      </c>
      <c r="H414" s="257">
        <v>0</v>
      </c>
      <c r="I414" s="257">
        <v>140000000</v>
      </c>
      <c r="J414" s="257">
        <v>0</v>
      </c>
      <c r="K414" s="257">
        <v>135000000</v>
      </c>
      <c r="L414" s="257">
        <v>135000000</v>
      </c>
      <c r="M414" s="257">
        <v>275000000</v>
      </c>
      <c r="N414" s="257">
        <v>0</v>
      </c>
    </row>
    <row r="415" spans="1:14" s="143" customFormat="1" x14ac:dyDescent="0.25">
      <c r="A415" s="143" t="s">
        <v>334</v>
      </c>
      <c r="B415" s="143" t="s">
        <v>260</v>
      </c>
      <c r="C415" s="143" t="s">
        <v>261</v>
      </c>
      <c r="D415" s="143" t="s">
        <v>69</v>
      </c>
      <c r="E415" s="257">
        <v>1002889000</v>
      </c>
      <c r="F415" s="257">
        <v>1002889000</v>
      </c>
      <c r="G415" s="257">
        <v>478028206.25</v>
      </c>
      <c r="H415" s="257">
        <v>0</v>
      </c>
      <c r="I415" s="257">
        <v>42883473.439999998</v>
      </c>
      <c r="J415" s="257">
        <v>0</v>
      </c>
      <c r="K415" s="257">
        <v>334133502.25999999</v>
      </c>
      <c r="L415" s="257">
        <v>333995832.98000002</v>
      </c>
      <c r="M415" s="257">
        <v>625872024.29999995</v>
      </c>
      <c r="N415" s="257">
        <v>101011230.55</v>
      </c>
    </row>
    <row r="416" spans="1:14" s="143" customFormat="1" x14ac:dyDescent="0.25">
      <c r="A416" s="143" t="s">
        <v>334</v>
      </c>
      <c r="B416" s="143" t="s">
        <v>262</v>
      </c>
      <c r="C416" s="143" t="s">
        <v>263</v>
      </c>
      <c r="D416" s="143" t="s">
        <v>69</v>
      </c>
      <c r="E416" s="257">
        <v>657462000</v>
      </c>
      <c r="F416" s="257">
        <v>657462000</v>
      </c>
      <c r="G416" s="257">
        <v>259216115</v>
      </c>
      <c r="H416" s="257">
        <v>0</v>
      </c>
      <c r="I416" s="257">
        <v>42883473.439999998</v>
      </c>
      <c r="J416" s="257">
        <v>0</v>
      </c>
      <c r="K416" s="257">
        <v>216332641.56</v>
      </c>
      <c r="L416" s="257">
        <v>216194972.28</v>
      </c>
      <c r="M416" s="257">
        <v>398245885</v>
      </c>
      <c r="N416" s="257">
        <v>0</v>
      </c>
    </row>
    <row r="417" spans="1:14" s="143" customFormat="1" x14ac:dyDescent="0.25">
      <c r="A417" s="143" t="s">
        <v>334</v>
      </c>
      <c r="B417" s="143" t="s">
        <v>264</v>
      </c>
      <c r="C417" s="143" t="s">
        <v>265</v>
      </c>
      <c r="D417" s="143" t="s">
        <v>69</v>
      </c>
      <c r="E417" s="257">
        <v>345427000</v>
      </c>
      <c r="F417" s="257">
        <v>345427000</v>
      </c>
      <c r="G417" s="257">
        <v>218812091.25</v>
      </c>
      <c r="H417" s="257">
        <v>0</v>
      </c>
      <c r="I417" s="257">
        <v>0</v>
      </c>
      <c r="J417" s="257">
        <v>0</v>
      </c>
      <c r="K417" s="257">
        <v>117800860.7</v>
      </c>
      <c r="L417" s="257">
        <v>117800860.7</v>
      </c>
      <c r="M417" s="257">
        <v>227626139.30000001</v>
      </c>
      <c r="N417" s="257">
        <v>101011230.55</v>
      </c>
    </row>
    <row r="418" spans="1:14" s="143" customFormat="1" x14ac:dyDescent="0.25">
      <c r="A418" s="143" t="s">
        <v>334</v>
      </c>
      <c r="B418" s="143" t="s">
        <v>286</v>
      </c>
      <c r="C418" s="143" t="s">
        <v>287</v>
      </c>
      <c r="D418" s="143" t="s">
        <v>69</v>
      </c>
      <c r="E418" s="257">
        <v>88352000</v>
      </c>
      <c r="F418" s="257">
        <v>108352000</v>
      </c>
      <c r="G418" s="257">
        <v>96676000</v>
      </c>
      <c r="H418" s="257">
        <v>0</v>
      </c>
      <c r="I418" s="257">
        <v>3156320.22</v>
      </c>
      <c r="J418" s="257">
        <v>0</v>
      </c>
      <c r="K418" s="257">
        <v>61843679.780000001</v>
      </c>
      <c r="L418" s="257">
        <v>61843679.780000001</v>
      </c>
      <c r="M418" s="257">
        <v>43352000</v>
      </c>
      <c r="N418" s="257">
        <v>31676000</v>
      </c>
    </row>
    <row r="419" spans="1:14" s="143" customFormat="1" x14ac:dyDescent="0.25">
      <c r="A419" s="143" t="s">
        <v>334</v>
      </c>
      <c r="B419" s="143" t="s">
        <v>288</v>
      </c>
      <c r="C419" s="143" t="s">
        <v>289</v>
      </c>
      <c r="D419" s="143" t="s">
        <v>69</v>
      </c>
      <c r="E419" s="257">
        <v>65000000</v>
      </c>
      <c r="F419" s="257">
        <v>85000000</v>
      </c>
      <c r="G419" s="257">
        <v>85000000</v>
      </c>
      <c r="H419" s="257">
        <v>0</v>
      </c>
      <c r="I419" s="257">
        <v>3156320.22</v>
      </c>
      <c r="J419" s="257">
        <v>0</v>
      </c>
      <c r="K419" s="257">
        <v>61843679.780000001</v>
      </c>
      <c r="L419" s="257">
        <v>61843679.780000001</v>
      </c>
      <c r="M419" s="257">
        <v>20000000</v>
      </c>
      <c r="N419" s="257">
        <v>20000000</v>
      </c>
    </row>
    <row r="420" spans="1:14" s="143" customFormat="1" x14ac:dyDescent="0.25">
      <c r="A420" s="143" t="s">
        <v>334</v>
      </c>
      <c r="B420" s="143" t="s">
        <v>370</v>
      </c>
      <c r="C420" s="143" t="s">
        <v>371</v>
      </c>
      <c r="D420" s="143" t="s">
        <v>69</v>
      </c>
      <c r="E420" s="257">
        <v>23352000</v>
      </c>
      <c r="F420" s="257">
        <v>23352000</v>
      </c>
      <c r="G420" s="257">
        <v>11676000</v>
      </c>
      <c r="H420" s="257">
        <v>0</v>
      </c>
      <c r="I420" s="257">
        <v>0</v>
      </c>
      <c r="J420" s="257">
        <v>0</v>
      </c>
      <c r="K420" s="257">
        <v>0</v>
      </c>
      <c r="L420" s="257">
        <v>0</v>
      </c>
      <c r="M420" s="257">
        <v>23352000</v>
      </c>
      <c r="N420" s="257">
        <v>11676000</v>
      </c>
    </row>
    <row r="421" spans="1:14" s="143" customFormat="1" x14ac:dyDescent="0.25">
      <c r="A421" s="143" t="s">
        <v>334</v>
      </c>
      <c r="B421" s="143" t="s">
        <v>372</v>
      </c>
      <c r="C421" s="143" t="s">
        <v>373</v>
      </c>
      <c r="D421" s="143" t="s">
        <v>85</v>
      </c>
      <c r="E421" s="257">
        <v>573100000</v>
      </c>
      <c r="F421" s="257">
        <v>827134852</v>
      </c>
      <c r="G421" s="257">
        <v>258931852</v>
      </c>
      <c r="H421" s="257">
        <v>0</v>
      </c>
      <c r="I421" s="257">
        <v>0</v>
      </c>
      <c r="J421" s="257">
        <v>0</v>
      </c>
      <c r="K421" s="257">
        <v>0</v>
      </c>
      <c r="L421" s="257">
        <v>0</v>
      </c>
      <c r="M421" s="257">
        <v>827134852</v>
      </c>
      <c r="N421" s="257">
        <v>258931852</v>
      </c>
    </row>
    <row r="422" spans="1:14" s="143" customFormat="1" x14ac:dyDescent="0.25">
      <c r="A422" s="143" t="s">
        <v>334</v>
      </c>
      <c r="B422" s="143" t="s">
        <v>374</v>
      </c>
      <c r="C422" s="143" t="s">
        <v>375</v>
      </c>
      <c r="D422" s="143" t="s">
        <v>85</v>
      </c>
      <c r="E422" s="257">
        <v>573100000</v>
      </c>
      <c r="F422" s="257">
        <v>827134852</v>
      </c>
      <c r="G422" s="257">
        <v>258931852</v>
      </c>
      <c r="H422" s="257">
        <v>0</v>
      </c>
      <c r="I422" s="257">
        <v>0</v>
      </c>
      <c r="J422" s="257">
        <v>0</v>
      </c>
      <c r="K422" s="257">
        <v>0</v>
      </c>
      <c r="L422" s="257">
        <v>0</v>
      </c>
      <c r="M422" s="257">
        <v>827134852</v>
      </c>
      <c r="N422" s="257">
        <v>258931852</v>
      </c>
    </row>
    <row r="423" spans="1:14" s="143" customFormat="1" x14ac:dyDescent="0.25">
      <c r="A423" s="143" t="s">
        <v>334</v>
      </c>
      <c r="B423" s="143" t="s">
        <v>376</v>
      </c>
      <c r="C423" s="143" t="s">
        <v>377</v>
      </c>
      <c r="D423" s="143" t="s">
        <v>85</v>
      </c>
      <c r="E423" s="257">
        <v>573100000</v>
      </c>
      <c r="F423" s="257">
        <v>827134852</v>
      </c>
      <c r="G423" s="257">
        <v>258931852</v>
      </c>
      <c r="H423" s="257">
        <v>0</v>
      </c>
      <c r="I423" s="257">
        <v>0</v>
      </c>
      <c r="J423" s="257">
        <v>0</v>
      </c>
      <c r="K423" s="257">
        <v>0</v>
      </c>
      <c r="L423" s="257">
        <v>0</v>
      </c>
      <c r="M423" s="257">
        <v>827134852</v>
      </c>
      <c r="N423" s="257">
        <v>258931852</v>
      </c>
    </row>
    <row r="424" spans="1:14" s="143" customFormat="1" x14ac:dyDescent="0.25">
      <c r="A424" s="143">
        <v>214784</v>
      </c>
      <c r="D424" s="143" t="s">
        <v>69</v>
      </c>
      <c r="E424" s="257">
        <v>13837611334</v>
      </c>
      <c r="F424" s="257">
        <v>13837611334</v>
      </c>
      <c r="G424" s="257">
        <v>13677929203</v>
      </c>
      <c r="H424" s="257">
        <v>0</v>
      </c>
      <c r="I424" s="257">
        <v>1596930644.75</v>
      </c>
      <c r="J424" s="257">
        <v>0</v>
      </c>
      <c r="K424" s="257">
        <v>4477235505.5200005</v>
      </c>
      <c r="L424" s="257">
        <v>4477235505.5200005</v>
      </c>
      <c r="M424" s="257">
        <v>7763445183.7299995</v>
      </c>
      <c r="N424" s="257">
        <v>7603763052.7299995</v>
      </c>
    </row>
    <row r="425" spans="1:14" s="143" customFormat="1" x14ac:dyDescent="0.25">
      <c r="A425" s="143" t="s">
        <v>378</v>
      </c>
      <c r="B425" s="143" t="s">
        <v>71</v>
      </c>
      <c r="C425" s="143" t="s">
        <v>72</v>
      </c>
      <c r="D425" s="143" t="s">
        <v>69</v>
      </c>
      <c r="E425" s="257">
        <v>13313316000</v>
      </c>
      <c r="F425" s="257">
        <v>13313316000</v>
      </c>
      <c r="G425" s="257">
        <v>13313316000</v>
      </c>
      <c r="H425" s="257">
        <v>0</v>
      </c>
      <c r="I425" s="257">
        <v>1376722936.23</v>
      </c>
      <c r="J425" s="257">
        <v>0</v>
      </c>
      <c r="K425" s="257">
        <v>4385319385.6400003</v>
      </c>
      <c r="L425" s="257">
        <v>4385319385.6400003</v>
      </c>
      <c r="M425" s="257">
        <v>7551273678.1300001</v>
      </c>
      <c r="N425" s="257">
        <v>7551273678.1300001</v>
      </c>
    </row>
    <row r="426" spans="1:14" s="143" customFormat="1" x14ac:dyDescent="0.25">
      <c r="A426" s="143" t="s">
        <v>378</v>
      </c>
      <c r="B426" s="143" t="s">
        <v>73</v>
      </c>
      <c r="C426" s="143" t="s">
        <v>74</v>
      </c>
      <c r="D426" s="143" t="s">
        <v>69</v>
      </c>
      <c r="E426" s="257">
        <v>4473382000</v>
      </c>
      <c r="F426" s="257">
        <v>4473382000</v>
      </c>
      <c r="G426" s="257">
        <v>4473382000</v>
      </c>
      <c r="H426" s="257">
        <v>0</v>
      </c>
      <c r="I426" s="257">
        <v>180140</v>
      </c>
      <c r="J426" s="257">
        <v>0</v>
      </c>
      <c r="K426" s="257">
        <v>1336102166.1800001</v>
      </c>
      <c r="L426" s="257">
        <v>1336102166.1800001</v>
      </c>
      <c r="M426" s="257">
        <v>3137099693.8200002</v>
      </c>
      <c r="N426" s="257">
        <v>3137099693.8200002</v>
      </c>
    </row>
    <row r="427" spans="1:14" s="143" customFormat="1" x14ac:dyDescent="0.25">
      <c r="A427" s="143" t="s">
        <v>378</v>
      </c>
      <c r="B427" s="143" t="s">
        <v>75</v>
      </c>
      <c r="C427" s="143" t="s">
        <v>76</v>
      </c>
      <c r="D427" s="143" t="s">
        <v>69</v>
      </c>
      <c r="E427" s="257">
        <v>4473382000</v>
      </c>
      <c r="F427" s="257">
        <v>4473382000</v>
      </c>
      <c r="G427" s="257">
        <v>4473382000</v>
      </c>
      <c r="H427" s="257">
        <v>0</v>
      </c>
      <c r="I427" s="257">
        <v>180140</v>
      </c>
      <c r="J427" s="257">
        <v>0</v>
      </c>
      <c r="K427" s="257">
        <v>1336102166.1800001</v>
      </c>
      <c r="L427" s="257">
        <v>1336102166.1800001</v>
      </c>
      <c r="M427" s="257">
        <v>3137099693.8200002</v>
      </c>
      <c r="N427" s="257">
        <v>3137099693.8200002</v>
      </c>
    </row>
    <row r="428" spans="1:14" s="143" customFormat="1" x14ac:dyDescent="0.25">
      <c r="A428" s="143" t="s">
        <v>378</v>
      </c>
      <c r="B428" s="143" t="s">
        <v>77</v>
      </c>
      <c r="C428" s="143" t="s">
        <v>78</v>
      </c>
      <c r="D428" s="143" t="s">
        <v>69</v>
      </c>
      <c r="E428" s="257">
        <v>6745487000</v>
      </c>
      <c r="F428" s="257">
        <v>6745487000</v>
      </c>
      <c r="G428" s="257">
        <v>6745487000</v>
      </c>
      <c r="H428" s="257">
        <v>0</v>
      </c>
      <c r="I428" s="257">
        <v>220373</v>
      </c>
      <c r="J428" s="257">
        <v>0</v>
      </c>
      <c r="K428" s="257">
        <v>2331092642.6900001</v>
      </c>
      <c r="L428" s="257">
        <v>2331092642.6900001</v>
      </c>
      <c r="M428" s="257">
        <v>4414173984.3100004</v>
      </c>
      <c r="N428" s="257">
        <v>4414173984.3100004</v>
      </c>
    </row>
    <row r="429" spans="1:14" s="143" customFormat="1" x14ac:dyDescent="0.25">
      <c r="A429" s="143" t="s">
        <v>378</v>
      </c>
      <c r="B429" s="143" t="s">
        <v>79</v>
      </c>
      <c r="C429" s="143" t="s">
        <v>80</v>
      </c>
      <c r="D429" s="143" t="s">
        <v>69</v>
      </c>
      <c r="E429" s="257">
        <v>1460185000</v>
      </c>
      <c r="F429" s="257">
        <v>1460185000</v>
      </c>
      <c r="G429" s="257">
        <v>1460185000</v>
      </c>
      <c r="H429" s="257">
        <v>0</v>
      </c>
      <c r="I429" s="257">
        <v>121296</v>
      </c>
      <c r="J429" s="257">
        <v>0</v>
      </c>
      <c r="K429" s="257">
        <v>438563846.56</v>
      </c>
      <c r="L429" s="257">
        <v>438563846.56</v>
      </c>
      <c r="M429" s="257">
        <v>1021499857.4400001</v>
      </c>
      <c r="N429" s="257">
        <v>1021499857.4400001</v>
      </c>
    </row>
    <row r="430" spans="1:14" s="143" customFormat="1" x14ac:dyDescent="0.25">
      <c r="A430" s="143" t="s">
        <v>378</v>
      </c>
      <c r="B430" s="143" t="s">
        <v>81</v>
      </c>
      <c r="C430" s="143" t="s">
        <v>82</v>
      </c>
      <c r="D430" s="143" t="s">
        <v>69</v>
      </c>
      <c r="E430" s="257">
        <v>2519609000</v>
      </c>
      <c r="F430" s="257">
        <v>2519609000</v>
      </c>
      <c r="G430" s="257">
        <v>2519609000</v>
      </c>
      <c r="H430" s="257">
        <v>0</v>
      </c>
      <c r="I430" s="257">
        <v>54042</v>
      </c>
      <c r="J430" s="257">
        <v>0</v>
      </c>
      <c r="K430" s="257">
        <v>781400576.51999998</v>
      </c>
      <c r="L430" s="257">
        <v>781400576.51999998</v>
      </c>
      <c r="M430" s="257">
        <v>1738154381.48</v>
      </c>
      <c r="N430" s="257">
        <v>1738154381.48</v>
      </c>
    </row>
    <row r="431" spans="1:14" s="143" customFormat="1" x14ac:dyDescent="0.25">
      <c r="A431" s="143" t="s">
        <v>378</v>
      </c>
      <c r="B431" s="143" t="s">
        <v>86</v>
      </c>
      <c r="C431" s="143" t="s">
        <v>87</v>
      </c>
      <c r="D431" s="143" t="s">
        <v>69</v>
      </c>
      <c r="E431" s="257">
        <v>738904000</v>
      </c>
      <c r="F431" s="257">
        <v>738904000</v>
      </c>
      <c r="G431" s="257">
        <v>738904000</v>
      </c>
      <c r="H431" s="257">
        <v>0</v>
      </c>
      <c r="I431" s="257">
        <v>0</v>
      </c>
      <c r="J431" s="257">
        <v>0</v>
      </c>
      <c r="K431" s="257">
        <v>737016521.14999998</v>
      </c>
      <c r="L431" s="257">
        <v>737016521.14999998</v>
      </c>
      <c r="M431" s="257">
        <v>1887478.85</v>
      </c>
      <c r="N431" s="257">
        <v>1887478.85</v>
      </c>
    </row>
    <row r="432" spans="1:14" s="143" customFormat="1" x14ac:dyDescent="0.25">
      <c r="A432" s="143" t="s">
        <v>378</v>
      </c>
      <c r="B432" s="143" t="s">
        <v>88</v>
      </c>
      <c r="C432" s="143" t="s">
        <v>89</v>
      </c>
      <c r="D432" s="143" t="s">
        <v>69</v>
      </c>
      <c r="E432" s="257">
        <v>1196454000</v>
      </c>
      <c r="F432" s="257">
        <v>1196454000</v>
      </c>
      <c r="G432" s="257">
        <v>1196454000</v>
      </c>
      <c r="H432" s="257">
        <v>0</v>
      </c>
      <c r="I432" s="257">
        <v>45035</v>
      </c>
      <c r="J432" s="257">
        <v>0</v>
      </c>
      <c r="K432" s="257">
        <v>374111698.45999998</v>
      </c>
      <c r="L432" s="257">
        <v>374111698.45999998</v>
      </c>
      <c r="M432" s="257">
        <v>822297266.53999996</v>
      </c>
      <c r="N432" s="257">
        <v>822297266.53999996</v>
      </c>
    </row>
    <row r="433" spans="1:14" s="143" customFormat="1" x14ac:dyDescent="0.25">
      <c r="A433" s="143" t="s">
        <v>378</v>
      </c>
      <c r="B433" s="143" t="s">
        <v>83</v>
      </c>
      <c r="C433" s="143" t="s">
        <v>84</v>
      </c>
      <c r="D433" s="143" t="s">
        <v>85</v>
      </c>
      <c r="E433" s="257">
        <v>830335000</v>
      </c>
      <c r="F433" s="257">
        <v>830335000</v>
      </c>
      <c r="G433" s="257">
        <v>830335000</v>
      </c>
      <c r="H433" s="257">
        <v>0</v>
      </c>
      <c r="I433" s="257">
        <v>0</v>
      </c>
      <c r="J433" s="257">
        <v>0</v>
      </c>
      <c r="K433" s="257">
        <v>0</v>
      </c>
      <c r="L433" s="257">
        <v>0</v>
      </c>
      <c r="M433" s="257">
        <v>830335000</v>
      </c>
      <c r="N433" s="257">
        <v>830335000</v>
      </c>
    </row>
    <row r="434" spans="1:14" s="143" customFormat="1" x14ac:dyDescent="0.25">
      <c r="A434" s="143" t="s">
        <v>378</v>
      </c>
      <c r="B434" s="143" t="s">
        <v>90</v>
      </c>
      <c r="C434" s="143" t="s">
        <v>91</v>
      </c>
      <c r="D434" s="143" t="s">
        <v>69</v>
      </c>
      <c r="E434" s="257">
        <v>1012881000</v>
      </c>
      <c r="F434" s="257">
        <v>1012881000</v>
      </c>
      <c r="G434" s="257">
        <v>1012881000</v>
      </c>
      <c r="H434" s="257">
        <v>0</v>
      </c>
      <c r="I434" s="257">
        <v>653351846</v>
      </c>
      <c r="J434" s="257">
        <v>0</v>
      </c>
      <c r="K434" s="257">
        <v>359529154</v>
      </c>
      <c r="L434" s="257">
        <v>359529154</v>
      </c>
      <c r="M434" s="257">
        <v>0</v>
      </c>
      <c r="N434" s="257">
        <v>0</v>
      </c>
    </row>
    <row r="435" spans="1:14" s="143" customFormat="1" x14ac:dyDescent="0.25">
      <c r="A435" s="143" t="s">
        <v>378</v>
      </c>
      <c r="B435" s="143" t="s">
        <v>379</v>
      </c>
      <c r="C435" s="143" t="s">
        <v>93</v>
      </c>
      <c r="D435" s="143" t="s">
        <v>69</v>
      </c>
      <c r="E435" s="257">
        <v>960939000</v>
      </c>
      <c r="F435" s="257">
        <v>960939000</v>
      </c>
      <c r="G435" s="257">
        <v>960939000</v>
      </c>
      <c r="H435" s="257">
        <v>0</v>
      </c>
      <c r="I435" s="257">
        <v>619846389</v>
      </c>
      <c r="J435" s="257">
        <v>0</v>
      </c>
      <c r="K435" s="257">
        <v>341092611</v>
      </c>
      <c r="L435" s="257">
        <v>341092611</v>
      </c>
      <c r="M435" s="257">
        <v>0</v>
      </c>
      <c r="N435" s="257">
        <v>0</v>
      </c>
    </row>
    <row r="436" spans="1:14" s="143" customFormat="1" x14ac:dyDescent="0.25">
      <c r="A436" s="143" t="s">
        <v>378</v>
      </c>
      <c r="B436" s="143" t="s">
        <v>380</v>
      </c>
      <c r="C436" s="143" t="s">
        <v>95</v>
      </c>
      <c r="D436" s="143" t="s">
        <v>69</v>
      </c>
      <c r="E436" s="257">
        <v>51942000</v>
      </c>
      <c r="F436" s="257">
        <v>51942000</v>
      </c>
      <c r="G436" s="257">
        <v>51942000</v>
      </c>
      <c r="H436" s="257">
        <v>0</v>
      </c>
      <c r="I436" s="257">
        <v>33505457</v>
      </c>
      <c r="J436" s="257">
        <v>0</v>
      </c>
      <c r="K436" s="257">
        <v>18436543</v>
      </c>
      <c r="L436" s="257">
        <v>18436543</v>
      </c>
      <c r="M436" s="257">
        <v>0</v>
      </c>
      <c r="N436" s="257">
        <v>0</v>
      </c>
    </row>
    <row r="437" spans="1:14" s="143" customFormat="1" x14ac:dyDescent="0.25">
      <c r="A437" s="143" t="s">
        <v>378</v>
      </c>
      <c r="B437" s="143" t="s">
        <v>96</v>
      </c>
      <c r="C437" s="143" t="s">
        <v>97</v>
      </c>
      <c r="D437" s="143" t="s">
        <v>69</v>
      </c>
      <c r="E437" s="257">
        <v>1081566000</v>
      </c>
      <c r="F437" s="257">
        <v>1081566000</v>
      </c>
      <c r="G437" s="257">
        <v>1081566000</v>
      </c>
      <c r="H437" s="257">
        <v>0</v>
      </c>
      <c r="I437" s="257">
        <v>722970577.23000002</v>
      </c>
      <c r="J437" s="257">
        <v>0</v>
      </c>
      <c r="K437" s="257">
        <v>358595422.76999998</v>
      </c>
      <c r="L437" s="257">
        <v>358595422.76999998</v>
      </c>
      <c r="M437" s="257">
        <v>0</v>
      </c>
      <c r="N437" s="257">
        <v>0</v>
      </c>
    </row>
    <row r="438" spans="1:14" s="143" customFormat="1" x14ac:dyDescent="0.25">
      <c r="A438" s="143" t="s">
        <v>378</v>
      </c>
      <c r="B438" s="143" t="s">
        <v>381</v>
      </c>
      <c r="C438" s="143" t="s">
        <v>99</v>
      </c>
      <c r="D438" s="143" t="s">
        <v>69</v>
      </c>
      <c r="E438" s="257">
        <v>527737000</v>
      </c>
      <c r="F438" s="257">
        <v>527737000</v>
      </c>
      <c r="G438" s="257">
        <v>527737000</v>
      </c>
      <c r="H438" s="257">
        <v>0</v>
      </c>
      <c r="I438" s="257">
        <v>367749467</v>
      </c>
      <c r="J438" s="257">
        <v>0</v>
      </c>
      <c r="K438" s="257">
        <v>159987533</v>
      </c>
      <c r="L438" s="257">
        <v>159987533</v>
      </c>
      <c r="M438" s="257">
        <v>0</v>
      </c>
      <c r="N438" s="257">
        <v>0</v>
      </c>
    </row>
    <row r="439" spans="1:14" s="143" customFormat="1" x14ac:dyDescent="0.25">
      <c r="A439" s="143" t="s">
        <v>378</v>
      </c>
      <c r="B439" s="143" t="s">
        <v>382</v>
      </c>
      <c r="C439" s="143" t="s">
        <v>101</v>
      </c>
      <c r="D439" s="143" t="s">
        <v>69</v>
      </c>
      <c r="E439" s="257">
        <v>155828000</v>
      </c>
      <c r="F439" s="257">
        <v>155828000</v>
      </c>
      <c r="G439" s="257">
        <v>155828000</v>
      </c>
      <c r="H439" s="257">
        <v>0</v>
      </c>
      <c r="I439" s="257">
        <v>100518313</v>
      </c>
      <c r="J439" s="257">
        <v>0</v>
      </c>
      <c r="K439" s="257">
        <v>55309687</v>
      </c>
      <c r="L439" s="257">
        <v>55309687</v>
      </c>
      <c r="M439" s="257">
        <v>0</v>
      </c>
      <c r="N439" s="257">
        <v>0</v>
      </c>
    </row>
    <row r="440" spans="1:14" s="143" customFormat="1" x14ac:dyDescent="0.25">
      <c r="A440" s="143" t="s">
        <v>378</v>
      </c>
      <c r="B440" s="143" t="s">
        <v>383</v>
      </c>
      <c r="C440" s="143" t="s">
        <v>103</v>
      </c>
      <c r="D440" s="143" t="s">
        <v>69</v>
      </c>
      <c r="E440" s="257">
        <v>311656000</v>
      </c>
      <c r="F440" s="257">
        <v>311656000</v>
      </c>
      <c r="G440" s="257">
        <v>311656000</v>
      </c>
      <c r="H440" s="257">
        <v>0</v>
      </c>
      <c r="I440" s="257">
        <v>201036705</v>
      </c>
      <c r="J440" s="257">
        <v>0</v>
      </c>
      <c r="K440" s="257">
        <v>110619295</v>
      </c>
      <c r="L440" s="257">
        <v>110619295</v>
      </c>
      <c r="M440" s="257">
        <v>0</v>
      </c>
      <c r="N440" s="257">
        <v>0</v>
      </c>
    </row>
    <row r="441" spans="1:14" s="143" customFormat="1" x14ac:dyDescent="0.25">
      <c r="A441" s="143" t="s">
        <v>378</v>
      </c>
      <c r="B441" s="143" t="s">
        <v>384</v>
      </c>
      <c r="C441" s="143" t="s">
        <v>385</v>
      </c>
      <c r="D441" s="143" t="s">
        <v>69</v>
      </c>
      <c r="E441" s="257">
        <v>86345000</v>
      </c>
      <c r="F441" s="257">
        <v>86345000</v>
      </c>
      <c r="G441" s="257">
        <v>86345000</v>
      </c>
      <c r="H441" s="257">
        <v>0</v>
      </c>
      <c r="I441" s="257">
        <v>53666092.229999997</v>
      </c>
      <c r="J441" s="257">
        <v>0</v>
      </c>
      <c r="K441" s="257">
        <v>32678907.77</v>
      </c>
      <c r="L441" s="257">
        <v>32678907.77</v>
      </c>
      <c r="M441" s="257">
        <v>0</v>
      </c>
      <c r="N441" s="257">
        <v>0</v>
      </c>
    </row>
    <row r="442" spans="1:14" s="143" customFormat="1" x14ac:dyDescent="0.25">
      <c r="A442" s="143" t="s">
        <v>378</v>
      </c>
      <c r="B442" s="143" t="s">
        <v>104</v>
      </c>
      <c r="C442" s="143" t="s">
        <v>105</v>
      </c>
      <c r="D442" s="143" t="s">
        <v>69</v>
      </c>
      <c r="E442" s="257">
        <v>31730334</v>
      </c>
      <c r="F442" s="257">
        <v>31730334</v>
      </c>
      <c r="G442" s="257">
        <v>31730334</v>
      </c>
      <c r="H442" s="257">
        <v>0</v>
      </c>
      <c r="I442" s="257">
        <v>31730334</v>
      </c>
      <c r="J442" s="257">
        <v>0</v>
      </c>
      <c r="K442" s="257">
        <v>0</v>
      </c>
      <c r="L442" s="257">
        <v>0</v>
      </c>
      <c r="M442" s="257">
        <v>0</v>
      </c>
      <c r="N442" s="257">
        <v>0</v>
      </c>
    </row>
    <row r="443" spans="1:14" s="143" customFormat="1" x14ac:dyDescent="0.25">
      <c r="A443" s="143" t="s">
        <v>378</v>
      </c>
      <c r="B443" s="143" t="s">
        <v>150</v>
      </c>
      <c r="C443" s="143" t="s">
        <v>151</v>
      </c>
      <c r="D443" s="143" t="s">
        <v>69</v>
      </c>
      <c r="E443" s="257">
        <v>31730334</v>
      </c>
      <c r="F443" s="257">
        <v>31730334</v>
      </c>
      <c r="G443" s="257">
        <v>31730334</v>
      </c>
      <c r="H443" s="257">
        <v>0</v>
      </c>
      <c r="I443" s="257">
        <v>31730334</v>
      </c>
      <c r="J443" s="257">
        <v>0</v>
      </c>
      <c r="K443" s="257">
        <v>0</v>
      </c>
      <c r="L443" s="257">
        <v>0</v>
      </c>
      <c r="M443" s="257">
        <v>0</v>
      </c>
      <c r="N443" s="257">
        <v>0</v>
      </c>
    </row>
    <row r="444" spans="1:14" s="143" customFormat="1" x14ac:dyDescent="0.25">
      <c r="A444" s="143" t="s">
        <v>378</v>
      </c>
      <c r="B444" s="143" t="s">
        <v>152</v>
      </c>
      <c r="C444" s="143" t="s">
        <v>153</v>
      </c>
      <c r="D444" s="143" t="s">
        <v>69</v>
      </c>
      <c r="E444" s="257">
        <v>31730334</v>
      </c>
      <c r="F444" s="257">
        <v>31730334</v>
      </c>
      <c r="G444" s="257">
        <v>31730334</v>
      </c>
      <c r="H444" s="257">
        <v>0</v>
      </c>
      <c r="I444" s="257">
        <v>31730334</v>
      </c>
      <c r="J444" s="257">
        <v>0</v>
      </c>
      <c r="K444" s="257">
        <v>0</v>
      </c>
      <c r="L444" s="257">
        <v>0</v>
      </c>
      <c r="M444" s="257">
        <v>0</v>
      </c>
      <c r="N444" s="257">
        <v>0</v>
      </c>
    </row>
    <row r="445" spans="1:14" s="143" customFormat="1" x14ac:dyDescent="0.25">
      <c r="A445" s="143" t="s">
        <v>378</v>
      </c>
      <c r="B445" s="143" t="s">
        <v>248</v>
      </c>
      <c r="C445" s="143" t="s">
        <v>249</v>
      </c>
      <c r="D445" s="143" t="s">
        <v>69</v>
      </c>
      <c r="E445" s="257">
        <v>492565000</v>
      </c>
      <c r="F445" s="257">
        <v>492565000</v>
      </c>
      <c r="G445" s="257">
        <v>332882869</v>
      </c>
      <c r="H445" s="257">
        <v>0</v>
      </c>
      <c r="I445" s="257">
        <v>188477374.52000001</v>
      </c>
      <c r="J445" s="257">
        <v>0</v>
      </c>
      <c r="K445" s="257">
        <v>91916119.879999995</v>
      </c>
      <c r="L445" s="257">
        <v>91916119.879999995</v>
      </c>
      <c r="M445" s="257">
        <v>212171505.59999999</v>
      </c>
      <c r="N445" s="257">
        <v>52489374.600000001</v>
      </c>
    </row>
    <row r="446" spans="1:14" s="143" customFormat="1" x14ac:dyDescent="0.25">
      <c r="A446" s="143" t="s">
        <v>378</v>
      </c>
      <c r="B446" s="143" t="s">
        <v>250</v>
      </c>
      <c r="C446" s="143" t="s">
        <v>251</v>
      </c>
      <c r="D446" s="143" t="s">
        <v>69</v>
      </c>
      <c r="E446" s="257">
        <v>154788000</v>
      </c>
      <c r="F446" s="257">
        <v>154788000</v>
      </c>
      <c r="G446" s="257">
        <v>154788000</v>
      </c>
      <c r="H446" s="257">
        <v>0</v>
      </c>
      <c r="I446" s="257">
        <v>109639409.23</v>
      </c>
      <c r="J446" s="257">
        <v>0</v>
      </c>
      <c r="K446" s="257">
        <v>45148590.770000003</v>
      </c>
      <c r="L446" s="257">
        <v>45148590.770000003</v>
      </c>
      <c r="M446" s="257">
        <v>0</v>
      </c>
      <c r="N446" s="257">
        <v>0</v>
      </c>
    </row>
    <row r="447" spans="1:14" s="143" customFormat="1" x14ac:dyDescent="0.25">
      <c r="A447" s="143" t="s">
        <v>378</v>
      </c>
      <c r="B447" s="143" t="s">
        <v>386</v>
      </c>
      <c r="C447" s="143" t="s">
        <v>257</v>
      </c>
      <c r="D447" s="143" t="s">
        <v>69</v>
      </c>
      <c r="E447" s="257">
        <v>128817000</v>
      </c>
      <c r="F447" s="257">
        <v>128817000</v>
      </c>
      <c r="G447" s="257">
        <v>128817000</v>
      </c>
      <c r="H447" s="257">
        <v>0</v>
      </c>
      <c r="I447" s="257">
        <v>92886753.810000002</v>
      </c>
      <c r="J447" s="257">
        <v>0</v>
      </c>
      <c r="K447" s="257">
        <v>35930246.189999998</v>
      </c>
      <c r="L447" s="257">
        <v>35930246.189999998</v>
      </c>
      <c r="M447" s="257">
        <v>0</v>
      </c>
      <c r="N447" s="257">
        <v>0</v>
      </c>
    </row>
    <row r="448" spans="1:14" s="143" customFormat="1" x14ac:dyDescent="0.25">
      <c r="A448" s="143" t="s">
        <v>378</v>
      </c>
      <c r="B448" s="143" t="s">
        <v>387</v>
      </c>
      <c r="C448" s="143" t="s">
        <v>259</v>
      </c>
      <c r="D448" s="143" t="s">
        <v>69</v>
      </c>
      <c r="E448" s="257">
        <v>25971000</v>
      </c>
      <c r="F448" s="257">
        <v>25971000</v>
      </c>
      <c r="G448" s="257">
        <v>25971000</v>
      </c>
      <c r="H448" s="257">
        <v>0</v>
      </c>
      <c r="I448" s="257">
        <v>16752655.42</v>
      </c>
      <c r="J448" s="257">
        <v>0</v>
      </c>
      <c r="K448" s="257">
        <v>9218344.5800000001</v>
      </c>
      <c r="L448" s="257">
        <v>9218344.5800000001</v>
      </c>
      <c r="M448" s="257">
        <v>0</v>
      </c>
      <c r="N448" s="257">
        <v>0</v>
      </c>
    </row>
    <row r="449" spans="1:14" s="143" customFormat="1" x14ac:dyDescent="0.25">
      <c r="A449" s="143" t="s">
        <v>378</v>
      </c>
      <c r="B449" s="143" t="s">
        <v>260</v>
      </c>
      <c r="C449" s="143" t="s">
        <v>261</v>
      </c>
      <c r="D449" s="143" t="s">
        <v>69</v>
      </c>
      <c r="E449" s="257">
        <v>312777000</v>
      </c>
      <c r="F449" s="257">
        <v>307777000</v>
      </c>
      <c r="G449" s="257">
        <v>155594869</v>
      </c>
      <c r="H449" s="257">
        <v>0</v>
      </c>
      <c r="I449" s="257">
        <v>69185544.829999998</v>
      </c>
      <c r="J449" s="257">
        <v>0</v>
      </c>
      <c r="K449" s="257">
        <v>42919949.57</v>
      </c>
      <c r="L449" s="257">
        <v>42919949.57</v>
      </c>
      <c r="M449" s="257">
        <v>195671505.59999999</v>
      </c>
      <c r="N449" s="257">
        <v>43489374.600000001</v>
      </c>
    </row>
    <row r="450" spans="1:14" s="143" customFormat="1" x14ac:dyDescent="0.25">
      <c r="A450" s="143" t="s">
        <v>378</v>
      </c>
      <c r="B450" s="143" t="s">
        <v>262</v>
      </c>
      <c r="C450" s="143" t="s">
        <v>263</v>
      </c>
      <c r="D450" s="143" t="s">
        <v>69</v>
      </c>
      <c r="E450" s="257">
        <v>239389000</v>
      </c>
      <c r="F450" s="257">
        <v>239389000</v>
      </c>
      <c r="G450" s="257">
        <v>98829334</v>
      </c>
      <c r="H450" s="257">
        <v>0</v>
      </c>
      <c r="I450" s="257">
        <v>69085416.829999998</v>
      </c>
      <c r="J450" s="257">
        <v>0</v>
      </c>
      <c r="K450" s="257">
        <v>29743915.170000002</v>
      </c>
      <c r="L450" s="257">
        <v>29743915.170000002</v>
      </c>
      <c r="M450" s="257">
        <v>140559668</v>
      </c>
      <c r="N450" s="257">
        <v>2</v>
      </c>
    </row>
    <row r="451" spans="1:14" s="143" customFormat="1" x14ac:dyDescent="0.25">
      <c r="A451" s="143" t="s">
        <v>378</v>
      </c>
      <c r="B451" s="143" t="s">
        <v>264</v>
      </c>
      <c r="C451" s="143" t="s">
        <v>265</v>
      </c>
      <c r="D451" s="143" t="s">
        <v>69</v>
      </c>
      <c r="E451" s="257">
        <v>73388000</v>
      </c>
      <c r="F451" s="257">
        <v>68388000</v>
      </c>
      <c r="G451" s="257">
        <v>56765535</v>
      </c>
      <c r="H451" s="257">
        <v>0</v>
      </c>
      <c r="I451" s="257">
        <v>100128</v>
      </c>
      <c r="J451" s="257">
        <v>0</v>
      </c>
      <c r="K451" s="257">
        <v>13176034.4</v>
      </c>
      <c r="L451" s="257">
        <v>13176034.4</v>
      </c>
      <c r="M451" s="257">
        <v>55111837.600000001</v>
      </c>
      <c r="N451" s="257">
        <v>43489372.600000001</v>
      </c>
    </row>
    <row r="452" spans="1:14" x14ac:dyDescent="0.25">
      <c r="A452" s="143" t="s">
        <v>378</v>
      </c>
      <c r="B452" s="143" t="s">
        <v>286</v>
      </c>
      <c r="C452" s="143" t="s">
        <v>287</v>
      </c>
      <c r="D452" s="143" t="s">
        <v>69</v>
      </c>
      <c r="E452" s="257">
        <v>25000000</v>
      </c>
      <c r="F452" s="257">
        <v>30000000</v>
      </c>
      <c r="G452" s="257">
        <v>22500000</v>
      </c>
      <c r="H452" s="257">
        <v>0</v>
      </c>
      <c r="I452" s="257">
        <v>9652420.4600000009</v>
      </c>
      <c r="J452" s="257">
        <v>0</v>
      </c>
      <c r="K452" s="257">
        <v>3847579.54</v>
      </c>
      <c r="L452" s="257">
        <v>3847579.54</v>
      </c>
      <c r="M452" s="257">
        <v>16500000</v>
      </c>
      <c r="N452" s="257">
        <v>9000000</v>
      </c>
    </row>
    <row r="453" spans="1:14" x14ac:dyDescent="0.25">
      <c r="A453" s="143" t="s">
        <v>378</v>
      </c>
      <c r="B453" s="143" t="s">
        <v>288</v>
      </c>
      <c r="C453" s="143" t="s">
        <v>289</v>
      </c>
      <c r="D453" s="143" t="s">
        <v>69</v>
      </c>
      <c r="E453" s="257">
        <v>10000000</v>
      </c>
      <c r="F453" s="257">
        <v>10000000</v>
      </c>
      <c r="G453" s="257">
        <v>6500000</v>
      </c>
      <c r="H453" s="257">
        <v>0</v>
      </c>
      <c r="I453" s="257">
        <v>1879851.99</v>
      </c>
      <c r="J453" s="257">
        <v>0</v>
      </c>
      <c r="K453" s="257">
        <v>620148.01</v>
      </c>
      <c r="L453" s="257">
        <v>620148.01</v>
      </c>
      <c r="M453" s="257">
        <v>7500000</v>
      </c>
      <c r="N453" s="257">
        <v>4000000</v>
      </c>
    </row>
    <row r="454" spans="1:14" x14ac:dyDescent="0.25">
      <c r="A454" s="143" t="s">
        <v>378</v>
      </c>
      <c r="B454" s="143" t="s">
        <v>370</v>
      </c>
      <c r="C454" s="143" t="s">
        <v>371</v>
      </c>
      <c r="D454" s="143" t="s">
        <v>69</v>
      </c>
      <c r="E454" s="257">
        <v>15000000</v>
      </c>
      <c r="F454" s="257">
        <v>20000000</v>
      </c>
      <c r="G454" s="257">
        <v>16000000</v>
      </c>
      <c r="H454" s="257">
        <v>0</v>
      </c>
      <c r="I454" s="257">
        <v>7772568.4699999997</v>
      </c>
      <c r="J454" s="257">
        <v>0</v>
      </c>
      <c r="K454" s="257">
        <v>3227431.53</v>
      </c>
      <c r="L454" s="257">
        <v>3227431.53</v>
      </c>
      <c r="M454" s="257">
        <v>9000000</v>
      </c>
      <c r="N454" s="257">
        <v>5000000</v>
      </c>
    </row>
    <row r="455" spans="1:14" x14ac:dyDescent="0.25">
      <c r="A455" s="53"/>
      <c r="B455" s="53"/>
      <c r="C455" s="53"/>
      <c r="D455" s="53"/>
      <c r="E455" s="54">
        <v>675435665000</v>
      </c>
      <c r="F455" s="54">
        <v>705435665000</v>
      </c>
      <c r="G455" s="54">
        <v>599595369708.75</v>
      </c>
      <c r="H455" s="54">
        <v>774020544.54999995</v>
      </c>
      <c r="I455" s="54">
        <v>93041662954.25</v>
      </c>
      <c r="J455" s="54">
        <v>1061612358.85</v>
      </c>
      <c r="K455" s="54">
        <v>189272600810.39999</v>
      </c>
      <c r="L455" s="54">
        <v>186207337349.54999</v>
      </c>
      <c r="M455" s="54">
        <v>421285768331.95001</v>
      </c>
      <c r="N455" s="54">
        <v>315445473040.70001</v>
      </c>
    </row>
  </sheetData>
  <sheetProtection selectLockedCells="1" selectUnlockedCells="1"/>
  <conditionalFormatting sqref="K2:K451">
    <cfRule type="cellIs" dxfId="5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5"/>
  <sheetViews>
    <sheetView zoomScaleNormal="100" workbookViewId="0"/>
  </sheetViews>
  <sheetFormatPr baseColWidth="10" defaultColWidth="36.28515625" defaultRowHeight="15" x14ac:dyDescent="0.25"/>
  <cols>
    <col min="1" max="1" width="13" customWidth="1"/>
    <col min="2" max="2" width="18.140625" customWidth="1"/>
    <col min="3" max="3" width="27" customWidth="1"/>
    <col min="4" max="4" width="6.5703125" customWidth="1"/>
    <col min="5" max="5" width="18.7109375" customWidth="1"/>
    <col min="6" max="7" width="18.5703125" customWidth="1"/>
    <col min="8" max="8" width="17.42578125" customWidth="1"/>
    <col min="9" max="9" width="18.5703125" customWidth="1"/>
    <col min="10" max="10" width="20" customWidth="1"/>
    <col min="11" max="12" width="18.5703125" customWidth="1"/>
    <col min="13" max="13" width="21.5703125" customWidth="1"/>
    <col min="14" max="14" width="18.5703125" customWidth="1"/>
  </cols>
  <sheetData>
    <row r="1" spans="1:14" x14ac:dyDescent="0.25">
      <c r="A1" s="144" t="s">
        <v>52</v>
      </c>
      <c r="B1" s="144" t="s">
        <v>53</v>
      </c>
      <c r="C1" s="144" t="s">
        <v>54</v>
      </c>
      <c r="D1" s="144" t="s">
        <v>55</v>
      </c>
      <c r="E1" s="144" t="s">
        <v>56</v>
      </c>
      <c r="F1" s="144" t="s">
        <v>57</v>
      </c>
      <c r="G1" s="144" t="s">
        <v>58</v>
      </c>
      <c r="H1" s="144" t="s">
        <v>59</v>
      </c>
      <c r="I1" s="144" t="s">
        <v>60</v>
      </c>
      <c r="J1" s="144" t="s">
        <v>61</v>
      </c>
      <c r="K1" s="144" t="s">
        <v>12</v>
      </c>
      <c r="L1" s="144" t="s">
        <v>63</v>
      </c>
      <c r="M1" s="144" t="s">
        <v>65</v>
      </c>
      <c r="N1" s="144" t="s">
        <v>67</v>
      </c>
    </row>
    <row r="2" spans="1:14" s="143" customFormat="1" x14ac:dyDescent="0.25">
      <c r="A2" s="143" t="s">
        <v>68</v>
      </c>
      <c r="D2" s="143" t="s">
        <v>69</v>
      </c>
      <c r="E2" s="257">
        <v>135087133000</v>
      </c>
      <c r="F2" s="257">
        <v>141087133000</v>
      </c>
      <c r="G2" s="257">
        <v>119940620966.75</v>
      </c>
      <c r="H2" s="257">
        <v>9756862.6600000001</v>
      </c>
      <c r="I2" s="257">
        <v>16453974726.459999</v>
      </c>
      <c r="J2" s="257">
        <v>263853991.16</v>
      </c>
      <c r="K2" s="257">
        <v>29774751636.669998</v>
      </c>
      <c r="L2" s="257">
        <v>29646745038.5</v>
      </c>
      <c r="M2" s="257">
        <v>94584795783.050003</v>
      </c>
      <c r="N2" s="257">
        <v>73438283749.800003</v>
      </c>
    </row>
    <row r="3" spans="1:14" s="143" customFormat="1" x14ac:dyDescent="0.25">
      <c r="A3" s="143">
        <v>214779</v>
      </c>
      <c r="D3" s="143" t="s">
        <v>69</v>
      </c>
      <c r="E3" s="257">
        <v>2519449227</v>
      </c>
      <c r="F3" s="257">
        <v>2519449227</v>
      </c>
      <c r="G3" s="257">
        <v>1953591114</v>
      </c>
      <c r="H3" s="257">
        <v>4460746.99</v>
      </c>
      <c r="I3" s="257">
        <v>237329201.5</v>
      </c>
      <c r="J3" s="257">
        <v>1118813.8500000001</v>
      </c>
      <c r="K3" s="279">
        <v>527378127.72000003</v>
      </c>
      <c r="L3" s="257">
        <v>525203558.16000003</v>
      </c>
      <c r="M3" s="257">
        <v>1749162336.9400001</v>
      </c>
      <c r="N3" s="257">
        <v>1183304223.9400001</v>
      </c>
    </row>
    <row r="4" spans="1:14" s="143" customFormat="1" x14ac:dyDescent="0.25">
      <c r="A4" s="143" t="s">
        <v>70</v>
      </c>
      <c r="B4" s="143" t="s">
        <v>71</v>
      </c>
      <c r="C4" s="143" t="s">
        <v>72</v>
      </c>
      <c r="D4" s="143" t="s">
        <v>69</v>
      </c>
      <c r="E4" s="257">
        <v>1386097000</v>
      </c>
      <c r="F4" s="257">
        <v>1386097000</v>
      </c>
      <c r="G4" s="257">
        <v>1372097000</v>
      </c>
      <c r="H4" s="257">
        <v>0</v>
      </c>
      <c r="I4" s="257">
        <v>156735505</v>
      </c>
      <c r="J4" s="257">
        <v>0</v>
      </c>
      <c r="K4" s="257">
        <v>318482510.06</v>
      </c>
      <c r="L4" s="257">
        <v>318482510.06</v>
      </c>
      <c r="M4" s="257">
        <v>910878984.94000006</v>
      </c>
      <c r="N4" s="257">
        <v>896878984.94000006</v>
      </c>
    </row>
    <row r="5" spans="1:14" s="143" customFormat="1" x14ac:dyDescent="0.25">
      <c r="A5" s="143" t="s">
        <v>70</v>
      </c>
      <c r="B5" s="143" t="s">
        <v>73</v>
      </c>
      <c r="C5" s="143" t="s">
        <v>74</v>
      </c>
      <c r="D5" s="143" t="s">
        <v>69</v>
      </c>
      <c r="E5" s="257">
        <v>526394000</v>
      </c>
      <c r="F5" s="257">
        <v>526394000</v>
      </c>
      <c r="G5" s="257">
        <v>513555100</v>
      </c>
      <c r="H5" s="257">
        <v>0</v>
      </c>
      <c r="I5" s="257">
        <v>0</v>
      </c>
      <c r="J5" s="257">
        <v>0</v>
      </c>
      <c r="K5" s="257">
        <v>109521823.34999999</v>
      </c>
      <c r="L5" s="257">
        <v>109521823.34999999</v>
      </c>
      <c r="M5" s="257">
        <v>416872176.64999998</v>
      </c>
      <c r="N5" s="257">
        <v>404033276.64999998</v>
      </c>
    </row>
    <row r="6" spans="1:14" s="143" customFormat="1" x14ac:dyDescent="0.25">
      <c r="A6" s="143" t="s">
        <v>70</v>
      </c>
      <c r="B6" s="143" t="s">
        <v>75</v>
      </c>
      <c r="C6" s="143" t="s">
        <v>76</v>
      </c>
      <c r="D6" s="143" t="s">
        <v>69</v>
      </c>
      <c r="E6" s="257">
        <v>526394000</v>
      </c>
      <c r="F6" s="257">
        <v>526394000</v>
      </c>
      <c r="G6" s="257">
        <v>513555100</v>
      </c>
      <c r="H6" s="257">
        <v>0</v>
      </c>
      <c r="I6" s="257">
        <v>0</v>
      </c>
      <c r="J6" s="257">
        <v>0</v>
      </c>
      <c r="K6" s="257">
        <v>109521823.34999999</v>
      </c>
      <c r="L6" s="257">
        <v>109521823.34999999</v>
      </c>
      <c r="M6" s="257">
        <v>416872176.64999998</v>
      </c>
      <c r="N6" s="257">
        <v>404033276.64999998</v>
      </c>
    </row>
    <row r="7" spans="1:14" s="143" customFormat="1" x14ac:dyDescent="0.25">
      <c r="A7" s="143" t="s">
        <v>70</v>
      </c>
      <c r="B7" s="143" t="s">
        <v>77</v>
      </c>
      <c r="C7" s="143" t="s">
        <v>78</v>
      </c>
      <c r="D7" s="143" t="s">
        <v>69</v>
      </c>
      <c r="E7" s="257">
        <v>649722000</v>
      </c>
      <c r="F7" s="257">
        <v>649722000</v>
      </c>
      <c r="G7" s="257">
        <v>648560900</v>
      </c>
      <c r="H7" s="257">
        <v>0</v>
      </c>
      <c r="I7" s="257">
        <v>0</v>
      </c>
      <c r="J7" s="257">
        <v>0</v>
      </c>
      <c r="K7" s="257">
        <v>155715191.71000001</v>
      </c>
      <c r="L7" s="257">
        <v>155715191.71000001</v>
      </c>
      <c r="M7" s="257">
        <v>494006808.29000002</v>
      </c>
      <c r="N7" s="257">
        <v>492845708.29000002</v>
      </c>
    </row>
    <row r="8" spans="1:14" s="143" customFormat="1" x14ac:dyDescent="0.25">
      <c r="A8" s="143" t="s">
        <v>70</v>
      </c>
      <c r="B8" s="143" t="s">
        <v>79</v>
      </c>
      <c r="C8" s="143" t="s">
        <v>80</v>
      </c>
      <c r="D8" s="143" t="s">
        <v>69</v>
      </c>
      <c r="E8" s="257">
        <v>138872000</v>
      </c>
      <c r="F8" s="257">
        <v>138872000</v>
      </c>
      <c r="G8" s="257">
        <v>137710900</v>
      </c>
      <c r="H8" s="257">
        <v>0</v>
      </c>
      <c r="I8" s="257">
        <v>0</v>
      </c>
      <c r="J8" s="257">
        <v>0</v>
      </c>
      <c r="K8" s="257">
        <v>22759721.609999999</v>
      </c>
      <c r="L8" s="257">
        <v>22759721.609999999</v>
      </c>
      <c r="M8" s="257">
        <v>116112278.39</v>
      </c>
      <c r="N8" s="257">
        <v>114951178.39</v>
      </c>
    </row>
    <row r="9" spans="1:14" s="143" customFormat="1" x14ac:dyDescent="0.25">
      <c r="A9" s="143" t="s">
        <v>70</v>
      </c>
      <c r="B9" s="143" t="s">
        <v>81</v>
      </c>
      <c r="C9" s="143" t="s">
        <v>82</v>
      </c>
      <c r="D9" s="143" t="s">
        <v>69</v>
      </c>
      <c r="E9" s="257">
        <v>289755000</v>
      </c>
      <c r="F9" s="257">
        <v>289755000</v>
      </c>
      <c r="G9" s="257">
        <v>289755000</v>
      </c>
      <c r="H9" s="257">
        <v>0</v>
      </c>
      <c r="I9" s="257">
        <v>0</v>
      </c>
      <c r="J9" s="257">
        <v>0</v>
      </c>
      <c r="K9" s="257">
        <v>49439597.270000003</v>
      </c>
      <c r="L9" s="257">
        <v>49439597.270000003</v>
      </c>
      <c r="M9" s="257">
        <v>240315402.72999999</v>
      </c>
      <c r="N9" s="257">
        <v>240315402.72999999</v>
      </c>
    </row>
    <row r="10" spans="1:14" s="143" customFormat="1" x14ac:dyDescent="0.25">
      <c r="A10" s="143" t="s">
        <v>70</v>
      </c>
      <c r="B10" s="143" t="s">
        <v>86</v>
      </c>
      <c r="C10" s="143" t="s">
        <v>87</v>
      </c>
      <c r="D10" s="143" t="s">
        <v>69</v>
      </c>
      <c r="E10" s="257">
        <v>83881000</v>
      </c>
      <c r="F10" s="257">
        <v>83881000</v>
      </c>
      <c r="G10" s="257">
        <v>83881000</v>
      </c>
      <c r="H10" s="257">
        <v>0</v>
      </c>
      <c r="I10" s="257">
        <v>0</v>
      </c>
      <c r="J10" s="257">
        <v>0</v>
      </c>
      <c r="K10" s="257">
        <v>74682002.099999994</v>
      </c>
      <c r="L10" s="257">
        <v>74682002.099999994</v>
      </c>
      <c r="M10" s="257">
        <v>9198997.9000000004</v>
      </c>
      <c r="N10" s="257">
        <v>9198997.9000000004</v>
      </c>
    </row>
    <row r="11" spans="1:14" s="143" customFormat="1" x14ac:dyDescent="0.25">
      <c r="A11" s="143" t="s">
        <v>70</v>
      </c>
      <c r="B11" s="143" t="s">
        <v>88</v>
      </c>
      <c r="C11" s="143" t="s">
        <v>89</v>
      </c>
      <c r="D11" s="143" t="s">
        <v>69</v>
      </c>
      <c r="E11" s="257">
        <v>47407000</v>
      </c>
      <c r="F11" s="257">
        <v>47407000</v>
      </c>
      <c r="G11" s="257">
        <v>47407000</v>
      </c>
      <c r="H11" s="257">
        <v>0</v>
      </c>
      <c r="I11" s="257">
        <v>0</v>
      </c>
      <c r="J11" s="257">
        <v>0</v>
      </c>
      <c r="K11" s="257">
        <v>8833870.7300000004</v>
      </c>
      <c r="L11" s="257">
        <v>8833870.7300000004</v>
      </c>
      <c r="M11" s="257">
        <v>38573129.270000003</v>
      </c>
      <c r="N11" s="257">
        <v>38573129.270000003</v>
      </c>
    </row>
    <row r="12" spans="1:14" s="143" customFormat="1" x14ac:dyDescent="0.25">
      <c r="A12" s="143" t="s">
        <v>70</v>
      </c>
      <c r="B12" s="143" t="s">
        <v>83</v>
      </c>
      <c r="C12" s="143" t="s">
        <v>84</v>
      </c>
      <c r="D12" s="143" t="s">
        <v>85</v>
      </c>
      <c r="E12" s="257">
        <v>89807000</v>
      </c>
      <c r="F12" s="257">
        <v>89807000</v>
      </c>
      <c r="G12" s="257">
        <v>89807000</v>
      </c>
      <c r="H12" s="257">
        <v>0</v>
      </c>
      <c r="I12" s="257">
        <v>0</v>
      </c>
      <c r="J12" s="257">
        <v>0</v>
      </c>
      <c r="K12" s="257">
        <v>0</v>
      </c>
      <c r="L12" s="257">
        <v>0</v>
      </c>
      <c r="M12" s="257">
        <v>89807000</v>
      </c>
      <c r="N12" s="257">
        <v>89807000</v>
      </c>
    </row>
    <row r="13" spans="1:14" s="143" customFormat="1" x14ac:dyDescent="0.25">
      <c r="A13" s="143" t="s">
        <v>70</v>
      </c>
      <c r="B13" s="143" t="s">
        <v>90</v>
      </c>
      <c r="C13" s="143" t="s">
        <v>91</v>
      </c>
      <c r="D13" s="143" t="s">
        <v>69</v>
      </c>
      <c r="E13" s="257">
        <v>105914000</v>
      </c>
      <c r="F13" s="257">
        <v>105914000</v>
      </c>
      <c r="G13" s="257">
        <v>105914000</v>
      </c>
      <c r="H13" s="257">
        <v>0</v>
      </c>
      <c r="I13" s="257">
        <v>79057112</v>
      </c>
      <c r="J13" s="257">
        <v>0</v>
      </c>
      <c r="K13" s="257">
        <v>26856888</v>
      </c>
      <c r="L13" s="257">
        <v>26856888</v>
      </c>
      <c r="M13" s="257">
        <v>0</v>
      </c>
      <c r="N13" s="257">
        <v>0</v>
      </c>
    </row>
    <row r="14" spans="1:14" s="143" customFormat="1" x14ac:dyDescent="0.25">
      <c r="A14" s="143" t="s">
        <v>70</v>
      </c>
      <c r="B14" s="143" t="s">
        <v>92</v>
      </c>
      <c r="C14" s="143" t="s">
        <v>93</v>
      </c>
      <c r="D14" s="143" t="s">
        <v>69</v>
      </c>
      <c r="E14" s="257">
        <v>100483000</v>
      </c>
      <c r="F14" s="257">
        <v>100483000</v>
      </c>
      <c r="G14" s="257">
        <v>100483000</v>
      </c>
      <c r="H14" s="257">
        <v>0</v>
      </c>
      <c r="I14" s="257">
        <v>75003397</v>
      </c>
      <c r="J14" s="257">
        <v>0</v>
      </c>
      <c r="K14" s="257">
        <v>25479603</v>
      </c>
      <c r="L14" s="257">
        <v>25479603</v>
      </c>
      <c r="M14" s="257">
        <v>0</v>
      </c>
      <c r="N14" s="257">
        <v>0</v>
      </c>
    </row>
    <row r="15" spans="1:14" s="143" customFormat="1" x14ac:dyDescent="0.25">
      <c r="A15" s="143" t="s">
        <v>70</v>
      </c>
      <c r="B15" s="143" t="s">
        <v>94</v>
      </c>
      <c r="C15" s="143" t="s">
        <v>95</v>
      </c>
      <c r="D15" s="143" t="s">
        <v>69</v>
      </c>
      <c r="E15" s="257">
        <v>5431000</v>
      </c>
      <c r="F15" s="257">
        <v>5431000</v>
      </c>
      <c r="G15" s="257">
        <v>5431000</v>
      </c>
      <c r="H15" s="257">
        <v>0</v>
      </c>
      <c r="I15" s="257">
        <v>4053715</v>
      </c>
      <c r="J15" s="257">
        <v>0</v>
      </c>
      <c r="K15" s="257">
        <v>1377285</v>
      </c>
      <c r="L15" s="257">
        <v>1377285</v>
      </c>
      <c r="M15" s="257">
        <v>0</v>
      </c>
      <c r="N15" s="257">
        <v>0</v>
      </c>
    </row>
    <row r="16" spans="1:14" s="143" customFormat="1" x14ac:dyDescent="0.25">
      <c r="A16" s="143" t="s">
        <v>70</v>
      </c>
      <c r="B16" s="143" t="s">
        <v>96</v>
      </c>
      <c r="C16" s="143" t="s">
        <v>97</v>
      </c>
      <c r="D16" s="143" t="s">
        <v>69</v>
      </c>
      <c r="E16" s="257">
        <v>104067000</v>
      </c>
      <c r="F16" s="257">
        <v>104067000</v>
      </c>
      <c r="G16" s="257">
        <v>104067000</v>
      </c>
      <c r="H16" s="257">
        <v>0</v>
      </c>
      <c r="I16" s="257">
        <v>77678393</v>
      </c>
      <c r="J16" s="257">
        <v>0</v>
      </c>
      <c r="K16" s="257">
        <v>26388607</v>
      </c>
      <c r="L16" s="257">
        <v>26388607</v>
      </c>
      <c r="M16" s="257">
        <v>0</v>
      </c>
      <c r="N16" s="257">
        <v>0</v>
      </c>
    </row>
    <row r="17" spans="1:14" s="143" customFormat="1" x14ac:dyDescent="0.25">
      <c r="A17" s="143" t="s">
        <v>70</v>
      </c>
      <c r="B17" s="143" t="s">
        <v>98</v>
      </c>
      <c r="C17" s="143" t="s">
        <v>99</v>
      </c>
      <c r="D17" s="143" t="s">
        <v>69</v>
      </c>
      <c r="E17" s="257">
        <v>55184000</v>
      </c>
      <c r="F17" s="257">
        <v>55184000</v>
      </c>
      <c r="G17" s="257">
        <v>55184000</v>
      </c>
      <c r="H17" s="257">
        <v>0</v>
      </c>
      <c r="I17" s="257">
        <v>41190877</v>
      </c>
      <c r="J17" s="257">
        <v>0</v>
      </c>
      <c r="K17" s="257">
        <v>13993123</v>
      </c>
      <c r="L17" s="257">
        <v>13993123</v>
      </c>
      <c r="M17" s="257">
        <v>0</v>
      </c>
      <c r="N17" s="257">
        <v>0</v>
      </c>
    </row>
    <row r="18" spans="1:14" s="143" customFormat="1" x14ac:dyDescent="0.25">
      <c r="A18" s="143" t="s">
        <v>70</v>
      </c>
      <c r="B18" s="143" t="s">
        <v>100</v>
      </c>
      <c r="C18" s="143" t="s">
        <v>101</v>
      </c>
      <c r="D18" s="143" t="s">
        <v>69</v>
      </c>
      <c r="E18" s="257">
        <v>16294000</v>
      </c>
      <c r="F18" s="257">
        <v>16294000</v>
      </c>
      <c r="G18" s="257">
        <v>16294000</v>
      </c>
      <c r="H18" s="257">
        <v>0</v>
      </c>
      <c r="I18" s="257">
        <v>12162174</v>
      </c>
      <c r="J18" s="257">
        <v>0</v>
      </c>
      <c r="K18" s="257">
        <v>4131826</v>
      </c>
      <c r="L18" s="257">
        <v>4131826</v>
      </c>
      <c r="M18" s="257">
        <v>0</v>
      </c>
      <c r="N18" s="257">
        <v>0</v>
      </c>
    </row>
    <row r="19" spans="1:14" s="143" customFormat="1" x14ac:dyDescent="0.25">
      <c r="A19" s="143" t="s">
        <v>70</v>
      </c>
      <c r="B19" s="143" t="s">
        <v>102</v>
      </c>
      <c r="C19" s="143" t="s">
        <v>103</v>
      </c>
      <c r="D19" s="143" t="s">
        <v>69</v>
      </c>
      <c r="E19" s="257">
        <v>32589000</v>
      </c>
      <c r="F19" s="257">
        <v>32589000</v>
      </c>
      <c r="G19" s="257">
        <v>32589000</v>
      </c>
      <c r="H19" s="257">
        <v>0</v>
      </c>
      <c r="I19" s="257">
        <v>24325342</v>
      </c>
      <c r="J19" s="257">
        <v>0</v>
      </c>
      <c r="K19" s="257">
        <v>8263658</v>
      </c>
      <c r="L19" s="257">
        <v>8263658</v>
      </c>
      <c r="M19" s="257">
        <v>0</v>
      </c>
      <c r="N19" s="257">
        <v>0</v>
      </c>
    </row>
    <row r="20" spans="1:14" s="143" customFormat="1" x14ac:dyDescent="0.25">
      <c r="A20" s="143" t="s">
        <v>70</v>
      </c>
      <c r="B20" s="143" t="s">
        <v>104</v>
      </c>
      <c r="C20" s="143" t="s">
        <v>105</v>
      </c>
      <c r="D20" s="143" t="s">
        <v>69</v>
      </c>
      <c r="E20" s="257">
        <v>342741579</v>
      </c>
      <c r="F20" s="257">
        <v>342741579</v>
      </c>
      <c r="G20" s="257">
        <v>145798290</v>
      </c>
      <c r="H20" s="257">
        <v>58450</v>
      </c>
      <c r="I20" s="257">
        <v>50249258.509999998</v>
      </c>
      <c r="J20" s="257">
        <v>282009</v>
      </c>
      <c r="K20" s="257">
        <v>28768300.199999999</v>
      </c>
      <c r="L20" s="257">
        <v>26607690.850000001</v>
      </c>
      <c r="M20" s="257">
        <v>263383561.28999999</v>
      </c>
      <c r="N20" s="257">
        <v>66440272.289999999</v>
      </c>
    </row>
    <row r="21" spans="1:14" s="143" customFormat="1" x14ac:dyDescent="0.25">
      <c r="A21" s="143" t="s">
        <v>70</v>
      </c>
      <c r="B21" s="143" t="s">
        <v>106</v>
      </c>
      <c r="C21" s="143" t="s">
        <v>107</v>
      </c>
      <c r="D21" s="143" t="s">
        <v>69</v>
      </c>
      <c r="E21" s="257">
        <v>125845446</v>
      </c>
      <c r="F21" s="257">
        <v>125845446</v>
      </c>
      <c r="G21" s="257">
        <v>61653661.030000001</v>
      </c>
      <c r="H21" s="257">
        <v>0</v>
      </c>
      <c r="I21" s="257">
        <v>25444022.559999999</v>
      </c>
      <c r="J21" s="257">
        <v>0</v>
      </c>
      <c r="K21" s="257">
        <v>5251898.07</v>
      </c>
      <c r="L21" s="257">
        <v>5221636.57</v>
      </c>
      <c r="M21" s="257">
        <v>95149525.370000005</v>
      </c>
      <c r="N21" s="257">
        <v>30957740.399999999</v>
      </c>
    </row>
    <row r="22" spans="1:14" s="143" customFormat="1" x14ac:dyDescent="0.25">
      <c r="A22" s="143" t="s">
        <v>70</v>
      </c>
      <c r="B22" s="143" t="s">
        <v>108</v>
      </c>
      <c r="C22" s="143" t="s">
        <v>109</v>
      </c>
      <c r="D22" s="143" t="s">
        <v>69</v>
      </c>
      <c r="E22" s="257">
        <v>125765446</v>
      </c>
      <c r="F22" s="257">
        <v>125765446</v>
      </c>
      <c r="G22" s="257">
        <v>61573661.030000001</v>
      </c>
      <c r="H22" s="257">
        <v>0</v>
      </c>
      <c r="I22" s="257">
        <v>25444022.559999999</v>
      </c>
      <c r="J22" s="257">
        <v>0</v>
      </c>
      <c r="K22" s="257">
        <v>5251898.07</v>
      </c>
      <c r="L22" s="257">
        <v>5221636.57</v>
      </c>
      <c r="M22" s="257">
        <v>95069525.370000005</v>
      </c>
      <c r="N22" s="257">
        <v>30877740.399999999</v>
      </c>
    </row>
    <row r="23" spans="1:14" s="143" customFormat="1" x14ac:dyDescent="0.25">
      <c r="A23" s="143" t="s">
        <v>70</v>
      </c>
      <c r="B23" s="143" t="s">
        <v>110</v>
      </c>
      <c r="C23" s="143" t="s">
        <v>111</v>
      </c>
      <c r="D23" s="143" t="s">
        <v>69</v>
      </c>
      <c r="E23" s="257">
        <v>80000</v>
      </c>
      <c r="F23" s="257">
        <v>80000</v>
      </c>
      <c r="G23" s="257">
        <v>80000</v>
      </c>
      <c r="H23" s="257">
        <v>0</v>
      </c>
      <c r="I23" s="257">
        <v>0</v>
      </c>
      <c r="J23" s="257">
        <v>0</v>
      </c>
      <c r="K23" s="257">
        <v>0</v>
      </c>
      <c r="L23" s="257">
        <v>0</v>
      </c>
      <c r="M23" s="257">
        <v>80000</v>
      </c>
      <c r="N23" s="257">
        <v>80000</v>
      </c>
    </row>
    <row r="24" spans="1:14" s="143" customFormat="1" x14ac:dyDescent="0.25">
      <c r="A24" s="143" t="s">
        <v>70</v>
      </c>
      <c r="B24" s="143" t="s">
        <v>112</v>
      </c>
      <c r="C24" s="143" t="s">
        <v>113</v>
      </c>
      <c r="D24" s="143" t="s">
        <v>69</v>
      </c>
      <c r="E24" s="257">
        <v>131428353</v>
      </c>
      <c r="F24" s="257">
        <v>131428353</v>
      </c>
      <c r="G24" s="257">
        <v>58600000</v>
      </c>
      <c r="H24" s="257">
        <v>0</v>
      </c>
      <c r="I24" s="257">
        <v>12060012.15</v>
      </c>
      <c r="J24" s="257">
        <v>0</v>
      </c>
      <c r="K24" s="257">
        <v>18249987.649999999</v>
      </c>
      <c r="L24" s="257">
        <v>16299939.800000001</v>
      </c>
      <c r="M24" s="257">
        <v>101118353.2</v>
      </c>
      <c r="N24" s="257">
        <v>28290000.199999999</v>
      </c>
    </row>
    <row r="25" spans="1:14" s="143" customFormat="1" x14ac:dyDescent="0.25">
      <c r="A25" s="143" t="s">
        <v>70</v>
      </c>
      <c r="B25" s="143" t="s">
        <v>114</v>
      </c>
      <c r="C25" s="143" t="s">
        <v>115</v>
      </c>
      <c r="D25" s="143" t="s">
        <v>69</v>
      </c>
      <c r="E25" s="257">
        <v>4971429</v>
      </c>
      <c r="F25" s="257">
        <v>4971429</v>
      </c>
      <c r="G25" s="257">
        <v>2400000</v>
      </c>
      <c r="H25" s="257">
        <v>0</v>
      </c>
      <c r="I25" s="257">
        <v>251494</v>
      </c>
      <c r="J25" s="257">
        <v>0</v>
      </c>
      <c r="K25" s="257">
        <v>948506</v>
      </c>
      <c r="L25" s="257">
        <v>948506</v>
      </c>
      <c r="M25" s="257">
        <v>3771429</v>
      </c>
      <c r="N25" s="257">
        <v>1200000</v>
      </c>
    </row>
    <row r="26" spans="1:14" s="143" customFormat="1" x14ac:dyDescent="0.25">
      <c r="A26" s="143" t="s">
        <v>70</v>
      </c>
      <c r="B26" s="143" t="s">
        <v>116</v>
      </c>
      <c r="C26" s="143" t="s">
        <v>117</v>
      </c>
      <c r="D26" s="143" t="s">
        <v>69</v>
      </c>
      <c r="E26" s="257">
        <v>56000000</v>
      </c>
      <c r="F26" s="257">
        <v>56000000</v>
      </c>
      <c r="G26" s="257">
        <v>27000000</v>
      </c>
      <c r="H26" s="257">
        <v>0</v>
      </c>
      <c r="I26" s="257">
        <v>2340600</v>
      </c>
      <c r="J26" s="257">
        <v>0</v>
      </c>
      <c r="K26" s="257">
        <v>11659400</v>
      </c>
      <c r="L26" s="257">
        <v>11659400</v>
      </c>
      <c r="M26" s="257">
        <v>42000000</v>
      </c>
      <c r="N26" s="257">
        <v>13000000</v>
      </c>
    </row>
    <row r="27" spans="1:14" s="143" customFormat="1" x14ac:dyDescent="0.25">
      <c r="A27" s="143" t="s">
        <v>70</v>
      </c>
      <c r="B27" s="143" t="s">
        <v>118</v>
      </c>
      <c r="C27" s="143" t="s">
        <v>119</v>
      </c>
      <c r="D27" s="143" t="s">
        <v>69</v>
      </c>
      <c r="E27" s="257">
        <v>20000</v>
      </c>
      <c r="F27" s="257">
        <v>20000</v>
      </c>
      <c r="G27" s="257">
        <v>20000</v>
      </c>
      <c r="H27" s="257">
        <v>0</v>
      </c>
      <c r="I27" s="257">
        <v>3600</v>
      </c>
      <c r="J27" s="257">
        <v>0</v>
      </c>
      <c r="K27" s="257">
        <v>16400</v>
      </c>
      <c r="L27" s="257">
        <v>16400</v>
      </c>
      <c r="M27" s="257">
        <v>0</v>
      </c>
      <c r="N27" s="257">
        <v>0</v>
      </c>
    </row>
    <row r="28" spans="1:14" s="143" customFormat="1" x14ac:dyDescent="0.25">
      <c r="A28" s="143" t="s">
        <v>70</v>
      </c>
      <c r="B28" s="143" t="s">
        <v>120</v>
      </c>
      <c r="C28" s="143" t="s">
        <v>121</v>
      </c>
      <c r="D28" s="143" t="s">
        <v>69</v>
      </c>
      <c r="E28" s="257">
        <v>70076924</v>
      </c>
      <c r="F28" s="257">
        <v>70076924</v>
      </c>
      <c r="G28" s="257">
        <v>29000000</v>
      </c>
      <c r="H28" s="257">
        <v>0</v>
      </c>
      <c r="I28" s="257">
        <v>9374318.1500000004</v>
      </c>
      <c r="J28" s="257">
        <v>0</v>
      </c>
      <c r="K28" s="257">
        <v>5625681.6500000004</v>
      </c>
      <c r="L28" s="257">
        <v>3675633.8</v>
      </c>
      <c r="M28" s="257">
        <v>55076924.200000003</v>
      </c>
      <c r="N28" s="257">
        <v>14000000.199999999</v>
      </c>
    </row>
    <row r="29" spans="1:14" s="143" customFormat="1" x14ac:dyDescent="0.25">
      <c r="A29" s="143" t="s">
        <v>70</v>
      </c>
      <c r="B29" s="143" t="s">
        <v>122</v>
      </c>
      <c r="C29" s="143" t="s">
        <v>123</v>
      </c>
      <c r="D29" s="143" t="s">
        <v>69</v>
      </c>
      <c r="E29" s="257">
        <v>360000</v>
      </c>
      <c r="F29" s="257">
        <v>360000</v>
      </c>
      <c r="G29" s="257">
        <v>180000</v>
      </c>
      <c r="H29" s="257">
        <v>0</v>
      </c>
      <c r="I29" s="257">
        <v>90000</v>
      </c>
      <c r="J29" s="257">
        <v>0</v>
      </c>
      <c r="K29" s="257">
        <v>0</v>
      </c>
      <c r="L29" s="257">
        <v>0</v>
      </c>
      <c r="M29" s="257">
        <v>270000</v>
      </c>
      <c r="N29" s="257">
        <v>90000</v>
      </c>
    </row>
    <row r="30" spans="1:14" s="143" customFormat="1" x14ac:dyDescent="0.25">
      <c r="A30" s="143" t="s">
        <v>70</v>
      </c>
      <c r="B30" s="143" t="s">
        <v>124</v>
      </c>
      <c r="C30" s="143" t="s">
        <v>125</v>
      </c>
      <c r="D30" s="143" t="s">
        <v>69</v>
      </c>
      <c r="E30" s="257">
        <v>8700000</v>
      </c>
      <c r="F30" s="257">
        <v>8700000</v>
      </c>
      <c r="G30" s="257">
        <v>4381000</v>
      </c>
      <c r="H30" s="257">
        <v>0</v>
      </c>
      <c r="I30" s="257">
        <v>2200431</v>
      </c>
      <c r="J30" s="257">
        <v>0</v>
      </c>
      <c r="K30" s="257">
        <v>11830</v>
      </c>
      <c r="L30" s="257">
        <v>11830</v>
      </c>
      <c r="M30" s="257">
        <v>6487739</v>
      </c>
      <c r="N30" s="257">
        <v>2168739</v>
      </c>
    </row>
    <row r="31" spans="1:14" s="143" customFormat="1" x14ac:dyDescent="0.25">
      <c r="A31" s="143" t="s">
        <v>70</v>
      </c>
      <c r="B31" s="143" t="s">
        <v>126</v>
      </c>
      <c r="C31" s="143" t="s">
        <v>127</v>
      </c>
      <c r="D31" s="143" t="s">
        <v>69</v>
      </c>
      <c r="E31" s="257">
        <v>7000000</v>
      </c>
      <c r="F31" s="257">
        <v>7000000</v>
      </c>
      <c r="G31" s="257">
        <v>3500000</v>
      </c>
      <c r="H31" s="257">
        <v>0</v>
      </c>
      <c r="I31" s="257">
        <v>1737931</v>
      </c>
      <c r="J31" s="257">
        <v>0</v>
      </c>
      <c r="K31" s="257">
        <v>11830</v>
      </c>
      <c r="L31" s="257">
        <v>11830</v>
      </c>
      <c r="M31" s="257">
        <v>5250239</v>
      </c>
      <c r="N31" s="257">
        <v>1750239</v>
      </c>
    </row>
    <row r="32" spans="1:14" s="143" customFormat="1" x14ac:dyDescent="0.25">
      <c r="A32" s="143" t="s">
        <v>70</v>
      </c>
      <c r="B32" s="143" t="s">
        <v>128</v>
      </c>
      <c r="C32" s="143" t="s">
        <v>129</v>
      </c>
      <c r="D32" s="143" t="s">
        <v>69</v>
      </c>
      <c r="E32" s="257">
        <v>1650000</v>
      </c>
      <c r="F32" s="257">
        <v>1650000</v>
      </c>
      <c r="G32" s="257">
        <v>831000</v>
      </c>
      <c r="H32" s="257">
        <v>0</v>
      </c>
      <c r="I32" s="257">
        <v>412500</v>
      </c>
      <c r="J32" s="257">
        <v>0</v>
      </c>
      <c r="K32" s="257">
        <v>0</v>
      </c>
      <c r="L32" s="257">
        <v>0</v>
      </c>
      <c r="M32" s="257">
        <v>1237500</v>
      </c>
      <c r="N32" s="257">
        <v>418500</v>
      </c>
    </row>
    <row r="33" spans="1:14" s="143" customFormat="1" x14ac:dyDescent="0.25">
      <c r="A33" s="143" t="s">
        <v>70</v>
      </c>
      <c r="B33" s="143" t="s">
        <v>130</v>
      </c>
      <c r="C33" s="143" t="s">
        <v>131</v>
      </c>
      <c r="D33" s="143" t="s">
        <v>69</v>
      </c>
      <c r="E33" s="257">
        <v>50000</v>
      </c>
      <c r="F33" s="257">
        <v>50000</v>
      </c>
      <c r="G33" s="257">
        <v>50000</v>
      </c>
      <c r="H33" s="257">
        <v>0</v>
      </c>
      <c r="I33" s="257">
        <v>50000</v>
      </c>
      <c r="J33" s="257">
        <v>0</v>
      </c>
      <c r="K33" s="257">
        <v>0</v>
      </c>
      <c r="L33" s="257">
        <v>0</v>
      </c>
      <c r="M33" s="257">
        <v>0</v>
      </c>
      <c r="N33" s="257">
        <v>0</v>
      </c>
    </row>
    <row r="34" spans="1:14" s="143" customFormat="1" x14ac:dyDescent="0.25">
      <c r="A34" s="143" t="s">
        <v>70</v>
      </c>
      <c r="B34" s="143" t="s">
        <v>132</v>
      </c>
      <c r="C34" s="143" t="s">
        <v>133</v>
      </c>
      <c r="D34" s="143" t="s">
        <v>69</v>
      </c>
      <c r="E34" s="257">
        <v>0</v>
      </c>
      <c r="F34" s="257">
        <v>0</v>
      </c>
      <c r="G34" s="257">
        <v>0</v>
      </c>
      <c r="H34" s="257">
        <v>0</v>
      </c>
      <c r="I34" s="257">
        <v>0</v>
      </c>
      <c r="J34" s="257">
        <v>0</v>
      </c>
      <c r="K34" s="257">
        <v>0</v>
      </c>
      <c r="L34" s="257">
        <v>0</v>
      </c>
      <c r="M34" s="257">
        <v>0</v>
      </c>
      <c r="N34" s="257">
        <v>0</v>
      </c>
    </row>
    <row r="35" spans="1:14" s="143" customFormat="1" x14ac:dyDescent="0.25">
      <c r="A35" s="143" t="s">
        <v>70</v>
      </c>
      <c r="B35" s="143" t="s">
        <v>134</v>
      </c>
      <c r="C35" s="143" t="s">
        <v>135</v>
      </c>
      <c r="D35" s="143" t="s">
        <v>69</v>
      </c>
      <c r="E35" s="257">
        <v>5851429</v>
      </c>
      <c r="F35" s="257">
        <v>5851429</v>
      </c>
      <c r="G35" s="257">
        <v>3100045</v>
      </c>
      <c r="H35" s="257">
        <v>0</v>
      </c>
      <c r="I35" s="257">
        <v>1378842</v>
      </c>
      <c r="J35" s="257">
        <v>282009</v>
      </c>
      <c r="K35" s="257">
        <v>41235</v>
      </c>
      <c r="L35" s="257">
        <v>41235</v>
      </c>
      <c r="M35" s="257">
        <v>4149343</v>
      </c>
      <c r="N35" s="257">
        <v>1397959</v>
      </c>
    </row>
    <row r="36" spans="1:14" s="143" customFormat="1" x14ac:dyDescent="0.25">
      <c r="A36" s="143" t="s">
        <v>70</v>
      </c>
      <c r="B36" s="143" t="s">
        <v>136</v>
      </c>
      <c r="C36" s="143" t="s">
        <v>137</v>
      </c>
      <c r="D36" s="143" t="s">
        <v>69</v>
      </c>
      <c r="E36" s="257">
        <v>3080000</v>
      </c>
      <c r="F36" s="257">
        <v>3080000</v>
      </c>
      <c r="G36" s="257">
        <v>990000</v>
      </c>
      <c r="H36" s="257">
        <v>0</v>
      </c>
      <c r="I36" s="257">
        <v>0</v>
      </c>
      <c r="J36" s="257">
        <v>0</v>
      </c>
      <c r="K36" s="257">
        <v>0</v>
      </c>
      <c r="L36" s="257">
        <v>0</v>
      </c>
      <c r="M36" s="257">
        <v>3080000</v>
      </c>
      <c r="N36" s="257">
        <v>990000</v>
      </c>
    </row>
    <row r="37" spans="1:14" s="143" customFormat="1" x14ac:dyDescent="0.25">
      <c r="A37" s="143" t="s">
        <v>70</v>
      </c>
      <c r="B37" s="143" t="s">
        <v>138</v>
      </c>
      <c r="C37" s="143" t="s">
        <v>139</v>
      </c>
      <c r="D37" s="143" t="s">
        <v>69</v>
      </c>
      <c r="E37" s="257">
        <v>2771429</v>
      </c>
      <c r="F37" s="257">
        <v>2771429</v>
      </c>
      <c r="G37" s="257">
        <v>2110045</v>
      </c>
      <c r="H37" s="257">
        <v>0</v>
      </c>
      <c r="I37" s="257">
        <v>1378842</v>
      </c>
      <c r="J37" s="257">
        <v>282009</v>
      </c>
      <c r="K37" s="257">
        <v>41235</v>
      </c>
      <c r="L37" s="257">
        <v>41235</v>
      </c>
      <c r="M37" s="257">
        <v>1069343</v>
      </c>
      <c r="N37" s="257">
        <v>407959</v>
      </c>
    </row>
    <row r="38" spans="1:14" s="143" customFormat="1" x14ac:dyDescent="0.25">
      <c r="A38" s="143" t="s">
        <v>70</v>
      </c>
      <c r="B38" s="143" t="s">
        <v>140</v>
      </c>
      <c r="C38" s="143" t="s">
        <v>141</v>
      </c>
      <c r="D38" s="143" t="s">
        <v>69</v>
      </c>
      <c r="E38" s="257">
        <v>17774865</v>
      </c>
      <c r="F38" s="257">
        <v>17774865</v>
      </c>
      <c r="G38" s="257">
        <v>8952504.75</v>
      </c>
      <c r="H38" s="257">
        <v>58450</v>
      </c>
      <c r="I38" s="257">
        <v>2534238</v>
      </c>
      <c r="J38" s="257">
        <v>0</v>
      </c>
      <c r="K38" s="257">
        <v>2052476.48</v>
      </c>
      <c r="L38" s="257">
        <v>2042176.48</v>
      </c>
      <c r="M38" s="257">
        <v>13129700.52</v>
      </c>
      <c r="N38" s="257">
        <v>4307340.2699999996</v>
      </c>
    </row>
    <row r="39" spans="1:14" s="143" customFormat="1" x14ac:dyDescent="0.25">
      <c r="A39" s="143" t="s">
        <v>70</v>
      </c>
      <c r="B39" s="143" t="s">
        <v>142</v>
      </c>
      <c r="C39" s="143" t="s">
        <v>143</v>
      </c>
      <c r="D39" s="143" t="s">
        <v>69</v>
      </c>
      <c r="E39" s="257">
        <v>100000</v>
      </c>
      <c r="F39" s="257">
        <v>100000</v>
      </c>
      <c r="G39" s="257">
        <v>100000</v>
      </c>
      <c r="H39" s="257">
        <v>0</v>
      </c>
      <c r="I39" s="257">
        <v>0</v>
      </c>
      <c r="J39" s="257">
        <v>0</v>
      </c>
      <c r="K39" s="257">
        <v>0</v>
      </c>
      <c r="L39" s="257">
        <v>0</v>
      </c>
      <c r="M39" s="257">
        <v>100000</v>
      </c>
      <c r="N39" s="257">
        <v>100000</v>
      </c>
    </row>
    <row r="40" spans="1:14" s="143" customFormat="1" x14ac:dyDescent="0.25">
      <c r="A40" s="143" t="s">
        <v>70</v>
      </c>
      <c r="B40" s="143" t="s">
        <v>144</v>
      </c>
      <c r="C40" s="143" t="s">
        <v>145</v>
      </c>
      <c r="D40" s="143" t="s">
        <v>69</v>
      </c>
      <c r="E40" s="257">
        <v>6685715</v>
      </c>
      <c r="F40" s="257">
        <v>6685715</v>
      </c>
      <c r="G40" s="257">
        <v>4200000</v>
      </c>
      <c r="H40" s="257">
        <v>58450</v>
      </c>
      <c r="I40" s="257">
        <v>1281750</v>
      </c>
      <c r="J40" s="257">
        <v>0</v>
      </c>
      <c r="K40" s="257">
        <v>1139900</v>
      </c>
      <c r="L40" s="257">
        <v>1129600</v>
      </c>
      <c r="M40" s="257">
        <v>4205615</v>
      </c>
      <c r="N40" s="257">
        <v>1719900</v>
      </c>
    </row>
    <row r="41" spans="1:14" s="143" customFormat="1" x14ac:dyDescent="0.25">
      <c r="A41" s="143" t="s">
        <v>70</v>
      </c>
      <c r="B41" s="143" t="s">
        <v>146</v>
      </c>
      <c r="C41" s="143" t="s">
        <v>147</v>
      </c>
      <c r="D41" s="143" t="s">
        <v>69</v>
      </c>
      <c r="E41" s="257">
        <v>5170968</v>
      </c>
      <c r="F41" s="257">
        <v>5170968</v>
      </c>
      <c r="G41" s="257">
        <v>1900000</v>
      </c>
      <c r="H41" s="257">
        <v>0</v>
      </c>
      <c r="I41" s="257">
        <v>252488</v>
      </c>
      <c r="J41" s="257">
        <v>0</v>
      </c>
      <c r="K41" s="257">
        <v>912576.48</v>
      </c>
      <c r="L41" s="257">
        <v>912576.48</v>
      </c>
      <c r="M41" s="257">
        <v>4005903.52</v>
      </c>
      <c r="N41" s="257">
        <v>734935.52</v>
      </c>
    </row>
    <row r="42" spans="1:14" s="143" customFormat="1" x14ac:dyDescent="0.25">
      <c r="A42" s="143" t="s">
        <v>70</v>
      </c>
      <c r="B42" s="143" t="s">
        <v>148</v>
      </c>
      <c r="C42" s="143" t="s">
        <v>149</v>
      </c>
      <c r="D42" s="143" t="s">
        <v>69</v>
      </c>
      <c r="E42" s="257">
        <v>5818182</v>
      </c>
      <c r="F42" s="257">
        <v>5818182</v>
      </c>
      <c r="G42" s="257">
        <v>2752504.75</v>
      </c>
      <c r="H42" s="257">
        <v>0</v>
      </c>
      <c r="I42" s="257">
        <v>1000000</v>
      </c>
      <c r="J42" s="257">
        <v>0</v>
      </c>
      <c r="K42" s="257">
        <v>0</v>
      </c>
      <c r="L42" s="257">
        <v>0</v>
      </c>
      <c r="M42" s="257">
        <v>4818182</v>
      </c>
      <c r="N42" s="257">
        <v>1752504.75</v>
      </c>
    </row>
    <row r="43" spans="1:14" s="143" customFormat="1" x14ac:dyDescent="0.25">
      <c r="A43" s="143" t="s">
        <v>70</v>
      </c>
      <c r="B43" s="143" t="s">
        <v>150</v>
      </c>
      <c r="C43" s="143" t="s">
        <v>151</v>
      </c>
      <c r="D43" s="143" t="s">
        <v>69</v>
      </c>
      <c r="E43" s="257">
        <v>32290000</v>
      </c>
      <c r="F43" s="257">
        <v>32290000</v>
      </c>
      <c r="G43" s="257">
        <v>3683014.22</v>
      </c>
      <c r="H43" s="257">
        <v>0</v>
      </c>
      <c r="I43" s="257">
        <v>612040</v>
      </c>
      <c r="J43" s="257">
        <v>0</v>
      </c>
      <c r="K43" s="257">
        <v>2990873</v>
      </c>
      <c r="L43" s="257">
        <v>2990873</v>
      </c>
      <c r="M43" s="257">
        <v>28687087</v>
      </c>
      <c r="N43" s="257">
        <v>80101.22</v>
      </c>
    </row>
    <row r="44" spans="1:14" s="143" customFormat="1" x14ac:dyDescent="0.25">
      <c r="A44" s="143" t="s">
        <v>70</v>
      </c>
      <c r="B44" s="143" t="s">
        <v>152</v>
      </c>
      <c r="C44" s="143" t="s">
        <v>153</v>
      </c>
      <c r="D44" s="143" t="s">
        <v>69</v>
      </c>
      <c r="E44" s="257">
        <v>32290000</v>
      </c>
      <c r="F44" s="257">
        <v>32290000</v>
      </c>
      <c r="G44" s="257">
        <v>3683014.22</v>
      </c>
      <c r="H44" s="257">
        <v>0</v>
      </c>
      <c r="I44" s="257">
        <v>612040</v>
      </c>
      <c r="J44" s="257">
        <v>0</v>
      </c>
      <c r="K44" s="257">
        <v>2990873</v>
      </c>
      <c r="L44" s="257">
        <v>2990873</v>
      </c>
      <c r="M44" s="257">
        <v>28687087</v>
      </c>
      <c r="N44" s="257">
        <v>80101.22</v>
      </c>
    </row>
    <row r="45" spans="1:14" s="143" customFormat="1" x14ac:dyDescent="0.25">
      <c r="A45" s="143" t="s">
        <v>70</v>
      </c>
      <c r="B45" s="143" t="s">
        <v>154</v>
      </c>
      <c r="C45" s="143" t="s">
        <v>155</v>
      </c>
      <c r="D45" s="143" t="s">
        <v>69</v>
      </c>
      <c r="E45" s="257">
        <v>2150000</v>
      </c>
      <c r="F45" s="257">
        <v>1581135</v>
      </c>
      <c r="G45" s="257">
        <v>600000</v>
      </c>
      <c r="H45" s="257">
        <v>0</v>
      </c>
      <c r="I45" s="257">
        <v>500000</v>
      </c>
      <c r="J45" s="257">
        <v>0</v>
      </c>
      <c r="K45" s="257">
        <v>0</v>
      </c>
      <c r="L45" s="257">
        <v>0</v>
      </c>
      <c r="M45" s="257">
        <v>1081135</v>
      </c>
      <c r="N45" s="257">
        <v>100000</v>
      </c>
    </row>
    <row r="46" spans="1:14" s="143" customFormat="1" x14ac:dyDescent="0.25">
      <c r="A46" s="143" t="s">
        <v>70</v>
      </c>
      <c r="B46" s="143" t="s">
        <v>156</v>
      </c>
      <c r="C46" s="143" t="s">
        <v>157</v>
      </c>
      <c r="D46" s="143" t="s">
        <v>69</v>
      </c>
      <c r="E46" s="257">
        <v>0</v>
      </c>
      <c r="F46" s="257">
        <v>0</v>
      </c>
      <c r="G46" s="257">
        <v>0</v>
      </c>
      <c r="H46" s="257">
        <v>0</v>
      </c>
      <c r="I46" s="257">
        <v>0</v>
      </c>
      <c r="J46" s="257">
        <v>0</v>
      </c>
      <c r="K46" s="257">
        <v>0</v>
      </c>
      <c r="L46" s="257">
        <v>0</v>
      </c>
      <c r="M46" s="257">
        <v>0</v>
      </c>
      <c r="N46" s="257">
        <v>0</v>
      </c>
    </row>
    <row r="47" spans="1:14" s="143" customFormat="1" x14ac:dyDescent="0.25">
      <c r="A47" s="143" t="s">
        <v>70</v>
      </c>
      <c r="B47" s="143" t="s">
        <v>158</v>
      </c>
      <c r="C47" s="143" t="s">
        <v>159</v>
      </c>
      <c r="D47" s="143" t="s">
        <v>69</v>
      </c>
      <c r="E47" s="257">
        <v>1550000</v>
      </c>
      <c r="F47" s="257">
        <v>981135</v>
      </c>
      <c r="G47" s="257">
        <v>0</v>
      </c>
      <c r="H47" s="257">
        <v>0</v>
      </c>
      <c r="I47" s="257">
        <v>0</v>
      </c>
      <c r="J47" s="257">
        <v>0</v>
      </c>
      <c r="K47" s="257">
        <v>0</v>
      </c>
      <c r="L47" s="257">
        <v>0</v>
      </c>
      <c r="M47" s="257">
        <v>981135</v>
      </c>
      <c r="N47" s="257">
        <v>0</v>
      </c>
    </row>
    <row r="48" spans="1:14" s="143" customFormat="1" x14ac:dyDescent="0.25">
      <c r="A48" s="143" t="s">
        <v>70</v>
      </c>
      <c r="B48" s="143" t="s">
        <v>160</v>
      </c>
      <c r="C48" s="143" t="s">
        <v>161</v>
      </c>
      <c r="D48" s="143" t="s">
        <v>69</v>
      </c>
      <c r="E48" s="257">
        <v>600000</v>
      </c>
      <c r="F48" s="257">
        <v>600000</v>
      </c>
      <c r="G48" s="257">
        <v>600000</v>
      </c>
      <c r="H48" s="257">
        <v>0</v>
      </c>
      <c r="I48" s="257">
        <v>500000</v>
      </c>
      <c r="J48" s="257">
        <v>0</v>
      </c>
      <c r="K48" s="257">
        <v>0</v>
      </c>
      <c r="L48" s="257">
        <v>0</v>
      </c>
      <c r="M48" s="257">
        <v>100000</v>
      </c>
      <c r="N48" s="257">
        <v>100000</v>
      </c>
    </row>
    <row r="49" spans="1:14" s="143" customFormat="1" x14ac:dyDescent="0.25">
      <c r="A49" s="143" t="s">
        <v>70</v>
      </c>
      <c r="B49" s="143" t="s">
        <v>162</v>
      </c>
      <c r="C49" s="143" t="s">
        <v>163</v>
      </c>
      <c r="D49" s="143" t="s">
        <v>69</v>
      </c>
      <c r="E49" s="257">
        <v>17019667</v>
      </c>
      <c r="F49" s="257">
        <v>17019667</v>
      </c>
      <c r="G49" s="257">
        <v>4259200</v>
      </c>
      <c r="H49" s="257">
        <v>0</v>
      </c>
      <c r="I49" s="257">
        <v>3468988.8</v>
      </c>
      <c r="J49" s="257">
        <v>0</v>
      </c>
      <c r="K49" s="257">
        <v>170000</v>
      </c>
      <c r="L49" s="257">
        <v>0</v>
      </c>
      <c r="M49" s="257">
        <v>13380678.199999999</v>
      </c>
      <c r="N49" s="257">
        <v>620211.19999999995</v>
      </c>
    </row>
    <row r="50" spans="1:14" s="143" customFormat="1" x14ac:dyDescent="0.25">
      <c r="A50" s="143" t="s">
        <v>70</v>
      </c>
      <c r="B50" s="143" t="s">
        <v>164</v>
      </c>
      <c r="C50" s="143" t="s">
        <v>165</v>
      </c>
      <c r="D50" s="143" t="s">
        <v>69</v>
      </c>
      <c r="E50" s="257">
        <v>300000</v>
      </c>
      <c r="F50" s="257">
        <v>300000</v>
      </c>
      <c r="G50" s="257">
        <v>0</v>
      </c>
      <c r="H50" s="257">
        <v>0</v>
      </c>
      <c r="I50" s="257">
        <v>0</v>
      </c>
      <c r="J50" s="257">
        <v>0</v>
      </c>
      <c r="K50" s="257">
        <v>0</v>
      </c>
      <c r="L50" s="257">
        <v>0</v>
      </c>
      <c r="M50" s="257">
        <v>300000</v>
      </c>
      <c r="N50" s="257">
        <v>0</v>
      </c>
    </row>
    <row r="51" spans="1:14" s="143" customFormat="1" x14ac:dyDescent="0.25">
      <c r="A51" s="143" t="s">
        <v>70</v>
      </c>
      <c r="B51" s="143" t="s">
        <v>166</v>
      </c>
      <c r="C51" s="143" t="s">
        <v>167</v>
      </c>
      <c r="D51" s="143" t="s">
        <v>69</v>
      </c>
      <c r="E51" s="257">
        <v>9066667</v>
      </c>
      <c r="F51" s="257">
        <v>9066667</v>
      </c>
      <c r="G51" s="257">
        <v>1600000</v>
      </c>
      <c r="H51" s="257">
        <v>0</v>
      </c>
      <c r="I51" s="257">
        <v>1600000</v>
      </c>
      <c r="J51" s="257">
        <v>0</v>
      </c>
      <c r="K51" s="257">
        <v>0</v>
      </c>
      <c r="L51" s="257">
        <v>0</v>
      </c>
      <c r="M51" s="257">
        <v>7466667</v>
      </c>
      <c r="N51" s="257">
        <v>0</v>
      </c>
    </row>
    <row r="52" spans="1:14" s="143" customFormat="1" x14ac:dyDescent="0.25">
      <c r="A52" s="143" t="s">
        <v>70</v>
      </c>
      <c r="B52" s="143" t="s">
        <v>168</v>
      </c>
      <c r="C52" s="143" t="s">
        <v>169</v>
      </c>
      <c r="D52" s="143" t="s">
        <v>69</v>
      </c>
      <c r="E52" s="257">
        <v>2900000</v>
      </c>
      <c r="F52" s="257">
        <v>2900000</v>
      </c>
      <c r="G52" s="257">
        <v>2127200</v>
      </c>
      <c r="H52" s="257">
        <v>0</v>
      </c>
      <c r="I52" s="257">
        <v>1341200</v>
      </c>
      <c r="J52" s="257">
        <v>0</v>
      </c>
      <c r="K52" s="257">
        <v>170000</v>
      </c>
      <c r="L52" s="257">
        <v>0</v>
      </c>
      <c r="M52" s="257">
        <v>1388800</v>
      </c>
      <c r="N52" s="257">
        <v>616000</v>
      </c>
    </row>
    <row r="53" spans="1:14" s="143" customFormat="1" x14ac:dyDescent="0.25">
      <c r="A53" s="143" t="s">
        <v>70</v>
      </c>
      <c r="B53" s="143" t="s">
        <v>170</v>
      </c>
      <c r="C53" s="143" t="s">
        <v>171</v>
      </c>
      <c r="D53" s="143" t="s">
        <v>69</v>
      </c>
      <c r="E53" s="257">
        <v>393000</v>
      </c>
      <c r="F53" s="257">
        <v>393000</v>
      </c>
      <c r="G53" s="257">
        <v>0</v>
      </c>
      <c r="H53" s="257">
        <v>0</v>
      </c>
      <c r="I53" s="257">
        <v>0</v>
      </c>
      <c r="J53" s="257">
        <v>0</v>
      </c>
      <c r="K53" s="257">
        <v>0</v>
      </c>
      <c r="L53" s="257">
        <v>0</v>
      </c>
      <c r="M53" s="257">
        <v>393000</v>
      </c>
      <c r="N53" s="257">
        <v>0</v>
      </c>
    </row>
    <row r="54" spans="1:14" s="143" customFormat="1" x14ac:dyDescent="0.25">
      <c r="A54" s="143" t="s">
        <v>70</v>
      </c>
      <c r="B54" s="143" t="s">
        <v>172</v>
      </c>
      <c r="C54" s="143" t="s">
        <v>173</v>
      </c>
      <c r="D54" s="143" t="s">
        <v>69</v>
      </c>
      <c r="E54" s="257">
        <v>4360000</v>
      </c>
      <c r="F54" s="257">
        <v>4360000</v>
      </c>
      <c r="G54" s="257">
        <v>532000</v>
      </c>
      <c r="H54" s="257">
        <v>0</v>
      </c>
      <c r="I54" s="257">
        <v>527788.80000000005</v>
      </c>
      <c r="J54" s="257">
        <v>0</v>
      </c>
      <c r="K54" s="257">
        <v>0</v>
      </c>
      <c r="L54" s="257">
        <v>0</v>
      </c>
      <c r="M54" s="257">
        <v>3832211.2</v>
      </c>
      <c r="N54" s="257">
        <v>4211.2</v>
      </c>
    </row>
    <row r="55" spans="1:14" s="143" customFormat="1" x14ac:dyDescent="0.25">
      <c r="A55" s="143" t="s">
        <v>70</v>
      </c>
      <c r="B55" s="143" t="s">
        <v>174</v>
      </c>
      <c r="C55" s="143" t="s">
        <v>175</v>
      </c>
      <c r="D55" s="143" t="s">
        <v>69</v>
      </c>
      <c r="E55" s="257">
        <v>681819</v>
      </c>
      <c r="F55" s="257">
        <v>1250684</v>
      </c>
      <c r="G55" s="257">
        <v>568865</v>
      </c>
      <c r="H55" s="257">
        <v>0</v>
      </c>
      <c r="I55" s="257">
        <v>1250684</v>
      </c>
      <c r="J55" s="257">
        <v>0</v>
      </c>
      <c r="K55" s="257">
        <v>0</v>
      </c>
      <c r="L55" s="257">
        <v>0</v>
      </c>
      <c r="M55" s="257">
        <v>0</v>
      </c>
      <c r="N55" s="275">
        <v>-681819</v>
      </c>
    </row>
    <row r="56" spans="1:14" s="143" customFormat="1" x14ac:dyDescent="0.25">
      <c r="A56" s="143" t="s">
        <v>70</v>
      </c>
      <c r="B56" s="143" t="s">
        <v>176</v>
      </c>
      <c r="C56" s="143" t="s">
        <v>177</v>
      </c>
      <c r="D56" s="143" t="s">
        <v>69</v>
      </c>
      <c r="E56" s="257">
        <v>681819</v>
      </c>
      <c r="F56" s="257">
        <v>1250684</v>
      </c>
      <c r="G56" s="257">
        <v>568865</v>
      </c>
      <c r="H56" s="257">
        <v>0</v>
      </c>
      <c r="I56" s="257">
        <v>1250684</v>
      </c>
      <c r="J56" s="257">
        <v>0</v>
      </c>
      <c r="K56" s="257">
        <v>0</v>
      </c>
      <c r="L56" s="257">
        <v>0</v>
      </c>
      <c r="M56" s="257">
        <v>0</v>
      </c>
      <c r="N56" s="275">
        <v>-681819</v>
      </c>
    </row>
    <row r="57" spans="1:14" s="143" customFormat="1" x14ac:dyDescent="0.25">
      <c r="A57" s="143" t="s">
        <v>70</v>
      </c>
      <c r="B57" s="143" t="s">
        <v>178</v>
      </c>
      <c r="C57" s="143" t="s">
        <v>179</v>
      </c>
      <c r="D57" s="143" t="s">
        <v>69</v>
      </c>
      <c r="E57" s="257">
        <v>1000000</v>
      </c>
      <c r="F57" s="257">
        <v>1000000</v>
      </c>
      <c r="G57" s="257">
        <v>0</v>
      </c>
      <c r="H57" s="257">
        <v>0</v>
      </c>
      <c r="I57" s="257">
        <v>800000</v>
      </c>
      <c r="J57" s="257">
        <v>0</v>
      </c>
      <c r="K57" s="257">
        <v>0</v>
      </c>
      <c r="L57" s="257">
        <v>0</v>
      </c>
      <c r="M57" s="257">
        <v>200000</v>
      </c>
      <c r="N57" s="275">
        <v>-800000</v>
      </c>
    </row>
    <row r="58" spans="1:14" s="143" customFormat="1" x14ac:dyDescent="0.25">
      <c r="A58" s="143" t="s">
        <v>70</v>
      </c>
      <c r="B58" s="143" t="s">
        <v>182</v>
      </c>
      <c r="C58" s="143" t="s">
        <v>183</v>
      </c>
      <c r="D58" s="143" t="s">
        <v>69</v>
      </c>
      <c r="E58" s="257">
        <v>1000000</v>
      </c>
      <c r="F58" s="257">
        <v>1000000</v>
      </c>
      <c r="G58" s="257">
        <v>0</v>
      </c>
      <c r="H58" s="257">
        <v>0</v>
      </c>
      <c r="I58" s="257">
        <v>800000</v>
      </c>
      <c r="J58" s="257">
        <v>0</v>
      </c>
      <c r="K58" s="257">
        <v>0</v>
      </c>
      <c r="L58" s="257">
        <v>0</v>
      </c>
      <c r="M58" s="257">
        <v>200000</v>
      </c>
      <c r="N58" s="275">
        <v>-800000</v>
      </c>
    </row>
    <row r="59" spans="1:14" s="143" customFormat="1" x14ac:dyDescent="0.25">
      <c r="A59" s="143" t="s">
        <v>70</v>
      </c>
      <c r="B59" s="143" t="s">
        <v>184</v>
      </c>
      <c r="C59" s="143" t="s">
        <v>185</v>
      </c>
      <c r="D59" s="143" t="s">
        <v>69</v>
      </c>
      <c r="E59" s="257">
        <v>42229000</v>
      </c>
      <c r="F59" s="257">
        <v>42229000</v>
      </c>
      <c r="G59" s="257">
        <v>33534000</v>
      </c>
      <c r="H59" s="257">
        <v>4402296.99</v>
      </c>
      <c r="I59" s="257">
        <v>1938709.24</v>
      </c>
      <c r="J59" s="257">
        <v>836804.85</v>
      </c>
      <c r="K59" s="257">
        <v>2942675.21</v>
      </c>
      <c r="L59" s="257">
        <v>2928715</v>
      </c>
      <c r="M59" s="257">
        <v>32108513.710000001</v>
      </c>
      <c r="N59" s="257">
        <v>23413513.710000001</v>
      </c>
    </row>
    <row r="60" spans="1:14" s="143" customFormat="1" x14ac:dyDescent="0.25">
      <c r="A60" s="143" t="s">
        <v>70</v>
      </c>
      <c r="B60" s="143" t="s">
        <v>186</v>
      </c>
      <c r="C60" s="143" t="s">
        <v>187</v>
      </c>
      <c r="D60" s="143" t="s">
        <v>69</v>
      </c>
      <c r="E60" s="257">
        <v>17137000</v>
      </c>
      <c r="F60" s="257">
        <v>17137000</v>
      </c>
      <c r="G60" s="257">
        <v>8919000</v>
      </c>
      <c r="H60" s="257">
        <v>0</v>
      </c>
      <c r="I60" s="257">
        <v>349267</v>
      </c>
      <c r="J60" s="257">
        <v>0</v>
      </c>
      <c r="K60" s="257">
        <v>1374131</v>
      </c>
      <c r="L60" s="257">
        <v>1374131</v>
      </c>
      <c r="M60" s="257">
        <v>15413602</v>
      </c>
      <c r="N60" s="257">
        <v>7195602</v>
      </c>
    </row>
    <row r="61" spans="1:14" s="143" customFormat="1" x14ac:dyDescent="0.25">
      <c r="A61" s="143" t="s">
        <v>70</v>
      </c>
      <c r="B61" s="143" t="s">
        <v>188</v>
      </c>
      <c r="C61" s="143" t="s">
        <v>189</v>
      </c>
      <c r="D61" s="143" t="s">
        <v>69</v>
      </c>
      <c r="E61" s="257">
        <v>11100000</v>
      </c>
      <c r="F61" s="257">
        <v>11100000</v>
      </c>
      <c r="G61" s="257">
        <v>3800000</v>
      </c>
      <c r="H61" s="257">
        <v>0</v>
      </c>
      <c r="I61" s="257">
        <v>349267</v>
      </c>
      <c r="J61" s="257">
        <v>0</v>
      </c>
      <c r="K61" s="257">
        <v>1326131</v>
      </c>
      <c r="L61" s="257">
        <v>1326131</v>
      </c>
      <c r="M61" s="257">
        <v>9424602</v>
      </c>
      <c r="N61" s="257">
        <v>2124602</v>
      </c>
    </row>
    <row r="62" spans="1:14" s="143" customFormat="1" x14ac:dyDescent="0.25">
      <c r="A62" s="143" t="s">
        <v>70</v>
      </c>
      <c r="B62" s="143" t="s">
        <v>190</v>
      </c>
      <c r="C62" s="143" t="s">
        <v>191</v>
      </c>
      <c r="D62" s="143" t="s">
        <v>69</v>
      </c>
      <c r="E62" s="257">
        <v>5000000</v>
      </c>
      <c r="F62" s="257">
        <v>5000000</v>
      </c>
      <c r="G62" s="257">
        <v>5000000</v>
      </c>
      <c r="H62" s="257">
        <v>0</v>
      </c>
      <c r="I62" s="257">
        <v>0</v>
      </c>
      <c r="J62" s="257">
        <v>0</v>
      </c>
      <c r="K62" s="257">
        <v>0</v>
      </c>
      <c r="L62" s="257">
        <v>0</v>
      </c>
      <c r="M62" s="257">
        <v>5000000</v>
      </c>
      <c r="N62" s="257">
        <v>5000000</v>
      </c>
    </row>
    <row r="63" spans="1:14" s="143" customFormat="1" x14ac:dyDescent="0.25">
      <c r="A63" s="143" t="s">
        <v>70</v>
      </c>
      <c r="B63" s="143" t="s">
        <v>192</v>
      </c>
      <c r="C63" s="143" t="s">
        <v>193</v>
      </c>
      <c r="D63" s="143" t="s">
        <v>69</v>
      </c>
      <c r="E63" s="257">
        <v>126000</v>
      </c>
      <c r="F63" s="257">
        <v>126000</v>
      </c>
      <c r="G63" s="257">
        <v>119000</v>
      </c>
      <c r="H63" s="257">
        <v>0</v>
      </c>
      <c r="I63" s="257">
        <v>0</v>
      </c>
      <c r="J63" s="257">
        <v>0</v>
      </c>
      <c r="K63" s="257">
        <v>48000</v>
      </c>
      <c r="L63" s="257">
        <v>48000</v>
      </c>
      <c r="M63" s="257">
        <v>78000</v>
      </c>
      <c r="N63" s="257">
        <v>71000</v>
      </c>
    </row>
    <row r="64" spans="1:14" s="143" customFormat="1" x14ac:dyDescent="0.25">
      <c r="A64" s="143" t="s">
        <v>70</v>
      </c>
      <c r="B64" s="143" t="s">
        <v>194</v>
      </c>
      <c r="C64" s="143" t="s">
        <v>195</v>
      </c>
      <c r="D64" s="143" t="s">
        <v>69</v>
      </c>
      <c r="E64" s="257">
        <v>911000</v>
      </c>
      <c r="F64" s="257">
        <v>911000</v>
      </c>
      <c r="G64" s="257">
        <v>0</v>
      </c>
      <c r="H64" s="257">
        <v>0</v>
      </c>
      <c r="I64" s="257">
        <v>0</v>
      </c>
      <c r="J64" s="257">
        <v>0</v>
      </c>
      <c r="K64" s="257">
        <v>0</v>
      </c>
      <c r="L64" s="257">
        <v>0</v>
      </c>
      <c r="M64" s="257">
        <v>911000</v>
      </c>
      <c r="N64" s="257">
        <v>0</v>
      </c>
    </row>
    <row r="65" spans="1:14" s="143" customFormat="1" x14ac:dyDescent="0.25">
      <c r="A65" s="143" t="s">
        <v>70</v>
      </c>
      <c r="B65" s="143" t="s">
        <v>196</v>
      </c>
      <c r="C65" s="143" t="s">
        <v>197</v>
      </c>
      <c r="D65" s="143" t="s">
        <v>69</v>
      </c>
      <c r="E65" s="257">
        <v>3000000</v>
      </c>
      <c r="F65" s="257">
        <v>3000000</v>
      </c>
      <c r="G65" s="257">
        <v>3000000</v>
      </c>
      <c r="H65" s="257">
        <v>0</v>
      </c>
      <c r="I65" s="257">
        <v>749918</v>
      </c>
      <c r="J65" s="257">
        <v>0</v>
      </c>
      <c r="K65" s="257">
        <v>0</v>
      </c>
      <c r="L65" s="257">
        <v>0</v>
      </c>
      <c r="M65" s="257">
        <v>2250082</v>
      </c>
      <c r="N65" s="257">
        <v>2250082</v>
      </c>
    </row>
    <row r="66" spans="1:14" s="143" customFormat="1" x14ac:dyDescent="0.25">
      <c r="A66" s="143" t="s">
        <v>70</v>
      </c>
      <c r="B66" s="143" t="s">
        <v>198</v>
      </c>
      <c r="C66" s="143" t="s">
        <v>199</v>
      </c>
      <c r="D66" s="143" t="s">
        <v>69</v>
      </c>
      <c r="E66" s="257">
        <v>3000000</v>
      </c>
      <c r="F66" s="257">
        <v>3000000</v>
      </c>
      <c r="G66" s="257">
        <v>3000000</v>
      </c>
      <c r="H66" s="257">
        <v>0</v>
      </c>
      <c r="I66" s="257">
        <v>749918</v>
      </c>
      <c r="J66" s="257">
        <v>0</v>
      </c>
      <c r="K66" s="257">
        <v>0</v>
      </c>
      <c r="L66" s="257">
        <v>0</v>
      </c>
      <c r="M66" s="257">
        <v>2250082</v>
      </c>
      <c r="N66" s="257">
        <v>2250082</v>
      </c>
    </row>
    <row r="67" spans="1:14" s="143" customFormat="1" x14ac:dyDescent="0.25">
      <c r="A67" s="143" t="s">
        <v>70</v>
      </c>
      <c r="B67" s="143" t="s">
        <v>200</v>
      </c>
      <c r="C67" s="143" t="s">
        <v>201</v>
      </c>
      <c r="D67" s="143" t="s">
        <v>69</v>
      </c>
      <c r="E67" s="257">
        <v>936000</v>
      </c>
      <c r="F67" s="257">
        <v>936000</v>
      </c>
      <c r="G67" s="257">
        <v>771000</v>
      </c>
      <c r="H67" s="257">
        <v>771000</v>
      </c>
      <c r="I67" s="257">
        <v>0</v>
      </c>
      <c r="J67" s="257">
        <v>0</v>
      </c>
      <c r="K67" s="257">
        <v>0</v>
      </c>
      <c r="L67" s="257">
        <v>0</v>
      </c>
      <c r="M67" s="257">
        <v>165000</v>
      </c>
      <c r="N67" s="257">
        <v>0</v>
      </c>
    </row>
    <row r="68" spans="1:14" s="143" customFormat="1" x14ac:dyDescent="0.25">
      <c r="A68" s="143" t="s">
        <v>70</v>
      </c>
      <c r="B68" s="143" t="s">
        <v>202</v>
      </c>
      <c r="C68" s="143" t="s">
        <v>203</v>
      </c>
      <c r="D68" s="143" t="s">
        <v>69</v>
      </c>
      <c r="E68" s="257">
        <v>771000</v>
      </c>
      <c r="F68" s="257">
        <v>771000</v>
      </c>
      <c r="G68" s="257">
        <v>771000</v>
      </c>
      <c r="H68" s="257">
        <v>771000</v>
      </c>
      <c r="I68" s="257">
        <v>0</v>
      </c>
      <c r="J68" s="257">
        <v>0</v>
      </c>
      <c r="K68" s="257">
        <v>0</v>
      </c>
      <c r="L68" s="257">
        <v>0</v>
      </c>
      <c r="M68" s="257">
        <v>0</v>
      </c>
      <c r="N68" s="257">
        <v>0</v>
      </c>
    </row>
    <row r="69" spans="1:14" s="143" customFormat="1" x14ac:dyDescent="0.25">
      <c r="A69" s="143" t="s">
        <v>70</v>
      </c>
      <c r="B69" s="143" t="s">
        <v>204</v>
      </c>
      <c r="C69" s="143" t="s">
        <v>205</v>
      </c>
      <c r="D69" s="143" t="s">
        <v>69</v>
      </c>
      <c r="E69" s="257">
        <v>165000</v>
      </c>
      <c r="F69" s="257">
        <v>165000</v>
      </c>
      <c r="G69" s="257">
        <v>0</v>
      </c>
      <c r="H69" s="257">
        <v>0</v>
      </c>
      <c r="I69" s="257">
        <v>0</v>
      </c>
      <c r="J69" s="257">
        <v>0</v>
      </c>
      <c r="K69" s="257">
        <v>0</v>
      </c>
      <c r="L69" s="257">
        <v>0</v>
      </c>
      <c r="M69" s="257">
        <v>165000</v>
      </c>
      <c r="N69" s="257">
        <v>0</v>
      </c>
    </row>
    <row r="70" spans="1:14" s="143" customFormat="1" x14ac:dyDescent="0.25">
      <c r="A70" s="143" t="s">
        <v>70</v>
      </c>
      <c r="B70" s="143" t="s">
        <v>206</v>
      </c>
      <c r="C70" s="143" t="s">
        <v>207</v>
      </c>
      <c r="D70" s="143" t="s">
        <v>69</v>
      </c>
      <c r="E70" s="257">
        <v>312000</v>
      </c>
      <c r="F70" s="257">
        <v>312000</v>
      </c>
      <c r="G70" s="257">
        <v>0</v>
      </c>
      <c r="H70" s="257">
        <v>0</v>
      </c>
      <c r="I70" s="257">
        <v>0</v>
      </c>
      <c r="J70" s="257">
        <v>0</v>
      </c>
      <c r="K70" s="257">
        <v>0</v>
      </c>
      <c r="L70" s="257">
        <v>0</v>
      </c>
      <c r="M70" s="257">
        <v>312000</v>
      </c>
      <c r="N70" s="257">
        <v>0</v>
      </c>
    </row>
    <row r="71" spans="1:14" s="143" customFormat="1" x14ac:dyDescent="0.25">
      <c r="A71" s="143" t="s">
        <v>70</v>
      </c>
      <c r="B71" s="143" t="s">
        <v>208</v>
      </c>
      <c r="C71" s="143" t="s">
        <v>209</v>
      </c>
      <c r="D71" s="143" t="s">
        <v>69</v>
      </c>
      <c r="E71" s="257">
        <v>206000</v>
      </c>
      <c r="F71" s="257">
        <v>206000</v>
      </c>
      <c r="G71" s="257">
        <v>0</v>
      </c>
      <c r="H71" s="257">
        <v>0</v>
      </c>
      <c r="I71" s="257">
        <v>0</v>
      </c>
      <c r="J71" s="257">
        <v>0</v>
      </c>
      <c r="K71" s="257">
        <v>0</v>
      </c>
      <c r="L71" s="257">
        <v>0</v>
      </c>
      <c r="M71" s="257">
        <v>206000</v>
      </c>
      <c r="N71" s="257">
        <v>0</v>
      </c>
    </row>
    <row r="72" spans="1:14" s="143" customFormat="1" x14ac:dyDescent="0.25">
      <c r="A72" s="143" t="s">
        <v>70</v>
      </c>
      <c r="B72" s="143" t="s">
        <v>210</v>
      </c>
      <c r="C72" s="143" t="s">
        <v>211</v>
      </c>
      <c r="D72" s="143" t="s">
        <v>69</v>
      </c>
      <c r="E72" s="257">
        <v>106000</v>
      </c>
      <c r="F72" s="257">
        <v>106000</v>
      </c>
      <c r="G72" s="257">
        <v>0</v>
      </c>
      <c r="H72" s="257">
        <v>0</v>
      </c>
      <c r="I72" s="257">
        <v>0</v>
      </c>
      <c r="J72" s="257">
        <v>0</v>
      </c>
      <c r="K72" s="257">
        <v>0</v>
      </c>
      <c r="L72" s="257">
        <v>0</v>
      </c>
      <c r="M72" s="257">
        <v>106000</v>
      </c>
      <c r="N72" s="257">
        <v>0</v>
      </c>
    </row>
    <row r="73" spans="1:14" s="143" customFormat="1" x14ac:dyDescent="0.25">
      <c r="A73" s="143" t="s">
        <v>70</v>
      </c>
      <c r="B73" s="143" t="s">
        <v>212</v>
      </c>
      <c r="C73" s="143" t="s">
        <v>213</v>
      </c>
      <c r="D73" s="143" t="s">
        <v>69</v>
      </c>
      <c r="E73" s="257">
        <v>20844000</v>
      </c>
      <c r="F73" s="257">
        <v>20844000</v>
      </c>
      <c r="G73" s="257">
        <v>20844000</v>
      </c>
      <c r="H73" s="257">
        <v>3631296.99</v>
      </c>
      <c r="I73" s="257">
        <v>839524.24</v>
      </c>
      <c r="J73" s="257">
        <v>836804.85</v>
      </c>
      <c r="K73" s="257">
        <v>1568544.21</v>
      </c>
      <c r="L73" s="257">
        <v>1554584</v>
      </c>
      <c r="M73" s="257">
        <v>13967829.710000001</v>
      </c>
      <c r="N73" s="257">
        <v>13967829.710000001</v>
      </c>
    </row>
    <row r="74" spans="1:14" s="143" customFormat="1" x14ac:dyDescent="0.25">
      <c r="A74" s="143" t="s">
        <v>70</v>
      </c>
      <c r="B74" s="143" t="s">
        <v>214</v>
      </c>
      <c r="C74" s="143" t="s">
        <v>215</v>
      </c>
      <c r="D74" s="143" t="s">
        <v>69</v>
      </c>
      <c r="E74" s="257">
        <v>3000000</v>
      </c>
      <c r="F74" s="257">
        <v>3000000</v>
      </c>
      <c r="G74" s="257">
        <v>3000000</v>
      </c>
      <c r="H74" s="257">
        <v>0</v>
      </c>
      <c r="I74" s="257">
        <v>0</v>
      </c>
      <c r="J74" s="257">
        <v>0</v>
      </c>
      <c r="K74" s="257">
        <v>84624</v>
      </c>
      <c r="L74" s="257">
        <v>84624</v>
      </c>
      <c r="M74" s="257">
        <v>2915376</v>
      </c>
      <c r="N74" s="257">
        <v>2915376</v>
      </c>
    </row>
    <row r="75" spans="1:14" s="143" customFormat="1" x14ac:dyDescent="0.25">
      <c r="A75" s="143" t="s">
        <v>70</v>
      </c>
      <c r="B75" s="143" t="s">
        <v>216</v>
      </c>
      <c r="C75" s="143" t="s">
        <v>217</v>
      </c>
      <c r="D75" s="143" t="s">
        <v>69</v>
      </c>
      <c r="E75" s="257">
        <v>271000</v>
      </c>
      <c r="F75" s="257">
        <v>271000</v>
      </c>
      <c r="G75" s="257">
        <v>271000</v>
      </c>
      <c r="H75" s="257">
        <v>157500</v>
      </c>
      <c r="I75" s="257">
        <v>0</v>
      </c>
      <c r="J75" s="257">
        <v>112500</v>
      </c>
      <c r="K75" s="257">
        <v>0</v>
      </c>
      <c r="L75" s="257">
        <v>0</v>
      </c>
      <c r="M75" s="257">
        <v>1000</v>
      </c>
      <c r="N75" s="257">
        <v>1000</v>
      </c>
    </row>
    <row r="76" spans="1:14" s="143" customFormat="1" x14ac:dyDescent="0.25">
      <c r="A76" s="143" t="s">
        <v>70</v>
      </c>
      <c r="B76" s="143" t="s">
        <v>218</v>
      </c>
      <c r="C76" s="143" t="s">
        <v>219</v>
      </c>
      <c r="D76" s="143" t="s">
        <v>69</v>
      </c>
      <c r="E76" s="257">
        <v>12000000</v>
      </c>
      <c r="F76" s="257">
        <v>12000000</v>
      </c>
      <c r="G76" s="257">
        <v>12000000</v>
      </c>
      <c r="H76" s="257">
        <v>0</v>
      </c>
      <c r="I76" s="257">
        <v>839524.24</v>
      </c>
      <c r="J76" s="257">
        <v>615285.35</v>
      </c>
      <c r="K76" s="257">
        <v>1483920.21</v>
      </c>
      <c r="L76" s="257">
        <v>1469960</v>
      </c>
      <c r="M76" s="257">
        <v>9061270.1999999993</v>
      </c>
      <c r="N76" s="257">
        <v>9061270.1999999993</v>
      </c>
    </row>
    <row r="77" spans="1:14" s="143" customFormat="1" x14ac:dyDescent="0.25">
      <c r="A77" s="143" t="s">
        <v>70</v>
      </c>
      <c r="B77" s="143" t="s">
        <v>220</v>
      </c>
      <c r="C77" s="143" t="s">
        <v>221</v>
      </c>
      <c r="D77" s="143" t="s">
        <v>69</v>
      </c>
      <c r="E77" s="257">
        <v>1445000</v>
      </c>
      <c r="F77" s="257">
        <v>1445000</v>
      </c>
      <c r="G77" s="257">
        <v>1445000</v>
      </c>
      <c r="H77" s="257">
        <v>0</v>
      </c>
      <c r="I77" s="257">
        <v>0</v>
      </c>
      <c r="J77" s="257">
        <v>0</v>
      </c>
      <c r="K77" s="257">
        <v>0</v>
      </c>
      <c r="L77" s="257">
        <v>0</v>
      </c>
      <c r="M77" s="257">
        <v>1445000</v>
      </c>
      <c r="N77" s="257">
        <v>1445000</v>
      </c>
    </row>
    <row r="78" spans="1:14" s="143" customFormat="1" x14ac:dyDescent="0.25">
      <c r="A78" s="143" t="s">
        <v>70</v>
      </c>
      <c r="B78" s="143" t="s">
        <v>222</v>
      </c>
      <c r="C78" s="143" t="s">
        <v>223</v>
      </c>
      <c r="D78" s="143" t="s">
        <v>69</v>
      </c>
      <c r="E78" s="257">
        <v>2500000</v>
      </c>
      <c r="F78" s="257">
        <v>2500000</v>
      </c>
      <c r="G78" s="257">
        <v>2500000</v>
      </c>
      <c r="H78" s="257">
        <v>2025796.99</v>
      </c>
      <c r="I78" s="257">
        <v>0</v>
      </c>
      <c r="J78" s="257">
        <v>0</v>
      </c>
      <c r="K78" s="257">
        <v>0</v>
      </c>
      <c r="L78" s="257">
        <v>0</v>
      </c>
      <c r="M78" s="257">
        <v>474203.01</v>
      </c>
      <c r="N78" s="257">
        <v>474203.01</v>
      </c>
    </row>
    <row r="79" spans="1:14" s="143" customFormat="1" x14ac:dyDescent="0.25">
      <c r="A79" s="143" t="s">
        <v>70</v>
      </c>
      <c r="B79" s="143" t="s">
        <v>224</v>
      </c>
      <c r="C79" s="143" t="s">
        <v>225</v>
      </c>
      <c r="D79" s="143" t="s">
        <v>69</v>
      </c>
      <c r="E79" s="257">
        <v>66000</v>
      </c>
      <c r="F79" s="257">
        <v>66000</v>
      </c>
      <c r="G79" s="257">
        <v>66000</v>
      </c>
      <c r="H79" s="257">
        <v>0</v>
      </c>
      <c r="I79" s="257">
        <v>0</v>
      </c>
      <c r="J79" s="257">
        <v>0</v>
      </c>
      <c r="K79" s="257">
        <v>0</v>
      </c>
      <c r="L79" s="257">
        <v>0</v>
      </c>
      <c r="M79" s="257">
        <v>66000</v>
      </c>
      <c r="N79" s="257">
        <v>66000</v>
      </c>
    </row>
    <row r="80" spans="1:14" s="143" customFormat="1" x14ac:dyDescent="0.25">
      <c r="A80" s="143" t="s">
        <v>70</v>
      </c>
      <c r="B80" s="143" t="s">
        <v>226</v>
      </c>
      <c r="C80" s="143" t="s">
        <v>227</v>
      </c>
      <c r="D80" s="143" t="s">
        <v>69</v>
      </c>
      <c r="E80" s="257">
        <v>562000</v>
      </c>
      <c r="F80" s="257">
        <v>562000</v>
      </c>
      <c r="G80" s="257">
        <v>562000</v>
      </c>
      <c r="H80" s="257">
        <v>561000</v>
      </c>
      <c r="I80" s="257">
        <v>0</v>
      </c>
      <c r="J80" s="257">
        <v>0</v>
      </c>
      <c r="K80" s="257">
        <v>0</v>
      </c>
      <c r="L80" s="257">
        <v>0</v>
      </c>
      <c r="M80" s="257">
        <v>1000</v>
      </c>
      <c r="N80" s="257">
        <v>1000</v>
      </c>
    </row>
    <row r="81" spans="1:14" s="143" customFormat="1" x14ac:dyDescent="0.25">
      <c r="A81" s="143" t="s">
        <v>70</v>
      </c>
      <c r="B81" s="143" t="s">
        <v>228</v>
      </c>
      <c r="C81" s="143" t="s">
        <v>229</v>
      </c>
      <c r="D81" s="143" t="s">
        <v>69</v>
      </c>
      <c r="E81" s="257">
        <v>1000000</v>
      </c>
      <c r="F81" s="257">
        <v>1000000</v>
      </c>
      <c r="G81" s="257">
        <v>1000000</v>
      </c>
      <c r="H81" s="257">
        <v>887000</v>
      </c>
      <c r="I81" s="257">
        <v>0</v>
      </c>
      <c r="J81" s="257">
        <v>109019.5</v>
      </c>
      <c r="K81" s="257">
        <v>0</v>
      </c>
      <c r="L81" s="257">
        <v>0</v>
      </c>
      <c r="M81" s="257">
        <v>3980.5</v>
      </c>
      <c r="N81" s="257">
        <v>3980.5</v>
      </c>
    </row>
    <row r="82" spans="1:14" s="143" customFormat="1" x14ac:dyDescent="0.25">
      <c r="A82" s="143" t="s">
        <v>70</v>
      </c>
      <c r="B82" s="143" t="s">
        <v>248</v>
      </c>
      <c r="C82" s="143" t="s">
        <v>249</v>
      </c>
      <c r="D82" s="143" t="s">
        <v>69</v>
      </c>
      <c r="E82" s="257">
        <v>731283000</v>
      </c>
      <c r="F82" s="257">
        <v>731283000</v>
      </c>
      <c r="G82" s="257">
        <v>393612500</v>
      </c>
      <c r="H82" s="257">
        <v>0</v>
      </c>
      <c r="I82" s="257">
        <v>28405728.75</v>
      </c>
      <c r="J82" s="257">
        <v>0</v>
      </c>
      <c r="K82" s="257">
        <v>177184642.25</v>
      </c>
      <c r="L82" s="257">
        <v>177184642.25</v>
      </c>
      <c r="M82" s="257">
        <v>525692629</v>
      </c>
      <c r="N82" s="257">
        <v>188022129</v>
      </c>
    </row>
    <row r="83" spans="1:14" s="143" customFormat="1" x14ac:dyDescent="0.25">
      <c r="A83" s="143" t="s">
        <v>70</v>
      </c>
      <c r="B83" s="143" t="s">
        <v>250</v>
      </c>
      <c r="C83" s="143" t="s">
        <v>251</v>
      </c>
      <c r="D83" s="143" t="s">
        <v>69</v>
      </c>
      <c r="E83" s="257">
        <v>268185000</v>
      </c>
      <c r="F83" s="257">
        <v>268185000</v>
      </c>
      <c r="G83" s="257">
        <v>149339403.30000001</v>
      </c>
      <c r="H83" s="257">
        <v>0</v>
      </c>
      <c r="I83" s="257">
        <v>12096718.01</v>
      </c>
      <c r="J83" s="257">
        <v>0</v>
      </c>
      <c r="K83" s="257">
        <v>74242685.290000007</v>
      </c>
      <c r="L83" s="257">
        <v>74242685.290000007</v>
      </c>
      <c r="M83" s="257">
        <v>181845596.69999999</v>
      </c>
      <c r="N83" s="257">
        <v>63000000</v>
      </c>
    </row>
    <row r="84" spans="1:14" s="143" customFormat="1" x14ac:dyDescent="0.25">
      <c r="A84" s="143" t="s">
        <v>70</v>
      </c>
      <c r="B84" s="143" t="s">
        <v>252</v>
      </c>
      <c r="C84" s="143" t="s">
        <v>253</v>
      </c>
      <c r="D84" s="143" t="s">
        <v>69</v>
      </c>
      <c r="E84" s="257">
        <v>2000000</v>
      </c>
      <c r="F84" s="257">
        <v>2000000</v>
      </c>
      <c r="G84" s="257">
        <v>2000000</v>
      </c>
      <c r="H84" s="257">
        <v>0</v>
      </c>
      <c r="I84" s="257">
        <v>0</v>
      </c>
      <c r="J84" s="257">
        <v>0</v>
      </c>
      <c r="K84" s="257">
        <v>2000000</v>
      </c>
      <c r="L84" s="257">
        <v>2000000</v>
      </c>
      <c r="M84" s="257">
        <v>0</v>
      </c>
      <c r="N84" s="257">
        <v>0</v>
      </c>
    </row>
    <row r="85" spans="1:14" s="143" customFormat="1" x14ac:dyDescent="0.25">
      <c r="A85" s="143" t="s">
        <v>70</v>
      </c>
      <c r="B85" s="143" t="s">
        <v>254</v>
      </c>
      <c r="C85" s="143" t="s">
        <v>255</v>
      </c>
      <c r="D85" s="143" t="s">
        <v>69</v>
      </c>
      <c r="E85" s="257">
        <v>250000000</v>
      </c>
      <c r="F85" s="257">
        <v>250000000</v>
      </c>
      <c r="G85" s="257">
        <v>131154403.3</v>
      </c>
      <c r="H85" s="257">
        <v>0</v>
      </c>
      <c r="I85" s="257">
        <v>16000.01</v>
      </c>
      <c r="J85" s="257">
        <v>0</v>
      </c>
      <c r="K85" s="257">
        <v>68138403.290000007</v>
      </c>
      <c r="L85" s="257">
        <v>68138403.290000007</v>
      </c>
      <c r="M85" s="257">
        <v>181845596.69999999</v>
      </c>
      <c r="N85" s="257">
        <v>63000000</v>
      </c>
    </row>
    <row r="86" spans="1:14" s="143" customFormat="1" x14ac:dyDescent="0.25">
      <c r="A86" s="143" t="s">
        <v>70</v>
      </c>
      <c r="B86" s="143" t="s">
        <v>256</v>
      </c>
      <c r="C86" s="143" t="s">
        <v>257</v>
      </c>
      <c r="D86" s="143" t="s">
        <v>69</v>
      </c>
      <c r="E86" s="257">
        <v>13470000</v>
      </c>
      <c r="F86" s="257">
        <v>13470000</v>
      </c>
      <c r="G86" s="257">
        <v>13470000</v>
      </c>
      <c r="H86" s="257">
        <v>0</v>
      </c>
      <c r="I86" s="257">
        <v>10054356</v>
      </c>
      <c r="J86" s="257">
        <v>0</v>
      </c>
      <c r="K86" s="257">
        <v>3415644</v>
      </c>
      <c r="L86" s="257">
        <v>3415644</v>
      </c>
      <c r="M86" s="257">
        <v>0</v>
      </c>
      <c r="N86" s="257">
        <v>0</v>
      </c>
    </row>
    <row r="87" spans="1:14" s="143" customFormat="1" x14ac:dyDescent="0.25">
      <c r="A87" s="143" t="s">
        <v>70</v>
      </c>
      <c r="B87" s="143" t="s">
        <v>258</v>
      </c>
      <c r="C87" s="143" t="s">
        <v>259</v>
      </c>
      <c r="D87" s="143" t="s">
        <v>69</v>
      </c>
      <c r="E87" s="257">
        <v>2715000</v>
      </c>
      <c r="F87" s="257">
        <v>2715000</v>
      </c>
      <c r="G87" s="257">
        <v>2715000</v>
      </c>
      <c r="H87" s="257">
        <v>0</v>
      </c>
      <c r="I87" s="257">
        <v>2026362</v>
      </c>
      <c r="J87" s="257">
        <v>0</v>
      </c>
      <c r="K87" s="257">
        <v>688638</v>
      </c>
      <c r="L87" s="257">
        <v>688638</v>
      </c>
      <c r="M87" s="257">
        <v>0</v>
      </c>
      <c r="N87" s="257">
        <v>0</v>
      </c>
    </row>
    <row r="88" spans="1:14" s="143" customFormat="1" x14ac:dyDescent="0.25">
      <c r="A88" s="143" t="s">
        <v>70</v>
      </c>
      <c r="B88" s="143" t="s">
        <v>260</v>
      </c>
      <c r="C88" s="143" t="s">
        <v>261</v>
      </c>
      <c r="D88" s="143" t="s">
        <v>69</v>
      </c>
      <c r="E88" s="257">
        <v>39757000</v>
      </c>
      <c r="F88" s="257">
        <v>39757000</v>
      </c>
      <c r="G88" s="257">
        <v>32602596.699999999</v>
      </c>
      <c r="H88" s="257">
        <v>0</v>
      </c>
      <c r="I88" s="257">
        <v>2767291.24</v>
      </c>
      <c r="J88" s="257">
        <v>0</v>
      </c>
      <c r="K88" s="257">
        <v>10648426.460000001</v>
      </c>
      <c r="L88" s="257">
        <v>10648426.460000001</v>
      </c>
      <c r="M88" s="257">
        <v>26341282.300000001</v>
      </c>
      <c r="N88" s="257">
        <v>19186879</v>
      </c>
    </row>
    <row r="89" spans="1:14" s="143" customFormat="1" x14ac:dyDescent="0.25">
      <c r="A89" s="143" t="s">
        <v>70</v>
      </c>
      <c r="B89" s="143" t="s">
        <v>262</v>
      </c>
      <c r="C89" s="143" t="s">
        <v>263</v>
      </c>
      <c r="D89" s="143" t="s">
        <v>69</v>
      </c>
      <c r="E89" s="257">
        <v>30000000</v>
      </c>
      <c r="F89" s="257">
        <v>30000000</v>
      </c>
      <c r="G89" s="257">
        <v>22845596.699999999</v>
      </c>
      <c r="H89" s="257">
        <v>0</v>
      </c>
      <c r="I89" s="257">
        <v>2767291.24</v>
      </c>
      <c r="J89" s="257">
        <v>0</v>
      </c>
      <c r="K89" s="257">
        <v>10078305.460000001</v>
      </c>
      <c r="L89" s="257">
        <v>10078305.460000001</v>
      </c>
      <c r="M89" s="257">
        <v>17154403.300000001</v>
      </c>
      <c r="N89" s="257">
        <v>10000000</v>
      </c>
    </row>
    <row r="90" spans="1:14" s="143" customFormat="1" x14ac:dyDescent="0.25">
      <c r="A90" s="143" t="s">
        <v>70</v>
      </c>
      <c r="B90" s="143" t="s">
        <v>264</v>
      </c>
      <c r="C90" s="143" t="s">
        <v>265</v>
      </c>
      <c r="D90" s="143" t="s">
        <v>69</v>
      </c>
      <c r="E90" s="257">
        <v>9757000</v>
      </c>
      <c r="F90" s="257">
        <v>9757000</v>
      </c>
      <c r="G90" s="257">
        <v>9757000</v>
      </c>
      <c r="H90" s="257">
        <v>0</v>
      </c>
      <c r="I90" s="257">
        <v>0</v>
      </c>
      <c r="J90" s="257">
        <v>0</v>
      </c>
      <c r="K90" s="257">
        <v>570121</v>
      </c>
      <c r="L90" s="257">
        <v>570121</v>
      </c>
      <c r="M90" s="257">
        <v>9186879</v>
      </c>
      <c r="N90" s="257">
        <v>9186879</v>
      </c>
    </row>
    <row r="91" spans="1:14" s="143" customFormat="1" x14ac:dyDescent="0.25">
      <c r="A91" s="143" t="s">
        <v>70</v>
      </c>
      <c r="B91" s="143" t="s">
        <v>266</v>
      </c>
      <c r="C91" s="143" t="s">
        <v>267</v>
      </c>
      <c r="D91" s="143" t="s">
        <v>69</v>
      </c>
      <c r="E91" s="257">
        <v>423341000</v>
      </c>
      <c r="F91" s="257">
        <v>423341000</v>
      </c>
      <c r="G91" s="257">
        <v>211670500</v>
      </c>
      <c r="H91" s="257">
        <v>0</v>
      </c>
      <c r="I91" s="257">
        <v>13541719.5</v>
      </c>
      <c r="J91" s="257">
        <v>0</v>
      </c>
      <c r="K91" s="257">
        <v>92293530.5</v>
      </c>
      <c r="L91" s="257">
        <v>92293530.5</v>
      </c>
      <c r="M91" s="257">
        <v>317505750</v>
      </c>
      <c r="N91" s="257">
        <v>105835250</v>
      </c>
    </row>
    <row r="92" spans="1:14" s="143" customFormat="1" x14ac:dyDescent="0.25">
      <c r="A92" s="143" t="s">
        <v>70</v>
      </c>
      <c r="B92" s="143" t="s">
        <v>268</v>
      </c>
      <c r="C92" s="143" t="s">
        <v>269</v>
      </c>
      <c r="D92" s="143" t="s">
        <v>69</v>
      </c>
      <c r="E92" s="257">
        <v>406300000</v>
      </c>
      <c r="F92" s="257">
        <v>406300000</v>
      </c>
      <c r="G92" s="257">
        <v>194629500</v>
      </c>
      <c r="H92" s="257">
        <v>0</v>
      </c>
      <c r="I92" s="257">
        <v>0</v>
      </c>
      <c r="J92" s="257">
        <v>0</v>
      </c>
      <c r="K92" s="257">
        <v>88794250</v>
      </c>
      <c r="L92" s="257">
        <v>88794250</v>
      </c>
      <c r="M92" s="257">
        <v>317505750</v>
      </c>
      <c r="N92" s="257">
        <v>105835250</v>
      </c>
    </row>
    <row r="93" spans="1:14" s="143" customFormat="1" x14ac:dyDescent="0.25">
      <c r="A93" s="143" t="s">
        <v>70</v>
      </c>
      <c r="B93" s="143" t="s">
        <v>270</v>
      </c>
      <c r="C93" s="143" t="s">
        <v>271</v>
      </c>
      <c r="D93" s="143" t="s">
        <v>69</v>
      </c>
      <c r="E93" s="257">
        <v>13364000</v>
      </c>
      <c r="F93" s="257">
        <v>13364000</v>
      </c>
      <c r="G93" s="257">
        <v>13364000</v>
      </c>
      <c r="H93" s="257">
        <v>0</v>
      </c>
      <c r="I93" s="257">
        <v>13364000</v>
      </c>
      <c r="J93" s="257">
        <v>0</v>
      </c>
      <c r="K93" s="257">
        <v>0</v>
      </c>
      <c r="L93" s="257">
        <v>0</v>
      </c>
      <c r="M93" s="257">
        <v>0</v>
      </c>
      <c r="N93" s="257">
        <v>0</v>
      </c>
    </row>
    <row r="94" spans="1:14" s="143" customFormat="1" x14ac:dyDescent="0.25">
      <c r="A94" s="143" t="s">
        <v>70</v>
      </c>
      <c r="B94" s="143" t="s">
        <v>272</v>
      </c>
      <c r="C94" s="143" t="s">
        <v>273</v>
      </c>
      <c r="D94" s="143" t="s">
        <v>69</v>
      </c>
      <c r="E94" s="257">
        <v>3677000</v>
      </c>
      <c r="F94" s="257">
        <v>3677000</v>
      </c>
      <c r="G94" s="257">
        <v>3677000</v>
      </c>
      <c r="H94" s="257">
        <v>0</v>
      </c>
      <c r="I94" s="257">
        <v>177719.5</v>
      </c>
      <c r="J94" s="257">
        <v>0</v>
      </c>
      <c r="K94" s="257">
        <v>3499280.5</v>
      </c>
      <c r="L94" s="257">
        <v>3499280.5</v>
      </c>
      <c r="M94" s="257">
        <v>0</v>
      </c>
      <c r="N94" s="257">
        <v>0</v>
      </c>
    </row>
    <row r="95" spans="1:14" s="143" customFormat="1" x14ac:dyDescent="0.25">
      <c r="A95" s="143" t="s">
        <v>70</v>
      </c>
      <c r="B95" s="143" t="s">
        <v>230</v>
      </c>
      <c r="C95" s="143" t="s">
        <v>231</v>
      </c>
      <c r="D95" s="143" t="s">
        <v>85</v>
      </c>
      <c r="E95" s="257">
        <v>17098648</v>
      </c>
      <c r="F95" s="257">
        <v>17098648</v>
      </c>
      <c r="G95" s="257">
        <v>8549324</v>
      </c>
      <c r="H95" s="257">
        <v>0</v>
      </c>
      <c r="I95" s="257">
        <v>0</v>
      </c>
      <c r="J95" s="257">
        <v>0</v>
      </c>
      <c r="K95" s="257">
        <v>0</v>
      </c>
      <c r="L95" s="257">
        <v>0</v>
      </c>
      <c r="M95" s="257">
        <v>17098648</v>
      </c>
      <c r="N95" s="257">
        <v>8549324</v>
      </c>
    </row>
    <row r="96" spans="1:14" s="143" customFormat="1" x14ac:dyDescent="0.25">
      <c r="A96" s="143" t="s">
        <v>70</v>
      </c>
      <c r="B96" s="143" t="s">
        <v>232</v>
      </c>
      <c r="C96" s="143" t="s">
        <v>233</v>
      </c>
      <c r="D96" s="143" t="s">
        <v>85</v>
      </c>
      <c r="E96" s="257">
        <v>16598648</v>
      </c>
      <c r="F96" s="257">
        <v>16598648</v>
      </c>
      <c r="G96" s="257">
        <v>8049324</v>
      </c>
      <c r="H96" s="257">
        <v>0</v>
      </c>
      <c r="I96" s="257">
        <v>0</v>
      </c>
      <c r="J96" s="257">
        <v>0</v>
      </c>
      <c r="K96" s="257">
        <v>0</v>
      </c>
      <c r="L96" s="257">
        <v>0</v>
      </c>
      <c r="M96" s="257">
        <v>16598648</v>
      </c>
      <c r="N96" s="257">
        <v>8049324</v>
      </c>
    </row>
    <row r="97" spans="1:14" s="143" customFormat="1" x14ac:dyDescent="0.25">
      <c r="A97" s="143" t="s">
        <v>70</v>
      </c>
      <c r="B97" s="143" t="s">
        <v>234</v>
      </c>
      <c r="C97" s="143" t="s">
        <v>235</v>
      </c>
      <c r="D97" s="143" t="s">
        <v>85</v>
      </c>
      <c r="E97" s="257">
        <v>3000000</v>
      </c>
      <c r="F97" s="257">
        <v>3000000</v>
      </c>
      <c r="G97" s="257">
        <v>788324</v>
      </c>
      <c r="H97" s="257">
        <v>0</v>
      </c>
      <c r="I97" s="257">
        <v>0</v>
      </c>
      <c r="J97" s="257">
        <v>0</v>
      </c>
      <c r="K97" s="257">
        <v>0</v>
      </c>
      <c r="L97" s="257">
        <v>0</v>
      </c>
      <c r="M97" s="257">
        <v>3000000</v>
      </c>
      <c r="N97" s="257">
        <v>788324</v>
      </c>
    </row>
    <row r="98" spans="1:14" s="143" customFormat="1" x14ac:dyDescent="0.25">
      <c r="A98" s="143" t="s">
        <v>70</v>
      </c>
      <c r="B98" s="143" t="s">
        <v>236</v>
      </c>
      <c r="C98" s="143" t="s">
        <v>237</v>
      </c>
      <c r="D98" s="143" t="s">
        <v>85</v>
      </c>
      <c r="E98" s="257">
        <v>4000000</v>
      </c>
      <c r="F98" s="257">
        <v>4000000</v>
      </c>
      <c r="G98" s="257">
        <v>2000000</v>
      </c>
      <c r="H98" s="257">
        <v>0</v>
      </c>
      <c r="I98" s="257">
        <v>0</v>
      </c>
      <c r="J98" s="257">
        <v>0</v>
      </c>
      <c r="K98" s="257">
        <v>0</v>
      </c>
      <c r="L98" s="257">
        <v>0</v>
      </c>
      <c r="M98" s="257">
        <v>4000000</v>
      </c>
      <c r="N98" s="257">
        <v>2000000</v>
      </c>
    </row>
    <row r="99" spans="1:14" s="143" customFormat="1" x14ac:dyDescent="0.25">
      <c r="A99" s="143" t="s">
        <v>70</v>
      </c>
      <c r="B99" s="143" t="s">
        <v>238</v>
      </c>
      <c r="C99" s="143" t="s">
        <v>239</v>
      </c>
      <c r="D99" s="143" t="s">
        <v>85</v>
      </c>
      <c r="E99" s="257">
        <v>6337648</v>
      </c>
      <c r="F99" s="257">
        <v>6337648</v>
      </c>
      <c r="G99" s="257">
        <v>2000000</v>
      </c>
      <c r="H99" s="257">
        <v>0</v>
      </c>
      <c r="I99" s="257">
        <v>0</v>
      </c>
      <c r="J99" s="257">
        <v>0</v>
      </c>
      <c r="K99" s="257">
        <v>0</v>
      </c>
      <c r="L99" s="257">
        <v>0</v>
      </c>
      <c r="M99" s="257">
        <v>6337648</v>
      </c>
      <c r="N99" s="257">
        <v>2000000</v>
      </c>
    </row>
    <row r="100" spans="1:14" s="143" customFormat="1" x14ac:dyDescent="0.25">
      <c r="A100" s="143" t="s">
        <v>70</v>
      </c>
      <c r="B100" s="143" t="s">
        <v>240</v>
      </c>
      <c r="C100" s="143" t="s">
        <v>241</v>
      </c>
      <c r="D100" s="143" t="s">
        <v>85</v>
      </c>
      <c r="E100" s="257">
        <v>2261000</v>
      </c>
      <c r="F100" s="257">
        <v>2261000</v>
      </c>
      <c r="G100" s="257">
        <v>2261000</v>
      </c>
      <c r="H100" s="257">
        <v>0</v>
      </c>
      <c r="I100" s="257">
        <v>0</v>
      </c>
      <c r="J100" s="257">
        <v>0</v>
      </c>
      <c r="K100" s="257">
        <v>0</v>
      </c>
      <c r="L100" s="257">
        <v>0</v>
      </c>
      <c r="M100" s="257">
        <v>2261000</v>
      </c>
      <c r="N100" s="257">
        <v>2261000</v>
      </c>
    </row>
    <row r="101" spans="1:14" s="143" customFormat="1" x14ac:dyDescent="0.25">
      <c r="A101" s="143" t="s">
        <v>70</v>
      </c>
      <c r="B101" s="143" t="s">
        <v>242</v>
      </c>
      <c r="C101" s="143" t="s">
        <v>243</v>
      </c>
      <c r="D101" s="143" t="s">
        <v>85</v>
      </c>
      <c r="E101" s="257">
        <v>1000000</v>
      </c>
      <c r="F101" s="257">
        <v>1000000</v>
      </c>
      <c r="G101" s="257">
        <v>1000000</v>
      </c>
      <c r="H101" s="257">
        <v>0</v>
      </c>
      <c r="I101" s="257">
        <v>0</v>
      </c>
      <c r="J101" s="257">
        <v>0</v>
      </c>
      <c r="K101" s="257">
        <v>0</v>
      </c>
      <c r="L101" s="257">
        <v>0</v>
      </c>
      <c r="M101" s="257">
        <v>1000000</v>
      </c>
      <c r="N101" s="257">
        <v>1000000</v>
      </c>
    </row>
    <row r="102" spans="1:14" s="143" customFormat="1" x14ac:dyDescent="0.25">
      <c r="A102" s="143" t="s">
        <v>70</v>
      </c>
      <c r="B102" s="143" t="s">
        <v>244</v>
      </c>
      <c r="C102" s="143" t="s">
        <v>245</v>
      </c>
      <c r="D102" s="143" t="s">
        <v>85</v>
      </c>
      <c r="E102" s="257">
        <v>500000</v>
      </c>
      <c r="F102" s="257">
        <v>500000</v>
      </c>
      <c r="G102" s="257">
        <v>500000</v>
      </c>
      <c r="H102" s="257">
        <v>0</v>
      </c>
      <c r="I102" s="257">
        <v>0</v>
      </c>
      <c r="J102" s="257">
        <v>0</v>
      </c>
      <c r="K102" s="257">
        <v>0</v>
      </c>
      <c r="L102" s="257">
        <v>0</v>
      </c>
      <c r="M102" s="257">
        <v>500000</v>
      </c>
      <c r="N102" s="257">
        <v>500000</v>
      </c>
    </row>
    <row r="103" spans="1:14" s="143" customFormat="1" x14ac:dyDescent="0.25">
      <c r="A103" s="143" t="s">
        <v>70</v>
      </c>
      <c r="B103" s="143" t="s">
        <v>246</v>
      </c>
      <c r="C103" s="143" t="s">
        <v>247</v>
      </c>
      <c r="D103" s="143" t="s">
        <v>85</v>
      </c>
      <c r="E103" s="257">
        <v>500000</v>
      </c>
      <c r="F103" s="257">
        <v>500000</v>
      </c>
      <c r="G103" s="257">
        <v>500000</v>
      </c>
      <c r="H103" s="257">
        <v>0</v>
      </c>
      <c r="I103" s="257">
        <v>0</v>
      </c>
      <c r="J103" s="257">
        <v>0</v>
      </c>
      <c r="K103" s="257">
        <v>0</v>
      </c>
      <c r="L103" s="257">
        <v>0</v>
      </c>
      <c r="M103" s="257">
        <v>500000</v>
      </c>
      <c r="N103" s="257">
        <v>500000</v>
      </c>
    </row>
    <row r="104" spans="1:14" s="143" customFormat="1" x14ac:dyDescent="0.25">
      <c r="A104" s="143">
        <v>214780</v>
      </c>
      <c r="D104" s="143" t="s">
        <v>69</v>
      </c>
      <c r="E104" s="257">
        <v>1241247489</v>
      </c>
      <c r="F104" s="257">
        <v>1241247489</v>
      </c>
      <c r="G104" s="257">
        <v>1100258743.8499999</v>
      </c>
      <c r="H104" s="257">
        <v>4602506.4800000004</v>
      </c>
      <c r="I104" s="257">
        <v>145114851.06999999</v>
      </c>
      <c r="J104" s="257">
        <v>760238.3</v>
      </c>
      <c r="K104" s="279">
        <v>251047689.12</v>
      </c>
      <c r="L104" s="257">
        <v>247906157.78999999</v>
      </c>
      <c r="M104" s="257">
        <v>839722204.02999997</v>
      </c>
      <c r="N104" s="257">
        <v>698733458.88</v>
      </c>
    </row>
    <row r="105" spans="1:14" s="143" customFormat="1" x14ac:dyDescent="0.25">
      <c r="A105" s="143" t="s">
        <v>274</v>
      </c>
      <c r="B105" s="143" t="s">
        <v>71</v>
      </c>
      <c r="C105" s="143" t="s">
        <v>72</v>
      </c>
      <c r="D105" s="143" t="s">
        <v>69</v>
      </c>
      <c r="E105" s="257">
        <v>953910000</v>
      </c>
      <c r="F105" s="257">
        <v>953910000</v>
      </c>
      <c r="G105" s="257">
        <v>953560000</v>
      </c>
      <c r="H105" s="257">
        <v>0</v>
      </c>
      <c r="I105" s="257">
        <v>107828529</v>
      </c>
      <c r="J105" s="257">
        <v>0</v>
      </c>
      <c r="K105" s="257">
        <v>221643932.38</v>
      </c>
      <c r="L105" s="257">
        <v>221643932.38</v>
      </c>
      <c r="M105" s="257">
        <v>624437538.62</v>
      </c>
      <c r="N105" s="257">
        <v>624087538.62</v>
      </c>
    </row>
    <row r="106" spans="1:14" s="143" customFormat="1" x14ac:dyDescent="0.25">
      <c r="A106" s="143" t="s">
        <v>274</v>
      </c>
      <c r="B106" s="143" t="s">
        <v>73</v>
      </c>
      <c r="C106" s="143" t="s">
        <v>74</v>
      </c>
      <c r="D106" s="143" t="s">
        <v>69</v>
      </c>
      <c r="E106" s="257">
        <v>383841000</v>
      </c>
      <c r="F106" s="257">
        <v>383841000</v>
      </c>
      <c r="G106" s="257">
        <v>383841000</v>
      </c>
      <c r="H106" s="257">
        <v>0</v>
      </c>
      <c r="I106" s="257">
        <v>0</v>
      </c>
      <c r="J106" s="257">
        <v>0</v>
      </c>
      <c r="K106" s="257">
        <v>79160661.980000004</v>
      </c>
      <c r="L106" s="257">
        <v>79160661.980000004</v>
      </c>
      <c r="M106" s="257">
        <v>304680338.01999998</v>
      </c>
      <c r="N106" s="257">
        <v>304680338.01999998</v>
      </c>
    </row>
    <row r="107" spans="1:14" s="143" customFormat="1" x14ac:dyDescent="0.25">
      <c r="A107" s="143" t="s">
        <v>274</v>
      </c>
      <c r="B107" s="143" t="s">
        <v>75</v>
      </c>
      <c r="C107" s="143" t="s">
        <v>76</v>
      </c>
      <c r="D107" s="143" t="s">
        <v>69</v>
      </c>
      <c r="E107" s="257">
        <v>383841000</v>
      </c>
      <c r="F107" s="257">
        <v>383841000</v>
      </c>
      <c r="G107" s="257">
        <v>383841000</v>
      </c>
      <c r="H107" s="257">
        <v>0</v>
      </c>
      <c r="I107" s="257">
        <v>0</v>
      </c>
      <c r="J107" s="257">
        <v>0</v>
      </c>
      <c r="K107" s="257">
        <v>79160661.980000004</v>
      </c>
      <c r="L107" s="257">
        <v>79160661.980000004</v>
      </c>
      <c r="M107" s="257">
        <v>304680338.01999998</v>
      </c>
      <c r="N107" s="257">
        <v>304680338.01999998</v>
      </c>
    </row>
    <row r="108" spans="1:14" s="143" customFormat="1" x14ac:dyDescent="0.25">
      <c r="A108" s="143" t="s">
        <v>274</v>
      </c>
      <c r="B108" s="143" t="s">
        <v>77</v>
      </c>
      <c r="C108" s="143" t="s">
        <v>78</v>
      </c>
      <c r="D108" s="143" t="s">
        <v>69</v>
      </c>
      <c r="E108" s="257">
        <v>425514000</v>
      </c>
      <c r="F108" s="257">
        <v>425514000</v>
      </c>
      <c r="G108" s="257">
        <v>425164000</v>
      </c>
      <c r="H108" s="257">
        <v>0</v>
      </c>
      <c r="I108" s="257">
        <v>0</v>
      </c>
      <c r="J108" s="257">
        <v>0</v>
      </c>
      <c r="K108" s="257">
        <v>105756799.40000001</v>
      </c>
      <c r="L108" s="257">
        <v>105756799.40000001</v>
      </c>
      <c r="M108" s="257">
        <v>319757200.60000002</v>
      </c>
      <c r="N108" s="257">
        <v>319407200.60000002</v>
      </c>
    </row>
    <row r="109" spans="1:14" s="143" customFormat="1" x14ac:dyDescent="0.25">
      <c r="A109" s="143" t="s">
        <v>274</v>
      </c>
      <c r="B109" s="143" t="s">
        <v>79</v>
      </c>
      <c r="C109" s="143" t="s">
        <v>80</v>
      </c>
      <c r="D109" s="143" t="s">
        <v>69</v>
      </c>
      <c r="E109" s="257">
        <v>70660000</v>
      </c>
      <c r="F109" s="257">
        <v>70660000</v>
      </c>
      <c r="G109" s="257">
        <v>70660000</v>
      </c>
      <c r="H109" s="257">
        <v>0</v>
      </c>
      <c r="I109" s="257">
        <v>0</v>
      </c>
      <c r="J109" s="257">
        <v>0</v>
      </c>
      <c r="K109" s="257">
        <v>13934180.859999999</v>
      </c>
      <c r="L109" s="257">
        <v>13934180.859999999</v>
      </c>
      <c r="M109" s="257">
        <v>56725819.140000001</v>
      </c>
      <c r="N109" s="257">
        <v>56725819.140000001</v>
      </c>
    </row>
    <row r="110" spans="1:14" s="143" customFormat="1" x14ac:dyDescent="0.25">
      <c r="A110" s="143" t="s">
        <v>274</v>
      </c>
      <c r="B110" s="143" t="s">
        <v>81</v>
      </c>
      <c r="C110" s="143" t="s">
        <v>82</v>
      </c>
      <c r="D110" s="143" t="s">
        <v>69</v>
      </c>
      <c r="E110" s="257">
        <v>211191000</v>
      </c>
      <c r="F110" s="257">
        <v>211191000</v>
      </c>
      <c r="G110" s="257">
        <v>211191000</v>
      </c>
      <c r="H110" s="257">
        <v>0</v>
      </c>
      <c r="I110" s="257">
        <v>0</v>
      </c>
      <c r="J110" s="257">
        <v>0</v>
      </c>
      <c r="K110" s="257">
        <v>39778753.210000001</v>
      </c>
      <c r="L110" s="257">
        <v>39778753.210000001</v>
      </c>
      <c r="M110" s="257">
        <v>171412246.78999999</v>
      </c>
      <c r="N110" s="257">
        <v>171412246.78999999</v>
      </c>
    </row>
    <row r="111" spans="1:14" s="143" customFormat="1" x14ac:dyDescent="0.25">
      <c r="A111" s="143" t="s">
        <v>274</v>
      </c>
      <c r="B111" s="143" t="s">
        <v>86</v>
      </c>
      <c r="C111" s="143" t="s">
        <v>87</v>
      </c>
      <c r="D111" s="143" t="s">
        <v>69</v>
      </c>
      <c r="E111" s="257">
        <v>46480000</v>
      </c>
      <c r="F111" s="257">
        <v>46480000</v>
      </c>
      <c r="G111" s="257">
        <v>46480000</v>
      </c>
      <c r="H111" s="257">
        <v>0</v>
      </c>
      <c r="I111" s="257">
        <v>0</v>
      </c>
      <c r="J111" s="257">
        <v>0</v>
      </c>
      <c r="K111" s="257">
        <v>44448031.07</v>
      </c>
      <c r="L111" s="257">
        <v>44448031.07</v>
      </c>
      <c r="M111" s="257">
        <v>2031968.93</v>
      </c>
      <c r="N111" s="257">
        <v>2031968.93</v>
      </c>
    </row>
    <row r="112" spans="1:14" s="143" customFormat="1" x14ac:dyDescent="0.25">
      <c r="A112" s="143" t="s">
        <v>274</v>
      </c>
      <c r="B112" s="143" t="s">
        <v>88</v>
      </c>
      <c r="C112" s="143" t="s">
        <v>89</v>
      </c>
      <c r="D112" s="143" t="s">
        <v>69</v>
      </c>
      <c r="E112" s="257">
        <v>35665000</v>
      </c>
      <c r="F112" s="257">
        <v>35665000</v>
      </c>
      <c r="G112" s="257">
        <v>35315000</v>
      </c>
      <c r="H112" s="257">
        <v>0</v>
      </c>
      <c r="I112" s="257">
        <v>0</v>
      </c>
      <c r="J112" s="257">
        <v>0</v>
      </c>
      <c r="K112" s="257">
        <v>7595834.2599999998</v>
      </c>
      <c r="L112" s="257">
        <v>7595834.2599999998</v>
      </c>
      <c r="M112" s="257">
        <v>28069165.739999998</v>
      </c>
      <c r="N112" s="257">
        <v>27719165.739999998</v>
      </c>
    </row>
    <row r="113" spans="1:14" s="143" customFormat="1" x14ac:dyDescent="0.25">
      <c r="A113" s="143" t="s">
        <v>274</v>
      </c>
      <c r="B113" s="143" t="s">
        <v>83</v>
      </c>
      <c r="C113" s="143" t="s">
        <v>84</v>
      </c>
      <c r="D113" s="143" t="s">
        <v>85</v>
      </c>
      <c r="E113" s="257">
        <v>61518000</v>
      </c>
      <c r="F113" s="257">
        <v>61518000</v>
      </c>
      <c r="G113" s="257">
        <v>61518000</v>
      </c>
      <c r="H113" s="257">
        <v>0</v>
      </c>
      <c r="I113" s="257">
        <v>0</v>
      </c>
      <c r="J113" s="257">
        <v>0</v>
      </c>
      <c r="K113" s="257">
        <v>0</v>
      </c>
      <c r="L113" s="257">
        <v>0</v>
      </c>
      <c r="M113" s="257">
        <v>61518000</v>
      </c>
      <c r="N113" s="257">
        <v>61518000</v>
      </c>
    </row>
    <row r="114" spans="1:14" s="143" customFormat="1" x14ac:dyDescent="0.25">
      <c r="A114" s="143" t="s">
        <v>274</v>
      </c>
      <c r="B114" s="143" t="s">
        <v>90</v>
      </c>
      <c r="C114" s="143" t="s">
        <v>91</v>
      </c>
      <c r="D114" s="143" t="s">
        <v>69</v>
      </c>
      <c r="E114" s="257">
        <v>72913000</v>
      </c>
      <c r="F114" s="257">
        <v>72913000</v>
      </c>
      <c r="G114" s="257">
        <v>72913000</v>
      </c>
      <c r="H114" s="257">
        <v>0</v>
      </c>
      <c r="I114" s="257">
        <v>54386702</v>
      </c>
      <c r="J114" s="257">
        <v>0</v>
      </c>
      <c r="K114" s="257">
        <v>18526298</v>
      </c>
      <c r="L114" s="257">
        <v>18526298</v>
      </c>
      <c r="M114" s="257">
        <v>0</v>
      </c>
      <c r="N114" s="257">
        <v>0</v>
      </c>
    </row>
    <row r="115" spans="1:14" s="143" customFormat="1" x14ac:dyDescent="0.25">
      <c r="A115" s="143" t="s">
        <v>274</v>
      </c>
      <c r="B115" s="143" t="s">
        <v>275</v>
      </c>
      <c r="C115" s="143" t="s">
        <v>93</v>
      </c>
      <c r="D115" s="143" t="s">
        <v>69</v>
      </c>
      <c r="E115" s="257">
        <v>69174000</v>
      </c>
      <c r="F115" s="257">
        <v>69174000</v>
      </c>
      <c r="G115" s="257">
        <v>69174000</v>
      </c>
      <c r="H115" s="257">
        <v>0</v>
      </c>
      <c r="I115" s="257">
        <v>51597523</v>
      </c>
      <c r="J115" s="257">
        <v>0</v>
      </c>
      <c r="K115" s="257">
        <v>17576477</v>
      </c>
      <c r="L115" s="257">
        <v>17576477</v>
      </c>
      <c r="M115" s="257">
        <v>0</v>
      </c>
      <c r="N115" s="257">
        <v>0</v>
      </c>
    </row>
    <row r="116" spans="1:14" s="143" customFormat="1" x14ac:dyDescent="0.25">
      <c r="A116" s="143" t="s">
        <v>274</v>
      </c>
      <c r="B116" s="143" t="s">
        <v>276</v>
      </c>
      <c r="C116" s="143" t="s">
        <v>95</v>
      </c>
      <c r="D116" s="143" t="s">
        <v>69</v>
      </c>
      <c r="E116" s="257">
        <v>3739000</v>
      </c>
      <c r="F116" s="257">
        <v>3739000</v>
      </c>
      <c r="G116" s="257">
        <v>3739000</v>
      </c>
      <c r="H116" s="257">
        <v>0</v>
      </c>
      <c r="I116" s="257">
        <v>2789179</v>
      </c>
      <c r="J116" s="257">
        <v>0</v>
      </c>
      <c r="K116" s="257">
        <v>949821</v>
      </c>
      <c r="L116" s="257">
        <v>949821</v>
      </c>
      <c r="M116" s="257">
        <v>0</v>
      </c>
      <c r="N116" s="257">
        <v>0</v>
      </c>
    </row>
    <row r="117" spans="1:14" s="143" customFormat="1" x14ac:dyDescent="0.25">
      <c r="A117" s="143" t="s">
        <v>274</v>
      </c>
      <c r="B117" s="143" t="s">
        <v>96</v>
      </c>
      <c r="C117" s="143" t="s">
        <v>97</v>
      </c>
      <c r="D117" s="143" t="s">
        <v>69</v>
      </c>
      <c r="E117" s="257">
        <v>71642000</v>
      </c>
      <c r="F117" s="257">
        <v>71642000</v>
      </c>
      <c r="G117" s="257">
        <v>71642000</v>
      </c>
      <c r="H117" s="257">
        <v>0</v>
      </c>
      <c r="I117" s="257">
        <v>53441827</v>
      </c>
      <c r="J117" s="257">
        <v>0</v>
      </c>
      <c r="K117" s="257">
        <v>18200173</v>
      </c>
      <c r="L117" s="257">
        <v>18200173</v>
      </c>
      <c r="M117" s="257">
        <v>0</v>
      </c>
      <c r="N117" s="257">
        <v>0</v>
      </c>
    </row>
    <row r="118" spans="1:14" s="143" customFormat="1" x14ac:dyDescent="0.25">
      <c r="A118" s="143" t="s">
        <v>274</v>
      </c>
      <c r="B118" s="143" t="s">
        <v>277</v>
      </c>
      <c r="C118" s="143" t="s">
        <v>99</v>
      </c>
      <c r="D118" s="143" t="s">
        <v>69</v>
      </c>
      <c r="E118" s="257">
        <v>37990000</v>
      </c>
      <c r="F118" s="257">
        <v>37990000</v>
      </c>
      <c r="G118" s="257">
        <v>37990000</v>
      </c>
      <c r="H118" s="257">
        <v>0</v>
      </c>
      <c r="I118" s="257">
        <v>28338173</v>
      </c>
      <c r="J118" s="257">
        <v>0</v>
      </c>
      <c r="K118" s="257">
        <v>9651827</v>
      </c>
      <c r="L118" s="257">
        <v>9651827</v>
      </c>
      <c r="M118" s="257">
        <v>0</v>
      </c>
      <c r="N118" s="257">
        <v>0</v>
      </c>
    </row>
    <row r="119" spans="1:14" s="143" customFormat="1" x14ac:dyDescent="0.25">
      <c r="A119" s="143" t="s">
        <v>274</v>
      </c>
      <c r="B119" s="143" t="s">
        <v>278</v>
      </c>
      <c r="C119" s="143" t="s">
        <v>101</v>
      </c>
      <c r="D119" s="143" t="s">
        <v>69</v>
      </c>
      <c r="E119" s="257">
        <v>11217000</v>
      </c>
      <c r="F119" s="257">
        <v>11217000</v>
      </c>
      <c r="G119" s="257">
        <v>11217000</v>
      </c>
      <c r="H119" s="257">
        <v>0</v>
      </c>
      <c r="I119" s="257">
        <v>8367550</v>
      </c>
      <c r="J119" s="257">
        <v>0</v>
      </c>
      <c r="K119" s="257">
        <v>2849450</v>
      </c>
      <c r="L119" s="257">
        <v>2849450</v>
      </c>
      <c r="M119" s="257">
        <v>0</v>
      </c>
      <c r="N119" s="257">
        <v>0</v>
      </c>
    </row>
    <row r="120" spans="1:14" s="143" customFormat="1" x14ac:dyDescent="0.25">
      <c r="A120" s="143" t="s">
        <v>274</v>
      </c>
      <c r="B120" s="143" t="s">
        <v>279</v>
      </c>
      <c r="C120" s="143" t="s">
        <v>103</v>
      </c>
      <c r="D120" s="143" t="s">
        <v>69</v>
      </c>
      <c r="E120" s="257">
        <v>22435000</v>
      </c>
      <c r="F120" s="257">
        <v>22435000</v>
      </c>
      <c r="G120" s="257">
        <v>22435000</v>
      </c>
      <c r="H120" s="257">
        <v>0</v>
      </c>
      <c r="I120" s="257">
        <v>16736104</v>
      </c>
      <c r="J120" s="257">
        <v>0</v>
      </c>
      <c r="K120" s="257">
        <v>5698896</v>
      </c>
      <c r="L120" s="257">
        <v>5698896</v>
      </c>
      <c r="M120" s="257">
        <v>0</v>
      </c>
      <c r="N120" s="257">
        <v>0</v>
      </c>
    </row>
    <row r="121" spans="1:14" s="143" customFormat="1" x14ac:dyDescent="0.25">
      <c r="A121" s="143" t="s">
        <v>274</v>
      </c>
      <c r="B121" s="143" t="s">
        <v>104</v>
      </c>
      <c r="C121" s="143" t="s">
        <v>105</v>
      </c>
      <c r="D121" s="143" t="s">
        <v>69</v>
      </c>
      <c r="E121" s="257">
        <v>155922650</v>
      </c>
      <c r="F121" s="257">
        <v>155922650</v>
      </c>
      <c r="G121" s="257">
        <v>74057161.849999994</v>
      </c>
      <c r="H121" s="257">
        <v>0</v>
      </c>
      <c r="I121" s="257">
        <v>16519536.57</v>
      </c>
      <c r="J121" s="257">
        <v>0</v>
      </c>
      <c r="K121" s="257">
        <v>20503099.940000001</v>
      </c>
      <c r="L121" s="257">
        <v>18824755.609999999</v>
      </c>
      <c r="M121" s="257">
        <v>118900013.48999999</v>
      </c>
      <c r="N121" s="257">
        <v>37034525.340000004</v>
      </c>
    </row>
    <row r="122" spans="1:14" s="143" customFormat="1" x14ac:dyDescent="0.25">
      <c r="A122" s="143" t="s">
        <v>274</v>
      </c>
      <c r="B122" s="143" t="s">
        <v>106</v>
      </c>
      <c r="C122" s="143" t="s">
        <v>107</v>
      </c>
      <c r="D122" s="143" t="s">
        <v>69</v>
      </c>
      <c r="E122" s="257">
        <v>78966646</v>
      </c>
      <c r="F122" s="257">
        <v>78966646</v>
      </c>
      <c r="G122" s="257">
        <v>39440909</v>
      </c>
      <c r="H122" s="257">
        <v>0</v>
      </c>
      <c r="I122" s="257">
        <v>6550118.0599999996</v>
      </c>
      <c r="J122" s="257">
        <v>0</v>
      </c>
      <c r="K122" s="257">
        <v>12873120.92</v>
      </c>
      <c r="L122" s="257">
        <v>11838226.59</v>
      </c>
      <c r="M122" s="257">
        <v>59543407.020000003</v>
      </c>
      <c r="N122" s="257">
        <v>20017670.02</v>
      </c>
    </row>
    <row r="123" spans="1:14" s="143" customFormat="1" x14ac:dyDescent="0.25">
      <c r="A123" s="143" t="s">
        <v>274</v>
      </c>
      <c r="B123" s="143" t="s">
        <v>280</v>
      </c>
      <c r="C123" s="143" t="s">
        <v>281</v>
      </c>
      <c r="D123" s="143" t="s">
        <v>69</v>
      </c>
      <c r="E123" s="257">
        <v>67899341</v>
      </c>
      <c r="F123" s="257">
        <v>67899341</v>
      </c>
      <c r="G123" s="257">
        <v>32974082</v>
      </c>
      <c r="H123" s="257">
        <v>0</v>
      </c>
      <c r="I123" s="257">
        <v>5477513.3200000003</v>
      </c>
      <c r="J123" s="257">
        <v>0</v>
      </c>
      <c r="K123" s="257">
        <v>11496568.68</v>
      </c>
      <c r="L123" s="257">
        <v>11496568.68</v>
      </c>
      <c r="M123" s="257">
        <v>50925259</v>
      </c>
      <c r="N123" s="257">
        <v>16000000</v>
      </c>
    </row>
    <row r="124" spans="1:14" s="143" customFormat="1" x14ac:dyDescent="0.25">
      <c r="A124" s="143" t="s">
        <v>274</v>
      </c>
      <c r="B124" s="143" t="s">
        <v>108</v>
      </c>
      <c r="C124" s="143" t="s">
        <v>109</v>
      </c>
      <c r="D124" s="143" t="s">
        <v>69</v>
      </c>
      <c r="E124" s="257">
        <v>11067305</v>
      </c>
      <c r="F124" s="257">
        <v>11067305</v>
      </c>
      <c r="G124" s="257">
        <v>6466827</v>
      </c>
      <c r="H124" s="257">
        <v>0</v>
      </c>
      <c r="I124" s="257">
        <v>1072604.74</v>
      </c>
      <c r="J124" s="257">
        <v>0</v>
      </c>
      <c r="K124" s="257">
        <v>1376552.24</v>
      </c>
      <c r="L124" s="257">
        <v>341657.91</v>
      </c>
      <c r="M124" s="257">
        <v>8618148.0199999996</v>
      </c>
      <c r="N124" s="257">
        <v>4017670.02</v>
      </c>
    </row>
    <row r="125" spans="1:14" s="143" customFormat="1" x14ac:dyDescent="0.25">
      <c r="A125" s="143" t="s">
        <v>274</v>
      </c>
      <c r="B125" s="143" t="s">
        <v>112</v>
      </c>
      <c r="C125" s="143" t="s">
        <v>113</v>
      </c>
      <c r="D125" s="143" t="s">
        <v>69</v>
      </c>
      <c r="E125" s="257">
        <v>14518657</v>
      </c>
      <c r="F125" s="257">
        <v>14482767</v>
      </c>
      <c r="G125" s="257">
        <v>8423775</v>
      </c>
      <c r="H125" s="257">
        <v>0</v>
      </c>
      <c r="I125" s="257">
        <v>1188226.51</v>
      </c>
      <c r="J125" s="257">
        <v>0</v>
      </c>
      <c r="K125" s="257">
        <v>3410491.02</v>
      </c>
      <c r="L125" s="257">
        <v>3410491.02</v>
      </c>
      <c r="M125" s="257">
        <v>9884049.4700000007</v>
      </c>
      <c r="N125" s="257">
        <v>3825057.47</v>
      </c>
    </row>
    <row r="126" spans="1:14" s="143" customFormat="1" x14ac:dyDescent="0.25">
      <c r="A126" s="143" t="s">
        <v>274</v>
      </c>
      <c r="B126" s="143" t="s">
        <v>114</v>
      </c>
      <c r="C126" s="143" t="s">
        <v>115</v>
      </c>
      <c r="D126" s="143" t="s">
        <v>69</v>
      </c>
      <c r="E126" s="257">
        <v>1280000</v>
      </c>
      <c r="F126" s="257">
        <v>1244110</v>
      </c>
      <c r="G126" s="257">
        <v>634110</v>
      </c>
      <c r="H126" s="257">
        <v>0</v>
      </c>
      <c r="I126" s="257">
        <v>23284</v>
      </c>
      <c r="J126" s="257">
        <v>0</v>
      </c>
      <c r="K126" s="257">
        <v>236296</v>
      </c>
      <c r="L126" s="257">
        <v>236296</v>
      </c>
      <c r="M126" s="257">
        <v>984530</v>
      </c>
      <c r="N126" s="257">
        <v>374530</v>
      </c>
    </row>
    <row r="127" spans="1:14" s="143" customFormat="1" x14ac:dyDescent="0.25">
      <c r="A127" s="143" t="s">
        <v>274</v>
      </c>
      <c r="B127" s="143" t="s">
        <v>116</v>
      </c>
      <c r="C127" s="143" t="s">
        <v>117</v>
      </c>
      <c r="D127" s="143" t="s">
        <v>69</v>
      </c>
      <c r="E127" s="257">
        <v>3685715</v>
      </c>
      <c r="F127" s="257">
        <v>3685715</v>
      </c>
      <c r="G127" s="257">
        <v>1671429</v>
      </c>
      <c r="H127" s="257">
        <v>0</v>
      </c>
      <c r="I127" s="257">
        <v>202285</v>
      </c>
      <c r="J127" s="257">
        <v>0</v>
      </c>
      <c r="K127" s="257">
        <v>719044</v>
      </c>
      <c r="L127" s="257">
        <v>719044</v>
      </c>
      <c r="M127" s="257">
        <v>2764386</v>
      </c>
      <c r="N127" s="257">
        <v>750100</v>
      </c>
    </row>
    <row r="128" spans="1:14" s="143" customFormat="1" x14ac:dyDescent="0.25">
      <c r="A128" s="143" t="s">
        <v>274</v>
      </c>
      <c r="B128" s="143" t="s">
        <v>120</v>
      </c>
      <c r="C128" s="143" t="s">
        <v>121</v>
      </c>
      <c r="D128" s="143" t="s">
        <v>69</v>
      </c>
      <c r="E128" s="257">
        <v>9552942</v>
      </c>
      <c r="F128" s="257">
        <v>9552942</v>
      </c>
      <c r="G128" s="257">
        <v>6118236</v>
      </c>
      <c r="H128" s="257">
        <v>0</v>
      </c>
      <c r="I128" s="257">
        <v>962657.51</v>
      </c>
      <c r="J128" s="257">
        <v>0</v>
      </c>
      <c r="K128" s="257">
        <v>2455151.02</v>
      </c>
      <c r="L128" s="257">
        <v>2455151.02</v>
      </c>
      <c r="M128" s="257">
        <v>6135133.4699999997</v>
      </c>
      <c r="N128" s="257">
        <v>2700427.47</v>
      </c>
    </row>
    <row r="129" spans="1:14" s="143" customFormat="1" x14ac:dyDescent="0.25">
      <c r="A129" s="143" t="s">
        <v>274</v>
      </c>
      <c r="B129" s="143" t="s">
        <v>124</v>
      </c>
      <c r="C129" s="143" t="s">
        <v>125</v>
      </c>
      <c r="D129" s="143" t="s">
        <v>69</v>
      </c>
      <c r="E129" s="257">
        <v>16719000</v>
      </c>
      <c r="F129" s="257">
        <v>16719000</v>
      </c>
      <c r="G129" s="257">
        <v>3268000</v>
      </c>
      <c r="H129" s="257">
        <v>0</v>
      </c>
      <c r="I129" s="257">
        <v>2100000</v>
      </c>
      <c r="J129" s="257">
        <v>0</v>
      </c>
      <c r="K129" s="257">
        <v>0</v>
      </c>
      <c r="L129" s="257">
        <v>0</v>
      </c>
      <c r="M129" s="257">
        <v>14619000</v>
      </c>
      <c r="N129" s="257">
        <v>1168000</v>
      </c>
    </row>
    <row r="130" spans="1:14" s="143" customFormat="1" x14ac:dyDescent="0.25">
      <c r="A130" s="143" t="s">
        <v>274</v>
      </c>
      <c r="B130" s="143" t="s">
        <v>126</v>
      </c>
      <c r="C130" s="143" t="s">
        <v>127</v>
      </c>
      <c r="D130" s="143" t="s">
        <v>69</v>
      </c>
      <c r="E130" s="257">
        <v>719000</v>
      </c>
      <c r="F130" s="257">
        <v>719000</v>
      </c>
      <c r="G130" s="257">
        <v>180000</v>
      </c>
      <c r="H130" s="257">
        <v>0</v>
      </c>
      <c r="I130" s="257">
        <v>80000</v>
      </c>
      <c r="J130" s="257">
        <v>0</v>
      </c>
      <c r="K130" s="257">
        <v>0</v>
      </c>
      <c r="L130" s="257">
        <v>0</v>
      </c>
      <c r="M130" s="257">
        <v>639000</v>
      </c>
      <c r="N130" s="257">
        <v>100000</v>
      </c>
    </row>
    <row r="131" spans="1:14" s="143" customFormat="1" x14ac:dyDescent="0.25">
      <c r="A131" s="143" t="s">
        <v>274</v>
      </c>
      <c r="B131" s="143" t="s">
        <v>128</v>
      </c>
      <c r="C131" s="143" t="s">
        <v>129</v>
      </c>
      <c r="D131" s="143" t="s">
        <v>69</v>
      </c>
      <c r="E131" s="257">
        <v>16000000</v>
      </c>
      <c r="F131" s="257">
        <v>16000000</v>
      </c>
      <c r="G131" s="257">
        <v>3088000</v>
      </c>
      <c r="H131" s="257">
        <v>0</v>
      </c>
      <c r="I131" s="257">
        <v>2020000</v>
      </c>
      <c r="J131" s="257">
        <v>0</v>
      </c>
      <c r="K131" s="257">
        <v>0</v>
      </c>
      <c r="L131" s="257">
        <v>0</v>
      </c>
      <c r="M131" s="257">
        <v>13980000</v>
      </c>
      <c r="N131" s="257">
        <v>1068000</v>
      </c>
    </row>
    <row r="132" spans="1:14" s="143" customFormat="1" x14ac:dyDescent="0.25">
      <c r="A132" s="143" t="s">
        <v>274</v>
      </c>
      <c r="B132" s="143" t="s">
        <v>134</v>
      </c>
      <c r="C132" s="143" t="s">
        <v>135</v>
      </c>
      <c r="D132" s="143" t="s">
        <v>69</v>
      </c>
      <c r="E132" s="257">
        <v>2200000</v>
      </c>
      <c r="F132" s="257">
        <v>2200000</v>
      </c>
      <c r="G132" s="257">
        <v>1617240</v>
      </c>
      <c r="H132" s="257">
        <v>0</v>
      </c>
      <c r="I132" s="257">
        <v>149900</v>
      </c>
      <c r="J132" s="257">
        <v>0</v>
      </c>
      <c r="K132" s="257">
        <v>1117240</v>
      </c>
      <c r="L132" s="257">
        <v>1067240</v>
      </c>
      <c r="M132" s="257">
        <v>932860</v>
      </c>
      <c r="N132" s="257">
        <v>350100</v>
      </c>
    </row>
    <row r="133" spans="1:14" s="143" customFormat="1" x14ac:dyDescent="0.25">
      <c r="A133" s="143" t="s">
        <v>274</v>
      </c>
      <c r="B133" s="143" t="s">
        <v>136</v>
      </c>
      <c r="C133" s="143" t="s">
        <v>137</v>
      </c>
      <c r="D133" s="143" t="s">
        <v>69</v>
      </c>
      <c r="E133" s="257">
        <v>1200000</v>
      </c>
      <c r="F133" s="257">
        <v>1200000</v>
      </c>
      <c r="G133" s="257">
        <v>1117240</v>
      </c>
      <c r="H133" s="257">
        <v>0</v>
      </c>
      <c r="I133" s="257">
        <v>0</v>
      </c>
      <c r="J133" s="257">
        <v>0</v>
      </c>
      <c r="K133" s="257">
        <v>1017240</v>
      </c>
      <c r="L133" s="257">
        <v>1017240</v>
      </c>
      <c r="M133" s="257">
        <v>182760</v>
      </c>
      <c r="N133" s="257">
        <v>100000</v>
      </c>
    </row>
    <row r="134" spans="1:14" s="143" customFormat="1" x14ac:dyDescent="0.25">
      <c r="A134" s="143" t="s">
        <v>274</v>
      </c>
      <c r="B134" s="143" t="s">
        <v>138</v>
      </c>
      <c r="C134" s="143" t="s">
        <v>139</v>
      </c>
      <c r="D134" s="143" t="s">
        <v>69</v>
      </c>
      <c r="E134" s="257">
        <v>1000000</v>
      </c>
      <c r="F134" s="257">
        <v>1000000</v>
      </c>
      <c r="G134" s="257">
        <v>500000</v>
      </c>
      <c r="H134" s="257">
        <v>0</v>
      </c>
      <c r="I134" s="257">
        <v>149900</v>
      </c>
      <c r="J134" s="257">
        <v>0</v>
      </c>
      <c r="K134" s="257">
        <v>100000</v>
      </c>
      <c r="L134" s="257">
        <v>50000</v>
      </c>
      <c r="M134" s="257">
        <v>750100</v>
      </c>
      <c r="N134" s="257">
        <v>250100</v>
      </c>
    </row>
    <row r="135" spans="1:14" s="143" customFormat="1" x14ac:dyDescent="0.25">
      <c r="A135" s="143" t="s">
        <v>274</v>
      </c>
      <c r="B135" s="143" t="s">
        <v>140</v>
      </c>
      <c r="C135" s="143" t="s">
        <v>141</v>
      </c>
      <c r="D135" s="143" t="s">
        <v>69</v>
      </c>
      <c r="E135" s="257">
        <v>6813730</v>
      </c>
      <c r="F135" s="257">
        <v>6849620</v>
      </c>
      <c r="G135" s="257">
        <v>5726823</v>
      </c>
      <c r="H135" s="257">
        <v>0</v>
      </c>
      <c r="I135" s="257">
        <v>1032340</v>
      </c>
      <c r="J135" s="257">
        <v>0</v>
      </c>
      <c r="K135" s="257">
        <v>1692700</v>
      </c>
      <c r="L135" s="257">
        <v>1619250</v>
      </c>
      <c r="M135" s="257">
        <v>4124580</v>
      </c>
      <c r="N135" s="257">
        <v>3001783</v>
      </c>
    </row>
    <row r="136" spans="1:14" s="143" customFormat="1" x14ac:dyDescent="0.25">
      <c r="A136" s="143" t="s">
        <v>274</v>
      </c>
      <c r="B136" s="143" t="s">
        <v>142</v>
      </c>
      <c r="C136" s="143" t="s">
        <v>143</v>
      </c>
      <c r="D136" s="143" t="s">
        <v>69</v>
      </c>
      <c r="E136" s="257">
        <v>250000</v>
      </c>
      <c r="F136" s="257">
        <v>285890</v>
      </c>
      <c r="G136" s="257">
        <v>285890</v>
      </c>
      <c r="H136" s="257">
        <v>0</v>
      </c>
      <c r="I136" s="257">
        <v>285890</v>
      </c>
      <c r="J136" s="257">
        <v>0</v>
      </c>
      <c r="K136" s="257">
        <v>0</v>
      </c>
      <c r="L136" s="257">
        <v>0</v>
      </c>
      <c r="M136" s="257">
        <v>0</v>
      </c>
      <c r="N136" s="257">
        <v>0</v>
      </c>
    </row>
    <row r="137" spans="1:14" s="143" customFormat="1" x14ac:dyDescent="0.25">
      <c r="A137" s="143" t="s">
        <v>274</v>
      </c>
      <c r="B137" s="143" t="s">
        <v>144</v>
      </c>
      <c r="C137" s="143" t="s">
        <v>145</v>
      </c>
      <c r="D137" s="143" t="s">
        <v>69</v>
      </c>
      <c r="E137" s="257">
        <v>6563730</v>
      </c>
      <c r="F137" s="257">
        <v>6563730</v>
      </c>
      <c r="G137" s="257">
        <v>5440933</v>
      </c>
      <c r="H137" s="257">
        <v>0</v>
      </c>
      <c r="I137" s="257">
        <v>746450</v>
      </c>
      <c r="J137" s="257">
        <v>0</v>
      </c>
      <c r="K137" s="257">
        <v>1692700</v>
      </c>
      <c r="L137" s="257">
        <v>1619250</v>
      </c>
      <c r="M137" s="257">
        <v>4124580</v>
      </c>
      <c r="N137" s="257">
        <v>3001783</v>
      </c>
    </row>
    <row r="138" spans="1:14" s="143" customFormat="1" x14ac:dyDescent="0.25">
      <c r="A138" s="143" t="s">
        <v>274</v>
      </c>
      <c r="B138" s="143" t="s">
        <v>150</v>
      </c>
      <c r="C138" s="143" t="s">
        <v>151</v>
      </c>
      <c r="D138" s="143" t="s">
        <v>69</v>
      </c>
      <c r="E138" s="257">
        <v>4277392</v>
      </c>
      <c r="F138" s="257">
        <v>4277392</v>
      </c>
      <c r="G138" s="257">
        <v>1999348</v>
      </c>
      <c r="H138" s="257">
        <v>0</v>
      </c>
      <c r="I138" s="257">
        <v>100452</v>
      </c>
      <c r="J138" s="257">
        <v>0</v>
      </c>
      <c r="K138" s="257">
        <v>889548</v>
      </c>
      <c r="L138" s="257">
        <v>889548</v>
      </c>
      <c r="M138" s="257">
        <v>3287392</v>
      </c>
      <c r="N138" s="257">
        <v>1009348</v>
      </c>
    </row>
    <row r="139" spans="1:14" s="143" customFormat="1" x14ac:dyDescent="0.25">
      <c r="A139" s="143" t="s">
        <v>274</v>
      </c>
      <c r="B139" s="143" t="s">
        <v>152</v>
      </c>
      <c r="C139" s="143" t="s">
        <v>153</v>
      </c>
      <c r="D139" s="143" t="s">
        <v>69</v>
      </c>
      <c r="E139" s="257">
        <v>4277392</v>
      </c>
      <c r="F139" s="257">
        <v>4277392</v>
      </c>
      <c r="G139" s="257">
        <v>1999348</v>
      </c>
      <c r="H139" s="257">
        <v>0</v>
      </c>
      <c r="I139" s="257">
        <v>100452</v>
      </c>
      <c r="J139" s="257">
        <v>0</v>
      </c>
      <c r="K139" s="257">
        <v>889548</v>
      </c>
      <c r="L139" s="257">
        <v>889548</v>
      </c>
      <c r="M139" s="257">
        <v>3287392</v>
      </c>
      <c r="N139" s="257">
        <v>1009348</v>
      </c>
    </row>
    <row r="140" spans="1:14" s="143" customFormat="1" x14ac:dyDescent="0.25">
      <c r="A140" s="143" t="s">
        <v>274</v>
      </c>
      <c r="B140" s="143" t="s">
        <v>154</v>
      </c>
      <c r="C140" s="143" t="s">
        <v>155</v>
      </c>
      <c r="D140" s="143" t="s">
        <v>69</v>
      </c>
      <c r="E140" s="257">
        <v>12267225</v>
      </c>
      <c r="F140" s="257">
        <v>12267225</v>
      </c>
      <c r="G140" s="257">
        <v>6506807</v>
      </c>
      <c r="H140" s="257">
        <v>0</v>
      </c>
      <c r="I140" s="257">
        <v>2475000</v>
      </c>
      <c r="J140" s="257">
        <v>0</v>
      </c>
      <c r="K140" s="257">
        <v>520000</v>
      </c>
      <c r="L140" s="257">
        <v>0</v>
      </c>
      <c r="M140" s="257">
        <v>9272225</v>
      </c>
      <c r="N140" s="257">
        <v>3511807</v>
      </c>
    </row>
    <row r="141" spans="1:14" s="143" customFormat="1" x14ac:dyDescent="0.25">
      <c r="A141" s="143" t="s">
        <v>274</v>
      </c>
      <c r="B141" s="143" t="s">
        <v>156</v>
      </c>
      <c r="C141" s="143" t="s">
        <v>157</v>
      </c>
      <c r="D141" s="143" t="s">
        <v>69</v>
      </c>
      <c r="E141" s="257">
        <v>12267225</v>
      </c>
      <c r="F141" s="257">
        <v>12267225</v>
      </c>
      <c r="G141" s="257">
        <v>6506807</v>
      </c>
      <c r="H141" s="257">
        <v>0</v>
      </c>
      <c r="I141" s="257">
        <v>2475000</v>
      </c>
      <c r="J141" s="257">
        <v>0</v>
      </c>
      <c r="K141" s="257">
        <v>520000</v>
      </c>
      <c r="L141" s="257">
        <v>0</v>
      </c>
      <c r="M141" s="257">
        <v>9272225</v>
      </c>
      <c r="N141" s="257">
        <v>3511807</v>
      </c>
    </row>
    <row r="142" spans="1:14" s="143" customFormat="1" x14ac:dyDescent="0.25">
      <c r="A142" s="143" t="s">
        <v>274</v>
      </c>
      <c r="B142" s="143" t="s">
        <v>162</v>
      </c>
      <c r="C142" s="143" t="s">
        <v>163</v>
      </c>
      <c r="D142" s="143" t="s">
        <v>69</v>
      </c>
      <c r="E142" s="257">
        <v>17894000</v>
      </c>
      <c r="F142" s="257">
        <v>17894000</v>
      </c>
      <c r="G142" s="257">
        <v>6774260</v>
      </c>
      <c r="H142" s="257">
        <v>0</v>
      </c>
      <c r="I142" s="257">
        <v>2873500</v>
      </c>
      <c r="J142" s="257">
        <v>0</v>
      </c>
      <c r="K142" s="257">
        <v>0</v>
      </c>
      <c r="L142" s="257">
        <v>0</v>
      </c>
      <c r="M142" s="257">
        <v>15020500</v>
      </c>
      <c r="N142" s="257">
        <v>3900760</v>
      </c>
    </row>
    <row r="143" spans="1:14" s="143" customFormat="1" x14ac:dyDescent="0.25">
      <c r="A143" s="143" t="s">
        <v>274</v>
      </c>
      <c r="B143" s="143" t="s">
        <v>166</v>
      </c>
      <c r="C143" s="143" t="s">
        <v>167</v>
      </c>
      <c r="D143" s="143" t="s">
        <v>69</v>
      </c>
      <c r="E143" s="257">
        <v>7000000</v>
      </c>
      <c r="F143" s="257">
        <v>7000000</v>
      </c>
      <c r="G143" s="257">
        <v>2550000</v>
      </c>
      <c r="H143" s="257">
        <v>0</v>
      </c>
      <c r="I143" s="257">
        <v>1750000</v>
      </c>
      <c r="J143" s="257">
        <v>0</v>
      </c>
      <c r="K143" s="257">
        <v>0</v>
      </c>
      <c r="L143" s="257">
        <v>0</v>
      </c>
      <c r="M143" s="257">
        <v>5250000</v>
      </c>
      <c r="N143" s="257">
        <v>800000</v>
      </c>
    </row>
    <row r="144" spans="1:14" s="143" customFormat="1" x14ac:dyDescent="0.25">
      <c r="A144" s="143" t="s">
        <v>274</v>
      </c>
      <c r="B144" s="143" t="s">
        <v>168</v>
      </c>
      <c r="C144" s="143" t="s">
        <v>169</v>
      </c>
      <c r="D144" s="143" t="s">
        <v>69</v>
      </c>
      <c r="E144" s="257">
        <v>3000000</v>
      </c>
      <c r="F144" s="257">
        <v>3000000</v>
      </c>
      <c r="G144" s="257">
        <v>800760</v>
      </c>
      <c r="H144" s="257">
        <v>0</v>
      </c>
      <c r="I144" s="257">
        <v>0</v>
      </c>
      <c r="J144" s="257">
        <v>0</v>
      </c>
      <c r="K144" s="257">
        <v>0</v>
      </c>
      <c r="L144" s="257">
        <v>0</v>
      </c>
      <c r="M144" s="257">
        <v>3000000</v>
      </c>
      <c r="N144" s="257">
        <v>800760</v>
      </c>
    </row>
    <row r="145" spans="1:14" s="143" customFormat="1" x14ac:dyDescent="0.25">
      <c r="A145" s="143" t="s">
        <v>274</v>
      </c>
      <c r="B145" s="143" t="s">
        <v>170</v>
      </c>
      <c r="C145" s="143" t="s">
        <v>171</v>
      </c>
      <c r="D145" s="143" t="s">
        <v>69</v>
      </c>
      <c r="E145" s="257">
        <v>4494000</v>
      </c>
      <c r="F145" s="257">
        <v>4494000</v>
      </c>
      <c r="G145" s="257">
        <v>2623500</v>
      </c>
      <c r="H145" s="257">
        <v>0</v>
      </c>
      <c r="I145" s="257">
        <v>1123500</v>
      </c>
      <c r="J145" s="257">
        <v>0</v>
      </c>
      <c r="K145" s="257">
        <v>0</v>
      </c>
      <c r="L145" s="257">
        <v>0</v>
      </c>
      <c r="M145" s="257">
        <v>3370500</v>
      </c>
      <c r="N145" s="257">
        <v>1500000</v>
      </c>
    </row>
    <row r="146" spans="1:14" s="143" customFormat="1" x14ac:dyDescent="0.25">
      <c r="A146" s="143" t="s">
        <v>274</v>
      </c>
      <c r="B146" s="143" t="s">
        <v>172</v>
      </c>
      <c r="C146" s="143" t="s">
        <v>173</v>
      </c>
      <c r="D146" s="143" t="s">
        <v>69</v>
      </c>
      <c r="E146" s="257">
        <v>3400000</v>
      </c>
      <c r="F146" s="257">
        <v>3400000</v>
      </c>
      <c r="G146" s="257">
        <v>800000</v>
      </c>
      <c r="H146" s="257">
        <v>0</v>
      </c>
      <c r="I146" s="257">
        <v>0</v>
      </c>
      <c r="J146" s="257">
        <v>0</v>
      </c>
      <c r="K146" s="257">
        <v>0</v>
      </c>
      <c r="L146" s="257">
        <v>0</v>
      </c>
      <c r="M146" s="257">
        <v>3400000</v>
      </c>
      <c r="N146" s="257">
        <v>800000</v>
      </c>
    </row>
    <row r="147" spans="1:14" s="143" customFormat="1" x14ac:dyDescent="0.25">
      <c r="A147" s="143" t="s">
        <v>274</v>
      </c>
      <c r="B147" s="143" t="s">
        <v>174</v>
      </c>
      <c r="C147" s="143" t="s">
        <v>175</v>
      </c>
      <c r="D147" s="143" t="s">
        <v>69</v>
      </c>
      <c r="E147" s="257">
        <v>466000</v>
      </c>
      <c r="F147" s="257">
        <v>466000</v>
      </c>
      <c r="G147" s="257">
        <v>150000</v>
      </c>
      <c r="H147" s="257">
        <v>0</v>
      </c>
      <c r="I147" s="257">
        <v>50000</v>
      </c>
      <c r="J147" s="257">
        <v>0</v>
      </c>
      <c r="K147" s="257">
        <v>0</v>
      </c>
      <c r="L147" s="257">
        <v>0</v>
      </c>
      <c r="M147" s="257">
        <v>416000</v>
      </c>
      <c r="N147" s="257">
        <v>100000</v>
      </c>
    </row>
    <row r="148" spans="1:14" s="143" customFormat="1" x14ac:dyDescent="0.25">
      <c r="A148" s="143" t="s">
        <v>274</v>
      </c>
      <c r="B148" s="143" t="s">
        <v>176</v>
      </c>
      <c r="C148" s="143" t="s">
        <v>177</v>
      </c>
      <c r="D148" s="143" t="s">
        <v>69</v>
      </c>
      <c r="E148" s="257">
        <v>466000</v>
      </c>
      <c r="F148" s="257">
        <v>466000</v>
      </c>
      <c r="G148" s="257">
        <v>150000</v>
      </c>
      <c r="H148" s="257">
        <v>0</v>
      </c>
      <c r="I148" s="257">
        <v>50000</v>
      </c>
      <c r="J148" s="257">
        <v>0</v>
      </c>
      <c r="K148" s="257">
        <v>0</v>
      </c>
      <c r="L148" s="257">
        <v>0</v>
      </c>
      <c r="M148" s="257">
        <v>416000</v>
      </c>
      <c r="N148" s="257">
        <v>100000</v>
      </c>
    </row>
    <row r="149" spans="1:14" s="143" customFormat="1" x14ac:dyDescent="0.25">
      <c r="A149" s="143" t="s">
        <v>274</v>
      </c>
      <c r="B149" s="143" t="s">
        <v>178</v>
      </c>
      <c r="C149" s="143" t="s">
        <v>179</v>
      </c>
      <c r="D149" s="143" t="s">
        <v>69</v>
      </c>
      <c r="E149" s="257">
        <v>1800000</v>
      </c>
      <c r="F149" s="257">
        <v>1800000</v>
      </c>
      <c r="G149" s="257">
        <v>149999.85</v>
      </c>
      <c r="H149" s="257">
        <v>0</v>
      </c>
      <c r="I149" s="257">
        <v>0</v>
      </c>
      <c r="J149" s="257">
        <v>0</v>
      </c>
      <c r="K149" s="257">
        <v>0</v>
      </c>
      <c r="L149" s="257">
        <v>0</v>
      </c>
      <c r="M149" s="257">
        <v>1800000</v>
      </c>
      <c r="N149" s="257">
        <v>149999.85</v>
      </c>
    </row>
    <row r="150" spans="1:14" s="143" customFormat="1" x14ac:dyDescent="0.25">
      <c r="A150" s="143" t="s">
        <v>274</v>
      </c>
      <c r="B150" s="143" t="s">
        <v>182</v>
      </c>
      <c r="C150" s="143" t="s">
        <v>183</v>
      </c>
      <c r="D150" s="143" t="s">
        <v>69</v>
      </c>
      <c r="E150" s="257">
        <v>1800000</v>
      </c>
      <c r="F150" s="257">
        <v>1800000</v>
      </c>
      <c r="G150" s="257">
        <v>149999.85</v>
      </c>
      <c r="H150" s="257">
        <v>0</v>
      </c>
      <c r="I150" s="257">
        <v>0</v>
      </c>
      <c r="J150" s="257">
        <v>0</v>
      </c>
      <c r="K150" s="257">
        <v>0</v>
      </c>
      <c r="L150" s="257">
        <v>0</v>
      </c>
      <c r="M150" s="257">
        <v>1800000</v>
      </c>
      <c r="N150" s="257">
        <v>149999.85</v>
      </c>
    </row>
    <row r="151" spans="1:14" s="143" customFormat="1" x14ac:dyDescent="0.25">
      <c r="A151" s="143" t="s">
        <v>274</v>
      </c>
      <c r="B151" s="143" t="s">
        <v>184</v>
      </c>
      <c r="C151" s="143" t="s">
        <v>185</v>
      </c>
      <c r="D151" s="143" t="s">
        <v>69</v>
      </c>
      <c r="E151" s="257">
        <v>57954839</v>
      </c>
      <c r="F151" s="257">
        <v>57954839</v>
      </c>
      <c r="G151" s="257">
        <v>23181582</v>
      </c>
      <c r="H151" s="257">
        <v>3482506.48</v>
      </c>
      <c r="I151" s="257">
        <v>5311476.47</v>
      </c>
      <c r="J151" s="257">
        <v>353348.3</v>
      </c>
      <c r="K151" s="257">
        <v>3239186.83</v>
      </c>
      <c r="L151" s="257">
        <v>2416824.83</v>
      </c>
      <c r="M151" s="257">
        <v>45568320.920000002</v>
      </c>
      <c r="N151" s="257">
        <v>10795063.92</v>
      </c>
    </row>
    <row r="152" spans="1:14" s="143" customFormat="1" x14ac:dyDescent="0.25">
      <c r="A152" s="143" t="s">
        <v>274</v>
      </c>
      <c r="B152" s="143" t="s">
        <v>186</v>
      </c>
      <c r="C152" s="143" t="s">
        <v>187</v>
      </c>
      <c r="D152" s="143" t="s">
        <v>69</v>
      </c>
      <c r="E152" s="257">
        <v>17854839</v>
      </c>
      <c r="F152" s="257">
        <v>17854839</v>
      </c>
      <c r="G152" s="257">
        <v>6178710</v>
      </c>
      <c r="H152" s="257">
        <v>0</v>
      </c>
      <c r="I152" s="257">
        <v>3329640</v>
      </c>
      <c r="J152" s="257">
        <v>0</v>
      </c>
      <c r="K152" s="257">
        <v>571905</v>
      </c>
      <c r="L152" s="257">
        <v>571905</v>
      </c>
      <c r="M152" s="257">
        <v>13953294</v>
      </c>
      <c r="N152" s="257">
        <v>2277165</v>
      </c>
    </row>
    <row r="153" spans="1:14" s="143" customFormat="1" x14ac:dyDescent="0.25">
      <c r="A153" s="143" t="s">
        <v>274</v>
      </c>
      <c r="B153" s="143" t="s">
        <v>188</v>
      </c>
      <c r="C153" s="143" t="s">
        <v>189</v>
      </c>
      <c r="D153" s="143" t="s">
        <v>69</v>
      </c>
      <c r="E153" s="257">
        <v>9354839</v>
      </c>
      <c r="F153" s="257">
        <v>9354839</v>
      </c>
      <c r="G153" s="257">
        <v>3053710</v>
      </c>
      <c r="H153" s="257">
        <v>0</v>
      </c>
      <c r="I153" s="257">
        <v>1207300</v>
      </c>
      <c r="J153" s="257">
        <v>0</v>
      </c>
      <c r="K153" s="257">
        <v>571905</v>
      </c>
      <c r="L153" s="257">
        <v>571905</v>
      </c>
      <c r="M153" s="257">
        <v>7575634</v>
      </c>
      <c r="N153" s="257">
        <v>1274505</v>
      </c>
    </row>
    <row r="154" spans="1:14" s="143" customFormat="1" x14ac:dyDescent="0.25">
      <c r="A154" s="143" t="s">
        <v>274</v>
      </c>
      <c r="B154" s="143" t="s">
        <v>192</v>
      </c>
      <c r="C154" s="143" t="s">
        <v>193</v>
      </c>
      <c r="D154" s="143" t="s">
        <v>69</v>
      </c>
      <c r="E154" s="257">
        <v>8500000</v>
      </c>
      <c r="F154" s="257">
        <v>8500000</v>
      </c>
      <c r="G154" s="257">
        <v>3125000</v>
      </c>
      <c r="H154" s="257">
        <v>0</v>
      </c>
      <c r="I154" s="257">
        <v>2122340</v>
      </c>
      <c r="J154" s="257">
        <v>0</v>
      </c>
      <c r="K154" s="257">
        <v>0</v>
      </c>
      <c r="L154" s="257">
        <v>0</v>
      </c>
      <c r="M154" s="257">
        <v>6377660</v>
      </c>
      <c r="N154" s="257">
        <v>1002660</v>
      </c>
    </row>
    <row r="155" spans="1:14" s="143" customFormat="1" x14ac:dyDescent="0.25">
      <c r="A155" s="143" t="s">
        <v>274</v>
      </c>
      <c r="B155" s="143" t="s">
        <v>196</v>
      </c>
      <c r="C155" s="143" t="s">
        <v>197</v>
      </c>
      <c r="D155" s="143" t="s">
        <v>69</v>
      </c>
      <c r="E155" s="257">
        <v>2460000</v>
      </c>
      <c r="F155" s="257">
        <v>2460000</v>
      </c>
      <c r="G155" s="257">
        <v>1830000</v>
      </c>
      <c r="H155" s="257">
        <v>0</v>
      </c>
      <c r="I155" s="257">
        <v>674218.7</v>
      </c>
      <c r="J155" s="257">
        <v>353348.3</v>
      </c>
      <c r="K155" s="257">
        <v>0</v>
      </c>
      <c r="L155" s="257">
        <v>0</v>
      </c>
      <c r="M155" s="257">
        <v>1432433</v>
      </c>
      <c r="N155" s="257">
        <v>802433</v>
      </c>
    </row>
    <row r="156" spans="1:14" s="143" customFormat="1" x14ac:dyDescent="0.25">
      <c r="A156" s="143" t="s">
        <v>274</v>
      </c>
      <c r="B156" s="143" t="s">
        <v>198</v>
      </c>
      <c r="C156" s="143" t="s">
        <v>199</v>
      </c>
      <c r="D156" s="143" t="s">
        <v>69</v>
      </c>
      <c r="E156" s="257">
        <v>2460000</v>
      </c>
      <c r="F156" s="257">
        <v>2460000</v>
      </c>
      <c r="G156" s="257">
        <v>1830000</v>
      </c>
      <c r="H156" s="257">
        <v>0</v>
      </c>
      <c r="I156" s="257">
        <v>674218.7</v>
      </c>
      <c r="J156" s="257">
        <v>353348.3</v>
      </c>
      <c r="K156" s="257">
        <v>0</v>
      </c>
      <c r="L156" s="257">
        <v>0</v>
      </c>
      <c r="M156" s="257">
        <v>1432433</v>
      </c>
      <c r="N156" s="257">
        <v>802433</v>
      </c>
    </row>
    <row r="157" spans="1:14" s="143" customFormat="1" x14ac:dyDescent="0.25">
      <c r="A157" s="143" t="s">
        <v>274</v>
      </c>
      <c r="B157" s="143" t="s">
        <v>200</v>
      </c>
      <c r="C157" s="143" t="s">
        <v>201</v>
      </c>
      <c r="D157" s="143" t="s">
        <v>69</v>
      </c>
      <c r="E157" s="257">
        <v>2000000</v>
      </c>
      <c r="F157" s="257">
        <v>2000000</v>
      </c>
      <c r="G157" s="257">
        <v>802000</v>
      </c>
      <c r="H157" s="257">
        <v>0</v>
      </c>
      <c r="I157" s="257">
        <v>105430</v>
      </c>
      <c r="J157" s="257">
        <v>0</v>
      </c>
      <c r="K157" s="257">
        <v>373368.18</v>
      </c>
      <c r="L157" s="257">
        <v>310571.18</v>
      </c>
      <c r="M157" s="257">
        <v>1521201.82</v>
      </c>
      <c r="N157" s="257">
        <v>323201.82</v>
      </c>
    </row>
    <row r="158" spans="1:14" s="143" customFormat="1" x14ac:dyDescent="0.25">
      <c r="A158" s="143" t="s">
        <v>274</v>
      </c>
      <c r="B158" s="143" t="s">
        <v>202</v>
      </c>
      <c r="C158" s="143" t="s">
        <v>203</v>
      </c>
      <c r="D158" s="143" t="s">
        <v>69</v>
      </c>
      <c r="E158" s="257">
        <v>2000000</v>
      </c>
      <c r="F158" s="257">
        <v>2000000</v>
      </c>
      <c r="G158" s="257">
        <v>802000</v>
      </c>
      <c r="H158" s="257">
        <v>0</v>
      </c>
      <c r="I158" s="257">
        <v>105430</v>
      </c>
      <c r="J158" s="257">
        <v>0</v>
      </c>
      <c r="K158" s="257">
        <v>373368.18</v>
      </c>
      <c r="L158" s="257">
        <v>310571.18</v>
      </c>
      <c r="M158" s="257">
        <v>1521201.82</v>
      </c>
      <c r="N158" s="257">
        <v>323201.82</v>
      </c>
    </row>
    <row r="159" spans="1:14" s="143" customFormat="1" x14ac:dyDescent="0.25">
      <c r="A159" s="143" t="s">
        <v>274</v>
      </c>
      <c r="B159" s="143" t="s">
        <v>206</v>
      </c>
      <c r="C159" s="143" t="s">
        <v>207</v>
      </c>
      <c r="D159" s="143" t="s">
        <v>69</v>
      </c>
      <c r="E159" s="257">
        <v>6710000</v>
      </c>
      <c r="F159" s="257">
        <v>6710000</v>
      </c>
      <c r="G159" s="257">
        <v>1606500</v>
      </c>
      <c r="H159" s="257">
        <v>0</v>
      </c>
      <c r="I159" s="257">
        <v>0</v>
      </c>
      <c r="J159" s="257">
        <v>0</v>
      </c>
      <c r="K159" s="257">
        <v>0</v>
      </c>
      <c r="L159" s="257">
        <v>0</v>
      </c>
      <c r="M159" s="257">
        <v>6710000</v>
      </c>
      <c r="N159" s="257">
        <v>1606500</v>
      </c>
    </row>
    <row r="160" spans="1:14" s="143" customFormat="1" x14ac:dyDescent="0.25">
      <c r="A160" s="143" t="s">
        <v>274</v>
      </c>
      <c r="B160" s="143" t="s">
        <v>208</v>
      </c>
      <c r="C160" s="143" t="s">
        <v>209</v>
      </c>
      <c r="D160" s="143" t="s">
        <v>69</v>
      </c>
      <c r="E160" s="257">
        <v>3710000</v>
      </c>
      <c r="F160" s="257">
        <v>3710000</v>
      </c>
      <c r="G160" s="257">
        <v>806500</v>
      </c>
      <c r="H160" s="257">
        <v>0</v>
      </c>
      <c r="I160" s="257">
        <v>0</v>
      </c>
      <c r="J160" s="257">
        <v>0</v>
      </c>
      <c r="K160" s="257">
        <v>0</v>
      </c>
      <c r="L160" s="257">
        <v>0</v>
      </c>
      <c r="M160" s="257">
        <v>3710000</v>
      </c>
      <c r="N160" s="257">
        <v>806500</v>
      </c>
    </row>
    <row r="161" spans="1:14" s="143" customFormat="1" x14ac:dyDescent="0.25">
      <c r="A161" s="143" t="s">
        <v>274</v>
      </c>
      <c r="B161" s="143" t="s">
        <v>210</v>
      </c>
      <c r="C161" s="143" t="s">
        <v>211</v>
      </c>
      <c r="D161" s="143" t="s">
        <v>69</v>
      </c>
      <c r="E161" s="257">
        <v>3000000</v>
      </c>
      <c r="F161" s="257">
        <v>3000000</v>
      </c>
      <c r="G161" s="257">
        <v>800000</v>
      </c>
      <c r="H161" s="257">
        <v>0</v>
      </c>
      <c r="I161" s="257">
        <v>0</v>
      </c>
      <c r="J161" s="257">
        <v>0</v>
      </c>
      <c r="K161" s="257">
        <v>0</v>
      </c>
      <c r="L161" s="257">
        <v>0</v>
      </c>
      <c r="M161" s="257">
        <v>3000000</v>
      </c>
      <c r="N161" s="257">
        <v>800000</v>
      </c>
    </row>
    <row r="162" spans="1:14" s="143" customFormat="1" x14ac:dyDescent="0.25">
      <c r="A162" s="143" t="s">
        <v>274</v>
      </c>
      <c r="B162" s="143" t="s">
        <v>212</v>
      </c>
      <c r="C162" s="143" t="s">
        <v>213</v>
      </c>
      <c r="D162" s="143" t="s">
        <v>69</v>
      </c>
      <c r="E162" s="257">
        <v>28930000</v>
      </c>
      <c r="F162" s="257">
        <v>28930000</v>
      </c>
      <c r="G162" s="257">
        <v>12764372</v>
      </c>
      <c r="H162" s="257">
        <v>3482506.48</v>
      </c>
      <c r="I162" s="257">
        <v>1202187.77</v>
      </c>
      <c r="J162" s="257">
        <v>0</v>
      </c>
      <c r="K162" s="257">
        <v>2293913.65</v>
      </c>
      <c r="L162" s="257">
        <v>1534348.65</v>
      </c>
      <c r="M162" s="257">
        <v>21951392.100000001</v>
      </c>
      <c r="N162" s="257">
        <v>5785764.0999999996</v>
      </c>
    </row>
    <row r="163" spans="1:14" s="143" customFormat="1" x14ac:dyDescent="0.25">
      <c r="A163" s="143" t="s">
        <v>274</v>
      </c>
      <c r="B163" s="143" t="s">
        <v>214</v>
      </c>
      <c r="C163" s="143" t="s">
        <v>215</v>
      </c>
      <c r="D163" s="143" t="s">
        <v>69</v>
      </c>
      <c r="E163" s="257">
        <v>8000000</v>
      </c>
      <c r="F163" s="257">
        <v>8000000</v>
      </c>
      <c r="G163" s="257">
        <v>3800000</v>
      </c>
      <c r="H163" s="257">
        <v>406186.48</v>
      </c>
      <c r="I163" s="257">
        <v>831845.77</v>
      </c>
      <c r="J163" s="257">
        <v>0</v>
      </c>
      <c r="K163" s="257">
        <v>759565</v>
      </c>
      <c r="L163" s="257">
        <v>0</v>
      </c>
      <c r="M163" s="257">
        <v>6002402.75</v>
      </c>
      <c r="N163" s="257">
        <v>1802402.75</v>
      </c>
    </row>
    <row r="164" spans="1:14" s="143" customFormat="1" x14ac:dyDescent="0.25">
      <c r="A164" s="143" t="s">
        <v>274</v>
      </c>
      <c r="B164" s="143" t="s">
        <v>218</v>
      </c>
      <c r="C164" s="143" t="s">
        <v>219</v>
      </c>
      <c r="D164" s="143" t="s">
        <v>69</v>
      </c>
      <c r="E164" s="257">
        <v>8000000</v>
      </c>
      <c r="F164" s="257">
        <v>8000000</v>
      </c>
      <c r="G164" s="257">
        <v>3500000</v>
      </c>
      <c r="H164" s="257">
        <v>320000</v>
      </c>
      <c r="I164" s="257">
        <v>125100</v>
      </c>
      <c r="J164" s="257">
        <v>0</v>
      </c>
      <c r="K164" s="257">
        <v>1534348.65</v>
      </c>
      <c r="L164" s="257">
        <v>1534348.65</v>
      </c>
      <c r="M164" s="257">
        <v>6020551.3499999996</v>
      </c>
      <c r="N164" s="257">
        <v>1520551.35</v>
      </c>
    </row>
    <row r="165" spans="1:14" s="143" customFormat="1" x14ac:dyDescent="0.25">
      <c r="A165" s="143" t="s">
        <v>274</v>
      </c>
      <c r="B165" s="143" t="s">
        <v>222</v>
      </c>
      <c r="C165" s="143" t="s">
        <v>223</v>
      </c>
      <c r="D165" s="143" t="s">
        <v>69</v>
      </c>
      <c r="E165" s="257">
        <v>4930000</v>
      </c>
      <c r="F165" s="257">
        <v>4930000</v>
      </c>
      <c r="G165" s="257">
        <v>2564372</v>
      </c>
      <c r="H165" s="257">
        <v>766320</v>
      </c>
      <c r="I165" s="257">
        <v>245242</v>
      </c>
      <c r="J165" s="257">
        <v>0</v>
      </c>
      <c r="K165" s="257">
        <v>0</v>
      </c>
      <c r="L165" s="257">
        <v>0</v>
      </c>
      <c r="M165" s="257">
        <v>3918438</v>
      </c>
      <c r="N165" s="257">
        <v>1552810</v>
      </c>
    </row>
    <row r="166" spans="1:14" s="143" customFormat="1" x14ac:dyDescent="0.25">
      <c r="A166" s="143" t="s">
        <v>274</v>
      </c>
      <c r="B166" s="143" t="s">
        <v>228</v>
      </c>
      <c r="C166" s="143" t="s">
        <v>229</v>
      </c>
      <c r="D166" s="143" t="s">
        <v>69</v>
      </c>
      <c r="E166" s="257">
        <v>8000000</v>
      </c>
      <c r="F166" s="257">
        <v>8000000</v>
      </c>
      <c r="G166" s="257">
        <v>2900000</v>
      </c>
      <c r="H166" s="257">
        <v>1990000</v>
      </c>
      <c r="I166" s="257">
        <v>0</v>
      </c>
      <c r="J166" s="257">
        <v>0</v>
      </c>
      <c r="K166" s="257">
        <v>0</v>
      </c>
      <c r="L166" s="257">
        <v>0</v>
      </c>
      <c r="M166" s="257">
        <v>6010000</v>
      </c>
      <c r="N166" s="257">
        <v>910000</v>
      </c>
    </row>
    <row r="167" spans="1:14" s="143" customFormat="1" x14ac:dyDescent="0.25">
      <c r="A167" s="143" t="s">
        <v>274</v>
      </c>
      <c r="B167" s="143" t="s">
        <v>248</v>
      </c>
      <c r="C167" s="143" t="s">
        <v>249</v>
      </c>
      <c r="D167" s="143" t="s">
        <v>69</v>
      </c>
      <c r="E167" s="257">
        <v>43960000</v>
      </c>
      <c r="F167" s="257">
        <v>43960000</v>
      </c>
      <c r="G167" s="257">
        <v>35960000</v>
      </c>
      <c r="H167" s="257">
        <v>0</v>
      </c>
      <c r="I167" s="257">
        <v>11679309.029999999</v>
      </c>
      <c r="J167" s="257">
        <v>0</v>
      </c>
      <c r="K167" s="257">
        <v>4974288.97</v>
      </c>
      <c r="L167" s="257">
        <v>4974288.97</v>
      </c>
      <c r="M167" s="257">
        <v>27306402</v>
      </c>
      <c r="N167" s="257">
        <v>19306402</v>
      </c>
    </row>
    <row r="168" spans="1:14" s="143" customFormat="1" x14ac:dyDescent="0.25">
      <c r="A168" s="143" t="s">
        <v>274</v>
      </c>
      <c r="B168" s="143" t="s">
        <v>250</v>
      </c>
      <c r="C168" s="143" t="s">
        <v>251</v>
      </c>
      <c r="D168" s="143" t="s">
        <v>69</v>
      </c>
      <c r="E168" s="257">
        <v>11142000</v>
      </c>
      <c r="F168" s="257">
        <v>11142000</v>
      </c>
      <c r="G168" s="257">
        <v>11142000</v>
      </c>
      <c r="H168" s="257">
        <v>0</v>
      </c>
      <c r="I168" s="257">
        <v>8311547</v>
      </c>
      <c r="J168" s="257">
        <v>0</v>
      </c>
      <c r="K168" s="257">
        <v>2830453</v>
      </c>
      <c r="L168" s="257">
        <v>2830453</v>
      </c>
      <c r="M168" s="257">
        <v>0</v>
      </c>
      <c r="N168" s="257">
        <v>0</v>
      </c>
    </row>
    <row r="169" spans="1:14" s="143" customFormat="1" x14ac:dyDescent="0.25">
      <c r="A169" s="143" t="s">
        <v>274</v>
      </c>
      <c r="B169" s="143" t="s">
        <v>284</v>
      </c>
      <c r="C169" s="143" t="s">
        <v>257</v>
      </c>
      <c r="D169" s="143" t="s">
        <v>69</v>
      </c>
      <c r="E169" s="257">
        <v>9273000</v>
      </c>
      <c r="F169" s="257">
        <v>9273000</v>
      </c>
      <c r="G169" s="257">
        <v>9273000</v>
      </c>
      <c r="H169" s="257">
        <v>0</v>
      </c>
      <c r="I169" s="257">
        <v>6917455</v>
      </c>
      <c r="J169" s="257">
        <v>0</v>
      </c>
      <c r="K169" s="257">
        <v>2355545</v>
      </c>
      <c r="L169" s="257">
        <v>2355545</v>
      </c>
      <c r="M169" s="257">
        <v>0</v>
      </c>
      <c r="N169" s="257">
        <v>0</v>
      </c>
    </row>
    <row r="170" spans="1:14" s="143" customFormat="1" x14ac:dyDescent="0.25">
      <c r="A170" s="143" t="s">
        <v>274</v>
      </c>
      <c r="B170" s="143" t="s">
        <v>285</v>
      </c>
      <c r="C170" s="143" t="s">
        <v>259</v>
      </c>
      <c r="D170" s="143" t="s">
        <v>69</v>
      </c>
      <c r="E170" s="257">
        <v>1869000</v>
      </c>
      <c r="F170" s="257">
        <v>1869000</v>
      </c>
      <c r="G170" s="257">
        <v>1869000</v>
      </c>
      <c r="H170" s="257">
        <v>0</v>
      </c>
      <c r="I170" s="257">
        <v>1394092</v>
      </c>
      <c r="J170" s="257">
        <v>0</v>
      </c>
      <c r="K170" s="257">
        <v>474908</v>
      </c>
      <c r="L170" s="257">
        <v>474908</v>
      </c>
      <c r="M170" s="257">
        <v>0</v>
      </c>
      <c r="N170" s="257">
        <v>0</v>
      </c>
    </row>
    <row r="171" spans="1:14" s="143" customFormat="1" x14ac:dyDescent="0.25">
      <c r="A171" s="143" t="s">
        <v>274</v>
      </c>
      <c r="B171" s="143" t="s">
        <v>260</v>
      </c>
      <c r="C171" s="143" t="s">
        <v>261</v>
      </c>
      <c r="D171" s="143" t="s">
        <v>69</v>
      </c>
      <c r="E171" s="257">
        <v>24818000</v>
      </c>
      <c r="F171" s="257">
        <v>24818000</v>
      </c>
      <c r="G171" s="257">
        <v>24818000</v>
      </c>
      <c r="H171" s="257">
        <v>0</v>
      </c>
      <c r="I171" s="257">
        <v>3367762.03</v>
      </c>
      <c r="J171" s="257">
        <v>0</v>
      </c>
      <c r="K171" s="257">
        <v>2143835.9700000002</v>
      </c>
      <c r="L171" s="257">
        <v>2143835.9700000002</v>
      </c>
      <c r="M171" s="257">
        <v>19306402</v>
      </c>
      <c r="N171" s="257">
        <v>19306402</v>
      </c>
    </row>
    <row r="172" spans="1:14" s="143" customFormat="1" x14ac:dyDescent="0.25">
      <c r="A172" s="143" t="s">
        <v>274</v>
      </c>
      <c r="B172" s="143" t="s">
        <v>262</v>
      </c>
      <c r="C172" s="143" t="s">
        <v>263</v>
      </c>
      <c r="D172" s="143" t="s">
        <v>69</v>
      </c>
      <c r="E172" s="257">
        <v>17000000</v>
      </c>
      <c r="F172" s="257">
        <v>17000000</v>
      </c>
      <c r="G172" s="257">
        <v>17000000</v>
      </c>
      <c r="H172" s="257">
        <v>0</v>
      </c>
      <c r="I172" s="257">
        <v>3367762.03</v>
      </c>
      <c r="J172" s="257">
        <v>0</v>
      </c>
      <c r="K172" s="257">
        <v>882237.97</v>
      </c>
      <c r="L172" s="257">
        <v>882237.97</v>
      </c>
      <c r="M172" s="257">
        <v>12750000</v>
      </c>
      <c r="N172" s="257">
        <v>12750000</v>
      </c>
    </row>
    <row r="173" spans="1:14" s="143" customFormat="1" x14ac:dyDescent="0.25">
      <c r="A173" s="143" t="s">
        <v>274</v>
      </c>
      <c r="B173" s="143" t="s">
        <v>264</v>
      </c>
      <c r="C173" s="143" t="s">
        <v>265</v>
      </c>
      <c r="D173" s="143" t="s">
        <v>69</v>
      </c>
      <c r="E173" s="257">
        <v>7818000</v>
      </c>
      <c r="F173" s="257">
        <v>7818000</v>
      </c>
      <c r="G173" s="257">
        <v>7818000</v>
      </c>
      <c r="H173" s="257">
        <v>0</v>
      </c>
      <c r="I173" s="257">
        <v>0</v>
      </c>
      <c r="J173" s="257">
        <v>0</v>
      </c>
      <c r="K173" s="257">
        <v>1261598</v>
      </c>
      <c r="L173" s="257">
        <v>1261598</v>
      </c>
      <c r="M173" s="257">
        <v>6556402</v>
      </c>
      <c r="N173" s="257">
        <v>6556402</v>
      </c>
    </row>
    <row r="174" spans="1:14" s="143" customFormat="1" x14ac:dyDescent="0.25">
      <c r="A174" s="143" t="s">
        <v>274</v>
      </c>
      <c r="B174" s="143" t="s">
        <v>286</v>
      </c>
      <c r="C174" s="143" t="s">
        <v>287</v>
      </c>
      <c r="D174" s="143" t="s">
        <v>69</v>
      </c>
      <c r="E174" s="257">
        <v>8000000</v>
      </c>
      <c r="F174" s="257">
        <v>8000000</v>
      </c>
      <c r="G174" s="257">
        <v>0</v>
      </c>
      <c r="H174" s="257">
        <v>0</v>
      </c>
      <c r="I174" s="257">
        <v>0</v>
      </c>
      <c r="J174" s="257">
        <v>0</v>
      </c>
      <c r="K174" s="257">
        <v>0</v>
      </c>
      <c r="L174" s="257">
        <v>0</v>
      </c>
      <c r="M174" s="257">
        <v>8000000</v>
      </c>
      <c r="N174" s="257">
        <v>0</v>
      </c>
    </row>
    <row r="175" spans="1:14" s="143" customFormat="1" x14ac:dyDescent="0.25">
      <c r="A175" s="143" t="s">
        <v>274</v>
      </c>
      <c r="B175" s="143" t="s">
        <v>288</v>
      </c>
      <c r="C175" s="143" t="s">
        <v>289</v>
      </c>
      <c r="D175" s="143" t="s">
        <v>69</v>
      </c>
      <c r="E175" s="257">
        <v>8000000</v>
      </c>
      <c r="F175" s="257">
        <v>8000000</v>
      </c>
      <c r="G175" s="257">
        <v>0</v>
      </c>
      <c r="H175" s="257">
        <v>0</v>
      </c>
      <c r="I175" s="257">
        <v>0</v>
      </c>
      <c r="J175" s="257">
        <v>0</v>
      </c>
      <c r="K175" s="257">
        <v>0</v>
      </c>
      <c r="L175" s="257">
        <v>0</v>
      </c>
      <c r="M175" s="257">
        <v>8000000</v>
      </c>
      <c r="N175" s="257">
        <v>0</v>
      </c>
    </row>
    <row r="176" spans="1:14" s="143" customFormat="1" x14ac:dyDescent="0.25">
      <c r="A176" s="143" t="s">
        <v>274</v>
      </c>
      <c r="B176" s="143" t="s">
        <v>230</v>
      </c>
      <c r="C176" s="143" t="s">
        <v>231</v>
      </c>
      <c r="D176" s="143" t="s">
        <v>85</v>
      </c>
      <c r="E176" s="257">
        <v>29500000</v>
      </c>
      <c r="F176" s="257">
        <v>29500000</v>
      </c>
      <c r="G176" s="257">
        <v>13500000</v>
      </c>
      <c r="H176" s="257">
        <v>1120000</v>
      </c>
      <c r="I176" s="257">
        <v>3776000</v>
      </c>
      <c r="J176" s="257">
        <v>406890</v>
      </c>
      <c r="K176" s="257">
        <v>687181</v>
      </c>
      <c r="L176" s="257">
        <v>46356</v>
      </c>
      <c r="M176" s="257">
        <v>23509929</v>
      </c>
      <c r="N176" s="257">
        <v>7509929</v>
      </c>
    </row>
    <row r="177" spans="1:14" s="143" customFormat="1" x14ac:dyDescent="0.25">
      <c r="A177" s="143" t="s">
        <v>274</v>
      </c>
      <c r="B177" s="143" t="s">
        <v>232</v>
      </c>
      <c r="C177" s="143" t="s">
        <v>233</v>
      </c>
      <c r="D177" s="143" t="s">
        <v>85</v>
      </c>
      <c r="E177" s="257">
        <v>29500000</v>
      </c>
      <c r="F177" s="257">
        <v>29500000</v>
      </c>
      <c r="G177" s="257">
        <v>13500000</v>
      </c>
      <c r="H177" s="257">
        <v>1120000</v>
      </c>
      <c r="I177" s="257">
        <v>3776000</v>
      </c>
      <c r="J177" s="257">
        <v>406890</v>
      </c>
      <c r="K177" s="257">
        <v>687181</v>
      </c>
      <c r="L177" s="257">
        <v>46356</v>
      </c>
      <c r="M177" s="257">
        <v>23509929</v>
      </c>
      <c r="N177" s="257">
        <v>7509929</v>
      </c>
    </row>
    <row r="178" spans="1:14" s="143" customFormat="1" x14ac:dyDescent="0.25">
      <c r="A178" s="143" t="s">
        <v>274</v>
      </c>
      <c r="B178" s="143" t="s">
        <v>236</v>
      </c>
      <c r="C178" s="143" t="s">
        <v>237</v>
      </c>
      <c r="D178" s="143" t="s">
        <v>85</v>
      </c>
      <c r="E178" s="257">
        <v>4700000</v>
      </c>
      <c r="F178" s="257">
        <v>4700000</v>
      </c>
      <c r="G178" s="257">
        <v>3175000</v>
      </c>
      <c r="H178" s="257">
        <v>1120000</v>
      </c>
      <c r="I178" s="257">
        <v>0</v>
      </c>
      <c r="J178" s="257">
        <v>0</v>
      </c>
      <c r="K178" s="257">
        <v>0</v>
      </c>
      <c r="L178" s="257">
        <v>0</v>
      </c>
      <c r="M178" s="257">
        <v>3580000</v>
      </c>
      <c r="N178" s="257">
        <v>2055000</v>
      </c>
    </row>
    <row r="179" spans="1:14" s="143" customFormat="1" x14ac:dyDescent="0.25">
      <c r="A179" s="143" t="s">
        <v>274</v>
      </c>
      <c r="B179" s="143" t="s">
        <v>238</v>
      </c>
      <c r="C179" s="143" t="s">
        <v>239</v>
      </c>
      <c r="D179" s="143" t="s">
        <v>85</v>
      </c>
      <c r="E179" s="257">
        <v>3800000</v>
      </c>
      <c r="F179" s="257">
        <v>3800000</v>
      </c>
      <c r="G179" s="257">
        <v>1450000</v>
      </c>
      <c r="H179" s="257">
        <v>0</v>
      </c>
      <c r="I179" s="257">
        <v>0</v>
      </c>
      <c r="J179" s="257">
        <v>406890</v>
      </c>
      <c r="K179" s="257">
        <v>506680</v>
      </c>
      <c r="L179" s="257">
        <v>0</v>
      </c>
      <c r="M179" s="257">
        <v>2886430</v>
      </c>
      <c r="N179" s="257">
        <v>536430</v>
      </c>
    </row>
    <row r="180" spans="1:14" s="143" customFormat="1" x14ac:dyDescent="0.25">
      <c r="A180" s="143" t="s">
        <v>274</v>
      </c>
      <c r="B180" s="143" t="s">
        <v>282</v>
      </c>
      <c r="C180" s="143" t="s">
        <v>283</v>
      </c>
      <c r="D180" s="143" t="s">
        <v>85</v>
      </c>
      <c r="E180" s="257">
        <v>1000000</v>
      </c>
      <c r="F180" s="257">
        <v>1000000</v>
      </c>
      <c r="G180" s="257">
        <v>500000</v>
      </c>
      <c r="H180" s="257">
        <v>0</v>
      </c>
      <c r="I180" s="257">
        <v>0</v>
      </c>
      <c r="J180" s="257">
        <v>0</v>
      </c>
      <c r="K180" s="257">
        <v>0</v>
      </c>
      <c r="L180" s="257">
        <v>0</v>
      </c>
      <c r="M180" s="257">
        <v>1000000</v>
      </c>
      <c r="N180" s="257">
        <v>500000</v>
      </c>
    </row>
    <row r="181" spans="1:14" s="143" customFormat="1" x14ac:dyDescent="0.25">
      <c r="A181" s="143" t="s">
        <v>274</v>
      </c>
      <c r="B181" s="143" t="s">
        <v>240</v>
      </c>
      <c r="C181" s="143" t="s">
        <v>241</v>
      </c>
      <c r="D181" s="143" t="s">
        <v>85</v>
      </c>
      <c r="E181" s="257">
        <v>16000000</v>
      </c>
      <c r="F181" s="257">
        <v>16000000</v>
      </c>
      <c r="G181" s="257">
        <v>8000000</v>
      </c>
      <c r="H181" s="257">
        <v>0</v>
      </c>
      <c r="I181" s="257">
        <v>3776000</v>
      </c>
      <c r="J181" s="257">
        <v>0</v>
      </c>
      <c r="K181" s="257">
        <v>180501</v>
      </c>
      <c r="L181" s="257">
        <v>46356</v>
      </c>
      <c r="M181" s="257">
        <v>12043499</v>
      </c>
      <c r="N181" s="257">
        <v>4043499</v>
      </c>
    </row>
    <row r="182" spans="1:14" s="143" customFormat="1" x14ac:dyDescent="0.25">
      <c r="A182" s="143" t="s">
        <v>274</v>
      </c>
      <c r="B182" s="143" t="s">
        <v>242</v>
      </c>
      <c r="C182" s="143" t="s">
        <v>243</v>
      </c>
      <c r="D182" s="143" t="s">
        <v>85</v>
      </c>
      <c r="E182" s="257">
        <v>4000000</v>
      </c>
      <c r="F182" s="257">
        <v>4000000</v>
      </c>
      <c r="G182" s="257">
        <v>375000</v>
      </c>
      <c r="H182" s="257">
        <v>0</v>
      </c>
      <c r="I182" s="257">
        <v>0</v>
      </c>
      <c r="J182" s="257">
        <v>0</v>
      </c>
      <c r="K182" s="257">
        <v>0</v>
      </c>
      <c r="L182" s="257">
        <v>0</v>
      </c>
      <c r="M182" s="257">
        <v>4000000</v>
      </c>
      <c r="N182" s="257">
        <v>375000</v>
      </c>
    </row>
    <row r="183" spans="1:14" s="143" customFormat="1" x14ac:dyDescent="0.25">
      <c r="A183" s="143">
        <v>214781</v>
      </c>
      <c r="D183" s="143" t="s">
        <v>69</v>
      </c>
      <c r="E183" s="257">
        <v>11325587195</v>
      </c>
      <c r="F183" s="257">
        <v>11325587195</v>
      </c>
      <c r="G183" s="257">
        <v>10712983096</v>
      </c>
      <c r="H183" s="257">
        <v>502009.19</v>
      </c>
      <c r="I183" s="257">
        <v>1335993020.99</v>
      </c>
      <c r="J183" s="257">
        <v>5048142.54</v>
      </c>
      <c r="K183" s="257">
        <v>2642394212.4299998</v>
      </c>
      <c r="L183" s="257">
        <v>2630303158.8299999</v>
      </c>
      <c r="M183" s="257">
        <v>7341649809.8500004</v>
      </c>
      <c r="N183" s="257">
        <v>6729045710.8500004</v>
      </c>
    </row>
    <row r="184" spans="1:14" s="143" customFormat="1" x14ac:dyDescent="0.25">
      <c r="A184" s="143" t="s">
        <v>290</v>
      </c>
      <c r="B184" s="143" t="s">
        <v>71</v>
      </c>
      <c r="C184" s="143" t="s">
        <v>72</v>
      </c>
      <c r="D184" s="143" t="s">
        <v>69</v>
      </c>
      <c r="E184" s="257">
        <v>9908319000</v>
      </c>
      <c r="F184" s="257">
        <v>9908319000</v>
      </c>
      <c r="G184" s="257">
        <v>9908319000</v>
      </c>
      <c r="H184" s="257">
        <v>0</v>
      </c>
      <c r="I184" s="257">
        <v>1107225975</v>
      </c>
      <c r="J184" s="257">
        <v>0</v>
      </c>
      <c r="K184" s="257">
        <v>2443515529.5700002</v>
      </c>
      <c r="L184" s="257">
        <v>2443515529.5700002</v>
      </c>
      <c r="M184" s="257">
        <v>6357577495.4300003</v>
      </c>
      <c r="N184" s="257">
        <v>6357577495.4300003</v>
      </c>
    </row>
    <row r="185" spans="1:14" s="143" customFormat="1" x14ac:dyDescent="0.25">
      <c r="A185" s="143" t="s">
        <v>290</v>
      </c>
      <c r="B185" s="143" t="s">
        <v>73</v>
      </c>
      <c r="C185" s="143" t="s">
        <v>74</v>
      </c>
      <c r="D185" s="143" t="s">
        <v>69</v>
      </c>
      <c r="E185" s="257">
        <v>3418584000</v>
      </c>
      <c r="F185" s="257">
        <v>3418584000</v>
      </c>
      <c r="G185" s="257">
        <v>3418584000</v>
      </c>
      <c r="H185" s="257">
        <v>0</v>
      </c>
      <c r="I185" s="257">
        <v>0</v>
      </c>
      <c r="J185" s="257">
        <v>0</v>
      </c>
      <c r="K185" s="257">
        <v>740698584.42999995</v>
      </c>
      <c r="L185" s="257">
        <v>740698584.42999995</v>
      </c>
      <c r="M185" s="257">
        <v>2677885415.5700002</v>
      </c>
      <c r="N185" s="257">
        <v>2677885415.5700002</v>
      </c>
    </row>
    <row r="186" spans="1:14" s="143" customFormat="1" x14ac:dyDescent="0.25">
      <c r="A186" s="143" t="s">
        <v>290</v>
      </c>
      <c r="B186" s="143" t="s">
        <v>75</v>
      </c>
      <c r="C186" s="143" t="s">
        <v>76</v>
      </c>
      <c r="D186" s="143" t="s">
        <v>69</v>
      </c>
      <c r="E186" s="257">
        <v>3413584000</v>
      </c>
      <c r="F186" s="257">
        <v>3413584000</v>
      </c>
      <c r="G186" s="257">
        <v>3413584000</v>
      </c>
      <c r="H186" s="257">
        <v>0</v>
      </c>
      <c r="I186" s="257">
        <v>0</v>
      </c>
      <c r="J186" s="257">
        <v>0</v>
      </c>
      <c r="K186" s="257">
        <v>740698584.42999995</v>
      </c>
      <c r="L186" s="257">
        <v>740698584.42999995</v>
      </c>
      <c r="M186" s="257">
        <v>2672885415.5700002</v>
      </c>
      <c r="N186" s="257">
        <v>2672885415.5700002</v>
      </c>
    </row>
    <row r="187" spans="1:14" s="143" customFormat="1" x14ac:dyDescent="0.25">
      <c r="A187" s="143" t="s">
        <v>290</v>
      </c>
      <c r="B187" s="143" t="s">
        <v>291</v>
      </c>
      <c r="C187" s="143" t="s">
        <v>292</v>
      </c>
      <c r="D187" s="143" t="s">
        <v>69</v>
      </c>
      <c r="E187" s="257">
        <v>5000000</v>
      </c>
      <c r="F187" s="257">
        <v>5000000</v>
      </c>
      <c r="G187" s="257">
        <v>5000000</v>
      </c>
      <c r="H187" s="257">
        <v>0</v>
      </c>
      <c r="I187" s="257">
        <v>0</v>
      </c>
      <c r="J187" s="257">
        <v>0</v>
      </c>
      <c r="K187" s="257">
        <v>0</v>
      </c>
      <c r="L187" s="257">
        <v>0</v>
      </c>
      <c r="M187" s="257">
        <v>5000000</v>
      </c>
      <c r="N187" s="257">
        <v>5000000</v>
      </c>
    </row>
    <row r="188" spans="1:14" s="143" customFormat="1" x14ac:dyDescent="0.25">
      <c r="A188" s="143" t="s">
        <v>290</v>
      </c>
      <c r="B188" s="143" t="s">
        <v>293</v>
      </c>
      <c r="C188" s="143" t="s">
        <v>294</v>
      </c>
      <c r="D188" s="143" t="s">
        <v>69</v>
      </c>
      <c r="E188" s="257">
        <v>11000000</v>
      </c>
      <c r="F188" s="257">
        <v>11000000</v>
      </c>
      <c r="G188" s="257">
        <v>11000000</v>
      </c>
      <c r="H188" s="257">
        <v>0</v>
      </c>
      <c r="I188" s="257">
        <v>0</v>
      </c>
      <c r="J188" s="257">
        <v>0</v>
      </c>
      <c r="K188" s="257">
        <v>1474042.67</v>
      </c>
      <c r="L188" s="257">
        <v>1474042.67</v>
      </c>
      <c r="M188" s="257">
        <v>9525957.3300000001</v>
      </c>
      <c r="N188" s="257">
        <v>9525957.3300000001</v>
      </c>
    </row>
    <row r="189" spans="1:14" s="143" customFormat="1" x14ac:dyDescent="0.25">
      <c r="A189" s="143" t="s">
        <v>290</v>
      </c>
      <c r="B189" s="143" t="s">
        <v>295</v>
      </c>
      <c r="C189" s="143" t="s">
        <v>296</v>
      </c>
      <c r="D189" s="143" t="s">
        <v>69</v>
      </c>
      <c r="E189" s="257">
        <v>11000000</v>
      </c>
      <c r="F189" s="257">
        <v>11000000</v>
      </c>
      <c r="G189" s="257">
        <v>11000000</v>
      </c>
      <c r="H189" s="257">
        <v>0</v>
      </c>
      <c r="I189" s="257">
        <v>0</v>
      </c>
      <c r="J189" s="257">
        <v>0</v>
      </c>
      <c r="K189" s="257">
        <v>1474042.67</v>
      </c>
      <c r="L189" s="257">
        <v>1474042.67</v>
      </c>
      <c r="M189" s="257">
        <v>9525957.3300000001</v>
      </c>
      <c r="N189" s="257">
        <v>9525957.3300000001</v>
      </c>
    </row>
    <row r="190" spans="1:14" s="143" customFormat="1" x14ac:dyDescent="0.25">
      <c r="A190" s="143" t="s">
        <v>290</v>
      </c>
      <c r="B190" s="143" t="s">
        <v>77</v>
      </c>
      <c r="C190" s="143" t="s">
        <v>78</v>
      </c>
      <c r="D190" s="143" t="s">
        <v>69</v>
      </c>
      <c r="E190" s="257">
        <v>4978167000</v>
      </c>
      <c r="F190" s="257">
        <v>4978167000</v>
      </c>
      <c r="G190" s="257">
        <v>4978167000</v>
      </c>
      <c r="H190" s="257">
        <v>0</v>
      </c>
      <c r="I190" s="257">
        <v>0</v>
      </c>
      <c r="J190" s="257">
        <v>0</v>
      </c>
      <c r="K190" s="257">
        <v>1308000877.47</v>
      </c>
      <c r="L190" s="257">
        <v>1308000877.47</v>
      </c>
      <c r="M190" s="257">
        <v>3670166122.5300002</v>
      </c>
      <c r="N190" s="257">
        <v>3670166122.5300002</v>
      </c>
    </row>
    <row r="191" spans="1:14" s="143" customFormat="1" x14ac:dyDescent="0.25">
      <c r="A191" s="143" t="s">
        <v>290</v>
      </c>
      <c r="B191" s="143" t="s">
        <v>79</v>
      </c>
      <c r="C191" s="143" t="s">
        <v>80</v>
      </c>
      <c r="D191" s="143" t="s">
        <v>69</v>
      </c>
      <c r="E191" s="257">
        <v>913627000</v>
      </c>
      <c r="F191" s="257">
        <v>913627000</v>
      </c>
      <c r="G191" s="257">
        <v>913627000</v>
      </c>
      <c r="H191" s="257">
        <v>0</v>
      </c>
      <c r="I191" s="257">
        <v>0</v>
      </c>
      <c r="J191" s="257">
        <v>0</v>
      </c>
      <c r="K191" s="257">
        <v>186153709.15000001</v>
      </c>
      <c r="L191" s="257">
        <v>186153709.15000001</v>
      </c>
      <c r="M191" s="257">
        <v>727473290.85000002</v>
      </c>
      <c r="N191" s="257">
        <v>727473290.85000002</v>
      </c>
    </row>
    <row r="192" spans="1:14" s="143" customFormat="1" x14ac:dyDescent="0.25">
      <c r="A192" s="143" t="s">
        <v>290</v>
      </c>
      <c r="B192" s="143" t="s">
        <v>81</v>
      </c>
      <c r="C192" s="143" t="s">
        <v>82</v>
      </c>
      <c r="D192" s="143" t="s">
        <v>69</v>
      </c>
      <c r="E192" s="257">
        <v>2244831000</v>
      </c>
      <c r="F192" s="257">
        <v>2244831000</v>
      </c>
      <c r="G192" s="257">
        <v>2244831000</v>
      </c>
      <c r="H192" s="257">
        <v>0</v>
      </c>
      <c r="I192" s="257">
        <v>0</v>
      </c>
      <c r="J192" s="257">
        <v>0</v>
      </c>
      <c r="K192" s="257">
        <v>488577583.30000001</v>
      </c>
      <c r="L192" s="257">
        <v>488577583.30000001</v>
      </c>
      <c r="M192" s="257">
        <v>1756253416.7</v>
      </c>
      <c r="N192" s="257">
        <v>1756253416.7</v>
      </c>
    </row>
    <row r="193" spans="1:14" s="143" customFormat="1" x14ac:dyDescent="0.25">
      <c r="A193" s="143" t="s">
        <v>290</v>
      </c>
      <c r="B193" s="143" t="s">
        <v>86</v>
      </c>
      <c r="C193" s="143" t="s">
        <v>87</v>
      </c>
      <c r="D193" s="143" t="s">
        <v>69</v>
      </c>
      <c r="E193" s="257">
        <v>540993000</v>
      </c>
      <c r="F193" s="257">
        <v>540993000</v>
      </c>
      <c r="G193" s="257">
        <v>540993000</v>
      </c>
      <c r="H193" s="257">
        <v>0</v>
      </c>
      <c r="I193" s="257">
        <v>0</v>
      </c>
      <c r="J193" s="257">
        <v>0</v>
      </c>
      <c r="K193" s="257">
        <v>493915397.87</v>
      </c>
      <c r="L193" s="257">
        <v>493915397.87</v>
      </c>
      <c r="M193" s="257">
        <v>47077602.130000003</v>
      </c>
      <c r="N193" s="257">
        <v>47077602.130000003</v>
      </c>
    </row>
    <row r="194" spans="1:14" s="143" customFormat="1" x14ac:dyDescent="0.25">
      <c r="A194" s="143" t="s">
        <v>290</v>
      </c>
      <c r="B194" s="143" t="s">
        <v>88</v>
      </c>
      <c r="C194" s="143" t="s">
        <v>89</v>
      </c>
      <c r="D194" s="143" t="s">
        <v>69</v>
      </c>
      <c r="E194" s="257">
        <v>630877000</v>
      </c>
      <c r="F194" s="257">
        <v>630877000</v>
      </c>
      <c r="G194" s="257">
        <v>630877000</v>
      </c>
      <c r="H194" s="257">
        <v>0</v>
      </c>
      <c r="I194" s="257">
        <v>0</v>
      </c>
      <c r="J194" s="257">
        <v>0</v>
      </c>
      <c r="K194" s="257">
        <v>139354187.15000001</v>
      </c>
      <c r="L194" s="257">
        <v>139354187.15000001</v>
      </c>
      <c r="M194" s="257">
        <v>491522812.85000002</v>
      </c>
      <c r="N194" s="257">
        <v>491522812.85000002</v>
      </c>
    </row>
    <row r="195" spans="1:14" s="143" customFormat="1" x14ac:dyDescent="0.25">
      <c r="A195" s="143" t="s">
        <v>290</v>
      </c>
      <c r="B195" s="143" t="s">
        <v>83</v>
      </c>
      <c r="C195" s="143" t="s">
        <v>84</v>
      </c>
      <c r="D195" s="143" t="s">
        <v>85</v>
      </c>
      <c r="E195" s="257">
        <v>647839000</v>
      </c>
      <c r="F195" s="257">
        <v>647839000</v>
      </c>
      <c r="G195" s="257">
        <v>647839000</v>
      </c>
      <c r="H195" s="257">
        <v>0</v>
      </c>
      <c r="I195" s="257">
        <v>0</v>
      </c>
      <c r="J195" s="257">
        <v>0</v>
      </c>
      <c r="K195" s="257">
        <v>0</v>
      </c>
      <c r="L195" s="257">
        <v>0</v>
      </c>
      <c r="M195" s="257">
        <v>647839000</v>
      </c>
      <c r="N195" s="257">
        <v>647839000</v>
      </c>
    </row>
    <row r="196" spans="1:14" s="143" customFormat="1" x14ac:dyDescent="0.25">
      <c r="A196" s="143" t="s">
        <v>290</v>
      </c>
      <c r="B196" s="143" t="s">
        <v>90</v>
      </c>
      <c r="C196" s="143" t="s">
        <v>91</v>
      </c>
      <c r="D196" s="143" t="s">
        <v>69</v>
      </c>
      <c r="E196" s="257">
        <v>756883000</v>
      </c>
      <c r="F196" s="257">
        <v>756883000</v>
      </c>
      <c r="G196" s="257">
        <v>756883000</v>
      </c>
      <c r="H196" s="257">
        <v>0</v>
      </c>
      <c r="I196" s="257">
        <v>557085886</v>
      </c>
      <c r="J196" s="257">
        <v>0</v>
      </c>
      <c r="K196" s="257">
        <v>199797114</v>
      </c>
      <c r="L196" s="257">
        <v>199797114</v>
      </c>
      <c r="M196" s="257">
        <v>0</v>
      </c>
      <c r="N196" s="257">
        <v>0</v>
      </c>
    </row>
    <row r="197" spans="1:14" s="143" customFormat="1" x14ac:dyDescent="0.25">
      <c r="A197" s="143" t="s">
        <v>290</v>
      </c>
      <c r="B197" s="143" t="s">
        <v>297</v>
      </c>
      <c r="C197" s="143" t="s">
        <v>93</v>
      </c>
      <c r="D197" s="143" t="s">
        <v>69</v>
      </c>
      <c r="E197" s="257">
        <v>718069000</v>
      </c>
      <c r="F197" s="257">
        <v>718069000</v>
      </c>
      <c r="G197" s="257">
        <v>718069000</v>
      </c>
      <c r="H197" s="257">
        <v>0</v>
      </c>
      <c r="I197" s="257">
        <v>528516650</v>
      </c>
      <c r="J197" s="257">
        <v>0</v>
      </c>
      <c r="K197" s="257">
        <v>189552350</v>
      </c>
      <c r="L197" s="257">
        <v>189552350</v>
      </c>
      <c r="M197" s="257">
        <v>0</v>
      </c>
      <c r="N197" s="257">
        <v>0</v>
      </c>
    </row>
    <row r="198" spans="1:14" s="143" customFormat="1" x14ac:dyDescent="0.25">
      <c r="A198" s="143" t="s">
        <v>290</v>
      </c>
      <c r="B198" s="143" t="s">
        <v>298</v>
      </c>
      <c r="C198" s="143" t="s">
        <v>95</v>
      </c>
      <c r="D198" s="143" t="s">
        <v>69</v>
      </c>
      <c r="E198" s="257">
        <v>38814000</v>
      </c>
      <c r="F198" s="257">
        <v>38814000</v>
      </c>
      <c r="G198" s="257">
        <v>38814000</v>
      </c>
      <c r="H198" s="257">
        <v>0</v>
      </c>
      <c r="I198" s="257">
        <v>28569236</v>
      </c>
      <c r="J198" s="257">
        <v>0</v>
      </c>
      <c r="K198" s="257">
        <v>10244764</v>
      </c>
      <c r="L198" s="257">
        <v>10244764</v>
      </c>
      <c r="M198" s="257">
        <v>0</v>
      </c>
      <c r="N198" s="257">
        <v>0</v>
      </c>
    </row>
    <row r="199" spans="1:14" s="143" customFormat="1" x14ac:dyDescent="0.25">
      <c r="A199" s="143" t="s">
        <v>290</v>
      </c>
      <c r="B199" s="143" t="s">
        <v>96</v>
      </c>
      <c r="C199" s="143" t="s">
        <v>97</v>
      </c>
      <c r="D199" s="143" t="s">
        <v>69</v>
      </c>
      <c r="E199" s="257">
        <v>743685000</v>
      </c>
      <c r="F199" s="257">
        <v>743685000</v>
      </c>
      <c r="G199" s="257">
        <v>743685000</v>
      </c>
      <c r="H199" s="257">
        <v>0</v>
      </c>
      <c r="I199" s="257">
        <v>550140089</v>
      </c>
      <c r="J199" s="257">
        <v>0</v>
      </c>
      <c r="K199" s="257">
        <v>193544911</v>
      </c>
      <c r="L199" s="257">
        <v>193544911</v>
      </c>
      <c r="M199" s="257">
        <v>0</v>
      </c>
      <c r="N199" s="257">
        <v>0</v>
      </c>
    </row>
    <row r="200" spans="1:14" s="143" customFormat="1" x14ac:dyDescent="0.25">
      <c r="A200" s="143" t="s">
        <v>290</v>
      </c>
      <c r="B200" s="143" t="s">
        <v>299</v>
      </c>
      <c r="C200" s="143" t="s">
        <v>99</v>
      </c>
      <c r="D200" s="143" t="s">
        <v>69</v>
      </c>
      <c r="E200" s="257">
        <v>394355000</v>
      </c>
      <c r="F200" s="257">
        <v>394355000</v>
      </c>
      <c r="G200" s="257">
        <v>394355000</v>
      </c>
      <c r="H200" s="257">
        <v>0</v>
      </c>
      <c r="I200" s="257">
        <v>293012766</v>
      </c>
      <c r="J200" s="257">
        <v>0</v>
      </c>
      <c r="K200" s="257">
        <v>101342234</v>
      </c>
      <c r="L200" s="257">
        <v>101342234</v>
      </c>
      <c r="M200" s="257">
        <v>0</v>
      </c>
      <c r="N200" s="257">
        <v>0</v>
      </c>
    </row>
    <row r="201" spans="1:14" s="143" customFormat="1" x14ac:dyDescent="0.25">
      <c r="A201" s="143" t="s">
        <v>290</v>
      </c>
      <c r="B201" s="143" t="s">
        <v>300</v>
      </c>
      <c r="C201" s="143" t="s">
        <v>101</v>
      </c>
      <c r="D201" s="143" t="s">
        <v>69</v>
      </c>
      <c r="E201" s="257">
        <v>116443000</v>
      </c>
      <c r="F201" s="257">
        <v>116443000</v>
      </c>
      <c r="G201" s="257">
        <v>116443000</v>
      </c>
      <c r="H201" s="257">
        <v>0</v>
      </c>
      <c r="I201" s="257">
        <v>85708798</v>
      </c>
      <c r="J201" s="257">
        <v>0</v>
      </c>
      <c r="K201" s="257">
        <v>30734202</v>
      </c>
      <c r="L201" s="257">
        <v>30734202</v>
      </c>
      <c r="M201" s="257">
        <v>0</v>
      </c>
      <c r="N201" s="257">
        <v>0</v>
      </c>
    </row>
    <row r="202" spans="1:14" s="143" customFormat="1" x14ac:dyDescent="0.25">
      <c r="A202" s="143" t="s">
        <v>290</v>
      </c>
      <c r="B202" s="143" t="s">
        <v>301</v>
      </c>
      <c r="C202" s="143" t="s">
        <v>103</v>
      </c>
      <c r="D202" s="143" t="s">
        <v>69</v>
      </c>
      <c r="E202" s="257">
        <v>232887000</v>
      </c>
      <c r="F202" s="257">
        <v>232887000</v>
      </c>
      <c r="G202" s="257">
        <v>232887000</v>
      </c>
      <c r="H202" s="257">
        <v>0</v>
      </c>
      <c r="I202" s="257">
        <v>171418525</v>
      </c>
      <c r="J202" s="257">
        <v>0</v>
      </c>
      <c r="K202" s="257">
        <v>61468475</v>
      </c>
      <c r="L202" s="257">
        <v>61468475</v>
      </c>
      <c r="M202" s="257">
        <v>0</v>
      </c>
      <c r="N202" s="257">
        <v>0</v>
      </c>
    </row>
    <row r="203" spans="1:14" s="143" customFormat="1" x14ac:dyDescent="0.25">
      <c r="A203" s="143" t="s">
        <v>290</v>
      </c>
      <c r="B203" s="143" t="s">
        <v>104</v>
      </c>
      <c r="C203" s="143" t="s">
        <v>105</v>
      </c>
      <c r="D203" s="143" t="s">
        <v>69</v>
      </c>
      <c r="E203" s="257">
        <v>1006874402</v>
      </c>
      <c r="F203" s="257">
        <v>1006874402</v>
      </c>
      <c r="G203" s="257">
        <v>532617900</v>
      </c>
      <c r="H203" s="257">
        <v>150000</v>
      </c>
      <c r="I203" s="257">
        <v>122006682.18000001</v>
      </c>
      <c r="J203" s="257">
        <v>5048142.54</v>
      </c>
      <c r="K203" s="257">
        <v>143171694.83000001</v>
      </c>
      <c r="L203" s="257">
        <v>131080641.23</v>
      </c>
      <c r="M203" s="257">
        <v>736497882.45000005</v>
      </c>
      <c r="N203" s="257">
        <v>262241380.44999999</v>
      </c>
    </row>
    <row r="204" spans="1:14" s="143" customFormat="1" x14ac:dyDescent="0.25">
      <c r="A204" s="143" t="s">
        <v>290</v>
      </c>
      <c r="B204" s="143" t="s">
        <v>106</v>
      </c>
      <c r="C204" s="143" t="s">
        <v>107</v>
      </c>
      <c r="D204" s="143" t="s">
        <v>69</v>
      </c>
      <c r="E204" s="257">
        <v>331717997</v>
      </c>
      <c r="F204" s="257">
        <v>331717997</v>
      </c>
      <c r="G204" s="257">
        <v>162338998</v>
      </c>
      <c r="H204" s="257">
        <v>0</v>
      </c>
      <c r="I204" s="257">
        <v>44532407.850000001</v>
      </c>
      <c r="J204" s="257">
        <v>0</v>
      </c>
      <c r="K204" s="257">
        <v>33479808.690000001</v>
      </c>
      <c r="L204" s="257">
        <v>32041633.140000001</v>
      </c>
      <c r="M204" s="257">
        <v>253705780.46000001</v>
      </c>
      <c r="N204" s="257">
        <v>84326781.459999993</v>
      </c>
    </row>
    <row r="205" spans="1:14" s="143" customFormat="1" x14ac:dyDescent="0.25">
      <c r="A205" s="143" t="s">
        <v>290</v>
      </c>
      <c r="B205" s="143" t="s">
        <v>280</v>
      </c>
      <c r="C205" s="143" t="s">
        <v>281</v>
      </c>
      <c r="D205" s="143" t="s">
        <v>69</v>
      </c>
      <c r="E205" s="257">
        <v>200526630</v>
      </c>
      <c r="F205" s="257">
        <v>200526630</v>
      </c>
      <c r="G205" s="257">
        <v>90343314</v>
      </c>
      <c r="H205" s="257">
        <v>0</v>
      </c>
      <c r="I205" s="257">
        <v>9621270</v>
      </c>
      <c r="J205" s="257">
        <v>0</v>
      </c>
      <c r="K205" s="257">
        <v>29949555</v>
      </c>
      <c r="L205" s="257">
        <v>29949555</v>
      </c>
      <c r="M205" s="257">
        <v>160955805</v>
      </c>
      <c r="N205" s="257">
        <v>50772489</v>
      </c>
    </row>
    <row r="206" spans="1:14" s="143" customFormat="1" x14ac:dyDescent="0.25">
      <c r="A206" s="143" t="s">
        <v>290</v>
      </c>
      <c r="B206" s="143" t="s">
        <v>302</v>
      </c>
      <c r="C206" s="143" t="s">
        <v>303</v>
      </c>
      <c r="D206" s="143" t="s">
        <v>69</v>
      </c>
      <c r="E206" s="257">
        <v>3933000</v>
      </c>
      <c r="F206" s="257">
        <v>3933000</v>
      </c>
      <c r="G206" s="257">
        <v>1966500</v>
      </c>
      <c r="H206" s="257">
        <v>0</v>
      </c>
      <c r="I206" s="257">
        <v>519308.13</v>
      </c>
      <c r="J206" s="257">
        <v>0</v>
      </c>
      <c r="K206" s="257">
        <v>252137.18</v>
      </c>
      <c r="L206" s="257">
        <v>252137.18</v>
      </c>
      <c r="M206" s="257">
        <v>3161554.69</v>
      </c>
      <c r="N206" s="257">
        <v>1195054.69</v>
      </c>
    </row>
    <row r="207" spans="1:14" s="143" customFormat="1" x14ac:dyDescent="0.25">
      <c r="A207" s="143" t="s">
        <v>290</v>
      </c>
      <c r="B207" s="143" t="s">
        <v>108</v>
      </c>
      <c r="C207" s="143" t="s">
        <v>109</v>
      </c>
      <c r="D207" s="143" t="s">
        <v>69</v>
      </c>
      <c r="E207" s="257">
        <v>98126131</v>
      </c>
      <c r="F207" s="257">
        <v>98126131</v>
      </c>
      <c r="G207" s="257">
        <v>53063066</v>
      </c>
      <c r="H207" s="257">
        <v>0</v>
      </c>
      <c r="I207" s="257">
        <v>25575340.710000001</v>
      </c>
      <c r="J207" s="257">
        <v>0</v>
      </c>
      <c r="K207" s="257">
        <v>2868324.01</v>
      </c>
      <c r="L207" s="257">
        <v>1430148.46</v>
      </c>
      <c r="M207" s="257">
        <v>69682466.280000001</v>
      </c>
      <c r="N207" s="257">
        <v>24619401.280000001</v>
      </c>
    </row>
    <row r="208" spans="1:14" s="143" customFormat="1" x14ac:dyDescent="0.25">
      <c r="A208" s="143" t="s">
        <v>290</v>
      </c>
      <c r="B208" s="143" t="s">
        <v>304</v>
      </c>
      <c r="C208" s="143" t="s">
        <v>305</v>
      </c>
      <c r="D208" s="143" t="s">
        <v>69</v>
      </c>
      <c r="E208" s="257">
        <v>1774000</v>
      </c>
      <c r="F208" s="257">
        <v>1774000</v>
      </c>
      <c r="G208" s="257">
        <v>1087000</v>
      </c>
      <c r="H208" s="257">
        <v>0</v>
      </c>
      <c r="I208" s="257">
        <v>169369.65</v>
      </c>
      <c r="J208" s="257">
        <v>0</v>
      </c>
      <c r="K208" s="257">
        <v>409792.5</v>
      </c>
      <c r="L208" s="257">
        <v>409792.5</v>
      </c>
      <c r="M208" s="257">
        <v>1194837.8500000001</v>
      </c>
      <c r="N208" s="257">
        <v>507837.85</v>
      </c>
    </row>
    <row r="209" spans="1:14" s="143" customFormat="1" x14ac:dyDescent="0.25">
      <c r="A209" s="143" t="s">
        <v>290</v>
      </c>
      <c r="B209" s="143" t="s">
        <v>110</v>
      </c>
      <c r="C209" s="143" t="s">
        <v>111</v>
      </c>
      <c r="D209" s="143" t="s">
        <v>69</v>
      </c>
      <c r="E209" s="257">
        <v>27358236</v>
      </c>
      <c r="F209" s="257">
        <v>27358236</v>
      </c>
      <c r="G209" s="257">
        <v>15879118</v>
      </c>
      <c r="H209" s="257">
        <v>0</v>
      </c>
      <c r="I209" s="257">
        <v>8647119.3599999994</v>
      </c>
      <c r="J209" s="257">
        <v>0</v>
      </c>
      <c r="K209" s="257">
        <v>0</v>
      </c>
      <c r="L209" s="257">
        <v>0</v>
      </c>
      <c r="M209" s="257">
        <v>18711116.640000001</v>
      </c>
      <c r="N209" s="257">
        <v>7231998.6399999997</v>
      </c>
    </row>
    <row r="210" spans="1:14" s="143" customFormat="1" x14ac:dyDescent="0.25">
      <c r="A210" s="143" t="s">
        <v>290</v>
      </c>
      <c r="B210" s="143" t="s">
        <v>112</v>
      </c>
      <c r="C210" s="143" t="s">
        <v>113</v>
      </c>
      <c r="D210" s="143" t="s">
        <v>69</v>
      </c>
      <c r="E210" s="257">
        <v>126929000</v>
      </c>
      <c r="F210" s="257">
        <v>126929000</v>
      </c>
      <c r="G210" s="257">
        <v>69914500</v>
      </c>
      <c r="H210" s="257">
        <v>0</v>
      </c>
      <c r="I210" s="257">
        <v>9689032.3599999994</v>
      </c>
      <c r="J210" s="257">
        <v>0</v>
      </c>
      <c r="K210" s="257">
        <v>25364593.399999999</v>
      </c>
      <c r="L210" s="257">
        <v>22291508.399999999</v>
      </c>
      <c r="M210" s="257">
        <v>91875374.239999995</v>
      </c>
      <c r="N210" s="257">
        <v>34860874.240000002</v>
      </c>
    </row>
    <row r="211" spans="1:14" s="143" customFormat="1" x14ac:dyDescent="0.25">
      <c r="A211" s="143" t="s">
        <v>290</v>
      </c>
      <c r="B211" s="143" t="s">
        <v>114</v>
      </c>
      <c r="C211" s="143" t="s">
        <v>115</v>
      </c>
      <c r="D211" s="143" t="s">
        <v>69</v>
      </c>
      <c r="E211" s="257">
        <v>13400000</v>
      </c>
      <c r="F211" s="257">
        <v>13400000</v>
      </c>
      <c r="G211" s="257">
        <v>9700000</v>
      </c>
      <c r="H211" s="257">
        <v>0</v>
      </c>
      <c r="I211" s="257">
        <v>3400000</v>
      </c>
      <c r="J211" s="257">
        <v>0</v>
      </c>
      <c r="K211" s="257">
        <v>2722595</v>
      </c>
      <c r="L211" s="257">
        <v>2722595</v>
      </c>
      <c r="M211" s="257">
        <v>7277405</v>
      </c>
      <c r="N211" s="257">
        <v>3577405</v>
      </c>
    </row>
    <row r="212" spans="1:14" s="143" customFormat="1" x14ac:dyDescent="0.25">
      <c r="A212" s="143" t="s">
        <v>290</v>
      </c>
      <c r="B212" s="143" t="s">
        <v>116</v>
      </c>
      <c r="C212" s="143" t="s">
        <v>117</v>
      </c>
      <c r="D212" s="143" t="s">
        <v>69</v>
      </c>
      <c r="E212" s="257">
        <v>49200000</v>
      </c>
      <c r="F212" s="257">
        <v>49200000</v>
      </c>
      <c r="G212" s="257">
        <v>26300000</v>
      </c>
      <c r="H212" s="257">
        <v>0</v>
      </c>
      <c r="I212" s="257">
        <v>1173595</v>
      </c>
      <c r="J212" s="257">
        <v>0</v>
      </c>
      <c r="K212" s="257">
        <v>12724160</v>
      </c>
      <c r="L212" s="257">
        <v>9900325</v>
      </c>
      <c r="M212" s="257">
        <v>35302245</v>
      </c>
      <c r="N212" s="257">
        <v>12402245</v>
      </c>
    </row>
    <row r="213" spans="1:14" s="143" customFormat="1" x14ac:dyDescent="0.25">
      <c r="A213" s="143" t="s">
        <v>290</v>
      </c>
      <c r="B213" s="143" t="s">
        <v>118</v>
      </c>
      <c r="C213" s="143" t="s">
        <v>119</v>
      </c>
      <c r="D213" s="143" t="s">
        <v>69</v>
      </c>
      <c r="E213" s="257">
        <v>12000000</v>
      </c>
      <c r="F213" s="257">
        <v>12000000</v>
      </c>
      <c r="G213" s="257">
        <v>5550000</v>
      </c>
      <c r="H213" s="257">
        <v>0</v>
      </c>
      <c r="I213" s="257">
        <v>477180</v>
      </c>
      <c r="J213" s="257">
        <v>0</v>
      </c>
      <c r="K213" s="257">
        <v>731520</v>
      </c>
      <c r="L213" s="257">
        <v>482270</v>
      </c>
      <c r="M213" s="257">
        <v>10791300</v>
      </c>
      <c r="N213" s="257">
        <v>4341300</v>
      </c>
    </row>
    <row r="214" spans="1:14" s="143" customFormat="1" x14ac:dyDescent="0.25">
      <c r="A214" s="143" t="s">
        <v>290</v>
      </c>
      <c r="B214" s="143" t="s">
        <v>120</v>
      </c>
      <c r="C214" s="143" t="s">
        <v>121</v>
      </c>
      <c r="D214" s="143" t="s">
        <v>69</v>
      </c>
      <c r="E214" s="257">
        <v>47604000</v>
      </c>
      <c r="F214" s="257">
        <v>47604000</v>
      </c>
      <c r="G214" s="257">
        <v>25802000</v>
      </c>
      <c r="H214" s="257">
        <v>0</v>
      </c>
      <c r="I214" s="257">
        <v>4396864.8099999996</v>
      </c>
      <c r="J214" s="257">
        <v>0</v>
      </c>
      <c r="K214" s="257">
        <v>8046710.9500000002</v>
      </c>
      <c r="L214" s="257">
        <v>8046710.9500000002</v>
      </c>
      <c r="M214" s="257">
        <v>35160424.240000002</v>
      </c>
      <c r="N214" s="257">
        <v>13358424.24</v>
      </c>
    </row>
    <row r="215" spans="1:14" s="143" customFormat="1" x14ac:dyDescent="0.25">
      <c r="A215" s="143" t="s">
        <v>290</v>
      </c>
      <c r="B215" s="143" t="s">
        <v>122</v>
      </c>
      <c r="C215" s="143" t="s">
        <v>123</v>
      </c>
      <c r="D215" s="143" t="s">
        <v>69</v>
      </c>
      <c r="E215" s="257">
        <v>4725000</v>
      </c>
      <c r="F215" s="257">
        <v>4725000</v>
      </c>
      <c r="G215" s="257">
        <v>2562500</v>
      </c>
      <c r="H215" s="257">
        <v>0</v>
      </c>
      <c r="I215" s="257">
        <v>241392.55</v>
      </c>
      <c r="J215" s="257">
        <v>0</v>
      </c>
      <c r="K215" s="257">
        <v>1139607.45</v>
      </c>
      <c r="L215" s="257">
        <v>1139607.45</v>
      </c>
      <c r="M215" s="257">
        <v>3344000</v>
      </c>
      <c r="N215" s="257">
        <v>1181500</v>
      </c>
    </row>
    <row r="216" spans="1:14" s="143" customFormat="1" x14ac:dyDescent="0.25">
      <c r="A216" s="143" t="s">
        <v>290</v>
      </c>
      <c r="B216" s="143" t="s">
        <v>124</v>
      </c>
      <c r="C216" s="143" t="s">
        <v>125</v>
      </c>
      <c r="D216" s="143" t="s">
        <v>69</v>
      </c>
      <c r="E216" s="257">
        <v>3746000</v>
      </c>
      <c r="F216" s="257">
        <v>3746000</v>
      </c>
      <c r="G216" s="257">
        <v>2153700</v>
      </c>
      <c r="H216" s="257">
        <v>0</v>
      </c>
      <c r="I216" s="257">
        <v>752703.57</v>
      </c>
      <c r="J216" s="257">
        <v>0</v>
      </c>
      <c r="K216" s="257">
        <v>147379.65</v>
      </c>
      <c r="L216" s="257">
        <v>147379.65</v>
      </c>
      <c r="M216" s="257">
        <v>2845916.78</v>
      </c>
      <c r="N216" s="257">
        <v>1253616.78</v>
      </c>
    </row>
    <row r="217" spans="1:14" s="143" customFormat="1" x14ac:dyDescent="0.25">
      <c r="A217" s="143" t="s">
        <v>290</v>
      </c>
      <c r="B217" s="143" t="s">
        <v>126</v>
      </c>
      <c r="C217" s="143" t="s">
        <v>127</v>
      </c>
      <c r="D217" s="143" t="s">
        <v>69</v>
      </c>
      <c r="E217" s="257">
        <v>500000</v>
      </c>
      <c r="F217" s="257">
        <v>500000</v>
      </c>
      <c r="G217" s="257">
        <v>430700</v>
      </c>
      <c r="H217" s="257">
        <v>0</v>
      </c>
      <c r="I217" s="257">
        <v>100000</v>
      </c>
      <c r="J217" s="257">
        <v>0</v>
      </c>
      <c r="K217" s="257">
        <v>71970</v>
      </c>
      <c r="L217" s="257">
        <v>71970</v>
      </c>
      <c r="M217" s="257">
        <v>328030</v>
      </c>
      <c r="N217" s="257">
        <v>258730</v>
      </c>
    </row>
    <row r="218" spans="1:14" s="143" customFormat="1" x14ac:dyDescent="0.25">
      <c r="A218" s="143" t="s">
        <v>290</v>
      </c>
      <c r="B218" s="143" t="s">
        <v>128</v>
      </c>
      <c r="C218" s="143" t="s">
        <v>129</v>
      </c>
      <c r="D218" s="143" t="s">
        <v>69</v>
      </c>
      <c r="E218" s="257">
        <v>1000000</v>
      </c>
      <c r="F218" s="257">
        <v>1000000</v>
      </c>
      <c r="G218" s="257">
        <v>500000</v>
      </c>
      <c r="H218" s="257">
        <v>0</v>
      </c>
      <c r="I218" s="257">
        <v>147000</v>
      </c>
      <c r="J218" s="257">
        <v>0</v>
      </c>
      <c r="K218" s="257">
        <v>21950</v>
      </c>
      <c r="L218" s="257">
        <v>21950</v>
      </c>
      <c r="M218" s="257">
        <v>831050</v>
      </c>
      <c r="N218" s="257">
        <v>331050</v>
      </c>
    </row>
    <row r="219" spans="1:14" s="143" customFormat="1" x14ac:dyDescent="0.25">
      <c r="A219" s="143" t="s">
        <v>290</v>
      </c>
      <c r="B219" s="143" t="s">
        <v>130</v>
      </c>
      <c r="C219" s="143" t="s">
        <v>131</v>
      </c>
      <c r="D219" s="143" t="s">
        <v>69</v>
      </c>
      <c r="E219" s="257">
        <v>200000</v>
      </c>
      <c r="F219" s="257">
        <v>200000</v>
      </c>
      <c r="G219" s="257">
        <v>200000</v>
      </c>
      <c r="H219" s="257">
        <v>0</v>
      </c>
      <c r="I219" s="257">
        <v>75337.5</v>
      </c>
      <c r="J219" s="257">
        <v>0</v>
      </c>
      <c r="K219" s="257">
        <v>21894</v>
      </c>
      <c r="L219" s="257">
        <v>21894</v>
      </c>
      <c r="M219" s="257">
        <v>102768.5</v>
      </c>
      <c r="N219" s="257">
        <v>102768.5</v>
      </c>
    </row>
    <row r="220" spans="1:14" s="143" customFormat="1" x14ac:dyDescent="0.25">
      <c r="A220" s="143" t="s">
        <v>290</v>
      </c>
      <c r="B220" s="143" t="s">
        <v>132</v>
      </c>
      <c r="C220" s="143" t="s">
        <v>133</v>
      </c>
      <c r="D220" s="143" t="s">
        <v>69</v>
      </c>
      <c r="E220" s="257">
        <v>2046000</v>
      </c>
      <c r="F220" s="257">
        <v>2046000</v>
      </c>
      <c r="G220" s="257">
        <v>1023000</v>
      </c>
      <c r="H220" s="257">
        <v>0</v>
      </c>
      <c r="I220" s="257">
        <v>430366.07</v>
      </c>
      <c r="J220" s="257">
        <v>0</v>
      </c>
      <c r="K220" s="257">
        <v>31565.65</v>
      </c>
      <c r="L220" s="257">
        <v>31565.65</v>
      </c>
      <c r="M220" s="257">
        <v>1584068.28</v>
      </c>
      <c r="N220" s="257">
        <v>561068.28</v>
      </c>
    </row>
    <row r="221" spans="1:14" s="143" customFormat="1" x14ac:dyDescent="0.25">
      <c r="A221" s="143" t="s">
        <v>290</v>
      </c>
      <c r="B221" s="143" t="s">
        <v>134</v>
      </c>
      <c r="C221" s="143" t="s">
        <v>135</v>
      </c>
      <c r="D221" s="143" t="s">
        <v>69</v>
      </c>
      <c r="E221" s="257">
        <v>334518795</v>
      </c>
      <c r="F221" s="257">
        <v>334518795</v>
      </c>
      <c r="G221" s="257">
        <v>178359398</v>
      </c>
      <c r="H221" s="257">
        <v>0</v>
      </c>
      <c r="I221" s="257">
        <v>42857819.859999999</v>
      </c>
      <c r="J221" s="257">
        <v>3415152</v>
      </c>
      <c r="K221" s="257">
        <v>47494230.039999999</v>
      </c>
      <c r="L221" s="257">
        <v>41781627.990000002</v>
      </c>
      <c r="M221" s="257">
        <v>240751593.09999999</v>
      </c>
      <c r="N221" s="257">
        <v>84592196.099999994</v>
      </c>
    </row>
    <row r="222" spans="1:14" s="143" customFormat="1" x14ac:dyDescent="0.25">
      <c r="A222" s="143" t="s">
        <v>290</v>
      </c>
      <c r="B222" s="143" t="s">
        <v>306</v>
      </c>
      <c r="C222" s="143" t="s">
        <v>307</v>
      </c>
      <c r="D222" s="143" t="s">
        <v>69</v>
      </c>
      <c r="E222" s="257">
        <v>2000000</v>
      </c>
      <c r="F222" s="257">
        <v>2000000</v>
      </c>
      <c r="G222" s="257">
        <v>800000</v>
      </c>
      <c r="H222" s="257">
        <v>0</v>
      </c>
      <c r="I222" s="257">
        <v>0</v>
      </c>
      <c r="J222" s="257">
        <v>0</v>
      </c>
      <c r="K222" s="257">
        <v>0</v>
      </c>
      <c r="L222" s="257">
        <v>0</v>
      </c>
      <c r="M222" s="257">
        <v>2000000</v>
      </c>
      <c r="N222" s="257">
        <v>800000</v>
      </c>
    </row>
    <row r="223" spans="1:14" s="143" customFormat="1" x14ac:dyDescent="0.25">
      <c r="A223" s="143" t="s">
        <v>290</v>
      </c>
      <c r="B223" s="143" t="s">
        <v>308</v>
      </c>
      <c r="C223" s="143" t="s">
        <v>309</v>
      </c>
      <c r="D223" s="143" t="s">
        <v>69</v>
      </c>
      <c r="E223" s="257">
        <v>5000000</v>
      </c>
      <c r="F223" s="257">
        <v>5000000</v>
      </c>
      <c r="G223" s="257">
        <v>5000000</v>
      </c>
      <c r="H223" s="257">
        <v>0</v>
      </c>
      <c r="I223" s="257">
        <v>4556956</v>
      </c>
      <c r="J223" s="257">
        <v>0</v>
      </c>
      <c r="K223" s="257">
        <v>0</v>
      </c>
      <c r="L223" s="257">
        <v>0</v>
      </c>
      <c r="M223" s="257">
        <v>443044</v>
      </c>
      <c r="N223" s="257">
        <v>443044</v>
      </c>
    </row>
    <row r="224" spans="1:14" s="143" customFormat="1" x14ac:dyDescent="0.25">
      <c r="A224" s="143" t="s">
        <v>290</v>
      </c>
      <c r="B224" s="143" t="s">
        <v>136</v>
      </c>
      <c r="C224" s="143" t="s">
        <v>137</v>
      </c>
      <c r="D224" s="143" t="s">
        <v>69</v>
      </c>
      <c r="E224" s="257">
        <v>319951179</v>
      </c>
      <c r="F224" s="257">
        <v>319951179</v>
      </c>
      <c r="G224" s="257">
        <v>166175590</v>
      </c>
      <c r="H224" s="257">
        <v>0</v>
      </c>
      <c r="I224" s="257">
        <v>35399093.520000003</v>
      </c>
      <c r="J224" s="257">
        <v>3415152</v>
      </c>
      <c r="K224" s="257">
        <v>47373035.039999999</v>
      </c>
      <c r="L224" s="257">
        <v>41712902.990000002</v>
      </c>
      <c r="M224" s="257">
        <v>233763898.44</v>
      </c>
      <c r="N224" s="257">
        <v>79988309.439999998</v>
      </c>
    </row>
    <row r="225" spans="1:14" s="143" customFormat="1" x14ac:dyDescent="0.25">
      <c r="A225" s="143" t="s">
        <v>290</v>
      </c>
      <c r="B225" s="143" t="s">
        <v>138</v>
      </c>
      <c r="C225" s="143" t="s">
        <v>139</v>
      </c>
      <c r="D225" s="143" t="s">
        <v>69</v>
      </c>
      <c r="E225" s="257">
        <v>7567616</v>
      </c>
      <c r="F225" s="257">
        <v>7567616</v>
      </c>
      <c r="G225" s="257">
        <v>6383808</v>
      </c>
      <c r="H225" s="257">
        <v>0</v>
      </c>
      <c r="I225" s="257">
        <v>2901770.34</v>
      </c>
      <c r="J225" s="257">
        <v>0</v>
      </c>
      <c r="K225" s="257">
        <v>121195</v>
      </c>
      <c r="L225" s="257">
        <v>68725</v>
      </c>
      <c r="M225" s="257">
        <v>4544650.66</v>
      </c>
      <c r="N225" s="257">
        <v>3360842.66</v>
      </c>
    </row>
    <row r="226" spans="1:14" s="143" customFormat="1" x14ac:dyDescent="0.25">
      <c r="A226" s="143" t="s">
        <v>290</v>
      </c>
      <c r="B226" s="143" t="s">
        <v>140</v>
      </c>
      <c r="C226" s="143" t="s">
        <v>141</v>
      </c>
      <c r="D226" s="143" t="s">
        <v>69</v>
      </c>
      <c r="E226" s="257">
        <v>33445676</v>
      </c>
      <c r="F226" s="257">
        <v>33445676</v>
      </c>
      <c r="G226" s="257">
        <v>24542838</v>
      </c>
      <c r="H226" s="257">
        <v>0</v>
      </c>
      <c r="I226" s="257">
        <v>6847612</v>
      </c>
      <c r="J226" s="257">
        <v>0</v>
      </c>
      <c r="K226" s="257">
        <v>8214058</v>
      </c>
      <c r="L226" s="257">
        <v>8184558</v>
      </c>
      <c r="M226" s="257">
        <v>18384006</v>
      </c>
      <c r="N226" s="257">
        <v>9481168</v>
      </c>
    </row>
    <row r="227" spans="1:14" s="143" customFormat="1" x14ac:dyDescent="0.25">
      <c r="A227" s="143" t="s">
        <v>290</v>
      </c>
      <c r="B227" s="143" t="s">
        <v>142</v>
      </c>
      <c r="C227" s="143" t="s">
        <v>143</v>
      </c>
      <c r="D227" s="143" t="s">
        <v>69</v>
      </c>
      <c r="E227" s="257">
        <v>1700000</v>
      </c>
      <c r="F227" s="257">
        <v>1700000</v>
      </c>
      <c r="G227" s="257">
        <v>850000</v>
      </c>
      <c r="H227" s="257">
        <v>0</v>
      </c>
      <c r="I227" s="257">
        <v>154400</v>
      </c>
      <c r="J227" s="257">
        <v>0</v>
      </c>
      <c r="K227" s="257">
        <v>191220</v>
      </c>
      <c r="L227" s="257">
        <v>191220</v>
      </c>
      <c r="M227" s="257">
        <v>1354380</v>
      </c>
      <c r="N227" s="257">
        <v>504380</v>
      </c>
    </row>
    <row r="228" spans="1:14" s="143" customFormat="1" x14ac:dyDescent="0.25">
      <c r="A228" s="143" t="s">
        <v>290</v>
      </c>
      <c r="B228" s="143" t="s">
        <v>144</v>
      </c>
      <c r="C228" s="143" t="s">
        <v>145</v>
      </c>
      <c r="D228" s="143" t="s">
        <v>69</v>
      </c>
      <c r="E228" s="257">
        <v>24979191</v>
      </c>
      <c r="F228" s="257">
        <v>24979191</v>
      </c>
      <c r="G228" s="257">
        <v>18489596</v>
      </c>
      <c r="H228" s="257">
        <v>0</v>
      </c>
      <c r="I228" s="257">
        <v>3559950</v>
      </c>
      <c r="J228" s="257">
        <v>0</v>
      </c>
      <c r="K228" s="257">
        <v>7656100</v>
      </c>
      <c r="L228" s="257">
        <v>7626600</v>
      </c>
      <c r="M228" s="257">
        <v>13763141</v>
      </c>
      <c r="N228" s="257">
        <v>7273546</v>
      </c>
    </row>
    <row r="229" spans="1:14" s="143" customFormat="1" x14ac:dyDescent="0.25">
      <c r="A229" s="143" t="s">
        <v>290</v>
      </c>
      <c r="B229" s="143" t="s">
        <v>146</v>
      </c>
      <c r="C229" s="143" t="s">
        <v>147</v>
      </c>
      <c r="D229" s="143" t="s">
        <v>69</v>
      </c>
      <c r="E229" s="257">
        <v>2035715</v>
      </c>
      <c r="F229" s="257">
        <v>2035715</v>
      </c>
      <c r="G229" s="257">
        <v>1017858</v>
      </c>
      <c r="H229" s="257">
        <v>0</v>
      </c>
      <c r="I229" s="257">
        <v>133262</v>
      </c>
      <c r="J229" s="257">
        <v>0</v>
      </c>
      <c r="K229" s="257">
        <v>366738</v>
      </c>
      <c r="L229" s="257">
        <v>366738</v>
      </c>
      <c r="M229" s="257">
        <v>1535715</v>
      </c>
      <c r="N229" s="257">
        <v>517858</v>
      </c>
    </row>
    <row r="230" spans="1:14" s="143" customFormat="1" x14ac:dyDescent="0.25">
      <c r="A230" s="143" t="s">
        <v>290</v>
      </c>
      <c r="B230" s="143" t="s">
        <v>148</v>
      </c>
      <c r="C230" s="143" t="s">
        <v>149</v>
      </c>
      <c r="D230" s="143" t="s">
        <v>69</v>
      </c>
      <c r="E230" s="257">
        <v>4730770</v>
      </c>
      <c r="F230" s="257">
        <v>4730770</v>
      </c>
      <c r="G230" s="257">
        <v>4185384</v>
      </c>
      <c r="H230" s="257">
        <v>0</v>
      </c>
      <c r="I230" s="257">
        <v>3000000</v>
      </c>
      <c r="J230" s="257">
        <v>0</v>
      </c>
      <c r="K230" s="257">
        <v>0</v>
      </c>
      <c r="L230" s="257">
        <v>0</v>
      </c>
      <c r="M230" s="257">
        <v>1730770</v>
      </c>
      <c r="N230" s="257">
        <v>1185384</v>
      </c>
    </row>
    <row r="231" spans="1:14" s="143" customFormat="1" x14ac:dyDescent="0.25">
      <c r="A231" s="143" t="s">
        <v>290</v>
      </c>
      <c r="B231" s="143" t="s">
        <v>150</v>
      </c>
      <c r="C231" s="143" t="s">
        <v>151</v>
      </c>
      <c r="D231" s="143" t="s">
        <v>69</v>
      </c>
      <c r="E231" s="257">
        <v>83546141</v>
      </c>
      <c r="F231" s="257">
        <v>83546141</v>
      </c>
      <c r="G231" s="257">
        <v>44073070</v>
      </c>
      <c r="H231" s="257">
        <v>0</v>
      </c>
      <c r="I231" s="257">
        <v>136095</v>
      </c>
      <c r="J231" s="257">
        <v>0</v>
      </c>
      <c r="K231" s="257">
        <v>22994033</v>
      </c>
      <c r="L231" s="257">
        <v>22121842</v>
      </c>
      <c r="M231" s="257">
        <v>60416013</v>
      </c>
      <c r="N231" s="257">
        <v>20942942</v>
      </c>
    </row>
    <row r="232" spans="1:14" s="143" customFormat="1" x14ac:dyDescent="0.25">
      <c r="A232" s="143" t="s">
        <v>290</v>
      </c>
      <c r="B232" s="143" t="s">
        <v>152</v>
      </c>
      <c r="C232" s="143" t="s">
        <v>153</v>
      </c>
      <c r="D232" s="143" t="s">
        <v>69</v>
      </c>
      <c r="E232" s="257">
        <v>83546141</v>
      </c>
      <c r="F232" s="257">
        <v>83546141</v>
      </c>
      <c r="G232" s="257">
        <v>44073070</v>
      </c>
      <c r="H232" s="257">
        <v>0</v>
      </c>
      <c r="I232" s="257">
        <v>136095</v>
      </c>
      <c r="J232" s="257">
        <v>0</v>
      </c>
      <c r="K232" s="257">
        <v>22994033</v>
      </c>
      <c r="L232" s="257">
        <v>22121842</v>
      </c>
      <c r="M232" s="257">
        <v>60416013</v>
      </c>
      <c r="N232" s="257">
        <v>20942942</v>
      </c>
    </row>
    <row r="233" spans="1:14" s="143" customFormat="1" x14ac:dyDescent="0.25">
      <c r="A233" s="143" t="s">
        <v>290</v>
      </c>
      <c r="B233" s="143" t="s">
        <v>154</v>
      </c>
      <c r="C233" s="143" t="s">
        <v>155</v>
      </c>
      <c r="D233" s="143" t="s">
        <v>69</v>
      </c>
      <c r="E233" s="257">
        <v>0</v>
      </c>
      <c r="F233" s="257">
        <v>0</v>
      </c>
      <c r="G233" s="257">
        <v>0</v>
      </c>
      <c r="H233" s="257">
        <v>0</v>
      </c>
      <c r="I233" s="257">
        <v>0</v>
      </c>
      <c r="J233" s="257">
        <v>0</v>
      </c>
      <c r="K233" s="257">
        <v>0</v>
      </c>
      <c r="L233" s="257">
        <v>0</v>
      </c>
      <c r="M233" s="257">
        <v>0</v>
      </c>
      <c r="N233" s="257">
        <v>0</v>
      </c>
    </row>
    <row r="234" spans="1:14" s="143" customFormat="1" x14ac:dyDescent="0.25">
      <c r="A234" s="143" t="s">
        <v>290</v>
      </c>
      <c r="B234" s="143" t="s">
        <v>156</v>
      </c>
      <c r="C234" s="143" t="s">
        <v>157</v>
      </c>
      <c r="D234" s="143" t="s">
        <v>69</v>
      </c>
      <c r="E234" s="257">
        <v>0</v>
      </c>
      <c r="F234" s="257">
        <v>0</v>
      </c>
      <c r="G234" s="257">
        <v>0</v>
      </c>
      <c r="H234" s="257">
        <v>0</v>
      </c>
      <c r="I234" s="257">
        <v>0</v>
      </c>
      <c r="J234" s="257">
        <v>0</v>
      </c>
      <c r="K234" s="257">
        <v>0</v>
      </c>
      <c r="L234" s="257">
        <v>0</v>
      </c>
      <c r="M234" s="257">
        <v>0</v>
      </c>
      <c r="N234" s="257">
        <v>0</v>
      </c>
    </row>
    <row r="235" spans="1:14" s="143" customFormat="1" x14ac:dyDescent="0.25">
      <c r="A235" s="143" t="s">
        <v>290</v>
      </c>
      <c r="B235" s="143" t="s">
        <v>162</v>
      </c>
      <c r="C235" s="143" t="s">
        <v>163</v>
      </c>
      <c r="D235" s="143" t="s">
        <v>69</v>
      </c>
      <c r="E235" s="257">
        <v>89480793</v>
      </c>
      <c r="F235" s="257">
        <v>89480793</v>
      </c>
      <c r="G235" s="257">
        <v>49290396</v>
      </c>
      <c r="H235" s="257">
        <v>150000</v>
      </c>
      <c r="I235" s="257">
        <v>17052803.760000002</v>
      </c>
      <c r="J235" s="257">
        <v>1632990.54</v>
      </c>
      <c r="K235" s="257">
        <v>5477592.0499999998</v>
      </c>
      <c r="L235" s="257">
        <v>4512092.05</v>
      </c>
      <c r="M235" s="257">
        <v>65167406.649999999</v>
      </c>
      <c r="N235" s="257">
        <v>24977009.649999999</v>
      </c>
    </row>
    <row r="236" spans="1:14" s="143" customFormat="1" x14ac:dyDescent="0.25">
      <c r="A236" s="143" t="s">
        <v>290</v>
      </c>
      <c r="B236" s="143" t="s">
        <v>310</v>
      </c>
      <c r="C236" s="143" t="s">
        <v>311</v>
      </c>
      <c r="D236" s="143" t="s">
        <v>69</v>
      </c>
      <c r="E236" s="257">
        <v>13000000</v>
      </c>
      <c r="F236" s="257">
        <v>13000000</v>
      </c>
      <c r="G236" s="257">
        <v>8000000</v>
      </c>
      <c r="H236" s="257">
        <v>0</v>
      </c>
      <c r="I236" s="257">
        <v>2585500</v>
      </c>
      <c r="J236" s="257">
        <v>0</v>
      </c>
      <c r="K236" s="257">
        <v>1914772.92</v>
      </c>
      <c r="L236" s="257">
        <v>1759272.92</v>
      </c>
      <c r="M236" s="257">
        <v>8499727.0800000001</v>
      </c>
      <c r="N236" s="257">
        <v>3499727.08</v>
      </c>
    </row>
    <row r="237" spans="1:14" s="143" customFormat="1" x14ac:dyDescent="0.25">
      <c r="A237" s="143" t="s">
        <v>290</v>
      </c>
      <c r="B237" s="143" t="s">
        <v>164</v>
      </c>
      <c r="C237" s="143" t="s">
        <v>165</v>
      </c>
      <c r="D237" s="143" t="s">
        <v>69</v>
      </c>
      <c r="E237" s="257">
        <v>1918000</v>
      </c>
      <c r="F237" s="257">
        <v>1918000</v>
      </c>
      <c r="G237" s="257">
        <v>1359000</v>
      </c>
      <c r="H237" s="257">
        <v>0</v>
      </c>
      <c r="I237" s="257">
        <v>408118.5</v>
      </c>
      <c r="J237" s="257">
        <v>0</v>
      </c>
      <c r="K237" s="257">
        <v>380131.25</v>
      </c>
      <c r="L237" s="257">
        <v>380131.25</v>
      </c>
      <c r="M237" s="257">
        <v>1129750.25</v>
      </c>
      <c r="N237" s="257">
        <v>570750.25</v>
      </c>
    </row>
    <row r="238" spans="1:14" s="143" customFormat="1" x14ac:dyDescent="0.25">
      <c r="A238" s="143" t="s">
        <v>290</v>
      </c>
      <c r="B238" s="143" t="s">
        <v>166</v>
      </c>
      <c r="C238" s="143" t="s">
        <v>167</v>
      </c>
      <c r="D238" s="143" t="s">
        <v>69</v>
      </c>
      <c r="E238" s="257">
        <v>25420000</v>
      </c>
      <c r="F238" s="257">
        <v>25420000</v>
      </c>
      <c r="G238" s="257">
        <v>18660000</v>
      </c>
      <c r="H238" s="257">
        <v>0</v>
      </c>
      <c r="I238" s="257">
        <v>11441423</v>
      </c>
      <c r="J238" s="257">
        <v>0</v>
      </c>
      <c r="K238" s="257">
        <v>486256</v>
      </c>
      <c r="L238" s="257">
        <v>486256</v>
      </c>
      <c r="M238" s="257">
        <v>13492321</v>
      </c>
      <c r="N238" s="257">
        <v>6732321</v>
      </c>
    </row>
    <row r="239" spans="1:14" s="143" customFormat="1" x14ac:dyDescent="0.25">
      <c r="A239" s="143" t="s">
        <v>290</v>
      </c>
      <c r="B239" s="143" t="s">
        <v>312</v>
      </c>
      <c r="C239" s="143" t="s">
        <v>313</v>
      </c>
      <c r="D239" s="143" t="s">
        <v>69</v>
      </c>
      <c r="E239" s="257">
        <v>7181770</v>
      </c>
      <c r="F239" s="257">
        <v>7181770</v>
      </c>
      <c r="G239" s="257">
        <v>3590884</v>
      </c>
      <c r="H239" s="257">
        <v>0</v>
      </c>
      <c r="I239" s="257">
        <v>320263.67999999999</v>
      </c>
      <c r="J239" s="257">
        <v>800850</v>
      </c>
      <c r="K239" s="257">
        <v>0</v>
      </c>
      <c r="L239" s="257">
        <v>0</v>
      </c>
      <c r="M239" s="257">
        <v>6060656.3200000003</v>
      </c>
      <c r="N239" s="257">
        <v>2469770.3199999998</v>
      </c>
    </row>
    <row r="240" spans="1:14" s="143" customFormat="1" x14ac:dyDescent="0.25">
      <c r="A240" s="143" t="s">
        <v>290</v>
      </c>
      <c r="B240" s="143" t="s">
        <v>168</v>
      </c>
      <c r="C240" s="143" t="s">
        <v>169</v>
      </c>
      <c r="D240" s="143" t="s">
        <v>69</v>
      </c>
      <c r="E240" s="257">
        <v>8196286</v>
      </c>
      <c r="F240" s="257">
        <v>8196286</v>
      </c>
      <c r="G240" s="257">
        <v>4098144</v>
      </c>
      <c r="H240" s="257">
        <v>150000</v>
      </c>
      <c r="I240" s="257">
        <v>620000</v>
      </c>
      <c r="J240" s="257">
        <v>832140.54</v>
      </c>
      <c r="K240" s="257">
        <v>60000</v>
      </c>
      <c r="L240" s="257">
        <v>60000</v>
      </c>
      <c r="M240" s="257">
        <v>6534145.46</v>
      </c>
      <c r="N240" s="257">
        <v>2436003.46</v>
      </c>
    </row>
    <row r="241" spans="1:14" s="143" customFormat="1" x14ac:dyDescent="0.25">
      <c r="A241" s="143" t="s">
        <v>290</v>
      </c>
      <c r="B241" s="143" t="s">
        <v>170</v>
      </c>
      <c r="C241" s="143" t="s">
        <v>171</v>
      </c>
      <c r="D241" s="143" t="s">
        <v>69</v>
      </c>
      <c r="E241" s="257">
        <v>28160737</v>
      </c>
      <c r="F241" s="257">
        <v>28160737</v>
      </c>
      <c r="G241" s="257">
        <v>10780368</v>
      </c>
      <c r="H241" s="257">
        <v>0</v>
      </c>
      <c r="I241" s="257">
        <v>1052580.6000000001</v>
      </c>
      <c r="J241" s="257">
        <v>0</v>
      </c>
      <c r="K241" s="257">
        <v>2636431.88</v>
      </c>
      <c r="L241" s="257">
        <v>1826431.88</v>
      </c>
      <c r="M241" s="257">
        <v>24471724.52</v>
      </c>
      <c r="N241" s="257">
        <v>7091355.5199999996</v>
      </c>
    </row>
    <row r="242" spans="1:14" s="143" customFormat="1" x14ac:dyDescent="0.25">
      <c r="A242" s="143" t="s">
        <v>290</v>
      </c>
      <c r="B242" s="143" t="s">
        <v>172</v>
      </c>
      <c r="C242" s="143" t="s">
        <v>173</v>
      </c>
      <c r="D242" s="143" t="s">
        <v>69</v>
      </c>
      <c r="E242" s="257">
        <v>5604000</v>
      </c>
      <c r="F242" s="257">
        <v>5604000</v>
      </c>
      <c r="G242" s="257">
        <v>2802000</v>
      </c>
      <c r="H242" s="257">
        <v>0</v>
      </c>
      <c r="I242" s="257">
        <v>624917.98</v>
      </c>
      <c r="J242" s="257">
        <v>0</v>
      </c>
      <c r="K242" s="257">
        <v>0</v>
      </c>
      <c r="L242" s="257">
        <v>0</v>
      </c>
      <c r="M242" s="257">
        <v>4979082.0199999996</v>
      </c>
      <c r="N242" s="257">
        <v>2177082.02</v>
      </c>
    </row>
    <row r="243" spans="1:14" s="143" customFormat="1" x14ac:dyDescent="0.25">
      <c r="A243" s="143" t="s">
        <v>290</v>
      </c>
      <c r="B243" s="143" t="s">
        <v>174</v>
      </c>
      <c r="C243" s="143" t="s">
        <v>175</v>
      </c>
      <c r="D243" s="143" t="s">
        <v>69</v>
      </c>
      <c r="E243" s="257">
        <v>1340000</v>
      </c>
      <c r="F243" s="257">
        <v>1340000</v>
      </c>
      <c r="G243" s="257">
        <v>1270000</v>
      </c>
      <c r="H243" s="257">
        <v>0</v>
      </c>
      <c r="I243" s="257">
        <v>25000</v>
      </c>
      <c r="J243" s="257">
        <v>0</v>
      </c>
      <c r="K243" s="257">
        <v>0</v>
      </c>
      <c r="L243" s="257">
        <v>0</v>
      </c>
      <c r="M243" s="257">
        <v>1315000</v>
      </c>
      <c r="N243" s="257">
        <v>1245000</v>
      </c>
    </row>
    <row r="244" spans="1:14" s="143" customFormat="1" x14ac:dyDescent="0.25">
      <c r="A244" s="143" t="s">
        <v>290</v>
      </c>
      <c r="B244" s="143" t="s">
        <v>176</v>
      </c>
      <c r="C244" s="143" t="s">
        <v>177</v>
      </c>
      <c r="D244" s="143" t="s">
        <v>69</v>
      </c>
      <c r="E244" s="257">
        <v>1340000</v>
      </c>
      <c r="F244" s="257">
        <v>1340000</v>
      </c>
      <c r="G244" s="257">
        <v>1270000</v>
      </c>
      <c r="H244" s="257">
        <v>0</v>
      </c>
      <c r="I244" s="257">
        <v>25000</v>
      </c>
      <c r="J244" s="257">
        <v>0</v>
      </c>
      <c r="K244" s="257">
        <v>0</v>
      </c>
      <c r="L244" s="257">
        <v>0</v>
      </c>
      <c r="M244" s="257">
        <v>1315000</v>
      </c>
      <c r="N244" s="257">
        <v>1245000</v>
      </c>
    </row>
    <row r="245" spans="1:14" s="143" customFormat="1" x14ac:dyDescent="0.25">
      <c r="A245" s="143" t="s">
        <v>290</v>
      </c>
      <c r="B245" s="143" t="s">
        <v>178</v>
      </c>
      <c r="C245" s="143" t="s">
        <v>179</v>
      </c>
      <c r="D245" s="143" t="s">
        <v>69</v>
      </c>
      <c r="E245" s="257">
        <v>2150000</v>
      </c>
      <c r="F245" s="257">
        <v>2150000</v>
      </c>
      <c r="G245" s="257">
        <v>675000</v>
      </c>
      <c r="H245" s="257">
        <v>0</v>
      </c>
      <c r="I245" s="257">
        <v>113207.78</v>
      </c>
      <c r="J245" s="257">
        <v>0</v>
      </c>
      <c r="K245" s="257">
        <v>0</v>
      </c>
      <c r="L245" s="257">
        <v>0</v>
      </c>
      <c r="M245" s="257">
        <v>2036792.22</v>
      </c>
      <c r="N245" s="257">
        <v>561792.22</v>
      </c>
    </row>
    <row r="246" spans="1:14" s="143" customFormat="1" x14ac:dyDescent="0.25">
      <c r="A246" s="143" t="s">
        <v>290</v>
      </c>
      <c r="B246" s="143" t="s">
        <v>180</v>
      </c>
      <c r="C246" s="143" t="s">
        <v>181</v>
      </c>
      <c r="D246" s="143" t="s">
        <v>69</v>
      </c>
      <c r="E246" s="257">
        <v>150000</v>
      </c>
      <c r="F246" s="257">
        <v>150000</v>
      </c>
      <c r="G246" s="257">
        <v>150000</v>
      </c>
      <c r="H246" s="257">
        <v>0</v>
      </c>
      <c r="I246" s="257">
        <v>113207.78</v>
      </c>
      <c r="J246" s="257">
        <v>0</v>
      </c>
      <c r="K246" s="257">
        <v>0</v>
      </c>
      <c r="L246" s="257">
        <v>0</v>
      </c>
      <c r="M246" s="257">
        <v>36792.22</v>
      </c>
      <c r="N246" s="257">
        <v>36792.22</v>
      </c>
    </row>
    <row r="247" spans="1:14" s="143" customFormat="1" x14ac:dyDescent="0.25">
      <c r="A247" s="143" t="s">
        <v>290</v>
      </c>
      <c r="B247" s="143" t="s">
        <v>182</v>
      </c>
      <c r="C247" s="143" t="s">
        <v>183</v>
      </c>
      <c r="D247" s="143" t="s">
        <v>69</v>
      </c>
      <c r="E247" s="257">
        <v>2000000</v>
      </c>
      <c r="F247" s="257">
        <v>2000000</v>
      </c>
      <c r="G247" s="257">
        <v>525000</v>
      </c>
      <c r="H247" s="257">
        <v>0</v>
      </c>
      <c r="I247" s="257">
        <v>0</v>
      </c>
      <c r="J247" s="257">
        <v>0</v>
      </c>
      <c r="K247" s="257">
        <v>0</v>
      </c>
      <c r="L247" s="257">
        <v>0</v>
      </c>
      <c r="M247" s="257">
        <v>2000000</v>
      </c>
      <c r="N247" s="257">
        <v>525000</v>
      </c>
    </row>
    <row r="248" spans="1:14" s="143" customFormat="1" x14ac:dyDescent="0.25">
      <c r="A248" s="143" t="s">
        <v>290</v>
      </c>
      <c r="B248" s="143" t="s">
        <v>184</v>
      </c>
      <c r="C248" s="143" t="s">
        <v>185</v>
      </c>
      <c r="D248" s="143" t="s">
        <v>69</v>
      </c>
      <c r="E248" s="257">
        <v>65233793</v>
      </c>
      <c r="F248" s="257">
        <v>65233793</v>
      </c>
      <c r="G248" s="257">
        <v>24866896</v>
      </c>
      <c r="H248" s="257">
        <v>0</v>
      </c>
      <c r="I248" s="257">
        <v>3502409.21</v>
      </c>
      <c r="J248" s="257">
        <v>0</v>
      </c>
      <c r="K248" s="257">
        <v>4090775.79</v>
      </c>
      <c r="L248" s="257">
        <v>4090775.79</v>
      </c>
      <c r="M248" s="257">
        <v>57640608</v>
      </c>
      <c r="N248" s="257">
        <v>17273711</v>
      </c>
    </row>
    <row r="249" spans="1:14" s="143" customFormat="1" x14ac:dyDescent="0.25">
      <c r="A249" s="143" t="s">
        <v>290</v>
      </c>
      <c r="B249" s="143" t="s">
        <v>186</v>
      </c>
      <c r="C249" s="143" t="s">
        <v>187</v>
      </c>
      <c r="D249" s="143" t="s">
        <v>69</v>
      </c>
      <c r="E249" s="257">
        <v>34706100</v>
      </c>
      <c r="F249" s="257">
        <v>34706100</v>
      </c>
      <c r="G249" s="257">
        <v>15353050</v>
      </c>
      <c r="H249" s="257">
        <v>0</v>
      </c>
      <c r="I249" s="257">
        <v>3193694.21</v>
      </c>
      <c r="J249" s="257">
        <v>0</v>
      </c>
      <c r="K249" s="257">
        <v>3302375.79</v>
      </c>
      <c r="L249" s="257">
        <v>3302375.79</v>
      </c>
      <c r="M249" s="257">
        <v>28210030</v>
      </c>
      <c r="N249" s="257">
        <v>8856980</v>
      </c>
    </row>
    <row r="250" spans="1:14" s="143" customFormat="1" x14ac:dyDescent="0.25">
      <c r="A250" s="143" t="s">
        <v>290</v>
      </c>
      <c r="B250" s="143" t="s">
        <v>188</v>
      </c>
      <c r="C250" s="143" t="s">
        <v>189</v>
      </c>
      <c r="D250" s="143" t="s">
        <v>69</v>
      </c>
      <c r="E250" s="257">
        <v>26298967</v>
      </c>
      <c r="F250" s="257">
        <v>26298967</v>
      </c>
      <c r="G250" s="257">
        <v>13149484</v>
      </c>
      <c r="H250" s="257">
        <v>0</v>
      </c>
      <c r="I250" s="257">
        <v>3193694.21</v>
      </c>
      <c r="J250" s="257">
        <v>0</v>
      </c>
      <c r="K250" s="257">
        <v>3302375.79</v>
      </c>
      <c r="L250" s="257">
        <v>3302375.79</v>
      </c>
      <c r="M250" s="257">
        <v>19802897</v>
      </c>
      <c r="N250" s="257">
        <v>6653414</v>
      </c>
    </row>
    <row r="251" spans="1:14" s="143" customFormat="1" x14ac:dyDescent="0.25">
      <c r="A251" s="143" t="s">
        <v>290</v>
      </c>
      <c r="B251" s="143" t="s">
        <v>192</v>
      </c>
      <c r="C251" s="143" t="s">
        <v>193</v>
      </c>
      <c r="D251" s="143" t="s">
        <v>69</v>
      </c>
      <c r="E251" s="257">
        <v>8102133</v>
      </c>
      <c r="F251" s="257">
        <v>8102133</v>
      </c>
      <c r="G251" s="257">
        <v>2051066</v>
      </c>
      <c r="H251" s="257">
        <v>0</v>
      </c>
      <c r="I251" s="257">
        <v>0</v>
      </c>
      <c r="J251" s="257">
        <v>0</v>
      </c>
      <c r="K251" s="257">
        <v>0</v>
      </c>
      <c r="L251" s="257">
        <v>0</v>
      </c>
      <c r="M251" s="257">
        <v>8102133</v>
      </c>
      <c r="N251" s="257">
        <v>2051066</v>
      </c>
    </row>
    <row r="252" spans="1:14" s="143" customFormat="1" x14ac:dyDescent="0.25">
      <c r="A252" s="143" t="s">
        <v>290</v>
      </c>
      <c r="B252" s="143" t="s">
        <v>194</v>
      </c>
      <c r="C252" s="143" t="s">
        <v>195</v>
      </c>
      <c r="D252" s="143" t="s">
        <v>69</v>
      </c>
      <c r="E252" s="257">
        <v>305000</v>
      </c>
      <c r="F252" s="257">
        <v>305000</v>
      </c>
      <c r="G252" s="257">
        <v>152500</v>
      </c>
      <c r="H252" s="257">
        <v>0</v>
      </c>
      <c r="I252" s="257">
        <v>0</v>
      </c>
      <c r="J252" s="257">
        <v>0</v>
      </c>
      <c r="K252" s="257">
        <v>0</v>
      </c>
      <c r="L252" s="257">
        <v>0</v>
      </c>
      <c r="M252" s="257">
        <v>305000</v>
      </c>
      <c r="N252" s="257">
        <v>152500</v>
      </c>
    </row>
    <row r="253" spans="1:14" s="143" customFormat="1" x14ac:dyDescent="0.25">
      <c r="A253" s="143" t="s">
        <v>290</v>
      </c>
      <c r="B253" s="143" t="s">
        <v>200</v>
      </c>
      <c r="C253" s="143" t="s">
        <v>201</v>
      </c>
      <c r="D253" s="143" t="s">
        <v>69</v>
      </c>
      <c r="E253" s="257">
        <v>2978000</v>
      </c>
      <c r="F253" s="257">
        <v>2978000</v>
      </c>
      <c r="G253" s="257">
        <v>989000</v>
      </c>
      <c r="H253" s="257">
        <v>0</v>
      </c>
      <c r="I253" s="257">
        <v>0</v>
      </c>
      <c r="J253" s="257">
        <v>0</v>
      </c>
      <c r="K253" s="257">
        <v>0</v>
      </c>
      <c r="L253" s="257">
        <v>0</v>
      </c>
      <c r="M253" s="257">
        <v>2978000</v>
      </c>
      <c r="N253" s="257">
        <v>989000</v>
      </c>
    </row>
    <row r="254" spans="1:14" s="143" customFormat="1" x14ac:dyDescent="0.25">
      <c r="A254" s="143" t="s">
        <v>290</v>
      </c>
      <c r="B254" s="143" t="s">
        <v>314</v>
      </c>
      <c r="C254" s="143" t="s">
        <v>315</v>
      </c>
      <c r="D254" s="143" t="s">
        <v>69</v>
      </c>
      <c r="E254" s="257">
        <v>830000</v>
      </c>
      <c r="F254" s="257">
        <v>830000</v>
      </c>
      <c r="G254" s="257">
        <v>215000</v>
      </c>
      <c r="H254" s="257">
        <v>0</v>
      </c>
      <c r="I254" s="257">
        <v>0</v>
      </c>
      <c r="J254" s="257">
        <v>0</v>
      </c>
      <c r="K254" s="257">
        <v>0</v>
      </c>
      <c r="L254" s="257">
        <v>0</v>
      </c>
      <c r="M254" s="257">
        <v>830000</v>
      </c>
      <c r="N254" s="257">
        <v>215000</v>
      </c>
    </row>
    <row r="255" spans="1:14" s="143" customFormat="1" x14ac:dyDescent="0.25">
      <c r="A255" s="143" t="s">
        <v>290</v>
      </c>
      <c r="B255" s="143" t="s">
        <v>316</v>
      </c>
      <c r="C255" s="143" t="s">
        <v>317</v>
      </c>
      <c r="D255" s="143" t="s">
        <v>69</v>
      </c>
      <c r="E255" s="257">
        <v>67000</v>
      </c>
      <c r="F255" s="257">
        <v>67000</v>
      </c>
      <c r="G255" s="257">
        <v>33500</v>
      </c>
      <c r="H255" s="257">
        <v>0</v>
      </c>
      <c r="I255" s="257">
        <v>0</v>
      </c>
      <c r="J255" s="257">
        <v>0</v>
      </c>
      <c r="K255" s="257">
        <v>0</v>
      </c>
      <c r="L255" s="257">
        <v>0</v>
      </c>
      <c r="M255" s="257">
        <v>67000</v>
      </c>
      <c r="N255" s="257">
        <v>33500</v>
      </c>
    </row>
    <row r="256" spans="1:14" s="143" customFormat="1" x14ac:dyDescent="0.25">
      <c r="A256" s="143" t="s">
        <v>290</v>
      </c>
      <c r="B256" s="143" t="s">
        <v>318</v>
      </c>
      <c r="C256" s="143" t="s">
        <v>319</v>
      </c>
      <c r="D256" s="143" t="s">
        <v>69</v>
      </c>
      <c r="E256" s="257">
        <v>99000</v>
      </c>
      <c r="F256" s="257">
        <v>99000</v>
      </c>
      <c r="G256" s="257">
        <v>49500</v>
      </c>
      <c r="H256" s="257">
        <v>0</v>
      </c>
      <c r="I256" s="257">
        <v>0</v>
      </c>
      <c r="J256" s="257">
        <v>0</v>
      </c>
      <c r="K256" s="257">
        <v>0</v>
      </c>
      <c r="L256" s="257">
        <v>0</v>
      </c>
      <c r="M256" s="257">
        <v>99000</v>
      </c>
      <c r="N256" s="257">
        <v>49500</v>
      </c>
    </row>
    <row r="257" spans="1:14" s="143" customFormat="1" x14ac:dyDescent="0.25">
      <c r="A257" s="143" t="s">
        <v>290</v>
      </c>
      <c r="B257" s="143" t="s">
        <v>202</v>
      </c>
      <c r="C257" s="143" t="s">
        <v>203</v>
      </c>
      <c r="D257" s="143" t="s">
        <v>69</v>
      </c>
      <c r="E257" s="257">
        <v>1345000</v>
      </c>
      <c r="F257" s="257">
        <v>1345000</v>
      </c>
      <c r="G257" s="257">
        <v>372500</v>
      </c>
      <c r="H257" s="257">
        <v>0</v>
      </c>
      <c r="I257" s="257">
        <v>0</v>
      </c>
      <c r="J257" s="257">
        <v>0</v>
      </c>
      <c r="K257" s="257">
        <v>0</v>
      </c>
      <c r="L257" s="257">
        <v>0</v>
      </c>
      <c r="M257" s="257">
        <v>1345000</v>
      </c>
      <c r="N257" s="257">
        <v>372500</v>
      </c>
    </row>
    <row r="258" spans="1:14" s="143" customFormat="1" x14ac:dyDescent="0.25">
      <c r="A258" s="143" t="s">
        <v>290</v>
      </c>
      <c r="B258" s="143" t="s">
        <v>320</v>
      </c>
      <c r="C258" s="143" t="s">
        <v>321</v>
      </c>
      <c r="D258" s="143" t="s">
        <v>69</v>
      </c>
      <c r="E258" s="257">
        <v>40000</v>
      </c>
      <c r="F258" s="257">
        <v>40000</v>
      </c>
      <c r="G258" s="257">
        <v>20000</v>
      </c>
      <c r="H258" s="257">
        <v>0</v>
      </c>
      <c r="I258" s="257">
        <v>0</v>
      </c>
      <c r="J258" s="257">
        <v>0</v>
      </c>
      <c r="K258" s="257">
        <v>0</v>
      </c>
      <c r="L258" s="257">
        <v>0</v>
      </c>
      <c r="M258" s="257">
        <v>40000</v>
      </c>
      <c r="N258" s="257">
        <v>20000</v>
      </c>
    </row>
    <row r="259" spans="1:14" s="143" customFormat="1" x14ac:dyDescent="0.25">
      <c r="A259" s="143" t="s">
        <v>290</v>
      </c>
      <c r="B259" s="143" t="s">
        <v>204</v>
      </c>
      <c r="C259" s="143" t="s">
        <v>205</v>
      </c>
      <c r="D259" s="143" t="s">
        <v>69</v>
      </c>
      <c r="E259" s="257">
        <v>198000</v>
      </c>
      <c r="F259" s="257">
        <v>198000</v>
      </c>
      <c r="G259" s="257">
        <v>99000</v>
      </c>
      <c r="H259" s="257">
        <v>0</v>
      </c>
      <c r="I259" s="257">
        <v>0</v>
      </c>
      <c r="J259" s="257">
        <v>0</v>
      </c>
      <c r="K259" s="257">
        <v>0</v>
      </c>
      <c r="L259" s="257">
        <v>0</v>
      </c>
      <c r="M259" s="257">
        <v>198000</v>
      </c>
      <c r="N259" s="257">
        <v>99000</v>
      </c>
    </row>
    <row r="260" spans="1:14" s="143" customFormat="1" x14ac:dyDescent="0.25">
      <c r="A260" s="143" t="s">
        <v>290</v>
      </c>
      <c r="B260" s="143" t="s">
        <v>322</v>
      </c>
      <c r="C260" s="143" t="s">
        <v>323</v>
      </c>
      <c r="D260" s="143" t="s">
        <v>69</v>
      </c>
      <c r="E260" s="257">
        <v>399000</v>
      </c>
      <c r="F260" s="257">
        <v>399000</v>
      </c>
      <c r="G260" s="257">
        <v>199500</v>
      </c>
      <c r="H260" s="257">
        <v>0</v>
      </c>
      <c r="I260" s="257">
        <v>0</v>
      </c>
      <c r="J260" s="257">
        <v>0</v>
      </c>
      <c r="K260" s="257">
        <v>0</v>
      </c>
      <c r="L260" s="257">
        <v>0</v>
      </c>
      <c r="M260" s="257">
        <v>399000</v>
      </c>
      <c r="N260" s="257">
        <v>199500</v>
      </c>
    </row>
    <row r="261" spans="1:14" s="143" customFormat="1" x14ac:dyDescent="0.25">
      <c r="A261" s="143" t="s">
        <v>290</v>
      </c>
      <c r="B261" s="143" t="s">
        <v>206</v>
      </c>
      <c r="C261" s="143" t="s">
        <v>207</v>
      </c>
      <c r="D261" s="143" t="s">
        <v>69</v>
      </c>
      <c r="E261" s="257">
        <v>3047000</v>
      </c>
      <c r="F261" s="257">
        <v>3047000</v>
      </c>
      <c r="G261" s="257">
        <v>873500</v>
      </c>
      <c r="H261" s="257">
        <v>0</v>
      </c>
      <c r="I261" s="257">
        <v>0</v>
      </c>
      <c r="J261" s="257">
        <v>0</v>
      </c>
      <c r="K261" s="257">
        <v>0</v>
      </c>
      <c r="L261" s="257">
        <v>0</v>
      </c>
      <c r="M261" s="257">
        <v>3047000</v>
      </c>
      <c r="N261" s="257">
        <v>873500</v>
      </c>
    </row>
    <row r="262" spans="1:14" s="143" customFormat="1" x14ac:dyDescent="0.25">
      <c r="A262" s="143" t="s">
        <v>290</v>
      </c>
      <c r="B262" s="143" t="s">
        <v>208</v>
      </c>
      <c r="C262" s="143" t="s">
        <v>209</v>
      </c>
      <c r="D262" s="143" t="s">
        <v>69</v>
      </c>
      <c r="E262" s="257">
        <v>251000</v>
      </c>
      <c r="F262" s="257">
        <v>251000</v>
      </c>
      <c r="G262" s="257">
        <v>125500</v>
      </c>
      <c r="H262" s="257">
        <v>0</v>
      </c>
      <c r="I262" s="257">
        <v>0</v>
      </c>
      <c r="J262" s="257">
        <v>0</v>
      </c>
      <c r="K262" s="257">
        <v>0</v>
      </c>
      <c r="L262" s="257">
        <v>0</v>
      </c>
      <c r="M262" s="257">
        <v>251000</v>
      </c>
      <c r="N262" s="257">
        <v>125500</v>
      </c>
    </row>
    <row r="263" spans="1:14" s="143" customFormat="1" x14ac:dyDescent="0.25">
      <c r="A263" s="143" t="s">
        <v>290</v>
      </c>
      <c r="B263" s="143" t="s">
        <v>210</v>
      </c>
      <c r="C263" s="143" t="s">
        <v>211</v>
      </c>
      <c r="D263" s="143" t="s">
        <v>69</v>
      </c>
      <c r="E263" s="257">
        <v>2796000</v>
      </c>
      <c r="F263" s="257">
        <v>2796000</v>
      </c>
      <c r="G263" s="257">
        <v>748000</v>
      </c>
      <c r="H263" s="257">
        <v>0</v>
      </c>
      <c r="I263" s="257">
        <v>0</v>
      </c>
      <c r="J263" s="257">
        <v>0</v>
      </c>
      <c r="K263" s="257">
        <v>0</v>
      </c>
      <c r="L263" s="257">
        <v>0</v>
      </c>
      <c r="M263" s="257">
        <v>2796000</v>
      </c>
      <c r="N263" s="257">
        <v>748000</v>
      </c>
    </row>
    <row r="264" spans="1:14" s="143" customFormat="1" x14ac:dyDescent="0.25">
      <c r="A264" s="143" t="s">
        <v>290</v>
      </c>
      <c r="B264" s="143" t="s">
        <v>212</v>
      </c>
      <c r="C264" s="143" t="s">
        <v>213</v>
      </c>
      <c r="D264" s="143" t="s">
        <v>69</v>
      </c>
      <c r="E264" s="257">
        <v>24502693</v>
      </c>
      <c r="F264" s="257">
        <v>24502693</v>
      </c>
      <c r="G264" s="257">
        <v>7651346</v>
      </c>
      <c r="H264" s="257">
        <v>0</v>
      </c>
      <c r="I264" s="257">
        <v>308715</v>
      </c>
      <c r="J264" s="257">
        <v>0</v>
      </c>
      <c r="K264" s="257">
        <v>788400</v>
      </c>
      <c r="L264" s="257">
        <v>788400</v>
      </c>
      <c r="M264" s="257">
        <v>23405578</v>
      </c>
      <c r="N264" s="257">
        <v>6554231</v>
      </c>
    </row>
    <row r="265" spans="1:14" s="143" customFormat="1" x14ac:dyDescent="0.25">
      <c r="A265" s="143" t="s">
        <v>290</v>
      </c>
      <c r="B265" s="143" t="s">
        <v>214</v>
      </c>
      <c r="C265" s="143" t="s">
        <v>215</v>
      </c>
      <c r="D265" s="143" t="s">
        <v>69</v>
      </c>
      <c r="E265" s="257">
        <v>7116000</v>
      </c>
      <c r="F265" s="257">
        <v>7116000</v>
      </c>
      <c r="G265" s="257">
        <v>1908000</v>
      </c>
      <c r="H265" s="257">
        <v>0</v>
      </c>
      <c r="I265" s="257">
        <v>0</v>
      </c>
      <c r="J265" s="257">
        <v>0</v>
      </c>
      <c r="K265" s="257">
        <v>119000</v>
      </c>
      <c r="L265" s="257">
        <v>119000</v>
      </c>
      <c r="M265" s="257">
        <v>6997000</v>
      </c>
      <c r="N265" s="257">
        <v>1789000</v>
      </c>
    </row>
    <row r="266" spans="1:14" s="143" customFormat="1" x14ac:dyDescent="0.25">
      <c r="A266" s="143" t="s">
        <v>290</v>
      </c>
      <c r="B266" s="143" t="s">
        <v>216</v>
      </c>
      <c r="C266" s="143" t="s">
        <v>217</v>
      </c>
      <c r="D266" s="143" t="s">
        <v>69</v>
      </c>
      <c r="E266" s="257">
        <v>0</v>
      </c>
      <c r="F266" s="257">
        <v>0</v>
      </c>
      <c r="G266" s="257">
        <v>0</v>
      </c>
      <c r="H266" s="257">
        <v>0</v>
      </c>
      <c r="I266" s="257">
        <v>0</v>
      </c>
      <c r="J266" s="257">
        <v>0</v>
      </c>
      <c r="K266" s="257">
        <v>0</v>
      </c>
      <c r="L266" s="257">
        <v>0</v>
      </c>
      <c r="M266" s="257">
        <v>0</v>
      </c>
      <c r="N266" s="257">
        <v>0</v>
      </c>
    </row>
    <row r="267" spans="1:14" s="143" customFormat="1" x14ac:dyDescent="0.25">
      <c r="A267" s="143" t="s">
        <v>290</v>
      </c>
      <c r="B267" s="143" t="s">
        <v>218</v>
      </c>
      <c r="C267" s="143" t="s">
        <v>219</v>
      </c>
      <c r="D267" s="143" t="s">
        <v>69</v>
      </c>
      <c r="E267" s="257">
        <v>15203693</v>
      </c>
      <c r="F267" s="257">
        <v>15203693</v>
      </c>
      <c r="G267" s="257">
        <v>4601846</v>
      </c>
      <c r="H267" s="257">
        <v>0</v>
      </c>
      <c r="I267" s="257">
        <v>171375</v>
      </c>
      <c r="J267" s="257">
        <v>0</v>
      </c>
      <c r="K267" s="257">
        <v>278000</v>
      </c>
      <c r="L267" s="257">
        <v>278000</v>
      </c>
      <c r="M267" s="257">
        <v>14754318</v>
      </c>
      <c r="N267" s="257">
        <v>4152471</v>
      </c>
    </row>
    <row r="268" spans="1:14" s="143" customFormat="1" x14ac:dyDescent="0.25">
      <c r="A268" s="143" t="s">
        <v>290</v>
      </c>
      <c r="B268" s="143" t="s">
        <v>220</v>
      </c>
      <c r="C268" s="143" t="s">
        <v>221</v>
      </c>
      <c r="D268" s="143" t="s">
        <v>69</v>
      </c>
      <c r="E268" s="257">
        <v>133000</v>
      </c>
      <c r="F268" s="257">
        <v>133000</v>
      </c>
      <c r="G268" s="257">
        <v>66500</v>
      </c>
      <c r="H268" s="257">
        <v>0</v>
      </c>
      <c r="I268" s="257">
        <v>0</v>
      </c>
      <c r="J268" s="257">
        <v>0</v>
      </c>
      <c r="K268" s="257">
        <v>0</v>
      </c>
      <c r="L268" s="257">
        <v>0</v>
      </c>
      <c r="M268" s="257">
        <v>133000</v>
      </c>
      <c r="N268" s="257">
        <v>66500</v>
      </c>
    </row>
    <row r="269" spans="1:14" s="143" customFormat="1" x14ac:dyDescent="0.25">
      <c r="A269" s="143" t="s">
        <v>290</v>
      </c>
      <c r="B269" s="143" t="s">
        <v>222</v>
      </c>
      <c r="C269" s="143" t="s">
        <v>223</v>
      </c>
      <c r="D269" s="143" t="s">
        <v>69</v>
      </c>
      <c r="E269" s="257">
        <v>1356000</v>
      </c>
      <c r="F269" s="257">
        <v>1356000</v>
      </c>
      <c r="G269" s="257">
        <v>728000</v>
      </c>
      <c r="H269" s="257">
        <v>0</v>
      </c>
      <c r="I269" s="257">
        <v>0</v>
      </c>
      <c r="J269" s="257">
        <v>0</v>
      </c>
      <c r="K269" s="257">
        <v>386600</v>
      </c>
      <c r="L269" s="257">
        <v>386600</v>
      </c>
      <c r="M269" s="257">
        <v>969400</v>
      </c>
      <c r="N269" s="257">
        <v>341400</v>
      </c>
    </row>
    <row r="270" spans="1:14" s="143" customFormat="1" x14ac:dyDescent="0.25">
      <c r="A270" s="143" t="s">
        <v>290</v>
      </c>
      <c r="B270" s="143" t="s">
        <v>224</v>
      </c>
      <c r="C270" s="143" t="s">
        <v>225</v>
      </c>
      <c r="D270" s="143" t="s">
        <v>69</v>
      </c>
      <c r="E270" s="257">
        <v>123000</v>
      </c>
      <c r="F270" s="257">
        <v>123000</v>
      </c>
      <c r="G270" s="257">
        <v>61500</v>
      </c>
      <c r="H270" s="257">
        <v>0</v>
      </c>
      <c r="I270" s="257">
        <v>0</v>
      </c>
      <c r="J270" s="257">
        <v>0</v>
      </c>
      <c r="K270" s="257">
        <v>4800</v>
      </c>
      <c r="L270" s="257">
        <v>4800</v>
      </c>
      <c r="M270" s="257">
        <v>118200</v>
      </c>
      <c r="N270" s="257">
        <v>56700</v>
      </c>
    </row>
    <row r="271" spans="1:14" s="143" customFormat="1" x14ac:dyDescent="0.25">
      <c r="A271" s="143" t="s">
        <v>290</v>
      </c>
      <c r="B271" s="143" t="s">
        <v>228</v>
      </c>
      <c r="C271" s="143" t="s">
        <v>229</v>
      </c>
      <c r="D271" s="143" t="s">
        <v>69</v>
      </c>
      <c r="E271" s="257">
        <v>571000</v>
      </c>
      <c r="F271" s="257">
        <v>571000</v>
      </c>
      <c r="G271" s="257">
        <v>285500</v>
      </c>
      <c r="H271" s="257">
        <v>0</v>
      </c>
      <c r="I271" s="257">
        <v>137340</v>
      </c>
      <c r="J271" s="257">
        <v>0</v>
      </c>
      <c r="K271" s="257">
        <v>0</v>
      </c>
      <c r="L271" s="257">
        <v>0</v>
      </c>
      <c r="M271" s="257">
        <v>433660</v>
      </c>
      <c r="N271" s="257">
        <v>148160</v>
      </c>
    </row>
    <row r="272" spans="1:14" s="143" customFormat="1" x14ac:dyDescent="0.25">
      <c r="A272" s="143" t="s">
        <v>290</v>
      </c>
      <c r="B272" s="143" t="s">
        <v>248</v>
      </c>
      <c r="C272" s="143" t="s">
        <v>249</v>
      </c>
      <c r="D272" s="143" t="s">
        <v>69</v>
      </c>
      <c r="E272" s="257">
        <v>298129000</v>
      </c>
      <c r="F272" s="257">
        <v>298129000</v>
      </c>
      <c r="G272" s="257">
        <v>200148300</v>
      </c>
      <c r="H272" s="257">
        <v>0</v>
      </c>
      <c r="I272" s="257">
        <v>101906972.41</v>
      </c>
      <c r="J272" s="257">
        <v>0</v>
      </c>
      <c r="K272" s="257">
        <v>37853928.590000004</v>
      </c>
      <c r="L272" s="257">
        <v>37853928.590000004</v>
      </c>
      <c r="M272" s="257">
        <v>158368099</v>
      </c>
      <c r="N272" s="257">
        <v>60387399</v>
      </c>
    </row>
    <row r="273" spans="1:14" s="143" customFormat="1" x14ac:dyDescent="0.25">
      <c r="A273" s="143" t="s">
        <v>290</v>
      </c>
      <c r="B273" s="143" t="s">
        <v>250</v>
      </c>
      <c r="C273" s="143" t="s">
        <v>251</v>
      </c>
      <c r="D273" s="143" t="s">
        <v>69</v>
      </c>
      <c r="E273" s="257">
        <v>115667000</v>
      </c>
      <c r="F273" s="257">
        <v>115667000</v>
      </c>
      <c r="G273" s="257">
        <v>115667000</v>
      </c>
      <c r="H273" s="257">
        <v>0</v>
      </c>
      <c r="I273" s="257">
        <v>85137672.409999996</v>
      </c>
      <c r="J273" s="257">
        <v>0</v>
      </c>
      <c r="K273" s="257">
        <v>30529327.59</v>
      </c>
      <c r="L273" s="257">
        <v>30529327.59</v>
      </c>
      <c r="M273" s="257">
        <v>0</v>
      </c>
      <c r="N273" s="257">
        <v>0</v>
      </c>
    </row>
    <row r="274" spans="1:14" s="143" customFormat="1" x14ac:dyDescent="0.25">
      <c r="A274" s="143" t="s">
        <v>290</v>
      </c>
      <c r="B274" s="143" t="s">
        <v>332</v>
      </c>
      <c r="C274" s="143" t="s">
        <v>257</v>
      </c>
      <c r="D274" s="143" t="s">
        <v>69</v>
      </c>
      <c r="E274" s="257">
        <v>96260000</v>
      </c>
      <c r="F274" s="257">
        <v>96260000</v>
      </c>
      <c r="G274" s="257">
        <v>96260000</v>
      </c>
      <c r="H274" s="257">
        <v>0</v>
      </c>
      <c r="I274" s="257">
        <v>70853042.819999993</v>
      </c>
      <c r="J274" s="257">
        <v>0</v>
      </c>
      <c r="K274" s="257">
        <v>25406957.18</v>
      </c>
      <c r="L274" s="257">
        <v>25406957.18</v>
      </c>
      <c r="M274" s="257">
        <v>0</v>
      </c>
      <c r="N274" s="257">
        <v>0</v>
      </c>
    </row>
    <row r="275" spans="1:14" s="143" customFormat="1" x14ac:dyDescent="0.25">
      <c r="A275" s="143" t="s">
        <v>290</v>
      </c>
      <c r="B275" s="143" t="s">
        <v>333</v>
      </c>
      <c r="C275" s="143" t="s">
        <v>259</v>
      </c>
      <c r="D275" s="143" t="s">
        <v>69</v>
      </c>
      <c r="E275" s="257">
        <v>19407000</v>
      </c>
      <c r="F275" s="257">
        <v>19407000</v>
      </c>
      <c r="G275" s="257">
        <v>19407000</v>
      </c>
      <c r="H275" s="257">
        <v>0</v>
      </c>
      <c r="I275" s="257">
        <v>14284629.59</v>
      </c>
      <c r="J275" s="257">
        <v>0</v>
      </c>
      <c r="K275" s="257">
        <v>5122370.41</v>
      </c>
      <c r="L275" s="257">
        <v>5122370.41</v>
      </c>
      <c r="M275" s="257">
        <v>0</v>
      </c>
      <c r="N275" s="257">
        <v>0</v>
      </c>
    </row>
    <row r="276" spans="1:14" s="143" customFormat="1" x14ac:dyDescent="0.25">
      <c r="A276" s="143" t="s">
        <v>290</v>
      </c>
      <c r="B276" s="143" t="s">
        <v>260</v>
      </c>
      <c r="C276" s="143" t="s">
        <v>261</v>
      </c>
      <c r="D276" s="143" t="s">
        <v>69</v>
      </c>
      <c r="E276" s="257">
        <v>179462000</v>
      </c>
      <c r="F276" s="257">
        <v>179462000</v>
      </c>
      <c r="G276" s="257">
        <v>83731300</v>
      </c>
      <c r="H276" s="257">
        <v>0</v>
      </c>
      <c r="I276" s="257">
        <v>16769300</v>
      </c>
      <c r="J276" s="257">
        <v>0</v>
      </c>
      <c r="K276" s="257">
        <v>7324601</v>
      </c>
      <c r="L276" s="257">
        <v>7324601</v>
      </c>
      <c r="M276" s="257">
        <v>155368099</v>
      </c>
      <c r="N276" s="257">
        <v>59637399</v>
      </c>
    </row>
    <row r="277" spans="1:14" s="143" customFormat="1" x14ac:dyDescent="0.25">
      <c r="A277" s="143" t="s">
        <v>290</v>
      </c>
      <c r="B277" s="143" t="s">
        <v>262</v>
      </c>
      <c r="C277" s="143" t="s">
        <v>263</v>
      </c>
      <c r="D277" s="143" t="s">
        <v>69</v>
      </c>
      <c r="E277" s="257">
        <v>150000000</v>
      </c>
      <c r="F277" s="257">
        <v>150000000</v>
      </c>
      <c r="G277" s="257">
        <v>54269300</v>
      </c>
      <c r="H277" s="257">
        <v>0</v>
      </c>
      <c r="I277" s="257">
        <v>16769300</v>
      </c>
      <c r="J277" s="257">
        <v>0</v>
      </c>
      <c r="K277" s="257">
        <v>0</v>
      </c>
      <c r="L277" s="257">
        <v>0</v>
      </c>
      <c r="M277" s="257">
        <v>133230700</v>
      </c>
      <c r="N277" s="257">
        <v>37500000</v>
      </c>
    </row>
    <row r="278" spans="1:14" s="143" customFormat="1" x14ac:dyDescent="0.25">
      <c r="A278" s="143" t="s">
        <v>290</v>
      </c>
      <c r="B278" s="143" t="s">
        <v>264</v>
      </c>
      <c r="C278" s="143" t="s">
        <v>265</v>
      </c>
      <c r="D278" s="143" t="s">
        <v>69</v>
      </c>
      <c r="E278" s="257">
        <v>29462000</v>
      </c>
      <c r="F278" s="257">
        <v>29462000</v>
      </c>
      <c r="G278" s="257">
        <v>29462000</v>
      </c>
      <c r="H278" s="257">
        <v>0</v>
      </c>
      <c r="I278" s="257">
        <v>0</v>
      </c>
      <c r="J278" s="257">
        <v>0</v>
      </c>
      <c r="K278" s="257">
        <v>7324601</v>
      </c>
      <c r="L278" s="257">
        <v>7324601</v>
      </c>
      <c r="M278" s="257">
        <v>22137399</v>
      </c>
      <c r="N278" s="257">
        <v>22137399</v>
      </c>
    </row>
    <row r="279" spans="1:14" s="143" customFormat="1" x14ac:dyDescent="0.25">
      <c r="A279" s="143" t="s">
        <v>290</v>
      </c>
      <c r="B279" s="143" t="s">
        <v>286</v>
      </c>
      <c r="C279" s="143" t="s">
        <v>287</v>
      </c>
      <c r="D279" s="143" t="s">
        <v>69</v>
      </c>
      <c r="E279" s="257">
        <v>3000000</v>
      </c>
      <c r="F279" s="257">
        <v>3000000</v>
      </c>
      <c r="G279" s="257">
        <v>750000</v>
      </c>
      <c r="H279" s="257">
        <v>0</v>
      </c>
      <c r="I279" s="257">
        <v>0</v>
      </c>
      <c r="J279" s="257">
        <v>0</v>
      </c>
      <c r="K279" s="257">
        <v>0</v>
      </c>
      <c r="L279" s="257">
        <v>0</v>
      </c>
      <c r="M279" s="257">
        <v>3000000</v>
      </c>
      <c r="N279" s="257">
        <v>750000</v>
      </c>
    </row>
    <row r="280" spans="1:14" s="143" customFormat="1" x14ac:dyDescent="0.25">
      <c r="A280" s="143" t="s">
        <v>290</v>
      </c>
      <c r="B280" s="143" t="s">
        <v>288</v>
      </c>
      <c r="C280" s="143" t="s">
        <v>289</v>
      </c>
      <c r="D280" s="143" t="s">
        <v>69</v>
      </c>
      <c r="E280" s="257">
        <v>3000000</v>
      </c>
      <c r="F280" s="257">
        <v>3000000</v>
      </c>
      <c r="G280" s="257">
        <v>750000</v>
      </c>
      <c r="H280" s="257">
        <v>0</v>
      </c>
      <c r="I280" s="257">
        <v>0</v>
      </c>
      <c r="J280" s="257">
        <v>0</v>
      </c>
      <c r="K280" s="257">
        <v>0</v>
      </c>
      <c r="L280" s="257">
        <v>0</v>
      </c>
      <c r="M280" s="257">
        <v>3000000</v>
      </c>
      <c r="N280" s="257">
        <v>750000</v>
      </c>
    </row>
    <row r="281" spans="1:14" s="143" customFormat="1" x14ac:dyDescent="0.25">
      <c r="A281" s="143" t="s">
        <v>290</v>
      </c>
      <c r="B281" s="143" t="s">
        <v>230</v>
      </c>
      <c r="C281" s="143" t="s">
        <v>231</v>
      </c>
      <c r="D281" s="143" t="s">
        <v>85</v>
      </c>
      <c r="E281" s="257">
        <v>47031000</v>
      </c>
      <c r="F281" s="257">
        <v>47031000</v>
      </c>
      <c r="G281" s="257">
        <v>47031000</v>
      </c>
      <c r="H281" s="257">
        <v>352009.19</v>
      </c>
      <c r="I281" s="257">
        <v>1350982.19</v>
      </c>
      <c r="J281" s="257">
        <v>0</v>
      </c>
      <c r="K281" s="257">
        <v>13762283.65</v>
      </c>
      <c r="L281" s="257">
        <v>13762283.65</v>
      </c>
      <c r="M281" s="257">
        <v>31565724.969999999</v>
      </c>
      <c r="N281" s="257">
        <v>31565724.969999999</v>
      </c>
    </row>
    <row r="282" spans="1:14" s="143" customFormat="1" x14ac:dyDescent="0.25">
      <c r="A282" s="143" t="s">
        <v>290</v>
      </c>
      <c r="B282" s="143" t="s">
        <v>232</v>
      </c>
      <c r="C282" s="143" t="s">
        <v>233</v>
      </c>
      <c r="D282" s="143" t="s">
        <v>85</v>
      </c>
      <c r="E282" s="257">
        <v>25000000</v>
      </c>
      <c r="F282" s="257">
        <v>23649017.809999999</v>
      </c>
      <c r="G282" s="257">
        <v>23649017.809999999</v>
      </c>
      <c r="H282" s="257">
        <v>0</v>
      </c>
      <c r="I282" s="257">
        <v>0</v>
      </c>
      <c r="J282" s="257">
        <v>0</v>
      </c>
      <c r="K282" s="257">
        <v>13762283.65</v>
      </c>
      <c r="L282" s="257">
        <v>13762283.65</v>
      </c>
      <c r="M282" s="257">
        <v>9886734.1600000001</v>
      </c>
      <c r="N282" s="257">
        <v>9886734.1600000001</v>
      </c>
    </row>
    <row r="283" spans="1:14" s="143" customFormat="1" x14ac:dyDescent="0.25">
      <c r="A283" s="143" t="s">
        <v>290</v>
      </c>
      <c r="B283" s="143" t="s">
        <v>324</v>
      </c>
      <c r="C283" s="143" t="s">
        <v>325</v>
      </c>
      <c r="D283" s="143" t="s">
        <v>85</v>
      </c>
      <c r="E283" s="257">
        <v>15000000</v>
      </c>
      <c r="F283" s="257">
        <v>15000000</v>
      </c>
      <c r="G283" s="257">
        <v>15000000</v>
      </c>
      <c r="H283" s="257">
        <v>0</v>
      </c>
      <c r="I283" s="257">
        <v>0</v>
      </c>
      <c r="J283" s="257">
        <v>0</v>
      </c>
      <c r="K283" s="257">
        <v>13762283.65</v>
      </c>
      <c r="L283" s="257">
        <v>13762283.65</v>
      </c>
      <c r="M283" s="257">
        <v>1237716.3500000001</v>
      </c>
      <c r="N283" s="257">
        <v>1237716.3500000001</v>
      </c>
    </row>
    <row r="284" spans="1:14" s="143" customFormat="1" x14ac:dyDescent="0.25">
      <c r="A284" s="143" t="s">
        <v>290</v>
      </c>
      <c r="B284" s="143" t="s">
        <v>236</v>
      </c>
      <c r="C284" s="143" t="s">
        <v>237</v>
      </c>
      <c r="D284" s="143" t="s">
        <v>85</v>
      </c>
      <c r="E284" s="257">
        <v>0</v>
      </c>
      <c r="F284" s="257">
        <v>0</v>
      </c>
      <c r="G284" s="257">
        <v>0</v>
      </c>
      <c r="H284" s="257">
        <v>0</v>
      </c>
      <c r="I284" s="257">
        <v>0</v>
      </c>
      <c r="J284" s="257">
        <v>0</v>
      </c>
      <c r="K284" s="257">
        <v>0</v>
      </c>
      <c r="L284" s="257">
        <v>0</v>
      </c>
      <c r="M284" s="257">
        <v>0</v>
      </c>
      <c r="N284" s="257">
        <v>0</v>
      </c>
    </row>
    <row r="285" spans="1:14" s="143" customFormat="1" x14ac:dyDescent="0.25">
      <c r="A285" s="143" t="s">
        <v>290</v>
      </c>
      <c r="B285" s="143" t="s">
        <v>238</v>
      </c>
      <c r="C285" s="143" t="s">
        <v>239</v>
      </c>
      <c r="D285" s="143" t="s">
        <v>85</v>
      </c>
      <c r="E285" s="257">
        <v>0</v>
      </c>
      <c r="F285" s="257">
        <v>0</v>
      </c>
      <c r="G285" s="257">
        <v>0</v>
      </c>
      <c r="H285" s="257">
        <v>0</v>
      </c>
      <c r="I285" s="257">
        <v>0</v>
      </c>
      <c r="J285" s="257">
        <v>0</v>
      </c>
      <c r="K285" s="257">
        <v>0</v>
      </c>
      <c r="L285" s="257">
        <v>0</v>
      </c>
      <c r="M285" s="257">
        <v>0</v>
      </c>
      <c r="N285" s="257">
        <v>0</v>
      </c>
    </row>
    <row r="286" spans="1:14" s="143" customFormat="1" x14ac:dyDescent="0.25">
      <c r="A286" s="143" t="s">
        <v>290</v>
      </c>
      <c r="B286" s="143" t="s">
        <v>282</v>
      </c>
      <c r="C286" s="143" t="s">
        <v>283</v>
      </c>
      <c r="D286" s="143" t="s">
        <v>85</v>
      </c>
      <c r="E286" s="257">
        <v>10000000</v>
      </c>
      <c r="F286" s="257">
        <v>8649017.8100000005</v>
      </c>
      <c r="G286" s="257">
        <v>8649017.8100000005</v>
      </c>
      <c r="H286" s="257">
        <v>0</v>
      </c>
      <c r="I286" s="257">
        <v>0</v>
      </c>
      <c r="J286" s="257">
        <v>0</v>
      </c>
      <c r="K286" s="257">
        <v>0</v>
      </c>
      <c r="L286" s="257">
        <v>0</v>
      </c>
      <c r="M286" s="257">
        <v>8649017.8100000005</v>
      </c>
      <c r="N286" s="257">
        <v>8649017.8100000005</v>
      </c>
    </row>
    <row r="287" spans="1:14" s="143" customFormat="1" x14ac:dyDescent="0.25">
      <c r="A287" s="143" t="s">
        <v>290</v>
      </c>
      <c r="B287" s="143" t="s">
        <v>326</v>
      </c>
      <c r="C287" s="143" t="s">
        <v>327</v>
      </c>
      <c r="D287" s="143" t="s">
        <v>85</v>
      </c>
      <c r="E287" s="257">
        <v>0</v>
      </c>
      <c r="F287" s="257">
        <v>0</v>
      </c>
      <c r="G287" s="257">
        <v>0</v>
      </c>
      <c r="H287" s="257">
        <v>0</v>
      </c>
      <c r="I287" s="257">
        <v>0</v>
      </c>
      <c r="J287" s="257">
        <v>0</v>
      </c>
      <c r="K287" s="257">
        <v>0</v>
      </c>
      <c r="L287" s="257">
        <v>0</v>
      </c>
      <c r="M287" s="257">
        <v>0</v>
      </c>
      <c r="N287" s="257">
        <v>0</v>
      </c>
    </row>
    <row r="288" spans="1:14" s="143" customFormat="1" x14ac:dyDescent="0.25">
      <c r="A288" s="143" t="s">
        <v>290</v>
      </c>
      <c r="B288" s="143" t="s">
        <v>328</v>
      </c>
      <c r="C288" s="143" t="s">
        <v>329</v>
      </c>
      <c r="D288" s="143" t="s">
        <v>85</v>
      </c>
      <c r="E288" s="257">
        <v>0</v>
      </c>
      <c r="F288" s="257">
        <v>1350982.19</v>
      </c>
      <c r="G288" s="257">
        <v>1350982.19</v>
      </c>
      <c r="H288" s="257">
        <v>0</v>
      </c>
      <c r="I288" s="257">
        <v>1350982.19</v>
      </c>
      <c r="J288" s="257">
        <v>0</v>
      </c>
      <c r="K288" s="257">
        <v>0</v>
      </c>
      <c r="L288" s="257">
        <v>0</v>
      </c>
      <c r="M288" s="257">
        <v>0</v>
      </c>
      <c r="N288" s="257">
        <v>0</v>
      </c>
    </row>
    <row r="289" spans="1:14" s="143" customFormat="1" x14ac:dyDescent="0.25">
      <c r="A289" s="143" t="s">
        <v>290</v>
      </c>
      <c r="B289" s="143" t="s">
        <v>330</v>
      </c>
      <c r="C289" s="143" t="s">
        <v>331</v>
      </c>
      <c r="D289" s="143" t="s">
        <v>85</v>
      </c>
      <c r="E289" s="257">
        <v>0</v>
      </c>
      <c r="F289" s="257">
        <v>1350982.19</v>
      </c>
      <c r="G289" s="257">
        <v>1350982.19</v>
      </c>
      <c r="H289" s="257">
        <v>0</v>
      </c>
      <c r="I289" s="257">
        <v>1350982.19</v>
      </c>
      <c r="J289" s="257">
        <v>0</v>
      </c>
      <c r="K289" s="257">
        <v>0</v>
      </c>
      <c r="L289" s="257">
        <v>0</v>
      </c>
      <c r="M289" s="257">
        <v>0</v>
      </c>
      <c r="N289" s="257">
        <v>0</v>
      </c>
    </row>
    <row r="290" spans="1:14" s="143" customFormat="1" x14ac:dyDescent="0.25">
      <c r="A290" s="143" t="s">
        <v>290</v>
      </c>
      <c r="B290" s="143" t="s">
        <v>244</v>
      </c>
      <c r="C290" s="143" t="s">
        <v>245</v>
      </c>
      <c r="D290" s="143" t="s">
        <v>85</v>
      </c>
      <c r="E290" s="257">
        <v>22031000</v>
      </c>
      <c r="F290" s="257">
        <v>22031000</v>
      </c>
      <c r="G290" s="257">
        <v>22031000</v>
      </c>
      <c r="H290" s="257">
        <v>352009.19</v>
      </c>
      <c r="I290" s="257">
        <v>0</v>
      </c>
      <c r="J290" s="257">
        <v>0</v>
      </c>
      <c r="K290" s="257">
        <v>0</v>
      </c>
      <c r="L290" s="257">
        <v>0</v>
      </c>
      <c r="M290" s="257">
        <v>21678990.809999999</v>
      </c>
      <c r="N290" s="257">
        <v>21678990.809999999</v>
      </c>
    </row>
    <row r="291" spans="1:14" s="143" customFormat="1" x14ac:dyDescent="0.25">
      <c r="A291" s="143" t="s">
        <v>290</v>
      </c>
      <c r="B291" s="143" t="s">
        <v>246</v>
      </c>
      <c r="C291" s="143" t="s">
        <v>247</v>
      </c>
      <c r="D291" s="143" t="s">
        <v>85</v>
      </c>
      <c r="E291" s="257">
        <v>22031000</v>
      </c>
      <c r="F291" s="257">
        <v>22031000</v>
      </c>
      <c r="G291" s="257">
        <v>22031000</v>
      </c>
      <c r="H291" s="257">
        <v>352009.19</v>
      </c>
      <c r="I291" s="257">
        <v>0</v>
      </c>
      <c r="J291" s="257">
        <v>0</v>
      </c>
      <c r="K291" s="257">
        <v>0</v>
      </c>
      <c r="L291" s="257">
        <v>0</v>
      </c>
      <c r="M291" s="257">
        <v>21678990.809999999</v>
      </c>
      <c r="N291" s="257">
        <v>21678990.809999999</v>
      </c>
    </row>
    <row r="292" spans="1:14" s="143" customFormat="1" x14ac:dyDescent="0.25">
      <c r="A292" s="143">
        <v>214783</v>
      </c>
      <c r="D292" s="143" t="s">
        <v>69</v>
      </c>
      <c r="E292" s="257">
        <v>106163237755</v>
      </c>
      <c r="F292" s="257">
        <v>112163237755</v>
      </c>
      <c r="G292" s="257">
        <v>92500858809.899994</v>
      </c>
      <c r="H292" s="257">
        <v>191600</v>
      </c>
      <c r="I292" s="257">
        <v>13051224341.110001</v>
      </c>
      <c r="J292" s="257">
        <v>256926796.47</v>
      </c>
      <c r="K292" s="257">
        <v>22764972633.48</v>
      </c>
      <c r="L292" s="257">
        <v>22654373189.799999</v>
      </c>
      <c r="M292" s="257">
        <v>76089922383.940002</v>
      </c>
      <c r="N292" s="257">
        <v>56427543438.839996</v>
      </c>
    </row>
    <row r="293" spans="1:14" s="143" customFormat="1" x14ac:dyDescent="0.25">
      <c r="A293" s="143" t="s">
        <v>334</v>
      </c>
      <c r="B293" s="143" t="s">
        <v>71</v>
      </c>
      <c r="C293" s="143" t="s">
        <v>72</v>
      </c>
      <c r="D293" s="143" t="s">
        <v>69</v>
      </c>
      <c r="E293" s="257">
        <v>69224041000</v>
      </c>
      <c r="F293" s="257">
        <v>69224041000</v>
      </c>
      <c r="G293" s="257">
        <v>69223691000</v>
      </c>
      <c r="H293" s="257">
        <v>0</v>
      </c>
      <c r="I293" s="257">
        <v>7478440707</v>
      </c>
      <c r="J293" s="257">
        <v>0</v>
      </c>
      <c r="K293" s="257">
        <v>18695986981.09</v>
      </c>
      <c r="L293" s="257">
        <v>18695986981.09</v>
      </c>
      <c r="M293" s="257">
        <v>43049613311.910004</v>
      </c>
      <c r="N293" s="257">
        <v>43049263311.910004</v>
      </c>
    </row>
    <row r="294" spans="1:14" s="143" customFormat="1" x14ac:dyDescent="0.25">
      <c r="A294" s="143" t="s">
        <v>334</v>
      </c>
      <c r="B294" s="143" t="s">
        <v>73</v>
      </c>
      <c r="C294" s="143" t="s">
        <v>74</v>
      </c>
      <c r="D294" s="143" t="s">
        <v>69</v>
      </c>
      <c r="E294" s="257">
        <v>25618223000</v>
      </c>
      <c r="F294" s="257">
        <v>25618223000</v>
      </c>
      <c r="G294" s="257">
        <v>25618223000</v>
      </c>
      <c r="H294" s="257">
        <v>0</v>
      </c>
      <c r="I294" s="257">
        <v>0</v>
      </c>
      <c r="J294" s="257">
        <v>0</v>
      </c>
      <c r="K294" s="257">
        <v>5927021884.7799997</v>
      </c>
      <c r="L294" s="257">
        <v>5927021884.7799997</v>
      </c>
      <c r="M294" s="257">
        <v>19691201115.220001</v>
      </c>
      <c r="N294" s="257">
        <v>19691201115.220001</v>
      </c>
    </row>
    <row r="295" spans="1:14" s="143" customFormat="1" x14ac:dyDescent="0.25">
      <c r="A295" s="143" t="s">
        <v>334</v>
      </c>
      <c r="B295" s="143" t="s">
        <v>75</v>
      </c>
      <c r="C295" s="143" t="s">
        <v>76</v>
      </c>
      <c r="D295" s="143" t="s">
        <v>69</v>
      </c>
      <c r="E295" s="257">
        <v>25601107000</v>
      </c>
      <c r="F295" s="257">
        <v>25601107000</v>
      </c>
      <c r="G295" s="257">
        <v>25601107000</v>
      </c>
      <c r="H295" s="257">
        <v>0</v>
      </c>
      <c r="I295" s="257">
        <v>0</v>
      </c>
      <c r="J295" s="257">
        <v>0</v>
      </c>
      <c r="K295" s="257">
        <v>5911750084.7799997</v>
      </c>
      <c r="L295" s="257">
        <v>5911750084.7799997</v>
      </c>
      <c r="M295" s="257">
        <v>19689356915.220001</v>
      </c>
      <c r="N295" s="257">
        <v>19689356915.220001</v>
      </c>
    </row>
    <row r="296" spans="1:14" s="143" customFormat="1" x14ac:dyDescent="0.25">
      <c r="A296" s="143" t="s">
        <v>334</v>
      </c>
      <c r="B296" s="143" t="s">
        <v>335</v>
      </c>
      <c r="C296" s="143" t="s">
        <v>336</v>
      </c>
      <c r="D296" s="143" t="s">
        <v>69</v>
      </c>
      <c r="E296" s="257">
        <v>17116000</v>
      </c>
      <c r="F296" s="257">
        <v>17116000</v>
      </c>
      <c r="G296" s="257">
        <v>17116000</v>
      </c>
      <c r="H296" s="257">
        <v>0</v>
      </c>
      <c r="I296" s="257">
        <v>0</v>
      </c>
      <c r="J296" s="257">
        <v>0</v>
      </c>
      <c r="K296" s="257">
        <v>15271800</v>
      </c>
      <c r="L296" s="257">
        <v>15271800</v>
      </c>
      <c r="M296" s="257">
        <v>1844200</v>
      </c>
      <c r="N296" s="257">
        <v>1844200</v>
      </c>
    </row>
    <row r="297" spans="1:14" s="143" customFormat="1" x14ac:dyDescent="0.25">
      <c r="A297" s="143" t="s">
        <v>334</v>
      </c>
      <c r="B297" s="143" t="s">
        <v>293</v>
      </c>
      <c r="C297" s="143" t="s">
        <v>294</v>
      </c>
      <c r="D297" s="143" t="s">
        <v>69</v>
      </c>
      <c r="E297" s="257">
        <v>3406791000</v>
      </c>
      <c r="F297" s="257">
        <v>3406791000</v>
      </c>
      <c r="G297" s="257">
        <v>3406791000</v>
      </c>
      <c r="H297" s="257">
        <v>0</v>
      </c>
      <c r="I297" s="257">
        <v>0</v>
      </c>
      <c r="J297" s="257">
        <v>0</v>
      </c>
      <c r="K297" s="257">
        <v>905120469.63</v>
      </c>
      <c r="L297" s="257">
        <v>905120469.63</v>
      </c>
      <c r="M297" s="257">
        <v>2501670530.3699999</v>
      </c>
      <c r="N297" s="257">
        <v>2501670530.3699999</v>
      </c>
    </row>
    <row r="298" spans="1:14" s="143" customFormat="1" x14ac:dyDescent="0.25">
      <c r="A298" s="143" t="s">
        <v>334</v>
      </c>
      <c r="B298" s="143" t="s">
        <v>295</v>
      </c>
      <c r="C298" s="143" t="s">
        <v>296</v>
      </c>
      <c r="D298" s="143" t="s">
        <v>69</v>
      </c>
      <c r="E298" s="257">
        <v>8000000</v>
      </c>
      <c r="F298" s="257">
        <v>8000000</v>
      </c>
      <c r="G298" s="257">
        <v>8000000</v>
      </c>
      <c r="H298" s="257">
        <v>0</v>
      </c>
      <c r="I298" s="257">
        <v>0</v>
      </c>
      <c r="J298" s="257">
        <v>0</v>
      </c>
      <c r="K298" s="257">
        <v>2603141.56</v>
      </c>
      <c r="L298" s="257">
        <v>2603141.56</v>
      </c>
      <c r="M298" s="257">
        <v>5396858.4400000004</v>
      </c>
      <c r="N298" s="257">
        <v>5396858.4400000004</v>
      </c>
    </row>
    <row r="299" spans="1:14" s="143" customFormat="1" x14ac:dyDescent="0.25">
      <c r="A299" s="143" t="s">
        <v>334</v>
      </c>
      <c r="B299" s="143" t="s">
        <v>337</v>
      </c>
      <c r="C299" s="143" t="s">
        <v>338</v>
      </c>
      <c r="D299" s="143" t="s">
        <v>69</v>
      </c>
      <c r="E299" s="257">
        <v>24994000</v>
      </c>
      <c r="F299" s="257">
        <v>24994000</v>
      </c>
      <c r="G299" s="257">
        <v>24994000</v>
      </c>
      <c r="H299" s="257">
        <v>0</v>
      </c>
      <c r="I299" s="257">
        <v>0</v>
      </c>
      <c r="J299" s="257">
        <v>0</v>
      </c>
      <c r="K299" s="257">
        <v>1895757</v>
      </c>
      <c r="L299" s="257">
        <v>1895757</v>
      </c>
      <c r="M299" s="257">
        <v>23098243</v>
      </c>
      <c r="N299" s="257">
        <v>23098243</v>
      </c>
    </row>
    <row r="300" spans="1:14" s="143" customFormat="1" x14ac:dyDescent="0.25">
      <c r="A300" s="143" t="s">
        <v>334</v>
      </c>
      <c r="B300" s="143" t="s">
        <v>339</v>
      </c>
      <c r="C300" s="143" t="s">
        <v>340</v>
      </c>
      <c r="D300" s="143" t="s">
        <v>69</v>
      </c>
      <c r="E300" s="257">
        <v>3373797000</v>
      </c>
      <c r="F300" s="257">
        <v>3373797000</v>
      </c>
      <c r="G300" s="257">
        <v>3373797000</v>
      </c>
      <c r="H300" s="257">
        <v>0</v>
      </c>
      <c r="I300" s="257">
        <v>0</v>
      </c>
      <c r="J300" s="257">
        <v>0</v>
      </c>
      <c r="K300" s="257">
        <v>900621571.07000005</v>
      </c>
      <c r="L300" s="257">
        <v>900621571.07000005</v>
      </c>
      <c r="M300" s="257">
        <v>2473175428.9299998</v>
      </c>
      <c r="N300" s="257">
        <v>2473175428.9299998</v>
      </c>
    </row>
    <row r="301" spans="1:14" s="143" customFormat="1" x14ac:dyDescent="0.25">
      <c r="A301" s="143" t="s">
        <v>334</v>
      </c>
      <c r="B301" s="143" t="s">
        <v>77</v>
      </c>
      <c r="C301" s="143" t="s">
        <v>78</v>
      </c>
      <c r="D301" s="143" t="s">
        <v>69</v>
      </c>
      <c r="E301" s="257">
        <v>29694590000</v>
      </c>
      <c r="F301" s="257">
        <v>29694590000</v>
      </c>
      <c r="G301" s="257">
        <v>29694240000</v>
      </c>
      <c r="H301" s="257">
        <v>0</v>
      </c>
      <c r="I301" s="257">
        <v>0</v>
      </c>
      <c r="J301" s="257">
        <v>0</v>
      </c>
      <c r="K301" s="257">
        <v>8837848333.6800003</v>
      </c>
      <c r="L301" s="257">
        <v>8837848333.6800003</v>
      </c>
      <c r="M301" s="257">
        <v>20856741666.32</v>
      </c>
      <c r="N301" s="257">
        <v>20856391666.32</v>
      </c>
    </row>
    <row r="302" spans="1:14" s="143" customFormat="1" x14ac:dyDescent="0.25">
      <c r="A302" s="143" t="s">
        <v>334</v>
      </c>
      <c r="B302" s="143" t="s">
        <v>79</v>
      </c>
      <c r="C302" s="143" t="s">
        <v>80</v>
      </c>
      <c r="D302" s="143" t="s">
        <v>69</v>
      </c>
      <c r="E302" s="257">
        <v>9856906000</v>
      </c>
      <c r="F302" s="257">
        <v>9856906000</v>
      </c>
      <c r="G302" s="257">
        <v>9856906000</v>
      </c>
      <c r="H302" s="257">
        <v>0</v>
      </c>
      <c r="I302" s="257">
        <v>0</v>
      </c>
      <c r="J302" s="257">
        <v>0</v>
      </c>
      <c r="K302" s="257">
        <v>2297425747.75</v>
      </c>
      <c r="L302" s="257">
        <v>2297425747.75</v>
      </c>
      <c r="M302" s="257">
        <v>7559480252.25</v>
      </c>
      <c r="N302" s="257">
        <v>7559480252.25</v>
      </c>
    </row>
    <row r="303" spans="1:14" s="143" customFormat="1" x14ac:dyDescent="0.25">
      <c r="A303" s="143" t="s">
        <v>334</v>
      </c>
      <c r="B303" s="143" t="s">
        <v>81</v>
      </c>
      <c r="C303" s="143" t="s">
        <v>82</v>
      </c>
      <c r="D303" s="143" t="s">
        <v>69</v>
      </c>
      <c r="E303" s="257">
        <v>3637068000</v>
      </c>
      <c r="F303" s="257">
        <v>3637068000</v>
      </c>
      <c r="G303" s="257">
        <v>3637068000</v>
      </c>
      <c r="H303" s="257">
        <v>0</v>
      </c>
      <c r="I303" s="257">
        <v>0</v>
      </c>
      <c r="J303" s="257">
        <v>0</v>
      </c>
      <c r="K303" s="257">
        <v>820149839.24000001</v>
      </c>
      <c r="L303" s="257">
        <v>820149839.24000001</v>
      </c>
      <c r="M303" s="257">
        <v>2816918160.7600002</v>
      </c>
      <c r="N303" s="257">
        <v>2816918160.7600002</v>
      </c>
    </row>
    <row r="304" spans="1:14" s="143" customFormat="1" x14ac:dyDescent="0.25">
      <c r="A304" s="143" t="s">
        <v>334</v>
      </c>
      <c r="B304" s="143" t="s">
        <v>86</v>
      </c>
      <c r="C304" s="143" t="s">
        <v>87</v>
      </c>
      <c r="D304" s="143" t="s">
        <v>69</v>
      </c>
      <c r="E304" s="257">
        <v>3859929000</v>
      </c>
      <c r="F304" s="257">
        <v>3859929000</v>
      </c>
      <c r="G304" s="257">
        <v>3859929000</v>
      </c>
      <c r="H304" s="257">
        <v>0</v>
      </c>
      <c r="I304" s="257">
        <v>0</v>
      </c>
      <c r="J304" s="257">
        <v>0</v>
      </c>
      <c r="K304" s="257">
        <v>3840892017.1399999</v>
      </c>
      <c r="L304" s="257">
        <v>3840892017.1399999</v>
      </c>
      <c r="M304" s="257">
        <v>19036982.859999999</v>
      </c>
      <c r="N304" s="257">
        <v>19036982.859999999</v>
      </c>
    </row>
    <row r="305" spans="1:14" s="143" customFormat="1" x14ac:dyDescent="0.25">
      <c r="A305" s="143" t="s">
        <v>334</v>
      </c>
      <c r="B305" s="143" t="s">
        <v>88</v>
      </c>
      <c r="C305" s="143" t="s">
        <v>89</v>
      </c>
      <c r="D305" s="143" t="s">
        <v>69</v>
      </c>
      <c r="E305" s="257">
        <v>7961754000</v>
      </c>
      <c r="F305" s="257">
        <v>7961754000</v>
      </c>
      <c r="G305" s="257">
        <v>7961404000</v>
      </c>
      <c r="H305" s="257">
        <v>0</v>
      </c>
      <c r="I305" s="257">
        <v>0</v>
      </c>
      <c r="J305" s="257">
        <v>0</v>
      </c>
      <c r="K305" s="257">
        <v>1873627267.29</v>
      </c>
      <c r="L305" s="257">
        <v>1873627267.29</v>
      </c>
      <c r="M305" s="257">
        <v>6088126732.71</v>
      </c>
      <c r="N305" s="257">
        <v>6087776732.71</v>
      </c>
    </row>
    <row r="306" spans="1:14" s="143" customFormat="1" x14ac:dyDescent="0.25">
      <c r="A306" s="143" t="s">
        <v>334</v>
      </c>
      <c r="B306" s="143" t="s">
        <v>83</v>
      </c>
      <c r="C306" s="143" t="s">
        <v>84</v>
      </c>
      <c r="D306" s="143" t="s">
        <v>85</v>
      </c>
      <c r="E306" s="257">
        <v>4378933000</v>
      </c>
      <c r="F306" s="257">
        <v>4378933000</v>
      </c>
      <c r="G306" s="257">
        <v>4378933000</v>
      </c>
      <c r="H306" s="257">
        <v>0</v>
      </c>
      <c r="I306" s="257">
        <v>0</v>
      </c>
      <c r="J306" s="257">
        <v>0</v>
      </c>
      <c r="K306" s="257">
        <v>5753462.2599999998</v>
      </c>
      <c r="L306" s="257">
        <v>5753462.2599999998</v>
      </c>
      <c r="M306" s="257">
        <v>4373179537.7399998</v>
      </c>
      <c r="N306" s="257">
        <v>4373179537.7399998</v>
      </c>
    </row>
    <row r="307" spans="1:14" s="143" customFormat="1" x14ac:dyDescent="0.25">
      <c r="A307" s="143" t="s">
        <v>334</v>
      </c>
      <c r="B307" s="143" t="s">
        <v>90</v>
      </c>
      <c r="C307" s="143" t="s">
        <v>91</v>
      </c>
      <c r="D307" s="143" t="s">
        <v>69</v>
      </c>
      <c r="E307" s="257">
        <v>5298410000</v>
      </c>
      <c r="F307" s="257">
        <v>5298410000</v>
      </c>
      <c r="G307" s="257">
        <v>5298410000</v>
      </c>
      <c r="H307" s="257">
        <v>0</v>
      </c>
      <c r="I307" s="257">
        <v>3771731026</v>
      </c>
      <c r="J307" s="257">
        <v>0</v>
      </c>
      <c r="K307" s="257">
        <v>1526678974</v>
      </c>
      <c r="L307" s="257">
        <v>1526678974</v>
      </c>
      <c r="M307" s="257">
        <v>0</v>
      </c>
      <c r="N307" s="257">
        <v>0</v>
      </c>
    </row>
    <row r="308" spans="1:14" s="143" customFormat="1" x14ac:dyDescent="0.25">
      <c r="A308" s="143" t="s">
        <v>334</v>
      </c>
      <c r="B308" s="143" t="s">
        <v>341</v>
      </c>
      <c r="C308" s="143" t="s">
        <v>93</v>
      </c>
      <c r="D308" s="143" t="s">
        <v>69</v>
      </c>
      <c r="E308" s="257">
        <v>5026697000</v>
      </c>
      <c r="F308" s="257">
        <v>5026697000</v>
      </c>
      <c r="G308" s="257">
        <v>5026697000</v>
      </c>
      <c r="H308" s="257">
        <v>0</v>
      </c>
      <c r="I308" s="257">
        <v>3578295360</v>
      </c>
      <c r="J308" s="257">
        <v>0</v>
      </c>
      <c r="K308" s="257">
        <v>1448401640</v>
      </c>
      <c r="L308" s="257">
        <v>1448401640</v>
      </c>
      <c r="M308" s="257">
        <v>0</v>
      </c>
      <c r="N308" s="257">
        <v>0</v>
      </c>
    </row>
    <row r="309" spans="1:14" s="143" customFormat="1" x14ac:dyDescent="0.25">
      <c r="A309" s="143" t="s">
        <v>334</v>
      </c>
      <c r="B309" s="143" t="s">
        <v>342</v>
      </c>
      <c r="C309" s="143" t="s">
        <v>95</v>
      </c>
      <c r="D309" s="143" t="s">
        <v>69</v>
      </c>
      <c r="E309" s="257">
        <v>271713000</v>
      </c>
      <c r="F309" s="257">
        <v>271713000</v>
      </c>
      <c r="G309" s="257">
        <v>271713000</v>
      </c>
      <c r="H309" s="257">
        <v>0</v>
      </c>
      <c r="I309" s="257">
        <v>193435666</v>
      </c>
      <c r="J309" s="257">
        <v>0</v>
      </c>
      <c r="K309" s="257">
        <v>78277334</v>
      </c>
      <c r="L309" s="257">
        <v>78277334</v>
      </c>
      <c r="M309" s="257">
        <v>0</v>
      </c>
      <c r="N309" s="257">
        <v>0</v>
      </c>
    </row>
    <row r="310" spans="1:14" s="143" customFormat="1" x14ac:dyDescent="0.25">
      <c r="A310" s="143" t="s">
        <v>334</v>
      </c>
      <c r="B310" s="143" t="s">
        <v>96</v>
      </c>
      <c r="C310" s="143" t="s">
        <v>97</v>
      </c>
      <c r="D310" s="143" t="s">
        <v>69</v>
      </c>
      <c r="E310" s="257">
        <v>5206027000</v>
      </c>
      <c r="F310" s="257">
        <v>5206027000</v>
      </c>
      <c r="G310" s="257">
        <v>5206027000</v>
      </c>
      <c r="H310" s="257">
        <v>0</v>
      </c>
      <c r="I310" s="257">
        <v>3706709681</v>
      </c>
      <c r="J310" s="257">
        <v>0</v>
      </c>
      <c r="K310" s="257">
        <v>1499317319</v>
      </c>
      <c r="L310" s="257">
        <v>1499317319</v>
      </c>
      <c r="M310" s="257">
        <v>0</v>
      </c>
      <c r="N310" s="257">
        <v>0</v>
      </c>
    </row>
    <row r="311" spans="1:14" s="143" customFormat="1" x14ac:dyDescent="0.25">
      <c r="A311" s="143" t="s">
        <v>334</v>
      </c>
      <c r="B311" s="143" t="s">
        <v>343</v>
      </c>
      <c r="C311" s="143" t="s">
        <v>99</v>
      </c>
      <c r="D311" s="143" t="s">
        <v>69</v>
      </c>
      <c r="E311" s="257">
        <v>2760607000</v>
      </c>
      <c r="F311" s="257">
        <v>2760607000</v>
      </c>
      <c r="G311" s="257">
        <v>2760607000</v>
      </c>
      <c r="H311" s="257">
        <v>0</v>
      </c>
      <c r="I311" s="257">
        <v>1965787217</v>
      </c>
      <c r="J311" s="257">
        <v>0</v>
      </c>
      <c r="K311" s="257">
        <v>794819783</v>
      </c>
      <c r="L311" s="257">
        <v>794819783</v>
      </c>
      <c r="M311" s="257">
        <v>0</v>
      </c>
      <c r="N311" s="257">
        <v>0</v>
      </c>
    </row>
    <row r="312" spans="1:14" s="143" customFormat="1" x14ac:dyDescent="0.25">
      <c r="A312" s="143" t="s">
        <v>334</v>
      </c>
      <c r="B312" s="143" t="s">
        <v>344</v>
      </c>
      <c r="C312" s="143" t="s">
        <v>101</v>
      </c>
      <c r="D312" s="143" t="s">
        <v>69</v>
      </c>
      <c r="E312" s="257">
        <v>815140000</v>
      </c>
      <c r="F312" s="257">
        <v>815140000</v>
      </c>
      <c r="G312" s="257">
        <v>815140000</v>
      </c>
      <c r="H312" s="257">
        <v>0</v>
      </c>
      <c r="I312" s="257">
        <v>580306962</v>
      </c>
      <c r="J312" s="257">
        <v>0</v>
      </c>
      <c r="K312" s="257">
        <v>234833038</v>
      </c>
      <c r="L312" s="257">
        <v>234833038</v>
      </c>
      <c r="M312" s="257">
        <v>0</v>
      </c>
      <c r="N312" s="257">
        <v>0</v>
      </c>
    </row>
    <row r="313" spans="1:14" s="143" customFormat="1" x14ac:dyDescent="0.25">
      <c r="A313" s="143" t="s">
        <v>334</v>
      </c>
      <c r="B313" s="143" t="s">
        <v>345</v>
      </c>
      <c r="C313" s="143" t="s">
        <v>103</v>
      </c>
      <c r="D313" s="143" t="s">
        <v>69</v>
      </c>
      <c r="E313" s="257">
        <v>1630280000</v>
      </c>
      <c r="F313" s="257">
        <v>1630280000</v>
      </c>
      <c r="G313" s="257">
        <v>1630280000</v>
      </c>
      <c r="H313" s="257">
        <v>0</v>
      </c>
      <c r="I313" s="257">
        <v>1160615502</v>
      </c>
      <c r="J313" s="257">
        <v>0</v>
      </c>
      <c r="K313" s="257">
        <v>469664498</v>
      </c>
      <c r="L313" s="257">
        <v>469664498</v>
      </c>
      <c r="M313" s="257">
        <v>0</v>
      </c>
      <c r="N313" s="257">
        <v>0</v>
      </c>
    </row>
    <row r="314" spans="1:14" s="143" customFormat="1" x14ac:dyDescent="0.25">
      <c r="A314" s="143" t="s">
        <v>334</v>
      </c>
      <c r="B314" s="143" t="s">
        <v>104</v>
      </c>
      <c r="C314" s="143" t="s">
        <v>105</v>
      </c>
      <c r="D314" s="143" t="s">
        <v>69</v>
      </c>
      <c r="E314" s="257">
        <v>9869454182</v>
      </c>
      <c r="F314" s="257">
        <v>13869454182</v>
      </c>
      <c r="G314" s="257">
        <v>8962148016.3999996</v>
      </c>
      <c r="H314" s="257">
        <v>191600</v>
      </c>
      <c r="I314" s="257">
        <v>607329965.47000003</v>
      </c>
      <c r="J314" s="257">
        <v>15816456.029999999</v>
      </c>
      <c r="K314" s="257">
        <v>1541628618.55</v>
      </c>
      <c r="L314" s="257">
        <v>1499460194.02</v>
      </c>
      <c r="M314" s="257">
        <v>11704487541.950001</v>
      </c>
      <c r="N314" s="257">
        <v>6797181376.3500004</v>
      </c>
    </row>
    <row r="315" spans="1:14" s="143" customFormat="1" x14ac:dyDescent="0.25">
      <c r="A315" s="143" t="s">
        <v>334</v>
      </c>
      <c r="B315" s="143" t="s">
        <v>106</v>
      </c>
      <c r="C315" s="143" t="s">
        <v>107</v>
      </c>
      <c r="D315" s="143" t="s">
        <v>69</v>
      </c>
      <c r="E315" s="257">
        <v>3181468559</v>
      </c>
      <c r="F315" s="257">
        <v>7181468559</v>
      </c>
      <c r="G315" s="257">
        <v>5501984067.8999996</v>
      </c>
      <c r="H315" s="257">
        <v>0</v>
      </c>
      <c r="I315" s="257">
        <v>156709124.19999999</v>
      </c>
      <c r="J315" s="257">
        <v>1121951.43</v>
      </c>
      <c r="K315" s="257">
        <v>365833466.92000002</v>
      </c>
      <c r="L315" s="257">
        <v>365521320.67000002</v>
      </c>
      <c r="M315" s="257">
        <v>6657804016.4499998</v>
      </c>
      <c r="N315" s="257">
        <v>4978319525.3500004</v>
      </c>
    </row>
    <row r="316" spans="1:14" s="143" customFormat="1" x14ac:dyDescent="0.25">
      <c r="A316" s="143" t="s">
        <v>334</v>
      </c>
      <c r="B316" s="143" t="s">
        <v>280</v>
      </c>
      <c r="C316" s="143" t="s">
        <v>281</v>
      </c>
      <c r="D316" s="143" t="s">
        <v>69</v>
      </c>
      <c r="E316" s="257">
        <v>431740903</v>
      </c>
      <c r="F316" s="257">
        <v>431740903</v>
      </c>
      <c r="G316" s="257">
        <v>215870451.80000001</v>
      </c>
      <c r="H316" s="257">
        <v>0</v>
      </c>
      <c r="I316" s="257">
        <v>3434639.28</v>
      </c>
      <c r="J316" s="257">
        <v>0</v>
      </c>
      <c r="K316" s="257">
        <v>74873072.930000007</v>
      </c>
      <c r="L316" s="257">
        <v>74786072.930000007</v>
      </c>
      <c r="M316" s="257">
        <v>353433190.79000002</v>
      </c>
      <c r="N316" s="257">
        <v>137562739.59</v>
      </c>
    </row>
    <row r="317" spans="1:14" s="143" customFormat="1" x14ac:dyDescent="0.25">
      <c r="A317" s="143" t="s">
        <v>334</v>
      </c>
      <c r="B317" s="143" t="s">
        <v>108</v>
      </c>
      <c r="C317" s="143" t="s">
        <v>109</v>
      </c>
      <c r="D317" s="143" t="s">
        <v>69</v>
      </c>
      <c r="E317" s="257">
        <v>719138329</v>
      </c>
      <c r="F317" s="257">
        <v>719138329</v>
      </c>
      <c r="G317" s="257">
        <v>359569164.30000001</v>
      </c>
      <c r="H317" s="257">
        <v>0</v>
      </c>
      <c r="I317" s="257">
        <v>45946149.359999999</v>
      </c>
      <c r="J317" s="257">
        <v>0</v>
      </c>
      <c r="K317" s="257">
        <v>45550602.579999998</v>
      </c>
      <c r="L317" s="257">
        <v>45550602.579999998</v>
      </c>
      <c r="M317" s="257">
        <v>627641577.05999994</v>
      </c>
      <c r="N317" s="257">
        <v>268072412.36000001</v>
      </c>
    </row>
    <row r="318" spans="1:14" s="143" customFormat="1" x14ac:dyDescent="0.25">
      <c r="A318" s="143" t="s">
        <v>334</v>
      </c>
      <c r="B318" s="143" t="s">
        <v>304</v>
      </c>
      <c r="C318" s="143" t="s">
        <v>305</v>
      </c>
      <c r="D318" s="143" t="s">
        <v>69</v>
      </c>
      <c r="E318" s="257">
        <v>23472000</v>
      </c>
      <c r="F318" s="257">
        <v>23472000</v>
      </c>
      <c r="G318" s="257">
        <v>11736000</v>
      </c>
      <c r="H318" s="257">
        <v>0</v>
      </c>
      <c r="I318" s="257">
        <v>0</v>
      </c>
      <c r="J318" s="257">
        <v>0</v>
      </c>
      <c r="K318" s="257">
        <v>1627014.4</v>
      </c>
      <c r="L318" s="257">
        <v>1627014.4</v>
      </c>
      <c r="M318" s="257">
        <v>21844985.600000001</v>
      </c>
      <c r="N318" s="257">
        <v>10108985.6</v>
      </c>
    </row>
    <row r="319" spans="1:14" s="143" customFormat="1" x14ac:dyDescent="0.25">
      <c r="A319" s="143" t="s">
        <v>334</v>
      </c>
      <c r="B319" s="143" t="s">
        <v>110</v>
      </c>
      <c r="C319" s="143" t="s">
        <v>111</v>
      </c>
      <c r="D319" s="143" t="s">
        <v>69</v>
      </c>
      <c r="E319" s="257">
        <v>2007117327</v>
      </c>
      <c r="F319" s="257">
        <v>2007117327</v>
      </c>
      <c r="G319" s="257">
        <v>914808451.79999995</v>
      </c>
      <c r="H319" s="257">
        <v>0</v>
      </c>
      <c r="I319" s="257">
        <v>107328335.56</v>
      </c>
      <c r="J319" s="257">
        <v>1121951.43</v>
      </c>
      <c r="K319" s="257">
        <v>243782777.00999999</v>
      </c>
      <c r="L319" s="257">
        <v>243557630.75999999</v>
      </c>
      <c r="M319" s="257">
        <v>1654884263</v>
      </c>
      <c r="N319" s="257">
        <v>562575387.79999995</v>
      </c>
    </row>
    <row r="320" spans="1:14" s="143" customFormat="1" x14ac:dyDescent="0.25">
      <c r="A320" s="143" t="s">
        <v>334</v>
      </c>
      <c r="B320" s="143" t="s">
        <v>110</v>
      </c>
      <c r="C320" s="143" t="s">
        <v>111</v>
      </c>
      <c r="D320" s="143" t="s">
        <v>85</v>
      </c>
      <c r="E320" s="257">
        <v>0</v>
      </c>
      <c r="F320" s="257">
        <v>4000000000</v>
      </c>
      <c r="G320" s="257">
        <v>4000000000</v>
      </c>
      <c r="H320" s="257">
        <v>0</v>
      </c>
      <c r="I320" s="257">
        <v>0</v>
      </c>
      <c r="J320" s="257">
        <v>0</v>
      </c>
      <c r="K320" s="257">
        <v>0</v>
      </c>
      <c r="L320" s="257">
        <v>0</v>
      </c>
      <c r="M320" s="257">
        <v>4000000000</v>
      </c>
      <c r="N320" s="257">
        <v>4000000000</v>
      </c>
    </row>
    <row r="321" spans="1:14" s="143" customFormat="1" x14ac:dyDescent="0.25">
      <c r="A321" s="143" t="s">
        <v>334</v>
      </c>
      <c r="B321" s="143" t="s">
        <v>112</v>
      </c>
      <c r="C321" s="143" t="s">
        <v>113</v>
      </c>
      <c r="D321" s="143" t="s">
        <v>69</v>
      </c>
      <c r="E321" s="257">
        <v>4328674526</v>
      </c>
      <c r="F321" s="257">
        <v>4328674526</v>
      </c>
      <c r="G321" s="257">
        <v>2175406909.5</v>
      </c>
      <c r="H321" s="257">
        <v>0</v>
      </c>
      <c r="I321" s="257">
        <v>83795052.680000007</v>
      </c>
      <c r="J321" s="257">
        <v>0</v>
      </c>
      <c r="K321" s="257">
        <v>965954538.22000003</v>
      </c>
      <c r="L321" s="257">
        <v>936202816.12</v>
      </c>
      <c r="M321" s="257">
        <v>3278924935.0999999</v>
      </c>
      <c r="N321" s="257">
        <v>1125657318.5999999</v>
      </c>
    </row>
    <row r="322" spans="1:14" s="143" customFormat="1" x14ac:dyDescent="0.25">
      <c r="A322" s="143" t="s">
        <v>334</v>
      </c>
      <c r="B322" s="143" t="s">
        <v>114</v>
      </c>
      <c r="C322" s="143" t="s">
        <v>115</v>
      </c>
      <c r="D322" s="143" t="s">
        <v>69</v>
      </c>
      <c r="E322" s="257">
        <v>2503011786</v>
      </c>
      <c r="F322" s="257">
        <v>2503011786</v>
      </c>
      <c r="G322" s="257">
        <v>1251505893.5</v>
      </c>
      <c r="H322" s="257">
        <v>0</v>
      </c>
      <c r="I322" s="257">
        <v>9473601.5</v>
      </c>
      <c r="J322" s="257">
        <v>0</v>
      </c>
      <c r="K322" s="257">
        <v>616279345</v>
      </c>
      <c r="L322" s="257">
        <v>616279345</v>
      </c>
      <c r="M322" s="257">
        <v>1877258839.5</v>
      </c>
      <c r="N322" s="257">
        <v>625752947</v>
      </c>
    </row>
    <row r="323" spans="1:14" s="143" customFormat="1" x14ac:dyDescent="0.25">
      <c r="A323" s="143" t="s">
        <v>334</v>
      </c>
      <c r="B323" s="143" t="s">
        <v>116</v>
      </c>
      <c r="C323" s="143" t="s">
        <v>117</v>
      </c>
      <c r="D323" s="143" t="s">
        <v>69</v>
      </c>
      <c r="E323" s="257">
        <v>973642474</v>
      </c>
      <c r="F323" s="257">
        <v>973642474</v>
      </c>
      <c r="G323" s="257">
        <v>460154570.5</v>
      </c>
      <c r="H323" s="257">
        <v>0</v>
      </c>
      <c r="I323" s="257">
        <v>21469652.359999999</v>
      </c>
      <c r="J323" s="257">
        <v>0</v>
      </c>
      <c r="K323" s="257">
        <v>181533296.02000001</v>
      </c>
      <c r="L323" s="257">
        <v>181533296.02000001</v>
      </c>
      <c r="M323" s="257">
        <v>770639525.62</v>
      </c>
      <c r="N323" s="257">
        <v>257151622.12</v>
      </c>
    </row>
    <row r="324" spans="1:14" s="143" customFormat="1" x14ac:dyDescent="0.25">
      <c r="A324" s="143" t="s">
        <v>334</v>
      </c>
      <c r="B324" s="143" t="s">
        <v>118</v>
      </c>
      <c r="C324" s="143" t="s">
        <v>119</v>
      </c>
      <c r="D324" s="143" t="s">
        <v>69</v>
      </c>
      <c r="E324" s="257">
        <v>3942858</v>
      </c>
      <c r="F324" s="257">
        <v>3942858</v>
      </c>
      <c r="G324" s="257">
        <v>3942857.5</v>
      </c>
      <c r="H324" s="257">
        <v>0</v>
      </c>
      <c r="I324" s="257">
        <v>3026092.5</v>
      </c>
      <c r="J324" s="257">
        <v>0</v>
      </c>
      <c r="K324" s="257">
        <v>477870</v>
      </c>
      <c r="L324" s="257">
        <v>352925</v>
      </c>
      <c r="M324" s="257">
        <v>438895.5</v>
      </c>
      <c r="N324" s="257">
        <v>438895</v>
      </c>
    </row>
    <row r="325" spans="1:14" s="143" customFormat="1" x14ac:dyDescent="0.25">
      <c r="A325" s="143" t="s">
        <v>334</v>
      </c>
      <c r="B325" s="143" t="s">
        <v>120</v>
      </c>
      <c r="C325" s="143" t="s">
        <v>121</v>
      </c>
      <c r="D325" s="143" t="s">
        <v>69</v>
      </c>
      <c r="E325" s="257">
        <v>753229000</v>
      </c>
      <c r="F325" s="257">
        <v>753229000</v>
      </c>
      <c r="G325" s="257">
        <v>376614500</v>
      </c>
      <c r="H325" s="257">
        <v>0</v>
      </c>
      <c r="I325" s="257">
        <v>28457040.550000001</v>
      </c>
      <c r="J325" s="257">
        <v>0</v>
      </c>
      <c r="K325" s="257">
        <v>131609378.51000001</v>
      </c>
      <c r="L325" s="257">
        <v>103923201.41</v>
      </c>
      <c r="M325" s="257">
        <v>593162580.94000006</v>
      </c>
      <c r="N325" s="257">
        <v>216548080.94</v>
      </c>
    </row>
    <row r="326" spans="1:14" s="143" customFormat="1" x14ac:dyDescent="0.25">
      <c r="A326" s="143" t="s">
        <v>334</v>
      </c>
      <c r="B326" s="143" t="s">
        <v>122</v>
      </c>
      <c r="C326" s="143" t="s">
        <v>123</v>
      </c>
      <c r="D326" s="143" t="s">
        <v>69</v>
      </c>
      <c r="E326" s="257">
        <v>94848408</v>
      </c>
      <c r="F326" s="257">
        <v>94848408</v>
      </c>
      <c r="G326" s="257">
        <v>83189088</v>
      </c>
      <c r="H326" s="257">
        <v>0</v>
      </c>
      <c r="I326" s="257">
        <v>21368665.77</v>
      </c>
      <c r="J326" s="257">
        <v>0</v>
      </c>
      <c r="K326" s="257">
        <v>36054648.689999998</v>
      </c>
      <c r="L326" s="257">
        <v>34114048.689999998</v>
      </c>
      <c r="M326" s="257">
        <v>37425093.539999999</v>
      </c>
      <c r="N326" s="257">
        <v>25765773.539999999</v>
      </c>
    </row>
    <row r="327" spans="1:14" s="143" customFormat="1" x14ac:dyDescent="0.25">
      <c r="A327" s="143" t="s">
        <v>334</v>
      </c>
      <c r="B327" s="143" t="s">
        <v>124</v>
      </c>
      <c r="C327" s="143" t="s">
        <v>125</v>
      </c>
      <c r="D327" s="143" t="s">
        <v>69</v>
      </c>
      <c r="E327" s="257">
        <v>4451091</v>
      </c>
      <c r="F327" s="257">
        <v>4451091</v>
      </c>
      <c r="G327" s="257">
        <v>3399517.75</v>
      </c>
      <c r="H327" s="257">
        <v>0</v>
      </c>
      <c r="I327" s="257">
        <v>2043710</v>
      </c>
      <c r="J327" s="257">
        <v>0</v>
      </c>
      <c r="K327" s="257">
        <v>445470</v>
      </c>
      <c r="L327" s="257">
        <v>445470</v>
      </c>
      <c r="M327" s="257">
        <v>1961911</v>
      </c>
      <c r="N327" s="257">
        <v>910337.75</v>
      </c>
    </row>
    <row r="328" spans="1:14" s="143" customFormat="1" x14ac:dyDescent="0.25">
      <c r="A328" s="143" t="s">
        <v>334</v>
      </c>
      <c r="B328" s="143" t="s">
        <v>126</v>
      </c>
      <c r="C328" s="143" t="s">
        <v>127</v>
      </c>
      <c r="D328" s="143" t="s">
        <v>69</v>
      </c>
      <c r="E328" s="257">
        <v>1831091</v>
      </c>
      <c r="F328" s="257">
        <v>1831091</v>
      </c>
      <c r="G328" s="257">
        <v>1831090.75</v>
      </c>
      <c r="H328" s="257">
        <v>0</v>
      </c>
      <c r="I328" s="257">
        <v>1069070</v>
      </c>
      <c r="J328" s="257">
        <v>0</v>
      </c>
      <c r="K328" s="257">
        <v>413470</v>
      </c>
      <c r="L328" s="257">
        <v>413470</v>
      </c>
      <c r="M328" s="257">
        <v>348551</v>
      </c>
      <c r="N328" s="257">
        <v>348550.75</v>
      </c>
    </row>
    <row r="329" spans="1:14" s="143" customFormat="1" x14ac:dyDescent="0.25">
      <c r="A329" s="143" t="s">
        <v>334</v>
      </c>
      <c r="B329" s="143" t="s">
        <v>128</v>
      </c>
      <c r="C329" s="143" t="s">
        <v>129</v>
      </c>
      <c r="D329" s="143" t="s">
        <v>69</v>
      </c>
      <c r="E329" s="257">
        <v>2620000</v>
      </c>
      <c r="F329" s="257">
        <v>2620000</v>
      </c>
      <c r="G329" s="257">
        <v>1568427</v>
      </c>
      <c r="H329" s="257">
        <v>0</v>
      </c>
      <c r="I329" s="257">
        <v>974640</v>
      </c>
      <c r="J329" s="257">
        <v>0</v>
      </c>
      <c r="K329" s="257">
        <v>32000</v>
      </c>
      <c r="L329" s="257">
        <v>32000</v>
      </c>
      <c r="M329" s="257">
        <v>1613360</v>
      </c>
      <c r="N329" s="257">
        <v>561787</v>
      </c>
    </row>
    <row r="330" spans="1:14" s="143" customFormat="1" x14ac:dyDescent="0.25">
      <c r="A330" s="143" t="s">
        <v>334</v>
      </c>
      <c r="B330" s="143" t="s">
        <v>134</v>
      </c>
      <c r="C330" s="143" t="s">
        <v>135</v>
      </c>
      <c r="D330" s="143" t="s">
        <v>69</v>
      </c>
      <c r="E330" s="257">
        <v>310063679</v>
      </c>
      <c r="F330" s="257">
        <v>310063679</v>
      </c>
      <c r="G330" s="257">
        <v>160811260.68000001</v>
      </c>
      <c r="H330" s="257">
        <v>0</v>
      </c>
      <c r="I330" s="257">
        <v>35860058.149999999</v>
      </c>
      <c r="J330" s="257">
        <v>1345487.6</v>
      </c>
      <c r="K330" s="257">
        <v>22723748</v>
      </c>
      <c r="L330" s="257">
        <v>16073529.66</v>
      </c>
      <c r="M330" s="257">
        <v>250134385.25</v>
      </c>
      <c r="N330" s="257">
        <v>100881966.93000001</v>
      </c>
    </row>
    <row r="331" spans="1:14" s="143" customFormat="1" x14ac:dyDescent="0.25">
      <c r="A331" s="143" t="s">
        <v>334</v>
      </c>
      <c r="B331" s="143" t="s">
        <v>346</v>
      </c>
      <c r="C331" s="143" t="s">
        <v>347</v>
      </c>
      <c r="D331" s="143" t="s">
        <v>69</v>
      </c>
      <c r="E331" s="257">
        <v>21381819</v>
      </c>
      <c r="F331" s="257">
        <v>21381819</v>
      </c>
      <c r="G331" s="257">
        <v>10690909.75</v>
      </c>
      <c r="H331" s="257">
        <v>0</v>
      </c>
      <c r="I331" s="257">
        <v>4356088</v>
      </c>
      <c r="J331" s="257">
        <v>0</v>
      </c>
      <c r="K331" s="257">
        <v>0</v>
      </c>
      <c r="L331" s="257">
        <v>0</v>
      </c>
      <c r="M331" s="257">
        <v>17025731</v>
      </c>
      <c r="N331" s="257">
        <v>6334821.75</v>
      </c>
    </row>
    <row r="332" spans="1:14" s="143" customFormat="1" x14ac:dyDescent="0.25">
      <c r="A332" s="143" t="s">
        <v>334</v>
      </c>
      <c r="B332" s="143" t="s">
        <v>308</v>
      </c>
      <c r="C332" s="143" t="s">
        <v>309</v>
      </c>
      <c r="D332" s="143" t="s">
        <v>69</v>
      </c>
      <c r="E332" s="257">
        <v>106119000</v>
      </c>
      <c r="F332" s="257">
        <v>106119000</v>
      </c>
      <c r="G332" s="257">
        <v>53059500</v>
      </c>
      <c r="H332" s="257">
        <v>0</v>
      </c>
      <c r="I332" s="257">
        <v>20792663.219999999</v>
      </c>
      <c r="J332" s="257">
        <v>0</v>
      </c>
      <c r="K332" s="257">
        <v>4125000</v>
      </c>
      <c r="L332" s="257">
        <v>4125000</v>
      </c>
      <c r="M332" s="257">
        <v>81201336.780000001</v>
      </c>
      <c r="N332" s="257">
        <v>28141836.780000001</v>
      </c>
    </row>
    <row r="333" spans="1:14" s="143" customFormat="1" x14ac:dyDescent="0.25">
      <c r="A333" s="143" t="s">
        <v>334</v>
      </c>
      <c r="B333" s="143" t="s">
        <v>136</v>
      </c>
      <c r="C333" s="143" t="s">
        <v>137</v>
      </c>
      <c r="D333" s="143" t="s">
        <v>69</v>
      </c>
      <c r="E333" s="257">
        <v>126000000</v>
      </c>
      <c r="F333" s="257">
        <v>126000000</v>
      </c>
      <c r="G333" s="257">
        <v>63000000</v>
      </c>
      <c r="H333" s="257">
        <v>0</v>
      </c>
      <c r="I333" s="257">
        <v>6406179.8499999996</v>
      </c>
      <c r="J333" s="257">
        <v>0</v>
      </c>
      <c r="K333" s="257">
        <v>11395519.66</v>
      </c>
      <c r="L333" s="257">
        <v>11395519.66</v>
      </c>
      <c r="M333" s="257">
        <v>108198300.48999999</v>
      </c>
      <c r="N333" s="257">
        <v>45198300.490000002</v>
      </c>
    </row>
    <row r="334" spans="1:14" s="143" customFormat="1" x14ac:dyDescent="0.25">
      <c r="A334" s="143" t="s">
        <v>334</v>
      </c>
      <c r="B334" s="143" t="s">
        <v>138</v>
      </c>
      <c r="C334" s="143" t="s">
        <v>139</v>
      </c>
      <c r="D334" s="143" t="s">
        <v>69</v>
      </c>
      <c r="E334" s="257">
        <v>56562860</v>
      </c>
      <c r="F334" s="257">
        <v>56562860</v>
      </c>
      <c r="G334" s="257">
        <v>34060850.93</v>
      </c>
      <c r="H334" s="257">
        <v>0</v>
      </c>
      <c r="I334" s="257">
        <v>4305127.08</v>
      </c>
      <c r="J334" s="257">
        <v>1345487.6</v>
      </c>
      <c r="K334" s="257">
        <v>7203228.3399999999</v>
      </c>
      <c r="L334" s="257">
        <v>553010</v>
      </c>
      <c r="M334" s="257">
        <v>43709016.979999997</v>
      </c>
      <c r="N334" s="257">
        <v>21207007.91</v>
      </c>
    </row>
    <row r="335" spans="1:14" s="143" customFormat="1" x14ac:dyDescent="0.25">
      <c r="A335" s="143" t="s">
        <v>334</v>
      </c>
      <c r="B335" s="143" t="s">
        <v>140</v>
      </c>
      <c r="C335" s="143" t="s">
        <v>141</v>
      </c>
      <c r="D335" s="143" t="s">
        <v>69</v>
      </c>
      <c r="E335" s="257">
        <v>128523280</v>
      </c>
      <c r="F335" s="257">
        <v>128523280</v>
      </c>
      <c r="G335" s="257">
        <v>71161343.019999996</v>
      </c>
      <c r="H335" s="257">
        <v>191600</v>
      </c>
      <c r="I335" s="257">
        <v>22659560</v>
      </c>
      <c r="J335" s="257">
        <v>0</v>
      </c>
      <c r="K335" s="257">
        <v>15396820</v>
      </c>
      <c r="L335" s="257">
        <v>15202570</v>
      </c>
      <c r="M335" s="257">
        <v>90275300</v>
      </c>
      <c r="N335" s="257">
        <v>32913363.02</v>
      </c>
    </row>
    <row r="336" spans="1:14" s="143" customFormat="1" x14ac:dyDescent="0.25">
      <c r="A336" s="143" t="s">
        <v>334</v>
      </c>
      <c r="B336" s="143" t="s">
        <v>142</v>
      </c>
      <c r="C336" s="143" t="s">
        <v>143</v>
      </c>
      <c r="D336" s="143" t="s">
        <v>69</v>
      </c>
      <c r="E336" s="257">
        <v>4829000</v>
      </c>
      <c r="F336" s="257">
        <v>4829000</v>
      </c>
      <c r="G336" s="257">
        <v>3619140</v>
      </c>
      <c r="H336" s="257">
        <v>0</v>
      </c>
      <c r="I336" s="257">
        <v>1348060</v>
      </c>
      <c r="J336" s="257">
        <v>0</v>
      </c>
      <c r="K336" s="257">
        <v>415820</v>
      </c>
      <c r="L336" s="257">
        <v>415820</v>
      </c>
      <c r="M336" s="257">
        <v>3065120</v>
      </c>
      <c r="N336" s="257">
        <v>1855260</v>
      </c>
    </row>
    <row r="337" spans="1:14" s="143" customFormat="1" x14ac:dyDescent="0.25">
      <c r="A337" s="143" t="s">
        <v>334</v>
      </c>
      <c r="B337" s="143" t="s">
        <v>144</v>
      </c>
      <c r="C337" s="143" t="s">
        <v>145</v>
      </c>
      <c r="D337" s="143" t="s">
        <v>69</v>
      </c>
      <c r="E337" s="257">
        <v>119154137</v>
      </c>
      <c r="F337" s="257">
        <v>119154137</v>
      </c>
      <c r="G337" s="257">
        <v>66407167.270000003</v>
      </c>
      <c r="H337" s="257">
        <v>191600</v>
      </c>
      <c r="I337" s="257">
        <v>21311500</v>
      </c>
      <c r="J337" s="257">
        <v>0</v>
      </c>
      <c r="K337" s="257">
        <v>14981000</v>
      </c>
      <c r="L337" s="257">
        <v>14786750</v>
      </c>
      <c r="M337" s="257">
        <v>82670037</v>
      </c>
      <c r="N337" s="257">
        <v>29923067.27</v>
      </c>
    </row>
    <row r="338" spans="1:14" s="143" customFormat="1" x14ac:dyDescent="0.25">
      <c r="A338" s="143" t="s">
        <v>334</v>
      </c>
      <c r="B338" s="143" t="s">
        <v>146</v>
      </c>
      <c r="C338" s="143" t="s">
        <v>147</v>
      </c>
      <c r="D338" s="143" t="s">
        <v>69</v>
      </c>
      <c r="E338" s="257">
        <v>2851000</v>
      </c>
      <c r="F338" s="257">
        <v>2851000</v>
      </c>
      <c r="G338" s="257">
        <v>712750</v>
      </c>
      <c r="H338" s="257">
        <v>0</v>
      </c>
      <c r="I338" s="257">
        <v>0</v>
      </c>
      <c r="J338" s="257">
        <v>0</v>
      </c>
      <c r="K338" s="257">
        <v>0</v>
      </c>
      <c r="L338" s="257">
        <v>0</v>
      </c>
      <c r="M338" s="257">
        <v>2851000</v>
      </c>
      <c r="N338" s="257">
        <v>712750</v>
      </c>
    </row>
    <row r="339" spans="1:14" s="143" customFormat="1" x14ac:dyDescent="0.25">
      <c r="A339" s="143" t="s">
        <v>334</v>
      </c>
      <c r="B339" s="143" t="s">
        <v>148</v>
      </c>
      <c r="C339" s="143" t="s">
        <v>149</v>
      </c>
      <c r="D339" s="143" t="s">
        <v>69</v>
      </c>
      <c r="E339" s="257">
        <v>1689143</v>
      </c>
      <c r="F339" s="257">
        <v>1689143</v>
      </c>
      <c r="G339" s="257">
        <v>422285.75</v>
      </c>
      <c r="H339" s="257">
        <v>0</v>
      </c>
      <c r="I339" s="257">
        <v>0</v>
      </c>
      <c r="J339" s="257">
        <v>0</v>
      </c>
      <c r="K339" s="257">
        <v>0</v>
      </c>
      <c r="L339" s="257">
        <v>0</v>
      </c>
      <c r="M339" s="257">
        <v>1689143</v>
      </c>
      <c r="N339" s="257">
        <v>422285.75</v>
      </c>
    </row>
    <row r="340" spans="1:14" s="143" customFormat="1" x14ac:dyDescent="0.25">
      <c r="A340" s="143" t="s">
        <v>334</v>
      </c>
      <c r="B340" s="143" t="s">
        <v>150</v>
      </c>
      <c r="C340" s="143" t="s">
        <v>151</v>
      </c>
      <c r="D340" s="143" t="s">
        <v>69</v>
      </c>
      <c r="E340" s="257">
        <v>1290997262</v>
      </c>
      <c r="F340" s="257">
        <v>1244459372.29</v>
      </c>
      <c r="G340" s="257">
        <v>508731252.79000002</v>
      </c>
      <c r="H340" s="257">
        <v>0</v>
      </c>
      <c r="I340" s="257">
        <v>40960900.399999999</v>
      </c>
      <c r="J340" s="257">
        <v>0</v>
      </c>
      <c r="K340" s="257">
        <v>107358787.59999999</v>
      </c>
      <c r="L340" s="257">
        <v>107358787.59999999</v>
      </c>
      <c r="M340" s="257">
        <v>1096139684.29</v>
      </c>
      <c r="N340" s="257">
        <v>360411564.79000002</v>
      </c>
    </row>
    <row r="341" spans="1:14" s="143" customFormat="1" x14ac:dyDescent="0.25">
      <c r="A341" s="143" t="s">
        <v>334</v>
      </c>
      <c r="B341" s="143" t="s">
        <v>152</v>
      </c>
      <c r="C341" s="143" t="s">
        <v>153</v>
      </c>
      <c r="D341" s="143" t="s">
        <v>69</v>
      </c>
      <c r="E341" s="257">
        <v>1290997262</v>
      </c>
      <c r="F341" s="257">
        <v>1244459372.29</v>
      </c>
      <c r="G341" s="257">
        <v>508731252.79000002</v>
      </c>
      <c r="H341" s="257">
        <v>0</v>
      </c>
      <c r="I341" s="257">
        <v>40960900.399999999</v>
      </c>
      <c r="J341" s="257">
        <v>0</v>
      </c>
      <c r="K341" s="257">
        <v>107358787.59999999</v>
      </c>
      <c r="L341" s="257">
        <v>107358787.59999999</v>
      </c>
      <c r="M341" s="257">
        <v>1096139684.29</v>
      </c>
      <c r="N341" s="257">
        <v>360411564.79000002</v>
      </c>
    </row>
    <row r="342" spans="1:14" s="143" customFormat="1" x14ac:dyDescent="0.25">
      <c r="A342" s="143" t="s">
        <v>334</v>
      </c>
      <c r="B342" s="143" t="s">
        <v>154</v>
      </c>
      <c r="C342" s="143" t="s">
        <v>155</v>
      </c>
      <c r="D342" s="143" t="s">
        <v>69</v>
      </c>
      <c r="E342" s="257">
        <v>1413715</v>
      </c>
      <c r="F342" s="257">
        <v>1413715</v>
      </c>
      <c r="G342" s="257">
        <v>1413714.75</v>
      </c>
      <c r="H342" s="257">
        <v>0</v>
      </c>
      <c r="I342" s="257">
        <v>0</v>
      </c>
      <c r="J342" s="257">
        <v>0</v>
      </c>
      <c r="K342" s="257">
        <v>0</v>
      </c>
      <c r="L342" s="257">
        <v>0</v>
      </c>
      <c r="M342" s="257">
        <v>1413715</v>
      </c>
      <c r="N342" s="257">
        <v>1413714.75</v>
      </c>
    </row>
    <row r="343" spans="1:14" s="143" customFormat="1" x14ac:dyDescent="0.25">
      <c r="A343" s="143" t="s">
        <v>334</v>
      </c>
      <c r="B343" s="143" t="s">
        <v>156</v>
      </c>
      <c r="C343" s="143" t="s">
        <v>157</v>
      </c>
      <c r="D343" s="143" t="s">
        <v>69</v>
      </c>
      <c r="E343" s="257">
        <v>1413715</v>
      </c>
      <c r="F343" s="257">
        <v>1413715</v>
      </c>
      <c r="G343" s="257">
        <v>1413714.75</v>
      </c>
      <c r="H343" s="257">
        <v>0</v>
      </c>
      <c r="I343" s="257">
        <v>0</v>
      </c>
      <c r="J343" s="257">
        <v>0</v>
      </c>
      <c r="K343" s="257">
        <v>0</v>
      </c>
      <c r="L343" s="257">
        <v>0</v>
      </c>
      <c r="M343" s="257">
        <v>1413715</v>
      </c>
      <c r="N343" s="257">
        <v>1413714.75</v>
      </c>
    </row>
    <row r="344" spans="1:14" s="143" customFormat="1" x14ac:dyDescent="0.25">
      <c r="A344" s="143" t="s">
        <v>334</v>
      </c>
      <c r="B344" s="143" t="s">
        <v>162</v>
      </c>
      <c r="C344" s="143" t="s">
        <v>163</v>
      </c>
      <c r="D344" s="143" t="s">
        <v>69</v>
      </c>
      <c r="E344" s="257">
        <v>594069615</v>
      </c>
      <c r="F344" s="257">
        <v>594069615</v>
      </c>
      <c r="G344" s="257">
        <v>476305832.55000001</v>
      </c>
      <c r="H344" s="257">
        <v>0</v>
      </c>
      <c r="I344" s="257">
        <v>200399136.06</v>
      </c>
      <c r="J344" s="257">
        <v>13349017</v>
      </c>
      <c r="K344" s="257">
        <v>63740506.380000003</v>
      </c>
      <c r="L344" s="257">
        <v>58480418.539999999</v>
      </c>
      <c r="M344" s="257">
        <v>316580955.56</v>
      </c>
      <c r="N344" s="257">
        <v>198817173.11000001</v>
      </c>
    </row>
    <row r="345" spans="1:14" s="143" customFormat="1" x14ac:dyDescent="0.25">
      <c r="A345" s="143" t="s">
        <v>334</v>
      </c>
      <c r="B345" s="143" t="s">
        <v>310</v>
      </c>
      <c r="C345" s="143" t="s">
        <v>311</v>
      </c>
      <c r="D345" s="143" t="s">
        <v>69</v>
      </c>
      <c r="E345" s="257">
        <v>125656000</v>
      </c>
      <c r="F345" s="257">
        <v>125656000</v>
      </c>
      <c r="G345" s="257">
        <v>62828000</v>
      </c>
      <c r="H345" s="257">
        <v>0</v>
      </c>
      <c r="I345" s="257">
        <v>0</v>
      </c>
      <c r="J345" s="257">
        <v>13349017</v>
      </c>
      <c r="K345" s="257">
        <v>0</v>
      </c>
      <c r="L345" s="257">
        <v>0</v>
      </c>
      <c r="M345" s="257">
        <v>112306983</v>
      </c>
      <c r="N345" s="257">
        <v>49478983</v>
      </c>
    </row>
    <row r="346" spans="1:14" s="143" customFormat="1" x14ac:dyDescent="0.25">
      <c r="A346" s="143" t="s">
        <v>334</v>
      </c>
      <c r="B346" s="143" t="s">
        <v>164</v>
      </c>
      <c r="C346" s="143" t="s">
        <v>165</v>
      </c>
      <c r="D346" s="143" t="s">
        <v>69</v>
      </c>
      <c r="E346" s="257">
        <v>188229817</v>
      </c>
      <c r="F346" s="257">
        <v>188229817</v>
      </c>
      <c r="G346" s="257">
        <v>188229817</v>
      </c>
      <c r="H346" s="257">
        <v>0</v>
      </c>
      <c r="I346" s="257">
        <v>111180019.48999999</v>
      </c>
      <c r="J346" s="257">
        <v>0</v>
      </c>
      <c r="K346" s="257">
        <v>46922302.460000001</v>
      </c>
      <c r="L346" s="257">
        <v>46922302.460000001</v>
      </c>
      <c r="M346" s="257">
        <v>30127495.050000001</v>
      </c>
      <c r="N346" s="257">
        <v>30127495.050000001</v>
      </c>
    </row>
    <row r="347" spans="1:14" s="143" customFormat="1" x14ac:dyDescent="0.25">
      <c r="A347" s="143" t="s">
        <v>334</v>
      </c>
      <c r="B347" s="143" t="s">
        <v>166</v>
      </c>
      <c r="C347" s="143" t="s">
        <v>167</v>
      </c>
      <c r="D347" s="143" t="s">
        <v>69</v>
      </c>
      <c r="E347" s="257">
        <v>95028648</v>
      </c>
      <c r="F347" s="257">
        <v>95028648</v>
      </c>
      <c r="G347" s="257">
        <v>95028648</v>
      </c>
      <c r="H347" s="257">
        <v>0</v>
      </c>
      <c r="I347" s="257">
        <v>43989063.520000003</v>
      </c>
      <c r="J347" s="257">
        <v>0</v>
      </c>
      <c r="K347" s="257">
        <v>8810825.5399999991</v>
      </c>
      <c r="L347" s="257">
        <v>8807505.5399999991</v>
      </c>
      <c r="M347" s="257">
        <v>42228758.939999998</v>
      </c>
      <c r="N347" s="257">
        <v>42228758.939999998</v>
      </c>
    </row>
    <row r="348" spans="1:14" s="143" customFormat="1" x14ac:dyDescent="0.25">
      <c r="A348" s="143" t="s">
        <v>334</v>
      </c>
      <c r="B348" s="143" t="s">
        <v>312</v>
      </c>
      <c r="C348" s="143" t="s">
        <v>313</v>
      </c>
      <c r="D348" s="143" t="s">
        <v>69</v>
      </c>
      <c r="E348" s="257">
        <v>6300000</v>
      </c>
      <c r="F348" s="257">
        <v>6300000</v>
      </c>
      <c r="G348" s="257">
        <v>6300000</v>
      </c>
      <c r="H348" s="257">
        <v>0</v>
      </c>
      <c r="I348" s="257">
        <v>0</v>
      </c>
      <c r="J348" s="257">
        <v>0</v>
      </c>
      <c r="K348" s="257">
        <v>0</v>
      </c>
      <c r="L348" s="257">
        <v>0</v>
      </c>
      <c r="M348" s="257">
        <v>6300000</v>
      </c>
      <c r="N348" s="257">
        <v>6300000</v>
      </c>
    </row>
    <row r="349" spans="1:14" s="143" customFormat="1" x14ac:dyDescent="0.25">
      <c r="A349" s="143" t="s">
        <v>334</v>
      </c>
      <c r="B349" s="143" t="s">
        <v>168</v>
      </c>
      <c r="C349" s="143" t="s">
        <v>169</v>
      </c>
      <c r="D349" s="143" t="s">
        <v>69</v>
      </c>
      <c r="E349" s="257">
        <v>11141667</v>
      </c>
      <c r="F349" s="257">
        <v>11141667</v>
      </c>
      <c r="G349" s="257">
        <v>11141666.75</v>
      </c>
      <c r="H349" s="257">
        <v>0</v>
      </c>
      <c r="I349" s="257">
        <v>2819000</v>
      </c>
      <c r="J349" s="257">
        <v>0</v>
      </c>
      <c r="K349" s="257">
        <v>390000</v>
      </c>
      <c r="L349" s="257">
        <v>390000</v>
      </c>
      <c r="M349" s="257">
        <v>7932667</v>
      </c>
      <c r="N349" s="257">
        <v>7932666.75</v>
      </c>
    </row>
    <row r="350" spans="1:14" s="143" customFormat="1" x14ac:dyDescent="0.25">
      <c r="A350" s="143" t="s">
        <v>334</v>
      </c>
      <c r="B350" s="143" t="s">
        <v>170</v>
      </c>
      <c r="C350" s="143" t="s">
        <v>171</v>
      </c>
      <c r="D350" s="143" t="s">
        <v>69</v>
      </c>
      <c r="E350" s="257">
        <v>40562000</v>
      </c>
      <c r="F350" s="257">
        <v>40562000</v>
      </c>
      <c r="G350" s="257">
        <v>21044983</v>
      </c>
      <c r="H350" s="257">
        <v>0</v>
      </c>
      <c r="I350" s="257">
        <v>6931761.8099999996</v>
      </c>
      <c r="J350" s="257">
        <v>0</v>
      </c>
      <c r="K350" s="257">
        <v>4354712.9800000004</v>
      </c>
      <c r="L350" s="257">
        <v>1032516.14</v>
      </c>
      <c r="M350" s="257">
        <v>29275525.210000001</v>
      </c>
      <c r="N350" s="257">
        <v>9758508.2100000009</v>
      </c>
    </row>
    <row r="351" spans="1:14" s="143" customFormat="1" x14ac:dyDescent="0.25">
      <c r="A351" s="143" t="s">
        <v>334</v>
      </c>
      <c r="B351" s="143" t="s">
        <v>172</v>
      </c>
      <c r="C351" s="143" t="s">
        <v>173</v>
      </c>
      <c r="D351" s="143" t="s">
        <v>69</v>
      </c>
      <c r="E351" s="257">
        <v>127151483</v>
      </c>
      <c r="F351" s="257">
        <v>127151483</v>
      </c>
      <c r="G351" s="257">
        <v>91732717.799999997</v>
      </c>
      <c r="H351" s="257">
        <v>0</v>
      </c>
      <c r="I351" s="257">
        <v>35479291.240000002</v>
      </c>
      <c r="J351" s="257">
        <v>0</v>
      </c>
      <c r="K351" s="257">
        <v>3262665.4</v>
      </c>
      <c r="L351" s="257">
        <v>1328094.3999999999</v>
      </c>
      <c r="M351" s="257">
        <v>88409526.359999999</v>
      </c>
      <c r="N351" s="257">
        <v>52990761.159999996</v>
      </c>
    </row>
    <row r="352" spans="1:14" s="143" customFormat="1" x14ac:dyDescent="0.25">
      <c r="A352" s="143" t="s">
        <v>334</v>
      </c>
      <c r="B352" s="143" t="s">
        <v>174</v>
      </c>
      <c r="C352" s="143" t="s">
        <v>175</v>
      </c>
      <c r="D352" s="143" t="s">
        <v>69</v>
      </c>
      <c r="E352" s="257">
        <v>11126154</v>
      </c>
      <c r="F352" s="257">
        <v>11126154</v>
      </c>
      <c r="G352" s="257">
        <v>5563077.5</v>
      </c>
      <c r="H352" s="257">
        <v>0</v>
      </c>
      <c r="I352" s="257">
        <v>1732219</v>
      </c>
      <c r="J352" s="257">
        <v>0</v>
      </c>
      <c r="K352" s="257">
        <v>78882</v>
      </c>
      <c r="L352" s="257">
        <v>78882</v>
      </c>
      <c r="M352" s="257">
        <v>9315053</v>
      </c>
      <c r="N352" s="257">
        <v>3751976.5</v>
      </c>
    </row>
    <row r="353" spans="1:14" s="143" customFormat="1" x14ac:dyDescent="0.25">
      <c r="A353" s="143" t="s">
        <v>334</v>
      </c>
      <c r="B353" s="143" t="s">
        <v>176</v>
      </c>
      <c r="C353" s="143" t="s">
        <v>177</v>
      </c>
      <c r="D353" s="143" t="s">
        <v>69</v>
      </c>
      <c r="E353" s="257">
        <v>11126154</v>
      </c>
      <c r="F353" s="257">
        <v>11126154</v>
      </c>
      <c r="G353" s="257">
        <v>5563077.5</v>
      </c>
      <c r="H353" s="257">
        <v>0</v>
      </c>
      <c r="I353" s="257">
        <v>1732219</v>
      </c>
      <c r="J353" s="257">
        <v>0</v>
      </c>
      <c r="K353" s="257">
        <v>78882</v>
      </c>
      <c r="L353" s="257">
        <v>78882</v>
      </c>
      <c r="M353" s="257">
        <v>9315053</v>
      </c>
      <c r="N353" s="257">
        <v>3751976.5</v>
      </c>
    </row>
    <row r="354" spans="1:14" s="143" customFormat="1" x14ac:dyDescent="0.25">
      <c r="A354" s="143" t="s">
        <v>334</v>
      </c>
      <c r="B354" s="143" t="s">
        <v>178</v>
      </c>
      <c r="C354" s="143" t="s">
        <v>179</v>
      </c>
      <c r="D354" s="143" t="s">
        <v>69</v>
      </c>
      <c r="E354" s="257">
        <v>18666301</v>
      </c>
      <c r="F354" s="257">
        <v>65204190.710000001</v>
      </c>
      <c r="G354" s="257">
        <v>57371039.960000001</v>
      </c>
      <c r="H354" s="257">
        <v>0</v>
      </c>
      <c r="I354" s="257">
        <v>63170204.979999997</v>
      </c>
      <c r="J354" s="257">
        <v>0</v>
      </c>
      <c r="K354" s="257">
        <v>96399.43</v>
      </c>
      <c r="L354" s="257">
        <v>96399.43</v>
      </c>
      <c r="M354" s="257">
        <v>1937586.3</v>
      </c>
      <c r="N354" s="257">
        <v>-5895564.4500000002</v>
      </c>
    </row>
    <row r="355" spans="1:14" s="143" customFormat="1" x14ac:dyDescent="0.25">
      <c r="A355" s="143" t="s">
        <v>334</v>
      </c>
      <c r="B355" s="143" t="s">
        <v>348</v>
      </c>
      <c r="C355" s="143" t="s">
        <v>349</v>
      </c>
      <c r="D355" s="143" t="s">
        <v>69</v>
      </c>
      <c r="E355" s="257">
        <v>3000000</v>
      </c>
      <c r="F355" s="257">
        <v>3000000</v>
      </c>
      <c r="G355" s="257">
        <v>3000000</v>
      </c>
      <c r="H355" s="257">
        <v>0</v>
      </c>
      <c r="I355" s="257">
        <v>966014.27</v>
      </c>
      <c r="J355" s="257">
        <v>0</v>
      </c>
      <c r="K355" s="257">
        <v>96399.43</v>
      </c>
      <c r="L355" s="257">
        <v>96399.43</v>
      </c>
      <c r="M355" s="257">
        <v>1937586.3</v>
      </c>
      <c r="N355" s="257">
        <v>1937586.3</v>
      </c>
    </row>
    <row r="356" spans="1:14" s="143" customFormat="1" x14ac:dyDescent="0.25">
      <c r="A356" s="143" t="s">
        <v>334</v>
      </c>
      <c r="B356" s="143" t="s">
        <v>180</v>
      </c>
      <c r="C356" s="143" t="s">
        <v>181</v>
      </c>
      <c r="D356" s="143" t="s">
        <v>69</v>
      </c>
      <c r="E356" s="257">
        <v>1275676</v>
      </c>
      <c r="F356" s="257">
        <v>47166460.710000001</v>
      </c>
      <c r="G356" s="257">
        <v>46528622.710000001</v>
      </c>
      <c r="H356" s="257">
        <v>0</v>
      </c>
      <c r="I356" s="257">
        <v>47166460.710000001</v>
      </c>
      <c r="J356" s="257">
        <v>0</v>
      </c>
      <c r="K356" s="257">
        <v>0</v>
      </c>
      <c r="L356" s="257">
        <v>0</v>
      </c>
      <c r="M356" s="257">
        <v>0</v>
      </c>
      <c r="N356" s="275">
        <v>-637838</v>
      </c>
    </row>
    <row r="357" spans="1:14" s="143" customFormat="1" x14ac:dyDescent="0.25">
      <c r="A357" s="143" t="s">
        <v>334</v>
      </c>
      <c r="B357" s="143" t="s">
        <v>182</v>
      </c>
      <c r="C357" s="143" t="s">
        <v>183</v>
      </c>
      <c r="D357" s="143" t="s">
        <v>69</v>
      </c>
      <c r="E357" s="257">
        <v>14390625</v>
      </c>
      <c r="F357" s="257">
        <v>15037730</v>
      </c>
      <c r="G357" s="257">
        <v>7842417.25</v>
      </c>
      <c r="H357" s="257">
        <v>0</v>
      </c>
      <c r="I357" s="257">
        <v>15037730</v>
      </c>
      <c r="J357" s="257">
        <v>0</v>
      </c>
      <c r="K357" s="257">
        <v>0</v>
      </c>
      <c r="L357" s="257">
        <v>0</v>
      </c>
      <c r="M357" s="257">
        <v>0</v>
      </c>
      <c r="N357" s="257">
        <v>-7195312.75</v>
      </c>
    </row>
    <row r="358" spans="1:14" s="143" customFormat="1" x14ac:dyDescent="0.25">
      <c r="A358" s="143" t="s">
        <v>334</v>
      </c>
      <c r="B358" s="143" t="s">
        <v>184</v>
      </c>
      <c r="C358" s="143" t="s">
        <v>185</v>
      </c>
      <c r="D358" s="143" t="s">
        <v>69</v>
      </c>
      <c r="E358" s="257">
        <v>14015826994</v>
      </c>
      <c r="F358" s="257">
        <v>14015826994</v>
      </c>
      <c r="G358" s="257">
        <v>6901936073.5</v>
      </c>
      <c r="H358" s="257">
        <v>0</v>
      </c>
      <c r="I358" s="257">
        <v>808980439.67999995</v>
      </c>
      <c r="J358" s="257">
        <v>43781831.560000002</v>
      </c>
      <c r="K358" s="257">
        <v>1914066350.02</v>
      </c>
      <c r="L358" s="257">
        <v>1846309330.8699999</v>
      </c>
      <c r="M358" s="257">
        <v>11248998372.74</v>
      </c>
      <c r="N358" s="257">
        <v>4135107452.2399998</v>
      </c>
    </row>
    <row r="359" spans="1:14" s="143" customFormat="1" x14ac:dyDescent="0.25">
      <c r="A359" s="143" t="s">
        <v>334</v>
      </c>
      <c r="B359" s="143" t="s">
        <v>186</v>
      </c>
      <c r="C359" s="143" t="s">
        <v>187</v>
      </c>
      <c r="D359" s="143" t="s">
        <v>69</v>
      </c>
      <c r="E359" s="257">
        <v>777682724</v>
      </c>
      <c r="F359" s="257">
        <v>777682724</v>
      </c>
      <c r="G359" s="257">
        <v>392841362</v>
      </c>
      <c r="H359" s="257">
        <v>0</v>
      </c>
      <c r="I359" s="257">
        <v>39335102.420000002</v>
      </c>
      <c r="J359" s="257">
        <v>0</v>
      </c>
      <c r="K359" s="257">
        <v>102185451.43000001</v>
      </c>
      <c r="L359" s="257">
        <v>101769201.43000001</v>
      </c>
      <c r="M359" s="257">
        <v>636162170.14999998</v>
      </c>
      <c r="N359" s="257">
        <v>251320808.15000001</v>
      </c>
    </row>
    <row r="360" spans="1:14" s="143" customFormat="1" x14ac:dyDescent="0.25">
      <c r="A360" s="143" t="s">
        <v>334</v>
      </c>
      <c r="B360" s="143" t="s">
        <v>188</v>
      </c>
      <c r="C360" s="143" t="s">
        <v>189</v>
      </c>
      <c r="D360" s="143" t="s">
        <v>69</v>
      </c>
      <c r="E360" s="257">
        <v>543016724</v>
      </c>
      <c r="F360" s="257">
        <v>543016724</v>
      </c>
      <c r="G360" s="257">
        <v>275508362</v>
      </c>
      <c r="H360" s="257">
        <v>0</v>
      </c>
      <c r="I360" s="257">
        <v>39132124.420000002</v>
      </c>
      <c r="J360" s="257">
        <v>0</v>
      </c>
      <c r="K360" s="257">
        <v>102107526.43000001</v>
      </c>
      <c r="L360" s="257">
        <v>101691276.43000001</v>
      </c>
      <c r="M360" s="257">
        <v>401777073.14999998</v>
      </c>
      <c r="N360" s="257">
        <v>134268711.15000001</v>
      </c>
    </row>
    <row r="361" spans="1:14" s="143" customFormat="1" x14ac:dyDescent="0.25">
      <c r="A361" s="143" t="s">
        <v>334</v>
      </c>
      <c r="B361" s="143" t="s">
        <v>190</v>
      </c>
      <c r="C361" s="143" t="s">
        <v>191</v>
      </c>
      <c r="D361" s="143" t="s">
        <v>69</v>
      </c>
      <c r="E361" s="257">
        <v>195656000</v>
      </c>
      <c r="F361" s="257">
        <v>195656000</v>
      </c>
      <c r="G361" s="257">
        <v>97828000</v>
      </c>
      <c r="H361" s="257">
        <v>0</v>
      </c>
      <c r="I361" s="257">
        <v>0</v>
      </c>
      <c r="J361" s="257">
        <v>0</v>
      </c>
      <c r="K361" s="257">
        <v>0</v>
      </c>
      <c r="L361" s="257">
        <v>0</v>
      </c>
      <c r="M361" s="257">
        <v>195656000</v>
      </c>
      <c r="N361" s="257">
        <v>97828000</v>
      </c>
    </row>
    <row r="362" spans="1:14" s="143" customFormat="1" x14ac:dyDescent="0.25">
      <c r="A362" s="143" t="s">
        <v>334</v>
      </c>
      <c r="B362" s="143" t="s">
        <v>350</v>
      </c>
      <c r="C362" s="143" t="s">
        <v>351</v>
      </c>
      <c r="D362" s="143" t="s">
        <v>69</v>
      </c>
      <c r="E362" s="257">
        <v>2674000</v>
      </c>
      <c r="F362" s="257">
        <v>2674000</v>
      </c>
      <c r="G362" s="257">
        <v>1337000</v>
      </c>
      <c r="H362" s="257">
        <v>0</v>
      </c>
      <c r="I362" s="257">
        <v>42846</v>
      </c>
      <c r="J362" s="257">
        <v>0</v>
      </c>
      <c r="K362" s="257">
        <v>77925</v>
      </c>
      <c r="L362" s="257">
        <v>77925</v>
      </c>
      <c r="M362" s="257">
        <v>2553229</v>
      </c>
      <c r="N362" s="257">
        <v>1216229</v>
      </c>
    </row>
    <row r="363" spans="1:14" s="143" customFormat="1" x14ac:dyDescent="0.25">
      <c r="A363" s="143" t="s">
        <v>334</v>
      </c>
      <c r="B363" s="143" t="s">
        <v>192</v>
      </c>
      <c r="C363" s="143" t="s">
        <v>193</v>
      </c>
      <c r="D363" s="143" t="s">
        <v>69</v>
      </c>
      <c r="E363" s="257">
        <v>30373000</v>
      </c>
      <c r="F363" s="257">
        <v>30373000</v>
      </c>
      <c r="G363" s="257">
        <v>15186500</v>
      </c>
      <c r="H363" s="257">
        <v>0</v>
      </c>
      <c r="I363" s="257">
        <v>160132</v>
      </c>
      <c r="J363" s="257">
        <v>0</v>
      </c>
      <c r="K363" s="257">
        <v>0</v>
      </c>
      <c r="L363" s="257">
        <v>0</v>
      </c>
      <c r="M363" s="257">
        <v>30212868</v>
      </c>
      <c r="N363" s="257">
        <v>15026368</v>
      </c>
    </row>
    <row r="364" spans="1:14" s="143" customFormat="1" x14ac:dyDescent="0.25">
      <c r="A364" s="143" t="s">
        <v>334</v>
      </c>
      <c r="B364" s="143" t="s">
        <v>194</v>
      </c>
      <c r="C364" s="143" t="s">
        <v>195</v>
      </c>
      <c r="D364" s="143" t="s">
        <v>69</v>
      </c>
      <c r="E364" s="257">
        <v>5963000</v>
      </c>
      <c r="F364" s="257">
        <v>5963000</v>
      </c>
      <c r="G364" s="257">
        <v>2981500</v>
      </c>
      <c r="H364" s="257">
        <v>0</v>
      </c>
      <c r="I364" s="257">
        <v>0</v>
      </c>
      <c r="J364" s="257">
        <v>0</v>
      </c>
      <c r="K364" s="257">
        <v>0</v>
      </c>
      <c r="L364" s="257">
        <v>0</v>
      </c>
      <c r="M364" s="257">
        <v>5963000</v>
      </c>
      <c r="N364" s="257">
        <v>2981500</v>
      </c>
    </row>
    <row r="365" spans="1:14" s="143" customFormat="1" x14ac:dyDescent="0.25">
      <c r="A365" s="143" t="s">
        <v>334</v>
      </c>
      <c r="B365" s="143" t="s">
        <v>196</v>
      </c>
      <c r="C365" s="143" t="s">
        <v>197</v>
      </c>
      <c r="D365" s="143" t="s">
        <v>69</v>
      </c>
      <c r="E365" s="257">
        <v>10984366500</v>
      </c>
      <c r="F365" s="257">
        <v>10984366500</v>
      </c>
      <c r="G365" s="257">
        <v>5278565775</v>
      </c>
      <c r="H365" s="257">
        <v>0</v>
      </c>
      <c r="I365" s="257">
        <v>700999390.63999999</v>
      </c>
      <c r="J365" s="257">
        <v>8689342.0099999998</v>
      </c>
      <c r="K365" s="257">
        <v>1666586524.8499999</v>
      </c>
      <c r="L365" s="257">
        <v>1605828554.8499999</v>
      </c>
      <c r="M365" s="257">
        <v>8608091242.5</v>
      </c>
      <c r="N365" s="257">
        <v>2902290517.5</v>
      </c>
    </row>
    <row r="366" spans="1:14" s="143" customFormat="1" x14ac:dyDescent="0.25">
      <c r="A366" s="143" t="s">
        <v>334</v>
      </c>
      <c r="B366" s="143" t="s">
        <v>198</v>
      </c>
      <c r="C366" s="143" t="s">
        <v>199</v>
      </c>
      <c r="D366" s="143" t="s">
        <v>69</v>
      </c>
      <c r="E366" s="257">
        <v>10972726000</v>
      </c>
      <c r="F366" s="257">
        <v>10972726000</v>
      </c>
      <c r="G366" s="257">
        <v>5272745525</v>
      </c>
      <c r="H366" s="257">
        <v>0</v>
      </c>
      <c r="I366" s="257">
        <v>700999390.63999999</v>
      </c>
      <c r="J366" s="257">
        <v>8689342.0099999998</v>
      </c>
      <c r="K366" s="257">
        <v>1666586524.8499999</v>
      </c>
      <c r="L366" s="257">
        <v>1605828554.8499999</v>
      </c>
      <c r="M366" s="257">
        <v>8596450742.5</v>
      </c>
      <c r="N366" s="257">
        <v>2896470267.5</v>
      </c>
    </row>
    <row r="367" spans="1:14" s="143" customFormat="1" x14ac:dyDescent="0.25">
      <c r="A367" s="143" t="s">
        <v>334</v>
      </c>
      <c r="B367" s="143" t="s">
        <v>352</v>
      </c>
      <c r="C367" s="143" t="s">
        <v>353</v>
      </c>
      <c r="D367" s="143" t="s">
        <v>69</v>
      </c>
      <c r="E367" s="257">
        <v>11640500</v>
      </c>
      <c r="F367" s="257">
        <v>11640500</v>
      </c>
      <c r="G367" s="257">
        <v>5820250</v>
      </c>
      <c r="H367" s="257">
        <v>0</v>
      </c>
      <c r="I367" s="257">
        <v>0</v>
      </c>
      <c r="J367" s="257">
        <v>0</v>
      </c>
      <c r="K367" s="257">
        <v>0</v>
      </c>
      <c r="L367" s="257">
        <v>0</v>
      </c>
      <c r="M367" s="257">
        <v>11640500</v>
      </c>
      <c r="N367" s="257">
        <v>5820250</v>
      </c>
    </row>
    <row r="368" spans="1:14" s="143" customFormat="1" x14ac:dyDescent="0.25">
      <c r="A368" s="143" t="s">
        <v>334</v>
      </c>
      <c r="B368" s="143" t="s">
        <v>200</v>
      </c>
      <c r="C368" s="143" t="s">
        <v>201</v>
      </c>
      <c r="D368" s="143" t="s">
        <v>69</v>
      </c>
      <c r="E368" s="257">
        <v>446867786</v>
      </c>
      <c r="F368" s="257">
        <v>446867786</v>
      </c>
      <c r="G368" s="257">
        <v>214646133.5</v>
      </c>
      <c r="H368" s="257">
        <v>0</v>
      </c>
      <c r="I368" s="257">
        <v>16682177.4</v>
      </c>
      <c r="J368" s="257">
        <v>10515530</v>
      </c>
      <c r="K368" s="257">
        <v>28178581.800000001</v>
      </c>
      <c r="L368" s="257">
        <v>28178581.800000001</v>
      </c>
      <c r="M368" s="257">
        <v>391491496.80000001</v>
      </c>
      <c r="N368" s="257">
        <v>159269844.30000001</v>
      </c>
    </row>
    <row r="369" spans="1:14" s="143" customFormat="1" x14ac:dyDescent="0.25">
      <c r="A369" s="143" t="s">
        <v>334</v>
      </c>
      <c r="B369" s="143" t="s">
        <v>314</v>
      </c>
      <c r="C369" s="143" t="s">
        <v>315</v>
      </c>
      <c r="D369" s="143" t="s">
        <v>69</v>
      </c>
      <c r="E369" s="257">
        <v>122902000</v>
      </c>
      <c r="F369" s="257">
        <v>122902000</v>
      </c>
      <c r="G369" s="257">
        <v>60063213</v>
      </c>
      <c r="H369" s="257">
        <v>0</v>
      </c>
      <c r="I369" s="257">
        <v>8120620.8499999996</v>
      </c>
      <c r="J369" s="257">
        <v>0</v>
      </c>
      <c r="K369" s="257">
        <v>3727874.8</v>
      </c>
      <c r="L369" s="257">
        <v>3727874.8</v>
      </c>
      <c r="M369" s="257">
        <v>111053504.34999999</v>
      </c>
      <c r="N369" s="257">
        <v>48214717.350000001</v>
      </c>
    </row>
    <row r="370" spans="1:14" s="143" customFormat="1" x14ac:dyDescent="0.25">
      <c r="A370" s="143" t="s">
        <v>334</v>
      </c>
      <c r="B370" s="143" t="s">
        <v>316</v>
      </c>
      <c r="C370" s="143" t="s">
        <v>317</v>
      </c>
      <c r="D370" s="143" t="s">
        <v>69</v>
      </c>
      <c r="E370" s="257">
        <v>50168000</v>
      </c>
      <c r="F370" s="257">
        <v>50168000</v>
      </c>
      <c r="G370" s="257">
        <v>25084000</v>
      </c>
      <c r="H370" s="257">
        <v>0</v>
      </c>
      <c r="I370" s="257">
        <v>1440123</v>
      </c>
      <c r="J370" s="257">
        <v>1247760</v>
      </c>
      <c r="K370" s="257">
        <v>1247760</v>
      </c>
      <c r="L370" s="257">
        <v>1247760</v>
      </c>
      <c r="M370" s="257">
        <v>46232357</v>
      </c>
      <c r="N370" s="257">
        <v>21148357</v>
      </c>
    </row>
    <row r="371" spans="1:14" s="143" customFormat="1" x14ac:dyDescent="0.25">
      <c r="A371" s="143" t="s">
        <v>334</v>
      </c>
      <c r="B371" s="143" t="s">
        <v>318</v>
      </c>
      <c r="C371" s="143" t="s">
        <v>319</v>
      </c>
      <c r="D371" s="143" t="s">
        <v>69</v>
      </c>
      <c r="E371" s="257">
        <v>89195672</v>
      </c>
      <c r="F371" s="257">
        <v>89195672</v>
      </c>
      <c r="G371" s="257">
        <v>55845623</v>
      </c>
      <c r="H371" s="257">
        <v>0</v>
      </c>
      <c r="I371" s="257">
        <v>6955000</v>
      </c>
      <c r="J371" s="257">
        <v>9267770</v>
      </c>
      <c r="K371" s="257">
        <v>22947828</v>
      </c>
      <c r="L371" s="257">
        <v>22947828</v>
      </c>
      <c r="M371" s="257">
        <v>50025074</v>
      </c>
      <c r="N371" s="257">
        <v>16675025</v>
      </c>
    </row>
    <row r="372" spans="1:14" s="143" customFormat="1" x14ac:dyDescent="0.25">
      <c r="A372" s="143" t="s">
        <v>334</v>
      </c>
      <c r="B372" s="143" t="s">
        <v>202</v>
      </c>
      <c r="C372" s="143" t="s">
        <v>203</v>
      </c>
      <c r="D372" s="143" t="s">
        <v>69</v>
      </c>
      <c r="E372" s="257">
        <v>90316000</v>
      </c>
      <c r="F372" s="257">
        <v>90316000</v>
      </c>
      <c r="G372" s="257">
        <v>35298000</v>
      </c>
      <c r="H372" s="257">
        <v>0</v>
      </c>
      <c r="I372" s="257">
        <v>143069.37</v>
      </c>
      <c r="J372" s="257">
        <v>0</v>
      </c>
      <c r="K372" s="257">
        <v>255119</v>
      </c>
      <c r="L372" s="257">
        <v>255119</v>
      </c>
      <c r="M372" s="257">
        <v>89917811.629999995</v>
      </c>
      <c r="N372" s="257">
        <v>34899811.630000003</v>
      </c>
    </row>
    <row r="373" spans="1:14" s="143" customFormat="1" x14ac:dyDescent="0.25">
      <c r="A373" s="143" t="s">
        <v>334</v>
      </c>
      <c r="B373" s="143" t="s">
        <v>320</v>
      </c>
      <c r="C373" s="143" t="s">
        <v>321</v>
      </c>
      <c r="D373" s="143" t="s">
        <v>69</v>
      </c>
      <c r="E373" s="257">
        <v>7059000</v>
      </c>
      <c r="F373" s="257">
        <v>7059000</v>
      </c>
      <c r="G373" s="257">
        <v>2481183</v>
      </c>
      <c r="H373" s="257">
        <v>0</v>
      </c>
      <c r="I373" s="257">
        <v>0</v>
      </c>
      <c r="J373" s="257">
        <v>0</v>
      </c>
      <c r="K373" s="257">
        <v>0</v>
      </c>
      <c r="L373" s="257">
        <v>0</v>
      </c>
      <c r="M373" s="257">
        <v>7059000</v>
      </c>
      <c r="N373" s="257">
        <v>2481183</v>
      </c>
    </row>
    <row r="374" spans="1:14" s="143" customFormat="1" x14ac:dyDescent="0.25">
      <c r="A374" s="143" t="s">
        <v>334</v>
      </c>
      <c r="B374" s="143" t="s">
        <v>204</v>
      </c>
      <c r="C374" s="143" t="s">
        <v>205</v>
      </c>
      <c r="D374" s="143" t="s">
        <v>69</v>
      </c>
      <c r="E374" s="257">
        <v>61279000</v>
      </c>
      <c r="F374" s="257">
        <v>61279000</v>
      </c>
      <c r="G374" s="257">
        <v>22900057</v>
      </c>
      <c r="H374" s="257">
        <v>0</v>
      </c>
      <c r="I374" s="257">
        <v>23364.18</v>
      </c>
      <c r="J374" s="257">
        <v>0</v>
      </c>
      <c r="K374" s="257">
        <v>0</v>
      </c>
      <c r="L374" s="257">
        <v>0</v>
      </c>
      <c r="M374" s="257">
        <v>61255635.82</v>
      </c>
      <c r="N374" s="257">
        <v>22876692.82</v>
      </c>
    </row>
    <row r="375" spans="1:14" s="143" customFormat="1" x14ac:dyDescent="0.25">
      <c r="A375" s="143" t="s">
        <v>334</v>
      </c>
      <c r="B375" s="143" t="s">
        <v>322</v>
      </c>
      <c r="C375" s="143" t="s">
        <v>323</v>
      </c>
      <c r="D375" s="143" t="s">
        <v>69</v>
      </c>
      <c r="E375" s="257">
        <v>25948114</v>
      </c>
      <c r="F375" s="257">
        <v>25948114</v>
      </c>
      <c r="G375" s="257">
        <v>12974057.5</v>
      </c>
      <c r="H375" s="257">
        <v>0</v>
      </c>
      <c r="I375" s="257">
        <v>0</v>
      </c>
      <c r="J375" s="257">
        <v>0</v>
      </c>
      <c r="K375" s="257">
        <v>0</v>
      </c>
      <c r="L375" s="257">
        <v>0</v>
      </c>
      <c r="M375" s="257">
        <v>25948114</v>
      </c>
      <c r="N375" s="257">
        <v>12974057.5</v>
      </c>
    </row>
    <row r="376" spans="1:14" s="143" customFormat="1" x14ac:dyDescent="0.25">
      <c r="A376" s="143" t="s">
        <v>334</v>
      </c>
      <c r="B376" s="143" t="s">
        <v>206</v>
      </c>
      <c r="C376" s="143" t="s">
        <v>207</v>
      </c>
      <c r="D376" s="143" t="s">
        <v>69</v>
      </c>
      <c r="E376" s="257">
        <v>150560000</v>
      </c>
      <c r="F376" s="257">
        <v>150560000</v>
      </c>
      <c r="G376" s="257">
        <v>93738720</v>
      </c>
      <c r="H376" s="257">
        <v>0</v>
      </c>
      <c r="I376" s="257">
        <v>13820389.58</v>
      </c>
      <c r="J376" s="257">
        <v>9746000</v>
      </c>
      <c r="K376" s="257">
        <v>17573643.449999999</v>
      </c>
      <c r="L376" s="257">
        <v>17573643.449999999</v>
      </c>
      <c r="M376" s="257">
        <v>109419966.97</v>
      </c>
      <c r="N376" s="257">
        <v>52598686.969999999</v>
      </c>
    </row>
    <row r="377" spans="1:14" s="143" customFormat="1" x14ac:dyDescent="0.25">
      <c r="A377" s="143" t="s">
        <v>334</v>
      </c>
      <c r="B377" s="143" t="s">
        <v>208</v>
      </c>
      <c r="C377" s="143" t="s">
        <v>209</v>
      </c>
      <c r="D377" s="143" t="s">
        <v>69</v>
      </c>
      <c r="E377" s="257">
        <v>53615000</v>
      </c>
      <c r="F377" s="257">
        <v>53615000</v>
      </c>
      <c r="G377" s="257">
        <v>29108720</v>
      </c>
      <c r="H377" s="257">
        <v>0</v>
      </c>
      <c r="I377" s="257">
        <v>7540000</v>
      </c>
      <c r="J377" s="257">
        <v>0</v>
      </c>
      <c r="K377" s="257">
        <v>9315580</v>
      </c>
      <c r="L377" s="257">
        <v>9315580</v>
      </c>
      <c r="M377" s="257">
        <v>36759420</v>
      </c>
      <c r="N377" s="257">
        <v>12253140</v>
      </c>
    </row>
    <row r="378" spans="1:14" s="143" customFormat="1" x14ac:dyDescent="0.25">
      <c r="A378" s="143" t="s">
        <v>334</v>
      </c>
      <c r="B378" s="143" t="s">
        <v>210</v>
      </c>
      <c r="C378" s="143" t="s">
        <v>211</v>
      </c>
      <c r="D378" s="143" t="s">
        <v>69</v>
      </c>
      <c r="E378" s="257">
        <v>96945000</v>
      </c>
      <c r="F378" s="257">
        <v>96945000</v>
      </c>
      <c r="G378" s="257">
        <v>64630000</v>
      </c>
      <c r="H378" s="257">
        <v>0</v>
      </c>
      <c r="I378" s="257">
        <v>6280389.5800000001</v>
      </c>
      <c r="J378" s="257">
        <v>9746000</v>
      </c>
      <c r="K378" s="257">
        <v>8258063.4500000002</v>
      </c>
      <c r="L378" s="257">
        <v>8258063.4500000002</v>
      </c>
      <c r="M378" s="257">
        <v>72660546.969999999</v>
      </c>
      <c r="N378" s="257">
        <v>40345546.969999999</v>
      </c>
    </row>
    <row r="379" spans="1:14" s="143" customFormat="1" x14ac:dyDescent="0.25">
      <c r="A379" s="143" t="s">
        <v>334</v>
      </c>
      <c r="B379" s="143" t="s">
        <v>354</v>
      </c>
      <c r="C379" s="143" t="s">
        <v>355</v>
      </c>
      <c r="D379" s="143" t="s">
        <v>69</v>
      </c>
      <c r="E379" s="257">
        <v>0</v>
      </c>
      <c r="F379" s="257">
        <v>0</v>
      </c>
      <c r="G379" s="257">
        <v>0</v>
      </c>
      <c r="H379" s="257">
        <v>0</v>
      </c>
      <c r="I379" s="257">
        <v>0</v>
      </c>
      <c r="J379" s="257">
        <v>0</v>
      </c>
      <c r="K379" s="257">
        <v>0</v>
      </c>
      <c r="L379" s="257">
        <v>0</v>
      </c>
      <c r="M379" s="257">
        <v>0</v>
      </c>
      <c r="N379" s="257">
        <v>0</v>
      </c>
    </row>
    <row r="380" spans="1:14" s="143" customFormat="1" x14ac:dyDescent="0.25">
      <c r="A380" s="143" t="s">
        <v>334</v>
      </c>
      <c r="B380" s="143" t="s">
        <v>356</v>
      </c>
      <c r="C380" s="143" t="s">
        <v>357</v>
      </c>
      <c r="D380" s="143" t="s">
        <v>69</v>
      </c>
      <c r="E380" s="257">
        <v>0</v>
      </c>
      <c r="F380" s="257">
        <v>0</v>
      </c>
      <c r="G380" s="257">
        <v>0</v>
      </c>
      <c r="H380" s="257">
        <v>0</v>
      </c>
      <c r="I380" s="257">
        <v>0</v>
      </c>
      <c r="J380" s="257">
        <v>0</v>
      </c>
      <c r="K380" s="257">
        <v>0</v>
      </c>
      <c r="L380" s="257">
        <v>0</v>
      </c>
      <c r="M380" s="257">
        <v>0</v>
      </c>
      <c r="N380" s="257">
        <v>0</v>
      </c>
    </row>
    <row r="381" spans="1:14" s="143" customFormat="1" x14ac:dyDescent="0.25">
      <c r="A381" s="143" t="s">
        <v>334</v>
      </c>
      <c r="B381" s="143" t="s">
        <v>212</v>
      </c>
      <c r="C381" s="143" t="s">
        <v>213</v>
      </c>
      <c r="D381" s="143" t="s">
        <v>69</v>
      </c>
      <c r="E381" s="257">
        <v>1656349984</v>
      </c>
      <c r="F381" s="257">
        <v>1656349984</v>
      </c>
      <c r="G381" s="257">
        <v>922144083</v>
      </c>
      <c r="H381" s="257">
        <v>0</v>
      </c>
      <c r="I381" s="257">
        <v>38143379.640000001</v>
      </c>
      <c r="J381" s="257">
        <v>14830959.550000001</v>
      </c>
      <c r="K381" s="257">
        <v>99542148.489999995</v>
      </c>
      <c r="L381" s="257">
        <v>92959349.340000004</v>
      </c>
      <c r="M381" s="257">
        <v>1503833496.3199999</v>
      </c>
      <c r="N381" s="257">
        <v>769627595.32000005</v>
      </c>
    </row>
    <row r="382" spans="1:14" s="143" customFormat="1" x14ac:dyDescent="0.25">
      <c r="A382" s="143" t="s">
        <v>334</v>
      </c>
      <c r="B382" s="143" t="s">
        <v>214</v>
      </c>
      <c r="C382" s="143" t="s">
        <v>215</v>
      </c>
      <c r="D382" s="143" t="s">
        <v>69</v>
      </c>
      <c r="E382" s="257">
        <v>34070136</v>
      </c>
      <c r="F382" s="257">
        <v>34070136</v>
      </c>
      <c r="G382" s="257">
        <v>17035068</v>
      </c>
      <c r="H382" s="257">
        <v>0</v>
      </c>
      <c r="I382" s="257">
        <v>0</v>
      </c>
      <c r="J382" s="257">
        <v>0</v>
      </c>
      <c r="K382" s="257">
        <v>0</v>
      </c>
      <c r="L382" s="257">
        <v>0</v>
      </c>
      <c r="M382" s="257">
        <v>34070136</v>
      </c>
      <c r="N382" s="257">
        <v>17035068</v>
      </c>
    </row>
    <row r="383" spans="1:14" s="143" customFormat="1" x14ac:dyDescent="0.25">
      <c r="A383" s="143" t="s">
        <v>334</v>
      </c>
      <c r="B383" s="143" t="s">
        <v>216</v>
      </c>
      <c r="C383" s="143" t="s">
        <v>217</v>
      </c>
      <c r="D383" s="143" t="s">
        <v>69</v>
      </c>
      <c r="E383" s="257">
        <v>65363019</v>
      </c>
      <c r="F383" s="257">
        <v>65363019</v>
      </c>
      <c r="G383" s="257">
        <v>32681509.75</v>
      </c>
      <c r="H383" s="257">
        <v>0</v>
      </c>
      <c r="I383" s="257">
        <v>388524.54</v>
      </c>
      <c r="J383" s="257">
        <v>0</v>
      </c>
      <c r="K383" s="257">
        <v>5068757.07</v>
      </c>
      <c r="L383" s="257">
        <v>5068757.07</v>
      </c>
      <c r="M383" s="257">
        <v>59905737.390000001</v>
      </c>
      <c r="N383" s="257">
        <v>27224228.140000001</v>
      </c>
    </row>
    <row r="384" spans="1:14" s="143" customFormat="1" x14ac:dyDescent="0.25">
      <c r="A384" s="143" t="s">
        <v>334</v>
      </c>
      <c r="B384" s="143" t="s">
        <v>218</v>
      </c>
      <c r="C384" s="143" t="s">
        <v>219</v>
      </c>
      <c r="D384" s="143" t="s">
        <v>69</v>
      </c>
      <c r="E384" s="257">
        <v>146259000</v>
      </c>
      <c r="F384" s="257">
        <v>146259000</v>
      </c>
      <c r="G384" s="257">
        <v>73129500</v>
      </c>
      <c r="H384" s="257">
        <v>0</v>
      </c>
      <c r="I384" s="257">
        <v>9909996</v>
      </c>
      <c r="J384" s="257">
        <v>0</v>
      </c>
      <c r="K384" s="257">
        <v>9393804.6999999993</v>
      </c>
      <c r="L384" s="257">
        <v>9151476</v>
      </c>
      <c r="M384" s="257">
        <v>126955199.3</v>
      </c>
      <c r="N384" s="257">
        <v>53825699.299999997</v>
      </c>
    </row>
    <row r="385" spans="1:14" s="143" customFormat="1" x14ac:dyDescent="0.25">
      <c r="A385" s="143" t="s">
        <v>334</v>
      </c>
      <c r="B385" s="143" t="s">
        <v>220</v>
      </c>
      <c r="C385" s="143" t="s">
        <v>221</v>
      </c>
      <c r="D385" s="143" t="s">
        <v>69</v>
      </c>
      <c r="E385" s="257">
        <v>643150000</v>
      </c>
      <c r="F385" s="257">
        <v>643150000</v>
      </c>
      <c r="G385" s="257">
        <v>410325211</v>
      </c>
      <c r="H385" s="257">
        <v>0</v>
      </c>
      <c r="I385" s="257">
        <v>1962362</v>
      </c>
      <c r="J385" s="257">
        <v>0</v>
      </c>
      <c r="K385" s="257">
        <v>3594120</v>
      </c>
      <c r="L385" s="257">
        <v>3594120</v>
      </c>
      <c r="M385" s="257">
        <v>637593518</v>
      </c>
      <c r="N385" s="257">
        <v>404768729</v>
      </c>
    </row>
    <row r="386" spans="1:14" s="143" customFormat="1" x14ac:dyDescent="0.25">
      <c r="A386" s="143" t="s">
        <v>334</v>
      </c>
      <c r="B386" s="143" t="s">
        <v>222</v>
      </c>
      <c r="C386" s="143" t="s">
        <v>223</v>
      </c>
      <c r="D386" s="143" t="s">
        <v>69</v>
      </c>
      <c r="E386" s="257">
        <v>302355000</v>
      </c>
      <c r="F386" s="257">
        <v>302355000</v>
      </c>
      <c r="G386" s="257">
        <v>151177500</v>
      </c>
      <c r="H386" s="257">
        <v>0</v>
      </c>
      <c r="I386" s="257">
        <v>186484.5</v>
      </c>
      <c r="J386" s="257">
        <v>0</v>
      </c>
      <c r="K386" s="257">
        <v>35108199.090000004</v>
      </c>
      <c r="L386" s="257">
        <v>28767728.640000001</v>
      </c>
      <c r="M386" s="257">
        <v>267060316.41</v>
      </c>
      <c r="N386" s="257">
        <v>115882816.41</v>
      </c>
    </row>
    <row r="387" spans="1:14" s="143" customFormat="1" x14ac:dyDescent="0.25">
      <c r="A387" s="143" t="s">
        <v>334</v>
      </c>
      <c r="B387" s="143" t="s">
        <v>224</v>
      </c>
      <c r="C387" s="143" t="s">
        <v>225</v>
      </c>
      <c r="D387" s="143" t="s">
        <v>69</v>
      </c>
      <c r="E387" s="257">
        <v>182921000</v>
      </c>
      <c r="F387" s="257">
        <v>182921000</v>
      </c>
      <c r="G387" s="257">
        <v>91460500</v>
      </c>
      <c r="H387" s="257">
        <v>0</v>
      </c>
      <c r="I387" s="257">
        <v>32549</v>
      </c>
      <c r="J387" s="257">
        <v>0</v>
      </c>
      <c r="K387" s="257">
        <v>420493.25</v>
      </c>
      <c r="L387" s="257">
        <v>420493.25</v>
      </c>
      <c r="M387" s="257">
        <v>182467957.75</v>
      </c>
      <c r="N387" s="257">
        <v>91007457.75</v>
      </c>
    </row>
    <row r="388" spans="1:14" s="143" customFormat="1" x14ac:dyDescent="0.25">
      <c r="A388" s="143" t="s">
        <v>334</v>
      </c>
      <c r="B388" s="143" t="s">
        <v>226</v>
      </c>
      <c r="C388" s="143" t="s">
        <v>227</v>
      </c>
      <c r="D388" s="143" t="s">
        <v>69</v>
      </c>
      <c r="E388" s="257">
        <v>92727347</v>
      </c>
      <c r="F388" s="257">
        <v>92727347</v>
      </c>
      <c r="G388" s="257">
        <v>46363673.75</v>
      </c>
      <c r="H388" s="257">
        <v>0</v>
      </c>
      <c r="I388" s="257">
        <v>19174617.219999999</v>
      </c>
      <c r="J388" s="257">
        <v>14830959.550000001</v>
      </c>
      <c r="K388" s="257">
        <v>0</v>
      </c>
      <c r="L388" s="257">
        <v>0</v>
      </c>
      <c r="M388" s="257">
        <v>58721770.229999997</v>
      </c>
      <c r="N388" s="257">
        <v>12358096.98</v>
      </c>
    </row>
    <row r="389" spans="1:14" s="143" customFormat="1" x14ac:dyDescent="0.25">
      <c r="A389" s="143" t="s">
        <v>334</v>
      </c>
      <c r="B389" s="143" t="s">
        <v>228</v>
      </c>
      <c r="C389" s="143" t="s">
        <v>229</v>
      </c>
      <c r="D389" s="143" t="s">
        <v>69</v>
      </c>
      <c r="E389" s="257">
        <v>189504482</v>
      </c>
      <c r="F389" s="257">
        <v>189504482</v>
      </c>
      <c r="G389" s="257">
        <v>99971120.5</v>
      </c>
      <c r="H389" s="257">
        <v>0</v>
      </c>
      <c r="I389" s="257">
        <v>6488846.3799999999</v>
      </c>
      <c r="J389" s="257">
        <v>0</v>
      </c>
      <c r="K389" s="257">
        <v>45956774.380000003</v>
      </c>
      <c r="L389" s="257">
        <v>45956774.380000003</v>
      </c>
      <c r="M389" s="257">
        <v>137058861.24000001</v>
      </c>
      <c r="N389" s="257">
        <v>47525499.740000002</v>
      </c>
    </row>
    <row r="390" spans="1:14" s="143" customFormat="1" x14ac:dyDescent="0.25">
      <c r="A390" s="143" t="s">
        <v>334</v>
      </c>
      <c r="B390" s="143" t="s">
        <v>230</v>
      </c>
      <c r="C390" s="143" t="s">
        <v>231</v>
      </c>
      <c r="D390" s="143" t="s">
        <v>69</v>
      </c>
      <c r="E390" s="257">
        <v>883769579</v>
      </c>
      <c r="F390" s="257">
        <v>2629734727</v>
      </c>
      <c r="G390" s="257">
        <v>2432877161.75</v>
      </c>
      <c r="H390" s="257">
        <v>0</v>
      </c>
      <c r="I390" s="257">
        <v>481092883.42000002</v>
      </c>
      <c r="J390" s="257">
        <v>197328508.88</v>
      </c>
      <c r="K390" s="257">
        <v>90270584.659999996</v>
      </c>
      <c r="L390" s="257">
        <v>89596584.659999996</v>
      </c>
      <c r="M390" s="257">
        <v>1861042750.04</v>
      </c>
      <c r="N390" s="257">
        <v>1664185184.79</v>
      </c>
    </row>
    <row r="391" spans="1:14" s="143" customFormat="1" x14ac:dyDescent="0.25">
      <c r="A391" s="143" t="s">
        <v>334</v>
      </c>
      <c r="B391" s="143" t="s">
        <v>232</v>
      </c>
      <c r="C391" s="143" t="s">
        <v>233</v>
      </c>
      <c r="D391" s="143" t="s">
        <v>69</v>
      </c>
      <c r="E391" s="257">
        <v>667187579</v>
      </c>
      <c r="F391" s="257">
        <v>667187579</v>
      </c>
      <c r="G391" s="257">
        <v>574577013.75</v>
      </c>
      <c r="H391" s="257">
        <v>0</v>
      </c>
      <c r="I391" s="257">
        <v>33234339.539999999</v>
      </c>
      <c r="J391" s="257">
        <v>2383665.9300000002</v>
      </c>
      <c r="K391" s="257">
        <v>85776446.459999993</v>
      </c>
      <c r="L391" s="257">
        <v>85776446.459999993</v>
      </c>
      <c r="M391" s="257">
        <v>545793127.07000005</v>
      </c>
      <c r="N391" s="257">
        <v>453182561.81999999</v>
      </c>
    </row>
    <row r="392" spans="1:14" s="143" customFormat="1" x14ac:dyDescent="0.25">
      <c r="A392" s="143" t="s">
        <v>334</v>
      </c>
      <c r="B392" s="143" t="s">
        <v>236</v>
      </c>
      <c r="C392" s="143" t="s">
        <v>237</v>
      </c>
      <c r="D392" s="143" t="s">
        <v>69</v>
      </c>
      <c r="E392" s="257">
        <v>0</v>
      </c>
      <c r="F392" s="257">
        <v>0</v>
      </c>
      <c r="G392" s="257">
        <v>0</v>
      </c>
      <c r="H392" s="257">
        <v>0</v>
      </c>
      <c r="I392" s="257">
        <v>0</v>
      </c>
      <c r="J392" s="257">
        <v>0</v>
      </c>
      <c r="K392" s="257">
        <v>0</v>
      </c>
      <c r="L392" s="257">
        <v>0</v>
      </c>
      <c r="M392" s="257">
        <v>0</v>
      </c>
      <c r="N392" s="257">
        <v>0</v>
      </c>
    </row>
    <row r="393" spans="1:14" s="143" customFormat="1" x14ac:dyDescent="0.25">
      <c r="A393" s="143" t="s">
        <v>334</v>
      </c>
      <c r="B393" s="143" t="s">
        <v>238</v>
      </c>
      <c r="C393" s="143" t="s">
        <v>239</v>
      </c>
      <c r="D393" s="143" t="s">
        <v>69</v>
      </c>
      <c r="E393" s="257">
        <v>0</v>
      </c>
      <c r="F393" s="257">
        <v>0</v>
      </c>
      <c r="G393" s="257">
        <v>0</v>
      </c>
      <c r="H393" s="257">
        <v>0</v>
      </c>
      <c r="I393" s="257">
        <v>0</v>
      </c>
      <c r="J393" s="257">
        <v>0</v>
      </c>
      <c r="K393" s="257">
        <v>0</v>
      </c>
      <c r="L393" s="257">
        <v>0</v>
      </c>
      <c r="M393" s="257">
        <v>0</v>
      </c>
      <c r="N393" s="257">
        <v>0</v>
      </c>
    </row>
    <row r="394" spans="1:14" s="143" customFormat="1" x14ac:dyDescent="0.25">
      <c r="A394" s="143" t="s">
        <v>334</v>
      </c>
      <c r="B394" s="143" t="s">
        <v>234</v>
      </c>
      <c r="C394" s="143" t="s">
        <v>235</v>
      </c>
      <c r="D394" s="143" t="s">
        <v>85</v>
      </c>
      <c r="E394" s="257">
        <v>33062000</v>
      </c>
      <c r="F394" s="257">
        <v>33062000</v>
      </c>
      <c r="G394" s="257">
        <v>19951724</v>
      </c>
      <c r="H394" s="257">
        <v>0</v>
      </c>
      <c r="I394" s="257">
        <v>0</v>
      </c>
      <c r="J394" s="257">
        <v>0</v>
      </c>
      <c r="K394" s="257">
        <v>0</v>
      </c>
      <c r="L394" s="257">
        <v>0</v>
      </c>
      <c r="M394" s="257">
        <v>33062000</v>
      </c>
      <c r="N394" s="257">
        <v>19951724</v>
      </c>
    </row>
    <row r="395" spans="1:14" s="143" customFormat="1" x14ac:dyDescent="0.25">
      <c r="A395" s="143" t="s">
        <v>334</v>
      </c>
      <c r="B395" s="143" t="s">
        <v>324</v>
      </c>
      <c r="C395" s="143" t="s">
        <v>325</v>
      </c>
      <c r="D395" s="143" t="s">
        <v>85</v>
      </c>
      <c r="E395" s="257">
        <v>72100000</v>
      </c>
      <c r="F395" s="257">
        <v>72100000</v>
      </c>
      <c r="G395" s="257">
        <v>72100000</v>
      </c>
      <c r="H395" s="257">
        <v>0</v>
      </c>
      <c r="I395" s="257">
        <v>0</v>
      </c>
      <c r="J395" s="257">
        <v>0</v>
      </c>
      <c r="K395" s="257">
        <v>16883370</v>
      </c>
      <c r="L395" s="257">
        <v>16883370</v>
      </c>
      <c r="M395" s="257">
        <v>55216630</v>
      </c>
      <c r="N395" s="257">
        <v>55216630</v>
      </c>
    </row>
    <row r="396" spans="1:14" s="143" customFormat="1" x14ac:dyDescent="0.25">
      <c r="A396" s="143" t="s">
        <v>334</v>
      </c>
      <c r="B396" s="143" t="s">
        <v>236</v>
      </c>
      <c r="C396" s="143" t="s">
        <v>237</v>
      </c>
      <c r="D396" s="143" t="s">
        <v>85</v>
      </c>
      <c r="E396" s="257">
        <v>147248000</v>
      </c>
      <c r="F396" s="257">
        <v>147248000</v>
      </c>
      <c r="G396" s="257">
        <v>147248000</v>
      </c>
      <c r="H396" s="257">
        <v>0</v>
      </c>
      <c r="I396" s="257">
        <v>16197.33</v>
      </c>
      <c r="J396" s="257">
        <v>0</v>
      </c>
      <c r="K396" s="257">
        <v>0</v>
      </c>
      <c r="L396" s="257">
        <v>0</v>
      </c>
      <c r="M396" s="257">
        <v>147231802.66999999</v>
      </c>
      <c r="N396" s="257">
        <v>147231802.66999999</v>
      </c>
    </row>
    <row r="397" spans="1:14" s="143" customFormat="1" x14ac:dyDescent="0.25">
      <c r="A397" s="143" t="s">
        <v>334</v>
      </c>
      <c r="B397" s="143" t="s">
        <v>238</v>
      </c>
      <c r="C397" s="143" t="s">
        <v>239</v>
      </c>
      <c r="D397" s="143" t="s">
        <v>85</v>
      </c>
      <c r="E397" s="257">
        <v>69415579</v>
      </c>
      <c r="F397" s="257">
        <v>69415579</v>
      </c>
      <c r="G397" s="257">
        <v>69415578.75</v>
      </c>
      <c r="H397" s="257">
        <v>0</v>
      </c>
      <c r="I397" s="257">
        <v>8448600</v>
      </c>
      <c r="J397" s="257">
        <v>0</v>
      </c>
      <c r="K397" s="257">
        <v>2306404</v>
      </c>
      <c r="L397" s="257">
        <v>2306404</v>
      </c>
      <c r="M397" s="257">
        <v>58660575</v>
      </c>
      <c r="N397" s="257">
        <v>58660574.75</v>
      </c>
    </row>
    <row r="398" spans="1:14" s="143" customFormat="1" x14ac:dyDescent="0.25">
      <c r="A398" s="143" t="s">
        <v>334</v>
      </c>
      <c r="B398" s="143" t="s">
        <v>282</v>
      </c>
      <c r="C398" s="143" t="s">
        <v>283</v>
      </c>
      <c r="D398" s="143" t="s">
        <v>85</v>
      </c>
      <c r="E398" s="257">
        <v>21137000</v>
      </c>
      <c r="F398" s="257">
        <v>21137000</v>
      </c>
      <c r="G398" s="257">
        <v>21137000</v>
      </c>
      <c r="H398" s="257">
        <v>0</v>
      </c>
      <c r="I398" s="257">
        <v>0</v>
      </c>
      <c r="J398" s="257">
        <v>0</v>
      </c>
      <c r="K398" s="257">
        <v>13982594.789999999</v>
      </c>
      <c r="L398" s="257">
        <v>13982594.789999999</v>
      </c>
      <c r="M398" s="257">
        <v>7154405.21</v>
      </c>
      <c r="N398" s="257">
        <v>7154405.21</v>
      </c>
    </row>
    <row r="399" spans="1:14" s="143" customFormat="1" x14ac:dyDescent="0.25">
      <c r="A399" s="143" t="s">
        <v>334</v>
      </c>
      <c r="B399" s="143" t="s">
        <v>326</v>
      </c>
      <c r="C399" s="143" t="s">
        <v>327</v>
      </c>
      <c r="D399" s="143" t="s">
        <v>85</v>
      </c>
      <c r="E399" s="257">
        <v>29458000</v>
      </c>
      <c r="F399" s="257">
        <v>29458000</v>
      </c>
      <c r="G399" s="257">
        <v>29458000</v>
      </c>
      <c r="H399" s="257">
        <v>0</v>
      </c>
      <c r="I399" s="257">
        <v>6983613</v>
      </c>
      <c r="J399" s="257">
        <v>2383665.9300000002</v>
      </c>
      <c r="K399" s="257">
        <v>7117265.5599999996</v>
      </c>
      <c r="L399" s="257">
        <v>7117265.5599999996</v>
      </c>
      <c r="M399" s="257">
        <v>12973455.51</v>
      </c>
      <c r="N399" s="257">
        <v>12973455.51</v>
      </c>
    </row>
    <row r="400" spans="1:14" s="143" customFormat="1" x14ac:dyDescent="0.25">
      <c r="A400" s="143" t="s">
        <v>334</v>
      </c>
      <c r="B400" s="143" t="s">
        <v>240</v>
      </c>
      <c r="C400" s="143" t="s">
        <v>241</v>
      </c>
      <c r="D400" s="143" t="s">
        <v>85</v>
      </c>
      <c r="E400" s="257">
        <v>5405000</v>
      </c>
      <c r="F400" s="257">
        <v>5405000</v>
      </c>
      <c r="G400" s="257">
        <v>5405000</v>
      </c>
      <c r="H400" s="257">
        <v>0</v>
      </c>
      <c r="I400" s="257">
        <v>3981450</v>
      </c>
      <c r="J400" s="257">
        <v>0</v>
      </c>
      <c r="K400" s="257">
        <v>0</v>
      </c>
      <c r="L400" s="257">
        <v>0</v>
      </c>
      <c r="M400" s="257">
        <v>1423550</v>
      </c>
      <c r="N400" s="257">
        <v>1423550</v>
      </c>
    </row>
    <row r="401" spans="1:14" s="143" customFormat="1" x14ac:dyDescent="0.25">
      <c r="A401" s="143" t="s">
        <v>334</v>
      </c>
      <c r="B401" s="143" t="s">
        <v>242</v>
      </c>
      <c r="C401" s="143" t="s">
        <v>243</v>
      </c>
      <c r="D401" s="143" t="s">
        <v>85</v>
      </c>
      <c r="E401" s="257">
        <v>289362000</v>
      </c>
      <c r="F401" s="257">
        <v>289362000</v>
      </c>
      <c r="G401" s="257">
        <v>209861711</v>
      </c>
      <c r="H401" s="257">
        <v>0</v>
      </c>
      <c r="I401" s="257">
        <v>13804479.210000001</v>
      </c>
      <c r="J401" s="257">
        <v>0</v>
      </c>
      <c r="K401" s="257">
        <v>45486812.109999999</v>
      </c>
      <c r="L401" s="257">
        <v>45486812.109999999</v>
      </c>
      <c r="M401" s="257">
        <v>230070708.68000001</v>
      </c>
      <c r="N401" s="257">
        <v>150570419.68000001</v>
      </c>
    </row>
    <row r="402" spans="1:14" s="143" customFormat="1" x14ac:dyDescent="0.25">
      <c r="A402" s="143" t="s">
        <v>334</v>
      </c>
      <c r="B402" s="143" t="s">
        <v>328</v>
      </c>
      <c r="C402" s="143" t="s">
        <v>329</v>
      </c>
      <c r="D402" s="143" t="s">
        <v>85</v>
      </c>
      <c r="E402" s="257">
        <v>8088000</v>
      </c>
      <c r="F402" s="257">
        <v>1754053148</v>
      </c>
      <c r="G402" s="257">
        <v>1754053148</v>
      </c>
      <c r="H402" s="257">
        <v>0</v>
      </c>
      <c r="I402" s="257">
        <v>446858543.88</v>
      </c>
      <c r="J402" s="257">
        <v>194944842.94999999</v>
      </c>
      <c r="K402" s="257">
        <v>2021999</v>
      </c>
      <c r="L402" s="257">
        <v>1347999</v>
      </c>
      <c r="M402" s="257">
        <v>1110227762.1700001</v>
      </c>
      <c r="N402" s="257">
        <v>1110227762.1700001</v>
      </c>
    </row>
    <row r="403" spans="1:14" s="143" customFormat="1" x14ac:dyDescent="0.25">
      <c r="A403" s="143" t="s">
        <v>334</v>
      </c>
      <c r="B403" s="143" t="s">
        <v>330</v>
      </c>
      <c r="C403" s="143" t="s">
        <v>331</v>
      </c>
      <c r="D403" s="143" t="s">
        <v>85</v>
      </c>
      <c r="E403" s="257">
        <v>0</v>
      </c>
      <c r="F403" s="257">
        <v>1745965148</v>
      </c>
      <c r="G403" s="257">
        <v>1745965148</v>
      </c>
      <c r="H403" s="257">
        <v>0</v>
      </c>
      <c r="I403" s="257">
        <v>446858543.88</v>
      </c>
      <c r="J403" s="257">
        <v>194944842.94999999</v>
      </c>
      <c r="K403" s="257">
        <v>0</v>
      </c>
      <c r="L403" s="257">
        <v>0</v>
      </c>
      <c r="M403" s="257">
        <v>1104161761.1700001</v>
      </c>
      <c r="N403" s="257">
        <v>1104161761.1700001</v>
      </c>
    </row>
    <row r="404" spans="1:14" s="143" customFormat="1" x14ac:dyDescent="0.25">
      <c r="A404" s="143" t="s">
        <v>334</v>
      </c>
      <c r="B404" s="143" t="s">
        <v>358</v>
      </c>
      <c r="C404" s="143" t="s">
        <v>359</v>
      </c>
      <c r="D404" s="143" t="s">
        <v>85</v>
      </c>
      <c r="E404" s="257">
        <v>8088000</v>
      </c>
      <c r="F404" s="257">
        <v>8088000</v>
      </c>
      <c r="G404" s="257">
        <v>8088000</v>
      </c>
      <c r="H404" s="257">
        <v>0</v>
      </c>
      <c r="I404" s="257">
        <v>0</v>
      </c>
      <c r="J404" s="257">
        <v>0</v>
      </c>
      <c r="K404" s="257">
        <v>2021999</v>
      </c>
      <c r="L404" s="257">
        <v>1347999</v>
      </c>
      <c r="M404" s="257">
        <v>6066001</v>
      </c>
      <c r="N404" s="257">
        <v>6066001</v>
      </c>
    </row>
    <row r="405" spans="1:14" s="143" customFormat="1" x14ac:dyDescent="0.25">
      <c r="A405" s="143" t="s">
        <v>334</v>
      </c>
      <c r="B405" s="143" t="s">
        <v>244</v>
      </c>
      <c r="C405" s="143" t="s">
        <v>245</v>
      </c>
      <c r="D405" s="143" t="s">
        <v>85</v>
      </c>
      <c r="E405" s="257">
        <v>208494000</v>
      </c>
      <c r="F405" s="257">
        <v>208494000</v>
      </c>
      <c r="G405" s="257">
        <v>104247000</v>
      </c>
      <c r="H405" s="257">
        <v>0</v>
      </c>
      <c r="I405" s="257">
        <v>1000000</v>
      </c>
      <c r="J405" s="257">
        <v>0</v>
      </c>
      <c r="K405" s="257">
        <v>2472139.2000000002</v>
      </c>
      <c r="L405" s="257">
        <v>2472139.2000000002</v>
      </c>
      <c r="M405" s="257">
        <v>205021860.80000001</v>
      </c>
      <c r="N405" s="257">
        <v>100774860.8</v>
      </c>
    </row>
    <row r="406" spans="1:14" s="143" customFormat="1" x14ac:dyDescent="0.25">
      <c r="A406" s="143" t="s">
        <v>334</v>
      </c>
      <c r="B406" s="143" t="s">
        <v>246</v>
      </c>
      <c r="C406" s="143" t="s">
        <v>247</v>
      </c>
      <c r="D406" s="143" t="s">
        <v>85</v>
      </c>
      <c r="E406" s="257">
        <v>208494000</v>
      </c>
      <c r="F406" s="257">
        <v>208494000</v>
      </c>
      <c r="G406" s="257">
        <v>104247000</v>
      </c>
      <c r="H406" s="257">
        <v>0</v>
      </c>
      <c r="I406" s="257">
        <v>1000000</v>
      </c>
      <c r="J406" s="257">
        <v>0</v>
      </c>
      <c r="K406" s="257">
        <v>2472139.2000000002</v>
      </c>
      <c r="L406" s="257">
        <v>2472139.2000000002</v>
      </c>
      <c r="M406" s="257">
        <v>205021860.80000001</v>
      </c>
      <c r="N406" s="257">
        <v>100774860.8</v>
      </c>
    </row>
    <row r="407" spans="1:14" s="143" customFormat="1" x14ac:dyDescent="0.25">
      <c r="A407" s="143" t="s">
        <v>334</v>
      </c>
      <c r="B407" s="143" t="s">
        <v>248</v>
      </c>
      <c r="C407" s="143" t="s">
        <v>249</v>
      </c>
      <c r="D407" s="143" t="s">
        <v>69</v>
      </c>
      <c r="E407" s="257">
        <v>11597046000</v>
      </c>
      <c r="F407" s="257">
        <v>11597046000</v>
      </c>
      <c r="G407" s="257">
        <v>4725509206.25</v>
      </c>
      <c r="H407" s="257">
        <v>0</v>
      </c>
      <c r="I407" s="257">
        <v>3675380345.54</v>
      </c>
      <c r="J407" s="257">
        <v>0</v>
      </c>
      <c r="K407" s="257">
        <v>523020099.16000003</v>
      </c>
      <c r="L407" s="257">
        <v>523020099.16000003</v>
      </c>
      <c r="M407" s="257">
        <v>7398645555.3000002</v>
      </c>
      <c r="N407" s="257">
        <v>527108761.55000001</v>
      </c>
    </row>
    <row r="408" spans="1:14" s="143" customFormat="1" x14ac:dyDescent="0.25">
      <c r="A408" s="143" t="s">
        <v>334</v>
      </c>
      <c r="B408" s="143" t="s">
        <v>250</v>
      </c>
      <c r="C408" s="143" t="s">
        <v>251</v>
      </c>
      <c r="D408" s="143" t="s">
        <v>69</v>
      </c>
      <c r="E408" s="257">
        <v>9955805000</v>
      </c>
      <c r="F408" s="257">
        <v>9955805000</v>
      </c>
      <c r="G408" s="257">
        <v>3895805000</v>
      </c>
      <c r="H408" s="257">
        <v>0</v>
      </c>
      <c r="I408" s="257">
        <v>3642539846</v>
      </c>
      <c r="J408" s="257">
        <v>0</v>
      </c>
      <c r="K408" s="257">
        <v>233265154</v>
      </c>
      <c r="L408" s="257">
        <v>233265154</v>
      </c>
      <c r="M408" s="257">
        <v>6080000000</v>
      </c>
      <c r="N408" s="257">
        <v>20000000</v>
      </c>
    </row>
    <row r="409" spans="1:14" s="143" customFormat="1" x14ac:dyDescent="0.25">
      <c r="A409" s="143" t="s">
        <v>334</v>
      </c>
      <c r="B409" s="143" t="s">
        <v>360</v>
      </c>
      <c r="C409" s="143" t="s">
        <v>361</v>
      </c>
      <c r="D409" s="143" t="s">
        <v>69</v>
      </c>
      <c r="E409" s="257">
        <v>80000000</v>
      </c>
      <c r="F409" s="257">
        <v>80000000</v>
      </c>
      <c r="G409" s="257">
        <v>20000000</v>
      </c>
      <c r="H409" s="257">
        <v>0</v>
      </c>
      <c r="I409" s="257">
        <v>0</v>
      </c>
      <c r="J409" s="257">
        <v>0</v>
      </c>
      <c r="K409" s="257">
        <v>0</v>
      </c>
      <c r="L409" s="257">
        <v>0</v>
      </c>
      <c r="M409" s="257">
        <v>80000000</v>
      </c>
      <c r="N409" s="257">
        <v>20000000</v>
      </c>
    </row>
    <row r="410" spans="1:14" s="143" customFormat="1" x14ac:dyDescent="0.25">
      <c r="A410" s="143" t="s">
        <v>334</v>
      </c>
      <c r="B410" s="143" t="s">
        <v>362</v>
      </c>
      <c r="C410" s="143" t="s">
        <v>257</v>
      </c>
      <c r="D410" s="143" t="s">
        <v>69</v>
      </c>
      <c r="E410" s="257">
        <v>673849000</v>
      </c>
      <c r="F410" s="257">
        <v>673849000</v>
      </c>
      <c r="G410" s="257">
        <v>673849000</v>
      </c>
      <c r="H410" s="257">
        <v>0</v>
      </c>
      <c r="I410" s="257">
        <v>479722294</v>
      </c>
      <c r="J410" s="257">
        <v>0</v>
      </c>
      <c r="K410" s="257">
        <v>194126706</v>
      </c>
      <c r="L410" s="257">
        <v>194126706</v>
      </c>
      <c r="M410" s="257">
        <v>0</v>
      </c>
      <c r="N410" s="257">
        <v>0</v>
      </c>
    </row>
    <row r="411" spans="1:14" s="143" customFormat="1" x14ac:dyDescent="0.25">
      <c r="A411" s="143" t="s">
        <v>334</v>
      </c>
      <c r="B411" s="143" t="s">
        <v>363</v>
      </c>
      <c r="C411" s="143" t="s">
        <v>259</v>
      </c>
      <c r="D411" s="143" t="s">
        <v>69</v>
      </c>
      <c r="E411" s="257">
        <v>135856000</v>
      </c>
      <c r="F411" s="257">
        <v>135856000</v>
      </c>
      <c r="G411" s="257">
        <v>135856000</v>
      </c>
      <c r="H411" s="257">
        <v>0</v>
      </c>
      <c r="I411" s="257">
        <v>96717552</v>
      </c>
      <c r="J411" s="257">
        <v>0</v>
      </c>
      <c r="K411" s="257">
        <v>39138448</v>
      </c>
      <c r="L411" s="257">
        <v>39138448</v>
      </c>
      <c r="M411" s="257">
        <v>0</v>
      </c>
      <c r="N411" s="257">
        <v>0</v>
      </c>
    </row>
    <row r="412" spans="1:14" s="143" customFormat="1" x14ac:dyDescent="0.25">
      <c r="A412" s="143" t="s">
        <v>334</v>
      </c>
      <c r="B412" s="143" t="s">
        <v>364</v>
      </c>
      <c r="C412" s="143" t="s">
        <v>365</v>
      </c>
      <c r="D412" s="143" t="s">
        <v>85</v>
      </c>
      <c r="E412" s="257">
        <v>9066100000</v>
      </c>
      <c r="F412" s="257">
        <v>9066100000</v>
      </c>
      <c r="G412" s="257">
        <v>3066100000</v>
      </c>
      <c r="H412" s="257">
        <v>0</v>
      </c>
      <c r="I412" s="257">
        <v>3066100000</v>
      </c>
      <c r="J412" s="257">
        <v>0</v>
      </c>
      <c r="K412" s="257">
        <v>0</v>
      </c>
      <c r="L412" s="257">
        <v>0</v>
      </c>
      <c r="M412" s="257">
        <v>6000000000</v>
      </c>
      <c r="N412" s="257">
        <v>0</v>
      </c>
    </row>
    <row r="413" spans="1:14" s="143" customFormat="1" x14ac:dyDescent="0.25">
      <c r="A413" s="143" t="s">
        <v>334</v>
      </c>
      <c r="B413" s="143" t="s">
        <v>366</v>
      </c>
      <c r="C413" s="143" t="s">
        <v>367</v>
      </c>
      <c r="D413" s="143" t="s">
        <v>69</v>
      </c>
      <c r="E413" s="257">
        <v>550000000</v>
      </c>
      <c r="F413" s="257">
        <v>550000000</v>
      </c>
      <c r="G413" s="257">
        <v>275000000</v>
      </c>
      <c r="H413" s="257">
        <v>0</v>
      </c>
      <c r="I413" s="257">
        <v>15000000</v>
      </c>
      <c r="J413" s="257">
        <v>0</v>
      </c>
      <c r="K413" s="257">
        <v>90000000</v>
      </c>
      <c r="L413" s="257">
        <v>90000000</v>
      </c>
      <c r="M413" s="257">
        <v>445000000</v>
      </c>
      <c r="N413" s="257">
        <v>170000000</v>
      </c>
    </row>
    <row r="414" spans="1:14" s="143" customFormat="1" x14ac:dyDescent="0.25">
      <c r="A414" s="143" t="s">
        <v>334</v>
      </c>
      <c r="B414" s="143" t="s">
        <v>368</v>
      </c>
      <c r="C414" s="143" t="s">
        <v>369</v>
      </c>
      <c r="D414" s="143" t="s">
        <v>69</v>
      </c>
      <c r="E414" s="257">
        <v>550000000</v>
      </c>
      <c r="F414" s="257">
        <v>550000000</v>
      </c>
      <c r="G414" s="257">
        <v>275000000</v>
      </c>
      <c r="H414" s="257">
        <v>0</v>
      </c>
      <c r="I414" s="257">
        <v>15000000</v>
      </c>
      <c r="J414" s="257">
        <v>0</v>
      </c>
      <c r="K414" s="257">
        <v>90000000</v>
      </c>
      <c r="L414" s="257">
        <v>90000000</v>
      </c>
      <c r="M414" s="257">
        <v>445000000</v>
      </c>
      <c r="N414" s="257">
        <v>170000000</v>
      </c>
    </row>
    <row r="415" spans="1:14" s="143" customFormat="1" x14ac:dyDescent="0.25">
      <c r="A415" s="143" t="s">
        <v>334</v>
      </c>
      <c r="B415" s="143" t="s">
        <v>260</v>
      </c>
      <c r="C415" s="143" t="s">
        <v>261</v>
      </c>
      <c r="D415" s="143" t="s">
        <v>69</v>
      </c>
      <c r="E415" s="257">
        <v>1002889000</v>
      </c>
      <c r="F415" s="257">
        <v>1002889000</v>
      </c>
      <c r="G415" s="257">
        <v>478028206.25</v>
      </c>
      <c r="H415" s="257">
        <v>0</v>
      </c>
      <c r="I415" s="257">
        <v>1502658.82</v>
      </c>
      <c r="J415" s="257">
        <v>0</v>
      </c>
      <c r="K415" s="257">
        <v>137911265.38</v>
      </c>
      <c r="L415" s="257">
        <v>137911265.38</v>
      </c>
      <c r="M415" s="257">
        <v>863475075.79999995</v>
      </c>
      <c r="N415" s="257">
        <v>338614282.05000001</v>
      </c>
    </row>
    <row r="416" spans="1:14" s="143" customFormat="1" x14ac:dyDescent="0.25">
      <c r="A416" s="143" t="s">
        <v>334</v>
      </c>
      <c r="B416" s="143" t="s">
        <v>262</v>
      </c>
      <c r="C416" s="143" t="s">
        <v>263</v>
      </c>
      <c r="D416" s="143" t="s">
        <v>69</v>
      </c>
      <c r="E416" s="257">
        <v>657462000</v>
      </c>
      <c r="F416" s="257">
        <v>657462000</v>
      </c>
      <c r="G416" s="257">
        <v>259216115</v>
      </c>
      <c r="H416" s="257">
        <v>0</v>
      </c>
      <c r="I416" s="257">
        <v>1502658.82</v>
      </c>
      <c r="J416" s="257">
        <v>0</v>
      </c>
      <c r="K416" s="257">
        <v>58590514.18</v>
      </c>
      <c r="L416" s="257">
        <v>58590514.18</v>
      </c>
      <c r="M416" s="257">
        <v>597368827</v>
      </c>
      <c r="N416" s="257">
        <v>199122942</v>
      </c>
    </row>
    <row r="417" spans="1:14" s="143" customFormat="1" x14ac:dyDescent="0.25">
      <c r="A417" s="143" t="s">
        <v>334</v>
      </c>
      <c r="B417" s="143" t="s">
        <v>264</v>
      </c>
      <c r="C417" s="143" t="s">
        <v>265</v>
      </c>
      <c r="D417" s="143" t="s">
        <v>69</v>
      </c>
      <c r="E417" s="257">
        <v>345427000</v>
      </c>
      <c r="F417" s="257">
        <v>345427000</v>
      </c>
      <c r="G417" s="257">
        <v>218812091.25</v>
      </c>
      <c r="H417" s="257">
        <v>0</v>
      </c>
      <c r="I417" s="257">
        <v>0</v>
      </c>
      <c r="J417" s="257">
        <v>0</v>
      </c>
      <c r="K417" s="257">
        <v>79320751.200000003</v>
      </c>
      <c r="L417" s="257">
        <v>79320751.200000003</v>
      </c>
      <c r="M417" s="257">
        <v>266106248.80000001</v>
      </c>
      <c r="N417" s="257">
        <v>139491340.05000001</v>
      </c>
    </row>
    <row r="418" spans="1:14" s="143" customFormat="1" x14ac:dyDescent="0.25">
      <c r="A418" s="143" t="s">
        <v>334</v>
      </c>
      <c r="B418" s="143" t="s">
        <v>286</v>
      </c>
      <c r="C418" s="143" t="s">
        <v>287</v>
      </c>
      <c r="D418" s="143" t="s">
        <v>69</v>
      </c>
      <c r="E418" s="257">
        <v>88352000</v>
      </c>
      <c r="F418" s="257">
        <v>88352000</v>
      </c>
      <c r="G418" s="257">
        <v>76676000</v>
      </c>
      <c r="H418" s="257">
        <v>0</v>
      </c>
      <c r="I418" s="257">
        <v>16337840.720000001</v>
      </c>
      <c r="J418" s="257">
        <v>0</v>
      </c>
      <c r="K418" s="257">
        <v>61843679.780000001</v>
      </c>
      <c r="L418" s="257">
        <v>61843679.780000001</v>
      </c>
      <c r="M418" s="257">
        <v>10170479.5</v>
      </c>
      <c r="N418" s="593">
        <v>-1505520.5</v>
      </c>
    </row>
    <row r="419" spans="1:14" s="143" customFormat="1" x14ac:dyDescent="0.25">
      <c r="A419" s="143" t="s">
        <v>334</v>
      </c>
      <c r="B419" s="143" t="s">
        <v>288</v>
      </c>
      <c r="C419" s="143" t="s">
        <v>289</v>
      </c>
      <c r="D419" s="143" t="s">
        <v>69</v>
      </c>
      <c r="E419" s="257">
        <v>65000000</v>
      </c>
      <c r="F419" s="257">
        <v>65000000</v>
      </c>
      <c r="G419" s="257">
        <v>65000000</v>
      </c>
      <c r="H419" s="257">
        <v>0</v>
      </c>
      <c r="I419" s="257">
        <v>3156320.22</v>
      </c>
      <c r="J419" s="257">
        <v>0</v>
      </c>
      <c r="K419" s="257">
        <v>61843679.780000001</v>
      </c>
      <c r="L419" s="257">
        <v>61843679.780000001</v>
      </c>
      <c r="M419" s="257">
        <v>0</v>
      </c>
      <c r="N419" s="257">
        <v>0</v>
      </c>
    </row>
    <row r="420" spans="1:14" s="143" customFormat="1" x14ac:dyDescent="0.25">
      <c r="A420" s="143" t="s">
        <v>334</v>
      </c>
      <c r="B420" s="143" t="s">
        <v>370</v>
      </c>
      <c r="C420" s="143" t="s">
        <v>371</v>
      </c>
      <c r="D420" s="143" t="s">
        <v>69</v>
      </c>
      <c r="E420" s="257">
        <v>23352000</v>
      </c>
      <c r="F420" s="257">
        <v>23352000</v>
      </c>
      <c r="G420" s="257">
        <v>11676000</v>
      </c>
      <c r="H420" s="257">
        <v>0</v>
      </c>
      <c r="I420" s="257">
        <v>13181520.5</v>
      </c>
      <c r="J420" s="257">
        <v>0</v>
      </c>
      <c r="K420" s="257">
        <v>0</v>
      </c>
      <c r="L420" s="257">
        <v>0</v>
      </c>
      <c r="M420" s="257">
        <v>10170479.5</v>
      </c>
      <c r="N420" s="593">
        <v>-1505520.5</v>
      </c>
    </row>
    <row r="421" spans="1:14" s="143" customFormat="1" x14ac:dyDescent="0.25">
      <c r="A421" s="143" t="s">
        <v>334</v>
      </c>
      <c r="B421" s="143" t="s">
        <v>372</v>
      </c>
      <c r="C421" s="143" t="s">
        <v>373</v>
      </c>
      <c r="D421" s="143" t="s">
        <v>85</v>
      </c>
      <c r="E421" s="257">
        <v>573100000</v>
      </c>
      <c r="F421" s="257">
        <v>827134852</v>
      </c>
      <c r="G421" s="257">
        <v>254697352</v>
      </c>
      <c r="H421" s="257">
        <v>0</v>
      </c>
      <c r="I421" s="257">
        <v>0</v>
      </c>
      <c r="J421" s="257">
        <v>0</v>
      </c>
      <c r="K421" s="257">
        <v>0</v>
      </c>
      <c r="L421" s="257">
        <v>0</v>
      </c>
      <c r="M421" s="257">
        <v>827134852</v>
      </c>
      <c r="N421" s="257">
        <v>254697352</v>
      </c>
    </row>
    <row r="422" spans="1:14" s="143" customFormat="1" x14ac:dyDescent="0.25">
      <c r="A422" s="143" t="s">
        <v>334</v>
      </c>
      <c r="B422" s="143" t="s">
        <v>374</v>
      </c>
      <c r="C422" s="143" t="s">
        <v>375</v>
      </c>
      <c r="D422" s="143" t="s">
        <v>85</v>
      </c>
      <c r="E422" s="257">
        <v>573100000</v>
      </c>
      <c r="F422" s="257">
        <v>827134852</v>
      </c>
      <c r="G422" s="257">
        <v>254697352</v>
      </c>
      <c r="H422" s="257">
        <v>0</v>
      </c>
      <c r="I422" s="257">
        <v>0</v>
      </c>
      <c r="J422" s="257">
        <v>0</v>
      </c>
      <c r="K422" s="257">
        <v>0</v>
      </c>
      <c r="L422" s="257">
        <v>0</v>
      </c>
      <c r="M422" s="257">
        <v>827134852</v>
      </c>
      <c r="N422" s="257">
        <v>254697352</v>
      </c>
    </row>
    <row r="423" spans="1:14" s="143" customFormat="1" x14ac:dyDescent="0.25">
      <c r="A423" s="143" t="s">
        <v>334</v>
      </c>
      <c r="B423" s="143" t="s">
        <v>376</v>
      </c>
      <c r="C423" s="143" t="s">
        <v>377</v>
      </c>
      <c r="D423" s="143" t="s">
        <v>85</v>
      </c>
      <c r="E423" s="257">
        <v>573100000</v>
      </c>
      <c r="F423" s="257">
        <v>827134852</v>
      </c>
      <c r="G423" s="257">
        <v>254697352</v>
      </c>
      <c r="H423" s="257">
        <v>0</v>
      </c>
      <c r="I423" s="257">
        <v>0</v>
      </c>
      <c r="J423" s="257">
        <v>0</v>
      </c>
      <c r="K423" s="257">
        <v>0</v>
      </c>
      <c r="L423" s="257">
        <v>0</v>
      </c>
      <c r="M423" s="257">
        <v>827134852</v>
      </c>
      <c r="N423" s="257">
        <v>254697352</v>
      </c>
    </row>
    <row r="424" spans="1:14" s="143" customFormat="1" x14ac:dyDescent="0.25">
      <c r="A424" s="143">
        <v>214784</v>
      </c>
      <c r="D424" s="143" t="s">
        <v>69</v>
      </c>
      <c r="E424" s="257">
        <v>13837611334</v>
      </c>
      <c r="F424" s="257">
        <v>13837611334</v>
      </c>
      <c r="G424" s="257">
        <v>13672929203</v>
      </c>
      <c r="H424" s="257">
        <v>0</v>
      </c>
      <c r="I424" s="257">
        <v>1684313311.79</v>
      </c>
      <c r="J424" s="257">
        <v>0</v>
      </c>
      <c r="K424" s="257">
        <v>3588958973.9200001</v>
      </c>
      <c r="L424" s="257">
        <v>3588958973.9200001</v>
      </c>
      <c r="M424" s="257">
        <v>8564339048.29</v>
      </c>
      <c r="N424" s="257">
        <v>8399656917.29</v>
      </c>
    </row>
    <row r="425" spans="1:14" s="143" customFormat="1" x14ac:dyDescent="0.25">
      <c r="A425" s="143" t="s">
        <v>378</v>
      </c>
      <c r="B425" s="143" t="s">
        <v>71</v>
      </c>
      <c r="C425" s="143" t="s">
        <v>72</v>
      </c>
      <c r="D425" s="143" t="s">
        <v>69</v>
      </c>
      <c r="E425" s="257">
        <v>13313316000</v>
      </c>
      <c r="F425" s="257">
        <v>13313316000</v>
      </c>
      <c r="G425" s="257">
        <v>13313316000</v>
      </c>
      <c r="H425" s="257">
        <v>0</v>
      </c>
      <c r="I425" s="257">
        <v>1519121214.6400001</v>
      </c>
      <c r="J425" s="257">
        <v>0</v>
      </c>
      <c r="K425" s="257">
        <v>3515903742.27</v>
      </c>
      <c r="L425" s="257">
        <v>3515903742.27</v>
      </c>
      <c r="M425" s="257">
        <v>8278291043.0900002</v>
      </c>
      <c r="N425" s="257">
        <v>8278291043.0900002</v>
      </c>
    </row>
    <row r="426" spans="1:14" s="143" customFormat="1" x14ac:dyDescent="0.25">
      <c r="A426" s="143" t="s">
        <v>378</v>
      </c>
      <c r="B426" s="143" t="s">
        <v>73</v>
      </c>
      <c r="C426" s="143" t="s">
        <v>74</v>
      </c>
      <c r="D426" s="143" t="s">
        <v>69</v>
      </c>
      <c r="E426" s="257">
        <v>4473382000</v>
      </c>
      <c r="F426" s="257">
        <v>4473382000</v>
      </c>
      <c r="G426" s="257">
        <v>4473382000</v>
      </c>
      <c r="H426" s="257">
        <v>0</v>
      </c>
      <c r="I426" s="257">
        <v>0</v>
      </c>
      <c r="J426" s="257">
        <v>0</v>
      </c>
      <c r="K426" s="257">
        <v>1004637882.97</v>
      </c>
      <c r="L426" s="257">
        <v>1004637882.97</v>
      </c>
      <c r="M426" s="257">
        <v>3468744117.0300002</v>
      </c>
      <c r="N426" s="257">
        <v>3468744117.0300002</v>
      </c>
    </row>
    <row r="427" spans="1:14" s="143" customFormat="1" x14ac:dyDescent="0.25">
      <c r="A427" s="143" t="s">
        <v>378</v>
      </c>
      <c r="B427" s="143" t="s">
        <v>75</v>
      </c>
      <c r="C427" s="143" t="s">
        <v>76</v>
      </c>
      <c r="D427" s="143" t="s">
        <v>69</v>
      </c>
      <c r="E427" s="257">
        <v>4473382000</v>
      </c>
      <c r="F427" s="257">
        <v>4473382000</v>
      </c>
      <c r="G427" s="257">
        <v>4473382000</v>
      </c>
      <c r="H427" s="257">
        <v>0</v>
      </c>
      <c r="I427" s="257">
        <v>0</v>
      </c>
      <c r="J427" s="257">
        <v>0</v>
      </c>
      <c r="K427" s="257">
        <v>1004637882.97</v>
      </c>
      <c r="L427" s="257">
        <v>1004637882.97</v>
      </c>
      <c r="M427" s="257">
        <v>3468744117.0300002</v>
      </c>
      <c r="N427" s="257">
        <v>3468744117.0300002</v>
      </c>
    </row>
    <row r="428" spans="1:14" s="143" customFormat="1" x14ac:dyDescent="0.25">
      <c r="A428" s="143" t="s">
        <v>378</v>
      </c>
      <c r="B428" s="143" t="s">
        <v>77</v>
      </c>
      <c r="C428" s="143" t="s">
        <v>78</v>
      </c>
      <c r="D428" s="143" t="s">
        <v>69</v>
      </c>
      <c r="E428" s="257">
        <v>6745487000</v>
      </c>
      <c r="F428" s="257">
        <v>6745487000</v>
      </c>
      <c r="G428" s="257">
        <v>6745487000</v>
      </c>
      <c r="H428" s="257">
        <v>0</v>
      </c>
      <c r="I428" s="257">
        <v>0</v>
      </c>
      <c r="J428" s="257">
        <v>0</v>
      </c>
      <c r="K428" s="257">
        <v>1935940073.9400001</v>
      </c>
      <c r="L428" s="257">
        <v>1935940073.9400001</v>
      </c>
      <c r="M428" s="257">
        <v>4809546926.0600004</v>
      </c>
      <c r="N428" s="257">
        <v>4809546926.0600004</v>
      </c>
    </row>
    <row r="429" spans="1:14" s="143" customFormat="1" x14ac:dyDescent="0.25">
      <c r="A429" s="143" t="s">
        <v>378</v>
      </c>
      <c r="B429" s="143" t="s">
        <v>79</v>
      </c>
      <c r="C429" s="143" t="s">
        <v>80</v>
      </c>
      <c r="D429" s="143" t="s">
        <v>69</v>
      </c>
      <c r="E429" s="257">
        <v>1460185000</v>
      </c>
      <c r="F429" s="257">
        <v>1460185000</v>
      </c>
      <c r="G429" s="257">
        <v>1460185000</v>
      </c>
      <c r="H429" s="257">
        <v>0</v>
      </c>
      <c r="I429" s="257">
        <v>0</v>
      </c>
      <c r="J429" s="257">
        <v>0</v>
      </c>
      <c r="K429" s="257">
        <v>330439574.81</v>
      </c>
      <c r="L429" s="257">
        <v>330439574.81</v>
      </c>
      <c r="M429" s="257">
        <v>1129745425.1900001</v>
      </c>
      <c r="N429" s="257">
        <v>1129745425.1900001</v>
      </c>
    </row>
    <row r="430" spans="1:14" s="143" customFormat="1" x14ac:dyDescent="0.25">
      <c r="A430" s="143" t="s">
        <v>378</v>
      </c>
      <c r="B430" s="143" t="s">
        <v>81</v>
      </c>
      <c r="C430" s="143" t="s">
        <v>82</v>
      </c>
      <c r="D430" s="143" t="s">
        <v>69</v>
      </c>
      <c r="E430" s="257">
        <v>2519609000</v>
      </c>
      <c r="F430" s="257">
        <v>2519609000</v>
      </c>
      <c r="G430" s="257">
        <v>2519609000</v>
      </c>
      <c r="H430" s="257">
        <v>0</v>
      </c>
      <c r="I430" s="257">
        <v>0</v>
      </c>
      <c r="J430" s="257">
        <v>0</v>
      </c>
      <c r="K430" s="257">
        <v>587138524.49000001</v>
      </c>
      <c r="L430" s="257">
        <v>587138524.49000001</v>
      </c>
      <c r="M430" s="257">
        <v>1932470475.51</v>
      </c>
      <c r="N430" s="257">
        <v>1932470475.51</v>
      </c>
    </row>
    <row r="431" spans="1:14" s="143" customFormat="1" x14ac:dyDescent="0.25">
      <c r="A431" s="143" t="s">
        <v>378</v>
      </c>
      <c r="B431" s="143" t="s">
        <v>86</v>
      </c>
      <c r="C431" s="143" t="s">
        <v>87</v>
      </c>
      <c r="D431" s="143" t="s">
        <v>69</v>
      </c>
      <c r="E431" s="257">
        <v>738904000</v>
      </c>
      <c r="F431" s="257">
        <v>738904000</v>
      </c>
      <c r="G431" s="257">
        <v>738904000</v>
      </c>
      <c r="H431" s="257">
        <v>0</v>
      </c>
      <c r="I431" s="257">
        <v>0</v>
      </c>
      <c r="J431" s="257">
        <v>0</v>
      </c>
      <c r="K431" s="257">
        <v>737016521.14999998</v>
      </c>
      <c r="L431" s="257">
        <v>737016521.14999998</v>
      </c>
      <c r="M431" s="257">
        <v>1887478.85</v>
      </c>
      <c r="N431" s="257">
        <v>1887478.85</v>
      </c>
    </row>
    <row r="432" spans="1:14" s="143" customFormat="1" x14ac:dyDescent="0.25">
      <c r="A432" s="143" t="s">
        <v>378</v>
      </c>
      <c r="B432" s="143" t="s">
        <v>88</v>
      </c>
      <c r="C432" s="143" t="s">
        <v>89</v>
      </c>
      <c r="D432" s="143" t="s">
        <v>69</v>
      </c>
      <c r="E432" s="257">
        <v>1196454000</v>
      </c>
      <c r="F432" s="257">
        <v>1196454000</v>
      </c>
      <c r="G432" s="257">
        <v>1196454000</v>
      </c>
      <c r="H432" s="257">
        <v>0</v>
      </c>
      <c r="I432" s="257">
        <v>0</v>
      </c>
      <c r="J432" s="257">
        <v>0</v>
      </c>
      <c r="K432" s="257">
        <v>281345453.49000001</v>
      </c>
      <c r="L432" s="257">
        <v>281345453.49000001</v>
      </c>
      <c r="M432" s="257">
        <v>915108546.50999999</v>
      </c>
      <c r="N432" s="257">
        <v>915108546.50999999</v>
      </c>
    </row>
    <row r="433" spans="1:14" s="143" customFormat="1" x14ac:dyDescent="0.25">
      <c r="A433" s="143" t="s">
        <v>378</v>
      </c>
      <c r="B433" s="143" t="s">
        <v>83</v>
      </c>
      <c r="C433" s="143" t="s">
        <v>84</v>
      </c>
      <c r="D433" s="143" t="s">
        <v>85</v>
      </c>
      <c r="E433" s="257">
        <v>830335000</v>
      </c>
      <c r="F433" s="257">
        <v>830335000</v>
      </c>
      <c r="G433" s="257">
        <v>830335000</v>
      </c>
      <c r="H433" s="257">
        <v>0</v>
      </c>
      <c r="I433" s="257">
        <v>0</v>
      </c>
      <c r="J433" s="257">
        <v>0</v>
      </c>
      <c r="K433" s="257">
        <v>0</v>
      </c>
      <c r="L433" s="257">
        <v>0</v>
      </c>
      <c r="M433" s="257">
        <v>830335000</v>
      </c>
      <c r="N433" s="257">
        <v>830335000</v>
      </c>
    </row>
    <row r="434" spans="1:14" s="143" customFormat="1" x14ac:dyDescent="0.25">
      <c r="A434" s="143" t="s">
        <v>378</v>
      </c>
      <c r="B434" s="143" t="s">
        <v>90</v>
      </c>
      <c r="C434" s="143" t="s">
        <v>91</v>
      </c>
      <c r="D434" s="143" t="s">
        <v>69</v>
      </c>
      <c r="E434" s="257">
        <v>1012881000</v>
      </c>
      <c r="F434" s="257">
        <v>1012881000</v>
      </c>
      <c r="G434" s="257">
        <v>1012881000</v>
      </c>
      <c r="H434" s="257">
        <v>0</v>
      </c>
      <c r="I434" s="257">
        <v>724674137</v>
      </c>
      <c r="J434" s="257">
        <v>0</v>
      </c>
      <c r="K434" s="257">
        <v>288206863</v>
      </c>
      <c r="L434" s="257">
        <v>288206863</v>
      </c>
      <c r="M434" s="257">
        <v>0</v>
      </c>
      <c r="N434" s="257">
        <v>0</v>
      </c>
    </row>
    <row r="435" spans="1:14" s="143" customFormat="1" x14ac:dyDescent="0.25">
      <c r="A435" s="143" t="s">
        <v>378</v>
      </c>
      <c r="B435" s="143" t="s">
        <v>379</v>
      </c>
      <c r="C435" s="143" t="s">
        <v>93</v>
      </c>
      <c r="D435" s="143" t="s">
        <v>69</v>
      </c>
      <c r="E435" s="257">
        <v>960939000</v>
      </c>
      <c r="F435" s="257">
        <v>960939000</v>
      </c>
      <c r="G435" s="257">
        <v>960939000</v>
      </c>
      <c r="H435" s="257">
        <v>0</v>
      </c>
      <c r="I435" s="257">
        <v>687511126</v>
      </c>
      <c r="J435" s="257">
        <v>0</v>
      </c>
      <c r="K435" s="257">
        <v>273427874</v>
      </c>
      <c r="L435" s="257">
        <v>273427874</v>
      </c>
      <c r="M435" s="257">
        <v>0</v>
      </c>
      <c r="N435" s="257">
        <v>0</v>
      </c>
    </row>
    <row r="436" spans="1:14" s="143" customFormat="1" x14ac:dyDescent="0.25">
      <c r="A436" s="143" t="s">
        <v>378</v>
      </c>
      <c r="B436" s="143" t="s">
        <v>380</v>
      </c>
      <c r="C436" s="143" t="s">
        <v>95</v>
      </c>
      <c r="D436" s="143" t="s">
        <v>69</v>
      </c>
      <c r="E436" s="257">
        <v>51942000</v>
      </c>
      <c r="F436" s="257">
        <v>51942000</v>
      </c>
      <c r="G436" s="257">
        <v>51942000</v>
      </c>
      <c r="H436" s="257">
        <v>0</v>
      </c>
      <c r="I436" s="257">
        <v>37163011</v>
      </c>
      <c r="J436" s="257">
        <v>0</v>
      </c>
      <c r="K436" s="257">
        <v>14778989</v>
      </c>
      <c r="L436" s="257">
        <v>14778989</v>
      </c>
      <c r="M436" s="257">
        <v>0</v>
      </c>
      <c r="N436" s="257">
        <v>0</v>
      </c>
    </row>
    <row r="437" spans="1:14" s="143" customFormat="1" x14ac:dyDescent="0.25">
      <c r="A437" s="143" t="s">
        <v>378</v>
      </c>
      <c r="B437" s="143" t="s">
        <v>96</v>
      </c>
      <c r="C437" s="143" t="s">
        <v>97</v>
      </c>
      <c r="D437" s="143" t="s">
        <v>69</v>
      </c>
      <c r="E437" s="257">
        <v>1081566000</v>
      </c>
      <c r="F437" s="257">
        <v>1081566000</v>
      </c>
      <c r="G437" s="257">
        <v>1081566000</v>
      </c>
      <c r="H437" s="257">
        <v>0</v>
      </c>
      <c r="I437" s="257">
        <v>794447077.63999999</v>
      </c>
      <c r="J437" s="257">
        <v>0</v>
      </c>
      <c r="K437" s="257">
        <v>287118922.36000001</v>
      </c>
      <c r="L437" s="257">
        <v>287118922.36000001</v>
      </c>
      <c r="M437" s="257">
        <v>0</v>
      </c>
      <c r="N437" s="257">
        <v>0</v>
      </c>
    </row>
    <row r="438" spans="1:14" s="143" customFormat="1" x14ac:dyDescent="0.25">
      <c r="A438" s="143" t="s">
        <v>378</v>
      </c>
      <c r="B438" s="143" t="s">
        <v>381</v>
      </c>
      <c r="C438" s="143" t="s">
        <v>99</v>
      </c>
      <c r="D438" s="143" t="s">
        <v>69</v>
      </c>
      <c r="E438" s="257">
        <v>527737000</v>
      </c>
      <c r="F438" s="257">
        <v>527737000</v>
      </c>
      <c r="G438" s="257">
        <v>527737000</v>
      </c>
      <c r="H438" s="257">
        <v>0</v>
      </c>
      <c r="I438" s="257">
        <v>399817119</v>
      </c>
      <c r="J438" s="257">
        <v>0</v>
      </c>
      <c r="K438" s="257">
        <v>127919881</v>
      </c>
      <c r="L438" s="257">
        <v>127919881</v>
      </c>
      <c r="M438" s="257">
        <v>0</v>
      </c>
      <c r="N438" s="257">
        <v>0</v>
      </c>
    </row>
    <row r="439" spans="1:14" s="143" customFormat="1" x14ac:dyDescent="0.25">
      <c r="A439" s="143" t="s">
        <v>378</v>
      </c>
      <c r="B439" s="143" t="s">
        <v>382</v>
      </c>
      <c r="C439" s="143" t="s">
        <v>101</v>
      </c>
      <c r="D439" s="143" t="s">
        <v>69</v>
      </c>
      <c r="E439" s="257">
        <v>155828000</v>
      </c>
      <c r="F439" s="257">
        <v>155828000</v>
      </c>
      <c r="G439" s="257">
        <v>155828000</v>
      </c>
      <c r="H439" s="257">
        <v>0</v>
      </c>
      <c r="I439" s="257">
        <v>111490980</v>
      </c>
      <c r="J439" s="257">
        <v>0</v>
      </c>
      <c r="K439" s="257">
        <v>44337020</v>
      </c>
      <c r="L439" s="257">
        <v>44337020</v>
      </c>
      <c r="M439" s="257">
        <v>0</v>
      </c>
      <c r="N439" s="257">
        <v>0</v>
      </c>
    </row>
    <row r="440" spans="1:14" s="143" customFormat="1" x14ac:dyDescent="0.25">
      <c r="A440" s="143" t="s">
        <v>378</v>
      </c>
      <c r="B440" s="143" t="s">
        <v>383</v>
      </c>
      <c r="C440" s="143" t="s">
        <v>103</v>
      </c>
      <c r="D440" s="143" t="s">
        <v>69</v>
      </c>
      <c r="E440" s="257">
        <v>311656000</v>
      </c>
      <c r="F440" s="257">
        <v>311656000</v>
      </c>
      <c r="G440" s="257">
        <v>311656000</v>
      </c>
      <c r="H440" s="257">
        <v>0</v>
      </c>
      <c r="I440" s="257">
        <v>222982025</v>
      </c>
      <c r="J440" s="257">
        <v>0</v>
      </c>
      <c r="K440" s="257">
        <v>88673975</v>
      </c>
      <c r="L440" s="257">
        <v>88673975</v>
      </c>
      <c r="M440" s="257">
        <v>0</v>
      </c>
      <c r="N440" s="257">
        <v>0</v>
      </c>
    </row>
    <row r="441" spans="1:14" s="143" customFormat="1" x14ac:dyDescent="0.25">
      <c r="A441" s="143" t="s">
        <v>378</v>
      </c>
      <c r="B441" s="143" t="s">
        <v>384</v>
      </c>
      <c r="C441" s="143" t="s">
        <v>385</v>
      </c>
      <c r="D441" s="143" t="s">
        <v>69</v>
      </c>
      <c r="E441" s="257">
        <v>86345000</v>
      </c>
      <c r="F441" s="257">
        <v>86345000</v>
      </c>
      <c r="G441" s="257">
        <v>86345000</v>
      </c>
      <c r="H441" s="257">
        <v>0</v>
      </c>
      <c r="I441" s="257">
        <v>60156953.640000001</v>
      </c>
      <c r="J441" s="257">
        <v>0</v>
      </c>
      <c r="K441" s="257">
        <v>26188046.359999999</v>
      </c>
      <c r="L441" s="257">
        <v>26188046.359999999</v>
      </c>
      <c r="M441" s="257">
        <v>0</v>
      </c>
      <c r="N441" s="257">
        <v>0</v>
      </c>
    </row>
    <row r="442" spans="1:14" s="143" customFormat="1" x14ac:dyDescent="0.25">
      <c r="A442" s="143" t="s">
        <v>378</v>
      </c>
      <c r="B442" s="143" t="s">
        <v>104</v>
      </c>
      <c r="C442" s="143" t="s">
        <v>105</v>
      </c>
      <c r="D442" s="143" t="s">
        <v>69</v>
      </c>
      <c r="E442" s="257">
        <v>31730334</v>
      </c>
      <c r="F442" s="257">
        <v>31730334</v>
      </c>
      <c r="G442" s="257">
        <v>31730334</v>
      </c>
      <c r="H442" s="257">
        <v>0</v>
      </c>
      <c r="I442" s="257">
        <v>410517</v>
      </c>
      <c r="J442" s="257">
        <v>0</v>
      </c>
      <c r="K442" s="257">
        <v>0</v>
      </c>
      <c r="L442" s="257">
        <v>0</v>
      </c>
      <c r="M442" s="257">
        <v>31319817</v>
      </c>
      <c r="N442" s="257">
        <v>31319817</v>
      </c>
    </row>
    <row r="443" spans="1:14" s="143" customFormat="1" x14ac:dyDescent="0.25">
      <c r="A443" s="143" t="s">
        <v>378</v>
      </c>
      <c r="B443" s="143" t="s">
        <v>150</v>
      </c>
      <c r="C443" s="143" t="s">
        <v>151</v>
      </c>
      <c r="D443" s="143" t="s">
        <v>69</v>
      </c>
      <c r="E443" s="257">
        <v>31730334</v>
      </c>
      <c r="F443" s="257">
        <v>31730334</v>
      </c>
      <c r="G443" s="257">
        <v>31730334</v>
      </c>
      <c r="H443" s="257">
        <v>0</v>
      </c>
      <c r="I443" s="257">
        <v>410517</v>
      </c>
      <c r="J443" s="257">
        <v>0</v>
      </c>
      <c r="K443" s="257">
        <v>0</v>
      </c>
      <c r="L443" s="257">
        <v>0</v>
      </c>
      <c r="M443" s="257">
        <v>31319817</v>
      </c>
      <c r="N443" s="257">
        <v>31319817</v>
      </c>
    </row>
    <row r="444" spans="1:14" s="143" customFormat="1" x14ac:dyDescent="0.25">
      <c r="A444" s="143" t="s">
        <v>378</v>
      </c>
      <c r="B444" s="143" t="s">
        <v>152</v>
      </c>
      <c r="C444" s="143" t="s">
        <v>153</v>
      </c>
      <c r="D444" s="143" t="s">
        <v>69</v>
      </c>
      <c r="E444" s="257">
        <v>31730334</v>
      </c>
      <c r="F444" s="257">
        <v>31730334</v>
      </c>
      <c r="G444" s="257">
        <v>31730334</v>
      </c>
      <c r="H444" s="257">
        <v>0</v>
      </c>
      <c r="I444" s="257">
        <v>410517</v>
      </c>
      <c r="J444" s="257">
        <v>0</v>
      </c>
      <c r="K444" s="257">
        <v>0</v>
      </c>
      <c r="L444" s="257">
        <v>0</v>
      </c>
      <c r="M444" s="257">
        <v>31319817</v>
      </c>
      <c r="N444" s="257">
        <v>31319817</v>
      </c>
    </row>
    <row r="445" spans="1:14" s="143" customFormat="1" x14ac:dyDescent="0.25">
      <c r="A445" s="143" t="s">
        <v>378</v>
      </c>
      <c r="B445" s="143" t="s">
        <v>248</v>
      </c>
      <c r="C445" s="143" t="s">
        <v>249</v>
      </c>
      <c r="D445" s="143" t="s">
        <v>69</v>
      </c>
      <c r="E445" s="257">
        <v>492565000</v>
      </c>
      <c r="F445" s="257">
        <v>492565000</v>
      </c>
      <c r="G445" s="257">
        <v>327882869</v>
      </c>
      <c r="H445" s="257">
        <v>0</v>
      </c>
      <c r="I445" s="257">
        <v>164781580.15000001</v>
      </c>
      <c r="J445" s="257">
        <v>0</v>
      </c>
      <c r="K445" s="257">
        <v>73055231.650000006</v>
      </c>
      <c r="L445" s="257">
        <v>73055231.650000006</v>
      </c>
      <c r="M445" s="257">
        <v>254728188.19999999</v>
      </c>
      <c r="N445" s="257">
        <v>90046057.200000003</v>
      </c>
    </row>
    <row r="446" spans="1:14" s="143" customFormat="1" x14ac:dyDescent="0.25">
      <c r="A446" s="143" t="s">
        <v>378</v>
      </c>
      <c r="B446" s="143" t="s">
        <v>250</v>
      </c>
      <c r="C446" s="143" t="s">
        <v>251</v>
      </c>
      <c r="D446" s="143" t="s">
        <v>69</v>
      </c>
      <c r="E446" s="257">
        <v>154788000</v>
      </c>
      <c r="F446" s="257">
        <v>154788000</v>
      </c>
      <c r="G446" s="257">
        <v>154788000</v>
      </c>
      <c r="H446" s="257">
        <v>0</v>
      </c>
      <c r="I446" s="257">
        <v>120538918.26000001</v>
      </c>
      <c r="J446" s="257">
        <v>0</v>
      </c>
      <c r="K446" s="257">
        <v>34249081.740000002</v>
      </c>
      <c r="L446" s="257">
        <v>34249081.740000002</v>
      </c>
      <c r="M446" s="257">
        <v>0</v>
      </c>
      <c r="N446" s="257">
        <v>0</v>
      </c>
    </row>
    <row r="447" spans="1:14" s="143" customFormat="1" x14ac:dyDescent="0.25">
      <c r="A447" s="143" t="s">
        <v>378</v>
      </c>
      <c r="B447" s="143" t="s">
        <v>386</v>
      </c>
      <c r="C447" s="143" t="s">
        <v>257</v>
      </c>
      <c r="D447" s="143" t="s">
        <v>69</v>
      </c>
      <c r="E447" s="257">
        <v>128817000</v>
      </c>
      <c r="F447" s="257">
        <v>128817000</v>
      </c>
      <c r="G447" s="257">
        <v>128817000</v>
      </c>
      <c r="H447" s="257">
        <v>0</v>
      </c>
      <c r="I447" s="257">
        <v>101957486.16</v>
      </c>
      <c r="J447" s="257">
        <v>0</v>
      </c>
      <c r="K447" s="257">
        <v>26859513.84</v>
      </c>
      <c r="L447" s="257">
        <v>26859513.84</v>
      </c>
      <c r="M447" s="257">
        <v>0</v>
      </c>
      <c r="N447" s="257">
        <v>0</v>
      </c>
    </row>
    <row r="448" spans="1:14" s="143" customFormat="1" x14ac:dyDescent="0.25">
      <c r="A448" s="143" t="s">
        <v>378</v>
      </c>
      <c r="B448" s="143" t="s">
        <v>387</v>
      </c>
      <c r="C448" s="143" t="s">
        <v>259</v>
      </c>
      <c r="D448" s="143" t="s">
        <v>69</v>
      </c>
      <c r="E448" s="257">
        <v>25971000</v>
      </c>
      <c r="F448" s="257">
        <v>25971000</v>
      </c>
      <c r="G448" s="257">
        <v>25971000</v>
      </c>
      <c r="H448" s="257">
        <v>0</v>
      </c>
      <c r="I448" s="257">
        <v>18581432.100000001</v>
      </c>
      <c r="J448" s="257">
        <v>0</v>
      </c>
      <c r="K448" s="257">
        <v>7389567.9000000004</v>
      </c>
      <c r="L448" s="257">
        <v>7389567.9000000004</v>
      </c>
      <c r="M448" s="257">
        <v>0</v>
      </c>
      <c r="N448" s="257">
        <v>0</v>
      </c>
    </row>
    <row r="449" spans="1:14" s="143" customFormat="1" x14ac:dyDescent="0.25">
      <c r="A449" s="143" t="s">
        <v>378</v>
      </c>
      <c r="B449" s="143" t="s">
        <v>260</v>
      </c>
      <c r="C449" s="143" t="s">
        <v>261</v>
      </c>
      <c r="D449" s="143" t="s">
        <v>69</v>
      </c>
      <c r="E449" s="257">
        <v>312777000</v>
      </c>
      <c r="F449" s="257">
        <v>312777000</v>
      </c>
      <c r="G449" s="257">
        <v>155594869</v>
      </c>
      <c r="H449" s="257">
        <v>0</v>
      </c>
      <c r="I449" s="257">
        <v>38035916.829999998</v>
      </c>
      <c r="J449" s="257">
        <v>0</v>
      </c>
      <c r="K449" s="257">
        <v>38762894.969999999</v>
      </c>
      <c r="L449" s="257">
        <v>38762894.969999999</v>
      </c>
      <c r="M449" s="257">
        <v>235978188.19999999</v>
      </c>
      <c r="N449" s="257">
        <v>78796057.200000003</v>
      </c>
    </row>
    <row r="450" spans="1:14" s="143" customFormat="1" x14ac:dyDescent="0.25">
      <c r="A450" s="143" t="s">
        <v>378</v>
      </c>
      <c r="B450" s="143" t="s">
        <v>262</v>
      </c>
      <c r="C450" s="143" t="s">
        <v>263</v>
      </c>
      <c r="D450" s="143" t="s">
        <v>69</v>
      </c>
      <c r="E450" s="257">
        <v>239389000</v>
      </c>
      <c r="F450" s="257">
        <v>239389000</v>
      </c>
      <c r="G450" s="257">
        <v>98829334</v>
      </c>
      <c r="H450" s="257">
        <v>0</v>
      </c>
      <c r="I450" s="257">
        <v>38035916.829999998</v>
      </c>
      <c r="J450" s="257">
        <v>0</v>
      </c>
      <c r="K450" s="257">
        <v>29743915.170000002</v>
      </c>
      <c r="L450" s="257">
        <v>29743915.170000002</v>
      </c>
      <c r="M450" s="257">
        <v>171609168</v>
      </c>
      <c r="N450" s="257">
        <v>31049502</v>
      </c>
    </row>
    <row r="451" spans="1:14" s="143" customFormat="1" x14ac:dyDescent="0.25">
      <c r="A451" s="143" t="s">
        <v>378</v>
      </c>
      <c r="B451" s="143" t="s">
        <v>264</v>
      </c>
      <c r="C451" s="143" t="s">
        <v>265</v>
      </c>
      <c r="D451" s="143" t="s">
        <v>69</v>
      </c>
      <c r="E451" s="257">
        <v>73388000</v>
      </c>
      <c r="F451" s="257">
        <v>73388000</v>
      </c>
      <c r="G451" s="257">
        <v>56765535</v>
      </c>
      <c r="H451" s="257">
        <v>0</v>
      </c>
      <c r="I451" s="257">
        <v>0</v>
      </c>
      <c r="J451" s="257">
        <v>0</v>
      </c>
      <c r="K451" s="257">
        <v>9018979.8000000007</v>
      </c>
      <c r="L451" s="257">
        <v>9018979.8000000007</v>
      </c>
      <c r="M451" s="257">
        <v>64369020.200000003</v>
      </c>
      <c r="N451" s="257">
        <v>47746555.200000003</v>
      </c>
    </row>
    <row r="452" spans="1:14" x14ac:dyDescent="0.25">
      <c r="A452" s="143" t="s">
        <v>378</v>
      </c>
      <c r="B452" s="143" t="s">
        <v>286</v>
      </c>
      <c r="C452" s="143" t="s">
        <v>287</v>
      </c>
      <c r="D452" s="143" t="s">
        <v>69</v>
      </c>
      <c r="E452" s="257">
        <v>25000000</v>
      </c>
      <c r="F452" s="257">
        <v>25000000</v>
      </c>
      <c r="G452" s="257">
        <v>17500000</v>
      </c>
      <c r="H452" s="257">
        <v>0</v>
      </c>
      <c r="I452" s="257">
        <v>6206745.0599999996</v>
      </c>
      <c r="J452" s="257">
        <v>0</v>
      </c>
      <c r="K452" s="257">
        <v>43254.94</v>
      </c>
      <c r="L452" s="257">
        <v>43254.94</v>
      </c>
      <c r="M452" s="257">
        <v>18750000</v>
      </c>
      <c r="N452" s="257">
        <v>11250000</v>
      </c>
    </row>
    <row r="453" spans="1:14" x14ac:dyDescent="0.25">
      <c r="A453" s="143" t="s">
        <v>378</v>
      </c>
      <c r="B453" s="143" t="s">
        <v>288</v>
      </c>
      <c r="C453" s="143" t="s">
        <v>289</v>
      </c>
      <c r="D453" s="143" t="s">
        <v>69</v>
      </c>
      <c r="E453" s="257">
        <v>10000000</v>
      </c>
      <c r="F453" s="257">
        <v>10000000</v>
      </c>
      <c r="G453" s="257">
        <v>2500000</v>
      </c>
      <c r="H453" s="257">
        <v>0</v>
      </c>
      <c r="I453" s="257">
        <v>2500000</v>
      </c>
      <c r="J453" s="257">
        <v>0</v>
      </c>
      <c r="K453" s="257">
        <v>0</v>
      </c>
      <c r="L453" s="257">
        <v>0</v>
      </c>
      <c r="M453" s="257">
        <v>7500000</v>
      </c>
      <c r="N453" s="257">
        <v>0</v>
      </c>
    </row>
    <row r="454" spans="1:14" x14ac:dyDescent="0.25">
      <c r="A454" s="143" t="s">
        <v>378</v>
      </c>
      <c r="B454" s="143" t="s">
        <v>370</v>
      </c>
      <c r="C454" s="143" t="s">
        <v>371</v>
      </c>
      <c r="D454" s="143" t="s">
        <v>69</v>
      </c>
      <c r="E454" s="257">
        <v>15000000</v>
      </c>
      <c r="F454" s="257">
        <v>15000000</v>
      </c>
      <c r="G454" s="257">
        <v>15000000</v>
      </c>
      <c r="H454" s="257">
        <v>0</v>
      </c>
      <c r="I454" s="257">
        <v>3706745.06</v>
      </c>
      <c r="J454" s="257">
        <v>0</v>
      </c>
      <c r="K454" s="257">
        <v>43254.94</v>
      </c>
      <c r="L454" s="257">
        <v>43254.94</v>
      </c>
      <c r="M454" s="257">
        <v>11250000</v>
      </c>
      <c r="N454" s="257">
        <v>11250000</v>
      </c>
    </row>
    <row r="455" spans="1:14" x14ac:dyDescent="0.25">
      <c r="A455" s="53"/>
      <c r="B455" s="53"/>
      <c r="C455" s="53"/>
      <c r="D455" s="53"/>
      <c r="E455" s="54">
        <v>675435665000</v>
      </c>
      <c r="F455" s="54">
        <v>705435665000</v>
      </c>
      <c r="G455" s="54">
        <v>599703104833.75</v>
      </c>
      <c r="H455" s="54">
        <v>48784313.299999997</v>
      </c>
      <c r="I455" s="54">
        <v>82269873632.300003</v>
      </c>
      <c r="J455" s="54">
        <v>1319269955.8</v>
      </c>
      <c r="K455" s="54">
        <v>148873758183.35001</v>
      </c>
      <c r="L455" s="54">
        <v>148233725192.5</v>
      </c>
      <c r="M455" s="54">
        <v>472923978915.25</v>
      </c>
      <c r="N455" s="54">
        <v>367191418749</v>
      </c>
    </row>
  </sheetData>
  <sheetProtection selectLockedCells="1" selectUnlockedCells="1"/>
  <conditionalFormatting sqref="K2:K451">
    <cfRule type="cellIs" dxfId="4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1"/>
  <sheetViews>
    <sheetView zoomScaleNormal="100" workbookViewId="0"/>
  </sheetViews>
  <sheetFormatPr baseColWidth="10" defaultColWidth="36.28515625" defaultRowHeight="15" x14ac:dyDescent="0.25"/>
  <cols>
    <col min="1" max="1" width="13" customWidth="1"/>
    <col min="2" max="2" width="18.140625" customWidth="1"/>
    <col min="3" max="3" width="27" customWidth="1"/>
    <col min="4" max="4" width="6.5703125" customWidth="1"/>
    <col min="5" max="5" width="18.7109375" customWidth="1"/>
    <col min="6" max="7" width="18.5703125" customWidth="1"/>
    <col min="8" max="8" width="17.42578125" customWidth="1"/>
    <col min="9" max="9" width="18.5703125" customWidth="1"/>
    <col min="10" max="10" width="20" customWidth="1"/>
    <col min="11" max="12" width="18.5703125" customWidth="1"/>
    <col min="13" max="13" width="21.5703125" customWidth="1"/>
    <col min="14" max="14" width="18.5703125" customWidth="1"/>
  </cols>
  <sheetData>
    <row r="1" spans="1:14" x14ac:dyDescent="0.25">
      <c r="A1" s="144" t="s">
        <v>52</v>
      </c>
      <c r="B1" s="144" t="s">
        <v>53</v>
      </c>
      <c r="C1" s="144" t="s">
        <v>54</v>
      </c>
      <c r="D1" s="144" t="s">
        <v>55</v>
      </c>
      <c r="E1" s="144" t="s">
        <v>56</v>
      </c>
      <c r="F1" s="144" t="s">
        <v>57</v>
      </c>
      <c r="G1" s="144" t="s">
        <v>58</v>
      </c>
      <c r="H1" s="144" t="s">
        <v>59</v>
      </c>
      <c r="I1" s="144" t="s">
        <v>60</v>
      </c>
      <c r="J1" s="144" t="s">
        <v>61</v>
      </c>
      <c r="K1" s="144" t="s">
        <v>12</v>
      </c>
      <c r="L1" s="144" t="s">
        <v>63</v>
      </c>
      <c r="M1" s="144" t="s">
        <v>65</v>
      </c>
      <c r="N1" s="144" t="s">
        <v>67</v>
      </c>
    </row>
    <row r="2" spans="1:14" s="143" customFormat="1" x14ac:dyDescent="0.25">
      <c r="A2" s="143" t="s">
        <v>68</v>
      </c>
      <c r="D2" s="143" t="s">
        <v>69</v>
      </c>
      <c r="E2" s="257">
        <v>135087133000</v>
      </c>
      <c r="F2" s="257">
        <v>135087133000</v>
      </c>
      <c r="G2" s="257">
        <v>106792131122.85001</v>
      </c>
      <c r="H2" s="257">
        <v>1229762.8999999999</v>
      </c>
      <c r="I2" s="257">
        <v>22501372742.07</v>
      </c>
      <c r="J2" s="257">
        <v>335067188.25</v>
      </c>
      <c r="K2" s="257">
        <v>12292861912.77</v>
      </c>
      <c r="L2" s="257">
        <v>11839559186.52</v>
      </c>
      <c r="M2" s="257">
        <v>99956601394.009995</v>
      </c>
      <c r="N2" s="257">
        <v>71661599516.860001</v>
      </c>
    </row>
    <row r="3" spans="1:14" s="143" customFormat="1" x14ac:dyDescent="0.25">
      <c r="A3" s="143">
        <v>214779</v>
      </c>
      <c r="D3" s="143" t="s">
        <v>69</v>
      </c>
      <c r="E3" s="257">
        <v>2519449227</v>
      </c>
      <c r="F3" s="257">
        <v>2519449227</v>
      </c>
      <c r="G3" s="257">
        <v>1712313692</v>
      </c>
      <c r="H3" s="257">
        <v>1229762.8999999999</v>
      </c>
      <c r="I3" s="257">
        <v>374694436.30000001</v>
      </c>
      <c r="J3" s="257">
        <v>84624</v>
      </c>
      <c r="K3" s="279">
        <v>242582833.88</v>
      </c>
      <c r="L3" s="257">
        <v>227020561.94999999</v>
      </c>
      <c r="M3" s="257">
        <v>1900857569.9200001</v>
      </c>
      <c r="N3" s="257">
        <v>1093722034.9200001</v>
      </c>
    </row>
    <row r="4" spans="1:14" s="143" customFormat="1" x14ac:dyDescent="0.25">
      <c r="A4" s="143" t="s">
        <v>70</v>
      </c>
      <c r="B4" s="143" t="s">
        <v>71</v>
      </c>
      <c r="C4" s="143" t="s">
        <v>72</v>
      </c>
      <c r="D4" s="143" t="s">
        <v>69</v>
      </c>
      <c r="E4" s="257">
        <v>1386097000</v>
      </c>
      <c r="F4" s="257">
        <v>1386097000</v>
      </c>
      <c r="G4" s="257">
        <v>1386097000</v>
      </c>
      <c r="H4" s="257">
        <v>0</v>
      </c>
      <c r="I4" s="257">
        <v>195574133</v>
      </c>
      <c r="J4" s="257">
        <v>0</v>
      </c>
      <c r="K4" s="257">
        <v>152451726.28999999</v>
      </c>
      <c r="L4" s="257">
        <v>152451726.28999999</v>
      </c>
      <c r="M4" s="257">
        <v>1038071140.71</v>
      </c>
      <c r="N4" s="257">
        <v>1038071140.71</v>
      </c>
    </row>
    <row r="5" spans="1:14" s="143" customFormat="1" x14ac:dyDescent="0.25">
      <c r="A5" s="143" t="s">
        <v>70</v>
      </c>
      <c r="B5" s="143" t="s">
        <v>73</v>
      </c>
      <c r="C5" s="143" t="s">
        <v>74</v>
      </c>
      <c r="D5" s="143" t="s">
        <v>69</v>
      </c>
      <c r="E5" s="257">
        <v>526394000</v>
      </c>
      <c r="F5" s="257">
        <v>526394000</v>
      </c>
      <c r="G5" s="257">
        <v>526394000</v>
      </c>
      <c r="H5" s="257">
        <v>0</v>
      </c>
      <c r="I5" s="257">
        <v>0</v>
      </c>
      <c r="J5" s="257">
        <v>0</v>
      </c>
      <c r="K5" s="257">
        <v>36228161.340000004</v>
      </c>
      <c r="L5" s="257">
        <v>36228161.340000004</v>
      </c>
      <c r="M5" s="257">
        <v>490165838.66000003</v>
      </c>
      <c r="N5" s="257">
        <v>490165838.66000003</v>
      </c>
    </row>
    <row r="6" spans="1:14" s="143" customFormat="1" x14ac:dyDescent="0.25">
      <c r="A6" s="143" t="s">
        <v>70</v>
      </c>
      <c r="B6" s="143" t="s">
        <v>75</v>
      </c>
      <c r="C6" s="143" t="s">
        <v>76</v>
      </c>
      <c r="D6" s="143" t="s">
        <v>69</v>
      </c>
      <c r="E6" s="257">
        <v>526394000</v>
      </c>
      <c r="F6" s="257">
        <v>526394000</v>
      </c>
      <c r="G6" s="257">
        <v>526394000</v>
      </c>
      <c r="H6" s="257">
        <v>0</v>
      </c>
      <c r="I6" s="257">
        <v>0</v>
      </c>
      <c r="J6" s="257">
        <v>0</v>
      </c>
      <c r="K6" s="257">
        <v>36228161.340000004</v>
      </c>
      <c r="L6" s="257">
        <v>36228161.340000004</v>
      </c>
      <c r="M6" s="257">
        <v>490165838.66000003</v>
      </c>
      <c r="N6" s="257">
        <v>490165838.66000003</v>
      </c>
    </row>
    <row r="7" spans="1:14" s="143" customFormat="1" x14ac:dyDescent="0.25">
      <c r="A7" s="143" t="s">
        <v>70</v>
      </c>
      <c r="B7" s="143" t="s">
        <v>77</v>
      </c>
      <c r="C7" s="143" t="s">
        <v>78</v>
      </c>
      <c r="D7" s="143" t="s">
        <v>69</v>
      </c>
      <c r="E7" s="257">
        <v>649722000</v>
      </c>
      <c r="F7" s="257">
        <v>649722000</v>
      </c>
      <c r="G7" s="257">
        <v>649722000</v>
      </c>
      <c r="H7" s="257">
        <v>0</v>
      </c>
      <c r="I7" s="257">
        <v>0</v>
      </c>
      <c r="J7" s="257">
        <v>0</v>
      </c>
      <c r="K7" s="257">
        <v>101816697.95</v>
      </c>
      <c r="L7" s="257">
        <v>101816697.95</v>
      </c>
      <c r="M7" s="257">
        <v>547905302.04999995</v>
      </c>
      <c r="N7" s="257">
        <v>547905302.04999995</v>
      </c>
    </row>
    <row r="8" spans="1:14" s="143" customFormat="1" x14ac:dyDescent="0.25">
      <c r="A8" s="143" t="s">
        <v>70</v>
      </c>
      <c r="B8" s="143" t="s">
        <v>79</v>
      </c>
      <c r="C8" s="143" t="s">
        <v>80</v>
      </c>
      <c r="D8" s="143" t="s">
        <v>69</v>
      </c>
      <c r="E8" s="257">
        <v>138872000</v>
      </c>
      <c r="F8" s="257">
        <v>138872000</v>
      </c>
      <c r="G8" s="257">
        <v>138872000</v>
      </c>
      <c r="H8" s="257">
        <v>0</v>
      </c>
      <c r="I8" s="257">
        <v>0</v>
      </c>
      <c r="J8" s="257">
        <v>0</v>
      </c>
      <c r="K8" s="257">
        <v>7463597.4000000004</v>
      </c>
      <c r="L8" s="257">
        <v>7463597.4000000004</v>
      </c>
      <c r="M8" s="257">
        <v>131408402.59999999</v>
      </c>
      <c r="N8" s="257">
        <v>131408402.59999999</v>
      </c>
    </row>
    <row r="9" spans="1:14" s="143" customFormat="1" x14ac:dyDescent="0.25">
      <c r="A9" s="143" t="s">
        <v>70</v>
      </c>
      <c r="B9" s="143" t="s">
        <v>81</v>
      </c>
      <c r="C9" s="143" t="s">
        <v>82</v>
      </c>
      <c r="D9" s="143" t="s">
        <v>69</v>
      </c>
      <c r="E9" s="257">
        <v>289755000</v>
      </c>
      <c r="F9" s="257">
        <v>289755000</v>
      </c>
      <c r="G9" s="257">
        <v>289755000</v>
      </c>
      <c r="H9" s="257">
        <v>0</v>
      </c>
      <c r="I9" s="257">
        <v>0</v>
      </c>
      <c r="J9" s="257">
        <v>0</v>
      </c>
      <c r="K9" s="257">
        <v>16665373.66</v>
      </c>
      <c r="L9" s="257">
        <v>16665373.66</v>
      </c>
      <c r="M9" s="257">
        <v>273089626.33999997</v>
      </c>
      <c r="N9" s="257">
        <v>273089626.33999997</v>
      </c>
    </row>
    <row r="10" spans="1:14" s="143" customFormat="1" x14ac:dyDescent="0.25">
      <c r="A10" s="143" t="s">
        <v>70</v>
      </c>
      <c r="B10" s="143" t="s">
        <v>86</v>
      </c>
      <c r="C10" s="143" t="s">
        <v>87</v>
      </c>
      <c r="D10" s="143" t="s">
        <v>69</v>
      </c>
      <c r="E10" s="257">
        <v>83881000</v>
      </c>
      <c r="F10" s="257">
        <v>83881000</v>
      </c>
      <c r="G10" s="257">
        <v>83881000</v>
      </c>
      <c r="H10" s="257">
        <v>0</v>
      </c>
      <c r="I10" s="257">
        <v>0</v>
      </c>
      <c r="J10" s="257">
        <v>0</v>
      </c>
      <c r="K10" s="257">
        <v>74682002.099999994</v>
      </c>
      <c r="L10" s="257">
        <v>74682002.099999994</v>
      </c>
      <c r="M10" s="257">
        <v>9198997.9000000004</v>
      </c>
      <c r="N10" s="257">
        <v>9198997.9000000004</v>
      </c>
    </row>
    <row r="11" spans="1:14" s="143" customFormat="1" x14ac:dyDescent="0.25">
      <c r="A11" s="143" t="s">
        <v>70</v>
      </c>
      <c r="B11" s="143" t="s">
        <v>88</v>
      </c>
      <c r="C11" s="143" t="s">
        <v>89</v>
      </c>
      <c r="D11" s="143" t="s">
        <v>69</v>
      </c>
      <c r="E11" s="257">
        <v>47407000</v>
      </c>
      <c r="F11" s="257">
        <v>47407000</v>
      </c>
      <c r="G11" s="257">
        <v>47407000</v>
      </c>
      <c r="H11" s="257">
        <v>0</v>
      </c>
      <c r="I11" s="257">
        <v>0</v>
      </c>
      <c r="J11" s="257">
        <v>0</v>
      </c>
      <c r="K11" s="257">
        <v>3005724.79</v>
      </c>
      <c r="L11" s="257">
        <v>3005724.79</v>
      </c>
      <c r="M11" s="257">
        <v>44401275.210000001</v>
      </c>
      <c r="N11" s="257">
        <v>44401275.210000001</v>
      </c>
    </row>
    <row r="12" spans="1:14" s="143" customFormat="1" x14ac:dyDescent="0.25">
      <c r="A12" s="143" t="s">
        <v>70</v>
      </c>
      <c r="B12" s="143" t="s">
        <v>83</v>
      </c>
      <c r="C12" s="143" t="s">
        <v>84</v>
      </c>
      <c r="D12" s="143" t="s">
        <v>85</v>
      </c>
      <c r="E12" s="257">
        <v>89807000</v>
      </c>
      <c r="F12" s="257">
        <v>89807000</v>
      </c>
      <c r="G12" s="257">
        <v>89807000</v>
      </c>
      <c r="H12" s="257">
        <v>0</v>
      </c>
      <c r="I12" s="257">
        <v>0</v>
      </c>
      <c r="J12" s="257">
        <v>0</v>
      </c>
      <c r="K12" s="257">
        <v>0</v>
      </c>
      <c r="L12" s="257">
        <v>0</v>
      </c>
      <c r="M12" s="257">
        <v>89807000</v>
      </c>
      <c r="N12" s="257">
        <v>89807000</v>
      </c>
    </row>
    <row r="13" spans="1:14" s="143" customFormat="1" x14ac:dyDescent="0.25">
      <c r="A13" s="143" t="s">
        <v>70</v>
      </c>
      <c r="B13" s="143" t="s">
        <v>90</v>
      </c>
      <c r="C13" s="143" t="s">
        <v>91</v>
      </c>
      <c r="D13" s="143" t="s">
        <v>69</v>
      </c>
      <c r="E13" s="257">
        <v>105914000</v>
      </c>
      <c r="F13" s="257">
        <v>105914000</v>
      </c>
      <c r="G13" s="257">
        <v>105914000</v>
      </c>
      <c r="H13" s="257">
        <v>0</v>
      </c>
      <c r="I13" s="257">
        <v>98647213</v>
      </c>
      <c r="J13" s="257">
        <v>0</v>
      </c>
      <c r="K13" s="257">
        <v>7266787</v>
      </c>
      <c r="L13" s="257">
        <v>7266787</v>
      </c>
      <c r="M13" s="257">
        <v>0</v>
      </c>
      <c r="N13" s="257">
        <v>0</v>
      </c>
    </row>
    <row r="14" spans="1:14" s="143" customFormat="1" x14ac:dyDescent="0.25">
      <c r="A14" s="143" t="s">
        <v>70</v>
      </c>
      <c r="B14" s="143" t="s">
        <v>92</v>
      </c>
      <c r="C14" s="143" t="s">
        <v>93</v>
      </c>
      <c r="D14" s="143" t="s">
        <v>69</v>
      </c>
      <c r="E14" s="257">
        <v>100483000</v>
      </c>
      <c r="F14" s="257">
        <v>100483000</v>
      </c>
      <c r="G14" s="257">
        <v>100483000</v>
      </c>
      <c r="H14" s="257">
        <v>0</v>
      </c>
      <c r="I14" s="257">
        <v>93588871</v>
      </c>
      <c r="J14" s="257">
        <v>0</v>
      </c>
      <c r="K14" s="257">
        <v>6894129</v>
      </c>
      <c r="L14" s="257">
        <v>6894129</v>
      </c>
      <c r="M14" s="257">
        <v>0</v>
      </c>
      <c r="N14" s="257">
        <v>0</v>
      </c>
    </row>
    <row r="15" spans="1:14" s="143" customFormat="1" x14ac:dyDescent="0.25">
      <c r="A15" s="143" t="s">
        <v>70</v>
      </c>
      <c r="B15" s="143" t="s">
        <v>94</v>
      </c>
      <c r="C15" s="143" t="s">
        <v>95</v>
      </c>
      <c r="D15" s="143" t="s">
        <v>69</v>
      </c>
      <c r="E15" s="257">
        <v>5431000</v>
      </c>
      <c r="F15" s="257">
        <v>5431000</v>
      </c>
      <c r="G15" s="257">
        <v>5431000</v>
      </c>
      <c r="H15" s="257">
        <v>0</v>
      </c>
      <c r="I15" s="257">
        <v>5058342</v>
      </c>
      <c r="J15" s="257">
        <v>0</v>
      </c>
      <c r="K15" s="257">
        <v>372658</v>
      </c>
      <c r="L15" s="257">
        <v>372658</v>
      </c>
      <c r="M15" s="257">
        <v>0</v>
      </c>
      <c r="N15" s="257">
        <v>0</v>
      </c>
    </row>
    <row r="16" spans="1:14" s="143" customFormat="1" x14ac:dyDescent="0.25">
      <c r="A16" s="143" t="s">
        <v>70</v>
      </c>
      <c r="B16" s="143" t="s">
        <v>96</v>
      </c>
      <c r="C16" s="143" t="s">
        <v>97</v>
      </c>
      <c r="D16" s="143" t="s">
        <v>69</v>
      </c>
      <c r="E16" s="257">
        <v>104067000</v>
      </c>
      <c r="F16" s="257">
        <v>104067000</v>
      </c>
      <c r="G16" s="257">
        <v>104067000</v>
      </c>
      <c r="H16" s="257">
        <v>0</v>
      </c>
      <c r="I16" s="257">
        <v>96926920</v>
      </c>
      <c r="J16" s="257">
        <v>0</v>
      </c>
      <c r="K16" s="257">
        <v>7140080</v>
      </c>
      <c r="L16" s="257">
        <v>7140080</v>
      </c>
      <c r="M16" s="257">
        <v>0</v>
      </c>
      <c r="N16" s="257">
        <v>0</v>
      </c>
    </row>
    <row r="17" spans="1:14" s="143" customFormat="1" x14ac:dyDescent="0.25">
      <c r="A17" s="143" t="s">
        <v>70</v>
      </c>
      <c r="B17" s="143" t="s">
        <v>98</v>
      </c>
      <c r="C17" s="143" t="s">
        <v>99</v>
      </c>
      <c r="D17" s="143" t="s">
        <v>69</v>
      </c>
      <c r="E17" s="257">
        <v>55184000</v>
      </c>
      <c r="F17" s="257">
        <v>55184000</v>
      </c>
      <c r="G17" s="257">
        <v>55184000</v>
      </c>
      <c r="H17" s="257">
        <v>0</v>
      </c>
      <c r="I17" s="257">
        <v>51397820</v>
      </c>
      <c r="J17" s="257">
        <v>0</v>
      </c>
      <c r="K17" s="257">
        <v>3786180</v>
      </c>
      <c r="L17" s="257">
        <v>3786180</v>
      </c>
      <c r="M17" s="257">
        <v>0</v>
      </c>
      <c r="N17" s="257">
        <v>0</v>
      </c>
    </row>
    <row r="18" spans="1:14" s="143" customFormat="1" x14ac:dyDescent="0.25">
      <c r="A18" s="143" t="s">
        <v>70</v>
      </c>
      <c r="B18" s="143" t="s">
        <v>100</v>
      </c>
      <c r="C18" s="143" t="s">
        <v>101</v>
      </c>
      <c r="D18" s="143" t="s">
        <v>69</v>
      </c>
      <c r="E18" s="257">
        <v>16294000</v>
      </c>
      <c r="F18" s="257">
        <v>16294000</v>
      </c>
      <c r="G18" s="257">
        <v>16294000</v>
      </c>
      <c r="H18" s="257">
        <v>0</v>
      </c>
      <c r="I18" s="257">
        <v>15176035</v>
      </c>
      <c r="J18" s="257">
        <v>0</v>
      </c>
      <c r="K18" s="257">
        <v>1117965</v>
      </c>
      <c r="L18" s="257">
        <v>1117965</v>
      </c>
      <c r="M18" s="257">
        <v>0</v>
      </c>
      <c r="N18" s="257">
        <v>0</v>
      </c>
    </row>
    <row r="19" spans="1:14" s="143" customFormat="1" x14ac:dyDescent="0.25">
      <c r="A19" s="143" t="s">
        <v>70</v>
      </c>
      <c r="B19" s="143" t="s">
        <v>102</v>
      </c>
      <c r="C19" s="143" t="s">
        <v>103</v>
      </c>
      <c r="D19" s="143" t="s">
        <v>69</v>
      </c>
      <c r="E19" s="257">
        <v>32589000</v>
      </c>
      <c r="F19" s="257">
        <v>32589000</v>
      </c>
      <c r="G19" s="257">
        <v>32589000</v>
      </c>
      <c r="H19" s="257">
        <v>0</v>
      </c>
      <c r="I19" s="257">
        <v>30353065</v>
      </c>
      <c r="J19" s="257">
        <v>0</v>
      </c>
      <c r="K19" s="257">
        <v>2235935</v>
      </c>
      <c r="L19" s="257">
        <v>2235935</v>
      </c>
      <c r="M19" s="257">
        <v>0</v>
      </c>
      <c r="N19" s="257">
        <v>0</v>
      </c>
    </row>
    <row r="20" spans="1:14" s="143" customFormat="1" x14ac:dyDescent="0.25">
      <c r="A20" s="143" t="s">
        <v>70</v>
      </c>
      <c r="B20" s="143" t="s">
        <v>104</v>
      </c>
      <c r="C20" s="143" t="s">
        <v>105</v>
      </c>
      <c r="D20" s="143" t="s">
        <v>69</v>
      </c>
      <c r="E20" s="257">
        <v>342741579</v>
      </c>
      <c r="F20" s="257">
        <v>342741579</v>
      </c>
      <c r="G20" s="257">
        <v>80523780</v>
      </c>
      <c r="H20" s="257">
        <v>1229762.8999999999</v>
      </c>
      <c r="I20" s="257">
        <v>55252076.140000001</v>
      </c>
      <c r="J20" s="257">
        <v>0</v>
      </c>
      <c r="K20" s="257">
        <v>5786930.9500000002</v>
      </c>
      <c r="L20" s="257">
        <v>302964.47999999998</v>
      </c>
      <c r="M20" s="257">
        <v>280472809.00999999</v>
      </c>
      <c r="N20" s="257">
        <v>18255010.010000002</v>
      </c>
    </row>
    <row r="21" spans="1:14" s="143" customFormat="1" x14ac:dyDescent="0.25">
      <c r="A21" s="143" t="s">
        <v>70</v>
      </c>
      <c r="B21" s="143" t="s">
        <v>106</v>
      </c>
      <c r="C21" s="143" t="s">
        <v>107</v>
      </c>
      <c r="D21" s="143" t="s">
        <v>69</v>
      </c>
      <c r="E21" s="257">
        <v>125845446</v>
      </c>
      <c r="F21" s="257">
        <v>125845446</v>
      </c>
      <c r="G21" s="257">
        <v>31079538</v>
      </c>
      <c r="H21" s="257">
        <v>300000</v>
      </c>
      <c r="I21" s="257">
        <v>22112017.32</v>
      </c>
      <c r="J21" s="257">
        <v>0</v>
      </c>
      <c r="K21" s="257">
        <v>1241637.67</v>
      </c>
      <c r="L21" s="257">
        <v>0</v>
      </c>
      <c r="M21" s="257">
        <v>102191791.01000001</v>
      </c>
      <c r="N21" s="257">
        <v>7425883.0099999998</v>
      </c>
    </row>
    <row r="22" spans="1:14" s="143" customFormat="1" x14ac:dyDescent="0.25">
      <c r="A22" s="143" t="s">
        <v>70</v>
      </c>
      <c r="B22" s="143" t="s">
        <v>108</v>
      </c>
      <c r="C22" s="143" t="s">
        <v>109</v>
      </c>
      <c r="D22" s="143" t="s">
        <v>69</v>
      </c>
      <c r="E22" s="257">
        <v>125765446</v>
      </c>
      <c r="F22" s="257">
        <v>125765446</v>
      </c>
      <c r="G22" s="257">
        <v>30999538</v>
      </c>
      <c r="H22" s="257">
        <v>300000</v>
      </c>
      <c r="I22" s="257">
        <v>22112017.32</v>
      </c>
      <c r="J22" s="257">
        <v>0</v>
      </c>
      <c r="K22" s="257">
        <v>1241637.67</v>
      </c>
      <c r="L22" s="257">
        <v>0</v>
      </c>
      <c r="M22" s="257">
        <v>102111791.01000001</v>
      </c>
      <c r="N22" s="257">
        <v>7345883.0099999998</v>
      </c>
    </row>
    <row r="23" spans="1:14" s="143" customFormat="1" x14ac:dyDescent="0.25">
      <c r="A23" s="143" t="s">
        <v>70</v>
      </c>
      <c r="B23" s="143" t="s">
        <v>110</v>
      </c>
      <c r="C23" s="143" t="s">
        <v>111</v>
      </c>
      <c r="D23" s="143" t="s">
        <v>69</v>
      </c>
      <c r="E23" s="257">
        <v>80000</v>
      </c>
      <c r="F23" s="257">
        <v>80000</v>
      </c>
      <c r="G23" s="257">
        <v>80000</v>
      </c>
      <c r="H23" s="257">
        <v>0</v>
      </c>
      <c r="I23" s="257">
        <v>0</v>
      </c>
      <c r="J23" s="257">
        <v>0</v>
      </c>
      <c r="K23" s="257">
        <v>0</v>
      </c>
      <c r="L23" s="257">
        <v>0</v>
      </c>
      <c r="M23" s="257">
        <v>80000</v>
      </c>
      <c r="N23" s="257">
        <v>80000</v>
      </c>
    </row>
    <row r="24" spans="1:14" s="143" customFormat="1" x14ac:dyDescent="0.25">
      <c r="A24" s="143" t="s">
        <v>70</v>
      </c>
      <c r="B24" s="143" t="s">
        <v>112</v>
      </c>
      <c r="C24" s="143" t="s">
        <v>113</v>
      </c>
      <c r="D24" s="143" t="s">
        <v>69</v>
      </c>
      <c r="E24" s="257">
        <v>131428353</v>
      </c>
      <c r="F24" s="257">
        <v>131428353</v>
      </c>
      <c r="G24" s="257">
        <v>30310000</v>
      </c>
      <c r="H24" s="257">
        <v>0</v>
      </c>
      <c r="I24" s="257">
        <v>23076011.289999999</v>
      </c>
      <c r="J24" s="257">
        <v>0</v>
      </c>
      <c r="K24" s="257">
        <v>4230498.8</v>
      </c>
      <c r="L24" s="257">
        <v>0</v>
      </c>
      <c r="M24" s="257">
        <v>104121842.91</v>
      </c>
      <c r="N24" s="257">
        <v>3003489.91</v>
      </c>
    </row>
    <row r="25" spans="1:14" s="143" customFormat="1" x14ac:dyDescent="0.25">
      <c r="A25" s="143" t="s">
        <v>70</v>
      </c>
      <c r="B25" s="143" t="s">
        <v>114</v>
      </c>
      <c r="C25" s="143" t="s">
        <v>115</v>
      </c>
      <c r="D25" s="143" t="s">
        <v>69</v>
      </c>
      <c r="E25" s="257">
        <v>4971429</v>
      </c>
      <c r="F25" s="257">
        <v>4971429</v>
      </c>
      <c r="G25" s="257">
        <v>1200000</v>
      </c>
      <c r="H25" s="257">
        <v>0</v>
      </c>
      <c r="I25" s="257">
        <v>645135</v>
      </c>
      <c r="J25" s="257">
        <v>0</v>
      </c>
      <c r="K25" s="257">
        <v>554865</v>
      </c>
      <c r="L25" s="257">
        <v>0</v>
      </c>
      <c r="M25" s="257">
        <v>3771429</v>
      </c>
      <c r="N25" s="257">
        <v>0</v>
      </c>
    </row>
    <row r="26" spans="1:14" s="143" customFormat="1" x14ac:dyDescent="0.25">
      <c r="A26" s="143" t="s">
        <v>70</v>
      </c>
      <c r="B26" s="143" t="s">
        <v>116</v>
      </c>
      <c r="C26" s="143" t="s">
        <v>117</v>
      </c>
      <c r="D26" s="143" t="s">
        <v>69</v>
      </c>
      <c r="E26" s="257">
        <v>56000000</v>
      </c>
      <c r="F26" s="257">
        <v>56000000</v>
      </c>
      <c r="G26" s="257">
        <v>14000000</v>
      </c>
      <c r="H26" s="257">
        <v>0</v>
      </c>
      <c r="I26" s="257">
        <v>14000000</v>
      </c>
      <c r="J26" s="257">
        <v>0</v>
      </c>
      <c r="K26" s="257">
        <v>0</v>
      </c>
      <c r="L26" s="257">
        <v>0</v>
      </c>
      <c r="M26" s="257">
        <v>42000000</v>
      </c>
      <c r="N26" s="257">
        <v>0</v>
      </c>
    </row>
    <row r="27" spans="1:14" s="143" customFormat="1" x14ac:dyDescent="0.25">
      <c r="A27" s="143" t="s">
        <v>70</v>
      </c>
      <c r="B27" s="143" t="s">
        <v>118</v>
      </c>
      <c r="C27" s="143" t="s">
        <v>119</v>
      </c>
      <c r="D27" s="143" t="s">
        <v>69</v>
      </c>
      <c r="E27" s="257">
        <v>20000</v>
      </c>
      <c r="F27" s="257">
        <v>20000</v>
      </c>
      <c r="G27" s="257">
        <v>20000</v>
      </c>
      <c r="H27" s="257">
        <v>0</v>
      </c>
      <c r="I27" s="257">
        <v>20000</v>
      </c>
      <c r="J27" s="257">
        <v>0</v>
      </c>
      <c r="K27" s="257">
        <v>0</v>
      </c>
      <c r="L27" s="257">
        <v>0</v>
      </c>
      <c r="M27" s="257">
        <v>0</v>
      </c>
      <c r="N27" s="257">
        <v>0</v>
      </c>
    </row>
    <row r="28" spans="1:14" s="143" customFormat="1" x14ac:dyDescent="0.25">
      <c r="A28" s="143" t="s">
        <v>70</v>
      </c>
      <c r="B28" s="143" t="s">
        <v>120</v>
      </c>
      <c r="C28" s="143" t="s">
        <v>121</v>
      </c>
      <c r="D28" s="143" t="s">
        <v>69</v>
      </c>
      <c r="E28" s="257">
        <v>70076924</v>
      </c>
      <c r="F28" s="257">
        <v>70076924</v>
      </c>
      <c r="G28" s="257">
        <v>15000000</v>
      </c>
      <c r="H28" s="257">
        <v>0</v>
      </c>
      <c r="I28" s="257">
        <v>8380876.29</v>
      </c>
      <c r="J28" s="257">
        <v>0</v>
      </c>
      <c r="K28" s="257">
        <v>3675633.8</v>
      </c>
      <c r="L28" s="257">
        <v>0</v>
      </c>
      <c r="M28" s="257">
        <v>58020413.909999996</v>
      </c>
      <c r="N28" s="257">
        <v>2943489.91</v>
      </c>
    </row>
    <row r="29" spans="1:14" s="143" customFormat="1" x14ac:dyDescent="0.25">
      <c r="A29" s="143" t="s">
        <v>70</v>
      </c>
      <c r="B29" s="143" t="s">
        <v>122</v>
      </c>
      <c r="C29" s="143" t="s">
        <v>123</v>
      </c>
      <c r="D29" s="143" t="s">
        <v>69</v>
      </c>
      <c r="E29" s="257">
        <v>360000</v>
      </c>
      <c r="F29" s="257">
        <v>360000</v>
      </c>
      <c r="G29" s="257">
        <v>90000</v>
      </c>
      <c r="H29" s="257">
        <v>0</v>
      </c>
      <c r="I29" s="257">
        <v>30000</v>
      </c>
      <c r="J29" s="257">
        <v>0</v>
      </c>
      <c r="K29" s="257">
        <v>0</v>
      </c>
      <c r="L29" s="257">
        <v>0</v>
      </c>
      <c r="M29" s="257">
        <v>330000</v>
      </c>
      <c r="N29" s="257">
        <v>60000</v>
      </c>
    </row>
    <row r="30" spans="1:14" s="143" customFormat="1" x14ac:dyDescent="0.25">
      <c r="A30" s="143" t="s">
        <v>70</v>
      </c>
      <c r="B30" s="143" t="s">
        <v>124</v>
      </c>
      <c r="C30" s="143" t="s">
        <v>125</v>
      </c>
      <c r="D30" s="143" t="s">
        <v>69</v>
      </c>
      <c r="E30" s="257">
        <v>8700000</v>
      </c>
      <c r="F30" s="257">
        <v>8700000</v>
      </c>
      <c r="G30" s="257">
        <v>2218500</v>
      </c>
      <c r="H30" s="257">
        <v>412500</v>
      </c>
      <c r="I30" s="257">
        <v>1793931</v>
      </c>
      <c r="J30" s="257">
        <v>0</v>
      </c>
      <c r="K30" s="257">
        <v>11830</v>
      </c>
      <c r="L30" s="257">
        <v>0</v>
      </c>
      <c r="M30" s="257">
        <v>6481739</v>
      </c>
      <c r="N30" s="257">
        <v>239</v>
      </c>
    </row>
    <row r="31" spans="1:14" s="143" customFormat="1" x14ac:dyDescent="0.25">
      <c r="A31" s="143" t="s">
        <v>70</v>
      </c>
      <c r="B31" s="143" t="s">
        <v>126</v>
      </c>
      <c r="C31" s="143" t="s">
        <v>127</v>
      </c>
      <c r="D31" s="143" t="s">
        <v>69</v>
      </c>
      <c r="E31" s="257">
        <v>7000000</v>
      </c>
      <c r="F31" s="257">
        <v>7000000</v>
      </c>
      <c r="G31" s="257">
        <v>1750000</v>
      </c>
      <c r="H31" s="257">
        <v>0</v>
      </c>
      <c r="I31" s="257">
        <v>1737931</v>
      </c>
      <c r="J31" s="257">
        <v>0</v>
      </c>
      <c r="K31" s="257">
        <v>11830</v>
      </c>
      <c r="L31" s="257">
        <v>0</v>
      </c>
      <c r="M31" s="257">
        <v>5250239</v>
      </c>
      <c r="N31" s="257">
        <v>239</v>
      </c>
    </row>
    <row r="32" spans="1:14" s="143" customFormat="1" x14ac:dyDescent="0.25">
      <c r="A32" s="143" t="s">
        <v>70</v>
      </c>
      <c r="B32" s="143" t="s">
        <v>128</v>
      </c>
      <c r="C32" s="143" t="s">
        <v>129</v>
      </c>
      <c r="D32" s="143" t="s">
        <v>69</v>
      </c>
      <c r="E32" s="257">
        <v>1650000</v>
      </c>
      <c r="F32" s="257">
        <v>1650000</v>
      </c>
      <c r="G32" s="257">
        <v>418500</v>
      </c>
      <c r="H32" s="257">
        <v>412500</v>
      </c>
      <c r="I32" s="257">
        <v>6000</v>
      </c>
      <c r="J32" s="257">
        <v>0</v>
      </c>
      <c r="K32" s="257">
        <v>0</v>
      </c>
      <c r="L32" s="257">
        <v>0</v>
      </c>
      <c r="M32" s="257">
        <v>1231500</v>
      </c>
      <c r="N32" s="257">
        <v>0</v>
      </c>
    </row>
    <row r="33" spans="1:14" s="143" customFormat="1" x14ac:dyDescent="0.25">
      <c r="A33" s="143" t="s">
        <v>70</v>
      </c>
      <c r="B33" s="143" t="s">
        <v>130</v>
      </c>
      <c r="C33" s="143" t="s">
        <v>131</v>
      </c>
      <c r="D33" s="143" t="s">
        <v>69</v>
      </c>
      <c r="E33" s="257">
        <v>50000</v>
      </c>
      <c r="F33" s="257">
        <v>50000</v>
      </c>
      <c r="G33" s="257">
        <v>50000</v>
      </c>
      <c r="H33" s="257">
        <v>0</v>
      </c>
      <c r="I33" s="257">
        <v>50000</v>
      </c>
      <c r="J33" s="257">
        <v>0</v>
      </c>
      <c r="K33" s="257">
        <v>0</v>
      </c>
      <c r="L33" s="257">
        <v>0</v>
      </c>
      <c r="M33" s="257">
        <v>0</v>
      </c>
      <c r="N33" s="257">
        <v>0</v>
      </c>
    </row>
    <row r="34" spans="1:14" s="143" customFormat="1" x14ac:dyDescent="0.25">
      <c r="A34" s="143" t="s">
        <v>70</v>
      </c>
      <c r="B34" s="143" t="s">
        <v>134</v>
      </c>
      <c r="C34" s="143" t="s">
        <v>135</v>
      </c>
      <c r="D34" s="143" t="s">
        <v>69</v>
      </c>
      <c r="E34" s="257">
        <v>5851429</v>
      </c>
      <c r="F34" s="257">
        <v>5851429</v>
      </c>
      <c r="G34" s="257">
        <v>2598036</v>
      </c>
      <c r="H34" s="257">
        <v>0</v>
      </c>
      <c r="I34" s="257">
        <v>700000</v>
      </c>
      <c r="J34" s="257">
        <v>0</v>
      </c>
      <c r="K34" s="257">
        <v>0</v>
      </c>
      <c r="L34" s="257">
        <v>0</v>
      </c>
      <c r="M34" s="257">
        <v>5151429</v>
      </c>
      <c r="N34" s="257">
        <v>1898036</v>
      </c>
    </row>
    <row r="35" spans="1:14" s="143" customFormat="1" x14ac:dyDescent="0.25">
      <c r="A35" s="143" t="s">
        <v>70</v>
      </c>
      <c r="B35" s="143" t="s">
        <v>136</v>
      </c>
      <c r="C35" s="143" t="s">
        <v>137</v>
      </c>
      <c r="D35" s="143" t="s">
        <v>69</v>
      </c>
      <c r="E35" s="257">
        <v>3080000</v>
      </c>
      <c r="F35" s="257">
        <v>3080000</v>
      </c>
      <c r="G35" s="257">
        <v>770000</v>
      </c>
      <c r="H35" s="257">
        <v>0</v>
      </c>
      <c r="I35" s="257">
        <v>0</v>
      </c>
      <c r="J35" s="257">
        <v>0</v>
      </c>
      <c r="K35" s="257">
        <v>0</v>
      </c>
      <c r="L35" s="257">
        <v>0</v>
      </c>
      <c r="M35" s="257">
        <v>3080000</v>
      </c>
      <c r="N35" s="257">
        <v>770000</v>
      </c>
    </row>
    <row r="36" spans="1:14" s="143" customFormat="1" x14ac:dyDescent="0.25">
      <c r="A36" s="143" t="s">
        <v>70</v>
      </c>
      <c r="B36" s="143" t="s">
        <v>138</v>
      </c>
      <c r="C36" s="143" t="s">
        <v>139</v>
      </c>
      <c r="D36" s="143" t="s">
        <v>69</v>
      </c>
      <c r="E36" s="257">
        <v>2771429</v>
      </c>
      <c r="F36" s="257">
        <v>2771429</v>
      </c>
      <c r="G36" s="257">
        <v>1828036</v>
      </c>
      <c r="H36" s="257">
        <v>0</v>
      </c>
      <c r="I36" s="257">
        <v>700000</v>
      </c>
      <c r="J36" s="257">
        <v>0</v>
      </c>
      <c r="K36" s="257">
        <v>0</v>
      </c>
      <c r="L36" s="257">
        <v>0</v>
      </c>
      <c r="M36" s="257">
        <v>2071429</v>
      </c>
      <c r="N36" s="257">
        <v>1128036</v>
      </c>
    </row>
    <row r="37" spans="1:14" s="143" customFormat="1" x14ac:dyDescent="0.25">
      <c r="A37" s="143" t="s">
        <v>70</v>
      </c>
      <c r="B37" s="143" t="s">
        <v>140</v>
      </c>
      <c r="C37" s="143" t="s">
        <v>141</v>
      </c>
      <c r="D37" s="143" t="s">
        <v>69</v>
      </c>
      <c r="E37" s="257">
        <v>17774865</v>
      </c>
      <c r="F37" s="257">
        <v>17774865</v>
      </c>
      <c r="G37" s="257">
        <v>4200000</v>
      </c>
      <c r="H37" s="257">
        <v>0</v>
      </c>
      <c r="I37" s="257">
        <v>2118692.5299999998</v>
      </c>
      <c r="J37" s="257">
        <v>0</v>
      </c>
      <c r="K37" s="257">
        <v>302964.47999999998</v>
      </c>
      <c r="L37" s="257">
        <v>302964.47999999998</v>
      </c>
      <c r="M37" s="257">
        <v>15353207.99</v>
      </c>
      <c r="N37" s="257">
        <v>1778342.99</v>
      </c>
    </row>
    <row r="38" spans="1:14" s="143" customFormat="1" x14ac:dyDescent="0.25">
      <c r="A38" s="143" t="s">
        <v>70</v>
      </c>
      <c r="B38" s="143" t="s">
        <v>142</v>
      </c>
      <c r="C38" s="143" t="s">
        <v>143</v>
      </c>
      <c r="D38" s="143" t="s">
        <v>69</v>
      </c>
      <c r="E38" s="257">
        <v>100000</v>
      </c>
      <c r="F38" s="257">
        <v>100000</v>
      </c>
      <c r="G38" s="257">
        <v>100000</v>
      </c>
      <c r="H38" s="257">
        <v>0</v>
      </c>
      <c r="I38" s="257">
        <v>0</v>
      </c>
      <c r="J38" s="257">
        <v>0</v>
      </c>
      <c r="K38" s="257">
        <v>0</v>
      </c>
      <c r="L38" s="257">
        <v>0</v>
      </c>
      <c r="M38" s="257">
        <v>100000</v>
      </c>
      <c r="N38" s="257">
        <v>100000</v>
      </c>
    </row>
    <row r="39" spans="1:14" s="143" customFormat="1" x14ac:dyDescent="0.25">
      <c r="A39" s="143" t="s">
        <v>70</v>
      </c>
      <c r="B39" s="143" t="s">
        <v>144</v>
      </c>
      <c r="C39" s="143" t="s">
        <v>145</v>
      </c>
      <c r="D39" s="143" t="s">
        <v>69</v>
      </c>
      <c r="E39" s="257">
        <v>6685715</v>
      </c>
      <c r="F39" s="257">
        <v>6685715</v>
      </c>
      <c r="G39" s="257">
        <v>1700000</v>
      </c>
      <c r="H39" s="257">
        <v>0</v>
      </c>
      <c r="I39" s="257">
        <v>1484600</v>
      </c>
      <c r="J39" s="257">
        <v>0</v>
      </c>
      <c r="K39" s="257">
        <v>215400</v>
      </c>
      <c r="L39" s="257">
        <v>215400</v>
      </c>
      <c r="M39" s="257">
        <v>4985715</v>
      </c>
      <c r="N39" s="257">
        <v>0</v>
      </c>
    </row>
    <row r="40" spans="1:14" s="143" customFormat="1" x14ac:dyDescent="0.25">
      <c r="A40" s="143" t="s">
        <v>70</v>
      </c>
      <c r="B40" s="143" t="s">
        <v>146</v>
      </c>
      <c r="C40" s="143" t="s">
        <v>147</v>
      </c>
      <c r="D40" s="143" t="s">
        <v>69</v>
      </c>
      <c r="E40" s="257">
        <v>5170968</v>
      </c>
      <c r="F40" s="257">
        <v>5170968</v>
      </c>
      <c r="G40" s="257">
        <v>1200000</v>
      </c>
      <c r="H40" s="257">
        <v>0</v>
      </c>
      <c r="I40" s="257">
        <v>59528.52</v>
      </c>
      <c r="J40" s="257">
        <v>0</v>
      </c>
      <c r="K40" s="257">
        <v>87564.479999999996</v>
      </c>
      <c r="L40" s="257">
        <v>87564.479999999996</v>
      </c>
      <c r="M40" s="257">
        <v>5023875</v>
      </c>
      <c r="N40" s="257">
        <v>1052907</v>
      </c>
    </row>
    <row r="41" spans="1:14" s="143" customFormat="1" x14ac:dyDescent="0.25">
      <c r="A41" s="143" t="s">
        <v>70</v>
      </c>
      <c r="B41" s="143" t="s">
        <v>148</v>
      </c>
      <c r="C41" s="143" t="s">
        <v>149</v>
      </c>
      <c r="D41" s="143" t="s">
        <v>69</v>
      </c>
      <c r="E41" s="257">
        <v>5818182</v>
      </c>
      <c r="F41" s="257">
        <v>5818182</v>
      </c>
      <c r="G41" s="257">
        <v>1200000</v>
      </c>
      <c r="H41" s="257">
        <v>0</v>
      </c>
      <c r="I41" s="257">
        <v>574564.01</v>
      </c>
      <c r="J41" s="257">
        <v>0</v>
      </c>
      <c r="K41" s="257">
        <v>0</v>
      </c>
      <c r="L41" s="257">
        <v>0</v>
      </c>
      <c r="M41" s="257">
        <v>5243617.99</v>
      </c>
      <c r="N41" s="257">
        <v>625435.99</v>
      </c>
    </row>
    <row r="42" spans="1:14" s="143" customFormat="1" x14ac:dyDescent="0.25">
      <c r="A42" s="143" t="s">
        <v>70</v>
      </c>
      <c r="B42" s="143" t="s">
        <v>150</v>
      </c>
      <c r="C42" s="143" t="s">
        <v>151</v>
      </c>
      <c r="D42" s="143" t="s">
        <v>69</v>
      </c>
      <c r="E42" s="257">
        <v>32290000</v>
      </c>
      <c r="F42" s="257">
        <v>32290000</v>
      </c>
      <c r="G42" s="257">
        <v>4851506</v>
      </c>
      <c r="H42" s="257">
        <v>0</v>
      </c>
      <c r="I42" s="257">
        <v>612040</v>
      </c>
      <c r="J42" s="257">
        <v>0</v>
      </c>
      <c r="K42" s="257">
        <v>0</v>
      </c>
      <c r="L42" s="257">
        <v>0</v>
      </c>
      <c r="M42" s="257">
        <v>31677960</v>
      </c>
      <c r="N42" s="257">
        <v>4239466</v>
      </c>
    </row>
    <row r="43" spans="1:14" s="143" customFormat="1" x14ac:dyDescent="0.25">
      <c r="A43" s="143" t="s">
        <v>70</v>
      </c>
      <c r="B43" s="143" t="s">
        <v>152</v>
      </c>
      <c r="C43" s="143" t="s">
        <v>153</v>
      </c>
      <c r="D43" s="143" t="s">
        <v>69</v>
      </c>
      <c r="E43" s="257">
        <v>32290000</v>
      </c>
      <c r="F43" s="257">
        <v>32290000</v>
      </c>
      <c r="G43" s="257">
        <v>4851506</v>
      </c>
      <c r="H43" s="257">
        <v>0</v>
      </c>
      <c r="I43" s="257">
        <v>612040</v>
      </c>
      <c r="J43" s="257">
        <v>0</v>
      </c>
      <c r="K43" s="257">
        <v>0</v>
      </c>
      <c r="L43" s="257">
        <v>0</v>
      </c>
      <c r="M43" s="257">
        <v>31677960</v>
      </c>
      <c r="N43" s="257">
        <v>4239466</v>
      </c>
    </row>
    <row r="44" spans="1:14" s="143" customFormat="1" x14ac:dyDescent="0.25">
      <c r="A44" s="143" t="s">
        <v>70</v>
      </c>
      <c r="B44" s="143" t="s">
        <v>154</v>
      </c>
      <c r="C44" s="143" t="s">
        <v>155</v>
      </c>
      <c r="D44" s="143" t="s">
        <v>69</v>
      </c>
      <c r="E44" s="257">
        <v>2150000</v>
      </c>
      <c r="F44" s="257">
        <v>2150000</v>
      </c>
      <c r="G44" s="257">
        <v>600000</v>
      </c>
      <c r="H44" s="257">
        <v>0</v>
      </c>
      <c r="I44" s="257">
        <v>600000</v>
      </c>
      <c r="J44" s="257">
        <v>0</v>
      </c>
      <c r="K44" s="257">
        <v>0</v>
      </c>
      <c r="L44" s="257">
        <v>0</v>
      </c>
      <c r="M44" s="257">
        <v>1550000</v>
      </c>
      <c r="N44" s="257">
        <v>0</v>
      </c>
    </row>
    <row r="45" spans="1:14" s="143" customFormat="1" x14ac:dyDescent="0.25">
      <c r="A45" s="143" t="s">
        <v>70</v>
      </c>
      <c r="B45" s="143" t="s">
        <v>156</v>
      </c>
      <c r="C45" s="143" t="s">
        <v>157</v>
      </c>
      <c r="D45" s="143" t="s">
        <v>69</v>
      </c>
      <c r="E45" s="257">
        <v>0</v>
      </c>
      <c r="F45" s="257">
        <v>0</v>
      </c>
      <c r="G45" s="257">
        <v>0</v>
      </c>
      <c r="H45" s="257">
        <v>0</v>
      </c>
      <c r="I45" s="257">
        <v>0</v>
      </c>
      <c r="J45" s="257">
        <v>0</v>
      </c>
      <c r="K45" s="257">
        <v>0</v>
      </c>
      <c r="L45" s="257">
        <v>0</v>
      </c>
      <c r="M45" s="257">
        <v>0</v>
      </c>
      <c r="N45" s="257">
        <v>0</v>
      </c>
    </row>
    <row r="46" spans="1:14" s="143" customFormat="1" x14ac:dyDescent="0.25">
      <c r="A46" s="143" t="s">
        <v>70</v>
      </c>
      <c r="B46" s="143" t="s">
        <v>158</v>
      </c>
      <c r="C46" s="143" t="s">
        <v>159</v>
      </c>
      <c r="D46" s="143" t="s">
        <v>69</v>
      </c>
      <c r="E46" s="257">
        <v>1550000</v>
      </c>
      <c r="F46" s="257">
        <v>1550000</v>
      </c>
      <c r="G46" s="257">
        <v>0</v>
      </c>
      <c r="H46" s="257">
        <v>0</v>
      </c>
      <c r="I46" s="257">
        <v>0</v>
      </c>
      <c r="J46" s="257">
        <v>0</v>
      </c>
      <c r="K46" s="257">
        <v>0</v>
      </c>
      <c r="L46" s="257">
        <v>0</v>
      </c>
      <c r="M46" s="257">
        <v>1550000</v>
      </c>
      <c r="N46" s="257">
        <v>0</v>
      </c>
    </row>
    <row r="47" spans="1:14" s="143" customFormat="1" x14ac:dyDescent="0.25">
      <c r="A47" s="143" t="s">
        <v>70</v>
      </c>
      <c r="B47" s="143" t="s">
        <v>160</v>
      </c>
      <c r="C47" s="143" t="s">
        <v>161</v>
      </c>
      <c r="D47" s="143" t="s">
        <v>69</v>
      </c>
      <c r="E47" s="257">
        <v>600000</v>
      </c>
      <c r="F47" s="257">
        <v>600000</v>
      </c>
      <c r="G47" s="257">
        <v>600000</v>
      </c>
      <c r="H47" s="257">
        <v>0</v>
      </c>
      <c r="I47" s="257">
        <v>600000</v>
      </c>
      <c r="J47" s="257">
        <v>0</v>
      </c>
      <c r="K47" s="257">
        <v>0</v>
      </c>
      <c r="L47" s="257">
        <v>0</v>
      </c>
      <c r="M47" s="257">
        <v>0</v>
      </c>
      <c r="N47" s="257">
        <v>0</v>
      </c>
    </row>
    <row r="48" spans="1:14" s="143" customFormat="1" x14ac:dyDescent="0.25">
      <c r="A48" s="143" t="s">
        <v>70</v>
      </c>
      <c r="B48" s="143" t="s">
        <v>162</v>
      </c>
      <c r="C48" s="143" t="s">
        <v>163</v>
      </c>
      <c r="D48" s="143" t="s">
        <v>69</v>
      </c>
      <c r="E48" s="257">
        <v>17019667</v>
      </c>
      <c r="F48" s="257">
        <v>17019667</v>
      </c>
      <c r="G48" s="257">
        <v>4666200</v>
      </c>
      <c r="H48" s="257">
        <v>517262.9</v>
      </c>
      <c r="I48" s="257">
        <v>2188700</v>
      </c>
      <c r="J48" s="257">
        <v>0</v>
      </c>
      <c r="K48" s="257">
        <v>0</v>
      </c>
      <c r="L48" s="257">
        <v>0</v>
      </c>
      <c r="M48" s="257">
        <v>14313704.1</v>
      </c>
      <c r="N48" s="257">
        <v>1960237.1</v>
      </c>
    </row>
    <row r="49" spans="1:14" s="143" customFormat="1" x14ac:dyDescent="0.25">
      <c r="A49" s="143" t="s">
        <v>70</v>
      </c>
      <c r="B49" s="143" t="s">
        <v>164</v>
      </c>
      <c r="C49" s="143" t="s">
        <v>165</v>
      </c>
      <c r="D49" s="143" t="s">
        <v>69</v>
      </c>
      <c r="E49" s="257">
        <v>300000</v>
      </c>
      <c r="F49" s="257">
        <v>300000</v>
      </c>
      <c r="G49" s="257">
        <v>0</v>
      </c>
      <c r="H49" s="257">
        <v>0</v>
      </c>
      <c r="I49" s="257">
        <v>0</v>
      </c>
      <c r="J49" s="257">
        <v>0</v>
      </c>
      <c r="K49" s="257">
        <v>0</v>
      </c>
      <c r="L49" s="257">
        <v>0</v>
      </c>
      <c r="M49" s="257">
        <v>300000</v>
      </c>
      <c r="N49" s="257">
        <v>0</v>
      </c>
    </row>
    <row r="50" spans="1:14" s="143" customFormat="1" x14ac:dyDescent="0.25">
      <c r="A50" s="143" t="s">
        <v>70</v>
      </c>
      <c r="B50" s="143" t="s">
        <v>166</v>
      </c>
      <c r="C50" s="143" t="s">
        <v>167</v>
      </c>
      <c r="D50" s="143" t="s">
        <v>69</v>
      </c>
      <c r="E50" s="257">
        <v>9066667</v>
      </c>
      <c r="F50" s="257">
        <v>9066667</v>
      </c>
      <c r="G50" s="257">
        <v>2500000</v>
      </c>
      <c r="H50" s="257">
        <v>0</v>
      </c>
      <c r="I50" s="257">
        <v>547500</v>
      </c>
      <c r="J50" s="257">
        <v>0</v>
      </c>
      <c r="K50" s="257">
        <v>0</v>
      </c>
      <c r="L50" s="257">
        <v>0</v>
      </c>
      <c r="M50" s="257">
        <v>8519167</v>
      </c>
      <c r="N50" s="257">
        <v>1952500</v>
      </c>
    </row>
    <row r="51" spans="1:14" s="143" customFormat="1" x14ac:dyDescent="0.25">
      <c r="A51" s="143" t="s">
        <v>70</v>
      </c>
      <c r="B51" s="143" t="s">
        <v>168</v>
      </c>
      <c r="C51" s="143" t="s">
        <v>169</v>
      </c>
      <c r="D51" s="143" t="s">
        <v>69</v>
      </c>
      <c r="E51" s="257">
        <v>2900000</v>
      </c>
      <c r="F51" s="257">
        <v>2900000</v>
      </c>
      <c r="G51" s="257">
        <v>1641200</v>
      </c>
      <c r="H51" s="257">
        <v>0</v>
      </c>
      <c r="I51" s="257">
        <v>1641200</v>
      </c>
      <c r="J51" s="257">
        <v>0</v>
      </c>
      <c r="K51" s="257">
        <v>0</v>
      </c>
      <c r="L51" s="257">
        <v>0</v>
      </c>
      <c r="M51" s="257">
        <v>1258800</v>
      </c>
      <c r="N51" s="257">
        <v>0</v>
      </c>
    </row>
    <row r="52" spans="1:14" s="143" customFormat="1" x14ac:dyDescent="0.25">
      <c r="A52" s="143" t="s">
        <v>70</v>
      </c>
      <c r="B52" s="143" t="s">
        <v>170</v>
      </c>
      <c r="C52" s="143" t="s">
        <v>171</v>
      </c>
      <c r="D52" s="143" t="s">
        <v>69</v>
      </c>
      <c r="E52" s="257">
        <v>393000</v>
      </c>
      <c r="F52" s="257">
        <v>393000</v>
      </c>
      <c r="G52" s="257">
        <v>0</v>
      </c>
      <c r="H52" s="257">
        <v>0</v>
      </c>
      <c r="I52" s="257">
        <v>0</v>
      </c>
      <c r="J52" s="257">
        <v>0</v>
      </c>
      <c r="K52" s="257">
        <v>0</v>
      </c>
      <c r="L52" s="257">
        <v>0</v>
      </c>
      <c r="M52" s="257">
        <v>393000</v>
      </c>
      <c r="N52" s="257">
        <v>0</v>
      </c>
    </row>
    <row r="53" spans="1:14" s="143" customFormat="1" x14ac:dyDescent="0.25">
      <c r="A53" s="143" t="s">
        <v>70</v>
      </c>
      <c r="B53" s="143" t="s">
        <v>172</v>
      </c>
      <c r="C53" s="143" t="s">
        <v>173</v>
      </c>
      <c r="D53" s="143" t="s">
        <v>69</v>
      </c>
      <c r="E53" s="257">
        <v>4360000</v>
      </c>
      <c r="F53" s="257">
        <v>4360000</v>
      </c>
      <c r="G53" s="257">
        <v>525000</v>
      </c>
      <c r="H53" s="257">
        <v>517262.9</v>
      </c>
      <c r="I53" s="257">
        <v>0</v>
      </c>
      <c r="J53" s="257">
        <v>0</v>
      </c>
      <c r="K53" s="257">
        <v>0</v>
      </c>
      <c r="L53" s="257">
        <v>0</v>
      </c>
      <c r="M53" s="257">
        <v>3842737.1</v>
      </c>
      <c r="N53" s="257">
        <v>7737.1</v>
      </c>
    </row>
    <row r="54" spans="1:14" s="143" customFormat="1" x14ac:dyDescent="0.25">
      <c r="A54" s="143" t="s">
        <v>70</v>
      </c>
      <c r="B54" s="143" t="s">
        <v>174</v>
      </c>
      <c r="C54" s="143" t="s">
        <v>175</v>
      </c>
      <c r="D54" s="143" t="s">
        <v>69</v>
      </c>
      <c r="E54" s="257">
        <v>681819</v>
      </c>
      <c r="F54" s="257">
        <v>681819</v>
      </c>
      <c r="G54" s="257">
        <v>0</v>
      </c>
      <c r="H54" s="257">
        <v>0</v>
      </c>
      <c r="I54" s="257">
        <v>1250684</v>
      </c>
      <c r="J54" s="257">
        <v>0</v>
      </c>
      <c r="K54" s="257">
        <v>0</v>
      </c>
      <c r="L54" s="257">
        <v>0</v>
      </c>
      <c r="M54" s="275">
        <v>-568865</v>
      </c>
      <c r="N54" s="275">
        <v>-1250684</v>
      </c>
    </row>
    <row r="55" spans="1:14" s="143" customFormat="1" x14ac:dyDescent="0.25">
      <c r="A55" s="143" t="s">
        <v>70</v>
      </c>
      <c r="B55" s="143" t="s">
        <v>176</v>
      </c>
      <c r="C55" s="143" t="s">
        <v>177</v>
      </c>
      <c r="D55" s="143" t="s">
        <v>69</v>
      </c>
      <c r="E55" s="257">
        <v>681819</v>
      </c>
      <c r="F55" s="257">
        <v>681819</v>
      </c>
      <c r="G55" s="257">
        <v>0</v>
      </c>
      <c r="H55" s="257">
        <v>0</v>
      </c>
      <c r="I55" s="257">
        <v>1250684</v>
      </c>
      <c r="J55" s="257">
        <v>0</v>
      </c>
      <c r="K55" s="257">
        <v>0</v>
      </c>
      <c r="L55" s="257">
        <v>0</v>
      </c>
      <c r="M55" s="275">
        <v>-568865</v>
      </c>
      <c r="N55" s="275">
        <v>-1250684</v>
      </c>
    </row>
    <row r="56" spans="1:14" s="143" customFormat="1" x14ac:dyDescent="0.25">
      <c r="A56" s="143" t="s">
        <v>70</v>
      </c>
      <c r="B56" s="143" t="s">
        <v>178</v>
      </c>
      <c r="C56" s="143" t="s">
        <v>179</v>
      </c>
      <c r="D56" s="143" t="s">
        <v>69</v>
      </c>
      <c r="E56" s="257">
        <v>1000000</v>
      </c>
      <c r="F56" s="257">
        <v>1000000</v>
      </c>
      <c r="G56" s="257">
        <v>0</v>
      </c>
      <c r="H56" s="257">
        <v>0</v>
      </c>
      <c r="I56" s="257">
        <v>800000</v>
      </c>
      <c r="J56" s="257">
        <v>0</v>
      </c>
      <c r="K56" s="257">
        <v>0</v>
      </c>
      <c r="L56" s="257">
        <v>0</v>
      </c>
      <c r="M56" s="257">
        <v>200000</v>
      </c>
      <c r="N56" s="275">
        <v>-800000</v>
      </c>
    </row>
    <row r="57" spans="1:14" s="143" customFormat="1" x14ac:dyDescent="0.25">
      <c r="A57" s="143" t="s">
        <v>70</v>
      </c>
      <c r="B57" s="143" t="s">
        <v>182</v>
      </c>
      <c r="C57" s="143" t="s">
        <v>183</v>
      </c>
      <c r="D57" s="143" t="s">
        <v>69</v>
      </c>
      <c r="E57" s="257">
        <v>1000000</v>
      </c>
      <c r="F57" s="257">
        <v>1000000</v>
      </c>
      <c r="G57" s="257">
        <v>0</v>
      </c>
      <c r="H57" s="257">
        <v>0</v>
      </c>
      <c r="I57" s="257">
        <v>800000</v>
      </c>
      <c r="J57" s="257">
        <v>0</v>
      </c>
      <c r="K57" s="257">
        <v>0</v>
      </c>
      <c r="L57" s="257">
        <v>0</v>
      </c>
      <c r="M57" s="257">
        <v>200000</v>
      </c>
      <c r="N57" s="275">
        <v>-800000</v>
      </c>
    </row>
    <row r="58" spans="1:14" s="143" customFormat="1" x14ac:dyDescent="0.25">
      <c r="A58" s="143" t="s">
        <v>70</v>
      </c>
      <c r="B58" s="143" t="s">
        <v>184</v>
      </c>
      <c r="C58" s="143" t="s">
        <v>185</v>
      </c>
      <c r="D58" s="143" t="s">
        <v>69</v>
      </c>
      <c r="E58" s="257">
        <v>42229000</v>
      </c>
      <c r="F58" s="257">
        <v>42229000</v>
      </c>
      <c r="G58" s="257">
        <v>26641000</v>
      </c>
      <c r="H58" s="257">
        <v>0</v>
      </c>
      <c r="I58" s="257">
        <v>2790889.8</v>
      </c>
      <c r="J58" s="257">
        <v>84624</v>
      </c>
      <c r="K58" s="257">
        <v>290398</v>
      </c>
      <c r="L58" s="257">
        <v>290398</v>
      </c>
      <c r="M58" s="257">
        <v>39063088.200000003</v>
      </c>
      <c r="N58" s="257">
        <v>23475088.199999999</v>
      </c>
    </row>
    <row r="59" spans="1:14" s="143" customFormat="1" x14ac:dyDescent="0.25">
      <c r="A59" s="143" t="s">
        <v>70</v>
      </c>
      <c r="B59" s="143" t="s">
        <v>186</v>
      </c>
      <c r="C59" s="143" t="s">
        <v>187</v>
      </c>
      <c r="D59" s="143" t="s">
        <v>69</v>
      </c>
      <c r="E59" s="257">
        <v>17137000</v>
      </c>
      <c r="F59" s="257">
        <v>17137000</v>
      </c>
      <c r="G59" s="257">
        <v>2026000</v>
      </c>
      <c r="H59" s="257">
        <v>0</v>
      </c>
      <c r="I59" s="257">
        <v>1224539.8</v>
      </c>
      <c r="J59" s="257">
        <v>0</v>
      </c>
      <c r="K59" s="257">
        <v>290398</v>
      </c>
      <c r="L59" s="257">
        <v>290398</v>
      </c>
      <c r="M59" s="257">
        <v>15622062.199999999</v>
      </c>
      <c r="N59" s="257">
        <v>511062.2</v>
      </c>
    </row>
    <row r="60" spans="1:14" s="143" customFormat="1" x14ac:dyDescent="0.25">
      <c r="A60" s="143" t="s">
        <v>70</v>
      </c>
      <c r="B60" s="143" t="s">
        <v>188</v>
      </c>
      <c r="C60" s="143" t="s">
        <v>189</v>
      </c>
      <c r="D60" s="143" t="s">
        <v>69</v>
      </c>
      <c r="E60" s="257">
        <v>11100000</v>
      </c>
      <c r="F60" s="257">
        <v>11100000</v>
      </c>
      <c r="G60" s="257">
        <v>1900000</v>
      </c>
      <c r="H60" s="257">
        <v>0</v>
      </c>
      <c r="I60" s="257">
        <v>1224539.8</v>
      </c>
      <c r="J60" s="257">
        <v>0</v>
      </c>
      <c r="K60" s="257">
        <v>290398</v>
      </c>
      <c r="L60" s="257">
        <v>290398</v>
      </c>
      <c r="M60" s="257">
        <v>9585062.1999999993</v>
      </c>
      <c r="N60" s="257">
        <v>385062.2</v>
      </c>
    </row>
    <row r="61" spans="1:14" s="143" customFormat="1" x14ac:dyDescent="0.25">
      <c r="A61" s="143" t="s">
        <v>70</v>
      </c>
      <c r="B61" s="143" t="s">
        <v>190</v>
      </c>
      <c r="C61" s="143" t="s">
        <v>191</v>
      </c>
      <c r="D61" s="143" t="s">
        <v>69</v>
      </c>
      <c r="E61" s="257">
        <v>5000000</v>
      </c>
      <c r="F61" s="257">
        <v>5000000</v>
      </c>
      <c r="G61" s="257">
        <v>0</v>
      </c>
      <c r="H61" s="257">
        <v>0</v>
      </c>
      <c r="I61" s="257">
        <v>0</v>
      </c>
      <c r="J61" s="257">
        <v>0</v>
      </c>
      <c r="K61" s="257">
        <v>0</v>
      </c>
      <c r="L61" s="257">
        <v>0</v>
      </c>
      <c r="M61" s="257">
        <v>5000000</v>
      </c>
      <c r="N61" s="257">
        <v>0</v>
      </c>
    </row>
    <row r="62" spans="1:14" s="143" customFormat="1" x14ac:dyDescent="0.25">
      <c r="A62" s="143" t="s">
        <v>70</v>
      </c>
      <c r="B62" s="143" t="s">
        <v>192</v>
      </c>
      <c r="C62" s="143" t="s">
        <v>193</v>
      </c>
      <c r="D62" s="143" t="s">
        <v>69</v>
      </c>
      <c r="E62" s="257">
        <v>126000</v>
      </c>
      <c r="F62" s="257">
        <v>126000</v>
      </c>
      <c r="G62" s="257">
        <v>126000</v>
      </c>
      <c r="H62" s="257">
        <v>0</v>
      </c>
      <c r="I62" s="257">
        <v>0</v>
      </c>
      <c r="J62" s="257">
        <v>0</v>
      </c>
      <c r="K62" s="257">
        <v>0</v>
      </c>
      <c r="L62" s="257">
        <v>0</v>
      </c>
      <c r="M62" s="257">
        <v>126000</v>
      </c>
      <c r="N62" s="257">
        <v>126000</v>
      </c>
    </row>
    <row r="63" spans="1:14" s="143" customFormat="1" x14ac:dyDescent="0.25">
      <c r="A63" s="143" t="s">
        <v>70</v>
      </c>
      <c r="B63" s="143" t="s">
        <v>194</v>
      </c>
      <c r="C63" s="143" t="s">
        <v>195</v>
      </c>
      <c r="D63" s="143" t="s">
        <v>69</v>
      </c>
      <c r="E63" s="257">
        <v>911000</v>
      </c>
      <c r="F63" s="257">
        <v>911000</v>
      </c>
      <c r="G63" s="257">
        <v>0</v>
      </c>
      <c r="H63" s="257">
        <v>0</v>
      </c>
      <c r="I63" s="257">
        <v>0</v>
      </c>
      <c r="J63" s="257">
        <v>0</v>
      </c>
      <c r="K63" s="257">
        <v>0</v>
      </c>
      <c r="L63" s="257">
        <v>0</v>
      </c>
      <c r="M63" s="257">
        <v>911000</v>
      </c>
      <c r="N63" s="257">
        <v>0</v>
      </c>
    </row>
    <row r="64" spans="1:14" s="143" customFormat="1" x14ac:dyDescent="0.25">
      <c r="A64" s="143" t="s">
        <v>70</v>
      </c>
      <c r="B64" s="143" t="s">
        <v>196</v>
      </c>
      <c r="C64" s="143" t="s">
        <v>197</v>
      </c>
      <c r="D64" s="143" t="s">
        <v>69</v>
      </c>
      <c r="E64" s="257">
        <v>3000000</v>
      </c>
      <c r="F64" s="257">
        <v>3000000</v>
      </c>
      <c r="G64" s="257">
        <v>3000000</v>
      </c>
      <c r="H64" s="257">
        <v>0</v>
      </c>
      <c r="I64" s="257">
        <v>0</v>
      </c>
      <c r="J64" s="257">
        <v>0</v>
      </c>
      <c r="K64" s="257">
        <v>0</v>
      </c>
      <c r="L64" s="257">
        <v>0</v>
      </c>
      <c r="M64" s="257">
        <v>3000000</v>
      </c>
      <c r="N64" s="257">
        <v>3000000</v>
      </c>
    </row>
    <row r="65" spans="1:14" s="143" customFormat="1" x14ac:dyDescent="0.25">
      <c r="A65" s="143" t="s">
        <v>70</v>
      </c>
      <c r="B65" s="143" t="s">
        <v>198</v>
      </c>
      <c r="C65" s="143" t="s">
        <v>199</v>
      </c>
      <c r="D65" s="143" t="s">
        <v>69</v>
      </c>
      <c r="E65" s="257">
        <v>3000000</v>
      </c>
      <c r="F65" s="257">
        <v>3000000</v>
      </c>
      <c r="G65" s="257">
        <v>3000000</v>
      </c>
      <c r="H65" s="257">
        <v>0</v>
      </c>
      <c r="I65" s="257">
        <v>0</v>
      </c>
      <c r="J65" s="257">
        <v>0</v>
      </c>
      <c r="K65" s="257">
        <v>0</v>
      </c>
      <c r="L65" s="257">
        <v>0</v>
      </c>
      <c r="M65" s="257">
        <v>3000000</v>
      </c>
      <c r="N65" s="257">
        <v>3000000</v>
      </c>
    </row>
    <row r="66" spans="1:14" s="143" customFormat="1" x14ac:dyDescent="0.25">
      <c r="A66" s="143" t="s">
        <v>70</v>
      </c>
      <c r="B66" s="143" t="s">
        <v>200</v>
      </c>
      <c r="C66" s="143" t="s">
        <v>201</v>
      </c>
      <c r="D66" s="143" t="s">
        <v>69</v>
      </c>
      <c r="E66" s="257">
        <v>936000</v>
      </c>
      <c r="F66" s="257">
        <v>936000</v>
      </c>
      <c r="G66" s="257">
        <v>771000</v>
      </c>
      <c r="H66" s="257">
        <v>0</v>
      </c>
      <c r="I66" s="257">
        <v>0</v>
      </c>
      <c r="J66" s="257">
        <v>0</v>
      </c>
      <c r="K66" s="257">
        <v>0</v>
      </c>
      <c r="L66" s="257">
        <v>0</v>
      </c>
      <c r="M66" s="257">
        <v>936000</v>
      </c>
      <c r="N66" s="257">
        <v>771000</v>
      </c>
    </row>
    <row r="67" spans="1:14" s="143" customFormat="1" x14ac:dyDescent="0.25">
      <c r="A67" s="143" t="s">
        <v>70</v>
      </c>
      <c r="B67" s="143" t="s">
        <v>202</v>
      </c>
      <c r="C67" s="143" t="s">
        <v>203</v>
      </c>
      <c r="D67" s="143" t="s">
        <v>69</v>
      </c>
      <c r="E67" s="257">
        <v>771000</v>
      </c>
      <c r="F67" s="257">
        <v>771000</v>
      </c>
      <c r="G67" s="257">
        <v>771000</v>
      </c>
      <c r="H67" s="257">
        <v>0</v>
      </c>
      <c r="I67" s="257">
        <v>0</v>
      </c>
      <c r="J67" s="257">
        <v>0</v>
      </c>
      <c r="K67" s="257">
        <v>0</v>
      </c>
      <c r="L67" s="257">
        <v>0</v>
      </c>
      <c r="M67" s="257">
        <v>771000</v>
      </c>
      <c r="N67" s="257">
        <v>771000</v>
      </c>
    </row>
    <row r="68" spans="1:14" s="143" customFormat="1" x14ac:dyDescent="0.25">
      <c r="A68" s="143" t="s">
        <v>70</v>
      </c>
      <c r="B68" s="143" t="s">
        <v>204</v>
      </c>
      <c r="C68" s="143" t="s">
        <v>205</v>
      </c>
      <c r="D68" s="143" t="s">
        <v>69</v>
      </c>
      <c r="E68" s="257">
        <v>165000</v>
      </c>
      <c r="F68" s="257">
        <v>165000</v>
      </c>
      <c r="G68" s="257">
        <v>0</v>
      </c>
      <c r="H68" s="257">
        <v>0</v>
      </c>
      <c r="I68" s="257">
        <v>0</v>
      </c>
      <c r="J68" s="257">
        <v>0</v>
      </c>
      <c r="K68" s="257">
        <v>0</v>
      </c>
      <c r="L68" s="257">
        <v>0</v>
      </c>
      <c r="M68" s="257">
        <v>165000</v>
      </c>
      <c r="N68" s="257">
        <v>0</v>
      </c>
    </row>
    <row r="69" spans="1:14" s="143" customFormat="1" x14ac:dyDescent="0.25">
      <c r="A69" s="143" t="s">
        <v>70</v>
      </c>
      <c r="B69" s="143" t="s">
        <v>206</v>
      </c>
      <c r="C69" s="143" t="s">
        <v>207</v>
      </c>
      <c r="D69" s="143" t="s">
        <v>69</v>
      </c>
      <c r="E69" s="257">
        <v>312000</v>
      </c>
      <c r="F69" s="257">
        <v>312000</v>
      </c>
      <c r="G69" s="257">
        <v>0</v>
      </c>
      <c r="H69" s="257">
        <v>0</v>
      </c>
      <c r="I69" s="257">
        <v>0</v>
      </c>
      <c r="J69" s="257">
        <v>0</v>
      </c>
      <c r="K69" s="257">
        <v>0</v>
      </c>
      <c r="L69" s="257">
        <v>0</v>
      </c>
      <c r="M69" s="257">
        <v>312000</v>
      </c>
      <c r="N69" s="257">
        <v>0</v>
      </c>
    </row>
    <row r="70" spans="1:14" s="143" customFormat="1" x14ac:dyDescent="0.25">
      <c r="A70" s="143" t="s">
        <v>70</v>
      </c>
      <c r="B70" s="143" t="s">
        <v>208</v>
      </c>
      <c r="C70" s="143" t="s">
        <v>209</v>
      </c>
      <c r="D70" s="143" t="s">
        <v>69</v>
      </c>
      <c r="E70" s="257">
        <v>206000</v>
      </c>
      <c r="F70" s="257">
        <v>206000</v>
      </c>
      <c r="G70" s="257">
        <v>0</v>
      </c>
      <c r="H70" s="257">
        <v>0</v>
      </c>
      <c r="I70" s="257">
        <v>0</v>
      </c>
      <c r="J70" s="257">
        <v>0</v>
      </c>
      <c r="K70" s="257">
        <v>0</v>
      </c>
      <c r="L70" s="257">
        <v>0</v>
      </c>
      <c r="M70" s="257">
        <v>206000</v>
      </c>
      <c r="N70" s="257">
        <v>0</v>
      </c>
    </row>
    <row r="71" spans="1:14" s="143" customFormat="1" x14ac:dyDescent="0.25">
      <c r="A71" s="143" t="s">
        <v>70</v>
      </c>
      <c r="B71" s="143" t="s">
        <v>210</v>
      </c>
      <c r="C71" s="143" t="s">
        <v>211</v>
      </c>
      <c r="D71" s="143" t="s">
        <v>69</v>
      </c>
      <c r="E71" s="257">
        <v>106000</v>
      </c>
      <c r="F71" s="257">
        <v>106000</v>
      </c>
      <c r="G71" s="257">
        <v>0</v>
      </c>
      <c r="H71" s="257">
        <v>0</v>
      </c>
      <c r="I71" s="257">
        <v>0</v>
      </c>
      <c r="J71" s="257">
        <v>0</v>
      </c>
      <c r="K71" s="257">
        <v>0</v>
      </c>
      <c r="L71" s="257">
        <v>0</v>
      </c>
      <c r="M71" s="257">
        <v>106000</v>
      </c>
      <c r="N71" s="257">
        <v>0</v>
      </c>
    </row>
    <row r="72" spans="1:14" s="143" customFormat="1" x14ac:dyDescent="0.25">
      <c r="A72" s="143" t="s">
        <v>70</v>
      </c>
      <c r="B72" s="143" t="s">
        <v>212</v>
      </c>
      <c r="C72" s="143" t="s">
        <v>213</v>
      </c>
      <c r="D72" s="143" t="s">
        <v>69</v>
      </c>
      <c r="E72" s="257">
        <v>20844000</v>
      </c>
      <c r="F72" s="257">
        <v>20844000</v>
      </c>
      <c r="G72" s="257">
        <v>20844000</v>
      </c>
      <c r="H72" s="257">
        <v>0</v>
      </c>
      <c r="I72" s="257">
        <v>1566350</v>
      </c>
      <c r="J72" s="257">
        <v>84624</v>
      </c>
      <c r="K72" s="257">
        <v>0</v>
      </c>
      <c r="L72" s="257">
        <v>0</v>
      </c>
      <c r="M72" s="257">
        <v>19193026</v>
      </c>
      <c r="N72" s="257">
        <v>19193026</v>
      </c>
    </row>
    <row r="73" spans="1:14" s="143" customFormat="1" x14ac:dyDescent="0.25">
      <c r="A73" s="143" t="s">
        <v>70</v>
      </c>
      <c r="B73" s="143" t="s">
        <v>214</v>
      </c>
      <c r="C73" s="143" t="s">
        <v>215</v>
      </c>
      <c r="D73" s="143" t="s">
        <v>69</v>
      </c>
      <c r="E73" s="257">
        <v>3000000</v>
      </c>
      <c r="F73" s="257">
        <v>3000000</v>
      </c>
      <c r="G73" s="257">
        <v>3000000</v>
      </c>
      <c r="H73" s="257">
        <v>0</v>
      </c>
      <c r="I73" s="257">
        <v>0</v>
      </c>
      <c r="J73" s="257">
        <v>84624</v>
      </c>
      <c r="K73" s="257">
        <v>0</v>
      </c>
      <c r="L73" s="257">
        <v>0</v>
      </c>
      <c r="M73" s="257">
        <v>2915376</v>
      </c>
      <c r="N73" s="257">
        <v>2915376</v>
      </c>
    </row>
    <row r="74" spans="1:14" s="143" customFormat="1" x14ac:dyDescent="0.25">
      <c r="A74" s="143" t="s">
        <v>70</v>
      </c>
      <c r="B74" s="143" t="s">
        <v>216</v>
      </c>
      <c r="C74" s="143" t="s">
        <v>217</v>
      </c>
      <c r="D74" s="143" t="s">
        <v>69</v>
      </c>
      <c r="E74" s="257">
        <v>271000</v>
      </c>
      <c r="F74" s="257">
        <v>271000</v>
      </c>
      <c r="G74" s="257">
        <v>271000</v>
      </c>
      <c r="H74" s="257">
        <v>0</v>
      </c>
      <c r="I74" s="257">
        <v>0</v>
      </c>
      <c r="J74" s="257">
        <v>0</v>
      </c>
      <c r="K74" s="257">
        <v>0</v>
      </c>
      <c r="L74" s="257">
        <v>0</v>
      </c>
      <c r="M74" s="257">
        <v>271000</v>
      </c>
      <c r="N74" s="257">
        <v>271000</v>
      </c>
    </row>
    <row r="75" spans="1:14" s="143" customFormat="1" x14ac:dyDescent="0.25">
      <c r="A75" s="143" t="s">
        <v>70</v>
      </c>
      <c r="B75" s="143" t="s">
        <v>218</v>
      </c>
      <c r="C75" s="143" t="s">
        <v>219</v>
      </c>
      <c r="D75" s="143" t="s">
        <v>69</v>
      </c>
      <c r="E75" s="257">
        <v>12000000</v>
      </c>
      <c r="F75" s="257">
        <v>12000000</v>
      </c>
      <c r="G75" s="257">
        <v>12000000</v>
      </c>
      <c r="H75" s="257">
        <v>0</v>
      </c>
      <c r="I75" s="257">
        <v>1566350</v>
      </c>
      <c r="J75" s="257">
        <v>0</v>
      </c>
      <c r="K75" s="257">
        <v>0</v>
      </c>
      <c r="L75" s="257">
        <v>0</v>
      </c>
      <c r="M75" s="257">
        <v>10433650</v>
      </c>
      <c r="N75" s="257">
        <v>10433650</v>
      </c>
    </row>
    <row r="76" spans="1:14" s="143" customFormat="1" x14ac:dyDescent="0.25">
      <c r="A76" s="143" t="s">
        <v>70</v>
      </c>
      <c r="B76" s="143" t="s">
        <v>220</v>
      </c>
      <c r="C76" s="143" t="s">
        <v>221</v>
      </c>
      <c r="D76" s="143" t="s">
        <v>69</v>
      </c>
      <c r="E76" s="257">
        <v>1445000</v>
      </c>
      <c r="F76" s="257">
        <v>1445000</v>
      </c>
      <c r="G76" s="257">
        <v>1445000</v>
      </c>
      <c r="H76" s="257">
        <v>0</v>
      </c>
      <c r="I76" s="257">
        <v>0</v>
      </c>
      <c r="J76" s="257">
        <v>0</v>
      </c>
      <c r="K76" s="257">
        <v>0</v>
      </c>
      <c r="L76" s="257">
        <v>0</v>
      </c>
      <c r="M76" s="257">
        <v>1445000</v>
      </c>
      <c r="N76" s="257">
        <v>1445000</v>
      </c>
    </row>
    <row r="77" spans="1:14" s="143" customFormat="1" x14ac:dyDescent="0.25">
      <c r="A77" s="143" t="s">
        <v>70</v>
      </c>
      <c r="B77" s="143" t="s">
        <v>222</v>
      </c>
      <c r="C77" s="143" t="s">
        <v>223</v>
      </c>
      <c r="D77" s="143" t="s">
        <v>69</v>
      </c>
      <c r="E77" s="257">
        <v>2500000</v>
      </c>
      <c r="F77" s="257">
        <v>2500000</v>
      </c>
      <c r="G77" s="257">
        <v>2500000</v>
      </c>
      <c r="H77" s="257">
        <v>0</v>
      </c>
      <c r="I77" s="257">
        <v>0</v>
      </c>
      <c r="J77" s="257">
        <v>0</v>
      </c>
      <c r="K77" s="257">
        <v>0</v>
      </c>
      <c r="L77" s="257">
        <v>0</v>
      </c>
      <c r="M77" s="257">
        <v>2500000</v>
      </c>
      <c r="N77" s="257">
        <v>2500000</v>
      </c>
    </row>
    <row r="78" spans="1:14" s="143" customFormat="1" x14ac:dyDescent="0.25">
      <c r="A78" s="143" t="s">
        <v>70</v>
      </c>
      <c r="B78" s="143" t="s">
        <v>224</v>
      </c>
      <c r="C78" s="143" t="s">
        <v>225</v>
      </c>
      <c r="D78" s="143" t="s">
        <v>69</v>
      </c>
      <c r="E78" s="257">
        <v>66000</v>
      </c>
      <c r="F78" s="257">
        <v>66000</v>
      </c>
      <c r="G78" s="257">
        <v>66000</v>
      </c>
      <c r="H78" s="257">
        <v>0</v>
      </c>
      <c r="I78" s="257">
        <v>0</v>
      </c>
      <c r="J78" s="257">
        <v>0</v>
      </c>
      <c r="K78" s="257">
        <v>0</v>
      </c>
      <c r="L78" s="257">
        <v>0</v>
      </c>
      <c r="M78" s="257">
        <v>66000</v>
      </c>
      <c r="N78" s="257">
        <v>66000</v>
      </c>
    </row>
    <row r="79" spans="1:14" s="143" customFormat="1" x14ac:dyDescent="0.25">
      <c r="A79" s="143" t="s">
        <v>70</v>
      </c>
      <c r="B79" s="143" t="s">
        <v>226</v>
      </c>
      <c r="C79" s="143" t="s">
        <v>227</v>
      </c>
      <c r="D79" s="143" t="s">
        <v>69</v>
      </c>
      <c r="E79" s="257">
        <v>562000</v>
      </c>
      <c r="F79" s="257">
        <v>562000</v>
      </c>
      <c r="G79" s="257">
        <v>562000</v>
      </c>
      <c r="H79" s="257">
        <v>0</v>
      </c>
      <c r="I79" s="257">
        <v>0</v>
      </c>
      <c r="J79" s="257">
        <v>0</v>
      </c>
      <c r="K79" s="257">
        <v>0</v>
      </c>
      <c r="L79" s="257">
        <v>0</v>
      </c>
      <c r="M79" s="257">
        <v>562000</v>
      </c>
      <c r="N79" s="257">
        <v>562000</v>
      </c>
    </row>
    <row r="80" spans="1:14" s="143" customFormat="1" x14ac:dyDescent="0.25">
      <c r="A80" s="143" t="s">
        <v>70</v>
      </c>
      <c r="B80" s="143" t="s">
        <v>228</v>
      </c>
      <c r="C80" s="143" t="s">
        <v>229</v>
      </c>
      <c r="D80" s="143" t="s">
        <v>69</v>
      </c>
      <c r="E80" s="257">
        <v>1000000</v>
      </c>
      <c r="F80" s="257">
        <v>1000000</v>
      </c>
      <c r="G80" s="257">
        <v>1000000</v>
      </c>
      <c r="H80" s="257">
        <v>0</v>
      </c>
      <c r="I80" s="257">
        <v>0</v>
      </c>
      <c r="J80" s="257">
        <v>0</v>
      </c>
      <c r="K80" s="257">
        <v>0</v>
      </c>
      <c r="L80" s="257">
        <v>0</v>
      </c>
      <c r="M80" s="257">
        <v>1000000</v>
      </c>
      <c r="N80" s="257">
        <v>1000000</v>
      </c>
    </row>
    <row r="81" spans="1:14" s="143" customFormat="1" x14ac:dyDescent="0.25">
      <c r="A81" s="143" t="s">
        <v>70</v>
      </c>
      <c r="B81" s="143" t="s">
        <v>248</v>
      </c>
      <c r="C81" s="143" t="s">
        <v>249</v>
      </c>
      <c r="D81" s="143" t="s">
        <v>69</v>
      </c>
      <c r="E81" s="257">
        <v>731283000</v>
      </c>
      <c r="F81" s="257">
        <v>731283000</v>
      </c>
      <c r="G81" s="257">
        <v>214777250</v>
      </c>
      <c r="H81" s="257">
        <v>0</v>
      </c>
      <c r="I81" s="257">
        <v>121077337.36</v>
      </c>
      <c r="J81" s="257">
        <v>0</v>
      </c>
      <c r="K81" s="257">
        <v>84053778.640000001</v>
      </c>
      <c r="L81" s="257">
        <v>73975473.180000007</v>
      </c>
      <c r="M81" s="257">
        <v>526151884</v>
      </c>
      <c r="N81" s="257">
        <v>9646134</v>
      </c>
    </row>
    <row r="82" spans="1:14" s="143" customFormat="1" x14ac:dyDescent="0.25">
      <c r="A82" s="143" t="s">
        <v>70</v>
      </c>
      <c r="B82" s="143" t="s">
        <v>250</v>
      </c>
      <c r="C82" s="143" t="s">
        <v>251</v>
      </c>
      <c r="D82" s="143" t="s">
        <v>69</v>
      </c>
      <c r="E82" s="257">
        <v>268185000</v>
      </c>
      <c r="F82" s="257">
        <v>268185000</v>
      </c>
      <c r="G82" s="257">
        <v>79185000</v>
      </c>
      <c r="H82" s="257">
        <v>0</v>
      </c>
      <c r="I82" s="257">
        <v>38819673.32</v>
      </c>
      <c r="J82" s="257">
        <v>0</v>
      </c>
      <c r="K82" s="257">
        <v>40365326.68</v>
      </c>
      <c r="L82" s="257">
        <v>40365326.68</v>
      </c>
      <c r="M82" s="257">
        <v>189000000</v>
      </c>
      <c r="N82" s="257">
        <v>0</v>
      </c>
    </row>
    <row r="83" spans="1:14" s="143" customFormat="1" x14ac:dyDescent="0.25">
      <c r="A83" s="143" t="s">
        <v>70</v>
      </c>
      <c r="B83" s="143" t="s">
        <v>252</v>
      </c>
      <c r="C83" s="143" t="s">
        <v>253</v>
      </c>
      <c r="D83" s="143" t="s">
        <v>69</v>
      </c>
      <c r="E83" s="257">
        <v>2000000</v>
      </c>
      <c r="F83" s="257">
        <v>2000000</v>
      </c>
      <c r="G83" s="257">
        <v>2000000</v>
      </c>
      <c r="H83" s="257">
        <v>0</v>
      </c>
      <c r="I83" s="257">
        <v>0</v>
      </c>
      <c r="J83" s="257">
        <v>0</v>
      </c>
      <c r="K83" s="257">
        <v>2000000</v>
      </c>
      <c r="L83" s="257">
        <v>2000000</v>
      </c>
      <c r="M83" s="257">
        <v>0</v>
      </c>
      <c r="N83" s="257">
        <v>0</v>
      </c>
    </row>
    <row r="84" spans="1:14" s="143" customFormat="1" x14ac:dyDescent="0.25">
      <c r="A84" s="143" t="s">
        <v>70</v>
      </c>
      <c r="B84" s="143" t="s">
        <v>254</v>
      </c>
      <c r="C84" s="143" t="s">
        <v>255</v>
      </c>
      <c r="D84" s="143" t="s">
        <v>69</v>
      </c>
      <c r="E84" s="257">
        <v>250000000</v>
      </c>
      <c r="F84" s="257">
        <v>250000000</v>
      </c>
      <c r="G84" s="257">
        <v>61000000</v>
      </c>
      <c r="H84" s="257">
        <v>0</v>
      </c>
      <c r="I84" s="257">
        <v>23745187.32</v>
      </c>
      <c r="J84" s="257">
        <v>0</v>
      </c>
      <c r="K84" s="257">
        <v>37254812.68</v>
      </c>
      <c r="L84" s="257">
        <v>37254812.68</v>
      </c>
      <c r="M84" s="257">
        <v>189000000</v>
      </c>
      <c r="N84" s="257">
        <v>0</v>
      </c>
    </row>
    <row r="85" spans="1:14" s="143" customFormat="1" x14ac:dyDescent="0.25">
      <c r="A85" s="143" t="s">
        <v>70</v>
      </c>
      <c r="B85" s="143" t="s">
        <v>256</v>
      </c>
      <c r="C85" s="143" t="s">
        <v>257</v>
      </c>
      <c r="D85" s="143" t="s">
        <v>69</v>
      </c>
      <c r="E85" s="257">
        <v>13470000</v>
      </c>
      <c r="F85" s="257">
        <v>13470000</v>
      </c>
      <c r="G85" s="257">
        <v>13470000</v>
      </c>
      <c r="H85" s="257">
        <v>0</v>
      </c>
      <c r="I85" s="257">
        <v>12545814</v>
      </c>
      <c r="J85" s="257">
        <v>0</v>
      </c>
      <c r="K85" s="257">
        <v>924186</v>
      </c>
      <c r="L85" s="257">
        <v>924186</v>
      </c>
      <c r="M85" s="257">
        <v>0</v>
      </c>
      <c r="N85" s="257">
        <v>0</v>
      </c>
    </row>
    <row r="86" spans="1:14" s="143" customFormat="1" x14ac:dyDescent="0.25">
      <c r="A86" s="143" t="s">
        <v>70</v>
      </c>
      <c r="B86" s="143" t="s">
        <v>258</v>
      </c>
      <c r="C86" s="143" t="s">
        <v>259</v>
      </c>
      <c r="D86" s="143" t="s">
        <v>69</v>
      </c>
      <c r="E86" s="257">
        <v>2715000</v>
      </c>
      <c r="F86" s="257">
        <v>2715000</v>
      </c>
      <c r="G86" s="257">
        <v>2715000</v>
      </c>
      <c r="H86" s="257">
        <v>0</v>
      </c>
      <c r="I86" s="257">
        <v>2528672</v>
      </c>
      <c r="J86" s="257">
        <v>0</v>
      </c>
      <c r="K86" s="257">
        <v>186328</v>
      </c>
      <c r="L86" s="257">
        <v>186328</v>
      </c>
      <c r="M86" s="257">
        <v>0</v>
      </c>
      <c r="N86" s="257">
        <v>0</v>
      </c>
    </row>
    <row r="87" spans="1:14" s="143" customFormat="1" x14ac:dyDescent="0.25">
      <c r="A87" s="143" t="s">
        <v>70</v>
      </c>
      <c r="B87" s="143" t="s">
        <v>260</v>
      </c>
      <c r="C87" s="143" t="s">
        <v>261</v>
      </c>
      <c r="D87" s="143" t="s">
        <v>69</v>
      </c>
      <c r="E87" s="257">
        <v>39757000</v>
      </c>
      <c r="F87" s="257">
        <v>39757000</v>
      </c>
      <c r="G87" s="257">
        <v>29757000</v>
      </c>
      <c r="H87" s="257">
        <v>0</v>
      </c>
      <c r="I87" s="257">
        <v>9921694.5399999991</v>
      </c>
      <c r="J87" s="257">
        <v>0</v>
      </c>
      <c r="K87" s="257">
        <v>10189171.460000001</v>
      </c>
      <c r="L87" s="257">
        <v>110866</v>
      </c>
      <c r="M87" s="257">
        <v>19646134</v>
      </c>
      <c r="N87" s="257">
        <v>9646134</v>
      </c>
    </row>
    <row r="88" spans="1:14" s="143" customFormat="1" x14ac:dyDescent="0.25">
      <c r="A88" s="143" t="s">
        <v>70</v>
      </c>
      <c r="B88" s="143" t="s">
        <v>262</v>
      </c>
      <c r="C88" s="143" t="s">
        <v>263</v>
      </c>
      <c r="D88" s="143" t="s">
        <v>69</v>
      </c>
      <c r="E88" s="257">
        <v>30000000</v>
      </c>
      <c r="F88" s="257">
        <v>30000000</v>
      </c>
      <c r="G88" s="257">
        <v>20000000</v>
      </c>
      <c r="H88" s="257">
        <v>0</v>
      </c>
      <c r="I88" s="257">
        <v>9921694.5399999991</v>
      </c>
      <c r="J88" s="257">
        <v>0</v>
      </c>
      <c r="K88" s="257">
        <v>10078305.460000001</v>
      </c>
      <c r="L88" s="257">
        <v>0</v>
      </c>
      <c r="M88" s="257">
        <v>10000000</v>
      </c>
      <c r="N88" s="257">
        <v>0</v>
      </c>
    </row>
    <row r="89" spans="1:14" s="143" customFormat="1" x14ac:dyDescent="0.25">
      <c r="A89" s="143" t="s">
        <v>70</v>
      </c>
      <c r="B89" s="143" t="s">
        <v>264</v>
      </c>
      <c r="C89" s="143" t="s">
        <v>265</v>
      </c>
      <c r="D89" s="143" t="s">
        <v>69</v>
      </c>
      <c r="E89" s="257">
        <v>9757000</v>
      </c>
      <c r="F89" s="257">
        <v>9757000</v>
      </c>
      <c r="G89" s="257">
        <v>9757000</v>
      </c>
      <c r="H89" s="257">
        <v>0</v>
      </c>
      <c r="I89" s="257">
        <v>0</v>
      </c>
      <c r="J89" s="257">
        <v>0</v>
      </c>
      <c r="K89" s="257">
        <v>110866</v>
      </c>
      <c r="L89" s="257">
        <v>110866</v>
      </c>
      <c r="M89" s="257">
        <v>9646134</v>
      </c>
      <c r="N89" s="257">
        <v>9646134</v>
      </c>
    </row>
    <row r="90" spans="1:14" s="143" customFormat="1" x14ac:dyDescent="0.25">
      <c r="A90" s="143" t="s">
        <v>70</v>
      </c>
      <c r="B90" s="143" t="s">
        <v>266</v>
      </c>
      <c r="C90" s="143" t="s">
        <v>267</v>
      </c>
      <c r="D90" s="143" t="s">
        <v>69</v>
      </c>
      <c r="E90" s="257">
        <v>423341000</v>
      </c>
      <c r="F90" s="257">
        <v>423341000</v>
      </c>
      <c r="G90" s="257">
        <v>105835250</v>
      </c>
      <c r="H90" s="257">
        <v>0</v>
      </c>
      <c r="I90" s="257">
        <v>72335969.5</v>
      </c>
      <c r="J90" s="257">
        <v>0</v>
      </c>
      <c r="K90" s="257">
        <v>33499280.5</v>
      </c>
      <c r="L90" s="257">
        <v>33499280.5</v>
      </c>
      <c r="M90" s="257">
        <v>317505750</v>
      </c>
      <c r="N90" s="257">
        <v>0</v>
      </c>
    </row>
    <row r="91" spans="1:14" s="143" customFormat="1" x14ac:dyDescent="0.25">
      <c r="A91" s="143" t="s">
        <v>70</v>
      </c>
      <c r="B91" s="143" t="s">
        <v>268</v>
      </c>
      <c r="C91" s="143" t="s">
        <v>269</v>
      </c>
      <c r="D91" s="143" t="s">
        <v>69</v>
      </c>
      <c r="E91" s="257">
        <v>406300000</v>
      </c>
      <c r="F91" s="257">
        <v>406300000</v>
      </c>
      <c r="G91" s="257">
        <v>88794250</v>
      </c>
      <c r="H91" s="257">
        <v>0</v>
      </c>
      <c r="I91" s="257">
        <v>58794250</v>
      </c>
      <c r="J91" s="257">
        <v>0</v>
      </c>
      <c r="K91" s="257">
        <v>30000000</v>
      </c>
      <c r="L91" s="257">
        <v>30000000</v>
      </c>
      <c r="M91" s="257">
        <v>317505750</v>
      </c>
      <c r="N91" s="257">
        <v>0</v>
      </c>
    </row>
    <row r="92" spans="1:14" s="143" customFormat="1" x14ac:dyDescent="0.25">
      <c r="A92" s="143" t="s">
        <v>70</v>
      </c>
      <c r="B92" s="143" t="s">
        <v>270</v>
      </c>
      <c r="C92" s="143" t="s">
        <v>271</v>
      </c>
      <c r="D92" s="143" t="s">
        <v>69</v>
      </c>
      <c r="E92" s="257">
        <v>13364000</v>
      </c>
      <c r="F92" s="257">
        <v>13364000</v>
      </c>
      <c r="G92" s="257">
        <v>13364000</v>
      </c>
      <c r="H92" s="257">
        <v>0</v>
      </c>
      <c r="I92" s="257">
        <v>13364000</v>
      </c>
      <c r="J92" s="257">
        <v>0</v>
      </c>
      <c r="K92" s="257">
        <v>0</v>
      </c>
      <c r="L92" s="257">
        <v>0</v>
      </c>
      <c r="M92" s="257">
        <v>0</v>
      </c>
      <c r="N92" s="257">
        <v>0</v>
      </c>
    </row>
    <row r="93" spans="1:14" s="143" customFormat="1" x14ac:dyDescent="0.25">
      <c r="A93" s="143" t="s">
        <v>70</v>
      </c>
      <c r="B93" s="143" t="s">
        <v>272</v>
      </c>
      <c r="C93" s="143" t="s">
        <v>273</v>
      </c>
      <c r="D93" s="143" t="s">
        <v>69</v>
      </c>
      <c r="E93" s="257">
        <v>3677000</v>
      </c>
      <c r="F93" s="257">
        <v>3677000</v>
      </c>
      <c r="G93" s="257">
        <v>3677000</v>
      </c>
      <c r="H93" s="257">
        <v>0</v>
      </c>
      <c r="I93" s="257">
        <v>177719.5</v>
      </c>
      <c r="J93" s="257">
        <v>0</v>
      </c>
      <c r="K93" s="257">
        <v>3499280.5</v>
      </c>
      <c r="L93" s="257">
        <v>3499280.5</v>
      </c>
      <c r="M93" s="257">
        <v>0</v>
      </c>
      <c r="N93" s="257">
        <v>0</v>
      </c>
    </row>
    <row r="94" spans="1:14" s="143" customFormat="1" x14ac:dyDescent="0.25">
      <c r="A94" s="143" t="s">
        <v>70</v>
      </c>
      <c r="B94" s="143" t="s">
        <v>230</v>
      </c>
      <c r="C94" s="143" t="s">
        <v>231</v>
      </c>
      <c r="D94" s="143" t="s">
        <v>85</v>
      </c>
      <c r="E94" s="257">
        <v>17098648</v>
      </c>
      <c r="F94" s="257">
        <v>17098648</v>
      </c>
      <c r="G94" s="257">
        <v>4274662</v>
      </c>
      <c r="H94" s="257">
        <v>0</v>
      </c>
      <c r="I94" s="257">
        <v>0</v>
      </c>
      <c r="J94" s="257">
        <v>0</v>
      </c>
      <c r="K94" s="257">
        <v>0</v>
      </c>
      <c r="L94" s="257">
        <v>0</v>
      </c>
      <c r="M94" s="257">
        <v>17098648</v>
      </c>
      <c r="N94" s="257">
        <v>4274662</v>
      </c>
    </row>
    <row r="95" spans="1:14" s="143" customFormat="1" x14ac:dyDescent="0.25">
      <c r="A95" s="143" t="s">
        <v>70</v>
      </c>
      <c r="B95" s="143" t="s">
        <v>232</v>
      </c>
      <c r="C95" s="143" t="s">
        <v>233</v>
      </c>
      <c r="D95" s="143" t="s">
        <v>85</v>
      </c>
      <c r="E95" s="257">
        <v>16598648</v>
      </c>
      <c r="F95" s="257">
        <v>16598648</v>
      </c>
      <c r="G95" s="257">
        <v>3774662</v>
      </c>
      <c r="H95" s="257">
        <v>0</v>
      </c>
      <c r="I95" s="257">
        <v>0</v>
      </c>
      <c r="J95" s="257">
        <v>0</v>
      </c>
      <c r="K95" s="257">
        <v>0</v>
      </c>
      <c r="L95" s="257">
        <v>0</v>
      </c>
      <c r="M95" s="257">
        <v>16598648</v>
      </c>
      <c r="N95" s="257">
        <v>3774662</v>
      </c>
    </row>
    <row r="96" spans="1:14" s="143" customFormat="1" x14ac:dyDescent="0.25">
      <c r="A96" s="143" t="s">
        <v>70</v>
      </c>
      <c r="B96" s="143" t="s">
        <v>234</v>
      </c>
      <c r="C96" s="143" t="s">
        <v>235</v>
      </c>
      <c r="D96" s="143" t="s">
        <v>85</v>
      </c>
      <c r="E96" s="257">
        <v>3000000</v>
      </c>
      <c r="F96" s="257">
        <v>3000000</v>
      </c>
      <c r="G96" s="257">
        <v>513662</v>
      </c>
      <c r="H96" s="257">
        <v>0</v>
      </c>
      <c r="I96" s="257">
        <v>0</v>
      </c>
      <c r="J96" s="257">
        <v>0</v>
      </c>
      <c r="K96" s="257">
        <v>0</v>
      </c>
      <c r="L96" s="257">
        <v>0</v>
      </c>
      <c r="M96" s="257">
        <v>3000000</v>
      </c>
      <c r="N96" s="257">
        <v>513662</v>
      </c>
    </row>
    <row r="97" spans="1:14" s="143" customFormat="1" x14ac:dyDescent="0.25">
      <c r="A97" s="143" t="s">
        <v>70</v>
      </c>
      <c r="B97" s="143" t="s">
        <v>236</v>
      </c>
      <c r="C97" s="143" t="s">
        <v>237</v>
      </c>
      <c r="D97" s="143" t="s">
        <v>85</v>
      </c>
      <c r="E97" s="257">
        <v>4000000</v>
      </c>
      <c r="F97" s="257">
        <v>4000000</v>
      </c>
      <c r="G97" s="257">
        <v>0</v>
      </c>
      <c r="H97" s="257">
        <v>0</v>
      </c>
      <c r="I97" s="257">
        <v>0</v>
      </c>
      <c r="J97" s="257">
        <v>0</v>
      </c>
      <c r="K97" s="257">
        <v>0</v>
      </c>
      <c r="L97" s="257">
        <v>0</v>
      </c>
      <c r="M97" s="257">
        <v>4000000</v>
      </c>
      <c r="N97" s="257">
        <v>0</v>
      </c>
    </row>
    <row r="98" spans="1:14" s="143" customFormat="1" x14ac:dyDescent="0.25">
      <c r="A98" s="143" t="s">
        <v>70</v>
      </c>
      <c r="B98" s="143" t="s">
        <v>238</v>
      </c>
      <c r="C98" s="143" t="s">
        <v>239</v>
      </c>
      <c r="D98" s="143" t="s">
        <v>85</v>
      </c>
      <c r="E98" s="257">
        <v>6337648</v>
      </c>
      <c r="F98" s="257">
        <v>6337648</v>
      </c>
      <c r="G98" s="257">
        <v>0</v>
      </c>
      <c r="H98" s="257">
        <v>0</v>
      </c>
      <c r="I98" s="257">
        <v>0</v>
      </c>
      <c r="J98" s="257">
        <v>0</v>
      </c>
      <c r="K98" s="257">
        <v>0</v>
      </c>
      <c r="L98" s="257">
        <v>0</v>
      </c>
      <c r="M98" s="257">
        <v>6337648</v>
      </c>
      <c r="N98" s="257">
        <v>0</v>
      </c>
    </row>
    <row r="99" spans="1:14" s="143" customFormat="1" x14ac:dyDescent="0.25">
      <c r="A99" s="143" t="s">
        <v>70</v>
      </c>
      <c r="B99" s="143" t="s">
        <v>240</v>
      </c>
      <c r="C99" s="143" t="s">
        <v>241</v>
      </c>
      <c r="D99" s="143" t="s">
        <v>85</v>
      </c>
      <c r="E99" s="257">
        <v>2261000</v>
      </c>
      <c r="F99" s="257">
        <v>2261000</v>
      </c>
      <c r="G99" s="257">
        <v>2261000</v>
      </c>
      <c r="H99" s="257">
        <v>0</v>
      </c>
      <c r="I99" s="257">
        <v>0</v>
      </c>
      <c r="J99" s="257">
        <v>0</v>
      </c>
      <c r="K99" s="257">
        <v>0</v>
      </c>
      <c r="L99" s="257">
        <v>0</v>
      </c>
      <c r="M99" s="257">
        <v>2261000</v>
      </c>
      <c r="N99" s="257">
        <v>2261000</v>
      </c>
    </row>
    <row r="100" spans="1:14" s="143" customFormat="1" x14ac:dyDescent="0.25">
      <c r="A100" s="143" t="s">
        <v>70</v>
      </c>
      <c r="B100" s="143" t="s">
        <v>242</v>
      </c>
      <c r="C100" s="143" t="s">
        <v>243</v>
      </c>
      <c r="D100" s="143" t="s">
        <v>85</v>
      </c>
      <c r="E100" s="257">
        <v>1000000</v>
      </c>
      <c r="F100" s="257">
        <v>1000000</v>
      </c>
      <c r="G100" s="257">
        <v>1000000</v>
      </c>
      <c r="H100" s="257">
        <v>0</v>
      </c>
      <c r="I100" s="257">
        <v>0</v>
      </c>
      <c r="J100" s="257">
        <v>0</v>
      </c>
      <c r="K100" s="257">
        <v>0</v>
      </c>
      <c r="L100" s="257">
        <v>0</v>
      </c>
      <c r="M100" s="257">
        <v>1000000</v>
      </c>
      <c r="N100" s="257">
        <v>1000000</v>
      </c>
    </row>
    <row r="101" spans="1:14" s="143" customFormat="1" x14ac:dyDescent="0.25">
      <c r="A101" s="143" t="s">
        <v>70</v>
      </c>
      <c r="B101" s="143" t="s">
        <v>244</v>
      </c>
      <c r="C101" s="143" t="s">
        <v>245</v>
      </c>
      <c r="D101" s="143" t="s">
        <v>85</v>
      </c>
      <c r="E101" s="257">
        <v>500000</v>
      </c>
      <c r="F101" s="257">
        <v>500000</v>
      </c>
      <c r="G101" s="257">
        <v>500000</v>
      </c>
      <c r="H101" s="257">
        <v>0</v>
      </c>
      <c r="I101" s="257">
        <v>0</v>
      </c>
      <c r="J101" s="257">
        <v>0</v>
      </c>
      <c r="K101" s="257">
        <v>0</v>
      </c>
      <c r="L101" s="257">
        <v>0</v>
      </c>
      <c r="M101" s="257">
        <v>500000</v>
      </c>
      <c r="N101" s="257">
        <v>500000</v>
      </c>
    </row>
    <row r="102" spans="1:14" s="143" customFormat="1" x14ac:dyDescent="0.25">
      <c r="A102" s="143" t="s">
        <v>70</v>
      </c>
      <c r="B102" s="143" t="s">
        <v>246</v>
      </c>
      <c r="C102" s="143" t="s">
        <v>247</v>
      </c>
      <c r="D102" s="143" t="s">
        <v>85</v>
      </c>
      <c r="E102" s="257">
        <v>500000</v>
      </c>
      <c r="F102" s="257">
        <v>500000</v>
      </c>
      <c r="G102" s="257">
        <v>500000</v>
      </c>
      <c r="H102" s="257">
        <v>0</v>
      </c>
      <c r="I102" s="257">
        <v>0</v>
      </c>
      <c r="J102" s="257">
        <v>0</v>
      </c>
      <c r="K102" s="257">
        <v>0</v>
      </c>
      <c r="L102" s="257">
        <v>0</v>
      </c>
      <c r="M102" s="257">
        <v>500000</v>
      </c>
      <c r="N102" s="257">
        <v>500000</v>
      </c>
    </row>
    <row r="103" spans="1:14" s="143" customFormat="1" x14ac:dyDescent="0.25">
      <c r="A103" s="143">
        <v>214780</v>
      </c>
      <c r="D103" s="143" t="s">
        <v>69</v>
      </c>
      <c r="E103" s="257">
        <v>1241247489</v>
      </c>
      <c r="F103" s="257">
        <v>1241247489</v>
      </c>
      <c r="G103" s="257">
        <v>1039928481.85</v>
      </c>
      <c r="H103" s="257">
        <v>0</v>
      </c>
      <c r="I103" s="257">
        <v>180361793.22</v>
      </c>
      <c r="J103" s="257">
        <v>0</v>
      </c>
      <c r="K103" s="279">
        <v>113368080.03</v>
      </c>
      <c r="L103" s="257">
        <v>104553199.81999999</v>
      </c>
      <c r="M103" s="257">
        <v>947517615.75</v>
      </c>
      <c r="N103" s="257">
        <v>746198608.60000002</v>
      </c>
    </row>
    <row r="104" spans="1:14" s="143" customFormat="1" x14ac:dyDescent="0.25">
      <c r="A104" s="143" t="s">
        <v>274</v>
      </c>
      <c r="B104" s="143" t="s">
        <v>71</v>
      </c>
      <c r="C104" s="143" t="s">
        <v>72</v>
      </c>
      <c r="D104" s="143" t="s">
        <v>69</v>
      </c>
      <c r="E104" s="257">
        <v>953910000</v>
      </c>
      <c r="F104" s="257">
        <v>953910000</v>
      </c>
      <c r="G104" s="257">
        <v>953910000</v>
      </c>
      <c r="H104" s="257">
        <v>0</v>
      </c>
      <c r="I104" s="257">
        <v>134825833</v>
      </c>
      <c r="J104" s="257">
        <v>0</v>
      </c>
      <c r="K104" s="257">
        <v>102959149.81999999</v>
      </c>
      <c r="L104" s="257">
        <v>102959149.81999999</v>
      </c>
      <c r="M104" s="257">
        <v>716125017.17999995</v>
      </c>
      <c r="N104" s="257">
        <v>716125017.17999995</v>
      </c>
    </row>
    <row r="105" spans="1:14" s="143" customFormat="1" x14ac:dyDescent="0.25">
      <c r="A105" s="143" t="s">
        <v>274</v>
      </c>
      <c r="B105" s="143" t="s">
        <v>73</v>
      </c>
      <c r="C105" s="143" t="s">
        <v>74</v>
      </c>
      <c r="D105" s="143" t="s">
        <v>69</v>
      </c>
      <c r="E105" s="257">
        <v>383841000</v>
      </c>
      <c r="F105" s="257">
        <v>383841000</v>
      </c>
      <c r="G105" s="257">
        <v>383841000</v>
      </c>
      <c r="H105" s="257">
        <v>0</v>
      </c>
      <c r="I105" s="257">
        <v>0</v>
      </c>
      <c r="J105" s="257">
        <v>0</v>
      </c>
      <c r="K105" s="257">
        <v>27409250</v>
      </c>
      <c r="L105" s="257">
        <v>27409250</v>
      </c>
      <c r="M105" s="257">
        <v>356431750</v>
      </c>
      <c r="N105" s="257">
        <v>356431750</v>
      </c>
    </row>
    <row r="106" spans="1:14" s="143" customFormat="1" x14ac:dyDescent="0.25">
      <c r="A106" s="143" t="s">
        <v>274</v>
      </c>
      <c r="B106" s="143" t="s">
        <v>75</v>
      </c>
      <c r="C106" s="143" t="s">
        <v>76</v>
      </c>
      <c r="D106" s="143" t="s">
        <v>69</v>
      </c>
      <c r="E106" s="257">
        <v>383841000</v>
      </c>
      <c r="F106" s="257">
        <v>383841000</v>
      </c>
      <c r="G106" s="257">
        <v>383841000</v>
      </c>
      <c r="H106" s="257">
        <v>0</v>
      </c>
      <c r="I106" s="257">
        <v>0</v>
      </c>
      <c r="J106" s="257">
        <v>0</v>
      </c>
      <c r="K106" s="257">
        <v>27409250</v>
      </c>
      <c r="L106" s="257">
        <v>27409250</v>
      </c>
      <c r="M106" s="257">
        <v>356431750</v>
      </c>
      <c r="N106" s="257">
        <v>356431750</v>
      </c>
    </row>
    <row r="107" spans="1:14" s="143" customFormat="1" x14ac:dyDescent="0.25">
      <c r="A107" s="143" t="s">
        <v>274</v>
      </c>
      <c r="B107" s="143" t="s">
        <v>77</v>
      </c>
      <c r="C107" s="143" t="s">
        <v>78</v>
      </c>
      <c r="D107" s="143" t="s">
        <v>69</v>
      </c>
      <c r="E107" s="257">
        <v>425514000</v>
      </c>
      <c r="F107" s="257">
        <v>425514000</v>
      </c>
      <c r="G107" s="257">
        <v>425514000</v>
      </c>
      <c r="H107" s="257">
        <v>0</v>
      </c>
      <c r="I107" s="257">
        <v>0</v>
      </c>
      <c r="J107" s="257">
        <v>0</v>
      </c>
      <c r="K107" s="257">
        <v>65820732.82</v>
      </c>
      <c r="L107" s="257">
        <v>65820732.82</v>
      </c>
      <c r="M107" s="257">
        <v>359693267.18000001</v>
      </c>
      <c r="N107" s="257">
        <v>359693267.18000001</v>
      </c>
    </row>
    <row r="108" spans="1:14" s="143" customFormat="1" x14ac:dyDescent="0.25">
      <c r="A108" s="143" t="s">
        <v>274</v>
      </c>
      <c r="B108" s="143" t="s">
        <v>79</v>
      </c>
      <c r="C108" s="143" t="s">
        <v>80</v>
      </c>
      <c r="D108" s="143" t="s">
        <v>69</v>
      </c>
      <c r="E108" s="257">
        <v>70660000</v>
      </c>
      <c r="F108" s="257">
        <v>70660000</v>
      </c>
      <c r="G108" s="257">
        <v>70660000</v>
      </c>
      <c r="H108" s="257">
        <v>0</v>
      </c>
      <c r="I108" s="257">
        <v>0</v>
      </c>
      <c r="J108" s="257">
        <v>0</v>
      </c>
      <c r="K108" s="257">
        <v>4805079.5</v>
      </c>
      <c r="L108" s="257">
        <v>4805079.5</v>
      </c>
      <c r="M108" s="257">
        <v>65854920.5</v>
      </c>
      <c r="N108" s="257">
        <v>65854920.5</v>
      </c>
    </row>
    <row r="109" spans="1:14" s="143" customFormat="1" x14ac:dyDescent="0.25">
      <c r="A109" s="143" t="s">
        <v>274</v>
      </c>
      <c r="B109" s="143" t="s">
        <v>81</v>
      </c>
      <c r="C109" s="143" t="s">
        <v>82</v>
      </c>
      <c r="D109" s="143" t="s">
        <v>69</v>
      </c>
      <c r="E109" s="257">
        <v>211191000</v>
      </c>
      <c r="F109" s="257">
        <v>211191000</v>
      </c>
      <c r="G109" s="257">
        <v>211191000</v>
      </c>
      <c r="H109" s="257">
        <v>0</v>
      </c>
      <c r="I109" s="257">
        <v>0</v>
      </c>
      <c r="J109" s="257">
        <v>0</v>
      </c>
      <c r="K109" s="257">
        <v>14058835</v>
      </c>
      <c r="L109" s="257">
        <v>14058835</v>
      </c>
      <c r="M109" s="257">
        <v>197132165</v>
      </c>
      <c r="N109" s="257">
        <v>197132165</v>
      </c>
    </row>
    <row r="110" spans="1:14" s="143" customFormat="1" x14ac:dyDescent="0.25">
      <c r="A110" s="143" t="s">
        <v>274</v>
      </c>
      <c r="B110" s="143" t="s">
        <v>86</v>
      </c>
      <c r="C110" s="143" t="s">
        <v>87</v>
      </c>
      <c r="D110" s="143" t="s">
        <v>69</v>
      </c>
      <c r="E110" s="257">
        <v>46480000</v>
      </c>
      <c r="F110" s="257">
        <v>46480000</v>
      </c>
      <c r="G110" s="257">
        <v>46480000</v>
      </c>
      <c r="H110" s="257">
        <v>0</v>
      </c>
      <c r="I110" s="257">
        <v>0</v>
      </c>
      <c r="J110" s="257">
        <v>0</v>
      </c>
      <c r="K110" s="257">
        <v>44448031.07</v>
      </c>
      <c r="L110" s="257">
        <v>44448031.07</v>
      </c>
      <c r="M110" s="257">
        <v>2031968.93</v>
      </c>
      <c r="N110" s="257">
        <v>2031968.93</v>
      </c>
    </row>
    <row r="111" spans="1:14" s="143" customFormat="1" x14ac:dyDescent="0.25">
      <c r="A111" s="143" t="s">
        <v>274</v>
      </c>
      <c r="B111" s="143" t="s">
        <v>88</v>
      </c>
      <c r="C111" s="143" t="s">
        <v>89</v>
      </c>
      <c r="D111" s="143" t="s">
        <v>69</v>
      </c>
      <c r="E111" s="257">
        <v>35665000</v>
      </c>
      <c r="F111" s="257">
        <v>35665000</v>
      </c>
      <c r="G111" s="257">
        <v>35665000</v>
      </c>
      <c r="H111" s="257">
        <v>0</v>
      </c>
      <c r="I111" s="257">
        <v>0</v>
      </c>
      <c r="J111" s="257">
        <v>0</v>
      </c>
      <c r="K111" s="257">
        <v>2508787.25</v>
      </c>
      <c r="L111" s="257">
        <v>2508787.25</v>
      </c>
      <c r="M111" s="257">
        <v>33156212.75</v>
      </c>
      <c r="N111" s="257">
        <v>33156212.75</v>
      </c>
    </row>
    <row r="112" spans="1:14" s="143" customFormat="1" x14ac:dyDescent="0.25">
      <c r="A112" s="143" t="s">
        <v>274</v>
      </c>
      <c r="B112" s="143" t="s">
        <v>83</v>
      </c>
      <c r="C112" s="143" t="s">
        <v>84</v>
      </c>
      <c r="D112" s="143" t="s">
        <v>85</v>
      </c>
      <c r="E112" s="257">
        <v>61518000</v>
      </c>
      <c r="F112" s="257">
        <v>61518000</v>
      </c>
      <c r="G112" s="257">
        <v>61518000</v>
      </c>
      <c r="H112" s="257">
        <v>0</v>
      </c>
      <c r="I112" s="257">
        <v>0</v>
      </c>
      <c r="J112" s="257">
        <v>0</v>
      </c>
      <c r="K112" s="257">
        <v>0</v>
      </c>
      <c r="L112" s="257">
        <v>0</v>
      </c>
      <c r="M112" s="257">
        <v>61518000</v>
      </c>
      <c r="N112" s="257">
        <v>61518000</v>
      </c>
    </row>
    <row r="113" spans="1:14" s="143" customFormat="1" x14ac:dyDescent="0.25">
      <c r="A113" s="143" t="s">
        <v>274</v>
      </c>
      <c r="B113" s="143" t="s">
        <v>90</v>
      </c>
      <c r="C113" s="143" t="s">
        <v>91</v>
      </c>
      <c r="D113" s="143" t="s">
        <v>69</v>
      </c>
      <c r="E113" s="257">
        <v>72913000</v>
      </c>
      <c r="F113" s="257">
        <v>72913000</v>
      </c>
      <c r="G113" s="257">
        <v>72913000</v>
      </c>
      <c r="H113" s="257">
        <v>0</v>
      </c>
      <c r="I113" s="257">
        <v>68004073</v>
      </c>
      <c r="J113" s="257">
        <v>0</v>
      </c>
      <c r="K113" s="257">
        <v>4908927</v>
      </c>
      <c r="L113" s="257">
        <v>4908927</v>
      </c>
      <c r="M113" s="257">
        <v>0</v>
      </c>
      <c r="N113" s="257">
        <v>0</v>
      </c>
    </row>
    <row r="114" spans="1:14" s="143" customFormat="1" x14ac:dyDescent="0.25">
      <c r="A114" s="143" t="s">
        <v>274</v>
      </c>
      <c r="B114" s="143" t="s">
        <v>275</v>
      </c>
      <c r="C114" s="143" t="s">
        <v>93</v>
      </c>
      <c r="D114" s="143" t="s">
        <v>69</v>
      </c>
      <c r="E114" s="257">
        <v>69174000</v>
      </c>
      <c r="F114" s="257">
        <v>69174000</v>
      </c>
      <c r="G114" s="257">
        <v>69174000</v>
      </c>
      <c r="H114" s="257">
        <v>0</v>
      </c>
      <c r="I114" s="257">
        <v>64516562</v>
      </c>
      <c r="J114" s="257">
        <v>0</v>
      </c>
      <c r="K114" s="257">
        <v>4657438</v>
      </c>
      <c r="L114" s="257">
        <v>4657438</v>
      </c>
      <c r="M114" s="257">
        <v>0</v>
      </c>
      <c r="N114" s="257">
        <v>0</v>
      </c>
    </row>
    <row r="115" spans="1:14" s="143" customFormat="1" x14ac:dyDescent="0.25">
      <c r="A115" s="143" t="s">
        <v>274</v>
      </c>
      <c r="B115" s="143" t="s">
        <v>276</v>
      </c>
      <c r="C115" s="143" t="s">
        <v>95</v>
      </c>
      <c r="D115" s="143" t="s">
        <v>69</v>
      </c>
      <c r="E115" s="257">
        <v>3739000</v>
      </c>
      <c r="F115" s="257">
        <v>3739000</v>
      </c>
      <c r="G115" s="257">
        <v>3739000</v>
      </c>
      <c r="H115" s="257">
        <v>0</v>
      </c>
      <c r="I115" s="257">
        <v>3487511</v>
      </c>
      <c r="J115" s="257">
        <v>0</v>
      </c>
      <c r="K115" s="257">
        <v>251489</v>
      </c>
      <c r="L115" s="257">
        <v>251489</v>
      </c>
      <c r="M115" s="257">
        <v>0</v>
      </c>
      <c r="N115" s="257">
        <v>0</v>
      </c>
    </row>
    <row r="116" spans="1:14" s="143" customFormat="1" x14ac:dyDescent="0.25">
      <c r="A116" s="143" t="s">
        <v>274</v>
      </c>
      <c r="B116" s="143" t="s">
        <v>96</v>
      </c>
      <c r="C116" s="143" t="s">
        <v>97</v>
      </c>
      <c r="D116" s="143" t="s">
        <v>69</v>
      </c>
      <c r="E116" s="257">
        <v>71642000</v>
      </c>
      <c r="F116" s="257">
        <v>71642000</v>
      </c>
      <c r="G116" s="257">
        <v>71642000</v>
      </c>
      <c r="H116" s="257">
        <v>0</v>
      </c>
      <c r="I116" s="257">
        <v>66821760</v>
      </c>
      <c r="J116" s="257">
        <v>0</v>
      </c>
      <c r="K116" s="257">
        <v>4820240</v>
      </c>
      <c r="L116" s="257">
        <v>4820240</v>
      </c>
      <c r="M116" s="257">
        <v>0</v>
      </c>
      <c r="N116" s="257">
        <v>0</v>
      </c>
    </row>
    <row r="117" spans="1:14" s="143" customFormat="1" x14ac:dyDescent="0.25">
      <c r="A117" s="143" t="s">
        <v>274</v>
      </c>
      <c r="B117" s="143" t="s">
        <v>277</v>
      </c>
      <c r="C117" s="143" t="s">
        <v>99</v>
      </c>
      <c r="D117" s="143" t="s">
        <v>69</v>
      </c>
      <c r="E117" s="257">
        <v>37990000</v>
      </c>
      <c r="F117" s="257">
        <v>37990000</v>
      </c>
      <c r="G117" s="257">
        <v>37990000</v>
      </c>
      <c r="H117" s="257">
        <v>0</v>
      </c>
      <c r="I117" s="257">
        <v>35433170</v>
      </c>
      <c r="J117" s="257">
        <v>0</v>
      </c>
      <c r="K117" s="257">
        <v>2556830</v>
      </c>
      <c r="L117" s="257">
        <v>2556830</v>
      </c>
      <c r="M117" s="257">
        <v>0</v>
      </c>
      <c r="N117" s="257">
        <v>0</v>
      </c>
    </row>
    <row r="118" spans="1:14" s="143" customFormat="1" x14ac:dyDescent="0.25">
      <c r="A118" s="143" t="s">
        <v>274</v>
      </c>
      <c r="B118" s="143" t="s">
        <v>278</v>
      </c>
      <c r="C118" s="143" t="s">
        <v>101</v>
      </c>
      <c r="D118" s="143" t="s">
        <v>69</v>
      </c>
      <c r="E118" s="257">
        <v>11217000</v>
      </c>
      <c r="F118" s="257">
        <v>11217000</v>
      </c>
      <c r="G118" s="257">
        <v>11217000</v>
      </c>
      <c r="H118" s="257">
        <v>0</v>
      </c>
      <c r="I118" s="257">
        <v>10462528</v>
      </c>
      <c r="J118" s="257">
        <v>0</v>
      </c>
      <c r="K118" s="257">
        <v>754472</v>
      </c>
      <c r="L118" s="257">
        <v>754472</v>
      </c>
      <c r="M118" s="257">
        <v>0</v>
      </c>
      <c r="N118" s="257">
        <v>0</v>
      </c>
    </row>
    <row r="119" spans="1:14" s="143" customFormat="1" x14ac:dyDescent="0.25">
      <c r="A119" s="143" t="s">
        <v>274</v>
      </c>
      <c r="B119" s="143" t="s">
        <v>279</v>
      </c>
      <c r="C119" s="143" t="s">
        <v>103</v>
      </c>
      <c r="D119" s="143" t="s">
        <v>69</v>
      </c>
      <c r="E119" s="257">
        <v>22435000</v>
      </c>
      <c r="F119" s="257">
        <v>22435000</v>
      </c>
      <c r="G119" s="257">
        <v>22435000</v>
      </c>
      <c r="H119" s="257">
        <v>0</v>
      </c>
      <c r="I119" s="257">
        <v>20926062</v>
      </c>
      <c r="J119" s="257">
        <v>0</v>
      </c>
      <c r="K119" s="257">
        <v>1508938</v>
      </c>
      <c r="L119" s="257">
        <v>1508938</v>
      </c>
      <c r="M119" s="257">
        <v>0</v>
      </c>
      <c r="N119" s="257">
        <v>0</v>
      </c>
    </row>
    <row r="120" spans="1:14" s="143" customFormat="1" x14ac:dyDescent="0.25">
      <c r="A120" s="143" t="s">
        <v>274</v>
      </c>
      <c r="B120" s="143" t="s">
        <v>104</v>
      </c>
      <c r="C120" s="143" t="s">
        <v>105</v>
      </c>
      <c r="D120" s="143" t="s">
        <v>69</v>
      </c>
      <c r="E120" s="257">
        <v>155922650</v>
      </c>
      <c r="F120" s="257">
        <v>155922650</v>
      </c>
      <c r="G120" s="257">
        <v>38944771.850000001</v>
      </c>
      <c r="H120" s="257">
        <v>0</v>
      </c>
      <c r="I120" s="257">
        <v>26692414.43</v>
      </c>
      <c r="J120" s="257">
        <v>0</v>
      </c>
      <c r="K120" s="257">
        <v>8714980.2100000009</v>
      </c>
      <c r="L120" s="257">
        <v>534100</v>
      </c>
      <c r="M120" s="257">
        <v>120515255.36</v>
      </c>
      <c r="N120" s="257">
        <v>3537377.21</v>
      </c>
    </row>
    <row r="121" spans="1:14" s="143" customFormat="1" x14ac:dyDescent="0.25">
      <c r="A121" s="143" t="s">
        <v>274</v>
      </c>
      <c r="B121" s="143" t="s">
        <v>106</v>
      </c>
      <c r="C121" s="143" t="s">
        <v>107</v>
      </c>
      <c r="D121" s="143" t="s">
        <v>69</v>
      </c>
      <c r="E121" s="257">
        <v>78966646</v>
      </c>
      <c r="F121" s="257">
        <v>78966646</v>
      </c>
      <c r="G121" s="257">
        <v>19740909</v>
      </c>
      <c r="H121" s="257">
        <v>0</v>
      </c>
      <c r="I121" s="257">
        <v>13916767.49</v>
      </c>
      <c r="J121" s="257">
        <v>0</v>
      </c>
      <c r="K121" s="257">
        <v>5824141.3499999996</v>
      </c>
      <c r="L121" s="257">
        <v>0</v>
      </c>
      <c r="M121" s="257">
        <v>59225737.159999996</v>
      </c>
      <c r="N121" s="257">
        <v>0.16</v>
      </c>
    </row>
    <row r="122" spans="1:14" s="143" customFormat="1" x14ac:dyDescent="0.25">
      <c r="A122" s="143" t="s">
        <v>274</v>
      </c>
      <c r="B122" s="143" t="s">
        <v>280</v>
      </c>
      <c r="C122" s="143" t="s">
        <v>281</v>
      </c>
      <c r="D122" s="143" t="s">
        <v>69</v>
      </c>
      <c r="E122" s="257">
        <v>67899341</v>
      </c>
      <c r="F122" s="257">
        <v>67899341</v>
      </c>
      <c r="G122" s="257">
        <v>16974082</v>
      </c>
      <c r="H122" s="257">
        <v>0</v>
      </c>
      <c r="I122" s="257">
        <v>11227773.630000001</v>
      </c>
      <c r="J122" s="257">
        <v>0</v>
      </c>
      <c r="K122" s="257">
        <v>5746308.3700000001</v>
      </c>
      <c r="L122" s="257">
        <v>0</v>
      </c>
      <c r="M122" s="257">
        <v>50925259</v>
      </c>
      <c r="N122" s="257">
        <v>0</v>
      </c>
    </row>
    <row r="123" spans="1:14" s="143" customFormat="1" x14ac:dyDescent="0.25">
      <c r="A123" s="143" t="s">
        <v>274</v>
      </c>
      <c r="B123" s="143" t="s">
        <v>108</v>
      </c>
      <c r="C123" s="143" t="s">
        <v>109</v>
      </c>
      <c r="D123" s="143" t="s">
        <v>69</v>
      </c>
      <c r="E123" s="257">
        <v>11067305</v>
      </c>
      <c r="F123" s="257">
        <v>11067305</v>
      </c>
      <c r="G123" s="257">
        <v>2766827</v>
      </c>
      <c r="H123" s="257">
        <v>0</v>
      </c>
      <c r="I123" s="257">
        <v>2688993.86</v>
      </c>
      <c r="J123" s="257">
        <v>0</v>
      </c>
      <c r="K123" s="257">
        <v>77832.98</v>
      </c>
      <c r="L123" s="257">
        <v>0</v>
      </c>
      <c r="M123" s="257">
        <v>8300478.1600000001</v>
      </c>
      <c r="N123" s="257">
        <v>0.16</v>
      </c>
    </row>
    <row r="124" spans="1:14" s="143" customFormat="1" x14ac:dyDescent="0.25">
      <c r="A124" s="143" t="s">
        <v>274</v>
      </c>
      <c r="B124" s="143" t="s">
        <v>112</v>
      </c>
      <c r="C124" s="143" t="s">
        <v>113</v>
      </c>
      <c r="D124" s="143" t="s">
        <v>69</v>
      </c>
      <c r="E124" s="257">
        <v>14518657</v>
      </c>
      <c r="F124" s="257">
        <v>14518657</v>
      </c>
      <c r="G124" s="257">
        <v>3593775</v>
      </c>
      <c r="H124" s="257">
        <v>0</v>
      </c>
      <c r="I124" s="257">
        <v>2031269.14</v>
      </c>
      <c r="J124" s="257">
        <v>0</v>
      </c>
      <c r="K124" s="257">
        <v>1339498.8600000001</v>
      </c>
      <c r="L124" s="257">
        <v>0</v>
      </c>
      <c r="M124" s="257">
        <v>11147889</v>
      </c>
      <c r="N124" s="257">
        <v>223007</v>
      </c>
    </row>
    <row r="125" spans="1:14" s="143" customFormat="1" x14ac:dyDescent="0.25">
      <c r="A125" s="143" t="s">
        <v>274</v>
      </c>
      <c r="B125" s="143" t="s">
        <v>114</v>
      </c>
      <c r="C125" s="143" t="s">
        <v>115</v>
      </c>
      <c r="D125" s="143" t="s">
        <v>69</v>
      </c>
      <c r="E125" s="257">
        <v>1280000</v>
      </c>
      <c r="F125" s="257">
        <v>1280000</v>
      </c>
      <c r="G125" s="257">
        <v>284110</v>
      </c>
      <c r="H125" s="257">
        <v>0</v>
      </c>
      <c r="I125" s="257">
        <v>210420</v>
      </c>
      <c r="J125" s="257">
        <v>0</v>
      </c>
      <c r="K125" s="257">
        <v>69580</v>
      </c>
      <c r="L125" s="257">
        <v>0</v>
      </c>
      <c r="M125" s="257">
        <v>1000000</v>
      </c>
      <c r="N125" s="257">
        <v>4110</v>
      </c>
    </row>
    <row r="126" spans="1:14" s="143" customFormat="1" x14ac:dyDescent="0.25">
      <c r="A126" s="143" t="s">
        <v>274</v>
      </c>
      <c r="B126" s="143" t="s">
        <v>116</v>
      </c>
      <c r="C126" s="143" t="s">
        <v>117</v>
      </c>
      <c r="D126" s="143" t="s">
        <v>69</v>
      </c>
      <c r="E126" s="257">
        <v>3685715</v>
      </c>
      <c r="F126" s="257">
        <v>3685715</v>
      </c>
      <c r="G126" s="257">
        <v>921429</v>
      </c>
      <c r="H126" s="257">
        <v>0</v>
      </c>
      <c r="I126" s="257">
        <v>646661</v>
      </c>
      <c r="J126" s="257">
        <v>0</v>
      </c>
      <c r="K126" s="257">
        <v>270329</v>
      </c>
      <c r="L126" s="257">
        <v>0</v>
      </c>
      <c r="M126" s="257">
        <v>2768725</v>
      </c>
      <c r="N126" s="257">
        <v>4439</v>
      </c>
    </row>
    <row r="127" spans="1:14" s="143" customFormat="1" x14ac:dyDescent="0.25">
      <c r="A127" s="143" t="s">
        <v>274</v>
      </c>
      <c r="B127" s="143" t="s">
        <v>120</v>
      </c>
      <c r="C127" s="143" t="s">
        <v>121</v>
      </c>
      <c r="D127" s="143" t="s">
        <v>69</v>
      </c>
      <c r="E127" s="257">
        <v>9552942</v>
      </c>
      <c r="F127" s="257">
        <v>9552942</v>
      </c>
      <c r="G127" s="257">
        <v>2388236</v>
      </c>
      <c r="H127" s="257">
        <v>0</v>
      </c>
      <c r="I127" s="257">
        <v>1174188.1399999999</v>
      </c>
      <c r="J127" s="257">
        <v>0</v>
      </c>
      <c r="K127" s="257">
        <v>999589.86</v>
      </c>
      <c r="L127" s="257">
        <v>0</v>
      </c>
      <c r="M127" s="257">
        <v>7379164</v>
      </c>
      <c r="N127" s="257">
        <v>214458</v>
      </c>
    </row>
    <row r="128" spans="1:14" s="143" customFormat="1" x14ac:dyDescent="0.25">
      <c r="A128" s="143" t="s">
        <v>274</v>
      </c>
      <c r="B128" s="143" t="s">
        <v>124</v>
      </c>
      <c r="C128" s="143" t="s">
        <v>125</v>
      </c>
      <c r="D128" s="143" t="s">
        <v>69</v>
      </c>
      <c r="E128" s="257">
        <v>16719000</v>
      </c>
      <c r="F128" s="257">
        <v>16719000</v>
      </c>
      <c r="G128" s="257">
        <v>4180000</v>
      </c>
      <c r="H128" s="257">
        <v>0</v>
      </c>
      <c r="I128" s="257">
        <v>2100000</v>
      </c>
      <c r="J128" s="257">
        <v>0</v>
      </c>
      <c r="K128" s="257">
        <v>0</v>
      </c>
      <c r="L128" s="257">
        <v>0</v>
      </c>
      <c r="M128" s="257">
        <v>14619000</v>
      </c>
      <c r="N128" s="257">
        <v>2080000</v>
      </c>
    </row>
    <row r="129" spans="1:14" s="143" customFormat="1" x14ac:dyDescent="0.25">
      <c r="A129" s="143" t="s">
        <v>274</v>
      </c>
      <c r="B129" s="143" t="s">
        <v>126</v>
      </c>
      <c r="C129" s="143" t="s">
        <v>127</v>
      </c>
      <c r="D129" s="143" t="s">
        <v>69</v>
      </c>
      <c r="E129" s="257">
        <v>719000</v>
      </c>
      <c r="F129" s="257">
        <v>719000</v>
      </c>
      <c r="G129" s="257">
        <v>180000</v>
      </c>
      <c r="H129" s="257">
        <v>0</v>
      </c>
      <c r="I129" s="257">
        <v>80000</v>
      </c>
      <c r="J129" s="257">
        <v>0</v>
      </c>
      <c r="K129" s="257">
        <v>0</v>
      </c>
      <c r="L129" s="257">
        <v>0</v>
      </c>
      <c r="M129" s="257">
        <v>639000</v>
      </c>
      <c r="N129" s="257">
        <v>100000</v>
      </c>
    </row>
    <row r="130" spans="1:14" s="143" customFormat="1" x14ac:dyDescent="0.25">
      <c r="A130" s="143" t="s">
        <v>274</v>
      </c>
      <c r="B130" s="143" t="s">
        <v>128</v>
      </c>
      <c r="C130" s="143" t="s">
        <v>129</v>
      </c>
      <c r="D130" s="143" t="s">
        <v>69</v>
      </c>
      <c r="E130" s="257">
        <v>16000000</v>
      </c>
      <c r="F130" s="257">
        <v>16000000</v>
      </c>
      <c r="G130" s="257">
        <v>4000000</v>
      </c>
      <c r="H130" s="257">
        <v>0</v>
      </c>
      <c r="I130" s="257">
        <v>2020000</v>
      </c>
      <c r="J130" s="257">
        <v>0</v>
      </c>
      <c r="K130" s="257">
        <v>0</v>
      </c>
      <c r="L130" s="257">
        <v>0</v>
      </c>
      <c r="M130" s="257">
        <v>13980000</v>
      </c>
      <c r="N130" s="257">
        <v>1980000</v>
      </c>
    </row>
    <row r="131" spans="1:14" s="143" customFormat="1" x14ac:dyDescent="0.25">
      <c r="A131" s="143" t="s">
        <v>274</v>
      </c>
      <c r="B131" s="143" t="s">
        <v>134</v>
      </c>
      <c r="C131" s="143" t="s">
        <v>135</v>
      </c>
      <c r="D131" s="143" t="s">
        <v>69</v>
      </c>
      <c r="E131" s="257">
        <v>2200000</v>
      </c>
      <c r="F131" s="257">
        <v>2200000</v>
      </c>
      <c r="G131" s="257">
        <v>1267240</v>
      </c>
      <c r="H131" s="257">
        <v>0</v>
      </c>
      <c r="I131" s="257">
        <v>250000</v>
      </c>
      <c r="J131" s="257">
        <v>0</v>
      </c>
      <c r="K131" s="257">
        <v>1017240</v>
      </c>
      <c r="L131" s="257">
        <v>0</v>
      </c>
      <c r="M131" s="257">
        <v>932760</v>
      </c>
      <c r="N131" s="257">
        <v>0</v>
      </c>
    </row>
    <row r="132" spans="1:14" s="143" customFormat="1" x14ac:dyDescent="0.25">
      <c r="A132" s="143" t="s">
        <v>274</v>
      </c>
      <c r="B132" s="143" t="s">
        <v>136</v>
      </c>
      <c r="C132" s="143" t="s">
        <v>137</v>
      </c>
      <c r="D132" s="143" t="s">
        <v>69</v>
      </c>
      <c r="E132" s="257">
        <v>1200000</v>
      </c>
      <c r="F132" s="257">
        <v>1200000</v>
      </c>
      <c r="G132" s="257">
        <v>1017240</v>
      </c>
      <c r="H132" s="257">
        <v>0</v>
      </c>
      <c r="I132" s="257">
        <v>0</v>
      </c>
      <c r="J132" s="257">
        <v>0</v>
      </c>
      <c r="K132" s="257">
        <v>1017240</v>
      </c>
      <c r="L132" s="257">
        <v>0</v>
      </c>
      <c r="M132" s="257">
        <v>182760</v>
      </c>
      <c r="N132" s="257">
        <v>0</v>
      </c>
    </row>
    <row r="133" spans="1:14" s="143" customFormat="1" x14ac:dyDescent="0.25">
      <c r="A133" s="143" t="s">
        <v>274</v>
      </c>
      <c r="B133" s="143" t="s">
        <v>138</v>
      </c>
      <c r="C133" s="143" t="s">
        <v>139</v>
      </c>
      <c r="D133" s="143" t="s">
        <v>69</v>
      </c>
      <c r="E133" s="257">
        <v>1000000</v>
      </c>
      <c r="F133" s="257">
        <v>1000000</v>
      </c>
      <c r="G133" s="257">
        <v>250000</v>
      </c>
      <c r="H133" s="257">
        <v>0</v>
      </c>
      <c r="I133" s="257">
        <v>250000</v>
      </c>
      <c r="J133" s="257">
        <v>0</v>
      </c>
      <c r="K133" s="257">
        <v>0</v>
      </c>
      <c r="L133" s="257">
        <v>0</v>
      </c>
      <c r="M133" s="257">
        <v>750000</v>
      </c>
      <c r="N133" s="257">
        <v>0</v>
      </c>
    </row>
    <row r="134" spans="1:14" s="143" customFormat="1" x14ac:dyDescent="0.25">
      <c r="A134" s="143" t="s">
        <v>274</v>
      </c>
      <c r="B134" s="143" t="s">
        <v>140</v>
      </c>
      <c r="C134" s="143" t="s">
        <v>141</v>
      </c>
      <c r="D134" s="143" t="s">
        <v>69</v>
      </c>
      <c r="E134" s="257">
        <v>6813730</v>
      </c>
      <c r="F134" s="257">
        <v>6813730</v>
      </c>
      <c r="G134" s="257">
        <v>1703433</v>
      </c>
      <c r="H134" s="257">
        <v>0</v>
      </c>
      <c r="I134" s="257">
        <v>1392540</v>
      </c>
      <c r="J134" s="257">
        <v>0</v>
      </c>
      <c r="K134" s="257">
        <v>534100</v>
      </c>
      <c r="L134" s="257">
        <v>534100</v>
      </c>
      <c r="M134" s="257">
        <v>4887090</v>
      </c>
      <c r="N134" s="275">
        <v>-223207</v>
      </c>
    </row>
    <row r="135" spans="1:14" s="143" customFormat="1" x14ac:dyDescent="0.25">
      <c r="A135" s="143" t="s">
        <v>274</v>
      </c>
      <c r="B135" s="143" t="s">
        <v>142</v>
      </c>
      <c r="C135" s="143" t="s">
        <v>143</v>
      </c>
      <c r="D135" s="143" t="s">
        <v>69</v>
      </c>
      <c r="E135" s="257">
        <v>250000</v>
      </c>
      <c r="F135" s="257">
        <v>250000</v>
      </c>
      <c r="G135" s="257">
        <v>62500</v>
      </c>
      <c r="H135" s="257">
        <v>0</v>
      </c>
      <c r="I135" s="257">
        <v>285890</v>
      </c>
      <c r="J135" s="257">
        <v>0</v>
      </c>
      <c r="K135" s="257">
        <v>0</v>
      </c>
      <c r="L135" s="257">
        <v>0</v>
      </c>
      <c r="M135" s="275">
        <v>-35890</v>
      </c>
      <c r="N135" s="275">
        <v>-223390</v>
      </c>
    </row>
    <row r="136" spans="1:14" s="143" customFormat="1" x14ac:dyDescent="0.25">
      <c r="A136" s="143" t="s">
        <v>274</v>
      </c>
      <c r="B136" s="143" t="s">
        <v>144</v>
      </c>
      <c r="C136" s="143" t="s">
        <v>145</v>
      </c>
      <c r="D136" s="143" t="s">
        <v>69</v>
      </c>
      <c r="E136" s="257">
        <v>6563730</v>
      </c>
      <c r="F136" s="257">
        <v>6563730</v>
      </c>
      <c r="G136" s="257">
        <v>1640933</v>
      </c>
      <c r="H136" s="257">
        <v>0</v>
      </c>
      <c r="I136" s="257">
        <v>1106650</v>
      </c>
      <c r="J136" s="257">
        <v>0</v>
      </c>
      <c r="K136" s="257">
        <v>534100</v>
      </c>
      <c r="L136" s="257">
        <v>534100</v>
      </c>
      <c r="M136" s="257">
        <v>4922980</v>
      </c>
      <c r="N136" s="257">
        <v>183</v>
      </c>
    </row>
    <row r="137" spans="1:14" s="143" customFormat="1" x14ac:dyDescent="0.25">
      <c r="A137" s="143" t="s">
        <v>274</v>
      </c>
      <c r="B137" s="143" t="s">
        <v>150</v>
      </c>
      <c r="C137" s="143" t="s">
        <v>151</v>
      </c>
      <c r="D137" s="143" t="s">
        <v>69</v>
      </c>
      <c r="E137" s="257">
        <v>4277392</v>
      </c>
      <c r="F137" s="257">
        <v>4277392</v>
      </c>
      <c r="G137" s="257">
        <v>1069348</v>
      </c>
      <c r="H137" s="257">
        <v>0</v>
      </c>
      <c r="I137" s="257">
        <v>990000</v>
      </c>
      <c r="J137" s="257">
        <v>0</v>
      </c>
      <c r="K137" s="257">
        <v>0</v>
      </c>
      <c r="L137" s="257">
        <v>0</v>
      </c>
      <c r="M137" s="257">
        <v>3287392</v>
      </c>
      <c r="N137" s="257">
        <v>79348</v>
      </c>
    </row>
    <row r="138" spans="1:14" s="143" customFormat="1" x14ac:dyDescent="0.25">
      <c r="A138" s="143" t="s">
        <v>274</v>
      </c>
      <c r="B138" s="143" t="s">
        <v>152</v>
      </c>
      <c r="C138" s="143" t="s">
        <v>153</v>
      </c>
      <c r="D138" s="143" t="s">
        <v>69</v>
      </c>
      <c r="E138" s="257">
        <v>4277392</v>
      </c>
      <c r="F138" s="257">
        <v>4277392</v>
      </c>
      <c r="G138" s="257">
        <v>1069348</v>
      </c>
      <c r="H138" s="257">
        <v>0</v>
      </c>
      <c r="I138" s="257">
        <v>990000</v>
      </c>
      <c r="J138" s="257">
        <v>0</v>
      </c>
      <c r="K138" s="257">
        <v>0</v>
      </c>
      <c r="L138" s="257">
        <v>0</v>
      </c>
      <c r="M138" s="257">
        <v>3287392</v>
      </c>
      <c r="N138" s="257">
        <v>79348</v>
      </c>
    </row>
    <row r="139" spans="1:14" s="143" customFormat="1" x14ac:dyDescent="0.25">
      <c r="A139" s="143" t="s">
        <v>274</v>
      </c>
      <c r="B139" s="143" t="s">
        <v>154</v>
      </c>
      <c r="C139" s="143" t="s">
        <v>155</v>
      </c>
      <c r="D139" s="143" t="s">
        <v>69</v>
      </c>
      <c r="E139" s="257">
        <v>12267225</v>
      </c>
      <c r="F139" s="257">
        <v>12267225</v>
      </c>
      <c r="G139" s="257">
        <v>3066807</v>
      </c>
      <c r="H139" s="257">
        <v>0</v>
      </c>
      <c r="I139" s="257">
        <v>3052162.8</v>
      </c>
      <c r="J139" s="257">
        <v>0</v>
      </c>
      <c r="K139" s="257">
        <v>0</v>
      </c>
      <c r="L139" s="257">
        <v>0</v>
      </c>
      <c r="M139" s="257">
        <v>9215062.1999999993</v>
      </c>
      <c r="N139" s="257">
        <v>14644.2</v>
      </c>
    </row>
    <row r="140" spans="1:14" s="143" customFormat="1" x14ac:dyDescent="0.25">
      <c r="A140" s="143" t="s">
        <v>274</v>
      </c>
      <c r="B140" s="143" t="s">
        <v>156</v>
      </c>
      <c r="C140" s="143" t="s">
        <v>157</v>
      </c>
      <c r="D140" s="143" t="s">
        <v>69</v>
      </c>
      <c r="E140" s="257">
        <v>12267225</v>
      </c>
      <c r="F140" s="257">
        <v>12267225</v>
      </c>
      <c r="G140" s="257">
        <v>3066807</v>
      </c>
      <c r="H140" s="257">
        <v>0</v>
      </c>
      <c r="I140" s="257">
        <v>3052162.8</v>
      </c>
      <c r="J140" s="257">
        <v>0</v>
      </c>
      <c r="K140" s="257">
        <v>0</v>
      </c>
      <c r="L140" s="257">
        <v>0</v>
      </c>
      <c r="M140" s="257">
        <v>9215062.1999999993</v>
      </c>
      <c r="N140" s="257">
        <v>14644.2</v>
      </c>
    </row>
    <row r="141" spans="1:14" s="143" customFormat="1" x14ac:dyDescent="0.25">
      <c r="A141" s="143" t="s">
        <v>274</v>
      </c>
      <c r="B141" s="143" t="s">
        <v>162</v>
      </c>
      <c r="C141" s="143" t="s">
        <v>163</v>
      </c>
      <c r="D141" s="143" t="s">
        <v>69</v>
      </c>
      <c r="E141" s="257">
        <v>17894000</v>
      </c>
      <c r="F141" s="257">
        <v>17894000</v>
      </c>
      <c r="G141" s="257">
        <v>3756260</v>
      </c>
      <c r="H141" s="257">
        <v>0</v>
      </c>
      <c r="I141" s="257">
        <v>2873500</v>
      </c>
      <c r="J141" s="257">
        <v>0</v>
      </c>
      <c r="K141" s="257">
        <v>0</v>
      </c>
      <c r="L141" s="257">
        <v>0</v>
      </c>
      <c r="M141" s="257">
        <v>15020500</v>
      </c>
      <c r="N141" s="257">
        <v>882760</v>
      </c>
    </row>
    <row r="142" spans="1:14" s="143" customFormat="1" x14ac:dyDescent="0.25">
      <c r="A142" s="143" t="s">
        <v>274</v>
      </c>
      <c r="B142" s="143" t="s">
        <v>166</v>
      </c>
      <c r="C142" s="143" t="s">
        <v>167</v>
      </c>
      <c r="D142" s="143" t="s">
        <v>69</v>
      </c>
      <c r="E142" s="257">
        <v>7000000</v>
      </c>
      <c r="F142" s="257">
        <v>7000000</v>
      </c>
      <c r="G142" s="257">
        <v>1750000</v>
      </c>
      <c r="H142" s="257">
        <v>0</v>
      </c>
      <c r="I142" s="257">
        <v>1750000</v>
      </c>
      <c r="J142" s="257">
        <v>0</v>
      </c>
      <c r="K142" s="257">
        <v>0</v>
      </c>
      <c r="L142" s="257">
        <v>0</v>
      </c>
      <c r="M142" s="257">
        <v>5250000</v>
      </c>
      <c r="N142" s="257">
        <v>0</v>
      </c>
    </row>
    <row r="143" spans="1:14" s="143" customFormat="1" x14ac:dyDescent="0.25">
      <c r="A143" s="143" t="s">
        <v>274</v>
      </c>
      <c r="B143" s="143" t="s">
        <v>168</v>
      </c>
      <c r="C143" s="143" t="s">
        <v>169</v>
      </c>
      <c r="D143" s="143" t="s">
        <v>69</v>
      </c>
      <c r="E143" s="257">
        <v>3000000</v>
      </c>
      <c r="F143" s="257">
        <v>3000000</v>
      </c>
      <c r="G143" s="257">
        <v>32760</v>
      </c>
      <c r="H143" s="257">
        <v>0</v>
      </c>
      <c r="I143" s="257">
        <v>0</v>
      </c>
      <c r="J143" s="257">
        <v>0</v>
      </c>
      <c r="K143" s="257">
        <v>0</v>
      </c>
      <c r="L143" s="257">
        <v>0</v>
      </c>
      <c r="M143" s="257">
        <v>3000000</v>
      </c>
      <c r="N143" s="257">
        <v>32760</v>
      </c>
    </row>
    <row r="144" spans="1:14" s="143" customFormat="1" x14ac:dyDescent="0.25">
      <c r="A144" s="143" t="s">
        <v>274</v>
      </c>
      <c r="B144" s="143" t="s">
        <v>170</v>
      </c>
      <c r="C144" s="143" t="s">
        <v>171</v>
      </c>
      <c r="D144" s="143" t="s">
        <v>69</v>
      </c>
      <c r="E144" s="257">
        <v>4494000</v>
      </c>
      <c r="F144" s="257">
        <v>4494000</v>
      </c>
      <c r="G144" s="257">
        <v>1123500</v>
      </c>
      <c r="H144" s="257">
        <v>0</v>
      </c>
      <c r="I144" s="257">
        <v>1123500</v>
      </c>
      <c r="J144" s="257">
        <v>0</v>
      </c>
      <c r="K144" s="257">
        <v>0</v>
      </c>
      <c r="L144" s="257">
        <v>0</v>
      </c>
      <c r="M144" s="257">
        <v>3370500</v>
      </c>
      <c r="N144" s="257">
        <v>0</v>
      </c>
    </row>
    <row r="145" spans="1:14" s="143" customFormat="1" x14ac:dyDescent="0.25">
      <c r="A145" s="143" t="s">
        <v>274</v>
      </c>
      <c r="B145" s="143" t="s">
        <v>172</v>
      </c>
      <c r="C145" s="143" t="s">
        <v>173</v>
      </c>
      <c r="D145" s="143" t="s">
        <v>69</v>
      </c>
      <c r="E145" s="257">
        <v>3400000</v>
      </c>
      <c r="F145" s="257">
        <v>3400000</v>
      </c>
      <c r="G145" s="257">
        <v>850000</v>
      </c>
      <c r="H145" s="257">
        <v>0</v>
      </c>
      <c r="I145" s="257">
        <v>0</v>
      </c>
      <c r="J145" s="257">
        <v>0</v>
      </c>
      <c r="K145" s="257">
        <v>0</v>
      </c>
      <c r="L145" s="257">
        <v>0</v>
      </c>
      <c r="M145" s="257">
        <v>3400000</v>
      </c>
      <c r="N145" s="257">
        <v>850000</v>
      </c>
    </row>
    <row r="146" spans="1:14" s="143" customFormat="1" x14ac:dyDescent="0.25">
      <c r="A146" s="143" t="s">
        <v>274</v>
      </c>
      <c r="B146" s="143" t="s">
        <v>174</v>
      </c>
      <c r="C146" s="143" t="s">
        <v>175</v>
      </c>
      <c r="D146" s="143" t="s">
        <v>69</v>
      </c>
      <c r="E146" s="257">
        <v>466000</v>
      </c>
      <c r="F146" s="257">
        <v>466000</v>
      </c>
      <c r="G146" s="257">
        <v>117000</v>
      </c>
      <c r="H146" s="257">
        <v>0</v>
      </c>
      <c r="I146" s="257">
        <v>86175</v>
      </c>
      <c r="J146" s="257">
        <v>0</v>
      </c>
      <c r="K146" s="257">
        <v>0</v>
      </c>
      <c r="L146" s="257">
        <v>0</v>
      </c>
      <c r="M146" s="257">
        <v>379825</v>
      </c>
      <c r="N146" s="257">
        <v>30825</v>
      </c>
    </row>
    <row r="147" spans="1:14" s="143" customFormat="1" x14ac:dyDescent="0.25">
      <c r="A147" s="143" t="s">
        <v>274</v>
      </c>
      <c r="B147" s="143" t="s">
        <v>176</v>
      </c>
      <c r="C147" s="143" t="s">
        <v>177</v>
      </c>
      <c r="D147" s="143" t="s">
        <v>69</v>
      </c>
      <c r="E147" s="257">
        <v>466000</v>
      </c>
      <c r="F147" s="257">
        <v>466000</v>
      </c>
      <c r="G147" s="257">
        <v>117000</v>
      </c>
      <c r="H147" s="257">
        <v>0</v>
      </c>
      <c r="I147" s="257">
        <v>86175</v>
      </c>
      <c r="J147" s="257">
        <v>0</v>
      </c>
      <c r="K147" s="257">
        <v>0</v>
      </c>
      <c r="L147" s="257">
        <v>0</v>
      </c>
      <c r="M147" s="257">
        <v>379825</v>
      </c>
      <c r="N147" s="257">
        <v>30825</v>
      </c>
    </row>
    <row r="148" spans="1:14" s="143" customFormat="1" x14ac:dyDescent="0.25">
      <c r="A148" s="143" t="s">
        <v>274</v>
      </c>
      <c r="B148" s="143" t="s">
        <v>178</v>
      </c>
      <c r="C148" s="143" t="s">
        <v>179</v>
      </c>
      <c r="D148" s="143" t="s">
        <v>69</v>
      </c>
      <c r="E148" s="257">
        <v>1800000</v>
      </c>
      <c r="F148" s="257">
        <v>1800000</v>
      </c>
      <c r="G148" s="257">
        <v>449999.85</v>
      </c>
      <c r="H148" s="257">
        <v>0</v>
      </c>
      <c r="I148" s="257">
        <v>0</v>
      </c>
      <c r="J148" s="257">
        <v>0</v>
      </c>
      <c r="K148" s="257">
        <v>0</v>
      </c>
      <c r="L148" s="257">
        <v>0</v>
      </c>
      <c r="M148" s="257">
        <v>1800000</v>
      </c>
      <c r="N148" s="257">
        <v>449999.85</v>
      </c>
    </row>
    <row r="149" spans="1:14" s="143" customFormat="1" x14ac:dyDescent="0.25">
      <c r="A149" s="143" t="s">
        <v>274</v>
      </c>
      <c r="B149" s="143" t="s">
        <v>182</v>
      </c>
      <c r="C149" s="143" t="s">
        <v>183</v>
      </c>
      <c r="D149" s="143" t="s">
        <v>69</v>
      </c>
      <c r="E149" s="257">
        <v>1800000</v>
      </c>
      <c r="F149" s="257">
        <v>1800000</v>
      </c>
      <c r="G149" s="257">
        <v>449999.85</v>
      </c>
      <c r="H149" s="257">
        <v>0</v>
      </c>
      <c r="I149" s="257">
        <v>0</v>
      </c>
      <c r="J149" s="257">
        <v>0</v>
      </c>
      <c r="K149" s="257">
        <v>0</v>
      </c>
      <c r="L149" s="257">
        <v>0</v>
      </c>
      <c r="M149" s="257">
        <v>1800000</v>
      </c>
      <c r="N149" s="257">
        <v>449999.85</v>
      </c>
    </row>
    <row r="150" spans="1:14" s="143" customFormat="1" x14ac:dyDescent="0.25">
      <c r="A150" s="143" t="s">
        <v>274</v>
      </c>
      <c r="B150" s="143" t="s">
        <v>184</v>
      </c>
      <c r="C150" s="143" t="s">
        <v>185</v>
      </c>
      <c r="D150" s="143" t="s">
        <v>69</v>
      </c>
      <c r="E150" s="257">
        <v>57954839</v>
      </c>
      <c r="F150" s="257">
        <v>57954839</v>
      </c>
      <c r="G150" s="257">
        <v>14488710</v>
      </c>
      <c r="H150" s="257">
        <v>0</v>
      </c>
      <c r="I150" s="257">
        <v>4200985.79</v>
      </c>
      <c r="J150" s="257">
        <v>0</v>
      </c>
      <c r="K150" s="257">
        <v>813205</v>
      </c>
      <c r="L150" s="257">
        <v>179205</v>
      </c>
      <c r="M150" s="257">
        <v>52940648.210000001</v>
      </c>
      <c r="N150" s="257">
        <v>9474519.2100000009</v>
      </c>
    </row>
    <row r="151" spans="1:14" s="143" customFormat="1" x14ac:dyDescent="0.25">
      <c r="A151" s="143" t="s">
        <v>274</v>
      </c>
      <c r="B151" s="143" t="s">
        <v>186</v>
      </c>
      <c r="C151" s="143" t="s">
        <v>187</v>
      </c>
      <c r="D151" s="143" t="s">
        <v>69</v>
      </c>
      <c r="E151" s="257">
        <v>17854839</v>
      </c>
      <c r="F151" s="257">
        <v>17854839</v>
      </c>
      <c r="G151" s="257">
        <v>4463710</v>
      </c>
      <c r="H151" s="257">
        <v>0</v>
      </c>
      <c r="I151" s="257">
        <v>2399225</v>
      </c>
      <c r="J151" s="257">
        <v>0</v>
      </c>
      <c r="K151" s="257">
        <v>179205</v>
      </c>
      <c r="L151" s="257">
        <v>179205</v>
      </c>
      <c r="M151" s="257">
        <v>15276409</v>
      </c>
      <c r="N151" s="257">
        <v>1885280</v>
      </c>
    </row>
    <row r="152" spans="1:14" s="143" customFormat="1" x14ac:dyDescent="0.25">
      <c r="A152" s="143" t="s">
        <v>274</v>
      </c>
      <c r="B152" s="143" t="s">
        <v>188</v>
      </c>
      <c r="C152" s="143" t="s">
        <v>189</v>
      </c>
      <c r="D152" s="143" t="s">
        <v>69</v>
      </c>
      <c r="E152" s="257">
        <v>9354839</v>
      </c>
      <c r="F152" s="257">
        <v>9354839</v>
      </c>
      <c r="G152" s="257">
        <v>2338710</v>
      </c>
      <c r="H152" s="257">
        <v>0</v>
      </c>
      <c r="I152" s="257">
        <v>1778495</v>
      </c>
      <c r="J152" s="257">
        <v>0</v>
      </c>
      <c r="K152" s="257">
        <v>179205</v>
      </c>
      <c r="L152" s="257">
        <v>179205</v>
      </c>
      <c r="M152" s="257">
        <v>7397139</v>
      </c>
      <c r="N152" s="257">
        <v>381010</v>
      </c>
    </row>
    <row r="153" spans="1:14" s="143" customFormat="1" x14ac:dyDescent="0.25">
      <c r="A153" s="143" t="s">
        <v>274</v>
      </c>
      <c r="B153" s="143" t="s">
        <v>192</v>
      </c>
      <c r="C153" s="143" t="s">
        <v>193</v>
      </c>
      <c r="D153" s="143" t="s">
        <v>69</v>
      </c>
      <c r="E153" s="257">
        <v>8500000</v>
      </c>
      <c r="F153" s="257">
        <v>8500000</v>
      </c>
      <c r="G153" s="257">
        <v>2125000</v>
      </c>
      <c r="H153" s="257">
        <v>0</v>
      </c>
      <c r="I153" s="257">
        <v>620730</v>
      </c>
      <c r="J153" s="257">
        <v>0</v>
      </c>
      <c r="K153" s="257">
        <v>0</v>
      </c>
      <c r="L153" s="257">
        <v>0</v>
      </c>
      <c r="M153" s="257">
        <v>7879270</v>
      </c>
      <c r="N153" s="257">
        <v>1504270</v>
      </c>
    </row>
    <row r="154" spans="1:14" s="143" customFormat="1" x14ac:dyDescent="0.25">
      <c r="A154" s="143" t="s">
        <v>274</v>
      </c>
      <c r="B154" s="143" t="s">
        <v>196</v>
      </c>
      <c r="C154" s="143" t="s">
        <v>197</v>
      </c>
      <c r="D154" s="143" t="s">
        <v>69</v>
      </c>
      <c r="E154" s="257">
        <v>2460000</v>
      </c>
      <c r="F154" s="257">
        <v>2460000</v>
      </c>
      <c r="G154" s="257">
        <v>615000</v>
      </c>
      <c r="H154" s="257">
        <v>0</v>
      </c>
      <c r="I154" s="257">
        <v>449702</v>
      </c>
      <c r="J154" s="257">
        <v>0</v>
      </c>
      <c r="K154" s="257">
        <v>0</v>
      </c>
      <c r="L154" s="257">
        <v>0</v>
      </c>
      <c r="M154" s="257">
        <v>2010298</v>
      </c>
      <c r="N154" s="257">
        <v>165298</v>
      </c>
    </row>
    <row r="155" spans="1:14" s="143" customFormat="1" x14ac:dyDescent="0.25">
      <c r="A155" s="143" t="s">
        <v>274</v>
      </c>
      <c r="B155" s="143" t="s">
        <v>198</v>
      </c>
      <c r="C155" s="143" t="s">
        <v>199</v>
      </c>
      <c r="D155" s="143" t="s">
        <v>69</v>
      </c>
      <c r="E155" s="257">
        <v>2460000</v>
      </c>
      <c r="F155" s="257">
        <v>2460000</v>
      </c>
      <c r="G155" s="257">
        <v>615000</v>
      </c>
      <c r="H155" s="257">
        <v>0</v>
      </c>
      <c r="I155" s="257">
        <v>449702</v>
      </c>
      <c r="J155" s="257">
        <v>0</v>
      </c>
      <c r="K155" s="257">
        <v>0</v>
      </c>
      <c r="L155" s="257">
        <v>0</v>
      </c>
      <c r="M155" s="257">
        <v>2010298</v>
      </c>
      <c r="N155" s="257">
        <v>165298</v>
      </c>
    </row>
    <row r="156" spans="1:14" s="143" customFormat="1" x14ac:dyDescent="0.25">
      <c r="A156" s="143" t="s">
        <v>274</v>
      </c>
      <c r="B156" s="143" t="s">
        <v>200</v>
      </c>
      <c r="C156" s="143" t="s">
        <v>201</v>
      </c>
      <c r="D156" s="143" t="s">
        <v>69</v>
      </c>
      <c r="E156" s="257">
        <v>2000000</v>
      </c>
      <c r="F156" s="257">
        <v>2000000</v>
      </c>
      <c r="G156" s="257">
        <v>500000</v>
      </c>
      <c r="H156" s="257">
        <v>0</v>
      </c>
      <c r="I156" s="257">
        <v>440646.79</v>
      </c>
      <c r="J156" s="257">
        <v>0</v>
      </c>
      <c r="K156" s="257">
        <v>0</v>
      </c>
      <c r="L156" s="257">
        <v>0</v>
      </c>
      <c r="M156" s="257">
        <v>1559353.21</v>
      </c>
      <c r="N156" s="257">
        <v>59353.21</v>
      </c>
    </row>
    <row r="157" spans="1:14" s="143" customFormat="1" x14ac:dyDescent="0.25">
      <c r="A157" s="143" t="s">
        <v>274</v>
      </c>
      <c r="B157" s="143" t="s">
        <v>202</v>
      </c>
      <c r="C157" s="143" t="s">
        <v>203</v>
      </c>
      <c r="D157" s="143" t="s">
        <v>69</v>
      </c>
      <c r="E157" s="257">
        <v>2000000</v>
      </c>
      <c r="F157" s="257">
        <v>2000000</v>
      </c>
      <c r="G157" s="257">
        <v>500000</v>
      </c>
      <c r="H157" s="257">
        <v>0</v>
      </c>
      <c r="I157" s="257">
        <v>440646.79</v>
      </c>
      <c r="J157" s="257">
        <v>0</v>
      </c>
      <c r="K157" s="257">
        <v>0</v>
      </c>
      <c r="L157" s="257">
        <v>0</v>
      </c>
      <c r="M157" s="257">
        <v>1559353.21</v>
      </c>
      <c r="N157" s="257">
        <v>59353.21</v>
      </c>
    </row>
    <row r="158" spans="1:14" s="143" customFormat="1" x14ac:dyDescent="0.25">
      <c r="A158" s="143" t="s">
        <v>274</v>
      </c>
      <c r="B158" s="143" t="s">
        <v>206</v>
      </c>
      <c r="C158" s="143" t="s">
        <v>207</v>
      </c>
      <c r="D158" s="143" t="s">
        <v>69</v>
      </c>
      <c r="E158" s="257">
        <v>6710000</v>
      </c>
      <c r="F158" s="257">
        <v>6710000</v>
      </c>
      <c r="G158" s="257">
        <v>1677500</v>
      </c>
      <c r="H158" s="257">
        <v>0</v>
      </c>
      <c r="I158" s="257">
        <v>0</v>
      </c>
      <c r="J158" s="257">
        <v>0</v>
      </c>
      <c r="K158" s="257">
        <v>0</v>
      </c>
      <c r="L158" s="257">
        <v>0</v>
      </c>
      <c r="M158" s="257">
        <v>6710000</v>
      </c>
      <c r="N158" s="257">
        <v>1677500</v>
      </c>
    </row>
    <row r="159" spans="1:14" s="143" customFormat="1" x14ac:dyDescent="0.25">
      <c r="A159" s="143" t="s">
        <v>274</v>
      </c>
      <c r="B159" s="143" t="s">
        <v>208</v>
      </c>
      <c r="C159" s="143" t="s">
        <v>209</v>
      </c>
      <c r="D159" s="143" t="s">
        <v>69</v>
      </c>
      <c r="E159" s="257">
        <v>3710000</v>
      </c>
      <c r="F159" s="257">
        <v>3710000</v>
      </c>
      <c r="G159" s="257">
        <v>927500</v>
      </c>
      <c r="H159" s="257">
        <v>0</v>
      </c>
      <c r="I159" s="257">
        <v>0</v>
      </c>
      <c r="J159" s="257">
        <v>0</v>
      </c>
      <c r="K159" s="257">
        <v>0</v>
      </c>
      <c r="L159" s="257">
        <v>0</v>
      </c>
      <c r="M159" s="257">
        <v>3710000</v>
      </c>
      <c r="N159" s="257">
        <v>927500</v>
      </c>
    </row>
    <row r="160" spans="1:14" s="143" customFormat="1" x14ac:dyDescent="0.25">
      <c r="A160" s="143" t="s">
        <v>274</v>
      </c>
      <c r="B160" s="143" t="s">
        <v>210</v>
      </c>
      <c r="C160" s="143" t="s">
        <v>211</v>
      </c>
      <c r="D160" s="143" t="s">
        <v>69</v>
      </c>
      <c r="E160" s="257">
        <v>3000000</v>
      </c>
      <c r="F160" s="257">
        <v>3000000</v>
      </c>
      <c r="G160" s="257">
        <v>750000</v>
      </c>
      <c r="H160" s="257">
        <v>0</v>
      </c>
      <c r="I160" s="257">
        <v>0</v>
      </c>
      <c r="J160" s="257">
        <v>0</v>
      </c>
      <c r="K160" s="257">
        <v>0</v>
      </c>
      <c r="L160" s="257">
        <v>0</v>
      </c>
      <c r="M160" s="257">
        <v>3000000</v>
      </c>
      <c r="N160" s="257">
        <v>750000</v>
      </c>
    </row>
    <row r="161" spans="1:14" s="143" customFormat="1" x14ac:dyDescent="0.25">
      <c r="A161" s="143" t="s">
        <v>274</v>
      </c>
      <c r="B161" s="143" t="s">
        <v>212</v>
      </c>
      <c r="C161" s="143" t="s">
        <v>213</v>
      </c>
      <c r="D161" s="143" t="s">
        <v>69</v>
      </c>
      <c r="E161" s="257">
        <v>28930000</v>
      </c>
      <c r="F161" s="257">
        <v>28930000</v>
      </c>
      <c r="G161" s="257">
        <v>7232500</v>
      </c>
      <c r="H161" s="257">
        <v>0</v>
      </c>
      <c r="I161" s="257">
        <v>911412</v>
      </c>
      <c r="J161" s="257">
        <v>0</v>
      </c>
      <c r="K161" s="257">
        <v>634000</v>
      </c>
      <c r="L161" s="257">
        <v>0</v>
      </c>
      <c r="M161" s="257">
        <v>27384588</v>
      </c>
      <c r="N161" s="257">
        <v>5687088</v>
      </c>
    </row>
    <row r="162" spans="1:14" s="143" customFormat="1" x14ac:dyDescent="0.25">
      <c r="A162" s="143" t="s">
        <v>274</v>
      </c>
      <c r="B162" s="143" t="s">
        <v>214</v>
      </c>
      <c r="C162" s="143" t="s">
        <v>215</v>
      </c>
      <c r="D162" s="143" t="s">
        <v>69</v>
      </c>
      <c r="E162" s="257">
        <v>8000000</v>
      </c>
      <c r="F162" s="257">
        <v>8000000</v>
      </c>
      <c r="G162" s="257">
        <v>2000000</v>
      </c>
      <c r="H162" s="257">
        <v>0</v>
      </c>
      <c r="I162" s="257">
        <v>0</v>
      </c>
      <c r="J162" s="257">
        <v>0</v>
      </c>
      <c r="K162" s="257">
        <v>0</v>
      </c>
      <c r="L162" s="257">
        <v>0</v>
      </c>
      <c r="M162" s="257">
        <v>8000000</v>
      </c>
      <c r="N162" s="257">
        <v>2000000</v>
      </c>
    </row>
    <row r="163" spans="1:14" s="143" customFormat="1" x14ac:dyDescent="0.25">
      <c r="A163" s="143" t="s">
        <v>274</v>
      </c>
      <c r="B163" s="143" t="s">
        <v>218</v>
      </c>
      <c r="C163" s="143" t="s">
        <v>219</v>
      </c>
      <c r="D163" s="143" t="s">
        <v>69</v>
      </c>
      <c r="E163" s="257">
        <v>8000000</v>
      </c>
      <c r="F163" s="257">
        <v>8000000</v>
      </c>
      <c r="G163" s="257">
        <v>2000000</v>
      </c>
      <c r="H163" s="257">
        <v>0</v>
      </c>
      <c r="I163" s="257">
        <v>666170</v>
      </c>
      <c r="J163" s="257">
        <v>0</v>
      </c>
      <c r="K163" s="257">
        <v>634000</v>
      </c>
      <c r="L163" s="257">
        <v>0</v>
      </c>
      <c r="M163" s="257">
        <v>6699830</v>
      </c>
      <c r="N163" s="257">
        <v>699830</v>
      </c>
    </row>
    <row r="164" spans="1:14" s="143" customFormat="1" x14ac:dyDescent="0.25">
      <c r="A164" s="143" t="s">
        <v>274</v>
      </c>
      <c r="B164" s="143" t="s">
        <v>222</v>
      </c>
      <c r="C164" s="143" t="s">
        <v>223</v>
      </c>
      <c r="D164" s="143" t="s">
        <v>69</v>
      </c>
      <c r="E164" s="257">
        <v>4930000</v>
      </c>
      <c r="F164" s="257">
        <v>4930000</v>
      </c>
      <c r="G164" s="257">
        <v>1232500</v>
      </c>
      <c r="H164" s="257">
        <v>0</v>
      </c>
      <c r="I164" s="257">
        <v>245242</v>
      </c>
      <c r="J164" s="257">
        <v>0</v>
      </c>
      <c r="K164" s="257">
        <v>0</v>
      </c>
      <c r="L164" s="257">
        <v>0</v>
      </c>
      <c r="M164" s="257">
        <v>4684758</v>
      </c>
      <c r="N164" s="257">
        <v>987258</v>
      </c>
    </row>
    <row r="165" spans="1:14" s="143" customFormat="1" x14ac:dyDescent="0.25">
      <c r="A165" s="143" t="s">
        <v>274</v>
      </c>
      <c r="B165" s="143" t="s">
        <v>228</v>
      </c>
      <c r="C165" s="143" t="s">
        <v>229</v>
      </c>
      <c r="D165" s="143" t="s">
        <v>69</v>
      </c>
      <c r="E165" s="257">
        <v>8000000</v>
      </c>
      <c r="F165" s="257">
        <v>8000000</v>
      </c>
      <c r="G165" s="257">
        <v>2000000</v>
      </c>
      <c r="H165" s="257">
        <v>0</v>
      </c>
      <c r="I165" s="257">
        <v>0</v>
      </c>
      <c r="J165" s="257">
        <v>0</v>
      </c>
      <c r="K165" s="257">
        <v>0</v>
      </c>
      <c r="L165" s="257">
        <v>0</v>
      </c>
      <c r="M165" s="257">
        <v>8000000</v>
      </c>
      <c r="N165" s="257">
        <v>2000000</v>
      </c>
    </row>
    <row r="166" spans="1:14" s="143" customFormat="1" x14ac:dyDescent="0.25">
      <c r="A166" s="143" t="s">
        <v>274</v>
      </c>
      <c r="B166" s="143" t="s">
        <v>248</v>
      </c>
      <c r="C166" s="143" t="s">
        <v>249</v>
      </c>
      <c r="D166" s="143" t="s">
        <v>69</v>
      </c>
      <c r="E166" s="257">
        <v>43960000</v>
      </c>
      <c r="F166" s="257">
        <v>43960000</v>
      </c>
      <c r="G166" s="257">
        <v>25210000</v>
      </c>
      <c r="H166" s="257">
        <v>0</v>
      </c>
      <c r="I166" s="257">
        <v>14642560</v>
      </c>
      <c r="J166" s="257">
        <v>0</v>
      </c>
      <c r="K166" s="257">
        <v>880745</v>
      </c>
      <c r="L166" s="257">
        <v>880745</v>
      </c>
      <c r="M166" s="257">
        <v>28436695</v>
      </c>
      <c r="N166" s="257">
        <v>9686695</v>
      </c>
    </row>
    <row r="167" spans="1:14" s="143" customFormat="1" x14ac:dyDescent="0.25">
      <c r="A167" s="143" t="s">
        <v>274</v>
      </c>
      <c r="B167" s="143" t="s">
        <v>250</v>
      </c>
      <c r="C167" s="143" t="s">
        <v>251</v>
      </c>
      <c r="D167" s="143" t="s">
        <v>69</v>
      </c>
      <c r="E167" s="257">
        <v>11142000</v>
      </c>
      <c r="F167" s="257">
        <v>11142000</v>
      </c>
      <c r="G167" s="257">
        <v>11142000</v>
      </c>
      <c r="H167" s="257">
        <v>0</v>
      </c>
      <c r="I167" s="257">
        <v>10392560</v>
      </c>
      <c r="J167" s="257">
        <v>0</v>
      </c>
      <c r="K167" s="257">
        <v>749440</v>
      </c>
      <c r="L167" s="257">
        <v>749440</v>
      </c>
      <c r="M167" s="257">
        <v>0</v>
      </c>
      <c r="N167" s="257">
        <v>0</v>
      </c>
    </row>
    <row r="168" spans="1:14" s="143" customFormat="1" x14ac:dyDescent="0.25">
      <c r="A168" s="143" t="s">
        <v>274</v>
      </c>
      <c r="B168" s="143" t="s">
        <v>284</v>
      </c>
      <c r="C168" s="143" t="s">
        <v>257</v>
      </c>
      <c r="D168" s="143" t="s">
        <v>69</v>
      </c>
      <c r="E168" s="257">
        <v>9273000</v>
      </c>
      <c r="F168" s="257">
        <v>9273000</v>
      </c>
      <c r="G168" s="257">
        <v>9273000</v>
      </c>
      <c r="H168" s="257">
        <v>0</v>
      </c>
      <c r="I168" s="257">
        <v>8649305</v>
      </c>
      <c r="J168" s="257">
        <v>0</v>
      </c>
      <c r="K168" s="257">
        <v>623695</v>
      </c>
      <c r="L168" s="257">
        <v>623695</v>
      </c>
      <c r="M168" s="257">
        <v>0</v>
      </c>
      <c r="N168" s="257">
        <v>0</v>
      </c>
    </row>
    <row r="169" spans="1:14" s="143" customFormat="1" x14ac:dyDescent="0.25">
      <c r="A169" s="143" t="s">
        <v>274</v>
      </c>
      <c r="B169" s="143" t="s">
        <v>285</v>
      </c>
      <c r="C169" s="143" t="s">
        <v>259</v>
      </c>
      <c r="D169" s="143" t="s">
        <v>69</v>
      </c>
      <c r="E169" s="257">
        <v>1869000</v>
      </c>
      <c r="F169" s="257">
        <v>1869000</v>
      </c>
      <c r="G169" s="257">
        <v>1869000</v>
      </c>
      <c r="H169" s="257">
        <v>0</v>
      </c>
      <c r="I169" s="257">
        <v>1743255</v>
      </c>
      <c r="J169" s="257">
        <v>0</v>
      </c>
      <c r="K169" s="257">
        <v>125745</v>
      </c>
      <c r="L169" s="257">
        <v>125745</v>
      </c>
      <c r="M169" s="257">
        <v>0</v>
      </c>
      <c r="N169" s="257">
        <v>0</v>
      </c>
    </row>
    <row r="170" spans="1:14" s="143" customFormat="1" x14ac:dyDescent="0.25">
      <c r="A170" s="143" t="s">
        <v>274</v>
      </c>
      <c r="B170" s="143" t="s">
        <v>260</v>
      </c>
      <c r="C170" s="143" t="s">
        <v>261</v>
      </c>
      <c r="D170" s="143" t="s">
        <v>69</v>
      </c>
      <c r="E170" s="257">
        <v>24818000</v>
      </c>
      <c r="F170" s="257">
        <v>24818000</v>
      </c>
      <c r="G170" s="257">
        <v>12068000</v>
      </c>
      <c r="H170" s="257">
        <v>0</v>
      </c>
      <c r="I170" s="257">
        <v>4250000</v>
      </c>
      <c r="J170" s="257">
        <v>0</v>
      </c>
      <c r="K170" s="257">
        <v>131305</v>
      </c>
      <c r="L170" s="257">
        <v>131305</v>
      </c>
      <c r="M170" s="257">
        <v>20436695</v>
      </c>
      <c r="N170" s="257">
        <v>7686695</v>
      </c>
    </row>
    <row r="171" spans="1:14" s="143" customFormat="1" x14ac:dyDescent="0.25">
      <c r="A171" s="143" t="s">
        <v>274</v>
      </c>
      <c r="B171" s="143" t="s">
        <v>262</v>
      </c>
      <c r="C171" s="143" t="s">
        <v>263</v>
      </c>
      <c r="D171" s="143" t="s">
        <v>69</v>
      </c>
      <c r="E171" s="257">
        <v>17000000</v>
      </c>
      <c r="F171" s="257">
        <v>17000000</v>
      </c>
      <c r="G171" s="257">
        <v>4250000</v>
      </c>
      <c r="H171" s="257">
        <v>0</v>
      </c>
      <c r="I171" s="257">
        <v>4250000</v>
      </c>
      <c r="J171" s="257">
        <v>0</v>
      </c>
      <c r="K171" s="257">
        <v>0</v>
      </c>
      <c r="L171" s="257">
        <v>0</v>
      </c>
      <c r="M171" s="257">
        <v>12750000</v>
      </c>
      <c r="N171" s="257">
        <v>0</v>
      </c>
    </row>
    <row r="172" spans="1:14" s="143" customFormat="1" x14ac:dyDescent="0.25">
      <c r="A172" s="143" t="s">
        <v>274</v>
      </c>
      <c r="B172" s="143" t="s">
        <v>264</v>
      </c>
      <c r="C172" s="143" t="s">
        <v>265</v>
      </c>
      <c r="D172" s="143" t="s">
        <v>69</v>
      </c>
      <c r="E172" s="257">
        <v>7818000</v>
      </c>
      <c r="F172" s="257">
        <v>7818000</v>
      </c>
      <c r="G172" s="257">
        <v>7818000</v>
      </c>
      <c r="H172" s="257">
        <v>0</v>
      </c>
      <c r="I172" s="257">
        <v>0</v>
      </c>
      <c r="J172" s="257">
        <v>0</v>
      </c>
      <c r="K172" s="257">
        <v>131305</v>
      </c>
      <c r="L172" s="257">
        <v>131305</v>
      </c>
      <c r="M172" s="257">
        <v>7686695</v>
      </c>
      <c r="N172" s="257">
        <v>7686695</v>
      </c>
    </row>
    <row r="173" spans="1:14" s="143" customFormat="1" x14ac:dyDescent="0.25">
      <c r="A173" s="143" t="s">
        <v>274</v>
      </c>
      <c r="B173" s="143" t="s">
        <v>286</v>
      </c>
      <c r="C173" s="143" t="s">
        <v>287</v>
      </c>
      <c r="D173" s="143" t="s">
        <v>69</v>
      </c>
      <c r="E173" s="257">
        <v>8000000</v>
      </c>
      <c r="F173" s="257">
        <v>8000000</v>
      </c>
      <c r="G173" s="257">
        <v>2000000</v>
      </c>
      <c r="H173" s="257">
        <v>0</v>
      </c>
      <c r="I173" s="257">
        <v>0</v>
      </c>
      <c r="J173" s="257">
        <v>0</v>
      </c>
      <c r="K173" s="257">
        <v>0</v>
      </c>
      <c r="L173" s="257">
        <v>0</v>
      </c>
      <c r="M173" s="257">
        <v>8000000</v>
      </c>
      <c r="N173" s="257">
        <v>2000000</v>
      </c>
    </row>
    <row r="174" spans="1:14" s="143" customFormat="1" x14ac:dyDescent="0.25">
      <c r="A174" s="143" t="s">
        <v>274</v>
      </c>
      <c r="B174" s="143" t="s">
        <v>288</v>
      </c>
      <c r="C174" s="143" t="s">
        <v>289</v>
      </c>
      <c r="D174" s="143" t="s">
        <v>69</v>
      </c>
      <c r="E174" s="257">
        <v>8000000</v>
      </c>
      <c r="F174" s="257">
        <v>8000000</v>
      </c>
      <c r="G174" s="257">
        <v>2000000</v>
      </c>
      <c r="H174" s="257">
        <v>0</v>
      </c>
      <c r="I174" s="257">
        <v>0</v>
      </c>
      <c r="J174" s="257">
        <v>0</v>
      </c>
      <c r="K174" s="257">
        <v>0</v>
      </c>
      <c r="L174" s="257">
        <v>0</v>
      </c>
      <c r="M174" s="257">
        <v>8000000</v>
      </c>
      <c r="N174" s="257">
        <v>2000000</v>
      </c>
    </row>
    <row r="175" spans="1:14" s="143" customFormat="1" x14ac:dyDescent="0.25">
      <c r="A175" s="143" t="s">
        <v>274</v>
      </c>
      <c r="B175" s="143" t="s">
        <v>230</v>
      </c>
      <c r="C175" s="143" t="s">
        <v>231</v>
      </c>
      <c r="D175" s="143" t="s">
        <v>85</v>
      </c>
      <c r="E175" s="257">
        <v>29500000</v>
      </c>
      <c r="F175" s="257">
        <v>29500000</v>
      </c>
      <c r="G175" s="257">
        <v>7375000</v>
      </c>
      <c r="H175" s="257">
        <v>0</v>
      </c>
      <c r="I175" s="257">
        <v>0</v>
      </c>
      <c r="J175" s="257">
        <v>0</v>
      </c>
      <c r="K175" s="257">
        <v>0</v>
      </c>
      <c r="L175" s="257">
        <v>0</v>
      </c>
      <c r="M175" s="257">
        <v>29500000</v>
      </c>
      <c r="N175" s="257">
        <v>7375000</v>
      </c>
    </row>
    <row r="176" spans="1:14" s="143" customFormat="1" x14ac:dyDescent="0.25">
      <c r="A176" s="143" t="s">
        <v>274</v>
      </c>
      <c r="B176" s="143" t="s">
        <v>232</v>
      </c>
      <c r="C176" s="143" t="s">
        <v>233</v>
      </c>
      <c r="D176" s="143" t="s">
        <v>85</v>
      </c>
      <c r="E176" s="257">
        <v>29500000</v>
      </c>
      <c r="F176" s="257">
        <v>29500000</v>
      </c>
      <c r="G176" s="257">
        <v>7375000</v>
      </c>
      <c r="H176" s="257">
        <v>0</v>
      </c>
      <c r="I176" s="257">
        <v>0</v>
      </c>
      <c r="J176" s="257">
        <v>0</v>
      </c>
      <c r="K176" s="257">
        <v>0</v>
      </c>
      <c r="L176" s="257">
        <v>0</v>
      </c>
      <c r="M176" s="257">
        <v>29500000</v>
      </c>
      <c r="N176" s="257">
        <v>7375000</v>
      </c>
    </row>
    <row r="177" spans="1:14" s="143" customFormat="1" x14ac:dyDescent="0.25">
      <c r="A177" s="143" t="s">
        <v>274</v>
      </c>
      <c r="B177" s="143" t="s">
        <v>236</v>
      </c>
      <c r="C177" s="143" t="s">
        <v>237</v>
      </c>
      <c r="D177" s="143" t="s">
        <v>85</v>
      </c>
      <c r="E177" s="257">
        <v>4700000</v>
      </c>
      <c r="F177" s="257">
        <v>4700000</v>
      </c>
      <c r="G177" s="257">
        <v>1175000</v>
      </c>
      <c r="H177" s="257">
        <v>0</v>
      </c>
      <c r="I177" s="257">
        <v>0</v>
      </c>
      <c r="J177" s="257">
        <v>0</v>
      </c>
      <c r="K177" s="257">
        <v>0</v>
      </c>
      <c r="L177" s="257">
        <v>0</v>
      </c>
      <c r="M177" s="257">
        <v>4700000</v>
      </c>
      <c r="N177" s="257">
        <v>1175000</v>
      </c>
    </row>
    <row r="178" spans="1:14" s="143" customFormat="1" x14ac:dyDescent="0.25">
      <c r="A178" s="143" t="s">
        <v>274</v>
      </c>
      <c r="B178" s="143" t="s">
        <v>238</v>
      </c>
      <c r="C178" s="143" t="s">
        <v>239</v>
      </c>
      <c r="D178" s="143" t="s">
        <v>85</v>
      </c>
      <c r="E178" s="257">
        <v>3800000</v>
      </c>
      <c r="F178" s="257">
        <v>3800000</v>
      </c>
      <c r="G178" s="257">
        <v>950000</v>
      </c>
      <c r="H178" s="257">
        <v>0</v>
      </c>
      <c r="I178" s="257">
        <v>0</v>
      </c>
      <c r="J178" s="257">
        <v>0</v>
      </c>
      <c r="K178" s="257">
        <v>0</v>
      </c>
      <c r="L178" s="257">
        <v>0</v>
      </c>
      <c r="M178" s="257">
        <v>3800000</v>
      </c>
      <c r="N178" s="257">
        <v>950000</v>
      </c>
    </row>
    <row r="179" spans="1:14" s="143" customFormat="1" x14ac:dyDescent="0.25">
      <c r="A179" s="143" t="s">
        <v>274</v>
      </c>
      <c r="B179" s="143" t="s">
        <v>282</v>
      </c>
      <c r="C179" s="143" t="s">
        <v>283</v>
      </c>
      <c r="D179" s="143" t="s">
        <v>85</v>
      </c>
      <c r="E179" s="257">
        <v>1000000</v>
      </c>
      <c r="F179" s="257">
        <v>1000000</v>
      </c>
      <c r="G179" s="257">
        <v>250000</v>
      </c>
      <c r="H179" s="257">
        <v>0</v>
      </c>
      <c r="I179" s="257">
        <v>0</v>
      </c>
      <c r="J179" s="257">
        <v>0</v>
      </c>
      <c r="K179" s="257">
        <v>0</v>
      </c>
      <c r="L179" s="257">
        <v>0</v>
      </c>
      <c r="M179" s="257">
        <v>1000000</v>
      </c>
      <c r="N179" s="257">
        <v>250000</v>
      </c>
    </row>
    <row r="180" spans="1:14" s="143" customFormat="1" x14ac:dyDescent="0.25">
      <c r="A180" s="143" t="s">
        <v>274</v>
      </c>
      <c r="B180" s="143" t="s">
        <v>240</v>
      </c>
      <c r="C180" s="143" t="s">
        <v>241</v>
      </c>
      <c r="D180" s="143" t="s">
        <v>85</v>
      </c>
      <c r="E180" s="257">
        <v>16000000</v>
      </c>
      <c r="F180" s="257">
        <v>16000000</v>
      </c>
      <c r="G180" s="257">
        <v>4000000</v>
      </c>
      <c r="H180" s="257">
        <v>0</v>
      </c>
      <c r="I180" s="257">
        <v>0</v>
      </c>
      <c r="J180" s="257">
        <v>0</v>
      </c>
      <c r="K180" s="257">
        <v>0</v>
      </c>
      <c r="L180" s="257">
        <v>0</v>
      </c>
      <c r="M180" s="257">
        <v>16000000</v>
      </c>
      <c r="N180" s="257">
        <v>4000000</v>
      </c>
    </row>
    <row r="181" spans="1:14" s="143" customFormat="1" x14ac:dyDescent="0.25">
      <c r="A181" s="143" t="s">
        <v>274</v>
      </c>
      <c r="B181" s="143" t="s">
        <v>242</v>
      </c>
      <c r="C181" s="143" t="s">
        <v>243</v>
      </c>
      <c r="D181" s="143" t="s">
        <v>85</v>
      </c>
      <c r="E181" s="257">
        <v>4000000</v>
      </c>
      <c r="F181" s="257">
        <v>4000000</v>
      </c>
      <c r="G181" s="257">
        <v>1000000</v>
      </c>
      <c r="H181" s="257">
        <v>0</v>
      </c>
      <c r="I181" s="257">
        <v>0</v>
      </c>
      <c r="J181" s="257">
        <v>0</v>
      </c>
      <c r="K181" s="257">
        <v>0</v>
      </c>
      <c r="L181" s="257">
        <v>0</v>
      </c>
      <c r="M181" s="257">
        <v>4000000</v>
      </c>
      <c r="N181" s="257">
        <v>1000000</v>
      </c>
    </row>
    <row r="182" spans="1:14" s="143" customFormat="1" x14ac:dyDescent="0.25">
      <c r="A182" s="143">
        <v>214781</v>
      </c>
      <c r="D182" s="143" t="s">
        <v>69</v>
      </c>
      <c r="E182" s="257">
        <v>11325587195</v>
      </c>
      <c r="F182" s="257">
        <v>11325587195</v>
      </c>
      <c r="G182" s="257">
        <v>10370131815.809999</v>
      </c>
      <c r="H182" s="257">
        <v>0</v>
      </c>
      <c r="I182" s="257">
        <v>1698443291.8599999</v>
      </c>
      <c r="J182" s="257">
        <v>26735455.469999999</v>
      </c>
      <c r="K182" s="257">
        <v>1129866383.6400001</v>
      </c>
      <c r="L182" s="257">
        <v>1124680217.5599999</v>
      </c>
      <c r="M182" s="257">
        <v>8470542064.0299997</v>
      </c>
      <c r="N182" s="257">
        <v>7515086684.8400002</v>
      </c>
    </row>
    <row r="183" spans="1:14" s="143" customFormat="1" x14ac:dyDescent="0.25">
      <c r="A183" s="143" t="s">
        <v>290</v>
      </c>
      <c r="B183" s="143" t="s">
        <v>71</v>
      </c>
      <c r="C183" s="143" t="s">
        <v>72</v>
      </c>
      <c r="D183" s="143" t="s">
        <v>69</v>
      </c>
      <c r="E183" s="257">
        <v>9908319000</v>
      </c>
      <c r="F183" s="257">
        <v>9908319000</v>
      </c>
      <c r="G183" s="257">
        <v>9908319000</v>
      </c>
      <c r="H183" s="257">
        <v>0</v>
      </c>
      <c r="I183" s="257">
        <v>1400975274</v>
      </c>
      <c r="J183" s="257">
        <v>0</v>
      </c>
      <c r="K183" s="257">
        <v>1112421330.22</v>
      </c>
      <c r="L183" s="257">
        <v>1112421330.22</v>
      </c>
      <c r="M183" s="257">
        <v>7394922395.7799997</v>
      </c>
      <c r="N183" s="257">
        <v>7394922395.7799997</v>
      </c>
    </row>
    <row r="184" spans="1:14" s="143" customFormat="1" x14ac:dyDescent="0.25">
      <c r="A184" s="143" t="s">
        <v>290</v>
      </c>
      <c r="B184" s="143" t="s">
        <v>73</v>
      </c>
      <c r="C184" s="143" t="s">
        <v>74</v>
      </c>
      <c r="D184" s="143" t="s">
        <v>69</v>
      </c>
      <c r="E184" s="257">
        <v>3418584000</v>
      </c>
      <c r="F184" s="257">
        <v>3418584000</v>
      </c>
      <c r="G184" s="257">
        <v>3418584000</v>
      </c>
      <c r="H184" s="257">
        <v>0</v>
      </c>
      <c r="I184" s="257">
        <v>0</v>
      </c>
      <c r="J184" s="257">
        <v>0</v>
      </c>
      <c r="K184" s="257">
        <v>247685310.81</v>
      </c>
      <c r="L184" s="257">
        <v>247685310.81</v>
      </c>
      <c r="M184" s="257">
        <v>3170898689.1900001</v>
      </c>
      <c r="N184" s="257">
        <v>3170898689.1900001</v>
      </c>
    </row>
    <row r="185" spans="1:14" s="143" customFormat="1" x14ac:dyDescent="0.25">
      <c r="A185" s="143" t="s">
        <v>290</v>
      </c>
      <c r="B185" s="143" t="s">
        <v>75</v>
      </c>
      <c r="C185" s="143" t="s">
        <v>76</v>
      </c>
      <c r="D185" s="143" t="s">
        <v>69</v>
      </c>
      <c r="E185" s="257">
        <v>3413584000</v>
      </c>
      <c r="F185" s="257">
        <v>3413584000</v>
      </c>
      <c r="G185" s="257">
        <v>3413584000</v>
      </c>
      <c r="H185" s="257">
        <v>0</v>
      </c>
      <c r="I185" s="257">
        <v>0</v>
      </c>
      <c r="J185" s="257">
        <v>0</v>
      </c>
      <c r="K185" s="257">
        <v>247685310.81</v>
      </c>
      <c r="L185" s="257">
        <v>247685310.81</v>
      </c>
      <c r="M185" s="257">
        <v>3165898689.1900001</v>
      </c>
      <c r="N185" s="257">
        <v>3165898689.1900001</v>
      </c>
    </row>
    <row r="186" spans="1:14" s="143" customFormat="1" x14ac:dyDescent="0.25">
      <c r="A186" s="143" t="s">
        <v>290</v>
      </c>
      <c r="B186" s="143" t="s">
        <v>291</v>
      </c>
      <c r="C186" s="143" t="s">
        <v>292</v>
      </c>
      <c r="D186" s="143" t="s">
        <v>69</v>
      </c>
      <c r="E186" s="257">
        <v>5000000</v>
      </c>
      <c r="F186" s="257">
        <v>5000000</v>
      </c>
      <c r="G186" s="257">
        <v>5000000</v>
      </c>
      <c r="H186" s="257">
        <v>0</v>
      </c>
      <c r="I186" s="257">
        <v>0</v>
      </c>
      <c r="J186" s="257">
        <v>0</v>
      </c>
      <c r="K186" s="257">
        <v>0</v>
      </c>
      <c r="L186" s="257">
        <v>0</v>
      </c>
      <c r="M186" s="257">
        <v>5000000</v>
      </c>
      <c r="N186" s="257">
        <v>5000000</v>
      </c>
    </row>
    <row r="187" spans="1:14" s="143" customFormat="1" x14ac:dyDescent="0.25">
      <c r="A187" s="143" t="s">
        <v>290</v>
      </c>
      <c r="B187" s="143" t="s">
        <v>293</v>
      </c>
      <c r="C187" s="143" t="s">
        <v>294</v>
      </c>
      <c r="D187" s="143" t="s">
        <v>69</v>
      </c>
      <c r="E187" s="257">
        <v>11000000</v>
      </c>
      <c r="F187" s="257">
        <v>11000000</v>
      </c>
      <c r="G187" s="257">
        <v>11000000</v>
      </c>
      <c r="H187" s="257">
        <v>0</v>
      </c>
      <c r="I187" s="257">
        <v>0</v>
      </c>
      <c r="J187" s="257">
        <v>0</v>
      </c>
      <c r="K187" s="257">
        <v>201750.39999999999</v>
      </c>
      <c r="L187" s="257">
        <v>201750.39999999999</v>
      </c>
      <c r="M187" s="257">
        <v>10798249.6</v>
      </c>
      <c r="N187" s="257">
        <v>10798249.6</v>
      </c>
    </row>
    <row r="188" spans="1:14" s="143" customFormat="1" x14ac:dyDescent="0.25">
      <c r="A188" s="143" t="s">
        <v>290</v>
      </c>
      <c r="B188" s="143" t="s">
        <v>295</v>
      </c>
      <c r="C188" s="143" t="s">
        <v>296</v>
      </c>
      <c r="D188" s="143" t="s">
        <v>69</v>
      </c>
      <c r="E188" s="257">
        <v>11000000</v>
      </c>
      <c r="F188" s="257">
        <v>11000000</v>
      </c>
      <c r="G188" s="257">
        <v>11000000</v>
      </c>
      <c r="H188" s="257">
        <v>0</v>
      </c>
      <c r="I188" s="257">
        <v>0</v>
      </c>
      <c r="J188" s="257">
        <v>0</v>
      </c>
      <c r="K188" s="257">
        <v>201750.39999999999</v>
      </c>
      <c r="L188" s="257">
        <v>201750.39999999999</v>
      </c>
      <c r="M188" s="257">
        <v>10798249.6</v>
      </c>
      <c r="N188" s="257">
        <v>10798249.6</v>
      </c>
    </row>
    <row r="189" spans="1:14" s="143" customFormat="1" x14ac:dyDescent="0.25">
      <c r="A189" s="143" t="s">
        <v>290</v>
      </c>
      <c r="B189" s="143" t="s">
        <v>77</v>
      </c>
      <c r="C189" s="143" t="s">
        <v>78</v>
      </c>
      <c r="D189" s="143" t="s">
        <v>69</v>
      </c>
      <c r="E189" s="257">
        <v>4978167000</v>
      </c>
      <c r="F189" s="257">
        <v>4978167000</v>
      </c>
      <c r="G189" s="257">
        <v>4978167000</v>
      </c>
      <c r="H189" s="257">
        <v>0</v>
      </c>
      <c r="I189" s="257">
        <v>0</v>
      </c>
      <c r="J189" s="257">
        <v>0</v>
      </c>
      <c r="K189" s="257">
        <v>764941543.00999999</v>
      </c>
      <c r="L189" s="257">
        <v>764941543.00999999</v>
      </c>
      <c r="M189" s="257">
        <v>4213225456.9899998</v>
      </c>
      <c r="N189" s="257">
        <v>4213225456.9899998</v>
      </c>
    </row>
    <row r="190" spans="1:14" s="143" customFormat="1" x14ac:dyDescent="0.25">
      <c r="A190" s="143" t="s">
        <v>290</v>
      </c>
      <c r="B190" s="143" t="s">
        <v>79</v>
      </c>
      <c r="C190" s="143" t="s">
        <v>80</v>
      </c>
      <c r="D190" s="143" t="s">
        <v>69</v>
      </c>
      <c r="E190" s="257">
        <v>913627000</v>
      </c>
      <c r="F190" s="257">
        <v>913627000</v>
      </c>
      <c r="G190" s="257">
        <v>913627000</v>
      </c>
      <c r="H190" s="257">
        <v>0</v>
      </c>
      <c r="I190" s="257">
        <v>0</v>
      </c>
      <c r="J190" s="257">
        <v>0</v>
      </c>
      <c r="K190" s="257">
        <v>62082262.689999998</v>
      </c>
      <c r="L190" s="257">
        <v>62082262.689999998</v>
      </c>
      <c r="M190" s="257">
        <v>851544737.30999994</v>
      </c>
      <c r="N190" s="257">
        <v>851544737.30999994</v>
      </c>
    </row>
    <row r="191" spans="1:14" s="143" customFormat="1" x14ac:dyDescent="0.25">
      <c r="A191" s="143" t="s">
        <v>290</v>
      </c>
      <c r="B191" s="143" t="s">
        <v>81</v>
      </c>
      <c r="C191" s="143" t="s">
        <v>82</v>
      </c>
      <c r="D191" s="143" t="s">
        <v>69</v>
      </c>
      <c r="E191" s="257">
        <v>2244831000</v>
      </c>
      <c r="F191" s="257">
        <v>2244831000</v>
      </c>
      <c r="G191" s="257">
        <v>2244831000</v>
      </c>
      <c r="H191" s="257">
        <v>0</v>
      </c>
      <c r="I191" s="257">
        <v>0</v>
      </c>
      <c r="J191" s="257">
        <v>0</v>
      </c>
      <c r="K191" s="257">
        <v>162623391.34999999</v>
      </c>
      <c r="L191" s="257">
        <v>162623391.34999999</v>
      </c>
      <c r="M191" s="257">
        <v>2082207608.6500001</v>
      </c>
      <c r="N191" s="257">
        <v>2082207608.6500001</v>
      </c>
    </row>
    <row r="192" spans="1:14" s="143" customFormat="1" x14ac:dyDescent="0.25">
      <c r="A192" s="143" t="s">
        <v>290</v>
      </c>
      <c r="B192" s="143" t="s">
        <v>86</v>
      </c>
      <c r="C192" s="143" t="s">
        <v>87</v>
      </c>
      <c r="D192" s="143" t="s">
        <v>69</v>
      </c>
      <c r="E192" s="257">
        <v>540993000</v>
      </c>
      <c r="F192" s="257">
        <v>540993000</v>
      </c>
      <c r="G192" s="257">
        <v>540993000</v>
      </c>
      <c r="H192" s="257">
        <v>0</v>
      </c>
      <c r="I192" s="257">
        <v>0</v>
      </c>
      <c r="J192" s="257">
        <v>0</v>
      </c>
      <c r="K192" s="257">
        <v>493915397.87</v>
      </c>
      <c r="L192" s="257">
        <v>493915397.87</v>
      </c>
      <c r="M192" s="257">
        <v>47077602.130000003</v>
      </c>
      <c r="N192" s="257">
        <v>47077602.130000003</v>
      </c>
    </row>
    <row r="193" spans="1:14" s="143" customFormat="1" x14ac:dyDescent="0.25">
      <c r="A193" s="143" t="s">
        <v>290</v>
      </c>
      <c r="B193" s="143" t="s">
        <v>88</v>
      </c>
      <c r="C193" s="143" t="s">
        <v>89</v>
      </c>
      <c r="D193" s="143" t="s">
        <v>69</v>
      </c>
      <c r="E193" s="257">
        <v>630877000</v>
      </c>
      <c r="F193" s="257">
        <v>630877000</v>
      </c>
      <c r="G193" s="257">
        <v>630877000</v>
      </c>
      <c r="H193" s="257">
        <v>0</v>
      </c>
      <c r="I193" s="257">
        <v>0</v>
      </c>
      <c r="J193" s="257">
        <v>0</v>
      </c>
      <c r="K193" s="257">
        <v>46320491.100000001</v>
      </c>
      <c r="L193" s="257">
        <v>46320491.100000001</v>
      </c>
      <c r="M193" s="257">
        <v>584556508.89999998</v>
      </c>
      <c r="N193" s="257">
        <v>584556508.89999998</v>
      </c>
    </row>
    <row r="194" spans="1:14" s="143" customFormat="1" x14ac:dyDescent="0.25">
      <c r="A194" s="143" t="s">
        <v>290</v>
      </c>
      <c r="B194" s="143" t="s">
        <v>83</v>
      </c>
      <c r="C194" s="143" t="s">
        <v>84</v>
      </c>
      <c r="D194" s="143" t="s">
        <v>85</v>
      </c>
      <c r="E194" s="257">
        <v>647839000</v>
      </c>
      <c r="F194" s="257">
        <v>647839000</v>
      </c>
      <c r="G194" s="257">
        <v>647839000</v>
      </c>
      <c r="H194" s="257">
        <v>0</v>
      </c>
      <c r="I194" s="257">
        <v>0</v>
      </c>
      <c r="J194" s="257">
        <v>0</v>
      </c>
      <c r="K194" s="257">
        <v>0</v>
      </c>
      <c r="L194" s="257">
        <v>0</v>
      </c>
      <c r="M194" s="257">
        <v>647839000</v>
      </c>
      <c r="N194" s="257">
        <v>647839000</v>
      </c>
    </row>
    <row r="195" spans="1:14" s="143" customFormat="1" x14ac:dyDescent="0.25">
      <c r="A195" s="143" t="s">
        <v>290</v>
      </c>
      <c r="B195" s="143" t="s">
        <v>90</v>
      </c>
      <c r="C195" s="143" t="s">
        <v>91</v>
      </c>
      <c r="D195" s="143" t="s">
        <v>69</v>
      </c>
      <c r="E195" s="257">
        <v>756883000</v>
      </c>
      <c r="F195" s="257">
        <v>756883000</v>
      </c>
      <c r="G195" s="257">
        <v>756883000</v>
      </c>
      <c r="H195" s="257">
        <v>0</v>
      </c>
      <c r="I195" s="257">
        <v>706315490</v>
      </c>
      <c r="J195" s="257">
        <v>0</v>
      </c>
      <c r="K195" s="257">
        <v>50567510</v>
      </c>
      <c r="L195" s="257">
        <v>50567510</v>
      </c>
      <c r="M195" s="257">
        <v>0</v>
      </c>
      <c r="N195" s="257">
        <v>0</v>
      </c>
    </row>
    <row r="196" spans="1:14" s="143" customFormat="1" x14ac:dyDescent="0.25">
      <c r="A196" s="143" t="s">
        <v>290</v>
      </c>
      <c r="B196" s="143" t="s">
        <v>297</v>
      </c>
      <c r="C196" s="143" t="s">
        <v>93</v>
      </c>
      <c r="D196" s="143" t="s">
        <v>69</v>
      </c>
      <c r="E196" s="257">
        <v>718069000</v>
      </c>
      <c r="F196" s="257">
        <v>718069000</v>
      </c>
      <c r="G196" s="257">
        <v>718069000</v>
      </c>
      <c r="H196" s="257">
        <v>0</v>
      </c>
      <c r="I196" s="257">
        <v>670094080</v>
      </c>
      <c r="J196" s="257">
        <v>0</v>
      </c>
      <c r="K196" s="257">
        <v>47974920</v>
      </c>
      <c r="L196" s="257">
        <v>47974920</v>
      </c>
      <c r="M196" s="257">
        <v>0</v>
      </c>
      <c r="N196" s="257">
        <v>0</v>
      </c>
    </row>
    <row r="197" spans="1:14" s="143" customFormat="1" x14ac:dyDescent="0.25">
      <c r="A197" s="143" t="s">
        <v>290</v>
      </c>
      <c r="B197" s="143" t="s">
        <v>298</v>
      </c>
      <c r="C197" s="143" t="s">
        <v>95</v>
      </c>
      <c r="D197" s="143" t="s">
        <v>69</v>
      </c>
      <c r="E197" s="257">
        <v>38814000</v>
      </c>
      <c r="F197" s="257">
        <v>38814000</v>
      </c>
      <c r="G197" s="257">
        <v>38814000</v>
      </c>
      <c r="H197" s="257">
        <v>0</v>
      </c>
      <c r="I197" s="257">
        <v>36221410</v>
      </c>
      <c r="J197" s="257">
        <v>0</v>
      </c>
      <c r="K197" s="257">
        <v>2592590</v>
      </c>
      <c r="L197" s="257">
        <v>2592590</v>
      </c>
      <c r="M197" s="257">
        <v>0</v>
      </c>
      <c r="N197" s="257">
        <v>0</v>
      </c>
    </row>
    <row r="198" spans="1:14" s="143" customFormat="1" x14ac:dyDescent="0.25">
      <c r="A198" s="143" t="s">
        <v>290</v>
      </c>
      <c r="B198" s="143" t="s">
        <v>96</v>
      </c>
      <c r="C198" s="143" t="s">
        <v>97</v>
      </c>
      <c r="D198" s="143" t="s">
        <v>69</v>
      </c>
      <c r="E198" s="257">
        <v>743685000</v>
      </c>
      <c r="F198" s="257">
        <v>743685000</v>
      </c>
      <c r="G198" s="257">
        <v>743685000</v>
      </c>
      <c r="H198" s="257">
        <v>0</v>
      </c>
      <c r="I198" s="257">
        <v>694659784</v>
      </c>
      <c r="J198" s="257">
        <v>0</v>
      </c>
      <c r="K198" s="257">
        <v>49025216</v>
      </c>
      <c r="L198" s="257">
        <v>49025216</v>
      </c>
      <c r="M198" s="257">
        <v>0</v>
      </c>
      <c r="N198" s="257">
        <v>0</v>
      </c>
    </row>
    <row r="199" spans="1:14" s="143" customFormat="1" x14ac:dyDescent="0.25">
      <c r="A199" s="143" t="s">
        <v>290</v>
      </c>
      <c r="B199" s="143" t="s">
        <v>299</v>
      </c>
      <c r="C199" s="143" t="s">
        <v>99</v>
      </c>
      <c r="D199" s="143" t="s">
        <v>69</v>
      </c>
      <c r="E199" s="257">
        <v>394355000</v>
      </c>
      <c r="F199" s="257">
        <v>394355000</v>
      </c>
      <c r="G199" s="257">
        <v>394355000</v>
      </c>
      <c r="H199" s="257">
        <v>0</v>
      </c>
      <c r="I199" s="257">
        <v>368663052</v>
      </c>
      <c r="J199" s="257">
        <v>0</v>
      </c>
      <c r="K199" s="257">
        <v>25691948</v>
      </c>
      <c r="L199" s="257">
        <v>25691948</v>
      </c>
      <c r="M199" s="257">
        <v>0</v>
      </c>
      <c r="N199" s="257">
        <v>0</v>
      </c>
    </row>
    <row r="200" spans="1:14" s="143" customFormat="1" x14ac:dyDescent="0.25">
      <c r="A200" s="143" t="s">
        <v>290</v>
      </c>
      <c r="B200" s="143" t="s">
        <v>300</v>
      </c>
      <c r="C200" s="143" t="s">
        <v>101</v>
      </c>
      <c r="D200" s="143" t="s">
        <v>69</v>
      </c>
      <c r="E200" s="257">
        <v>116443000</v>
      </c>
      <c r="F200" s="257">
        <v>116443000</v>
      </c>
      <c r="G200" s="257">
        <v>116443000</v>
      </c>
      <c r="H200" s="257">
        <v>0</v>
      </c>
      <c r="I200" s="257">
        <v>108665245</v>
      </c>
      <c r="J200" s="257">
        <v>0</v>
      </c>
      <c r="K200" s="257">
        <v>7777755</v>
      </c>
      <c r="L200" s="257">
        <v>7777755</v>
      </c>
      <c r="M200" s="257">
        <v>0</v>
      </c>
      <c r="N200" s="257">
        <v>0</v>
      </c>
    </row>
    <row r="201" spans="1:14" s="143" customFormat="1" x14ac:dyDescent="0.25">
      <c r="A201" s="143" t="s">
        <v>290</v>
      </c>
      <c r="B201" s="143" t="s">
        <v>301</v>
      </c>
      <c r="C201" s="143" t="s">
        <v>103</v>
      </c>
      <c r="D201" s="143" t="s">
        <v>69</v>
      </c>
      <c r="E201" s="257">
        <v>232887000</v>
      </c>
      <c r="F201" s="257">
        <v>232887000</v>
      </c>
      <c r="G201" s="257">
        <v>232887000</v>
      </c>
      <c r="H201" s="257">
        <v>0</v>
      </c>
      <c r="I201" s="257">
        <v>217331487</v>
      </c>
      <c r="J201" s="257">
        <v>0</v>
      </c>
      <c r="K201" s="257">
        <v>15555513</v>
      </c>
      <c r="L201" s="257">
        <v>15555513</v>
      </c>
      <c r="M201" s="257">
        <v>0</v>
      </c>
      <c r="N201" s="257">
        <v>0</v>
      </c>
    </row>
    <row r="202" spans="1:14" s="143" customFormat="1" x14ac:dyDescent="0.25">
      <c r="A202" s="143" t="s">
        <v>290</v>
      </c>
      <c r="B202" s="143" t="s">
        <v>104</v>
      </c>
      <c r="C202" s="143" t="s">
        <v>105</v>
      </c>
      <c r="D202" s="143" t="s">
        <v>69</v>
      </c>
      <c r="E202" s="257">
        <v>1006874402</v>
      </c>
      <c r="F202" s="257">
        <v>1006874402</v>
      </c>
      <c r="G202" s="257">
        <v>280399300</v>
      </c>
      <c r="H202" s="257">
        <v>0</v>
      </c>
      <c r="I202" s="257">
        <v>167497790.59999999</v>
      </c>
      <c r="J202" s="257">
        <v>26735455.469999999</v>
      </c>
      <c r="K202" s="257">
        <v>5702417.5800000001</v>
      </c>
      <c r="L202" s="257">
        <v>1304651.5</v>
      </c>
      <c r="M202" s="257">
        <v>806938738.35000002</v>
      </c>
      <c r="N202" s="257">
        <v>80463636.349999994</v>
      </c>
    </row>
    <row r="203" spans="1:14" s="143" customFormat="1" x14ac:dyDescent="0.25">
      <c r="A203" s="143" t="s">
        <v>290</v>
      </c>
      <c r="B203" s="143" t="s">
        <v>106</v>
      </c>
      <c r="C203" s="143" t="s">
        <v>107</v>
      </c>
      <c r="D203" s="143" t="s">
        <v>69</v>
      </c>
      <c r="E203" s="257">
        <v>331717997</v>
      </c>
      <c r="F203" s="257">
        <v>331717997</v>
      </c>
      <c r="G203" s="257">
        <v>92129499</v>
      </c>
      <c r="H203" s="257">
        <v>0</v>
      </c>
      <c r="I203" s="257">
        <v>69124405.530000001</v>
      </c>
      <c r="J203" s="257">
        <v>7924070</v>
      </c>
      <c r="K203" s="257">
        <v>0</v>
      </c>
      <c r="L203" s="257">
        <v>0</v>
      </c>
      <c r="M203" s="257">
        <v>254669521.47</v>
      </c>
      <c r="N203" s="257">
        <v>15081023.470000001</v>
      </c>
    </row>
    <row r="204" spans="1:14" s="143" customFormat="1" x14ac:dyDescent="0.25">
      <c r="A204" s="143" t="s">
        <v>290</v>
      </c>
      <c r="B204" s="143" t="s">
        <v>280</v>
      </c>
      <c r="C204" s="143" t="s">
        <v>281</v>
      </c>
      <c r="D204" s="143" t="s">
        <v>69</v>
      </c>
      <c r="E204" s="257">
        <v>200526630</v>
      </c>
      <c r="F204" s="257">
        <v>200526630</v>
      </c>
      <c r="G204" s="257">
        <v>50131657</v>
      </c>
      <c r="H204" s="257">
        <v>0</v>
      </c>
      <c r="I204" s="257">
        <v>27608155</v>
      </c>
      <c r="J204" s="257">
        <v>7924070</v>
      </c>
      <c r="K204" s="257">
        <v>0</v>
      </c>
      <c r="L204" s="257">
        <v>0</v>
      </c>
      <c r="M204" s="257">
        <v>164994405</v>
      </c>
      <c r="N204" s="257">
        <v>14599432</v>
      </c>
    </row>
    <row r="205" spans="1:14" s="143" customFormat="1" x14ac:dyDescent="0.25">
      <c r="A205" s="143" t="s">
        <v>290</v>
      </c>
      <c r="B205" s="143" t="s">
        <v>302</v>
      </c>
      <c r="C205" s="143" t="s">
        <v>303</v>
      </c>
      <c r="D205" s="143" t="s">
        <v>69</v>
      </c>
      <c r="E205" s="257">
        <v>3933000</v>
      </c>
      <c r="F205" s="257">
        <v>3933000</v>
      </c>
      <c r="G205" s="257">
        <v>983250</v>
      </c>
      <c r="H205" s="257">
        <v>0</v>
      </c>
      <c r="I205" s="257">
        <v>840885.85</v>
      </c>
      <c r="J205" s="257">
        <v>0</v>
      </c>
      <c r="K205" s="257">
        <v>0</v>
      </c>
      <c r="L205" s="257">
        <v>0</v>
      </c>
      <c r="M205" s="257">
        <v>3092114.15</v>
      </c>
      <c r="N205" s="257">
        <v>142364.15</v>
      </c>
    </row>
    <row r="206" spans="1:14" s="143" customFormat="1" x14ac:dyDescent="0.25">
      <c r="A206" s="143" t="s">
        <v>290</v>
      </c>
      <c r="B206" s="143" t="s">
        <v>108</v>
      </c>
      <c r="C206" s="143" t="s">
        <v>109</v>
      </c>
      <c r="D206" s="143" t="s">
        <v>69</v>
      </c>
      <c r="E206" s="257">
        <v>98126131</v>
      </c>
      <c r="F206" s="257">
        <v>98126131</v>
      </c>
      <c r="G206" s="257">
        <v>31531533</v>
      </c>
      <c r="H206" s="257">
        <v>0</v>
      </c>
      <c r="I206" s="257">
        <v>31482183.57</v>
      </c>
      <c r="J206" s="257">
        <v>0</v>
      </c>
      <c r="K206" s="257">
        <v>0</v>
      </c>
      <c r="L206" s="257">
        <v>0</v>
      </c>
      <c r="M206" s="257">
        <v>66643947.43</v>
      </c>
      <c r="N206" s="257">
        <v>49349.43</v>
      </c>
    </row>
    <row r="207" spans="1:14" s="143" customFormat="1" x14ac:dyDescent="0.25">
      <c r="A207" s="143" t="s">
        <v>290</v>
      </c>
      <c r="B207" s="143" t="s">
        <v>304</v>
      </c>
      <c r="C207" s="143" t="s">
        <v>305</v>
      </c>
      <c r="D207" s="143" t="s">
        <v>69</v>
      </c>
      <c r="E207" s="257">
        <v>1774000</v>
      </c>
      <c r="F207" s="257">
        <v>1774000</v>
      </c>
      <c r="G207" s="257">
        <v>443500</v>
      </c>
      <c r="H207" s="257">
        <v>0</v>
      </c>
      <c r="I207" s="257">
        <v>162259.43</v>
      </c>
      <c r="J207" s="257">
        <v>0</v>
      </c>
      <c r="K207" s="257">
        <v>0</v>
      </c>
      <c r="L207" s="257">
        <v>0</v>
      </c>
      <c r="M207" s="257">
        <v>1611740.57</v>
      </c>
      <c r="N207" s="257">
        <v>281240.57</v>
      </c>
    </row>
    <row r="208" spans="1:14" s="143" customFormat="1" x14ac:dyDescent="0.25">
      <c r="A208" s="143" t="s">
        <v>290</v>
      </c>
      <c r="B208" s="143" t="s">
        <v>110</v>
      </c>
      <c r="C208" s="143" t="s">
        <v>111</v>
      </c>
      <c r="D208" s="143" t="s">
        <v>69</v>
      </c>
      <c r="E208" s="257">
        <v>27358236</v>
      </c>
      <c r="F208" s="257">
        <v>27358236</v>
      </c>
      <c r="G208" s="257">
        <v>9039559</v>
      </c>
      <c r="H208" s="257">
        <v>0</v>
      </c>
      <c r="I208" s="257">
        <v>9030921.6799999997</v>
      </c>
      <c r="J208" s="257">
        <v>0</v>
      </c>
      <c r="K208" s="257">
        <v>0</v>
      </c>
      <c r="L208" s="257">
        <v>0</v>
      </c>
      <c r="M208" s="257">
        <v>18327314.32</v>
      </c>
      <c r="N208" s="257">
        <v>8637.32</v>
      </c>
    </row>
    <row r="209" spans="1:14" s="143" customFormat="1" x14ac:dyDescent="0.25">
      <c r="A209" s="143" t="s">
        <v>290</v>
      </c>
      <c r="B209" s="143" t="s">
        <v>112</v>
      </c>
      <c r="C209" s="143" t="s">
        <v>113</v>
      </c>
      <c r="D209" s="143" t="s">
        <v>69</v>
      </c>
      <c r="E209" s="257">
        <v>126929000</v>
      </c>
      <c r="F209" s="257">
        <v>126929000</v>
      </c>
      <c r="G209" s="257">
        <v>35732250</v>
      </c>
      <c r="H209" s="257">
        <v>0</v>
      </c>
      <c r="I209" s="257">
        <v>19709809.559999999</v>
      </c>
      <c r="J209" s="257">
        <v>0</v>
      </c>
      <c r="K209" s="257">
        <v>2977084.68</v>
      </c>
      <c r="L209" s="257">
        <v>0</v>
      </c>
      <c r="M209" s="257">
        <v>104242105.76000001</v>
      </c>
      <c r="N209" s="257">
        <v>13045355.76</v>
      </c>
    </row>
    <row r="210" spans="1:14" s="143" customFormat="1" x14ac:dyDescent="0.25">
      <c r="A210" s="143" t="s">
        <v>290</v>
      </c>
      <c r="B210" s="143" t="s">
        <v>114</v>
      </c>
      <c r="C210" s="143" t="s">
        <v>115</v>
      </c>
      <c r="D210" s="143" t="s">
        <v>69</v>
      </c>
      <c r="E210" s="257">
        <v>13400000</v>
      </c>
      <c r="F210" s="257">
        <v>13400000</v>
      </c>
      <c r="G210" s="257">
        <v>7350000</v>
      </c>
      <c r="H210" s="257">
        <v>0</v>
      </c>
      <c r="I210" s="257">
        <v>3130534</v>
      </c>
      <c r="J210" s="257">
        <v>0</v>
      </c>
      <c r="K210" s="257">
        <v>1060635</v>
      </c>
      <c r="L210" s="257">
        <v>0</v>
      </c>
      <c r="M210" s="257">
        <v>9208831</v>
      </c>
      <c r="N210" s="257">
        <v>3158831</v>
      </c>
    </row>
    <row r="211" spans="1:14" s="143" customFormat="1" x14ac:dyDescent="0.25">
      <c r="A211" s="143" t="s">
        <v>290</v>
      </c>
      <c r="B211" s="143" t="s">
        <v>116</v>
      </c>
      <c r="C211" s="143" t="s">
        <v>117</v>
      </c>
      <c r="D211" s="143" t="s">
        <v>69</v>
      </c>
      <c r="E211" s="257">
        <v>49200000</v>
      </c>
      <c r="F211" s="257">
        <v>49200000</v>
      </c>
      <c r="G211" s="257">
        <v>12300000</v>
      </c>
      <c r="H211" s="257">
        <v>0</v>
      </c>
      <c r="I211" s="257">
        <v>9000000</v>
      </c>
      <c r="J211" s="257">
        <v>0</v>
      </c>
      <c r="K211" s="257">
        <v>0</v>
      </c>
      <c r="L211" s="257">
        <v>0</v>
      </c>
      <c r="M211" s="257">
        <v>40200000</v>
      </c>
      <c r="N211" s="257">
        <v>3300000</v>
      </c>
    </row>
    <row r="212" spans="1:14" s="143" customFormat="1" x14ac:dyDescent="0.25">
      <c r="A212" s="143" t="s">
        <v>290</v>
      </c>
      <c r="B212" s="143" t="s">
        <v>118</v>
      </c>
      <c r="C212" s="143" t="s">
        <v>119</v>
      </c>
      <c r="D212" s="143" t="s">
        <v>69</v>
      </c>
      <c r="E212" s="257">
        <v>12000000</v>
      </c>
      <c r="F212" s="257">
        <v>12000000</v>
      </c>
      <c r="G212" s="257">
        <v>3000000</v>
      </c>
      <c r="H212" s="257">
        <v>0</v>
      </c>
      <c r="I212" s="257">
        <v>266590</v>
      </c>
      <c r="J212" s="257">
        <v>0</v>
      </c>
      <c r="K212" s="257">
        <v>208700</v>
      </c>
      <c r="L212" s="257">
        <v>0</v>
      </c>
      <c r="M212" s="257">
        <v>11524710</v>
      </c>
      <c r="N212" s="257">
        <v>2524710</v>
      </c>
    </row>
    <row r="213" spans="1:14" s="143" customFormat="1" x14ac:dyDescent="0.25">
      <c r="A213" s="143" t="s">
        <v>290</v>
      </c>
      <c r="B213" s="143" t="s">
        <v>120</v>
      </c>
      <c r="C213" s="143" t="s">
        <v>121</v>
      </c>
      <c r="D213" s="143" t="s">
        <v>69</v>
      </c>
      <c r="E213" s="257">
        <v>47604000</v>
      </c>
      <c r="F213" s="257">
        <v>47604000</v>
      </c>
      <c r="G213" s="257">
        <v>11901000</v>
      </c>
      <c r="H213" s="257">
        <v>0</v>
      </c>
      <c r="I213" s="257">
        <v>7231685.5599999996</v>
      </c>
      <c r="J213" s="257">
        <v>0</v>
      </c>
      <c r="K213" s="257">
        <v>1707749.68</v>
      </c>
      <c r="L213" s="257">
        <v>0</v>
      </c>
      <c r="M213" s="257">
        <v>38664564.759999998</v>
      </c>
      <c r="N213" s="257">
        <v>2961564.76</v>
      </c>
    </row>
    <row r="214" spans="1:14" s="143" customFormat="1" x14ac:dyDescent="0.25">
      <c r="A214" s="143" t="s">
        <v>290</v>
      </c>
      <c r="B214" s="143" t="s">
        <v>122</v>
      </c>
      <c r="C214" s="143" t="s">
        <v>123</v>
      </c>
      <c r="D214" s="143" t="s">
        <v>69</v>
      </c>
      <c r="E214" s="257">
        <v>4725000</v>
      </c>
      <c r="F214" s="257">
        <v>4725000</v>
      </c>
      <c r="G214" s="257">
        <v>1181250</v>
      </c>
      <c r="H214" s="257">
        <v>0</v>
      </c>
      <c r="I214" s="257">
        <v>81000</v>
      </c>
      <c r="J214" s="257">
        <v>0</v>
      </c>
      <c r="K214" s="257">
        <v>0</v>
      </c>
      <c r="L214" s="257">
        <v>0</v>
      </c>
      <c r="M214" s="257">
        <v>4644000</v>
      </c>
      <c r="N214" s="257">
        <v>1100250</v>
      </c>
    </row>
    <row r="215" spans="1:14" s="143" customFormat="1" x14ac:dyDescent="0.25">
      <c r="A215" s="143" t="s">
        <v>290</v>
      </c>
      <c r="B215" s="143" t="s">
        <v>124</v>
      </c>
      <c r="C215" s="143" t="s">
        <v>125</v>
      </c>
      <c r="D215" s="143" t="s">
        <v>69</v>
      </c>
      <c r="E215" s="257">
        <v>3746000</v>
      </c>
      <c r="F215" s="257">
        <v>3746000</v>
      </c>
      <c r="G215" s="257">
        <v>1267200</v>
      </c>
      <c r="H215" s="257">
        <v>0</v>
      </c>
      <c r="I215" s="257">
        <v>776281.42</v>
      </c>
      <c r="J215" s="257">
        <v>0</v>
      </c>
      <c r="K215" s="257">
        <v>117362.9</v>
      </c>
      <c r="L215" s="257">
        <v>29181.5</v>
      </c>
      <c r="M215" s="257">
        <v>2852355.68</v>
      </c>
      <c r="N215" s="257">
        <v>373555.68</v>
      </c>
    </row>
    <row r="216" spans="1:14" s="143" customFormat="1" x14ac:dyDescent="0.25">
      <c r="A216" s="143" t="s">
        <v>290</v>
      </c>
      <c r="B216" s="143" t="s">
        <v>126</v>
      </c>
      <c r="C216" s="143" t="s">
        <v>127</v>
      </c>
      <c r="D216" s="143" t="s">
        <v>69</v>
      </c>
      <c r="E216" s="257">
        <v>500000</v>
      </c>
      <c r="F216" s="257">
        <v>500000</v>
      </c>
      <c r="G216" s="257">
        <v>305700</v>
      </c>
      <c r="H216" s="257">
        <v>0</v>
      </c>
      <c r="I216" s="257">
        <v>133730</v>
      </c>
      <c r="J216" s="257">
        <v>0</v>
      </c>
      <c r="K216" s="257">
        <v>71970</v>
      </c>
      <c r="L216" s="257">
        <v>0</v>
      </c>
      <c r="M216" s="257">
        <v>294300</v>
      </c>
      <c r="N216" s="257">
        <v>100000</v>
      </c>
    </row>
    <row r="217" spans="1:14" s="143" customFormat="1" x14ac:dyDescent="0.25">
      <c r="A217" s="143" t="s">
        <v>290</v>
      </c>
      <c r="B217" s="143" t="s">
        <v>128</v>
      </c>
      <c r="C217" s="143" t="s">
        <v>129</v>
      </c>
      <c r="D217" s="143" t="s">
        <v>69</v>
      </c>
      <c r="E217" s="257">
        <v>1000000</v>
      </c>
      <c r="F217" s="257">
        <v>1000000</v>
      </c>
      <c r="G217" s="257">
        <v>250000</v>
      </c>
      <c r="H217" s="257">
        <v>0</v>
      </c>
      <c r="I217" s="257">
        <v>80327</v>
      </c>
      <c r="J217" s="257">
        <v>0</v>
      </c>
      <c r="K217" s="257">
        <v>21950</v>
      </c>
      <c r="L217" s="257">
        <v>21950</v>
      </c>
      <c r="M217" s="257">
        <v>897723</v>
      </c>
      <c r="N217" s="257">
        <v>147723</v>
      </c>
    </row>
    <row r="218" spans="1:14" s="143" customFormat="1" x14ac:dyDescent="0.25">
      <c r="A218" s="143" t="s">
        <v>290</v>
      </c>
      <c r="B218" s="143" t="s">
        <v>130</v>
      </c>
      <c r="C218" s="143" t="s">
        <v>131</v>
      </c>
      <c r="D218" s="143" t="s">
        <v>69</v>
      </c>
      <c r="E218" s="257">
        <v>200000</v>
      </c>
      <c r="F218" s="257">
        <v>200000</v>
      </c>
      <c r="G218" s="257">
        <v>200000</v>
      </c>
      <c r="H218" s="257">
        <v>0</v>
      </c>
      <c r="I218" s="257">
        <v>149793</v>
      </c>
      <c r="J218" s="257">
        <v>0</v>
      </c>
      <c r="K218" s="257">
        <v>7231.5</v>
      </c>
      <c r="L218" s="257">
        <v>7231.5</v>
      </c>
      <c r="M218" s="257">
        <v>42975.5</v>
      </c>
      <c r="N218" s="257">
        <v>42975.5</v>
      </c>
    </row>
    <row r="219" spans="1:14" s="143" customFormat="1" x14ac:dyDescent="0.25">
      <c r="A219" s="143" t="s">
        <v>290</v>
      </c>
      <c r="B219" s="143" t="s">
        <v>132</v>
      </c>
      <c r="C219" s="143" t="s">
        <v>133</v>
      </c>
      <c r="D219" s="143" t="s">
        <v>69</v>
      </c>
      <c r="E219" s="257">
        <v>2046000</v>
      </c>
      <c r="F219" s="257">
        <v>2046000</v>
      </c>
      <c r="G219" s="257">
        <v>511500</v>
      </c>
      <c r="H219" s="257">
        <v>0</v>
      </c>
      <c r="I219" s="257">
        <v>412431.42</v>
      </c>
      <c r="J219" s="257">
        <v>0</v>
      </c>
      <c r="K219" s="257">
        <v>16211.4</v>
      </c>
      <c r="L219" s="257">
        <v>0</v>
      </c>
      <c r="M219" s="257">
        <v>1617357.18</v>
      </c>
      <c r="N219" s="257">
        <v>82857.179999999993</v>
      </c>
    </row>
    <row r="220" spans="1:14" s="143" customFormat="1" x14ac:dyDescent="0.25">
      <c r="A220" s="143" t="s">
        <v>290</v>
      </c>
      <c r="B220" s="143" t="s">
        <v>134</v>
      </c>
      <c r="C220" s="143" t="s">
        <v>135</v>
      </c>
      <c r="D220" s="143" t="s">
        <v>69</v>
      </c>
      <c r="E220" s="257">
        <v>334518795</v>
      </c>
      <c r="F220" s="257">
        <v>334518795</v>
      </c>
      <c r="G220" s="257">
        <v>96179699</v>
      </c>
      <c r="H220" s="257">
        <v>0</v>
      </c>
      <c r="I220" s="257">
        <v>41132510.490000002</v>
      </c>
      <c r="J220" s="257">
        <v>18001385.469999999</v>
      </c>
      <c r="K220" s="257">
        <v>0</v>
      </c>
      <c r="L220" s="257">
        <v>0</v>
      </c>
      <c r="M220" s="257">
        <v>275384899.04000002</v>
      </c>
      <c r="N220" s="257">
        <v>37045803.039999999</v>
      </c>
    </row>
    <row r="221" spans="1:14" s="143" customFormat="1" x14ac:dyDescent="0.25">
      <c r="A221" s="143" t="s">
        <v>290</v>
      </c>
      <c r="B221" s="143" t="s">
        <v>306</v>
      </c>
      <c r="C221" s="143" t="s">
        <v>307</v>
      </c>
      <c r="D221" s="143" t="s">
        <v>69</v>
      </c>
      <c r="E221" s="257">
        <v>2000000</v>
      </c>
      <c r="F221" s="257">
        <v>2000000</v>
      </c>
      <c r="G221" s="257">
        <v>500000</v>
      </c>
      <c r="H221" s="257">
        <v>0</v>
      </c>
      <c r="I221" s="257">
        <v>0</v>
      </c>
      <c r="J221" s="257">
        <v>0</v>
      </c>
      <c r="K221" s="257">
        <v>0</v>
      </c>
      <c r="L221" s="257">
        <v>0</v>
      </c>
      <c r="M221" s="257">
        <v>2000000</v>
      </c>
      <c r="N221" s="257">
        <v>500000</v>
      </c>
    </row>
    <row r="222" spans="1:14" s="143" customFormat="1" x14ac:dyDescent="0.25">
      <c r="A222" s="143" t="s">
        <v>290</v>
      </c>
      <c r="B222" s="143" t="s">
        <v>308</v>
      </c>
      <c r="C222" s="143" t="s">
        <v>309</v>
      </c>
      <c r="D222" s="143" t="s">
        <v>69</v>
      </c>
      <c r="E222" s="257">
        <v>5000000</v>
      </c>
      <c r="F222" s="257">
        <v>5000000</v>
      </c>
      <c r="G222" s="257">
        <v>5000000</v>
      </c>
      <c r="H222" s="257">
        <v>0</v>
      </c>
      <c r="I222" s="257">
        <v>4556956</v>
      </c>
      <c r="J222" s="257">
        <v>0</v>
      </c>
      <c r="K222" s="257">
        <v>0</v>
      </c>
      <c r="L222" s="257">
        <v>0</v>
      </c>
      <c r="M222" s="257">
        <v>443044</v>
      </c>
      <c r="N222" s="257">
        <v>443044</v>
      </c>
    </row>
    <row r="223" spans="1:14" s="143" customFormat="1" x14ac:dyDescent="0.25">
      <c r="A223" s="143" t="s">
        <v>290</v>
      </c>
      <c r="B223" s="143" t="s">
        <v>136</v>
      </c>
      <c r="C223" s="143" t="s">
        <v>137</v>
      </c>
      <c r="D223" s="143" t="s">
        <v>69</v>
      </c>
      <c r="E223" s="257">
        <v>319951179</v>
      </c>
      <c r="F223" s="257">
        <v>319951179</v>
      </c>
      <c r="G223" s="257">
        <v>86187795</v>
      </c>
      <c r="H223" s="257">
        <v>0</v>
      </c>
      <c r="I223" s="257">
        <v>32103124.149999999</v>
      </c>
      <c r="J223" s="257">
        <v>18001385.469999999</v>
      </c>
      <c r="K223" s="257">
        <v>0</v>
      </c>
      <c r="L223" s="257">
        <v>0</v>
      </c>
      <c r="M223" s="257">
        <v>269846669.38</v>
      </c>
      <c r="N223" s="257">
        <v>36083285.380000003</v>
      </c>
    </row>
    <row r="224" spans="1:14" s="143" customFormat="1" x14ac:dyDescent="0.25">
      <c r="A224" s="143" t="s">
        <v>290</v>
      </c>
      <c r="B224" s="143" t="s">
        <v>138</v>
      </c>
      <c r="C224" s="143" t="s">
        <v>139</v>
      </c>
      <c r="D224" s="143" t="s">
        <v>69</v>
      </c>
      <c r="E224" s="257">
        <v>7567616</v>
      </c>
      <c r="F224" s="257">
        <v>7567616</v>
      </c>
      <c r="G224" s="257">
        <v>4491904</v>
      </c>
      <c r="H224" s="257">
        <v>0</v>
      </c>
      <c r="I224" s="257">
        <v>4472430.34</v>
      </c>
      <c r="J224" s="257">
        <v>0</v>
      </c>
      <c r="K224" s="257">
        <v>0</v>
      </c>
      <c r="L224" s="257">
        <v>0</v>
      </c>
      <c r="M224" s="257">
        <v>3095185.66</v>
      </c>
      <c r="N224" s="257">
        <v>19473.66</v>
      </c>
    </row>
    <row r="225" spans="1:14" s="143" customFormat="1" x14ac:dyDescent="0.25">
      <c r="A225" s="143" t="s">
        <v>290</v>
      </c>
      <c r="B225" s="143" t="s">
        <v>140</v>
      </c>
      <c r="C225" s="143" t="s">
        <v>141</v>
      </c>
      <c r="D225" s="143" t="s">
        <v>69</v>
      </c>
      <c r="E225" s="257">
        <v>33445676</v>
      </c>
      <c r="F225" s="257">
        <v>33445676</v>
      </c>
      <c r="G225" s="257">
        <v>8361419</v>
      </c>
      <c r="H225" s="257">
        <v>0</v>
      </c>
      <c r="I225" s="257">
        <v>4856840</v>
      </c>
      <c r="J225" s="257">
        <v>0</v>
      </c>
      <c r="K225" s="257">
        <v>1797970</v>
      </c>
      <c r="L225" s="257">
        <v>1275470</v>
      </c>
      <c r="M225" s="257">
        <v>26790866</v>
      </c>
      <c r="N225" s="257">
        <v>1706609</v>
      </c>
    </row>
    <row r="226" spans="1:14" s="143" customFormat="1" x14ac:dyDescent="0.25">
      <c r="A226" s="143" t="s">
        <v>290</v>
      </c>
      <c r="B226" s="143" t="s">
        <v>142</v>
      </c>
      <c r="C226" s="143" t="s">
        <v>143</v>
      </c>
      <c r="D226" s="143" t="s">
        <v>69</v>
      </c>
      <c r="E226" s="257">
        <v>1700000</v>
      </c>
      <c r="F226" s="257">
        <v>1700000</v>
      </c>
      <c r="G226" s="257">
        <v>425000</v>
      </c>
      <c r="H226" s="257">
        <v>0</v>
      </c>
      <c r="I226" s="257">
        <v>377990</v>
      </c>
      <c r="J226" s="257">
        <v>0</v>
      </c>
      <c r="K226" s="257">
        <v>46620</v>
      </c>
      <c r="L226" s="257">
        <v>46620</v>
      </c>
      <c r="M226" s="257">
        <v>1275390</v>
      </c>
      <c r="N226" s="257">
        <v>390</v>
      </c>
    </row>
    <row r="227" spans="1:14" s="143" customFormat="1" x14ac:dyDescent="0.25">
      <c r="A227" s="143" t="s">
        <v>290</v>
      </c>
      <c r="B227" s="143" t="s">
        <v>144</v>
      </c>
      <c r="C227" s="143" t="s">
        <v>145</v>
      </c>
      <c r="D227" s="143" t="s">
        <v>69</v>
      </c>
      <c r="E227" s="257">
        <v>24979191</v>
      </c>
      <c r="F227" s="257">
        <v>24979191</v>
      </c>
      <c r="G227" s="257">
        <v>6244798</v>
      </c>
      <c r="H227" s="257">
        <v>0</v>
      </c>
      <c r="I227" s="257">
        <v>4478850</v>
      </c>
      <c r="J227" s="257">
        <v>0</v>
      </c>
      <c r="K227" s="257">
        <v>1751350</v>
      </c>
      <c r="L227" s="257">
        <v>1228850</v>
      </c>
      <c r="M227" s="257">
        <v>18748991</v>
      </c>
      <c r="N227" s="257">
        <v>14598</v>
      </c>
    </row>
    <row r="228" spans="1:14" s="143" customFormat="1" x14ac:dyDescent="0.25">
      <c r="A228" s="143" t="s">
        <v>290</v>
      </c>
      <c r="B228" s="143" t="s">
        <v>146</v>
      </c>
      <c r="C228" s="143" t="s">
        <v>147</v>
      </c>
      <c r="D228" s="143" t="s">
        <v>69</v>
      </c>
      <c r="E228" s="257">
        <v>2035715</v>
      </c>
      <c r="F228" s="257">
        <v>2035715</v>
      </c>
      <c r="G228" s="257">
        <v>508929</v>
      </c>
      <c r="H228" s="257">
        <v>0</v>
      </c>
      <c r="I228" s="257">
        <v>0</v>
      </c>
      <c r="J228" s="257">
        <v>0</v>
      </c>
      <c r="K228" s="257">
        <v>0</v>
      </c>
      <c r="L228" s="257">
        <v>0</v>
      </c>
      <c r="M228" s="257">
        <v>2035715</v>
      </c>
      <c r="N228" s="257">
        <v>508929</v>
      </c>
    </row>
    <row r="229" spans="1:14" s="143" customFormat="1" x14ac:dyDescent="0.25">
      <c r="A229" s="143" t="s">
        <v>290</v>
      </c>
      <c r="B229" s="143" t="s">
        <v>148</v>
      </c>
      <c r="C229" s="143" t="s">
        <v>149</v>
      </c>
      <c r="D229" s="143" t="s">
        <v>69</v>
      </c>
      <c r="E229" s="257">
        <v>4730770</v>
      </c>
      <c r="F229" s="257">
        <v>4730770</v>
      </c>
      <c r="G229" s="257">
        <v>1182692</v>
      </c>
      <c r="H229" s="257">
        <v>0</v>
      </c>
      <c r="I229" s="257">
        <v>0</v>
      </c>
      <c r="J229" s="257">
        <v>0</v>
      </c>
      <c r="K229" s="257">
        <v>0</v>
      </c>
      <c r="L229" s="257">
        <v>0</v>
      </c>
      <c r="M229" s="257">
        <v>4730770</v>
      </c>
      <c r="N229" s="257">
        <v>1182692</v>
      </c>
    </row>
    <row r="230" spans="1:14" s="143" customFormat="1" x14ac:dyDescent="0.25">
      <c r="A230" s="143" t="s">
        <v>290</v>
      </c>
      <c r="B230" s="143" t="s">
        <v>150</v>
      </c>
      <c r="C230" s="143" t="s">
        <v>151</v>
      </c>
      <c r="D230" s="143" t="s">
        <v>69</v>
      </c>
      <c r="E230" s="257">
        <v>83546141</v>
      </c>
      <c r="F230" s="257">
        <v>83546141</v>
      </c>
      <c r="G230" s="257">
        <v>20886535</v>
      </c>
      <c r="H230" s="257">
        <v>0</v>
      </c>
      <c r="I230" s="257">
        <v>15042546</v>
      </c>
      <c r="J230" s="257">
        <v>0</v>
      </c>
      <c r="K230" s="257">
        <v>0</v>
      </c>
      <c r="L230" s="257">
        <v>0</v>
      </c>
      <c r="M230" s="257">
        <v>68503595</v>
      </c>
      <c r="N230" s="257">
        <v>5843989</v>
      </c>
    </row>
    <row r="231" spans="1:14" s="143" customFormat="1" x14ac:dyDescent="0.25">
      <c r="A231" s="143" t="s">
        <v>290</v>
      </c>
      <c r="B231" s="143" t="s">
        <v>152</v>
      </c>
      <c r="C231" s="143" t="s">
        <v>153</v>
      </c>
      <c r="D231" s="143" t="s">
        <v>69</v>
      </c>
      <c r="E231" s="257">
        <v>83546141</v>
      </c>
      <c r="F231" s="257">
        <v>83546141</v>
      </c>
      <c r="G231" s="257">
        <v>20886535</v>
      </c>
      <c r="H231" s="257">
        <v>0</v>
      </c>
      <c r="I231" s="257">
        <v>15042546</v>
      </c>
      <c r="J231" s="257">
        <v>0</v>
      </c>
      <c r="K231" s="257">
        <v>0</v>
      </c>
      <c r="L231" s="257">
        <v>0</v>
      </c>
      <c r="M231" s="257">
        <v>68503595</v>
      </c>
      <c r="N231" s="257">
        <v>5843989</v>
      </c>
    </row>
    <row r="232" spans="1:14" s="143" customFormat="1" x14ac:dyDescent="0.25">
      <c r="A232" s="143" t="s">
        <v>290</v>
      </c>
      <c r="B232" s="143" t="s">
        <v>154</v>
      </c>
      <c r="C232" s="143" t="s">
        <v>155</v>
      </c>
      <c r="D232" s="143" t="s">
        <v>69</v>
      </c>
      <c r="E232" s="257">
        <v>0</v>
      </c>
      <c r="F232" s="257">
        <v>0</v>
      </c>
      <c r="G232" s="257">
        <v>0</v>
      </c>
      <c r="H232" s="257">
        <v>0</v>
      </c>
      <c r="I232" s="257">
        <v>0</v>
      </c>
      <c r="J232" s="257">
        <v>0</v>
      </c>
      <c r="K232" s="257">
        <v>0</v>
      </c>
      <c r="L232" s="257">
        <v>0</v>
      </c>
      <c r="M232" s="257">
        <v>0</v>
      </c>
      <c r="N232" s="257">
        <v>0</v>
      </c>
    </row>
    <row r="233" spans="1:14" s="143" customFormat="1" x14ac:dyDescent="0.25">
      <c r="A233" s="143" t="s">
        <v>290</v>
      </c>
      <c r="B233" s="143" t="s">
        <v>156</v>
      </c>
      <c r="C233" s="143" t="s">
        <v>157</v>
      </c>
      <c r="D233" s="143" t="s">
        <v>69</v>
      </c>
      <c r="E233" s="257">
        <v>0</v>
      </c>
      <c r="F233" s="257">
        <v>0</v>
      </c>
      <c r="G233" s="257">
        <v>0</v>
      </c>
      <c r="H233" s="257">
        <v>0</v>
      </c>
      <c r="I233" s="257">
        <v>0</v>
      </c>
      <c r="J233" s="257">
        <v>0</v>
      </c>
      <c r="K233" s="257">
        <v>0</v>
      </c>
      <c r="L233" s="257">
        <v>0</v>
      </c>
      <c r="M233" s="257">
        <v>0</v>
      </c>
      <c r="N233" s="257">
        <v>0</v>
      </c>
    </row>
    <row r="234" spans="1:14" s="143" customFormat="1" x14ac:dyDescent="0.25">
      <c r="A234" s="143" t="s">
        <v>290</v>
      </c>
      <c r="B234" s="143" t="s">
        <v>162</v>
      </c>
      <c r="C234" s="143" t="s">
        <v>163</v>
      </c>
      <c r="D234" s="143" t="s">
        <v>69</v>
      </c>
      <c r="E234" s="257">
        <v>89480793</v>
      </c>
      <c r="F234" s="257">
        <v>89480793</v>
      </c>
      <c r="G234" s="257">
        <v>24270198</v>
      </c>
      <c r="H234" s="257">
        <v>0</v>
      </c>
      <c r="I234" s="257">
        <v>15864826.82</v>
      </c>
      <c r="J234" s="257">
        <v>810000</v>
      </c>
      <c r="K234" s="257">
        <v>810000</v>
      </c>
      <c r="L234" s="257">
        <v>0</v>
      </c>
      <c r="M234" s="257">
        <v>71995966.180000007</v>
      </c>
      <c r="N234" s="257">
        <v>6785371.1799999997</v>
      </c>
    </row>
    <row r="235" spans="1:14" s="143" customFormat="1" x14ac:dyDescent="0.25">
      <c r="A235" s="143" t="s">
        <v>290</v>
      </c>
      <c r="B235" s="143" t="s">
        <v>310</v>
      </c>
      <c r="C235" s="143" t="s">
        <v>311</v>
      </c>
      <c r="D235" s="143" t="s">
        <v>69</v>
      </c>
      <c r="E235" s="257">
        <v>13000000</v>
      </c>
      <c r="F235" s="257">
        <v>13000000</v>
      </c>
      <c r="G235" s="257">
        <v>4750000</v>
      </c>
      <c r="H235" s="257">
        <v>0</v>
      </c>
      <c r="I235" s="257">
        <v>4093041</v>
      </c>
      <c r="J235" s="257">
        <v>0</v>
      </c>
      <c r="K235" s="257">
        <v>0</v>
      </c>
      <c r="L235" s="257">
        <v>0</v>
      </c>
      <c r="M235" s="257">
        <v>8906959</v>
      </c>
      <c r="N235" s="257">
        <v>656959</v>
      </c>
    </row>
    <row r="236" spans="1:14" s="143" customFormat="1" x14ac:dyDescent="0.25">
      <c r="A236" s="143" t="s">
        <v>290</v>
      </c>
      <c r="B236" s="143" t="s">
        <v>164</v>
      </c>
      <c r="C236" s="143" t="s">
        <v>165</v>
      </c>
      <c r="D236" s="143" t="s">
        <v>69</v>
      </c>
      <c r="E236" s="257">
        <v>1918000</v>
      </c>
      <c r="F236" s="257">
        <v>1918000</v>
      </c>
      <c r="G236" s="257">
        <v>879500</v>
      </c>
      <c r="H236" s="257">
        <v>0</v>
      </c>
      <c r="I236" s="257">
        <v>818856</v>
      </c>
      <c r="J236" s="257">
        <v>0</v>
      </c>
      <c r="K236" s="257">
        <v>0</v>
      </c>
      <c r="L236" s="257">
        <v>0</v>
      </c>
      <c r="M236" s="257">
        <v>1099144</v>
      </c>
      <c r="N236" s="257">
        <v>60644</v>
      </c>
    </row>
    <row r="237" spans="1:14" s="143" customFormat="1" x14ac:dyDescent="0.25">
      <c r="A237" s="143" t="s">
        <v>290</v>
      </c>
      <c r="B237" s="143" t="s">
        <v>166</v>
      </c>
      <c r="C237" s="143" t="s">
        <v>167</v>
      </c>
      <c r="D237" s="143" t="s">
        <v>69</v>
      </c>
      <c r="E237" s="257">
        <v>25420000</v>
      </c>
      <c r="F237" s="257">
        <v>25420000</v>
      </c>
      <c r="G237" s="257">
        <v>6355000</v>
      </c>
      <c r="H237" s="257">
        <v>0</v>
      </c>
      <c r="I237" s="257">
        <v>5442056</v>
      </c>
      <c r="J237" s="257">
        <v>0</v>
      </c>
      <c r="K237" s="257">
        <v>0</v>
      </c>
      <c r="L237" s="257">
        <v>0</v>
      </c>
      <c r="M237" s="257">
        <v>19977944</v>
      </c>
      <c r="N237" s="257">
        <v>912944</v>
      </c>
    </row>
    <row r="238" spans="1:14" s="143" customFormat="1" x14ac:dyDescent="0.25">
      <c r="A238" s="143" t="s">
        <v>290</v>
      </c>
      <c r="B238" s="143" t="s">
        <v>312</v>
      </c>
      <c r="C238" s="143" t="s">
        <v>313</v>
      </c>
      <c r="D238" s="143" t="s">
        <v>69</v>
      </c>
      <c r="E238" s="257">
        <v>7181770</v>
      </c>
      <c r="F238" s="257">
        <v>7181770</v>
      </c>
      <c r="G238" s="257">
        <v>1795442</v>
      </c>
      <c r="H238" s="257">
        <v>0</v>
      </c>
      <c r="I238" s="257">
        <v>1745263.68</v>
      </c>
      <c r="J238" s="257">
        <v>0</v>
      </c>
      <c r="K238" s="257">
        <v>0</v>
      </c>
      <c r="L238" s="257">
        <v>0</v>
      </c>
      <c r="M238" s="257">
        <v>5436506.3200000003</v>
      </c>
      <c r="N238" s="257">
        <v>50178.32</v>
      </c>
    </row>
    <row r="239" spans="1:14" s="143" customFormat="1" x14ac:dyDescent="0.25">
      <c r="A239" s="143" t="s">
        <v>290</v>
      </c>
      <c r="B239" s="143" t="s">
        <v>168</v>
      </c>
      <c r="C239" s="143" t="s">
        <v>169</v>
      </c>
      <c r="D239" s="143" t="s">
        <v>69</v>
      </c>
      <c r="E239" s="257">
        <v>8196286</v>
      </c>
      <c r="F239" s="257">
        <v>8196286</v>
      </c>
      <c r="G239" s="257">
        <v>2049072</v>
      </c>
      <c r="H239" s="257">
        <v>0</v>
      </c>
      <c r="I239" s="257">
        <v>1520692.16</v>
      </c>
      <c r="J239" s="257">
        <v>0</v>
      </c>
      <c r="K239" s="257">
        <v>0</v>
      </c>
      <c r="L239" s="257">
        <v>0</v>
      </c>
      <c r="M239" s="257">
        <v>6675593.8399999999</v>
      </c>
      <c r="N239" s="257">
        <v>528379.84</v>
      </c>
    </row>
    <row r="240" spans="1:14" s="143" customFormat="1" x14ac:dyDescent="0.25">
      <c r="A240" s="143" t="s">
        <v>290</v>
      </c>
      <c r="B240" s="143" t="s">
        <v>170</v>
      </c>
      <c r="C240" s="143" t="s">
        <v>171</v>
      </c>
      <c r="D240" s="143" t="s">
        <v>69</v>
      </c>
      <c r="E240" s="257">
        <v>28160737</v>
      </c>
      <c r="F240" s="257">
        <v>28160737</v>
      </c>
      <c r="G240" s="257">
        <v>7040184</v>
      </c>
      <c r="H240" s="257">
        <v>0</v>
      </c>
      <c r="I240" s="257">
        <v>1620000</v>
      </c>
      <c r="J240" s="257">
        <v>810000</v>
      </c>
      <c r="K240" s="257">
        <v>810000</v>
      </c>
      <c r="L240" s="257">
        <v>0</v>
      </c>
      <c r="M240" s="257">
        <v>24920737</v>
      </c>
      <c r="N240" s="257">
        <v>3800184</v>
      </c>
    </row>
    <row r="241" spans="1:14" s="143" customFormat="1" x14ac:dyDescent="0.25">
      <c r="A241" s="143" t="s">
        <v>290</v>
      </c>
      <c r="B241" s="143" t="s">
        <v>172</v>
      </c>
      <c r="C241" s="143" t="s">
        <v>173</v>
      </c>
      <c r="D241" s="143" t="s">
        <v>69</v>
      </c>
      <c r="E241" s="257">
        <v>5604000</v>
      </c>
      <c r="F241" s="257">
        <v>5604000</v>
      </c>
      <c r="G241" s="257">
        <v>1401000</v>
      </c>
      <c r="H241" s="257">
        <v>0</v>
      </c>
      <c r="I241" s="257">
        <v>624917.98</v>
      </c>
      <c r="J241" s="257">
        <v>0</v>
      </c>
      <c r="K241" s="257">
        <v>0</v>
      </c>
      <c r="L241" s="257">
        <v>0</v>
      </c>
      <c r="M241" s="257">
        <v>4979082.0199999996</v>
      </c>
      <c r="N241" s="257">
        <v>776082.02</v>
      </c>
    </row>
    <row r="242" spans="1:14" s="143" customFormat="1" x14ac:dyDescent="0.25">
      <c r="A242" s="143" t="s">
        <v>290</v>
      </c>
      <c r="B242" s="143" t="s">
        <v>174</v>
      </c>
      <c r="C242" s="143" t="s">
        <v>175</v>
      </c>
      <c r="D242" s="143" t="s">
        <v>69</v>
      </c>
      <c r="E242" s="257">
        <v>1340000</v>
      </c>
      <c r="F242" s="257">
        <v>1340000</v>
      </c>
      <c r="G242" s="257">
        <v>935000</v>
      </c>
      <c r="H242" s="257">
        <v>0</v>
      </c>
      <c r="I242" s="257">
        <v>877363</v>
      </c>
      <c r="J242" s="257">
        <v>0</v>
      </c>
      <c r="K242" s="257">
        <v>0</v>
      </c>
      <c r="L242" s="257">
        <v>0</v>
      </c>
      <c r="M242" s="257">
        <v>462637</v>
      </c>
      <c r="N242" s="257">
        <v>57637</v>
      </c>
    </row>
    <row r="243" spans="1:14" s="143" customFormat="1" x14ac:dyDescent="0.25">
      <c r="A243" s="143" t="s">
        <v>290</v>
      </c>
      <c r="B243" s="143" t="s">
        <v>176</v>
      </c>
      <c r="C243" s="143" t="s">
        <v>177</v>
      </c>
      <c r="D243" s="143" t="s">
        <v>69</v>
      </c>
      <c r="E243" s="257">
        <v>1340000</v>
      </c>
      <c r="F243" s="257">
        <v>1340000</v>
      </c>
      <c r="G243" s="257">
        <v>935000</v>
      </c>
      <c r="H243" s="257">
        <v>0</v>
      </c>
      <c r="I243" s="257">
        <v>877363</v>
      </c>
      <c r="J243" s="257">
        <v>0</v>
      </c>
      <c r="K243" s="257">
        <v>0</v>
      </c>
      <c r="L243" s="257">
        <v>0</v>
      </c>
      <c r="M243" s="257">
        <v>462637</v>
      </c>
      <c r="N243" s="257">
        <v>57637</v>
      </c>
    </row>
    <row r="244" spans="1:14" s="143" customFormat="1" x14ac:dyDescent="0.25">
      <c r="A244" s="143" t="s">
        <v>290</v>
      </c>
      <c r="B244" s="143" t="s">
        <v>178</v>
      </c>
      <c r="C244" s="143" t="s">
        <v>179</v>
      </c>
      <c r="D244" s="143" t="s">
        <v>69</v>
      </c>
      <c r="E244" s="257">
        <v>2150000</v>
      </c>
      <c r="F244" s="257">
        <v>2150000</v>
      </c>
      <c r="G244" s="257">
        <v>637500</v>
      </c>
      <c r="H244" s="257">
        <v>0</v>
      </c>
      <c r="I244" s="257">
        <v>113207.78</v>
      </c>
      <c r="J244" s="257">
        <v>0</v>
      </c>
      <c r="K244" s="257">
        <v>0</v>
      </c>
      <c r="L244" s="257">
        <v>0</v>
      </c>
      <c r="M244" s="257">
        <v>2036792.22</v>
      </c>
      <c r="N244" s="257">
        <v>524292.22</v>
      </c>
    </row>
    <row r="245" spans="1:14" s="143" customFormat="1" x14ac:dyDescent="0.25">
      <c r="A245" s="143" t="s">
        <v>290</v>
      </c>
      <c r="B245" s="143" t="s">
        <v>180</v>
      </c>
      <c r="C245" s="143" t="s">
        <v>181</v>
      </c>
      <c r="D245" s="143" t="s">
        <v>69</v>
      </c>
      <c r="E245" s="257">
        <v>150000</v>
      </c>
      <c r="F245" s="257">
        <v>150000</v>
      </c>
      <c r="G245" s="257">
        <v>137500</v>
      </c>
      <c r="H245" s="257">
        <v>0</v>
      </c>
      <c r="I245" s="257">
        <v>113207.78</v>
      </c>
      <c r="J245" s="257">
        <v>0</v>
      </c>
      <c r="K245" s="257">
        <v>0</v>
      </c>
      <c r="L245" s="257">
        <v>0</v>
      </c>
      <c r="M245" s="257">
        <v>36792.22</v>
      </c>
      <c r="N245" s="257">
        <v>24292.22</v>
      </c>
    </row>
    <row r="246" spans="1:14" s="143" customFormat="1" x14ac:dyDescent="0.25">
      <c r="A246" s="143" t="s">
        <v>290</v>
      </c>
      <c r="B246" s="143" t="s">
        <v>182</v>
      </c>
      <c r="C246" s="143" t="s">
        <v>183</v>
      </c>
      <c r="D246" s="143" t="s">
        <v>69</v>
      </c>
      <c r="E246" s="257">
        <v>2000000</v>
      </c>
      <c r="F246" s="257">
        <v>2000000</v>
      </c>
      <c r="G246" s="257">
        <v>500000</v>
      </c>
      <c r="H246" s="257">
        <v>0</v>
      </c>
      <c r="I246" s="257">
        <v>0</v>
      </c>
      <c r="J246" s="257">
        <v>0</v>
      </c>
      <c r="K246" s="257">
        <v>0</v>
      </c>
      <c r="L246" s="257">
        <v>0</v>
      </c>
      <c r="M246" s="257">
        <v>2000000</v>
      </c>
      <c r="N246" s="257">
        <v>500000</v>
      </c>
    </row>
    <row r="247" spans="1:14" s="143" customFormat="1" x14ac:dyDescent="0.25">
      <c r="A247" s="143" t="s">
        <v>290</v>
      </c>
      <c r="B247" s="143" t="s">
        <v>184</v>
      </c>
      <c r="C247" s="143" t="s">
        <v>185</v>
      </c>
      <c r="D247" s="143" t="s">
        <v>69</v>
      </c>
      <c r="E247" s="257">
        <v>65233793</v>
      </c>
      <c r="F247" s="257">
        <v>65233793</v>
      </c>
      <c r="G247" s="257">
        <v>16358448</v>
      </c>
      <c r="H247" s="257">
        <v>0</v>
      </c>
      <c r="I247" s="257">
        <v>6022565</v>
      </c>
      <c r="J247" s="257">
        <v>0</v>
      </c>
      <c r="K247" s="257">
        <v>1584470</v>
      </c>
      <c r="L247" s="257">
        <v>796070</v>
      </c>
      <c r="M247" s="257">
        <v>57626758</v>
      </c>
      <c r="N247" s="257">
        <v>8751413</v>
      </c>
    </row>
    <row r="248" spans="1:14" s="143" customFormat="1" x14ac:dyDescent="0.25">
      <c r="A248" s="143" t="s">
        <v>290</v>
      </c>
      <c r="B248" s="143" t="s">
        <v>186</v>
      </c>
      <c r="C248" s="143" t="s">
        <v>187</v>
      </c>
      <c r="D248" s="143" t="s">
        <v>69</v>
      </c>
      <c r="E248" s="257">
        <v>34706100</v>
      </c>
      <c r="F248" s="257">
        <v>34706100</v>
      </c>
      <c r="G248" s="257">
        <v>8676525</v>
      </c>
      <c r="H248" s="257">
        <v>0</v>
      </c>
      <c r="I248" s="257">
        <v>5713850</v>
      </c>
      <c r="J248" s="257">
        <v>0</v>
      </c>
      <c r="K248" s="257">
        <v>796070</v>
      </c>
      <c r="L248" s="257">
        <v>796070</v>
      </c>
      <c r="M248" s="257">
        <v>28196180</v>
      </c>
      <c r="N248" s="257">
        <v>2166605</v>
      </c>
    </row>
    <row r="249" spans="1:14" s="143" customFormat="1" x14ac:dyDescent="0.25">
      <c r="A249" s="143" t="s">
        <v>290</v>
      </c>
      <c r="B249" s="143" t="s">
        <v>188</v>
      </c>
      <c r="C249" s="143" t="s">
        <v>189</v>
      </c>
      <c r="D249" s="143" t="s">
        <v>69</v>
      </c>
      <c r="E249" s="257">
        <v>26298967</v>
      </c>
      <c r="F249" s="257">
        <v>26298967</v>
      </c>
      <c r="G249" s="257">
        <v>6574742</v>
      </c>
      <c r="H249" s="257">
        <v>0</v>
      </c>
      <c r="I249" s="257">
        <v>5713850</v>
      </c>
      <c r="J249" s="257">
        <v>0</v>
      </c>
      <c r="K249" s="257">
        <v>796070</v>
      </c>
      <c r="L249" s="257">
        <v>796070</v>
      </c>
      <c r="M249" s="257">
        <v>19789047</v>
      </c>
      <c r="N249" s="257">
        <v>64822</v>
      </c>
    </row>
    <row r="250" spans="1:14" s="143" customFormat="1" x14ac:dyDescent="0.25">
      <c r="A250" s="143" t="s">
        <v>290</v>
      </c>
      <c r="B250" s="143" t="s">
        <v>192</v>
      </c>
      <c r="C250" s="143" t="s">
        <v>193</v>
      </c>
      <c r="D250" s="143" t="s">
        <v>69</v>
      </c>
      <c r="E250" s="257">
        <v>8102133</v>
      </c>
      <c r="F250" s="257">
        <v>8102133</v>
      </c>
      <c r="G250" s="257">
        <v>2025533</v>
      </c>
      <c r="H250" s="257">
        <v>0</v>
      </c>
      <c r="I250" s="257">
        <v>0</v>
      </c>
      <c r="J250" s="257">
        <v>0</v>
      </c>
      <c r="K250" s="257">
        <v>0</v>
      </c>
      <c r="L250" s="257">
        <v>0</v>
      </c>
      <c r="M250" s="257">
        <v>8102133</v>
      </c>
      <c r="N250" s="257">
        <v>2025533</v>
      </c>
    </row>
    <row r="251" spans="1:14" s="143" customFormat="1" x14ac:dyDescent="0.25">
      <c r="A251" s="143" t="s">
        <v>290</v>
      </c>
      <c r="B251" s="143" t="s">
        <v>194</v>
      </c>
      <c r="C251" s="143" t="s">
        <v>195</v>
      </c>
      <c r="D251" s="143" t="s">
        <v>69</v>
      </c>
      <c r="E251" s="257">
        <v>305000</v>
      </c>
      <c r="F251" s="257">
        <v>305000</v>
      </c>
      <c r="G251" s="257">
        <v>76250</v>
      </c>
      <c r="H251" s="257">
        <v>0</v>
      </c>
      <c r="I251" s="257">
        <v>0</v>
      </c>
      <c r="J251" s="257">
        <v>0</v>
      </c>
      <c r="K251" s="257">
        <v>0</v>
      </c>
      <c r="L251" s="257">
        <v>0</v>
      </c>
      <c r="M251" s="257">
        <v>305000</v>
      </c>
      <c r="N251" s="257">
        <v>76250</v>
      </c>
    </row>
    <row r="252" spans="1:14" s="143" customFormat="1" x14ac:dyDescent="0.25">
      <c r="A252" s="143" t="s">
        <v>290</v>
      </c>
      <c r="B252" s="143" t="s">
        <v>200</v>
      </c>
      <c r="C252" s="143" t="s">
        <v>201</v>
      </c>
      <c r="D252" s="143" t="s">
        <v>69</v>
      </c>
      <c r="E252" s="257">
        <v>2978000</v>
      </c>
      <c r="F252" s="257">
        <v>2978000</v>
      </c>
      <c r="G252" s="257">
        <v>744500</v>
      </c>
      <c r="H252" s="257">
        <v>0</v>
      </c>
      <c r="I252" s="257">
        <v>0</v>
      </c>
      <c r="J252" s="257">
        <v>0</v>
      </c>
      <c r="K252" s="257">
        <v>0</v>
      </c>
      <c r="L252" s="257">
        <v>0</v>
      </c>
      <c r="M252" s="257">
        <v>2978000</v>
      </c>
      <c r="N252" s="257">
        <v>744500</v>
      </c>
    </row>
    <row r="253" spans="1:14" s="143" customFormat="1" x14ac:dyDescent="0.25">
      <c r="A253" s="143" t="s">
        <v>290</v>
      </c>
      <c r="B253" s="143" t="s">
        <v>314</v>
      </c>
      <c r="C253" s="143" t="s">
        <v>315</v>
      </c>
      <c r="D253" s="143" t="s">
        <v>69</v>
      </c>
      <c r="E253" s="257">
        <v>830000</v>
      </c>
      <c r="F253" s="257">
        <v>830000</v>
      </c>
      <c r="G253" s="257">
        <v>207500</v>
      </c>
      <c r="H253" s="257">
        <v>0</v>
      </c>
      <c r="I253" s="257">
        <v>0</v>
      </c>
      <c r="J253" s="257">
        <v>0</v>
      </c>
      <c r="K253" s="257">
        <v>0</v>
      </c>
      <c r="L253" s="257">
        <v>0</v>
      </c>
      <c r="M253" s="257">
        <v>830000</v>
      </c>
      <c r="N253" s="257">
        <v>207500</v>
      </c>
    </row>
    <row r="254" spans="1:14" s="143" customFormat="1" x14ac:dyDescent="0.25">
      <c r="A254" s="143" t="s">
        <v>290</v>
      </c>
      <c r="B254" s="143" t="s">
        <v>316</v>
      </c>
      <c r="C254" s="143" t="s">
        <v>317</v>
      </c>
      <c r="D254" s="143" t="s">
        <v>69</v>
      </c>
      <c r="E254" s="257">
        <v>67000</v>
      </c>
      <c r="F254" s="257">
        <v>67000</v>
      </c>
      <c r="G254" s="257">
        <v>16750</v>
      </c>
      <c r="H254" s="257">
        <v>0</v>
      </c>
      <c r="I254" s="257">
        <v>0</v>
      </c>
      <c r="J254" s="257">
        <v>0</v>
      </c>
      <c r="K254" s="257">
        <v>0</v>
      </c>
      <c r="L254" s="257">
        <v>0</v>
      </c>
      <c r="M254" s="257">
        <v>67000</v>
      </c>
      <c r="N254" s="257">
        <v>16750</v>
      </c>
    </row>
    <row r="255" spans="1:14" s="143" customFormat="1" x14ac:dyDescent="0.25">
      <c r="A255" s="143" t="s">
        <v>290</v>
      </c>
      <c r="B255" s="143" t="s">
        <v>318</v>
      </c>
      <c r="C255" s="143" t="s">
        <v>319</v>
      </c>
      <c r="D255" s="143" t="s">
        <v>69</v>
      </c>
      <c r="E255" s="257">
        <v>99000</v>
      </c>
      <c r="F255" s="257">
        <v>99000</v>
      </c>
      <c r="G255" s="257">
        <v>24750</v>
      </c>
      <c r="H255" s="257">
        <v>0</v>
      </c>
      <c r="I255" s="257">
        <v>0</v>
      </c>
      <c r="J255" s="257">
        <v>0</v>
      </c>
      <c r="K255" s="257">
        <v>0</v>
      </c>
      <c r="L255" s="257">
        <v>0</v>
      </c>
      <c r="M255" s="257">
        <v>99000</v>
      </c>
      <c r="N255" s="257">
        <v>24750</v>
      </c>
    </row>
    <row r="256" spans="1:14" s="143" customFormat="1" x14ac:dyDescent="0.25">
      <c r="A256" s="143" t="s">
        <v>290</v>
      </c>
      <c r="B256" s="143" t="s">
        <v>202</v>
      </c>
      <c r="C256" s="143" t="s">
        <v>203</v>
      </c>
      <c r="D256" s="143" t="s">
        <v>69</v>
      </c>
      <c r="E256" s="257">
        <v>1345000</v>
      </c>
      <c r="F256" s="257">
        <v>1345000</v>
      </c>
      <c r="G256" s="257">
        <v>336250</v>
      </c>
      <c r="H256" s="257">
        <v>0</v>
      </c>
      <c r="I256" s="257">
        <v>0</v>
      </c>
      <c r="J256" s="257">
        <v>0</v>
      </c>
      <c r="K256" s="257">
        <v>0</v>
      </c>
      <c r="L256" s="257">
        <v>0</v>
      </c>
      <c r="M256" s="257">
        <v>1345000</v>
      </c>
      <c r="N256" s="257">
        <v>336250</v>
      </c>
    </row>
    <row r="257" spans="1:14" s="143" customFormat="1" x14ac:dyDescent="0.25">
      <c r="A257" s="143" t="s">
        <v>290</v>
      </c>
      <c r="B257" s="143" t="s">
        <v>320</v>
      </c>
      <c r="C257" s="143" t="s">
        <v>321</v>
      </c>
      <c r="D257" s="143" t="s">
        <v>69</v>
      </c>
      <c r="E257" s="257">
        <v>40000</v>
      </c>
      <c r="F257" s="257">
        <v>40000</v>
      </c>
      <c r="G257" s="257">
        <v>10000</v>
      </c>
      <c r="H257" s="257">
        <v>0</v>
      </c>
      <c r="I257" s="257">
        <v>0</v>
      </c>
      <c r="J257" s="257">
        <v>0</v>
      </c>
      <c r="K257" s="257">
        <v>0</v>
      </c>
      <c r="L257" s="257">
        <v>0</v>
      </c>
      <c r="M257" s="257">
        <v>40000</v>
      </c>
      <c r="N257" s="257">
        <v>10000</v>
      </c>
    </row>
    <row r="258" spans="1:14" s="143" customFormat="1" x14ac:dyDescent="0.25">
      <c r="A258" s="143" t="s">
        <v>290</v>
      </c>
      <c r="B258" s="143" t="s">
        <v>204</v>
      </c>
      <c r="C258" s="143" t="s">
        <v>205</v>
      </c>
      <c r="D258" s="143" t="s">
        <v>69</v>
      </c>
      <c r="E258" s="257">
        <v>198000</v>
      </c>
      <c r="F258" s="257">
        <v>198000</v>
      </c>
      <c r="G258" s="257">
        <v>49500</v>
      </c>
      <c r="H258" s="257">
        <v>0</v>
      </c>
      <c r="I258" s="257">
        <v>0</v>
      </c>
      <c r="J258" s="257">
        <v>0</v>
      </c>
      <c r="K258" s="257">
        <v>0</v>
      </c>
      <c r="L258" s="257">
        <v>0</v>
      </c>
      <c r="M258" s="257">
        <v>198000</v>
      </c>
      <c r="N258" s="257">
        <v>49500</v>
      </c>
    </row>
    <row r="259" spans="1:14" s="143" customFormat="1" x14ac:dyDescent="0.25">
      <c r="A259" s="143" t="s">
        <v>290</v>
      </c>
      <c r="B259" s="143" t="s">
        <v>322</v>
      </c>
      <c r="C259" s="143" t="s">
        <v>323</v>
      </c>
      <c r="D259" s="143" t="s">
        <v>69</v>
      </c>
      <c r="E259" s="257">
        <v>399000</v>
      </c>
      <c r="F259" s="257">
        <v>399000</v>
      </c>
      <c r="G259" s="257">
        <v>99750</v>
      </c>
      <c r="H259" s="257">
        <v>0</v>
      </c>
      <c r="I259" s="257">
        <v>0</v>
      </c>
      <c r="J259" s="257">
        <v>0</v>
      </c>
      <c r="K259" s="257">
        <v>0</v>
      </c>
      <c r="L259" s="257">
        <v>0</v>
      </c>
      <c r="M259" s="257">
        <v>399000</v>
      </c>
      <c r="N259" s="257">
        <v>99750</v>
      </c>
    </row>
    <row r="260" spans="1:14" s="143" customFormat="1" x14ac:dyDescent="0.25">
      <c r="A260" s="143" t="s">
        <v>290</v>
      </c>
      <c r="B260" s="143" t="s">
        <v>206</v>
      </c>
      <c r="C260" s="143" t="s">
        <v>207</v>
      </c>
      <c r="D260" s="143" t="s">
        <v>69</v>
      </c>
      <c r="E260" s="257">
        <v>3047000</v>
      </c>
      <c r="F260" s="257">
        <v>3047000</v>
      </c>
      <c r="G260" s="257">
        <v>761750</v>
      </c>
      <c r="H260" s="257">
        <v>0</v>
      </c>
      <c r="I260" s="257">
        <v>0</v>
      </c>
      <c r="J260" s="257">
        <v>0</v>
      </c>
      <c r="K260" s="257">
        <v>0</v>
      </c>
      <c r="L260" s="257">
        <v>0</v>
      </c>
      <c r="M260" s="257">
        <v>3047000</v>
      </c>
      <c r="N260" s="257">
        <v>761750</v>
      </c>
    </row>
    <row r="261" spans="1:14" s="143" customFormat="1" x14ac:dyDescent="0.25">
      <c r="A261" s="143" t="s">
        <v>290</v>
      </c>
      <c r="B261" s="143" t="s">
        <v>208</v>
      </c>
      <c r="C261" s="143" t="s">
        <v>209</v>
      </c>
      <c r="D261" s="143" t="s">
        <v>69</v>
      </c>
      <c r="E261" s="257">
        <v>251000</v>
      </c>
      <c r="F261" s="257">
        <v>251000</v>
      </c>
      <c r="G261" s="257">
        <v>62750</v>
      </c>
      <c r="H261" s="257">
        <v>0</v>
      </c>
      <c r="I261" s="257">
        <v>0</v>
      </c>
      <c r="J261" s="257">
        <v>0</v>
      </c>
      <c r="K261" s="257">
        <v>0</v>
      </c>
      <c r="L261" s="257">
        <v>0</v>
      </c>
      <c r="M261" s="257">
        <v>251000</v>
      </c>
      <c r="N261" s="257">
        <v>62750</v>
      </c>
    </row>
    <row r="262" spans="1:14" s="143" customFormat="1" x14ac:dyDescent="0.25">
      <c r="A262" s="143" t="s">
        <v>290</v>
      </c>
      <c r="B262" s="143" t="s">
        <v>210</v>
      </c>
      <c r="C262" s="143" t="s">
        <v>211</v>
      </c>
      <c r="D262" s="143" t="s">
        <v>69</v>
      </c>
      <c r="E262" s="257">
        <v>2796000</v>
      </c>
      <c r="F262" s="257">
        <v>2796000</v>
      </c>
      <c r="G262" s="257">
        <v>699000</v>
      </c>
      <c r="H262" s="257">
        <v>0</v>
      </c>
      <c r="I262" s="257">
        <v>0</v>
      </c>
      <c r="J262" s="257">
        <v>0</v>
      </c>
      <c r="K262" s="257">
        <v>0</v>
      </c>
      <c r="L262" s="257">
        <v>0</v>
      </c>
      <c r="M262" s="257">
        <v>2796000</v>
      </c>
      <c r="N262" s="257">
        <v>699000</v>
      </c>
    </row>
    <row r="263" spans="1:14" s="143" customFormat="1" x14ac:dyDescent="0.25">
      <c r="A263" s="143" t="s">
        <v>290</v>
      </c>
      <c r="B263" s="143" t="s">
        <v>212</v>
      </c>
      <c r="C263" s="143" t="s">
        <v>213</v>
      </c>
      <c r="D263" s="143" t="s">
        <v>69</v>
      </c>
      <c r="E263" s="257">
        <v>24502693</v>
      </c>
      <c r="F263" s="257">
        <v>24502693</v>
      </c>
      <c r="G263" s="257">
        <v>6175673</v>
      </c>
      <c r="H263" s="257">
        <v>0</v>
      </c>
      <c r="I263" s="257">
        <v>308715</v>
      </c>
      <c r="J263" s="257">
        <v>0</v>
      </c>
      <c r="K263" s="257">
        <v>788400</v>
      </c>
      <c r="L263" s="257">
        <v>0</v>
      </c>
      <c r="M263" s="257">
        <v>23405578</v>
      </c>
      <c r="N263" s="257">
        <v>5078558</v>
      </c>
    </row>
    <row r="264" spans="1:14" s="143" customFormat="1" x14ac:dyDescent="0.25">
      <c r="A264" s="143" t="s">
        <v>290</v>
      </c>
      <c r="B264" s="143" t="s">
        <v>214</v>
      </c>
      <c r="C264" s="143" t="s">
        <v>215</v>
      </c>
      <c r="D264" s="143" t="s">
        <v>69</v>
      </c>
      <c r="E264" s="257">
        <v>7116000</v>
      </c>
      <c r="F264" s="257">
        <v>7116000</v>
      </c>
      <c r="G264" s="257">
        <v>1779000</v>
      </c>
      <c r="H264" s="257">
        <v>0</v>
      </c>
      <c r="I264" s="257">
        <v>0</v>
      </c>
      <c r="J264" s="257">
        <v>0</v>
      </c>
      <c r="K264" s="257">
        <v>119000</v>
      </c>
      <c r="L264" s="257">
        <v>0</v>
      </c>
      <c r="M264" s="257">
        <v>6997000</v>
      </c>
      <c r="N264" s="257">
        <v>1660000</v>
      </c>
    </row>
    <row r="265" spans="1:14" s="143" customFormat="1" x14ac:dyDescent="0.25">
      <c r="A265" s="143" t="s">
        <v>290</v>
      </c>
      <c r="B265" s="143" t="s">
        <v>216</v>
      </c>
      <c r="C265" s="143" t="s">
        <v>217</v>
      </c>
      <c r="D265" s="143" t="s">
        <v>69</v>
      </c>
      <c r="E265" s="257">
        <v>0</v>
      </c>
      <c r="F265" s="257">
        <v>0</v>
      </c>
      <c r="G265" s="257">
        <v>0</v>
      </c>
      <c r="H265" s="257">
        <v>0</v>
      </c>
      <c r="I265" s="257">
        <v>0</v>
      </c>
      <c r="J265" s="257">
        <v>0</v>
      </c>
      <c r="K265" s="257">
        <v>0</v>
      </c>
      <c r="L265" s="257">
        <v>0</v>
      </c>
      <c r="M265" s="257">
        <v>0</v>
      </c>
      <c r="N265" s="257">
        <v>0</v>
      </c>
    </row>
    <row r="266" spans="1:14" s="143" customFormat="1" x14ac:dyDescent="0.25">
      <c r="A266" s="143" t="s">
        <v>290</v>
      </c>
      <c r="B266" s="143" t="s">
        <v>218</v>
      </c>
      <c r="C266" s="143" t="s">
        <v>219</v>
      </c>
      <c r="D266" s="143" t="s">
        <v>69</v>
      </c>
      <c r="E266" s="257">
        <v>15203693</v>
      </c>
      <c r="F266" s="257">
        <v>15203693</v>
      </c>
      <c r="G266" s="257">
        <v>3800923</v>
      </c>
      <c r="H266" s="257">
        <v>0</v>
      </c>
      <c r="I266" s="257">
        <v>171375</v>
      </c>
      <c r="J266" s="257">
        <v>0</v>
      </c>
      <c r="K266" s="257">
        <v>278000</v>
      </c>
      <c r="L266" s="257">
        <v>0</v>
      </c>
      <c r="M266" s="257">
        <v>14754318</v>
      </c>
      <c r="N266" s="257">
        <v>3351548</v>
      </c>
    </row>
    <row r="267" spans="1:14" s="143" customFormat="1" x14ac:dyDescent="0.25">
      <c r="A267" s="143" t="s">
        <v>290</v>
      </c>
      <c r="B267" s="143" t="s">
        <v>220</v>
      </c>
      <c r="C267" s="143" t="s">
        <v>221</v>
      </c>
      <c r="D267" s="143" t="s">
        <v>69</v>
      </c>
      <c r="E267" s="257">
        <v>133000</v>
      </c>
      <c r="F267" s="257">
        <v>133000</v>
      </c>
      <c r="G267" s="257">
        <v>33250</v>
      </c>
      <c r="H267" s="257">
        <v>0</v>
      </c>
      <c r="I267" s="257">
        <v>0</v>
      </c>
      <c r="J267" s="257">
        <v>0</v>
      </c>
      <c r="K267" s="257">
        <v>0</v>
      </c>
      <c r="L267" s="257">
        <v>0</v>
      </c>
      <c r="M267" s="257">
        <v>133000</v>
      </c>
      <c r="N267" s="257">
        <v>33250</v>
      </c>
    </row>
    <row r="268" spans="1:14" s="143" customFormat="1" x14ac:dyDescent="0.25">
      <c r="A268" s="143" t="s">
        <v>290</v>
      </c>
      <c r="B268" s="143" t="s">
        <v>222</v>
      </c>
      <c r="C268" s="143" t="s">
        <v>223</v>
      </c>
      <c r="D268" s="143" t="s">
        <v>69</v>
      </c>
      <c r="E268" s="257">
        <v>1356000</v>
      </c>
      <c r="F268" s="257">
        <v>1356000</v>
      </c>
      <c r="G268" s="257">
        <v>389000</v>
      </c>
      <c r="H268" s="257">
        <v>0</v>
      </c>
      <c r="I268" s="257">
        <v>0</v>
      </c>
      <c r="J268" s="257">
        <v>0</v>
      </c>
      <c r="K268" s="257">
        <v>386600</v>
      </c>
      <c r="L268" s="257">
        <v>0</v>
      </c>
      <c r="M268" s="257">
        <v>969400</v>
      </c>
      <c r="N268" s="257">
        <v>2400</v>
      </c>
    </row>
    <row r="269" spans="1:14" s="143" customFormat="1" x14ac:dyDescent="0.25">
      <c r="A269" s="143" t="s">
        <v>290</v>
      </c>
      <c r="B269" s="143" t="s">
        <v>224</v>
      </c>
      <c r="C269" s="143" t="s">
        <v>225</v>
      </c>
      <c r="D269" s="143" t="s">
        <v>69</v>
      </c>
      <c r="E269" s="257">
        <v>123000</v>
      </c>
      <c r="F269" s="257">
        <v>123000</v>
      </c>
      <c r="G269" s="257">
        <v>30750</v>
      </c>
      <c r="H269" s="257">
        <v>0</v>
      </c>
      <c r="I269" s="257">
        <v>0</v>
      </c>
      <c r="J269" s="257">
        <v>0</v>
      </c>
      <c r="K269" s="257">
        <v>4800</v>
      </c>
      <c r="L269" s="257">
        <v>0</v>
      </c>
      <c r="M269" s="257">
        <v>118200</v>
      </c>
      <c r="N269" s="257">
        <v>25950</v>
      </c>
    </row>
    <row r="270" spans="1:14" s="143" customFormat="1" x14ac:dyDescent="0.25">
      <c r="A270" s="143" t="s">
        <v>290</v>
      </c>
      <c r="B270" s="143" t="s">
        <v>228</v>
      </c>
      <c r="C270" s="143" t="s">
        <v>229</v>
      </c>
      <c r="D270" s="143" t="s">
        <v>69</v>
      </c>
      <c r="E270" s="257">
        <v>571000</v>
      </c>
      <c r="F270" s="257">
        <v>571000</v>
      </c>
      <c r="G270" s="257">
        <v>142750</v>
      </c>
      <c r="H270" s="257">
        <v>0</v>
      </c>
      <c r="I270" s="257">
        <v>137340</v>
      </c>
      <c r="J270" s="257">
        <v>0</v>
      </c>
      <c r="K270" s="257">
        <v>0</v>
      </c>
      <c r="L270" s="257">
        <v>0</v>
      </c>
      <c r="M270" s="257">
        <v>433660</v>
      </c>
      <c r="N270" s="257">
        <v>5410</v>
      </c>
    </row>
    <row r="271" spans="1:14" s="143" customFormat="1" x14ac:dyDescent="0.25">
      <c r="A271" s="143" t="s">
        <v>290</v>
      </c>
      <c r="B271" s="143" t="s">
        <v>248</v>
      </c>
      <c r="C271" s="143" t="s">
        <v>249</v>
      </c>
      <c r="D271" s="143" t="s">
        <v>69</v>
      </c>
      <c r="E271" s="257">
        <v>298129000</v>
      </c>
      <c r="F271" s="257">
        <v>298129000</v>
      </c>
      <c r="G271" s="257">
        <v>154648300</v>
      </c>
      <c r="H271" s="257">
        <v>0</v>
      </c>
      <c r="I271" s="257">
        <v>107941098.16</v>
      </c>
      <c r="J271" s="257">
        <v>0</v>
      </c>
      <c r="K271" s="257">
        <v>10158165.84</v>
      </c>
      <c r="L271" s="257">
        <v>10158165.84</v>
      </c>
      <c r="M271" s="257">
        <v>180029736</v>
      </c>
      <c r="N271" s="257">
        <v>36549036</v>
      </c>
    </row>
    <row r="272" spans="1:14" s="143" customFormat="1" x14ac:dyDescent="0.25">
      <c r="A272" s="143" t="s">
        <v>290</v>
      </c>
      <c r="B272" s="143" t="s">
        <v>250</v>
      </c>
      <c r="C272" s="143" t="s">
        <v>251</v>
      </c>
      <c r="D272" s="143" t="s">
        <v>69</v>
      </c>
      <c r="E272" s="257">
        <v>115667000</v>
      </c>
      <c r="F272" s="257">
        <v>115667000</v>
      </c>
      <c r="G272" s="257">
        <v>115667000</v>
      </c>
      <c r="H272" s="257">
        <v>0</v>
      </c>
      <c r="I272" s="257">
        <v>107941098.16</v>
      </c>
      <c r="J272" s="257">
        <v>0</v>
      </c>
      <c r="K272" s="257">
        <v>7725901.8399999999</v>
      </c>
      <c r="L272" s="257">
        <v>7725901.8399999999</v>
      </c>
      <c r="M272" s="257">
        <v>0</v>
      </c>
      <c r="N272" s="257">
        <v>0</v>
      </c>
    </row>
    <row r="273" spans="1:14" s="143" customFormat="1" x14ac:dyDescent="0.25">
      <c r="A273" s="143" t="s">
        <v>290</v>
      </c>
      <c r="B273" s="143" t="s">
        <v>332</v>
      </c>
      <c r="C273" s="143" t="s">
        <v>257</v>
      </c>
      <c r="D273" s="143" t="s">
        <v>69</v>
      </c>
      <c r="E273" s="257">
        <v>96260000</v>
      </c>
      <c r="F273" s="257">
        <v>96260000</v>
      </c>
      <c r="G273" s="257">
        <v>96260000</v>
      </c>
      <c r="H273" s="257">
        <v>0</v>
      </c>
      <c r="I273" s="257">
        <v>89830390.420000002</v>
      </c>
      <c r="J273" s="257">
        <v>0</v>
      </c>
      <c r="K273" s="257">
        <v>6429609.5800000001</v>
      </c>
      <c r="L273" s="257">
        <v>6429609.5800000001</v>
      </c>
      <c r="M273" s="257">
        <v>0</v>
      </c>
      <c r="N273" s="257">
        <v>0</v>
      </c>
    </row>
    <row r="274" spans="1:14" s="143" customFormat="1" x14ac:dyDescent="0.25">
      <c r="A274" s="143" t="s">
        <v>290</v>
      </c>
      <c r="B274" s="143" t="s">
        <v>333</v>
      </c>
      <c r="C274" s="143" t="s">
        <v>259</v>
      </c>
      <c r="D274" s="143" t="s">
        <v>69</v>
      </c>
      <c r="E274" s="257">
        <v>19407000</v>
      </c>
      <c r="F274" s="257">
        <v>19407000</v>
      </c>
      <c r="G274" s="257">
        <v>19407000</v>
      </c>
      <c r="H274" s="257">
        <v>0</v>
      </c>
      <c r="I274" s="257">
        <v>18110707.739999998</v>
      </c>
      <c r="J274" s="257">
        <v>0</v>
      </c>
      <c r="K274" s="257">
        <v>1296292.26</v>
      </c>
      <c r="L274" s="257">
        <v>1296292.26</v>
      </c>
      <c r="M274" s="257">
        <v>0</v>
      </c>
      <c r="N274" s="257">
        <v>0</v>
      </c>
    </row>
    <row r="275" spans="1:14" s="143" customFormat="1" x14ac:dyDescent="0.25">
      <c r="A275" s="143" t="s">
        <v>290</v>
      </c>
      <c r="B275" s="143" t="s">
        <v>260</v>
      </c>
      <c r="C275" s="143" t="s">
        <v>261</v>
      </c>
      <c r="D275" s="143" t="s">
        <v>69</v>
      </c>
      <c r="E275" s="257">
        <v>179462000</v>
      </c>
      <c r="F275" s="257">
        <v>179462000</v>
      </c>
      <c r="G275" s="257">
        <v>38231300</v>
      </c>
      <c r="H275" s="257">
        <v>0</v>
      </c>
      <c r="I275" s="257">
        <v>0</v>
      </c>
      <c r="J275" s="257">
        <v>0</v>
      </c>
      <c r="K275" s="257">
        <v>2432264</v>
      </c>
      <c r="L275" s="257">
        <v>2432264</v>
      </c>
      <c r="M275" s="257">
        <v>177029736</v>
      </c>
      <c r="N275" s="257">
        <v>35799036</v>
      </c>
    </row>
    <row r="276" spans="1:14" s="143" customFormat="1" x14ac:dyDescent="0.25">
      <c r="A276" s="143" t="s">
        <v>290</v>
      </c>
      <c r="B276" s="143" t="s">
        <v>262</v>
      </c>
      <c r="C276" s="143" t="s">
        <v>263</v>
      </c>
      <c r="D276" s="143" t="s">
        <v>69</v>
      </c>
      <c r="E276" s="257">
        <v>150000000</v>
      </c>
      <c r="F276" s="257">
        <v>150000000</v>
      </c>
      <c r="G276" s="257">
        <v>8769300</v>
      </c>
      <c r="H276" s="257">
        <v>0</v>
      </c>
      <c r="I276" s="257">
        <v>0</v>
      </c>
      <c r="J276" s="257">
        <v>0</v>
      </c>
      <c r="K276" s="257">
        <v>0</v>
      </c>
      <c r="L276" s="257">
        <v>0</v>
      </c>
      <c r="M276" s="257">
        <v>150000000</v>
      </c>
      <c r="N276" s="257">
        <v>8769300</v>
      </c>
    </row>
    <row r="277" spans="1:14" s="143" customFormat="1" x14ac:dyDescent="0.25">
      <c r="A277" s="143" t="s">
        <v>290</v>
      </c>
      <c r="B277" s="143" t="s">
        <v>264</v>
      </c>
      <c r="C277" s="143" t="s">
        <v>265</v>
      </c>
      <c r="D277" s="143" t="s">
        <v>69</v>
      </c>
      <c r="E277" s="257">
        <v>29462000</v>
      </c>
      <c r="F277" s="257">
        <v>29462000</v>
      </c>
      <c r="G277" s="257">
        <v>29462000</v>
      </c>
      <c r="H277" s="257">
        <v>0</v>
      </c>
      <c r="I277" s="257">
        <v>0</v>
      </c>
      <c r="J277" s="257">
        <v>0</v>
      </c>
      <c r="K277" s="257">
        <v>2432264</v>
      </c>
      <c r="L277" s="257">
        <v>2432264</v>
      </c>
      <c r="M277" s="257">
        <v>27029736</v>
      </c>
      <c r="N277" s="257">
        <v>27029736</v>
      </c>
    </row>
    <row r="278" spans="1:14" s="143" customFormat="1" x14ac:dyDescent="0.25">
      <c r="A278" s="143" t="s">
        <v>290</v>
      </c>
      <c r="B278" s="143" t="s">
        <v>286</v>
      </c>
      <c r="C278" s="143" t="s">
        <v>287</v>
      </c>
      <c r="D278" s="143" t="s">
        <v>69</v>
      </c>
      <c r="E278" s="257">
        <v>3000000</v>
      </c>
      <c r="F278" s="257">
        <v>3000000</v>
      </c>
      <c r="G278" s="257">
        <v>750000</v>
      </c>
      <c r="H278" s="257">
        <v>0</v>
      </c>
      <c r="I278" s="257">
        <v>0</v>
      </c>
      <c r="J278" s="257">
        <v>0</v>
      </c>
      <c r="K278" s="257">
        <v>0</v>
      </c>
      <c r="L278" s="257">
        <v>0</v>
      </c>
      <c r="M278" s="257">
        <v>3000000</v>
      </c>
      <c r="N278" s="257">
        <v>750000</v>
      </c>
    </row>
    <row r="279" spans="1:14" s="143" customFormat="1" x14ac:dyDescent="0.25">
      <c r="A279" s="143" t="s">
        <v>290</v>
      </c>
      <c r="B279" s="143" t="s">
        <v>288</v>
      </c>
      <c r="C279" s="143" t="s">
        <v>289</v>
      </c>
      <c r="D279" s="143" t="s">
        <v>69</v>
      </c>
      <c r="E279" s="257">
        <v>3000000</v>
      </c>
      <c r="F279" s="257">
        <v>3000000</v>
      </c>
      <c r="G279" s="257">
        <v>750000</v>
      </c>
      <c r="H279" s="257">
        <v>0</v>
      </c>
      <c r="I279" s="257">
        <v>0</v>
      </c>
      <c r="J279" s="257">
        <v>0</v>
      </c>
      <c r="K279" s="257">
        <v>0</v>
      </c>
      <c r="L279" s="257">
        <v>0</v>
      </c>
      <c r="M279" s="257">
        <v>3000000</v>
      </c>
      <c r="N279" s="257">
        <v>750000</v>
      </c>
    </row>
    <row r="280" spans="1:14" s="143" customFormat="1" x14ac:dyDescent="0.25">
      <c r="A280" s="143" t="s">
        <v>290</v>
      </c>
      <c r="B280" s="143" t="s">
        <v>230</v>
      </c>
      <c r="C280" s="143" t="s">
        <v>231</v>
      </c>
      <c r="D280" s="143" t="s">
        <v>85</v>
      </c>
      <c r="E280" s="257">
        <v>47031000</v>
      </c>
      <c r="F280" s="257">
        <v>47031000</v>
      </c>
      <c r="G280" s="257">
        <v>10406767.810000001</v>
      </c>
      <c r="H280" s="257">
        <v>0</v>
      </c>
      <c r="I280" s="257">
        <v>16006564.1</v>
      </c>
      <c r="J280" s="257">
        <v>0</v>
      </c>
      <c r="K280" s="257">
        <v>0</v>
      </c>
      <c r="L280" s="257">
        <v>0</v>
      </c>
      <c r="M280" s="257">
        <v>31024435.899999999</v>
      </c>
      <c r="N280" s="257">
        <v>-5599796.29</v>
      </c>
    </row>
    <row r="281" spans="1:14" s="143" customFormat="1" x14ac:dyDescent="0.25">
      <c r="A281" s="143" t="s">
        <v>290</v>
      </c>
      <c r="B281" s="143" t="s">
        <v>232</v>
      </c>
      <c r="C281" s="143" t="s">
        <v>233</v>
      </c>
      <c r="D281" s="143" t="s">
        <v>85</v>
      </c>
      <c r="E281" s="257">
        <v>25000000</v>
      </c>
      <c r="F281" s="257">
        <v>25000000</v>
      </c>
      <c r="G281" s="257">
        <v>4899017.8099999996</v>
      </c>
      <c r="H281" s="257">
        <v>0</v>
      </c>
      <c r="I281" s="257">
        <v>14655581.91</v>
      </c>
      <c r="J281" s="257">
        <v>0</v>
      </c>
      <c r="K281" s="257">
        <v>0</v>
      </c>
      <c r="L281" s="257">
        <v>0</v>
      </c>
      <c r="M281" s="257">
        <v>10344418.09</v>
      </c>
      <c r="N281" s="593">
        <v>-9756564.0999999996</v>
      </c>
    </row>
    <row r="282" spans="1:14" s="143" customFormat="1" x14ac:dyDescent="0.25">
      <c r="A282" s="143" t="s">
        <v>290</v>
      </c>
      <c r="B282" s="143" t="s">
        <v>324</v>
      </c>
      <c r="C282" s="143" t="s">
        <v>325</v>
      </c>
      <c r="D282" s="143" t="s">
        <v>85</v>
      </c>
      <c r="E282" s="257">
        <v>15000000</v>
      </c>
      <c r="F282" s="257">
        <v>15000000</v>
      </c>
      <c r="G282" s="257">
        <v>3750000</v>
      </c>
      <c r="H282" s="257">
        <v>0</v>
      </c>
      <c r="I282" s="257">
        <v>14655581.91</v>
      </c>
      <c r="J282" s="257">
        <v>0</v>
      </c>
      <c r="K282" s="257">
        <v>0</v>
      </c>
      <c r="L282" s="257">
        <v>0</v>
      </c>
      <c r="M282" s="257">
        <v>344418.09</v>
      </c>
      <c r="N282" s="257">
        <v>-10905581.91</v>
      </c>
    </row>
    <row r="283" spans="1:14" s="143" customFormat="1" x14ac:dyDescent="0.25">
      <c r="A283" s="143" t="s">
        <v>290</v>
      </c>
      <c r="B283" s="143" t="s">
        <v>236</v>
      </c>
      <c r="C283" s="143" t="s">
        <v>237</v>
      </c>
      <c r="D283" s="143" t="s">
        <v>85</v>
      </c>
      <c r="E283" s="257">
        <v>0</v>
      </c>
      <c r="F283" s="257">
        <v>0</v>
      </c>
      <c r="G283" s="257">
        <v>0</v>
      </c>
      <c r="H283" s="257">
        <v>0</v>
      </c>
      <c r="I283" s="257">
        <v>0</v>
      </c>
      <c r="J283" s="257">
        <v>0</v>
      </c>
      <c r="K283" s="257">
        <v>0</v>
      </c>
      <c r="L283" s="257">
        <v>0</v>
      </c>
      <c r="M283" s="257">
        <v>0</v>
      </c>
      <c r="N283" s="257">
        <v>0</v>
      </c>
    </row>
    <row r="284" spans="1:14" s="143" customFormat="1" x14ac:dyDescent="0.25">
      <c r="A284" s="143" t="s">
        <v>290</v>
      </c>
      <c r="B284" s="143" t="s">
        <v>238</v>
      </c>
      <c r="C284" s="143" t="s">
        <v>239</v>
      </c>
      <c r="D284" s="143" t="s">
        <v>85</v>
      </c>
      <c r="E284" s="257">
        <v>0</v>
      </c>
      <c r="F284" s="257">
        <v>0</v>
      </c>
      <c r="G284" s="257">
        <v>0</v>
      </c>
      <c r="H284" s="257">
        <v>0</v>
      </c>
      <c r="I284" s="257">
        <v>0</v>
      </c>
      <c r="J284" s="257">
        <v>0</v>
      </c>
      <c r="K284" s="257">
        <v>0</v>
      </c>
      <c r="L284" s="257">
        <v>0</v>
      </c>
      <c r="M284" s="257">
        <v>0</v>
      </c>
      <c r="N284" s="257">
        <v>0</v>
      </c>
    </row>
    <row r="285" spans="1:14" s="143" customFormat="1" x14ac:dyDescent="0.25">
      <c r="A285" s="143" t="s">
        <v>290</v>
      </c>
      <c r="B285" s="143" t="s">
        <v>282</v>
      </c>
      <c r="C285" s="143" t="s">
        <v>283</v>
      </c>
      <c r="D285" s="143" t="s">
        <v>85</v>
      </c>
      <c r="E285" s="257">
        <v>10000000</v>
      </c>
      <c r="F285" s="257">
        <v>10000000</v>
      </c>
      <c r="G285" s="257">
        <v>1149017.81</v>
      </c>
      <c r="H285" s="257">
        <v>0</v>
      </c>
      <c r="I285" s="257">
        <v>0</v>
      </c>
      <c r="J285" s="257">
        <v>0</v>
      </c>
      <c r="K285" s="257">
        <v>0</v>
      </c>
      <c r="L285" s="257">
        <v>0</v>
      </c>
      <c r="M285" s="257">
        <v>10000000</v>
      </c>
      <c r="N285" s="257">
        <v>1149017.81</v>
      </c>
    </row>
    <row r="286" spans="1:14" s="143" customFormat="1" x14ac:dyDescent="0.25">
      <c r="A286" s="143" t="s">
        <v>290</v>
      </c>
      <c r="B286" s="143" t="s">
        <v>326</v>
      </c>
      <c r="C286" s="143" t="s">
        <v>327</v>
      </c>
      <c r="D286" s="143" t="s">
        <v>85</v>
      </c>
      <c r="E286" s="257">
        <v>0</v>
      </c>
      <c r="F286" s="257">
        <v>0</v>
      </c>
      <c r="G286" s="257">
        <v>0</v>
      </c>
      <c r="H286" s="257">
        <v>0</v>
      </c>
      <c r="I286" s="257">
        <v>0</v>
      </c>
      <c r="J286" s="257">
        <v>0</v>
      </c>
      <c r="K286" s="257">
        <v>0</v>
      </c>
      <c r="L286" s="257">
        <v>0</v>
      </c>
      <c r="M286" s="257">
        <v>0</v>
      </c>
      <c r="N286" s="257">
        <v>0</v>
      </c>
    </row>
    <row r="287" spans="1:14" s="143" customFormat="1" x14ac:dyDescent="0.25">
      <c r="A287" s="143" t="s">
        <v>290</v>
      </c>
      <c r="B287" s="143" t="s">
        <v>328</v>
      </c>
      <c r="C287" s="143" t="s">
        <v>329</v>
      </c>
      <c r="D287" s="143" t="s">
        <v>85</v>
      </c>
      <c r="E287" s="257">
        <v>0</v>
      </c>
      <c r="F287" s="257">
        <v>0</v>
      </c>
      <c r="G287" s="257">
        <v>0</v>
      </c>
      <c r="H287" s="257">
        <v>0</v>
      </c>
      <c r="I287" s="257">
        <v>1350982.19</v>
      </c>
      <c r="J287" s="257">
        <v>0</v>
      </c>
      <c r="K287" s="257">
        <v>0</v>
      </c>
      <c r="L287" s="257">
        <v>0</v>
      </c>
      <c r="M287" s="257">
        <v>-1350982.19</v>
      </c>
      <c r="N287" s="257">
        <v>-1350982.19</v>
      </c>
    </row>
    <row r="288" spans="1:14" s="143" customFormat="1" x14ac:dyDescent="0.25">
      <c r="A288" s="143" t="s">
        <v>290</v>
      </c>
      <c r="B288" s="143" t="s">
        <v>330</v>
      </c>
      <c r="C288" s="143" t="s">
        <v>331</v>
      </c>
      <c r="D288" s="143" t="s">
        <v>85</v>
      </c>
      <c r="E288" s="257">
        <v>0</v>
      </c>
      <c r="F288" s="257">
        <v>0</v>
      </c>
      <c r="G288" s="257">
        <v>0</v>
      </c>
      <c r="H288" s="257">
        <v>0</v>
      </c>
      <c r="I288" s="257">
        <v>1350982.19</v>
      </c>
      <c r="J288" s="257">
        <v>0</v>
      </c>
      <c r="K288" s="257">
        <v>0</v>
      </c>
      <c r="L288" s="257">
        <v>0</v>
      </c>
      <c r="M288" s="257">
        <v>-1350982.19</v>
      </c>
      <c r="N288" s="257">
        <v>-1350982.19</v>
      </c>
    </row>
    <row r="289" spans="1:14" s="143" customFormat="1" x14ac:dyDescent="0.25">
      <c r="A289" s="143" t="s">
        <v>290</v>
      </c>
      <c r="B289" s="143" t="s">
        <v>244</v>
      </c>
      <c r="C289" s="143" t="s">
        <v>245</v>
      </c>
      <c r="D289" s="143" t="s">
        <v>85</v>
      </c>
      <c r="E289" s="257">
        <v>22031000</v>
      </c>
      <c r="F289" s="257">
        <v>22031000</v>
      </c>
      <c r="G289" s="257">
        <v>5507750</v>
      </c>
      <c r="H289" s="257">
        <v>0</v>
      </c>
      <c r="I289" s="257">
        <v>0</v>
      </c>
      <c r="J289" s="257">
        <v>0</v>
      </c>
      <c r="K289" s="257">
        <v>0</v>
      </c>
      <c r="L289" s="257">
        <v>0</v>
      </c>
      <c r="M289" s="257">
        <v>22031000</v>
      </c>
      <c r="N289" s="257">
        <v>5507750</v>
      </c>
    </row>
    <row r="290" spans="1:14" s="143" customFormat="1" x14ac:dyDescent="0.25">
      <c r="A290" s="143" t="s">
        <v>290</v>
      </c>
      <c r="B290" s="143" t="s">
        <v>246</v>
      </c>
      <c r="C290" s="143" t="s">
        <v>247</v>
      </c>
      <c r="D290" s="143" t="s">
        <v>85</v>
      </c>
      <c r="E290" s="257">
        <v>22031000</v>
      </c>
      <c r="F290" s="257">
        <v>22031000</v>
      </c>
      <c r="G290" s="257">
        <v>5507750</v>
      </c>
      <c r="H290" s="257">
        <v>0</v>
      </c>
      <c r="I290" s="257">
        <v>0</v>
      </c>
      <c r="J290" s="257">
        <v>0</v>
      </c>
      <c r="K290" s="257">
        <v>0</v>
      </c>
      <c r="L290" s="257">
        <v>0</v>
      </c>
      <c r="M290" s="257">
        <v>22031000</v>
      </c>
      <c r="N290" s="257">
        <v>5507750</v>
      </c>
    </row>
    <row r="291" spans="1:14" s="143" customFormat="1" x14ac:dyDescent="0.25">
      <c r="A291" s="143">
        <v>214783</v>
      </c>
      <c r="D291" s="143" t="s">
        <v>69</v>
      </c>
      <c r="E291" s="257">
        <v>106163237755</v>
      </c>
      <c r="F291" s="257">
        <v>106163237755</v>
      </c>
      <c r="G291" s="257">
        <v>80054235299.190002</v>
      </c>
      <c r="H291" s="257">
        <v>0</v>
      </c>
      <c r="I291" s="257">
        <v>18075886356.48</v>
      </c>
      <c r="J291" s="257">
        <v>308247108.77999997</v>
      </c>
      <c r="K291" s="279">
        <v>9177986155.2900009</v>
      </c>
      <c r="L291" s="257">
        <v>8754246747.2600002</v>
      </c>
      <c r="M291" s="257">
        <v>78601118134.449997</v>
      </c>
      <c r="N291" s="257">
        <v>52492115678.639999</v>
      </c>
    </row>
    <row r="292" spans="1:14" s="143" customFormat="1" x14ac:dyDescent="0.25">
      <c r="A292" s="143" t="s">
        <v>334</v>
      </c>
      <c r="B292" s="143" t="s">
        <v>71</v>
      </c>
      <c r="C292" s="143" t="s">
        <v>72</v>
      </c>
      <c r="D292" s="143" t="s">
        <v>69</v>
      </c>
      <c r="E292" s="257">
        <v>69224041000</v>
      </c>
      <c r="F292" s="257">
        <v>69224041000</v>
      </c>
      <c r="G292" s="257">
        <v>69224041000</v>
      </c>
      <c r="H292" s="257">
        <v>0</v>
      </c>
      <c r="I292" s="257">
        <v>9752699418</v>
      </c>
      <c r="J292" s="257">
        <v>0</v>
      </c>
      <c r="K292" s="257">
        <v>8613979144.4200001</v>
      </c>
      <c r="L292" s="257">
        <v>8613979144.4200001</v>
      </c>
      <c r="M292" s="257">
        <v>50857362437.580002</v>
      </c>
      <c r="N292" s="257">
        <v>50857362437.580002</v>
      </c>
    </row>
    <row r="293" spans="1:14" s="143" customFormat="1" x14ac:dyDescent="0.25">
      <c r="A293" s="143" t="s">
        <v>334</v>
      </c>
      <c r="B293" s="143" t="s">
        <v>73</v>
      </c>
      <c r="C293" s="143" t="s">
        <v>74</v>
      </c>
      <c r="D293" s="143" t="s">
        <v>69</v>
      </c>
      <c r="E293" s="257">
        <v>25618223000</v>
      </c>
      <c r="F293" s="257">
        <v>25618223000</v>
      </c>
      <c r="G293" s="257">
        <v>25618223000</v>
      </c>
      <c r="H293" s="257">
        <v>0</v>
      </c>
      <c r="I293" s="257">
        <v>0</v>
      </c>
      <c r="J293" s="257">
        <v>0</v>
      </c>
      <c r="K293" s="257">
        <v>2007873097.96</v>
      </c>
      <c r="L293" s="257">
        <v>2007873097.96</v>
      </c>
      <c r="M293" s="257">
        <v>23610349902.040001</v>
      </c>
      <c r="N293" s="257">
        <v>23610349902.040001</v>
      </c>
    </row>
    <row r="294" spans="1:14" s="143" customFormat="1" x14ac:dyDescent="0.25">
      <c r="A294" s="143" t="s">
        <v>334</v>
      </c>
      <c r="B294" s="143" t="s">
        <v>75</v>
      </c>
      <c r="C294" s="143" t="s">
        <v>76</v>
      </c>
      <c r="D294" s="143" t="s">
        <v>69</v>
      </c>
      <c r="E294" s="257">
        <v>25601107000</v>
      </c>
      <c r="F294" s="257">
        <v>25601107000</v>
      </c>
      <c r="G294" s="257">
        <v>25601107000</v>
      </c>
      <c r="H294" s="257">
        <v>0</v>
      </c>
      <c r="I294" s="257">
        <v>0</v>
      </c>
      <c r="J294" s="257">
        <v>0</v>
      </c>
      <c r="K294" s="257">
        <v>2000237197.96</v>
      </c>
      <c r="L294" s="257">
        <v>2000237197.96</v>
      </c>
      <c r="M294" s="257">
        <v>23600869802.040001</v>
      </c>
      <c r="N294" s="257">
        <v>23600869802.040001</v>
      </c>
    </row>
    <row r="295" spans="1:14" s="143" customFormat="1" x14ac:dyDescent="0.25">
      <c r="A295" s="143" t="s">
        <v>334</v>
      </c>
      <c r="B295" s="143" t="s">
        <v>335</v>
      </c>
      <c r="C295" s="143" t="s">
        <v>336</v>
      </c>
      <c r="D295" s="143" t="s">
        <v>69</v>
      </c>
      <c r="E295" s="257">
        <v>17116000</v>
      </c>
      <c r="F295" s="257">
        <v>17116000</v>
      </c>
      <c r="G295" s="257">
        <v>17116000</v>
      </c>
      <c r="H295" s="257">
        <v>0</v>
      </c>
      <c r="I295" s="257">
        <v>0</v>
      </c>
      <c r="J295" s="257">
        <v>0</v>
      </c>
      <c r="K295" s="257">
        <v>7635900</v>
      </c>
      <c r="L295" s="257">
        <v>7635900</v>
      </c>
      <c r="M295" s="257">
        <v>9480100</v>
      </c>
      <c r="N295" s="257">
        <v>9480100</v>
      </c>
    </row>
    <row r="296" spans="1:14" s="143" customFormat="1" x14ac:dyDescent="0.25">
      <c r="A296" s="143" t="s">
        <v>334</v>
      </c>
      <c r="B296" s="143" t="s">
        <v>293</v>
      </c>
      <c r="C296" s="143" t="s">
        <v>294</v>
      </c>
      <c r="D296" s="143" t="s">
        <v>69</v>
      </c>
      <c r="E296" s="257">
        <v>3406791000</v>
      </c>
      <c r="F296" s="257">
        <v>3406791000</v>
      </c>
      <c r="G296" s="257">
        <v>3406791000</v>
      </c>
      <c r="H296" s="257">
        <v>0</v>
      </c>
      <c r="I296" s="257">
        <v>0</v>
      </c>
      <c r="J296" s="257">
        <v>0</v>
      </c>
      <c r="K296" s="257">
        <v>300511996.29000002</v>
      </c>
      <c r="L296" s="257">
        <v>300511996.29000002</v>
      </c>
      <c r="M296" s="257">
        <v>3106279003.71</v>
      </c>
      <c r="N296" s="257">
        <v>3106279003.71</v>
      </c>
    </row>
    <row r="297" spans="1:14" s="143" customFormat="1" x14ac:dyDescent="0.25">
      <c r="A297" s="143" t="s">
        <v>334</v>
      </c>
      <c r="B297" s="143" t="s">
        <v>295</v>
      </c>
      <c r="C297" s="143" t="s">
        <v>296</v>
      </c>
      <c r="D297" s="143" t="s">
        <v>69</v>
      </c>
      <c r="E297" s="257">
        <v>8000000</v>
      </c>
      <c r="F297" s="257">
        <v>8000000</v>
      </c>
      <c r="G297" s="257">
        <v>8000000</v>
      </c>
      <c r="H297" s="257">
        <v>0</v>
      </c>
      <c r="I297" s="257">
        <v>0</v>
      </c>
      <c r="J297" s="257">
        <v>0</v>
      </c>
      <c r="K297" s="257">
        <v>0</v>
      </c>
      <c r="L297" s="257">
        <v>0</v>
      </c>
      <c r="M297" s="257">
        <v>8000000</v>
      </c>
      <c r="N297" s="257">
        <v>8000000</v>
      </c>
    </row>
    <row r="298" spans="1:14" s="143" customFormat="1" x14ac:dyDescent="0.25">
      <c r="A298" s="143" t="s">
        <v>334</v>
      </c>
      <c r="B298" s="143" t="s">
        <v>337</v>
      </c>
      <c r="C298" s="143" t="s">
        <v>338</v>
      </c>
      <c r="D298" s="143" t="s">
        <v>69</v>
      </c>
      <c r="E298" s="257">
        <v>24994000</v>
      </c>
      <c r="F298" s="257">
        <v>24994000</v>
      </c>
      <c r="G298" s="257">
        <v>24994000</v>
      </c>
      <c r="H298" s="257">
        <v>0</v>
      </c>
      <c r="I298" s="257">
        <v>0</v>
      </c>
      <c r="J298" s="257">
        <v>0</v>
      </c>
      <c r="K298" s="257">
        <v>745232</v>
      </c>
      <c r="L298" s="257">
        <v>745232</v>
      </c>
      <c r="M298" s="257">
        <v>24248768</v>
      </c>
      <c r="N298" s="257">
        <v>24248768</v>
      </c>
    </row>
    <row r="299" spans="1:14" s="143" customFormat="1" x14ac:dyDescent="0.25">
      <c r="A299" s="143" t="s">
        <v>334</v>
      </c>
      <c r="B299" s="143" t="s">
        <v>339</v>
      </c>
      <c r="C299" s="143" t="s">
        <v>340</v>
      </c>
      <c r="D299" s="143" t="s">
        <v>69</v>
      </c>
      <c r="E299" s="257">
        <v>3373797000</v>
      </c>
      <c r="F299" s="257">
        <v>3373797000</v>
      </c>
      <c r="G299" s="257">
        <v>3373797000</v>
      </c>
      <c r="H299" s="257">
        <v>0</v>
      </c>
      <c r="I299" s="257">
        <v>0</v>
      </c>
      <c r="J299" s="257">
        <v>0</v>
      </c>
      <c r="K299" s="257">
        <v>299766764.29000002</v>
      </c>
      <c r="L299" s="257">
        <v>299766764.29000002</v>
      </c>
      <c r="M299" s="257">
        <v>3074030235.71</v>
      </c>
      <c r="N299" s="257">
        <v>3074030235.71</v>
      </c>
    </row>
    <row r="300" spans="1:14" s="143" customFormat="1" x14ac:dyDescent="0.25">
      <c r="A300" s="143" t="s">
        <v>334</v>
      </c>
      <c r="B300" s="143" t="s">
        <v>77</v>
      </c>
      <c r="C300" s="143" t="s">
        <v>78</v>
      </c>
      <c r="D300" s="143" t="s">
        <v>69</v>
      </c>
      <c r="E300" s="257">
        <v>29694590000</v>
      </c>
      <c r="F300" s="257">
        <v>29694590000</v>
      </c>
      <c r="G300" s="257">
        <v>29694590000</v>
      </c>
      <c r="H300" s="257">
        <v>0</v>
      </c>
      <c r="I300" s="257">
        <v>0</v>
      </c>
      <c r="J300" s="257">
        <v>0</v>
      </c>
      <c r="K300" s="257">
        <v>5553856468.1700001</v>
      </c>
      <c r="L300" s="257">
        <v>5553856468.1700001</v>
      </c>
      <c r="M300" s="257">
        <v>24140733531.830002</v>
      </c>
      <c r="N300" s="257">
        <v>24140733531.830002</v>
      </c>
    </row>
    <row r="301" spans="1:14" s="143" customFormat="1" x14ac:dyDescent="0.25">
      <c r="A301" s="143" t="s">
        <v>334</v>
      </c>
      <c r="B301" s="143" t="s">
        <v>79</v>
      </c>
      <c r="C301" s="143" t="s">
        <v>80</v>
      </c>
      <c r="D301" s="143" t="s">
        <v>69</v>
      </c>
      <c r="E301" s="257">
        <v>9856906000</v>
      </c>
      <c r="F301" s="257">
        <v>9856906000</v>
      </c>
      <c r="G301" s="257">
        <v>9856906000</v>
      </c>
      <c r="H301" s="257">
        <v>0</v>
      </c>
      <c r="I301" s="257">
        <v>0</v>
      </c>
      <c r="J301" s="257">
        <v>0</v>
      </c>
      <c r="K301" s="257">
        <v>766497537.16999996</v>
      </c>
      <c r="L301" s="257">
        <v>766497537.16999996</v>
      </c>
      <c r="M301" s="257">
        <v>9090408462.8299999</v>
      </c>
      <c r="N301" s="257">
        <v>9090408462.8299999</v>
      </c>
    </row>
    <row r="302" spans="1:14" s="143" customFormat="1" x14ac:dyDescent="0.25">
      <c r="A302" s="143" t="s">
        <v>334</v>
      </c>
      <c r="B302" s="143" t="s">
        <v>81</v>
      </c>
      <c r="C302" s="143" t="s">
        <v>82</v>
      </c>
      <c r="D302" s="143" t="s">
        <v>69</v>
      </c>
      <c r="E302" s="257">
        <v>3637068000</v>
      </c>
      <c r="F302" s="257">
        <v>3637068000</v>
      </c>
      <c r="G302" s="257">
        <v>3637068000</v>
      </c>
      <c r="H302" s="257">
        <v>0</v>
      </c>
      <c r="I302" s="257">
        <v>0</v>
      </c>
      <c r="J302" s="257">
        <v>0</v>
      </c>
      <c r="K302" s="257">
        <v>276196164.81</v>
      </c>
      <c r="L302" s="257">
        <v>276196164.81</v>
      </c>
      <c r="M302" s="257">
        <v>3360871835.1900001</v>
      </c>
      <c r="N302" s="257">
        <v>3360871835.1900001</v>
      </c>
    </row>
    <row r="303" spans="1:14" s="143" customFormat="1" x14ac:dyDescent="0.25">
      <c r="A303" s="143" t="s">
        <v>334</v>
      </c>
      <c r="B303" s="143" t="s">
        <v>86</v>
      </c>
      <c r="C303" s="143" t="s">
        <v>87</v>
      </c>
      <c r="D303" s="143" t="s">
        <v>69</v>
      </c>
      <c r="E303" s="257">
        <v>3859929000</v>
      </c>
      <c r="F303" s="257">
        <v>3859929000</v>
      </c>
      <c r="G303" s="257">
        <v>3859929000</v>
      </c>
      <c r="H303" s="257">
        <v>0</v>
      </c>
      <c r="I303" s="257">
        <v>0</v>
      </c>
      <c r="J303" s="257">
        <v>0</v>
      </c>
      <c r="K303" s="257">
        <v>3839684379.6700001</v>
      </c>
      <c r="L303" s="257">
        <v>3839684379.6700001</v>
      </c>
      <c r="M303" s="257">
        <v>20244620.329999998</v>
      </c>
      <c r="N303" s="257">
        <v>20244620.329999998</v>
      </c>
    </row>
    <row r="304" spans="1:14" s="143" customFormat="1" x14ac:dyDescent="0.25">
      <c r="A304" s="143" t="s">
        <v>334</v>
      </c>
      <c r="B304" s="143" t="s">
        <v>88</v>
      </c>
      <c r="C304" s="143" t="s">
        <v>89</v>
      </c>
      <c r="D304" s="143" t="s">
        <v>69</v>
      </c>
      <c r="E304" s="257">
        <v>7961754000</v>
      </c>
      <c r="F304" s="257">
        <v>7961754000</v>
      </c>
      <c r="G304" s="257">
        <v>7961754000</v>
      </c>
      <c r="H304" s="257">
        <v>0</v>
      </c>
      <c r="I304" s="257">
        <v>0</v>
      </c>
      <c r="J304" s="257">
        <v>0</v>
      </c>
      <c r="K304" s="257">
        <v>667055151.58000004</v>
      </c>
      <c r="L304" s="257">
        <v>667055151.58000004</v>
      </c>
      <c r="M304" s="257">
        <v>7294698848.4200001</v>
      </c>
      <c r="N304" s="257">
        <v>7294698848.4200001</v>
      </c>
    </row>
    <row r="305" spans="1:14" s="143" customFormat="1" x14ac:dyDescent="0.25">
      <c r="A305" s="143" t="s">
        <v>334</v>
      </c>
      <c r="B305" s="143" t="s">
        <v>83</v>
      </c>
      <c r="C305" s="143" t="s">
        <v>84</v>
      </c>
      <c r="D305" s="143" t="s">
        <v>85</v>
      </c>
      <c r="E305" s="257">
        <v>4378933000</v>
      </c>
      <c r="F305" s="257">
        <v>4378933000</v>
      </c>
      <c r="G305" s="257">
        <v>4378933000</v>
      </c>
      <c r="H305" s="257">
        <v>0</v>
      </c>
      <c r="I305" s="257">
        <v>0</v>
      </c>
      <c r="J305" s="257">
        <v>0</v>
      </c>
      <c r="K305" s="257">
        <v>4423234.9400000004</v>
      </c>
      <c r="L305" s="257">
        <v>4423234.9400000004</v>
      </c>
      <c r="M305" s="257">
        <v>4374509765.0600004</v>
      </c>
      <c r="N305" s="257">
        <v>4374509765.0600004</v>
      </c>
    </row>
    <row r="306" spans="1:14" s="143" customFormat="1" x14ac:dyDescent="0.25">
      <c r="A306" s="143" t="s">
        <v>334</v>
      </c>
      <c r="B306" s="143" t="s">
        <v>90</v>
      </c>
      <c r="C306" s="143" t="s">
        <v>91</v>
      </c>
      <c r="D306" s="143" t="s">
        <v>69</v>
      </c>
      <c r="E306" s="257">
        <v>5298410000</v>
      </c>
      <c r="F306" s="257">
        <v>5298410000</v>
      </c>
      <c r="G306" s="257">
        <v>5298410000</v>
      </c>
      <c r="H306" s="257">
        <v>0</v>
      </c>
      <c r="I306" s="257">
        <v>4919112640</v>
      </c>
      <c r="J306" s="257">
        <v>0</v>
      </c>
      <c r="K306" s="257">
        <v>379297360</v>
      </c>
      <c r="L306" s="257">
        <v>379297360</v>
      </c>
      <c r="M306" s="257">
        <v>0</v>
      </c>
      <c r="N306" s="257">
        <v>0</v>
      </c>
    </row>
    <row r="307" spans="1:14" s="143" customFormat="1" x14ac:dyDescent="0.25">
      <c r="A307" s="143" t="s">
        <v>334</v>
      </c>
      <c r="B307" s="143" t="s">
        <v>341</v>
      </c>
      <c r="C307" s="143" t="s">
        <v>93</v>
      </c>
      <c r="D307" s="143" t="s">
        <v>69</v>
      </c>
      <c r="E307" s="257">
        <v>5026697000</v>
      </c>
      <c r="F307" s="257">
        <v>5026697000</v>
      </c>
      <c r="G307" s="257">
        <v>5026697000</v>
      </c>
      <c r="H307" s="257">
        <v>0</v>
      </c>
      <c r="I307" s="257">
        <v>4666847469</v>
      </c>
      <c r="J307" s="257">
        <v>0</v>
      </c>
      <c r="K307" s="257">
        <v>359849531</v>
      </c>
      <c r="L307" s="257">
        <v>359849531</v>
      </c>
      <c r="M307" s="257">
        <v>0</v>
      </c>
      <c r="N307" s="257">
        <v>0</v>
      </c>
    </row>
    <row r="308" spans="1:14" s="143" customFormat="1" x14ac:dyDescent="0.25">
      <c r="A308" s="143" t="s">
        <v>334</v>
      </c>
      <c r="B308" s="143" t="s">
        <v>342</v>
      </c>
      <c r="C308" s="143" t="s">
        <v>95</v>
      </c>
      <c r="D308" s="143" t="s">
        <v>69</v>
      </c>
      <c r="E308" s="257">
        <v>271713000</v>
      </c>
      <c r="F308" s="257">
        <v>271713000</v>
      </c>
      <c r="G308" s="257">
        <v>271713000</v>
      </c>
      <c r="H308" s="257">
        <v>0</v>
      </c>
      <c r="I308" s="257">
        <v>252265171</v>
      </c>
      <c r="J308" s="257">
        <v>0</v>
      </c>
      <c r="K308" s="257">
        <v>19447829</v>
      </c>
      <c r="L308" s="257">
        <v>19447829</v>
      </c>
      <c r="M308" s="257">
        <v>0</v>
      </c>
      <c r="N308" s="257">
        <v>0</v>
      </c>
    </row>
    <row r="309" spans="1:14" s="143" customFormat="1" x14ac:dyDescent="0.25">
      <c r="A309" s="143" t="s">
        <v>334</v>
      </c>
      <c r="B309" s="143" t="s">
        <v>96</v>
      </c>
      <c r="C309" s="143" t="s">
        <v>97</v>
      </c>
      <c r="D309" s="143" t="s">
        <v>69</v>
      </c>
      <c r="E309" s="257">
        <v>5206027000</v>
      </c>
      <c r="F309" s="257">
        <v>5206027000</v>
      </c>
      <c r="G309" s="257">
        <v>5206027000</v>
      </c>
      <c r="H309" s="257">
        <v>0</v>
      </c>
      <c r="I309" s="257">
        <v>4833586778</v>
      </c>
      <c r="J309" s="257">
        <v>0</v>
      </c>
      <c r="K309" s="257">
        <v>372440222</v>
      </c>
      <c r="L309" s="257">
        <v>372440222</v>
      </c>
      <c r="M309" s="257">
        <v>0</v>
      </c>
      <c r="N309" s="257">
        <v>0</v>
      </c>
    </row>
    <row r="310" spans="1:14" s="143" customFormat="1" x14ac:dyDescent="0.25">
      <c r="A310" s="143" t="s">
        <v>334</v>
      </c>
      <c r="B310" s="143" t="s">
        <v>343</v>
      </c>
      <c r="C310" s="143" t="s">
        <v>99</v>
      </c>
      <c r="D310" s="143" t="s">
        <v>69</v>
      </c>
      <c r="E310" s="257">
        <v>2760607000</v>
      </c>
      <c r="F310" s="257">
        <v>2760607000</v>
      </c>
      <c r="G310" s="257">
        <v>2760607000</v>
      </c>
      <c r="H310" s="257">
        <v>0</v>
      </c>
      <c r="I310" s="257">
        <v>2563197718</v>
      </c>
      <c r="J310" s="257">
        <v>0</v>
      </c>
      <c r="K310" s="257">
        <v>197409282</v>
      </c>
      <c r="L310" s="257">
        <v>197409282</v>
      </c>
      <c r="M310" s="257">
        <v>0</v>
      </c>
      <c r="N310" s="257">
        <v>0</v>
      </c>
    </row>
    <row r="311" spans="1:14" s="143" customFormat="1" x14ac:dyDescent="0.25">
      <c r="A311" s="143" t="s">
        <v>334</v>
      </c>
      <c r="B311" s="143" t="s">
        <v>344</v>
      </c>
      <c r="C311" s="143" t="s">
        <v>101</v>
      </c>
      <c r="D311" s="143" t="s">
        <v>69</v>
      </c>
      <c r="E311" s="257">
        <v>815140000</v>
      </c>
      <c r="F311" s="257">
        <v>815140000</v>
      </c>
      <c r="G311" s="257">
        <v>815140000</v>
      </c>
      <c r="H311" s="257">
        <v>0</v>
      </c>
      <c r="I311" s="257">
        <v>756796360</v>
      </c>
      <c r="J311" s="257">
        <v>0</v>
      </c>
      <c r="K311" s="257">
        <v>58343640</v>
      </c>
      <c r="L311" s="257">
        <v>58343640</v>
      </c>
      <c r="M311" s="257">
        <v>0</v>
      </c>
      <c r="N311" s="257">
        <v>0</v>
      </c>
    </row>
    <row r="312" spans="1:14" s="143" customFormat="1" x14ac:dyDescent="0.25">
      <c r="A312" s="143" t="s">
        <v>334</v>
      </c>
      <c r="B312" s="143" t="s">
        <v>345</v>
      </c>
      <c r="C312" s="143" t="s">
        <v>103</v>
      </c>
      <c r="D312" s="143" t="s">
        <v>69</v>
      </c>
      <c r="E312" s="257">
        <v>1630280000</v>
      </c>
      <c r="F312" s="257">
        <v>1630280000</v>
      </c>
      <c r="G312" s="257">
        <v>1630280000</v>
      </c>
      <c r="H312" s="257">
        <v>0</v>
      </c>
      <c r="I312" s="257">
        <v>1513592700</v>
      </c>
      <c r="J312" s="257">
        <v>0</v>
      </c>
      <c r="K312" s="257">
        <v>116687300</v>
      </c>
      <c r="L312" s="257">
        <v>116687300</v>
      </c>
      <c r="M312" s="257">
        <v>0</v>
      </c>
      <c r="N312" s="257">
        <v>0</v>
      </c>
    </row>
    <row r="313" spans="1:14" s="143" customFormat="1" x14ac:dyDescent="0.25">
      <c r="A313" s="143" t="s">
        <v>334</v>
      </c>
      <c r="B313" s="143" t="s">
        <v>104</v>
      </c>
      <c r="C313" s="143" t="s">
        <v>105</v>
      </c>
      <c r="D313" s="143" t="s">
        <v>69</v>
      </c>
      <c r="E313" s="257">
        <v>9869454182</v>
      </c>
      <c r="F313" s="257">
        <v>9869454182</v>
      </c>
      <c r="G313" s="257">
        <v>2449042413.9400001</v>
      </c>
      <c r="H313" s="257">
        <v>0</v>
      </c>
      <c r="I313" s="257">
        <v>1760136309.5799999</v>
      </c>
      <c r="J313" s="257">
        <v>3109432.44</v>
      </c>
      <c r="K313" s="257">
        <v>343783441.69999999</v>
      </c>
      <c r="L313" s="257">
        <v>719400</v>
      </c>
      <c r="M313" s="257">
        <v>7762424998.2799997</v>
      </c>
      <c r="N313" s="257">
        <v>342013230.22000003</v>
      </c>
    </row>
    <row r="314" spans="1:14" s="143" customFormat="1" x14ac:dyDescent="0.25">
      <c r="A314" s="143" t="s">
        <v>334</v>
      </c>
      <c r="B314" s="143" t="s">
        <v>106</v>
      </c>
      <c r="C314" s="143" t="s">
        <v>107</v>
      </c>
      <c r="D314" s="143" t="s">
        <v>69</v>
      </c>
      <c r="E314" s="257">
        <v>3181468559</v>
      </c>
      <c r="F314" s="257">
        <v>3181468559</v>
      </c>
      <c r="G314" s="257">
        <v>795367139.89999998</v>
      </c>
      <c r="H314" s="257">
        <v>0</v>
      </c>
      <c r="I314" s="257">
        <v>463438613.63</v>
      </c>
      <c r="J314" s="257">
        <v>0</v>
      </c>
      <c r="K314" s="257">
        <v>36748631.490000002</v>
      </c>
      <c r="L314" s="257">
        <v>0</v>
      </c>
      <c r="M314" s="257">
        <v>2681281313.8800001</v>
      </c>
      <c r="N314" s="257">
        <v>295179894.77999997</v>
      </c>
    </row>
    <row r="315" spans="1:14" s="143" customFormat="1" x14ac:dyDescent="0.25">
      <c r="A315" s="143" t="s">
        <v>334</v>
      </c>
      <c r="B315" s="143" t="s">
        <v>280</v>
      </c>
      <c r="C315" s="143" t="s">
        <v>281</v>
      </c>
      <c r="D315" s="143" t="s">
        <v>69</v>
      </c>
      <c r="E315" s="257">
        <v>431740903</v>
      </c>
      <c r="F315" s="257">
        <v>431740903</v>
      </c>
      <c r="G315" s="257">
        <v>107935225.8</v>
      </c>
      <c r="H315" s="257">
        <v>0</v>
      </c>
      <c r="I315" s="257">
        <v>78307712.209999993</v>
      </c>
      <c r="J315" s="257">
        <v>0</v>
      </c>
      <c r="K315" s="257">
        <v>0</v>
      </c>
      <c r="L315" s="257">
        <v>0</v>
      </c>
      <c r="M315" s="257">
        <v>353433190.79000002</v>
      </c>
      <c r="N315" s="257">
        <v>29627513.59</v>
      </c>
    </row>
    <row r="316" spans="1:14" s="143" customFormat="1" x14ac:dyDescent="0.25">
      <c r="A316" s="143" t="s">
        <v>334</v>
      </c>
      <c r="B316" s="143" t="s">
        <v>108</v>
      </c>
      <c r="C316" s="143" t="s">
        <v>109</v>
      </c>
      <c r="D316" s="143" t="s">
        <v>69</v>
      </c>
      <c r="E316" s="257">
        <v>719138329</v>
      </c>
      <c r="F316" s="257">
        <v>719138329</v>
      </c>
      <c r="G316" s="257">
        <v>179784582.30000001</v>
      </c>
      <c r="H316" s="257">
        <v>0</v>
      </c>
      <c r="I316" s="257">
        <v>54431120.450000003</v>
      </c>
      <c r="J316" s="257">
        <v>0</v>
      </c>
      <c r="K316" s="257">
        <v>36748631.490000002</v>
      </c>
      <c r="L316" s="257">
        <v>0</v>
      </c>
      <c r="M316" s="257">
        <v>627958577.05999994</v>
      </c>
      <c r="N316" s="257">
        <v>88604830.359999999</v>
      </c>
    </row>
    <row r="317" spans="1:14" s="143" customFormat="1" x14ac:dyDescent="0.25">
      <c r="A317" s="143" t="s">
        <v>334</v>
      </c>
      <c r="B317" s="143" t="s">
        <v>304</v>
      </c>
      <c r="C317" s="143" t="s">
        <v>305</v>
      </c>
      <c r="D317" s="143" t="s">
        <v>69</v>
      </c>
      <c r="E317" s="257">
        <v>23472000</v>
      </c>
      <c r="F317" s="257">
        <v>23472000</v>
      </c>
      <c r="G317" s="257">
        <v>5868000</v>
      </c>
      <c r="H317" s="257">
        <v>0</v>
      </c>
      <c r="I317" s="257">
        <v>5461057.1699999999</v>
      </c>
      <c r="J317" s="257">
        <v>0</v>
      </c>
      <c r="K317" s="257">
        <v>0</v>
      </c>
      <c r="L317" s="257">
        <v>0</v>
      </c>
      <c r="M317" s="257">
        <v>18010942.829999998</v>
      </c>
      <c r="N317" s="257">
        <v>406942.83</v>
      </c>
    </row>
    <row r="318" spans="1:14" s="143" customFormat="1" x14ac:dyDescent="0.25">
      <c r="A318" s="143" t="s">
        <v>334</v>
      </c>
      <c r="B318" s="143" t="s">
        <v>110</v>
      </c>
      <c r="C318" s="143" t="s">
        <v>111</v>
      </c>
      <c r="D318" s="143" t="s">
        <v>69</v>
      </c>
      <c r="E318" s="257">
        <v>2007117327</v>
      </c>
      <c r="F318" s="257">
        <v>2007117327</v>
      </c>
      <c r="G318" s="257">
        <v>501779331.80000001</v>
      </c>
      <c r="H318" s="257">
        <v>0</v>
      </c>
      <c r="I318" s="257">
        <v>325238723.80000001</v>
      </c>
      <c r="J318" s="257">
        <v>0</v>
      </c>
      <c r="K318" s="257">
        <v>0</v>
      </c>
      <c r="L318" s="257">
        <v>0</v>
      </c>
      <c r="M318" s="257">
        <v>1681878603.2</v>
      </c>
      <c r="N318" s="257">
        <v>176540608</v>
      </c>
    </row>
    <row r="319" spans="1:14" s="143" customFormat="1" x14ac:dyDescent="0.25">
      <c r="A319" s="143" t="s">
        <v>334</v>
      </c>
      <c r="B319" s="143" t="s">
        <v>112</v>
      </c>
      <c r="C319" s="143" t="s">
        <v>113</v>
      </c>
      <c r="D319" s="143" t="s">
        <v>69</v>
      </c>
      <c r="E319" s="257">
        <v>4328674526</v>
      </c>
      <c r="F319" s="257">
        <v>4328674526</v>
      </c>
      <c r="G319" s="257">
        <v>1082168631.5</v>
      </c>
      <c r="H319" s="257">
        <v>0</v>
      </c>
      <c r="I319" s="257">
        <v>747465609.96000004</v>
      </c>
      <c r="J319" s="257">
        <v>0</v>
      </c>
      <c r="K319" s="257">
        <v>300100967.25</v>
      </c>
      <c r="L319" s="257">
        <v>0</v>
      </c>
      <c r="M319" s="257">
        <v>3281107948.79</v>
      </c>
      <c r="N319" s="257">
        <v>34602054.289999999</v>
      </c>
    </row>
    <row r="320" spans="1:14" s="143" customFormat="1" x14ac:dyDescent="0.25">
      <c r="A320" s="143" t="s">
        <v>334</v>
      </c>
      <c r="B320" s="143" t="s">
        <v>114</v>
      </c>
      <c r="C320" s="143" t="s">
        <v>115</v>
      </c>
      <c r="D320" s="143" t="s">
        <v>69</v>
      </c>
      <c r="E320" s="257">
        <v>2503011786</v>
      </c>
      <c r="F320" s="257">
        <v>2503011786</v>
      </c>
      <c r="G320" s="257">
        <v>625752946.5</v>
      </c>
      <c r="H320" s="257">
        <v>0</v>
      </c>
      <c r="I320" s="257">
        <v>413040019.5</v>
      </c>
      <c r="J320" s="257">
        <v>0</v>
      </c>
      <c r="K320" s="257">
        <v>212712927</v>
      </c>
      <c r="L320" s="257">
        <v>0</v>
      </c>
      <c r="M320" s="257">
        <v>1877258839.5</v>
      </c>
      <c r="N320" s="257">
        <v>0</v>
      </c>
    </row>
    <row r="321" spans="1:14" s="143" customFormat="1" x14ac:dyDescent="0.25">
      <c r="A321" s="143" t="s">
        <v>334</v>
      </c>
      <c r="B321" s="143" t="s">
        <v>116</v>
      </c>
      <c r="C321" s="143" t="s">
        <v>117</v>
      </c>
      <c r="D321" s="143" t="s">
        <v>69</v>
      </c>
      <c r="E321" s="257">
        <v>973642474</v>
      </c>
      <c r="F321" s="257">
        <v>973642474</v>
      </c>
      <c r="G321" s="257">
        <v>243410618.5</v>
      </c>
      <c r="H321" s="257">
        <v>0</v>
      </c>
      <c r="I321" s="257">
        <v>160150208.5</v>
      </c>
      <c r="J321" s="257">
        <v>0</v>
      </c>
      <c r="K321" s="257">
        <v>43260410</v>
      </c>
      <c r="L321" s="257">
        <v>0</v>
      </c>
      <c r="M321" s="257">
        <v>770231855.5</v>
      </c>
      <c r="N321" s="257">
        <v>40000000</v>
      </c>
    </row>
    <row r="322" spans="1:14" s="143" customFormat="1" x14ac:dyDescent="0.25">
      <c r="A322" s="143" t="s">
        <v>334</v>
      </c>
      <c r="B322" s="143" t="s">
        <v>118</v>
      </c>
      <c r="C322" s="143" t="s">
        <v>119</v>
      </c>
      <c r="D322" s="143" t="s">
        <v>69</v>
      </c>
      <c r="E322" s="257">
        <v>3942858</v>
      </c>
      <c r="F322" s="257">
        <v>3942858</v>
      </c>
      <c r="G322" s="257">
        <v>985714.5</v>
      </c>
      <c r="H322" s="257">
        <v>0</v>
      </c>
      <c r="I322" s="257">
        <v>438895</v>
      </c>
      <c r="J322" s="257">
        <v>0</v>
      </c>
      <c r="K322" s="257">
        <v>168380</v>
      </c>
      <c r="L322" s="257">
        <v>0</v>
      </c>
      <c r="M322" s="257">
        <v>3335583</v>
      </c>
      <c r="N322" s="257">
        <v>378439.5</v>
      </c>
    </row>
    <row r="323" spans="1:14" s="143" customFormat="1" x14ac:dyDescent="0.25">
      <c r="A323" s="143" t="s">
        <v>334</v>
      </c>
      <c r="B323" s="143" t="s">
        <v>120</v>
      </c>
      <c r="C323" s="143" t="s">
        <v>121</v>
      </c>
      <c r="D323" s="143" t="s">
        <v>69</v>
      </c>
      <c r="E323" s="257">
        <v>753229000</v>
      </c>
      <c r="F323" s="257">
        <v>753229000</v>
      </c>
      <c r="G323" s="257">
        <v>188307250</v>
      </c>
      <c r="H323" s="257">
        <v>0</v>
      </c>
      <c r="I323" s="257">
        <v>96477059.950000003</v>
      </c>
      <c r="J323" s="257">
        <v>0</v>
      </c>
      <c r="K323" s="257">
        <v>43959250.25</v>
      </c>
      <c r="L323" s="257">
        <v>0</v>
      </c>
      <c r="M323" s="257">
        <v>612792689.79999995</v>
      </c>
      <c r="N323" s="257">
        <v>47870939.799999997</v>
      </c>
    </row>
    <row r="324" spans="1:14" s="143" customFormat="1" x14ac:dyDescent="0.25">
      <c r="A324" s="143" t="s">
        <v>334</v>
      </c>
      <c r="B324" s="143" t="s">
        <v>122</v>
      </c>
      <c r="C324" s="143" t="s">
        <v>123</v>
      </c>
      <c r="D324" s="143" t="s">
        <v>69</v>
      </c>
      <c r="E324" s="257">
        <v>94848408</v>
      </c>
      <c r="F324" s="257">
        <v>94848408</v>
      </c>
      <c r="G324" s="257">
        <v>23712102</v>
      </c>
      <c r="H324" s="257">
        <v>0</v>
      </c>
      <c r="I324" s="257">
        <v>77359427.010000005</v>
      </c>
      <c r="J324" s="257">
        <v>0</v>
      </c>
      <c r="K324" s="257">
        <v>0</v>
      </c>
      <c r="L324" s="257">
        <v>0</v>
      </c>
      <c r="M324" s="257">
        <v>17488980.989999998</v>
      </c>
      <c r="N324" s="257">
        <v>-53647325.009999998</v>
      </c>
    </row>
    <row r="325" spans="1:14" s="143" customFormat="1" x14ac:dyDescent="0.25">
      <c r="A325" s="143" t="s">
        <v>334</v>
      </c>
      <c r="B325" s="143" t="s">
        <v>124</v>
      </c>
      <c r="C325" s="143" t="s">
        <v>125</v>
      </c>
      <c r="D325" s="143" t="s">
        <v>69</v>
      </c>
      <c r="E325" s="257">
        <v>4451091</v>
      </c>
      <c r="F325" s="257">
        <v>4451091</v>
      </c>
      <c r="G325" s="257">
        <v>2486090.75</v>
      </c>
      <c r="H325" s="257">
        <v>0</v>
      </c>
      <c r="I325" s="257">
        <v>2525180</v>
      </c>
      <c r="J325" s="257">
        <v>0</v>
      </c>
      <c r="K325" s="257">
        <v>0</v>
      </c>
      <c r="L325" s="257">
        <v>0</v>
      </c>
      <c r="M325" s="257">
        <v>1925911</v>
      </c>
      <c r="N325" s="257">
        <v>-39089.25</v>
      </c>
    </row>
    <row r="326" spans="1:14" s="143" customFormat="1" x14ac:dyDescent="0.25">
      <c r="A326" s="143" t="s">
        <v>334</v>
      </c>
      <c r="B326" s="143" t="s">
        <v>126</v>
      </c>
      <c r="C326" s="143" t="s">
        <v>127</v>
      </c>
      <c r="D326" s="143" t="s">
        <v>69</v>
      </c>
      <c r="E326" s="257">
        <v>1831091</v>
      </c>
      <c r="F326" s="257">
        <v>1831091</v>
      </c>
      <c r="G326" s="257">
        <v>1831090.75</v>
      </c>
      <c r="H326" s="257">
        <v>0</v>
      </c>
      <c r="I326" s="257">
        <v>1482540</v>
      </c>
      <c r="J326" s="257">
        <v>0</v>
      </c>
      <c r="K326" s="257">
        <v>0</v>
      </c>
      <c r="L326" s="257">
        <v>0</v>
      </c>
      <c r="M326" s="257">
        <v>348551</v>
      </c>
      <c r="N326" s="257">
        <v>348550.75</v>
      </c>
    </row>
    <row r="327" spans="1:14" s="143" customFormat="1" x14ac:dyDescent="0.25">
      <c r="A327" s="143" t="s">
        <v>334</v>
      </c>
      <c r="B327" s="143" t="s">
        <v>128</v>
      </c>
      <c r="C327" s="143" t="s">
        <v>129</v>
      </c>
      <c r="D327" s="143" t="s">
        <v>69</v>
      </c>
      <c r="E327" s="257">
        <v>2620000</v>
      </c>
      <c r="F327" s="257">
        <v>2620000</v>
      </c>
      <c r="G327" s="257">
        <v>655000</v>
      </c>
      <c r="H327" s="257">
        <v>0</v>
      </c>
      <c r="I327" s="257">
        <v>1042640</v>
      </c>
      <c r="J327" s="257">
        <v>0</v>
      </c>
      <c r="K327" s="257">
        <v>0</v>
      </c>
      <c r="L327" s="257">
        <v>0</v>
      </c>
      <c r="M327" s="257">
        <v>1577360</v>
      </c>
      <c r="N327" s="275">
        <v>-387640</v>
      </c>
    </row>
    <row r="328" spans="1:14" s="143" customFormat="1" x14ac:dyDescent="0.25">
      <c r="A328" s="143" t="s">
        <v>334</v>
      </c>
      <c r="B328" s="143" t="s">
        <v>134</v>
      </c>
      <c r="C328" s="143" t="s">
        <v>135</v>
      </c>
      <c r="D328" s="143" t="s">
        <v>69</v>
      </c>
      <c r="E328" s="257">
        <v>310063679</v>
      </c>
      <c r="F328" s="257">
        <v>310063679</v>
      </c>
      <c r="G328" s="257">
        <v>81252293.75</v>
      </c>
      <c r="H328" s="257">
        <v>0</v>
      </c>
      <c r="I328" s="257">
        <v>42320032.82</v>
      </c>
      <c r="J328" s="257">
        <v>0</v>
      </c>
      <c r="K328" s="257">
        <v>5758847.96</v>
      </c>
      <c r="L328" s="257">
        <v>0</v>
      </c>
      <c r="M328" s="257">
        <v>261984798.22</v>
      </c>
      <c r="N328" s="257">
        <v>33173412.969999999</v>
      </c>
    </row>
    <row r="329" spans="1:14" s="143" customFormat="1" x14ac:dyDescent="0.25">
      <c r="A329" s="143" t="s">
        <v>334</v>
      </c>
      <c r="B329" s="143" t="s">
        <v>346</v>
      </c>
      <c r="C329" s="143" t="s">
        <v>347</v>
      </c>
      <c r="D329" s="143" t="s">
        <v>69</v>
      </c>
      <c r="E329" s="257">
        <v>21381819</v>
      </c>
      <c r="F329" s="257">
        <v>21381819</v>
      </c>
      <c r="G329" s="257">
        <v>5345454.75</v>
      </c>
      <c r="H329" s="257">
        <v>0</v>
      </c>
      <c r="I329" s="257">
        <v>190000</v>
      </c>
      <c r="J329" s="257">
        <v>0</v>
      </c>
      <c r="K329" s="257">
        <v>0</v>
      </c>
      <c r="L329" s="257">
        <v>0</v>
      </c>
      <c r="M329" s="257">
        <v>21191819</v>
      </c>
      <c r="N329" s="257">
        <v>5155454.75</v>
      </c>
    </row>
    <row r="330" spans="1:14" s="143" customFormat="1" x14ac:dyDescent="0.25">
      <c r="A330" s="143" t="s">
        <v>334</v>
      </c>
      <c r="B330" s="143" t="s">
        <v>308</v>
      </c>
      <c r="C330" s="143" t="s">
        <v>309</v>
      </c>
      <c r="D330" s="143" t="s">
        <v>69</v>
      </c>
      <c r="E330" s="257">
        <v>106119000</v>
      </c>
      <c r="F330" s="257">
        <v>106119000</v>
      </c>
      <c r="G330" s="257">
        <v>26529750</v>
      </c>
      <c r="H330" s="257">
        <v>0</v>
      </c>
      <c r="I330" s="257">
        <v>24917663.219999999</v>
      </c>
      <c r="J330" s="257">
        <v>0</v>
      </c>
      <c r="K330" s="257">
        <v>0</v>
      </c>
      <c r="L330" s="257">
        <v>0</v>
      </c>
      <c r="M330" s="257">
        <v>81201336.780000001</v>
      </c>
      <c r="N330" s="257">
        <v>1612086.78</v>
      </c>
    </row>
    <row r="331" spans="1:14" s="143" customFormat="1" x14ac:dyDescent="0.25">
      <c r="A331" s="143" t="s">
        <v>334</v>
      </c>
      <c r="B331" s="143" t="s">
        <v>136</v>
      </c>
      <c r="C331" s="143" t="s">
        <v>137</v>
      </c>
      <c r="D331" s="143" t="s">
        <v>69</v>
      </c>
      <c r="E331" s="257">
        <v>126000000</v>
      </c>
      <c r="F331" s="257">
        <v>126000000</v>
      </c>
      <c r="G331" s="257">
        <v>31500000</v>
      </c>
      <c r="H331" s="257">
        <v>0</v>
      </c>
      <c r="I331" s="257">
        <v>6996179.8499999996</v>
      </c>
      <c r="J331" s="257">
        <v>0</v>
      </c>
      <c r="K331" s="257">
        <v>5758847.96</v>
      </c>
      <c r="L331" s="257">
        <v>0</v>
      </c>
      <c r="M331" s="257">
        <v>113244972.19</v>
      </c>
      <c r="N331" s="257">
        <v>18744972.190000001</v>
      </c>
    </row>
    <row r="332" spans="1:14" s="143" customFormat="1" x14ac:dyDescent="0.25">
      <c r="A332" s="143" t="s">
        <v>334</v>
      </c>
      <c r="B332" s="143" t="s">
        <v>138</v>
      </c>
      <c r="C332" s="143" t="s">
        <v>139</v>
      </c>
      <c r="D332" s="143" t="s">
        <v>69</v>
      </c>
      <c r="E332" s="257">
        <v>56562860</v>
      </c>
      <c r="F332" s="257">
        <v>56562860</v>
      </c>
      <c r="G332" s="257">
        <v>17877089</v>
      </c>
      <c r="H332" s="257">
        <v>0</v>
      </c>
      <c r="I332" s="257">
        <v>10216189.75</v>
      </c>
      <c r="J332" s="257">
        <v>0</v>
      </c>
      <c r="K332" s="257">
        <v>0</v>
      </c>
      <c r="L332" s="257">
        <v>0</v>
      </c>
      <c r="M332" s="257">
        <v>46346670.25</v>
      </c>
      <c r="N332" s="257">
        <v>7660899.25</v>
      </c>
    </row>
    <row r="333" spans="1:14" s="143" customFormat="1" x14ac:dyDescent="0.25">
      <c r="A333" s="143" t="s">
        <v>334</v>
      </c>
      <c r="B333" s="143" t="s">
        <v>140</v>
      </c>
      <c r="C333" s="143" t="s">
        <v>141</v>
      </c>
      <c r="D333" s="143" t="s">
        <v>69</v>
      </c>
      <c r="E333" s="257">
        <v>128523280</v>
      </c>
      <c r="F333" s="257">
        <v>128523280</v>
      </c>
      <c r="G333" s="257">
        <v>65563280</v>
      </c>
      <c r="H333" s="257">
        <v>0</v>
      </c>
      <c r="I333" s="257">
        <v>63299840</v>
      </c>
      <c r="J333" s="257">
        <v>0</v>
      </c>
      <c r="K333" s="257">
        <v>1128400</v>
      </c>
      <c r="L333" s="257">
        <v>719400</v>
      </c>
      <c r="M333" s="257">
        <v>64095040</v>
      </c>
      <c r="N333" s="257">
        <v>1135040</v>
      </c>
    </row>
    <row r="334" spans="1:14" s="143" customFormat="1" x14ac:dyDescent="0.25">
      <c r="A334" s="143" t="s">
        <v>334</v>
      </c>
      <c r="B334" s="143" t="s">
        <v>142</v>
      </c>
      <c r="C334" s="143" t="s">
        <v>143</v>
      </c>
      <c r="D334" s="143" t="s">
        <v>69</v>
      </c>
      <c r="E334" s="257">
        <v>4829000</v>
      </c>
      <c r="F334" s="257">
        <v>4829000</v>
      </c>
      <c r="G334" s="257">
        <v>3014210</v>
      </c>
      <c r="H334" s="257">
        <v>0</v>
      </c>
      <c r="I334" s="257">
        <v>3002410</v>
      </c>
      <c r="J334" s="257">
        <v>0</v>
      </c>
      <c r="K334" s="257">
        <v>11800</v>
      </c>
      <c r="L334" s="257">
        <v>0</v>
      </c>
      <c r="M334" s="257">
        <v>1814790</v>
      </c>
      <c r="N334" s="257">
        <v>0</v>
      </c>
    </row>
    <row r="335" spans="1:14" s="143" customFormat="1" x14ac:dyDescent="0.25">
      <c r="A335" s="143" t="s">
        <v>334</v>
      </c>
      <c r="B335" s="143" t="s">
        <v>144</v>
      </c>
      <c r="C335" s="143" t="s">
        <v>145</v>
      </c>
      <c r="D335" s="143" t="s">
        <v>69</v>
      </c>
      <c r="E335" s="257">
        <v>119154137</v>
      </c>
      <c r="F335" s="257">
        <v>119154137</v>
      </c>
      <c r="G335" s="257">
        <v>61414034.25</v>
      </c>
      <c r="H335" s="257">
        <v>0</v>
      </c>
      <c r="I335" s="257">
        <v>60297430</v>
      </c>
      <c r="J335" s="257">
        <v>0</v>
      </c>
      <c r="K335" s="257">
        <v>1116600</v>
      </c>
      <c r="L335" s="257">
        <v>719400</v>
      </c>
      <c r="M335" s="257">
        <v>57740107</v>
      </c>
      <c r="N335" s="257">
        <v>4.25</v>
      </c>
    </row>
    <row r="336" spans="1:14" s="143" customFormat="1" x14ac:dyDescent="0.25">
      <c r="A336" s="143" t="s">
        <v>334</v>
      </c>
      <c r="B336" s="143" t="s">
        <v>146</v>
      </c>
      <c r="C336" s="143" t="s">
        <v>147</v>
      </c>
      <c r="D336" s="143" t="s">
        <v>69</v>
      </c>
      <c r="E336" s="257">
        <v>2851000</v>
      </c>
      <c r="F336" s="257">
        <v>2851000</v>
      </c>
      <c r="G336" s="257">
        <v>712750</v>
      </c>
      <c r="H336" s="257">
        <v>0</v>
      </c>
      <c r="I336" s="257">
        <v>0</v>
      </c>
      <c r="J336" s="257">
        <v>0</v>
      </c>
      <c r="K336" s="257">
        <v>0</v>
      </c>
      <c r="L336" s="257">
        <v>0</v>
      </c>
      <c r="M336" s="257">
        <v>2851000</v>
      </c>
      <c r="N336" s="257">
        <v>712750</v>
      </c>
    </row>
    <row r="337" spans="1:14" s="143" customFormat="1" x14ac:dyDescent="0.25">
      <c r="A337" s="143" t="s">
        <v>334</v>
      </c>
      <c r="B337" s="143" t="s">
        <v>148</v>
      </c>
      <c r="C337" s="143" t="s">
        <v>149</v>
      </c>
      <c r="D337" s="143" t="s">
        <v>69</v>
      </c>
      <c r="E337" s="257">
        <v>1689143</v>
      </c>
      <c r="F337" s="257">
        <v>1689143</v>
      </c>
      <c r="G337" s="257">
        <v>422285.75</v>
      </c>
      <c r="H337" s="257">
        <v>0</v>
      </c>
      <c r="I337" s="257">
        <v>0</v>
      </c>
      <c r="J337" s="257">
        <v>0</v>
      </c>
      <c r="K337" s="257">
        <v>0</v>
      </c>
      <c r="L337" s="257">
        <v>0</v>
      </c>
      <c r="M337" s="257">
        <v>1689143</v>
      </c>
      <c r="N337" s="257">
        <v>422285.75</v>
      </c>
    </row>
    <row r="338" spans="1:14" s="143" customFormat="1" x14ac:dyDescent="0.25">
      <c r="A338" s="143" t="s">
        <v>334</v>
      </c>
      <c r="B338" s="143" t="s">
        <v>150</v>
      </c>
      <c r="C338" s="143" t="s">
        <v>151</v>
      </c>
      <c r="D338" s="143" t="s">
        <v>69</v>
      </c>
      <c r="E338" s="257">
        <v>1290997262</v>
      </c>
      <c r="F338" s="257">
        <v>1290997262</v>
      </c>
      <c r="G338" s="257">
        <v>152220425.78999999</v>
      </c>
      <c r="H338" s="257">
        <v>0</v>
      </c>
      <c r="I338" s="257">
        <v>148734876</v>
      </c>
      <c r="J338" s="257">
        <v>0</v>
      </c>
      <c r="K338" s="257">
        <v>0</v>
      </c>
      <c r="L338" s="257">
        <v>0</v>
      </c>
      <c r="M338" s="257">
        <v>1142262386</v>
      </c>
      <c r="N338" s="257">
        <v>3485549.79</v>
      </c>
    </row>
    <row r="339" spans="1:14" s="143" customFormat="1" x14ac:dyDescent="0.25">
      <c r="A339" s="143" t="s">
        <v>334</v>
      </c>
      <c r="B339" s="143" t="s">
        <v>152</v>
      </c>
      <c r="C339" s="143" t="s">
        <v>153</v>
      </c>
      <c r="D339" s="143" t="s">
        <v>69</v>
      </c>
      <c r="E339" s="257">
        <v>1290997262</v>
      </c>
      <c r="F339" s="257">
        <v>1290997262</v>
      </c>
      <c r="G339" s="257">
        <v>152220425.78999999</v>
      </c>
      <c r="H339" s="257">
        <v>0</v>
      </c>
      <c r="I339" s="257">
        <v>148734876</v>
      </c>
      <c r="J339" s="257">
        <v>0</v>
      </c>
      <c r="K339" s="257">
        <v>0</v>
      </c>
      <c r="L339" s="257">
        <v>0</v>
      </c>
      <c r="M339" s="257">
        <v>1142262386</v>
      </c>
      <c r="N339" s="257">
        <v>3485549.79</v>
      </c>
    </row>
    <row r="340" spans="1:14" s="143" customFormat="1" x14ac:dyDescent="0.25">
      <c r="A340" s="143" t="s">
        <v>334</v>
      </c>
      <c r="B340" s="143" t="s">
        <v>154</v>
      </c>
      <c r="C340" s="143" t="s">
        <v>155</v>
      </c>
      <c r="D340" s="143" t="s">
        <v>69</v>
      </c>
      <c r="E340" s="257">
        <v>1413715</v>
      </c>
      <c r="F340" s="257">
        <v>1413715</v>
      </c>
      <c r="G340" s="257">
        <v>353428.75</v>
      </c>
      <c r="H340" s="257">
        <v>0</v>
      </c>
      <c r="I340" s="257">
        <v>0</v>
      </c>
      <c r="J340" s="257">
        <v>0</v>
      </c>
      <c r="K340" s="257">
        <v>0</v>
      </c>
      <c r="L340" s="257">
        <v>0</v>
      </c>
      <c r="M340" s="257">
        <v>1413715</v>
      </c>
      <c r="N340" s="257">
        <v>353428.75</v>
      </c>
    </row>
    <row r="341" spans="1:14" s="143" customFormat="1" x14ac:dyDescent="0.25">
      <c r="A341" s="143" t="s">
        <v>334</v>
      </c>
      <c r="B341" s="143" t="s">
        <v>156</v>
      </c>
      <c r="C341" s="143" t="s">
        <v>157</v>
      </c>
      <c r="D341" s="143" t="s">
        <v>69</v>
      </c>
      <c r="E341" s="257">
        <v>1413715</v>
      </c>
      <c r="F341" s="257">
        <v>1413715</v>
      </c>
      <c r="G341" s="257">
        <v>353428.75</v>
      </c>
      <c r="H341" s="257">
        <v>0</v>
      </c>
      <c r="I341" s="257">
        <v>0</v>
      </c>
      <c r="J341" s="257">
        <v>0</v>
      </c>
      <c r="K341" s="257">
        <v>0</v>
      </c>
      <c r="L341" s="257">
        <v>0</v>
      </c>
      <c r="M341" s="257">
        <v>1413715</v>
      </c>
      <c r="N341" s="257">
        <v>353428.75</v>
      </c>
    </row>
    <row r="342" spans="1:14" s="143" customFormat="1" x14ac:dyDescent="0.25">
      <c r="A342" s="143" t="s">
        <v>334</v>
      </c>
      <c r="B342" s="143" t="s">
        <v>162</v>
      </c>
      <c r="C342" s="143" t="s">
        <v>163</v>
      </c>
      <c r="D342" s="143" t="s">
        <v>69</v>
      </c>
      <c r="E342" s="257">
        <v>594069615</v>
      </c>
      <c r="F342" s="257">
        <v>594069615</v>
      </c>
      <c r="G342" s="257">
        <v>259933009.75</v>
      </c>
      <c r="H342" s="257">
        <v>0</v>
      </c>
      <c r="I342" s="257">
        <v>227870691.46000001</v>
      </c>
      <c r="J342" s="257">
        <v>3109432.44</v>
      </c>
      <c r="K342" s="257">
        <v>46595</v>
      </c>
      <c r="L342" s="257">
        <v>0</v>
      </c>
      <c r="M342" s="257">
        <v>363042896.10000002</v>
      </c>
      <c r="N342" s="257">
        <v>28906290.850000001</v>
      </c>
    </row>
    <row r="343" spans="1:14" s="143" customFormat="1" x14ac:dyDescent="0.25">
      <c r="A343" s="143" t="s">
        <v>334</v>
      </c>
      <c r="B343" s="143" t="s">
        <v>310</v>
      </c>
      <c r="C343" s="143" t="s">
        <v>311</v>
      </c>
      <c r="D343" s="143" t="s">
        <v>69</v>
      </c>
      <c r="E343" s="257">
        <v>125656000</v>
      </c>
      <c r="F343" s="257">
        <v>125656000</v>
      </c>
      <c r="G343" s="257">
        <v>31414000</v>
      </c>
      <c r="H343" s="257">
        <v>0</v>
      </c>
      <c r="I343" s="257">
        <v>23008.85</v>
      </c>
      <c r="J343" s="257">
        <v>0</v>
      </c>
      <c r="K343" s="257">
        <v>0</v>
      </c>
      <c r="L343" s="257">
        <v>0</v>
      </c>
      <c r="M343" s="257">
        <v>125632991.15000001</v>
      </c>
      <c r="N343" s="257">
        <v>31390991.149999999</v>
      </c>
    </row>
    <row r="344" spans="1:14" s="143" customFormat="1" x14ac:dyDescent="0.25">
      <c r="A344" s="143" t="s">
        <v>334</v>
      </c>
      <c r="B344" s="143" t="s">
        <v>164</v>
      </c>
      <c r="C344" s="143" t="s">
        <v>165</v>
      </c>
      <c r="D344" s="143" t="s">
        <v>69</v>
      </c>
      <c r="E344" s="257">
        <v>188229817</v>
      </c>
      <c r="F344" s="257">
        <v>188229817</v>
      </c>
      <c r="G344" s="257">
        <v>47057454.25</v>
      </c>
      <c r="H344" s="257">
        <v>0</v>
      </c>
      <c r="I344" s="257">
        <v>135135532.81</v>
      </c>
      <c r="J344" s="257">
        <v>0</v>
      </c>
      <c r="K344" s="257">
        <v>0</v>
      </c>
      <c r="L344" s="257">
        <v>0</v>
      </c>
      <c r="M344" s="257">
        <v>53094284.189999998</v>
      </c>
      <c r="N344" s="257">
        <v>-88078078.560000002</v>
      </c>
    </row>
    <row r="345" spans="1:14" s="143" customFormat="1" x14ac:dyDescent="0.25">
      <c r="A345" s="143" t="s">
        <v>334</v>
      </c>
      <c r="B345" s="143" t="s">
        <v>166</v>
      </c>
      <c r="C345" s="143" t="s">
        <v>167</v>
      </c>
      <c r="D345" s="143" t="s">
        <v>69</v>
      </c>
      <c r="E345" s="257">
        <v>95028648</v>
      </c>
      <c r="F345" s="257">
        <v>95028648</v>
      </c>
      <c r="G345" s="257">
        <v>95028648</v>
      </c>
      <c r="H345" s="257">
        <v>0</v>
      </c>
      <c r="I345" s="257">
        <v>39734796.530000001</v>
      </c>
      <c r="J345" s="257">
        <v>3109432.44</v>
      </c>
      <c r="K345" s="257">
        <v>46595</v>
      </c>
      <c r="L345" s="257">
        <v>0</v>
      </c>
      <c r="M345" s="257">
        <v>52137824.030000001</v>
      </c>
      <c r="N345" s="257">
        <v>52137824.030000001</v>
      </c>
    </row>
    <row r="346" spans="1:14" s="143" customFormat="1" x14ac:dyDescent="0.25">
      <c r="A346" s="143" t="s">
        <v>334</v>
      </c>
      <c r="B346" s="143" t="s">
        <v>312</v>
      </c>
      <c r="C346" s="143" t="s">
        <v>313</v>
      </c>
      <c r="D346" s="143" t="s">
        <v>69</v>
      </c>
      <c r="E346" s="257">
        <v>6300000</v>
      </c>
      <c r="F346" s="257">
        <v>6300000</v>
      </c>
      <c r="G346" s="257">
        <v>1575000</v>
      </c>
      <c r="H346" s="257">
        <v>0</v>
      </c>
      <c r="I346" s="257">
        <v>0</v>
      </c>
      <c r="J346" s="257">
        <v>0</v>
      </c>
      <c r="K346" s="257">
        <v>0</v>
      </c>
      <c r="L346" s="257">
        <v>0</v>
      </c>
      <c r="M346" s="257">
        <v>6300000</v>
      </c>
      <c r="N346" s="257">
        <v>1575000</v>
      </c>
    </row>
    <row r="347" spans="1:14" s="143" customFormat="1" x14ac:dyDescent="0.25">
      <c r="A347" s="143" t="s">
        <v>334</v>
      </c>
      <c r="B347" s="143" t="s">
        <v>168</v>
      </c>
      <c r="C347" s="143" t="s">
        <v>169</v>
      </c>
      <c r="D347" s="143" t="s">
        <v>69</v>
      </c>
      <c r="E347" s="257">
        <v>11141667</v>
      </c>
      <c r="F347" s="257">
        <v>11141667</v>
      </c>
      <c r="G347" s="257">
        <v>11141666.75</v>
      </c>
      <c r="H347" s="257">
        <v>0</v>
      </c>
      <c r="I347" s="257">
        <v>9423000</v>
      </c>
      <c r="J347" s="257">
        <v>0</v>
      </c>
      <c r="K347" s="257">
        <v>0</v>
      </c>
      <c r="L347" s="257">
        <v>0</v>
      </c>
      <c r="M347" s="257">
        <v>1718667</v>
      </c>
      <c r="N347" s="257">
        <v>1718666.75</v>
      </c>
    </row>
    <row r="348" spans="1:14" s="143" customFormat="1" x14ac:dyDescent="0.25">
      <c r="A348" s="143" t="s">
        <v>334</v>
      </c>
      <c r="B348" s="143" t="s">
        <v>170</v>
      </c>
      <c r="C348" s="143" t="s">
        <v>171</v>
      </c>
      <c r="D348" s="143" t="s">
        <v>69</v>
      </c>
      <c r="E348" s="257">
        <v>40562000</v>
      </c>
      <c r="F348" s="257">
        <v>40562000</v>
      </c>
      <c r="G348" s="257">
        <v>10140500</v>
      </c>
      <c r="H348" s="257">
        <v>0</v>
      </c>
      <c r="I348" s="257">
        <v>11286474.789999999</v>
      </c>
      <c r="J348" s="257">
        <v>0</v>
      </c>
      <c r="K348" s="257">
        <v>0</v>
      </c>
      <c r="L348" s="257">
        <v>0</v>
      </c>
      <c r="M348" s="257">
        <v>29275525.210000001</v>
      </c>
      <c r="N348" s="257">
        <v>-1145974.79</v>
      </c>
    </row>
    <row r="349" spans="1:14" s="143" customFormat="1" x14ac:dyDescent="0.25">
      <c r="A349" s="143" t="s">
        <v>334</v>
      </c>
      <c r="B349" s="143" t="s">
        <v>172</v>
      </c>
      <c r="C349" s="143" t="s">
        <v>173</v>
      </c>
      <c r="D349" s="143" t="s">
        <v>69</v>
      </c>
      <c r="E349" s="257">
        <v>127151483</v>
      </c>
      <c r="F349" s="257">
        <v>127151483</v>
      </c>
      <c r="G349" s="257">
        <v>63575740.75</v>
      </c>
      <c r="H349" s="257">
        <v>0</v>
      </c>
      <c r="I349" s="257">
        <v>32267878.48</v>
      </c>
      <c r="J349" s="257">
        <v>0</v>
      </c>
      <c r="K349" s="257">
        <v>0</v>
      </c>
      <c r="L349" s="257">
        <v>0</v>
      </c>
      <c r="M349" s="257">
        <v>94883604.519999996</v>
      </c>
      <c r="N349" s="257">
        <v>31307862.27</v>
      </c>
    </row>
    <row r="350" spans="1:14" s="143" customFormat="1" x14ac:dyDescent="0.25">
      <c r="A350" s="143" t="s">
        <v>334</v>
      </c>
      <c r="B350" s="143" t="s">
        <v>174</v>
      </c>
      <c r="C350" s="143" t="s">
        <v>175</v>
      </c>
      <c r="D350" s="143" t="s">
        <v>69</v>
      </c>
      <c r="E350" s="257">
        <v>11126154</v>
      </c>
      <c r="F350" s="257">
        <v>11126154</v>
      </c>
      <c r="G350" s="257">
        <v>2781538.5</v>
      </c>
      <c r="H350" s="257">
        <v>0</v>
      </c>
      <c r="I350" s="257">
        <v>1811101</v>
      </c>
      <c r="J350" s="257">
        <v>0</v>
      </c>
      <c r="K350" s="257">
        <v>0</v>
      </c>
      <c r="L350" s="257">
        <v>0</v>
      </c>
      <c r="M350" s="257">
        <v>9315053</v>
      </c>
      <c r="N350" s="257">
        <v>970437.5</v>
      </c>
    </row>
    <row r="351" spans="1:14" s="143" customFormat="1" x14ac:dyDescent="0.25">
      <c r="A351" s="143" t="s">
        <v>334</v>
      </c>
      <c r="B351" s="143" t="s">
        <v>176</v>
      </c>
      <c r="C351" s="143" t="s">
        <v>177</v>
      </c>
      <c r="D351" s="143" t="s">
        <v>69</v>
      </c>
      <c r="E351" s="257">
        <v>11126154</v>
      </c>
      <c r="F351" s="257">
        <v>11126154</v>
      </c>
      <c r="G351" s="257">
        <v>2781538.5</v>
      </c>
      <c r="H351" s="257">
        <v>0</v>
      </c>
      <c r="I351" s="257">
        <v>1811101</v>
      </c>
      <c r="J351" s="257">
        <v>0</v>
      </c>
      <c r="K351" s="257">
        <v>0</v>
      </c>
      <c r="L351" s="257">
        <v>0</v>
      </c>
      <c r="M351" s="257">
        <v>9315053</v>
      </c>
      <c r="N351" s="257">
        <v>970437.5</v>
      </c>
    </row>
    <row r="352" spans="1:14" s="143" customFormat="1" x14ac:dyDescent="0.25">
      <c r="A352" s="143" t="s">
        <v>334</v>
      </c>
      <c r="B352" s="143" t="s">
        <v>178</v>
      </c>
      <c r="C352" s="143" t="s">
        <v>179</v>
      </c>
      <c r="D352" s="143" t="s">
        <v>69</v>
      </c>
      <c r="E352" s="257">
        <v>18666301</v>
      </c>
      <c r="F352" s="257">
        <v>18666301</v>
      </c>
      <c r="G352" s="257">
        <v>6916575.25</v>
      </c>
      <c r="H352" s="257">
        <v>0</v>
      </c>
      <c r="I352" s="257">
        <v>62670364.710000001</v>
      </c>
      <c r="J352" s="257">
        <v>0</v>
      </c>
      <c r="K352" s="257">
        <v>0</v>
      </c>
      <c r="L352" s="257">
        <v>0</v>
      </c>
      <c r="M352" s="257">
        <v>-44004063.710000001</v>
      </c>
      <c r="N352" s="257">
        <v>-55753789.460000001</v>
      </c>
    </row>
    <row r="353" spans="1:14" s="143" customFormat="1" x14ac:dyDescent="0.25">
      <c r="A353" s="143" t="s">
        <v>334</v>
      </c>
      <c r="B353" s="143" t="s">
        <v>348</v>
      </c>
      <c r="C353" s="143" t="s">
        <v>349</v>
      </c>
      <c r="D353" s="143" t="s">
        <v>69</v>
      </c>
      <c r="E353" s="257">
        <v>3000000</v>
      </c>
      <c r="F353" s="257">
        <v>3000000</v>
      </c>
      <c r="G353" s="257">
        <v>3000000</v>
      </c>
      <c r="H353" s="257">
        <v>0</v>
      </c>
      <c r="I353" s="257">
        <v>466174</v>
      </c>
      <c r="J353" s="257">
        <v>0</v>
      </c>
      <c r="K353" s="257">
        <v>0</v>
      </c>
      <c r="L353" s="257">
        <v>0</v>
      </c>
      <c r="M353" s="257">
        <v>2533826</v>
      </c>
      <c r="N353" s="257">
        <v>2533826</v>
      </c>
    </row>
    <row r="354" spans="1:14" s="143" customFormat="1" x14ac:dyDescent="0.25">
      <c r="A354" s="143" t="s">
        <v>334</v>
      </c>
      <c r="B354" s="143" t="s">
        <v>180</v>
      </c>
      <c r="C354" s="143" t="s">
        <v>181</v>
      </c>
      <c r="D354" s="143" t="s">
        <v>69</v>
      </c>
      <c r="E354" s="257">
        <v>1275676</v>
      </c>
      <c r="F354" s="257">
        <v>1275676</v>
      </c>
      <c r="G354" s="257">
        <v>318919</v>
      </c>
      <c r="H354" s="257">
        <v>0</v>
      </c>
      <c r="I354" s="257">
        <v>47166460.710000001</v>
      </c>
      <c r="J354" s="257">
        <v>0</v>
      </c>
      <c r="K354" s="257">
        <v>0</v>
      </c>
      <c r="L354" s="257">
        <v>0</v>
      </c>
      <c r="M354" s="257">
        <v>-45890784.710000001</v>
      </c>
      <c r="N354" s="257">
        <v>-46847541.710000001</v>
      </c>
    </row>
    <row r="355" spans="1:14" s="143" customFormat="1" x14ac:dyDescent="0.25">
      <c r="A355" s="143" t="s">
        <v>334</v>
      </c>
      <c r="B355" s="143" t="s">
        <v>182</v>
      </c>
      <c r="C355" s="143" t="s">
        <v>183</v>
      </c>
      <c r="D355" s="143" t="s">
        <v>69</v>
      </c>
      <c r="E355" s="257">
        <v>14390625</v>
      </c>
      <c r="F355" s="257">
        <v>14390625</v>
      </c>
      <c r="G355" s="257">
        <v>3597656.25</v>
      </c>
      <c r="H355" s="257">
        <v>0</v>
      </c>
      <c r="I355" s="257">
        <v>15037730</v>
      </c>
      <c r="J355" s="257">
        <v>0</v>
      </c>
      <c r="K355" s="257">
        <v>0</v>
      </c>
      <c r="L355" s="257">
        <v>0</v>
      </c>
      <c r="M355" s="275">
        <v>-647105</v>
      </c>
      <c r="N355" s="257">
        <v>-11440073.75</v>
      </c>
    </row>
    <row r="356" spans="1:14" s="143" customFormat="1" x14ac:dyDescent="0.25">
      <c r="A356" s="143" t="s">
        <v>334</v>
      </c>
      <c r="B356" s="143" t="s">
        <v>184</v>
      </c>
      <c r="C356" s="143" t="s">
        <v>185</v>
      </c>
      <c r="D356" s="143" t="s">
        <v>69</v>
      </c>
      <c r="E356" s="257">
        <v>14015826994</v>
      </c>
      <c r="F356" s="257">
        <v>14015826994</v>
      </c>
      <c r="G356" s="257">
        <v>3536021317.5</v>
      </c>
      <c r="H356" s="257">
        <v>0</v>
      </c>
      <c r="I356" s="257">
        <v>1826549544.7</v>
      </c>
      <c r="J356" s="257">
        <v>295414248.87</v>
      </c>
      <c r="K356" s="257">
        <v>61001590.43</v>
      </c>
      <c r="L356" s="257">
        <v>25326224.100000001</v>
      </c>
      <c r="M356" s="257">
        <v>11832861610</v>
      </c>
      <c r="N356" s="257">
        <v>1353055933.5</v>
      </c>
    </row>
    <row r="357" spans="1:14" s="143" customFormat="1" x14ac:dyDescent="0.25">
      <c r="A357" s="143" t="s">
        <v>334</v>
      </c>
      <c r="B357" s="143" t="s">
        <v>186</v>
      </c>
      <c r="C357" s="143" t="s">
        <v>187</v>
      </c>
      <c r="D357" s="143" t="s">
        <v>69</v>
      </c>
      <c r="E357" s="257">
        <v>777682724</v>
      </c>
      <c r="F357" s="257">
        <v>777682724</v>
      </c>
      <c r="G357" s="257">
        <v>194420681</v>
      </c>
      <c r="H357" s="257">
        <v>0</v>
      </c>
      <c r="I357" s="257">
        <v>53337789.270000003</v>
      </c>
      <c r="J357" s="257">
        <v>0</v>
      </c>
      <c r="K357" s="257">
        <v>30442078.829999998</v>
      </c>
      <c r="L357" s="257">
        <v>25326224.100000001</v>
      </c>
      <c r="M357" s="257">
        <v>693902855.89999998</v>
      </c>
      <c r="N357" s="257">
        <v>110640812.90000001</v>
      </c>
    </row>
    <row r="358" spans="1:14" s="143" customFormat="1" x14ac:dyDescent="0.25">
      <c r="A358" s="143" t="s">
        <v>334</v>
      </c>
      <c r="B358" s="143" t="s">
        <v>188</v>
      </c>
      <c r="C358" s="143" t="s">
        <v>189</v>
      </c>
      <c r="D358" s="143" t="s">
        <v>69</v>
      </c>
      <c r="E358" s="257">
        <v>543016724</v>
      </c>
      <c r="F358" s="257">
        <v>543016724</v>
      </c>
      <c r="G358" s="257">
        <v>135754181</v>
      </c>
      <c r="H358" s="257">
        <v>0</v>
      </c>
      <c r="I358" s="257">
        <v>52382518.270000003</v>
      </c>
      <c r="J358" s="257">
        <v>0</v>
      </c>
      <c r="K358" s="257">
        <v>30442078.829999998</v>
      </c>
      <c r="L358" s="257">
        <v>25326224.100000001</v>
      </c>
      <c r="M358" s="257">
        <v>460192126.89999998</v>
      </c>
      <c r="N358" s="257">
        <v>52929583.899999999</v>
      </c>
    </row>
    <row r="359" spans="1:14" s="143" customFormat="1" x14ac:dyDescent="0.25">
      <c r="A359" s="143" t="s">
        <v>334</v>
      </c>
      <c r="B359" s="143" t="s">
        <v>190</v>
      </c>
      <c r="C359" s="143" t="s">
        <v>191</v>
      </c>
      <c r="D359" s="143" t="s">
        <v>69</v>
      </c>
      <c r="E359" s="257">
        <v>195656000</v>
      </c>
      <c r="F359" s="257">
        <v>195656000</v>
      </c>
      <c r="G359" s="257">
        <v>48914000</v>
      </c>
      <c r="H359" s="257">
        <v>0</v>
      </c>
      <c r="I359" s="257">
        <v>820600</v>
      </c>
      <c r="J359" s="257">
        <v>0</v>
      </c>
      <c r="K359" s="257">
        <v>0</v>
      </c>
      <c r="L359" s="257">
        <v>0</v>
      </c>
      <c r="M359" s="257">
        <v>194835400</v>
      </c>
      <c r="N359" s="257">
        <v>48093400</v>
      </c>
    </row>
    <row r="360" spans="1:14" s="143" customFormat="1" x14ac:dyDescent="0.25">
      <c r="A360" s="143" t="s">
        <v>334</v>
      </c>
      <c r="B360" s="143" t="s">
        <v>350</v>
      </c>
      <c r="C360" s="143" t="s">
        <v>351</v>
      </c>
      <c r="D360" s="143" t="s">
        <v>69</v>
      </c>
      <c r="E360" s="257">
        <v>2674000</v>
      </c>
      <c r="F360" s="257">
        <v>2674000</v>
      </c>
      <c r="G360" s="257">
        <v>668500</v>
      </c>
      <c r="H360" s="257">
        <v>0</v>
      </c>
      <c r="I360" s="257">
        <v>120771</v>
      </c>
      <c r="J360" s="257">
        <v>0</v>
      </c>
      <c r="K360" s="257">
        <v>0</v>
      </c>
      <c r="L360" s="257">
        <v>0</v>
      </c>
      <c r="M360" s="257">
        <v>2553229</v>
      </c>
      <c r="N360" s="257">
        <v>547729</v>
      </c>
    </row>
    <row r="361" spans="1:14" s="143" customFormat="1" x14ac:dyDescent="0.25">
      <c r="A361" s="143" t="s">
        <v>334</v>
      </c>
      <c r="B361" s="143" t="s">
        <v>192</v>
      </c>
      <c r="C361" s="143" t="s">
        <v>193</v>
      </c>
      <c r="D361" s="143" t="s">
        <v>69</v>
      </c>
      <c r="E361" s="257">
        <v>30373000</v>
      </c>
      <c r="F361" s="257">
        <v>30373000</v>
      </c>
      <c r="G361" s="257">
        <v>7593250</v>
      </c>
      <c r="H361" s="257">
        <v>0</v>
      </c>
      <c r="I361" s="257">
        <v>13900</v>
      </c>
      <c r="J361" s="257">
        <v>0</v>
      </c>
      <c r="K361" s="257">
        <v>0</v>
      </c>
      <c r="L361" s="257">
        <v>0</v>
      </c>
      <c r="M361" s="257">
        <v>30359100</v>
      </c>
      <c r="N361" s="257">
        <v>7579350</v>
      </c>
    </row>
    <row r="362" spans="1:14" s="143" customFormat="1" x14ac:dyDescent="0.25">
      <c r="A362" s="143" t="s">
        <v>334</v>
      </c>
      <c r="B362" s="143" t="s">
        <v>194</v>
      </c>
      <c r="C362" s="143" t="s">
        <v>195</v>
      </c>
      <c r="D362" s="143" t="s">
        <v>69</v>
      </c>
      <c r="E362" s="257">
        <v>5963000</v>
      </c>
      <c r="F362" s="257">
        <v>5963000</v>
      </c>
      <c r="G362" s="257">
        <v>1490750</v>
      </c>
      <c r="H362" s="257">
        <v>0</v>
      </c>
      <c r="I362" s="257">
        <v>0</v>
      </c>
      <c r="J362" s="257">
        <v>0</v>
      </c>
      <c r="K362" s="257">
        <v>0</v>
      </c>
      <c r="L362" s="257">
        <v>0</v>
      </c>
      <c r="M362" s="257">
        <v>5963000</v>
      </c>
      <c r="N362" s="257">
        <v>1490750</v>
      </c>
    </row>
    <row r="363" spans="1:14" s="143" customFormat="1" x14ac:dyDescent="0.25">
      <c r="A363" s="143" t="s">
        <v>334</v>
      </c>
      <c r="B363" s="143" t="s">
        <v>196</v>
      </c>
      <c r="C363" s="143" t="s">
        <v>197</v>
      </c>
      <c r="D363" s="143" t="s">
        <v>69</v>
      </c>
      <c r="E363" s="257">
        <v>10984366500</v>
      </c>
      <c r="F363" s="257">
        <v>10984366500</v>
      </c>
      <c r="G363" s="257">
        <v>2746091625</v>
      </c>
      <c r="H363" s="257">
        <v>0</v>
      </c>
      <c r="I363" s="257">
        <v>1303443827.45</v>
      </c>
      <c r="J363" s="257">
        <v>271628273.5</v>
      </c>
      <c r="K363" s="257">
        <v>96716.4</v>
      </c>
      <c r="L363" s="257">
        <v>0</v>
      </c>
      <c r="M363" s="257">
        <v>9409197682.6499996</v>
      </c>
      <c r="N363" s="257">
        <v>1170922807.6500001</v>
      </c>
    </row>
    <row r="364" spans="1:14" s="143" customFormat="1" x14ac:dyDescent="0.25">
      <c r="A364" s="143" t="s">
        <v>334</v>
      </c>
      <c r="B364" s="143" t="s">
        <v>198</v>
      </c>
      <c r="C364" s="143" t="s">
        <v>199</v>
      </c>
      <c r="D364" s="143" t="s">
        <v>69</v>
      </c>
      <c r="E364" s="257">
        <v>10972726000</v>
      </c>
      <c r="F364" s="257">
        <v>10972726000</v>
      </c>
      <c r="G364" s="257">
        <v>2743181500</v>
      </c>
      <c r="H364" s="257">
        <v>0</v>
      </c>
      <c r="I364" s="257">
        <v>1303443827.45</v>
      </c>
      <c r="J364" s="257">
        <v>271628273.5</v>
      </c>
      <c r="K364" s="257">
        <v>96716.4</v>
      </c>
      <c r="L364" s="257">
        <v>0</v>
      </c>
      <c r="M364" s="257">
        <v>9397557182.6499996</v>
      </c>
      <c r="N364" s="257">
        <v>1168012682.6500001</v>
      </c>
    </row>
    <row r="365" spans="1:14" s="143" customFormat="1" x14ac:dyDescent="0.25">
      <c r="A365" s="143" t="s">
        <v>334</v>
      </c>
      <c r="B365" s="143" t="s">
        <v>352</v>
      </c>
      <c r="C365" s="143" t="s">
        <v>353</v>
      </c>
      <c r="D365" s="143" t="s">
        <v>69</v>
      </c>
      <c r="E365" s="257">
        <v>11640500</v>
      </c>
      <c r="F365" s="257">
        <v>11640500</v>
      </c>
      <c r="G365" s="257">
        <v>2910125</v>
      </c>
      <c r="H365" s="257">
        <v>0</v>
      </c>
      <c r="I365" s="257">
        <v>0</v>
      </c>
      <c r="J365" s="257">
        <v>0</v>
      </c>
      <c r="K365" s="257">
        <v>0</v>
      </c>
      <c r="L365" s="257">
        <v>0</v>
      </c>
      <c r="M365" s="257">
        <v>11640500</v>
      </c>
      <c r="N365" s="257">
        <v>2910125</v>
      </c>
    </row>
    <row r="366" spans="1:14" s="143" customFormat="1" x14ac:dyDescent="0.25">
      <c r="A366" s="143" t="s">
        <v>334</v>
      </c>
      <c r="B366" s="143" t="s">
        <v>200</v>
      </c>
      <c r="C366" s="143" t="s">
        <v>201</v>
      </c>
      <c r="D366" s="143" t="s">
        <v>69</v>
      </c>
      <c r="E366" s="257">
        <v>446867786</v>
      </c>
      <c r="F366" s="257">
        <v>446867786</v>
      </c>
      <c r="G366" s="257">
        <v>111716946.5</v>
      </c>
      <c r="H366" s="257">
        <v>0</v>
      </c>
      <c r="I366" s="257">
        <v>26428417.18</v>
      </c>
      <c r="J366" s="257">
        <v>22947828</v>
      </c>
      <c r="K366" s="257">
        <v>0</v>
      </c>
      <c r="L366" s="257">
        <v>0</v>
      </c>
      <c r="M366" s="257">
        <v>397491540.81999999</v>
      </c>
      <c r="N366" s="257">
        <v>62340701.32</v>
      </c>
    </row>
    <row r="367" spans="1:14" s="143" customFormat="1" x14ac:dyDescent="0.25">
      <c r="A367" s="143" t="s">
        <v>334</v>
      </c>
      <c r="B367" s="143" t="s">
        <v>314</v>
      </c>
      <c r="C367" s="143" t="s">
        <v>315</v>
      </c>
      <c r="D367" s="143" t="s">
        <v>69</v>
      </c>
      <c r="E367" s="257">
        <v>122902000</v>
      </c>
      <c r="F367" s="257">
        <v>122902000</v>
      </c>
      <c r="G367" s="257">
        <v>30725500</v>
      </c>
      <c r="H367" s="257">
        <v>0</v>
      </c>
      <c r="I367" s="257">
        <v>6019035</v>
      </c>
      <c r="J367" s="257">
        <v>0</v>
      </c>
      <c r="K367" s="257">
        <v>0</v>
      </c>
      <c r="L367" s="257">
        <v>0</v>
      </c>
      <c r="M367" s="257">
        <v>116882965</v>
      </c>
      <c r="N367" s="257">
        <v>24706465</v>
      </c>
    </row>
    <row r="368" spans="1:14" s="143" customFormat="1" x14ac:dyDescent="0.25">
      <c r="A368" s="143" t="s">
        <v>334</v>
      </c>
      <c r="B368" s="143" t="s">
        <v>316</v>
      </c>
      <c r="C368" s="143" t="s">
        <v>317</v>
      </c>
      <c r="D368" s="143" t="s">
        <v>69</v>
      </c>
      <c r="E368" s="257">
        <v>50168000</v>
      </c>
      <c r="F368" s="257">
        <v>50168000</v>
      </c>
      <c r="G368" s="257">
        <v>12542000</v>
      </c>
      <c r="H368" s="257">
        <v>0</v>
      </c>
      <c r="I368" s="257">
        <v>3935643</v>
      </c>
      <c r="J368" s="257">
        <v>0</v>
      </c>
      <c r="K368" s="257">
        <v>0</v>
      </c>
      <c r="L368" s="257">
        <v>0</v>
      </c>
      <c r="M368" s="257">
        <v>46232357</v>
      </c>
      <c r="N368" s="257">
        <v>8606357</v>
      </c>
    </row>
    <row r="369" spans="1:14" s="143" customFormat="1" x14ac:dyDescent="0.25">
      <c r="A369" s="143" t="s">
        <v>334</v>
      </c>
      <c r="B369" s="143" t="s">
        <v>318</v>
      </c>
      <c r="C369" s="143" t="s">
        <v>319</v>
      </c>
      <c r="D369" s="143" t="s">
        <v>69</v>
      </c>
      <c r="E369" s="257">
        <v>89195672</v>
      </c>
      <c r="F369" s="257">
        <v>89195672</v>
      </c>
      <c r="G369" s="257">
        <v>22298918</v>
      </c>
      <c r="H369" s="257">
        <v>0</v>
      </c>
      <c r="I369" s="257">
        <v>16222770</v>
      </c>
      <c r="J369" s="257">
        <v>22947828</v>
      </c>
      <c r="K369" s="257">
        <v>0</v>
      </c>
      <c r="L369" s="257">
        <v>0</v>
      </c>
      <c r="M369" s="257">
        <v>50025074</v>
      </c>
      <c r="N369" s="275">
        <v>-16871680</v>
      </c>
    </row>
    <row r="370" spans="1:14" s="143" customFormat="1" x14ac:dyDescent="0.25">
      <c r="A370" s="143" t="s">
        <v>334</v>
      </c>
      <c r="B370" s="143" t="s">
        <v>202</v>
      </c>
      <c r="C370" s="143" t="s">
        <v>203</v>
      </c>
      <c r="D370" s="143" t="s">
        <v>69</v>
      </c>
      <c r="E370" s="257">
        <v>90316000</v>
      </c>
      <c r="F370" s="257">
        <v>90316000</v>
      </c>
      <c r="G370" s="257">
        <v>22579000</v>
      </c>
      <c r="H370" s="257">
        <v>0</v>
      </c>
      <c r="I370" s="257">
        <v>210000</v>
      </c>
      <c r="J370" s="257">
        <v>0</v>
      </c>
      <c r="K370" s="257">
        <v>0</v>
      </c>
      <c r="L370" s="257">
        <v>0</v>
      </c>
      <c r="M370" s="257">
        <v>90106000</v>
      </c>
      <c r="N370" s="257">
        <v>22369000</v>
      </c>
    </row>
    <row r="371" spans="1:14" s="143" customFormat="1" x14ac:dyDescent="0.25">
      <c r="A371" s="143" t="s">
        <v>334</v>
      </c>
      <c r="B371" s="143" t="s">
        <v>320</v>
      </c>
      <c r="C371" s="143" t="s">
        <v>321</v>
      </c>
      <c r="D371" s="143" t="s">
        <v>69</v>
      </c>
      <c r="E371" s="257">
        <v>7059000</v>
      </c>
      <c r="F371" s="257">
        <v>7059000</v>
      </c>
      <c r="G371" s="257">
        <v>1764750</v>
      </c>
      <c r="H371" s="257">
        <v>0</v>
      </c>
      <c r="I371" s="257">
        <v>0</v>
      </c>
      <c r="J371" s="257">
        <v>0</v>
      </c>
      <c r="K371" s="257">
        <v>0</v>
      </c>
      <c r="L371" s="257">
        <v>0</v>
      </c>
      <c r="M371" s="257">
        <v>7059000</v>
      </c>
      <c r="N371" s="257">
        <v>1764750</v>
      </c>
    </row>
    <row r="372" spans="1:14" s="143" customFormat="1" x14ac:dyDescent="0.25">
      <c r="A372" s="143" t="s">
        <v>334</v>
      </c>
      <c r="B372" s="143" t="s">
        <v>204</v>
      </c>
      <c r="C372" s="143" t="s">
        <v>205</v>
      </c>
      <c r="D372" s="143" t="s">
        <v>69</v>
      </c>
      <c r="E372" s="257">
        <v>61279000</v>
      </c>
      <c r="F372" s="257">
        <v>61279000</v>
      </c>
      <c r="G372" s="257">
        <v>15319750</v>
      </c>
      <c r="H372" s="257">
        <v>0</v>
      </c>
      <c r="I372" s="257">
        <v>40969.18</v>
      </c>
      <c r="J372" s="257">
        <v>0</v>
      </c>
      <c r="K372" s="257">
        <v>0</v>
      </c>
      <c r="L372" s="257">
        <v>0</v>
      </c>
      <c r="M372" s="257">
        <v>61238030.82</v>
      </c>
      <c r="N372" s="257">
        <v>15278780.82</v>
      </c>
    </row>
    <row r="373" spans="1:14" s="143" customFormat="1" x14ac:dyDescent="0.25">
      <c r="A373" s="143" t="s">
        <v>334</v>
      </c>
      <c r="B373" s="143" t="s">
        <v>322</v>
      </c>
      <c r="C373" s="143" t="s">
        <v>323</v>
      </c>
      <c r="D373" s="143" t="s">
        <v>69</v>
      </c>
      <c r="E373" s="257">
        <v>25948114</v>
      </c>
      <c r="F373" s="257">
        <v>25948114</v>
      </c>
      <c r="G373" s="257">
        <v>6487028.5</v>
      </c>
      <c r="H373" s="257">
        <v>0</v>
      </c>
      <c r="I373" s="257">
        <v>0</v>
      </c>
      <c r="J373" s="257">
        <v>0</v>
      </c>
      <c r="K373" s="257">
        <v>0</v>
      </c>
      <c r="L373" s="257">
        <v>0</v>
      </c>
      <c r="M373" s="257">
        <v>25948114</v>
      </c>
      <c r="N373" s="257">
        <v>6487028.5</v>
      </c>
    </row>
    <row r="374" spans="1:14" s="143" customFormat="1" x14ac:dyDescent="0.25">
      <c r="A374" s="143" t="s">
        <v>334</v>
      </c>
      <c r="B374" s="143" t="s">
        <v>206</v>
      </c>
      <c r="C374" s="143" t="s">
        <v>207</v>
      </c>
      <c r="D374" s="143" t="s">
        <v>69</v>
      </c>
      <c r="E374" s="257">
        <v>150560000</v>
      </c>
      <c r="F374" s="257">
        <v>150560000</v>
      </c>
      <c r="G374" s="257">
        <v>61876250</v>
      </c>
      <c r="H374" s="257">
        <v>0</v>
      </c>
      <c r="I374" s="257">
        <v>33832575.549999997</v>
      </c>
      <c r="J374" s="257">
        <v>838147.37</v>
      </c>
      <c r="K374" s="257">
        <v>0</v>
      </c>
      <c r="L374" s="257">
        <v>0</v>
      </c>
      <c r="M374" s="257">
        <v>115889277.08</v>
      </c>
      <c r="N374" s="257">
        <v>27205527.079999998</v>
      </c>
    </row>
    <row r="375" spans="1:14" s="143" customFormat="1" x14ac:dyDescent="0.25">
      <c r="A375" s="143" t="s">
        <v>334</v>
      </c>
      <c r="B375" s="143" t="s">
        <v>208</v>
      </c>
      <c r="C375" s="143" t="s">
        <v>209</v>
      </c>
      <c r="D375" s="143" t="s">
        <v>69</v>
      </c>
      <c r="E375" s="257">
        <v>53615000</v>
      </c>
      <c r="F375" s="257">
        <v>53615000</v>
      </c>
      <c r="G375" s="257">
        <v>13403750</v>
      </c>
      <c r="H375" s="257">
        <v>0</v>
      </c>
      <c r="I375" s="257">
        <v>16855580</v>
      </c>
      <c r="J375" s="257">
        <v>0</v>
      </c>
      <c r="K375" s="257">
        <v>0</v>
      </c>
      <c r="L375" s="257">
        <v>0</v>
      </c>
      <c r="M375" s="257">
        <v>36759420</v>
      </c>
      <c r="N375" s="275">
        <v>-3451830</v>
      </c>
    </row>
    <row r="376" spans="1:14" s="143" customFormat="1" x14ac:dyDescent="0.25">
      <c r="A376" s="143" t="s">
        <v>334</v>
      </c>
      <c r="B376" s="143" t="s">
        <v>210</v>
      </c>
      <c r="C376" s="143" t="s">
        <v>211</v>
      </c>
      <c r="D376" s="143" t="s">
        <v>69</v>
      </c>
      <c r="E376" s="257">
        <v>96945000</v>
      </c>
      <c r="F376" s="257">
        <v>96945000</v>
      </c>
      <c r="G376" s="257">
        <v>48472500</v>
      </c>
      <c r="H376" s="257">
        <v>0</v>
      </c>
      <c r="I376" s="257">
        <v>16976995.550000001</v>
      </c>
      <c r="J376" s="257">
        <v>838147.37</v>
      </c>
      <c r="K376" s="257">
        <v>0</v>
      </c>
      <c r="L376" s="257">
        <v>0</v>
      </c>
      <c r="M376" s="257">
        <v>79129857.079999998</v>
      </c>
      <c r="N376" s="257">
        <v>30657357.079999998</v>
      </c>
    </row>
    <row r="377" spans="1:14" s="143" customFormat="1" x14ac:dyDescent="0.25">
      <c r="A377" s="143" t="s">
        <v>334</v>
      </c>
      <c r="B377" s="143" t="s">
        <v>212</v>
      </c>
      <c r="C377" s="143" t="s">
        <v>213</v>
      </c>
      <c r="D377" s="143" t="s">
        <v>69</v>
      </c>
      <c r="E377" s="257">
        <v>1656349984</v>
      </c>
      <c r="F377" s="257">
        <v>1656349984</v>
      </c>
      <c r="G377" s="257">
        <v>421915815</v>
      </c>
      <c r="H377" s="257">
        <v>0</v>
      </c>
      <c r="I377" s="257">
        <v>409506935.25</v>
      </c>
      <c r="J377" s="257">
        <v>0</v>
      </c>
      <c r="K377" s="257">
        <v>30462795.199999999</v>
      </c>
      <c r="L377" s="257">
        <v>0</v>
      </c>
      <c r="M377" s="257">
        <v>1216380253.55</v>
      </c>
      <c r="N377" s="257">
        <v>-18053915.449999999</v>
      </c>
    </row>
    <row r="378" spans="1:14" s="143" customFormat="1" x14ac:dyDescent="0.25">
      <c r="A378" s="143" t="s">
        <v>334</v>
      </c>
      <c r="B378" s="143" t="s">
        <v>214</v>
      </c>
      <c r="C378" s="143" t="s">
        <v>215</v>
      </c>
      <c r="D378" s="143" t="s">
        <v>69</v>
      </c>
      <c r="E378" s="257">
        <v>34070136</v>
      </c>
      <c r="F378" s="257">
        <v>34070136</v>
      </c>
      <c r="G378" s="257">
        <v>8517534</v>
      </c>
      <c r="H378" s="257">
        <v>0</v>
      </c>
      <c r="I378" s="257">
        <v>0</v>
      </c>
      <c r="J378" s="257">
        <v>0</v>
      </c>
      <c r="K378" s="257">
        <v>0</v>
      </c>
      <c r="L378" s="257">
        <v>0</v>
      </c>
      <c r="M378" s="257">
        <v>34070136</v>
      </c>
      <c r="N378" s="257">
        <v>8517534</v>
      </c>
    </row>
    <row r="379" spans="1:14" s="143" customFormat="1" x14ac:dyDescent="0.25">
      <c r="A379" s="143" t="s">
        <v>334</v>
      </c>
      <c r="B379" s="143" t="s">
        <v>216</v>
      </c>
      <c r="C379" s="143" t="s">
        <v>217</v>
      </c>
      <c r="D379" s="143" t="s">
        <v>69</v>
      </c>
      <c r="E379" s="257">
        <v>65363019</v>
      </c>
      <c r="F379" s="257">
        <v>65363019</v>
      </c>
      <c r="G379" s="257">
        <v>16340754.75</v>
      </c>
      <c r="H379" s="257">
        <v>0</v>
      </c>
      <c r="I379" s="257">
        <v>2395216.54</v>
      </c>
      <c r="J379" s="257">
        <v>0</v>
      </c>
      <c r="K379" s="257">
        <v>3009655.17</v>
      </c>
      <c r="L379" s="257">
        <v>0</v>
      </c>
      <c r="M379" s="257">
        <v>59958147.289999999</v>
      </c>
      <c r="N379" s="257">
        <v>10935883.039999999</v>
      </c>
    </row>
    <row r="380" spans="1:14" s="143" customFormat="1" x14ac:dyDescent="0.25">
      <c r="A380" s="143" t="s">
        <v>334</v>
      </c>
      <c r="B380" s="143" t="s">
        <v>218</v>
      </c>
      <c r="C380" s="143" t="s">
        <v>219</v>
      </c>
      <c r="D380" s="143" t="s">
        <v>69</v>
      </c>
      <c r="E380" s="257">
        <v>146259000</v>
      </c>
      <c r="F380" s="257">
        <v>146259000</v>
      </c>
      <c r="G380" s="257">
        <v>36564750</v>
      </c>
      <c r="H380" s="257">
        <v>0</v>
      </c>
      <c r="I380" s="257">
        <v>20176205.940000001</v>
      </c>
      <c r="J380" s="257">
        <v>0</v>
      </c>
      <c r="K380" s="257">
        <v>0</v>
      </c>
      <c r="L380" s="257">
        <v>0</v>
      </c>
      <c r="M380" s="257">
        <v>126082794.06</v>
      </c>
      <c r="N380" s="257">
        <v>16388544.060000001</v>
      </c>
    </row>
    <row r="381" spans="1:14" s="143" customFormat="1" x14ac:dyDescent="0.25">
      <c r="A381" s="143" t="s">
        <v>334</v>
      </c>
      <c r="B381" s="143" t="s">
        <v>220</v>
      </c>
      <c r="C381" s="143" t="s">
        <v>221</v>
      </c>
      <c r="D381" s="143" t="s">
        <v>69</v>
      </c>
      <c r="E381" s="257">
        <v>643150000</v>
      </c>
      <c r="F381" s="257">
        <v>643150000</v>
      </c>
      <c r="G381" s="257">
        <v>160787500</v>
      </c>
      <c r="H381" s="257">
        <v>0</v>
      </c>
      <c r="I381" s="257">
        <v>293236817</v>
      </c>
      <c r="J381" s="257">
        <v>0</v>
      </c>
      <c r="K381" s="257">
        <v>0</v>
      </c>
      <c r="L381" s="257">
        <v>0</v>
      </c>
      <c r="M381" s="257">
        <v>349913183</v>
      </c>
      <c r="N381" s="275">
        <v>-132449317</v>
      </c>
    </row>
    <row r="382" spans="1:14" s="143" customFormat="1" x14ac:dyDescent="0.25">
      <c r="A382" s="143" t="s">
        <v>334</v>
      </c>
      <c r="B382" s="143" t="s">
        <v>222</v>
      </c>
      <c r="C382" s="143" t="s">
        <v>223</v>
      </c>
      <c r="D382" s="143" t="s">
        <v>69</v>
      </c>
      <c r="E382" s="257">
        <v>302355000</v>
      </c>
      <c r="F382" s="257">
        <v>302355000</v>
      </c>
      <c r="G382" s="257">
        <v>75588750</v>
      </c>
      <c r="H382" s="257">
        <v>0</v>
      </c>
      <c r="I382" s="257">
        <v>14967067.51</v>
      </c>
      <c r="J382" s="257">
        <v>0</v>
      </c>
      <c r="K382" s="257">
        <v>19326604.699999999</v>
      </c>
      <c r="L382" s="257">
        <v>0</v>
      </c>
      <c r="M382" s="257">
        <v>268061327.78999999</v>
      </c>
      <c r="N382" s="257">
        <v>41295077.789999999</v>
      </c>
    </row>
    <row r="383" spans="1:14" s="143" customFormat="1" x14ac:dyDescent="0.25">
      <c r="A383" s="143" t="s">
        <v>334</v>
      </c>
      <c r="B383" s="143" t="s">
        <v>224</v>
      </c>
      <c r="C383" s="143" t="s">
        <v>225</v>
      </c>
      <c r="D383" s="143" t="s">
        <v>69</v>
      </c>
      <c r="E383" s="257">
        <v>182921000</v>
      </c>
      <c r="F383" s="257">
        <v>182921000</v>
      </c>
      <c r="G383" s="257">
        <v>45730250</v>
      </c>
      <c r="H383" s="257">
        <v>0</v>
      </c>
      <c r="I383" s="257">
        <v>123476</v>
      </c>
      <c r="J383" s="257">
        <v>0</v>
      </c>
      <c r="K383" s="257">
        <v>297017.25</v>
      </c>
      <c r="L383" s="257">
        <v>0</v>
      </c>
      <c r="M383" s="257">
        <v>182500506.75</v>
      </c>
      <c r="N383" s="257">
        <v>45309756.75</v>
      </c>
    </row>
    <row r="384" spans="1:14" s="143" customFormat="1" x14ac:dyDescent="0.25">
      <c r="A384" s="143" t="s">
        <v>334</v>
      </c>
      <c r="B384" s="143" t="s">
        <v>226</v>
      </c>
      <c r="C384" s="143" t="s">
        <v>227</v>
      </c>
      <c r="D384" s="143" t="s">
        <v>69</v>
      </c>
      <c r="E384" s="257">
        <v>92727347</v>
      </c>
      <c r="F384" s="257">
        <v>92727347</v>
      </c>
      <c r="G384" s="257">
        <v>23181836.75</v>
      </c>
      <c r="H384" s="257">
        <v>0</v>
      </c>
      <c r="I384" s="257">
        <v>34005576.770000003</v>
      </c>
      <c r="J384" s="257">
        <v>0</v>
      </c>
      <c r="K384" s="257">
        <v>0</v>
      </c>
      <c r="L384" s="257">
        <v>0</v>
      </c>
      <c r="M384" s="257">
        <v>58721770.229999997</v>
      </c>
      <c r="N384" s="257">
        <v>-10823740.02</v>
      </c>
    </row>
    <row r="385" spans="1:14" s="143" customFormat="1" x14ac:dyDescent="0.25">
      <c r="A385" s="143" t="s">
        <v>334</v>
      </c>
      <c r="B385" s="143" t="s">
        <v>228</v>
      </c>
      <c r="C385" s="143" t="s">
        <v>229</v>
      </c>
      <c r="D385" s="143" t="s">
        <v>69</v>
      </c>
      <c r="E385" s="257">
        <v>189504482</v>
      </c>
      <c r="F385" s="257">
        <v>189504482</v>
      </c>
      <c r="G385" s="257">
        <v>55204439.5</v>
      </c>
      <c r="H385" s="257">
        <v>0</v>
      </c>
      <c r="I385" s="257">
        <v>44602575.490000002</v>
      </c>
      <c r="J385" s="257">
        <v>0</v>
      </c>
      <c r="K385" s="257">
        <v>7829518.0800000001</v>
      </c>
      <c r="L385" s="257">
        <v>0</v>
      </c>
      <c r="M385" s="257">
        <v>137072388.43000001</v>
      </c>
      <c r="N385" s="257">
        <v>2772345.93</v>
      </c>
    </row>
    <row r="386" spans="1:14" s="143" customFormat="1" x14ac:dyDescent="0.25">
      <c r="A386" s="143" t="s">
        <v>334</v>
      </c>
      <c r="B386" s="143" t="s">
        <v>230</v>
      </c>
      <c r="C386" s="143" t="s">
        <v>231</v>
      </c>
      <c r="D386" s="143" t="s">
        <v>69</v>
      </c>
      <c r="E386" s="257">
        <v>883769579</v>
      </c>
      <c r="F386" s="257">
        <v>883769579</v>
      </c>
      <c r="G386" s="257">
        <v>220942394.75</v>
      </c>
      <c r="H386" s="257">
        <v>0</v>
      </c>
      <c r="I386" s="257">
        <v>762514246.05999994</v>
      </c>
      <c r="J386" s="257">
        <v>9723427.4700000007</v>
      </c>
      <c r="K386" s="257">
        <v>0</v>
      </c>
      <c r="L386" s="257">
        <v>0</v>
      </c>
      <c r="M386" s="257">
        <v>111531905.47</v>
      </c>
      <c r="N386" s="257">
        <v>-551295278.77999997</v>
      </c>
    </row>
    <row r="387" spans="1:14" s="143" customFormat="1" x14ac:dyDescent="0.25">
      <c r="A387" s="143" t="s">
        <v>334</v>
      </c>
      <c r="B387" s="143" t="s">
        <v>232</v>
      </c>
      <c r="C387" s="143" t="s">
        <v>233</v>
      </c>
      <c r="D387" s="143" t="s">
        <v>69</v>
      </c>
      <c r="E387" s="257">
        <v>667187579</v>
      </c>
      <c r="F387" s="257">
        <v>667187579</v>
      </c>
      <c r="G387" s="257">
        <v>166796894.75</v>
      </c>
      <c r="H387" s="257">
        <v>0</v>
      </c>
      <c r="I387" s="257">
        <v>118955726.93000001</v>
      </c>
      <c r="J387" s="257">
        <v>9217427.4700000007</v>
      </c>
      <c r="K387" s="257">
        <v>0</v>
      </c>
      <c r="L387" s="257">
        <v>0</v>
      </c>
      <c r="M387" s="257">
        <v>539014424.60000002</v>
      </c>
      <c r="N387" s="257">
        <v>38623740.350000001</v>
      </c>
    </row>
    <row r="388" spans="1:14" s="143" customFormat="1" x14ac:dyDescent="0.25">
      <c r="A388" s="143" t="s">
        <v>334</v>
      </c>
      <c r="B388" s="143" t="s">
        <v>236</v>
      </c>
      <c r="C388" s="143" t="s">
        <v>237</v>
      </c>
      <c r="D388" s="143" t="s">
        <v>69</v>
      </c>
      <c r="E388" s="257">
        <v>0</v>
      </c>
      <c r="F388" s="257">
        <v>0</v>
      </c>
      <c r="G388" s="257">
        <v>0</v>
      </c>
      <c r="H388" s="257">
        <v>0</v>
      </c>
      <c r="I388" s="257">
        <v>0</v>
      </c>
      <c r="J388" s="257">
        <v>0</v>
      </c>
      <c r="K388" s="257">
        <v>0</v>
      </c>
      <c r="L388" s="257">
        <v>0</v>
      </c>
      <c r="M388" s="257">
        <v>0</v>
      </c>
      <c r="N388" s="257">
        <v>0</v>
      </c>
    </row>
    <row r="389" spans="1:14" s="143" customFormat="1" x14ac:dyDescent="0.25">
      <c r="A389" s="143" t="s">
        <v>334</v>
      </c>
      <c r="B389" s="143" t="s">
        <v>238</v>
      </c>
      <c r="C389" s="143" t="s">
        <v>239</v>
      </c>
      <c r="D389" s="143" t="s">
        <v>69</v>
      </c>
      <c r="E389" s="257">
        <v>0</v>
      </c>
      <c r="F389" s="257">
        <v>0</v>
      </c>
      <c r="G389" s="257">
        <v>0</v>
      </c>
      <c r="H389" s="257">
        <v>0</v>
      </c>
      <c r="I389" s="257">
        <v>0</v>
      </c>
      <c r="J389" s="257">
        <v>0</v>
      </c>
      <c r="K389" s="257">
        <v>0</v>
      </c>
      <c r="L389" s="257">
        <v>0</v>
      </c>
      <c r="M389" s="257">
        <v>0</v>
      </c>
      <c r="N389" s="257">
        <v>0</v>
      </c>
    </row>
    <row r="390" spans="1:14" s="143" customFormat="1" x14ac:dyDescent="0.25">
      <c r="A390" s="143" t="s">
        <v>334</v>
      </c>
      <c r="B390" s="143" t="s">
        <v>234</v>
      </c>
      <c r="C390" s="143" t="s">
        <v>235</v>
      </c>
      <c r="D390" s="143" t="s">
        <v>85</v>
      </c>
      <c r="E390" s="257">
        <v>33062000</v>
      </c>
      <c r="F390" s="257">
        <v>33062000</v>
      </c>
      <c r="G390" s="257">
        <v>8265500</v>
      </c>
      <c r="H390" s="257">
        <v>0</v>
      </c>
      <c r="I390" s="257">
        <v>0</v>
      </c>
      <c r="J390" s="257">
        <v>0</v>
      </c>
      <c r="K390" s="257">
        <v>0</v>
      </c>
      <c r="L390" s="257">
        <v>0</v>
      </c>
      <c r="M390" s="257">
        <v>33062000</v>
      </c>
      <c r="N390" s="257">
        <v>8265500</v>
      </c>
    </row>
    <row r="391" spans="1:14" s="143" customFormat="1" x14ac:dyDescent="0.25">
      <c r="A391" s="143" t="s">
        <v>334</v>
      </c>
      <c r="B391" s="143" t="s">
        <v>324</v>
      </c>
      <c r="C391" s="143" t="s">
        <v>325</v>
      </c>
      <c r="D391" s="143" t="s">
        <v>85</v>
      </c>
      <c r="E391" s="257">
        <v>72100000</v>
      </c>
      <c r="F391" s="257">
        <v>72100000</v>
      </c>
      <c r="G391" s="257">
        <v>18025000</v>
      </c>
      <c r="H391" s="257">
        <v>0</v>
      </c>
      <c r="I391" s="257">
        <v>16883370</v>
      </c>
      <c r="J391" s="257">
        <v>0</v>
      </c>
      <c r="K391" s="257">
        <v>0</v>
      </c>
      <c r="L391" s="257">
        <v>0</v>
      </c>
      <c r="M391" s="257">
        <v>55216630</v>
      </c>
      <c r="N391" s="257">
        <v>1141630</v>
      </c>
    </row>
    <row r="392" spans="1:14" s="143" customFormat="1" x14ac:dyDescent="0.25">
      <c r="A392" s="143" t="s">
        <v>334</v>
      </c>
      <c r="B392" s="143" t="s">
        <v>236</v>
      </c>
      <c r="C392" s="143" t="s">
        <v>237</v>
      </c>
      <c r="D392" s="143" t="s">
        <v>85</v>
      </c>
      <c r="E392" s="257">
        <v>147248000</v>
      </c>
      <c r="F392" s="257">
        <v>147248000</v>
      </c>
      <c r="G392" s="257">
        <v>36812000</v>
      </c>
      <c r="H392" s="257">
        <v>0</v>
      </c>
      <c r="I392" s="257">
        <v>16197.33</v>
      </c>
      <c r="J392" s="257">
        <v>0</v>
      </c>
      <c r="K392" s="257">
        <v>0</v>
      </c>
      <c r="L392" s="257">
        <v>0</v>
      </c>
      <c r="M392" s="257">
        <v>147231802.66999999</v>
      </c>
      <c r="N392" s="257">
        <v>36795802.670000002</v>
      </c>
    </row>
    <row r="393" spans="1:14" s="143" customFormat="1" x14ac:dyDescent="0.25">
      <c r="A393" s="143" t="s">
        <v>334</v>
      </c>
      <c r="B393" s="143" t="s">
        <v>238</v>
      </c>
      <c r="C393" s="143" t="s">
        <v>239</v>
      </c>
      <c r="D393" s="143" t="s">
        <v>85</v>
      </c>
      <c r="E393" s="257">
        <v>69415579</v>
      </c>
      <c r="F393" s="257">
        <v>69415579</v>
      </c>
      <c r="G393" s="257">
        <v>17353894.75</v>
      </c>
      <c r="H393" s="257">
        <v>0</v>
      </c>
      <c r="I393" s="257">
        <v>8448600</v>
      </c>
      <c r="J393" s="257">
        <v>2306404</v>
      </c>
      <c r="K393" s="257">
        <v>0</v>
      </c>
      <c r="L393" s="257">
        <v>0</v>
      </c>
      <c r="M393" s="257">
        <v>58660575</v>
      </c>
      <c r="N393" s="257">
        <v>6598890.75</v>
      </c>
    </row>
    <row r="394" spans="1:14" s="143" customFormat="1" x14ac:dyDescent="0.25">
      <c r="A394" s="143" t="s">
        <v>334</v>
      </c>
      <c r="B394" s="143" t="s">
        <v>282</v>
      </c>
      <c r="C394" s="143" t="s">
        <v>283</v>
      </c>
      <c r="D394" s="143" t="s">
        <v>85</v>
      </c>
      <c r="E394" s="257">
        <v>21137000</v>
      </c>
      <c r="F394" s="257">
        <v>21137000</v>
      </c>
      <c r="G394" s="257">
        <v>5284250</v>
      </c>
      <c r="H394" s="257">
        <v>0</v>
      </c>
      <c r="I394" s="257">
        <v>15613250.310000001</v>
      </c>
      <c r="J394" s="257">
        <v>0</v>
      </c>
      <c r="K394" s="257">
        <v>0</v>
      </c>
      <c r="L394" s="257">
        <v>0</v>
      </c>
      <c r="M394" s="257">
        <v>5523749.6900000004</v>
      </c>
      <c r="N394" s="257">
        <v>-10329000.310000001</v>
      </c>
    </row>
    <row r="395" spans="1:14" s="143" customFormat="1" x14ac:dyDescent="0.25">
      <c r="A395" s="143" t="s">
        <v>334</v>
      </c>
      <c r="B395" s="143" t="s">
        <v>326</v>
      </c>
      <c r="C395" s="143" t="s">
        <v>327</v>
      </c>
      <c r="D395" s="143" t="s">
        <v>85</v>
      </c>
      <c r="E395" s="257">
        <v>29458000</v>
      </c>
      <c r="F395" s="257">
        <v>29458000</v>
      </c>
      <c r="G395" s="257">
        <v>7364500</v>
      </c>
      <c r="H395" s="257">
        <v>0</v>
      </c>
      <c r="I395" s="257">
        <v>14941960.529999999</v>
      </c>
      <c r="J395" s="257">
        <v>1393335</v>
      </c>
      <c r="K395" s="257">
        <v>0</v>
      </c>
      <c r="L395" s="257">
        <v>0</v>
      </c>
      <c r="M395" s="257">
        <v>13122704.470000001</v>
      </c>
      <c r="N395" s="257">
        <v>-8970795.5299999993</v>
      </c>
    </row>
    <row r="396" spans="1:14" s="143" customFormat="1" x14ac:dyDescent="0.25">
      <c r="A396" s="143" t="s">
        <v>334</v>
      </c>
      <c r="B396" s="143" t="s">
        <v>240</v>
      </c>
      <c r="C396" s="143" t="s">
        <v>241</v>
      </c>
      <c r="D396" s="143" t="s">
        <v>85</v>
      </c>
      <c r="E396" s="257">
        <v>5405000</v>
      </c>
      <c r="F396" s="257">
        <v>5405000</v>
      </c>
      <c r="G396" s="257">
        <v>1351250</v>
      </c>
      <c r="H396" s="257">
        <v>0</v>
      </c>
      <c r="I396" s="257">
        <v>3981450</v>
      </c>
      <c r="J396" s="257">
        <v>0</v>
      </c>
      <c r="K396" s="257">
        <v>0</v>
      </c>
      <c r="L396" s="257">
        <v>0</v>
      </c>
      <c r="M396" s="257">
        <v>1423550</v>
      </c>
      <c r="N396" s="275">
        <v>-2630200</v>
      </c>
    </row>
    <row r="397" spans="1:14" s="143" customFormat="1" x14ac:dyDescent="0.25">
      <c r="A397" s="143" t="s">
        <v>334</v>
      </c>
      <c r="B397" s="143" t="s">
        <v>242</v>
      </c>
      <c r="C397" s="143" t="s">
        <v>243</v>
      </c>
      <c r="D397" s="143" t="s">
        <v>85</v>
      </c>
      <c r="E397" s="257">
        <v>289362000</v>
      </c>
      <c r="F397" s="257">
        <v>289362000</v>
      </c>
      <c r="G397" s="257">
        <v>72340500</v>
      </c>
      <c r="H397" s="257">
        <v>0</v>
      </c>
      <c r="I397" s="257">
        <v>59070898.759999998</v>
      </c>
      <c r="J397" s="257">
        <v>5517688.4699999997</v>
      </c>
      <c r="K397" s="257">
        <v>0</v>
      </c>
      <c r="L397" s="257">
        <v>0</v>
      </c>
      <c r="M397" s="257">
        <v>224773412.77000001</v>
      </c>
      <c r="N397" s="257">
        <v>7751912.7699999996</v>
      </c>
    </row>
    <row r="398" spans="1:14" s="143" customFormat="1" x14ac:dyDescent="0.25">
      <c r="A398" s="143" t="s">
        <v>334</v>
      </c>
      <c r="B398" s="143" t="s">
        <v>328</v>
      </c>
      <c r="C398" s="143" t="s">
        <v>329</v>
      </c>
      <c r="D398" s="143" t="s">
        <v>85</v>
      </c>
      <c r="E398" s="257">
        <v>8088000</v>
      </c>
      <c r="F398" s="257">
        <v>8088000</v>
      </c>
      <c r="G398" s="257">
        <v>2022000</v>
      </c>
      <c r="H398" s="257">
        <v>0</v>
      </c>
      <c r="I398" s="257">
        <v>640781016.71000004</v>
      </c>
      <c r="J398" s="257">
        <v>506000</v>
      </c>
      <c r="K398" s="257">
        <v>0</v>
      </c>
      <c r="L398" s="257">
        <v>0</v>
      </c>
      <c r="M398" s="257">
        <v>-633199016.71000004</v>
      </c>
      <c r="N398" s="257">
        <v>-639265016.71000004</v>
      </c>
    </row>
    <row r="399" spans="1:14" s="143" customFormat="1" x14ac:dyDescent="0.25">
      <c r="A399" s="143" t="s">
        <v>334</v>
      </c>
      <c r="B399" s="143" t="s">
        <v>330</v>
      </c>
      <c r="C399" s="143" t="s">
        <v>331</v>
      </c>
      <c r="D399" s="143" t="s">
        <v>85</v>
      </c>
      <c r="E399" s="257">
        <v>0</v>
      </c>
      <c r="F399" s="257">
        <v>0</v>
      </c>
      <c r="G399" s="257">
        <v>0</v>
      </c>
      <c r="H399" s="257">
        <v>0</v>
      </c>
      <c r="I399" s="257">
        <v>640613017.71000004</v>
      </c>
      <c r="J399" s="257">
        <v>0</v>
      </c>
      <c r="K399" s="257">
        <v>0</v>
      </c>
      <c r="L399" s="257">
        <v>0</v>
      </c>
      <c r="M399" s="257">
        <v>-640613017.71000004</v>
      </c>
      <c r="N399" s="257">
        <v>-640613017.71000004</v>
      </c>
    </row>
    <row r="400" spans="1:14" s="143" customFormat="1" x14ac:dyDescent="0.25">
      <c r="A400" s="143" t="s">
        <v>334</v>
      </c>
      <c r="B400" s="143" t="s">
        <v>358</v>
      </c>
      <c r="C400" s="143" t="s">
        <v>359</v>
      </c>
      <c r="D400" s="143" t="s">
        <v>85</v>
      </c>
      <c r="E400" s="257">
        <v>8088000</v>
      </c>
      <c r="F400" s="257">
        <v>8088000</v>
      </c>
      <c r="G400" s="257">
        <v>2022000</v>
      </c>
      <c r="H400" s="257">
        <v>0</v>
      </c>
      <c r="I400" s="257">
        <v>167999</v>
      </c>
      <c r="J400" s="257">
        <v>506000</v>
      </c>
      <c r="K400" s="257">
        <v>0</v>
      </c>
      <c r="L400" s="257">
        <v>0</v>
      </c>
      <c r="M400" s="257">
        <v>7414001</v>
      </c>
      <c r="N400" s="257">
        <v>1348001</v>
      </c>
    </row>
    <row r="401" spans="1:14" s="143" customFormat="1" x14ac:dyDescent="0.25">
      <c r="A401" s="143" t="s">
        <v>334</v>
      </c>
      <c r="B401" s="143" t="s">
        <v>244</v>
      </c>
      <c r="C401" s="143" t="s">
        <v>245</v>
      </c>
      <c r="D401" s="143" t="s">
        <v>85</v>
      </c>
      <c r="E401" s="257">
        <v>208494000</v>
      </c>
      <c r="F401" s="257">
        <v>208494000</v>
      </c>
      <c r="G401" s="257">
        <v>52123500</v>
      </c>
      <c r="H401" s="257">
        <v>0</v>
      </c>
      <c r="I401" s="257">
        <v>2777502.42</v>
      </c>
      <c r="J401" s="257">
        <v>0</v>
      </c>
      <c r="K401" s="257">
        <v>0</v>
      </c>
      <c r="L401" s="257">
        <v>0</v>
      </c>
      <c r="M401" s="257">
        <v>205716497.58000001</v>
      </c>
      <c r="N401" s="257">
        <v>49345997.579999998</v>
      </c>
    </row>
    <row r="402" spans="1:14" s="143" customFormat="1" x14ac:dyDescent="0.25">
      <c r="A402" s="143" t="s">
        <v>334</v>
      </c>
      <c r="B402" s="143" t="s">
        <v>246</v>
      </c>
      <c r="C402" s="143" t="s">
        <v>247</v>
      </c>
      <c r="D402" s="143" t="s">
        <v>85</v>
      </c>
      <c r="E402" s="257">
        <v>208494000</v>
      </c>
      <c r="F402" s="257">
        <v>208494000</v>
      </c>
      <c r="G402" s="257">
        <v>52123500</v>
      </c>
      <c r="H402" s="257">
        <v>0</v>
      </c>
      <c r="I402" s="257">
        <v>2777502.42</v>
      </c>
      <c r="J402" s="257">
        <v>0</v>
      </c>
      <c r="K402" s="257">
        <v>0</v>
      </c>
      <c r="L402" s="257">
        <v>0</v>
      </c>
      <c r="M402" s="257">
        <v>205716497.58000001</v>
      </c>
      <c r="N402" s="257">
        <v>49345997.579999998</v>
      </c>
    </row>
    <row r="403" spans="1:14" s="143" customFormat="1" x14ac:dyDescent="0.25">
      <c r="A403" s="143" t="s">
        <v>334</v>
      </c>
      <c r="B403" s="143" t="s">
        <v>248</v>
      </c>
      <c r="C403" s="143" t="s">
        <v>249</v>
      </c>
      <c r="D403" s="143" t="s">
        <v>69</v>
      </c>
      <c r="E403" s="257">
        <v>11597046000</v>
      </c>
      <c r="F403" s="257">
        <v>11597046000</v>
      </c>
      <c r="G403" s="257">
        <v>4480913173</v>
      </c>
      <c r="H403" s="257">
        <v>0</v>
      </c>
      <c r="I403" s="257">
        <v>3973986838.1399999</v>
      </c>
      <c r="J403" s="257">
        <v>0</v>
      </c>
      <c r="K403" s="257">
        <v>159221978.74000001</v>
      </c>
      <c r="L403" s="257">
        <v>114221978.73999999</v>
      </c>
      <c r="M403" s="257">
        <v>7463837183.1199999</v>
      </c>
      <c r="N403" s="257">
        <v>347704356.12</v>
      </c>
    </row>
    <row r="404" spans="1:14" s="143" customFormat="1" x14ac:dyDescent="0.25">
      <c r="A404" s="143" t="s">
        <v>334</v>
      </c>
      <c r="B404" s="143" t="s">
        <v>250</v>
      </c>
      <c r="C404" s="143" t="s">
        <v>251</v>
      </c>
      <c r="D404" s="143" t="s">
        <v>69</v>
      </c>
      <c r="E404" s="257">
        <v>9955805000</v>
      </c>
      <c r="F404" s="257">
        <v>9955805000</v>
      </c>
      <c r="G404" s="257">
        <v>3895805000</v>
      </c>
      <c r="H404" s="257">
        <v>0</v>
      </c>
      <c r="I404" s="257">
        <v>3817850376</v>
      </c>
      <c r="J404" s="257">
        <v>0</v>
      </c>
      <c r="K404" s="257">
        <v>57954624</v>
      </c>
      <c r="L404" s="257">
        <v>57954624</v>
      </c>
      <c r="M404" s="257">
        <v>6080000000</v>
      </c>
      <c r="N404" s="257">
        <v>20000000</v>
      </c>
    </row>
    <row r="405" spans="1:14" s="143" customFormat="1" x14ac:dyDescent="0.25">
      <c r="A405" s="143" t="s">
        <v>334</v>
      </c>
      <c r="B405" s="143" t="s">
        <v>360</v>
      </c>
      <c r="C405" s="143" t="s">
        <v>361</v>
      </c>
      <c r="D405" s="143" t="s">
        <v>69</v>
      </c>
      <c r="E405" s="257">
        <v>80000000</v>
      </c>
      <c r="F405" s="257">
        <v>80000000</v>
      </c>
      <c r="G405" s="257">
        <v>20000000</v>
      </c>
      <c r="H405" s="257">
        <v>0</v>
      </c>
      <c r="I405" s="257">
        <v>0</v>
      </c>
      <c r="J405" s="257">
        <v>0</v>
      </c>
      <c r="K405" s="257">
        <v>0</v>
      </c>
      <c r="L405" s="257">
        <v>0</v>
      </c>
      <c r="M405" s="257">
        <v>80000000</v>
      </c>
      <c r="N405" s="257">
        <v>20000000</v>
      </c>
    </row>
    <row r="406" spans="1:14" s="143" customFormat="1" x14ac:dyDescent="0.25">
      <c r="A406" s="143" t="s">
        <v>334</v>
      </c>
      <c r="B406" s="143" t="s">
        <v>362</v>
      </c>
      <c r="C406" s="143" t="s">
        <v>257</v>
      </c>
      <c r="D406" s="143" t="s">
        <v>69</v>
      </c>
      <c r="E406" s="257">
        <v>673849000</v>
      </c>
      <c r="F406" s="257">
        <v>673849000</v>
      </c>
      <c r="G406" s="257">
        <v>673849000</v>
      </c>
      <c r="H406" s="257">
        <v>0</v>
      </c>
      <c r="I406" s="257">
        <v>625618306</v>
      </c>
      <c r="J406" s="257">
        <v>0</v>
      </c>
      <c r="K406" s="257">
        <v>48230694</v>
      </c>
      <c r="L406" s="257">
        <v>48230694</v>
      </c>
      <c r="M406" s="257">
        <v>0</v>
      </c>
      <c r="N406" s="257">
        <v>0</v>
      </c>
    </row>
    <row r="407" spans="1:14" s="143" customFormat="1" x14ac:dyDescent="0.25">
      <c r="A407" s="143" t="s">
        <v>334</v>
      </c>
      <c r="B407" s="143" t="s">
        <v>363</v>
      </c>
      <c r="C407" s="143" t="s">
        <v>259</v>
      </c>
      <c r="D407" s="143" t="s">
        <v>69</v>
      </c>
      <c r="E407" s="257">
        <v>135856000</v>
      </c>
      <c r="F407" s="257">
        <v>135856000</v>
      </c>
      <c r="G407" s="257">
        <v>135856000</v>
      </c>
      <c r="H407" s="257">
        <v>0</v>
      </c>
      <c r="I407" s="257">
        <v>126132070</v>
      </c>
      <c r="J407" s="257">
        <v>0</v>
      </c>
      <c r="K407" s="257">
        <v>9723930</v>
      </c>
      <c r="L407" s="257">
        <v>9723930</v>
      </c>
      <c r="M407" s="257">
        <v>0</v>
      </c>
      <c r="N407" s="257">
        <v>0</v>
      </c>
    </row>
    <row r="408" spans="1:14" s="143" customFormat="1" x14ac:dyDescent="0.25">
      <c r="A408" s="143" t="s">
        <v>334</v>
      </c>
      <c r="B408" s="143" t="s">
        <v>364</v>
      </c>
      <c r="C408" s="143" t="s">
        <v>656</v>
      </c>
      <c r="D408" s="143" t="s">
        <v>85</v>
      </c>
      <c r="E408" s="257">
        <v>9066100000</v>
      </c>
      <c r="F408" s="257">
        <v>9066100000</v>
      </c>
      <c r="G408" s="257">
        <v>3066100000</v>
      </c>
      <c r="H408" s="257">
        <v>0</v>
      </c>
      <c r="I408" s="257">
        <v>3066100000</v>
      </c>
      <c r="J408" s="257">
        <v>0</v>
      </c>
      <c r="K408" s="257">
        <v>0</v>
      </c>
      <c r="L408" s="257">
        <v>0</v>
      </c>
      <c r="M408" s="257">
        <v>6000000000</v>
      </c>
      <c r="N408" s="257">
        <v>0</v>
      </c>
    </row>
    <row r="409" spans="1:14" s="143" customFormat="1" x14ac:dyDescent="0.25">
      <c r="A409" s="143" t="s">
        <v>334</v>
      </c>
      <c r="B409" s="143" t="s">
        <v>366</v>
      </c>
      <c r="C409" s="143" t="s">
        <v>367</v>
      </c>
      <c r="D409" s="143" t="s">
        <v>69</v>
      </c>
      <c r="E409" s="257">
        <v>550000000</v>
      </c>
      <c r="F409" s="257">
        <v>550000000</v>
      </c>
      <c r="G409" s="257">
        <v>137500000</v>
      </c>
      <c r="H409" s="257">
        <v>0</v>
      </c>
      <c r="I409" s="257">
        <v>92500000</v>
      </c>
      <c r="J409" s="257">
        <v>0</v>
      </c>
      <c r="K409" s="257">
        <v>45000000</v>
      </c>
      <c r="L409" s="257">
        <v>0</v>
      </c>
      <c r="M409" s="257">
        <v>412500000</v>
      </c>
      <c r="N409" s="257">
        <v>0</v>
      </c>
    </row>
    <row r="410" spans="1:14" s="143" customFormat="1" x14ac:dyDescent="0.25">
      <c r="A410" s="143" t="s">
        <v>334</v>
      </c>
      <c r="B410" s="143" t="s">
        <v>368</v>
      </c>
      <c r="C410" s="143" t="s">
        <v>369</v>
      </c>
      <c r="D410" s="143" t="s">
        <v>69</v>
      </c>
      <c r="E410" s="257">
        <v>550000000</v>
      </c>
      <c r="F410" s="257">
        <v>550000000</v>
      </c>
      <c r="G410" s="257">
        <v>137500000</v>
      </c>
      <c r="H410" s="257">
        <v>0</v>
      </c>
      <c r="I410" s="257">
        <v>92500000</v>
      </c>
      <c r="J410" s="257">
        <v>0</v>
      </c>
      <c r="K410" s="257">
        <v>45000000</v>
      </c>
      <c r="L410" s="257">
        <v>0</v>
      </c>
      <c r="M410" s="257">
        <v>412500000</v>
      </c>
      <c r="N410" s="257">
        <v>0</v>
      </c>
    </row>
    <row r="411" spans="1:14" s="143" customFormat="1" x14ac:dyDescent="0.25">
      <c r="A411" s="143" t="s">
        <v>334</v>
      </c>
      <c r="B411" s="143" t="s">
        <v>260</v>
      </c>
      <c r="C411" s="143" t="s">
        <v>261</v>
      </c>
      <c r="D411" s="143" t="s">
        <v>69</v>
      </c>
      <c r="E411" s="257">
        <v>1002889000</v>
      </c>
      <c r="F411" s="257">
        <v>1002889000</v>
      </c>
      <c r="G411" s="257">
        <v>425520173</v>
      </c>
      <c r="H411" s="257">
        <v>0</v>
      </c>
      <c r="I411" s="257">
        <v>20557775.109999999</v>
      </c>
      <c r="J411" s="257">
        <v>0</v>
      </c>
      <c r="K411" s="257">
        <v>56267354.740000002</v>
      </c>
      <c r="L411" s="257">
        <v>56267354.740000002</v>
      </c>
      <c r="M411" s="257">
        <v>926063870.14999998</v>
      </c>
      <c r="N411" s="257">
        <v>348695043.14999998</v>
      </c>
    </row>
    <row r="412" spans="1:14" s="143" customFormat="1" x14ac:dyDescent="0.25">
      <c r="A412" s="143" t="s">
        <v>334</v>
      </c>
      <c r="B412" s="143" t="s">
        <v>262</v>
      </c>
      <c r="C412" s="143" t="s">
        <v>263</v>
      </c>
      <c r="D412" s="143" t="s">
        <v>69</v>
      </c>
      <c r="E412" s="257">
        <v>657462000</v>
      </c>
      <c r="F412" s="257">
        <v>657462000</v>
      </c>
      <c r="G412" s="257">
        <v>80093173</v>
      </c>
      <c r="H412" s="257">
        <v>0</v>
      </c>
      <c r="I412" s="257">
        <v>20557775.109999999</v>
      </c>
      <c r="J412" s="257">
        <v>0</v>
      </c>
      <c r="K412" s="257">
        <v>31736332.239999998</v>
      </c>
      <c r="L412" s="257">
        <v>31736332.239999998</v>
      </c>
      <c r="M412" s="257">
        <v>605167892.64999998</v>
      </c>
      <c r="N412" s="257">
        <v>27799065.649999999</v>
      </c>
    </row>
    <row r="413" spans="1:14" s="143" customFormat="1" x14ac:dyDescent="0.25">
      <c r="A413" s="143" t="s">
        <v>334</v>
      </c>
      <c r="B413" s="143" t="s">
        <v>264</v>
      </c>
      <c r="C413" s="143" t="s">
        <v>265</v>
      </c>
      <c r="D413" s="143" t="s">
        <v>69</v>
      </c>
      <c r="E413" s="257">
        <v>345427000</v>
      </c>
      <c r="F413" s="257">
        <v>345427000</v>
      </c>
      <c r="G413" s="257">
        <v>345427000</v>
      </c>
      <c r="H413" s="257">
        <v>0</v>
      </c>
      <c r="I413" s="257">
        <v>0</v>
      </c>
      <c r="J413" s="257">
        <v>0</v>
      </c>
      <c r="K413" s="257">
        <v>24531022.5</v>
      </c>
      <c r="L413" s="257">
        <v>24531022.5</v>
      </c>
      <c r="M413" s="257">
        <v>320895977.5</v>
      </c>
      <c r="N413" s="257">
        <v>320895977.5</v>
      </c>
    </row>
    <row r="414" spans="1:14" s="143" customFormat="1" x14ac:dyDescent="0.25">
      <c r="A414" s="143" t="s">
        <v>334</v>
      </c>
      <c r="B414" s="143" t="s">
        <v>286</v>
      </c>
      <c r="C414" s="143" t="s">
        <v>287</v>
      </c>
      <c r="D414" s="143" t="s">
        <v>69</v>
      </c>
      <c r="E414" s="257">
        <v>88352000</v>
      </c>
      <c r="F414" s="257">
        <v>88352000</v>
      </c>
      <c r="G414" s="257">
        <v>22088000</v>
      </c>
      <c r="H414" s="257">
        <v>0</v>
      </c>
      <c r="I414" s="257">
        <v>43078687.030000001</v>
      </c>
      <c r="J414" s="257">
        <v>0</v>
      </c>
      <c r="K414" s="257">
        <v>0</v>
      </c>
      <c r="L414" s="257">
        <v>0</v>
      </c>
      <c r="M414" s="257">
        <v>45273312.969999999</v>
      </c>
      <c r="N414" s="257">
        <v>-20990687.030000001</v>
      </c>
    </row>
    <row r="415" spans="1:14" s="143" customFormat="1" x14ac:dyDescent="0.25">
      <c r="A415" s="143" t="s">
        <v>334</v>
      </c>
      <c r="B415" s="143" t="s">
        <v>288</v>
      </c>
      <c r="C415" s="143" t="s">
        <v>289</v>
      </c>
      <c r="D415" s="143" t="s">
        <v>69</v>
      </c>
      <c r="E415" s="257">
        <v>65000000</v>
      </c>
      <c r="F415" s="257">
        <v>65000000</v>
      </c>
      <c r="G415" s="257">
        <v>16250000</v>
      </c>
      <c r="H415" s="257">
        <v>0</v>
      </c>
      <c r="I415" s="257">
        <v>29897166.530000001</v>
      </c>
      <c r="J415" s="257">
        <v>0</v>
      </c>
      <c r="K415" s="257">
        <v>0</v>
      </c>
      <c r="L415" s="257">
        <v>0</v>
      </c>
      <c r="M415" s="257">
        <v>35102833.469999999</v>
      </c>
      <c r="N415" s="257">
        <v>-13647166.529999999</v>
      </c>
    </row>
    <row r="416" spans="1:14" s="143" customFormat="1" x14ac:dyDescent="0.25">
      <c r="A416" s="143" t="s">
        <v>334</v>
      </c>
      <c r="B416" s="143" t="s">
        <v>370</v>
      </c>
      <c r="C416" s="143" t="s">
        <v>371</v>
      </c>
      <c r="D416" s="143" t="s">
        <v>69</v>
      </c>
      <c r="E416" s="257">
        <v>23352000</v>
      </c>
      <c r="F416" s="257">
        <v>23352000</v>
      </c>
      <c r="G416" s="257">
        <v>5838000</v>
      </c>
      <c r="H416" s="257">
        <v>0</v>
      </c>
      <c r="I416" s="257">
        <v>13181520.5</v>
      </c>
      <c r="J416" s="257">
        <v>0</v>
      </c>
      <c r="K416" s="257">
        <v>0</v>
      </c>
      <c r="L416" s="257">
        <v>0</v>
      </c>
      <c r="M416" s="257">
        <v>10170479.5</v>
      </c>
      <c r="N416" s="593">
        <v>-7343520.5</v>
      </c>
    </row>
    <row r="417" spans="1:14" s="143" customFormat="1" x14ac:dyDescent="0.25">
      <c r="A417" s="143" t="s">
        <v>334</v>
      </c>
      <c r="B417" s="143" t="s">
        <v>372</v>
      </c>
      <c r="C417" s="143" t="s">
        <v>373</v>
      </c>
      <c r="D417" s="143" t="s">
        <v>85</v>
      </c>
      <c r="E417" s="257">
        <v>573100000</v>
      </c>
      <c r="F417" s="257">
        <v>573100000</v>
      </c>
      <c r="G417" s="257">
        <v>143275000</v>
      </c>
      <c r="H417" s="257">
        <v>0</v>
      </c>
      <c r="I417" s="257">
        <v>0</v>
      </c>
      <c r="J417" s="257">
        <v>0</v>
      </c>
      <c r="K417" s="257">
        <v>0</v>
      </c>
      <c r="L417" s="257">
        <v>0</v>
      </c>
      <c r="M417" s="257">
        <v>573100000</v>
      </c>
      <c r="N417" s="257">
        <v>143275000</v>
      </c>
    </row>
    <row r="418" spans="1:14" s="143" customFormat="1" x14ac:dyDescent="0.25">
      <c r="A418" s="143" t="s">
        <v>334</v>
      </c>
      <c r="B418" s="143" t="s">
        <v>374</v>
      </c>
      <c r="C418" s="143" t="s">
        <v>375</v>
      </c>
      <c r="D418" s="143" t="s">
        <v>85</v>
      </c>
      <c r="E418" s="257">
        <v>573100000</v>
      </c>
      <c r="F418" s="257">
        <v>573100000</v>
      </c>
      <c r="G418" s="257">
        <v>143275000</v>
      </c>
      <c r="H418" s="257">
        <v>0</v>
      </c>
      <c r="I418" s="257">
        <v>0</v>
      </c>
      <c r="J418" s="257">
        <v>0</v>
      </c>
      <c r="K418" s="257">
        <v>0</v>
      </c>
      <c r="L418" s="257">
        <v>0</v>
      </c>
      <c r="M418" s="257">
        <v>573100000</v>
      </c>
      <c r="N418" s="257">
        <v>143275000</v>
      </c>
    </row>
    <row r="419" spans="1:14" s="143" customFormat="1" x14ac:dyDescent="0.25">
      <c r="A419" s="143" t="s">
        <v>334</v>
      </c>
      <c r="B419" s="143" t="s">
        <v>376</v>
      </c>
      <c r="C419" s="143" t="s">
        <v>377</v>
      </c>
      <c r="D419" s="143" t="s">
        <v>85</v>
      </c>
      <c r="E419" s="257">
        <v>573100000</v>
      </c>
      <c r="F419" s="257">
        <v>573100000</v>
      </c>
      <c r="G419" s="257">
        <v>143275000</v>
      </c>
      <c r="H419" s="257">
        <v>0</v>
      </c>
      <c r="I419" s="257">
        <v>0</v>
      </c>
      <c r="J419" s="257">
        <v>0</v>
      </c>
      <c r="K419" s="257">
        <v>0</v>
      </c>
      <c r="L419" s="257">
        <v>0</v>
      </c>
      <c r="M419" s="257">
        <v>573100000</v>
      </c>
      <c r="N419" s="257">
        <v>143275000</v>
      </c>
    </row>
    <row r="420" spans="1:14" s="143" customFormat="1" x14ac:dyDescent="0.25">
      <c r="A420" s="143">
        <v>214784</v>
      </c>
      <c r="D420" s="143" t="s">
        <v>69</v>
      </c>
      <c r="E420" s="257">
        <v>13837611334</v>
      </c>
      <c r="F420" s="257">
        <v>13837611334</v>
      </c>
      <c r="G420" s="257">
        <v>13615521834</v>
      </c>
      <c r="H420" s="257">
        <v>0</v>
      </c>
      <c r="I420" s="257">
        <v>2171986864.21</v>
      </c>
      <c r="J420" s="257">
        <v>0</v>
      </c>
      <c r="K420" s="257">
        <v>1629058459.9300001</v>
      </c>
      <c r="L420" s="257">
        <v>1629058459.9300001</v>
      </c>
      <c r="M420" s="257">
        <v>10036566009.860001</v>
      </c>
      <c r="N420" s="257">
        <v>9814476509.8600006</v>
      </c>
    </row>
    <row r="421" spans="1:14" s="143" customFormat="1" x14ac:dyDescent="0.25">
      <c r="A421" s="143" t="s">
        <v>378</v>
      </c>
      <c r="B421" s="143" t="s">
        <v>71</v>
      </c>
      <c r="C421" s="143" t="s">
        <v>72</v>
      </c>
      <c r="D421" s="143" t="s">
        <v>69</v>
      </c>
      <c r="E421" s="257">
        <v>13313316000</v>
      </c>
      <c r="F421" s="257">
        <v>13313316000</v>
      </c>
      <c r="G421" s="257">
        <v>13313316000</v>
      </c>
      <c r="H421" s="257">
        <v>0</v>
      </c>
      <c r="I421" s="257">
        <v>1948956394.22</v>
      </c>
      <c r="J421" s="257">
        <v>0</v>
      </c>
      <c r="K421" s="257">
        <v>1621104019.9200001</v>
      </c>
      <c r="L421" s="257">
        <v>1621104019.9200001</v>
      </c>
      <c r="M421" s="257">
        <v>9743255585.8600006</v>
      </c>
      <c r="N421" s="257">
        <v>9743255585.8600006</v>
      </c>
    </row>
    <row r="422" spans="1:14" s="143" customFormat="1" x14ac:dyDescent="0.25">
      <c r="A422" s="143" t="s">
        <v>378</v>
      </c>
      <c r="B422" s="143" t="s">
        <v>73</v>
      </c>
      <c r="C422" s="143" t="s">
        <v>74</v>
      </c>
      <c r="D422" s="143" t="s">
        <v>69</v>
      </c>
      <c r="E422" s="257">
        <v>4473382000</v>
      </c>
      <c r="F422" s="257">
        <v>4473382000</v>
      </c>
      <c r="G422" s="257">
        <v>4473382000</v>
      </c>
      <c r="H422" s="257">
        <v>0</v>
      </c>
      <c r="I422" s="257">
        <v>0</v>
      </c>
      <c r="J422" s="257">
        <v>0</v>
      </c>
      <c r="K422" s="257">
        <v>336735828.19</v>
      </c>
      <c r="L422" s="257">
        <v>336735828.19</v>
      </c>
      <c r="M422" s="257">
        <v>4136646171.8099999</v>
      </c>
      <c r="N422" s="257">
        <v>4136646171.8099999</v>
      </c>
    </row>
    <row r="423" spans="1:14" s="143" customFormat="1" x14ac:dyDescent="0.25">
      <c r="A423" s="143" t="s">
        <v>378</v>
      </c>
      <c r="B423" s="143" t="s">
        <v>75</v>
      </c>
      <c r="C423" s="143" t="s">
        <v>76</v>
      </c>
      <c r="D423" s="143" t="s">
        <v>69</v>
      </c>
      <c r="E423" s="257">
        <v>4473382000</v>
      </c>
      <c r="F423" s="257">
        <v>4473382000</v>
      </c>
      <c r="G423" s="257">
        <v>4473382000</v>
      </c>
      <c r="H423" s="257">
        <v>0</v>
      </c>
      <c r="I423" s="257">
        <v>0</v>
      </c>
      <c r="J423" s="257">
        <v>0</v>
      </c>
      <c r="K423" s="257">
        <v>336735828.19</v>
      </c>
      <c r="L423" s="257">
        <v>336735828.19</v>
      </c>
      <c r="M423" s="257">
        <v>4136646171.8099999</v>
      </c>
      <c r="N423" s="257">
        <v>4136646171.8099999</v>
      </c>
    </row>
    <row r="424" spans="1:14" s="143" customFormat="1" x14ac:dyDescent="0.25">
      <c r="A424" s="143" t="s">
        <v>378</v>
      </c>
      <c r="B424" s="143" t="s">
        <v>77</v>
      </c>
      <c r="C424" s="143" t="s">
        <v>78</v>
      </c>
      <c r="D424" s="143" t="s">
        <v>69</v>
      </c>
      <c r="E424" s="257">
        <v>6745487000</v>
      </c>
      <c r="F424" s="257">
        <v>6745487000</v>
      </c>
      <c r="G424" s="257">
        <v>6745487000</v>
      </c>
      <c r="H424" s="257">
        <v>0</v>
      </c>
      <c r="I424" s="257">
        <v>0</v>
      </c>
      <c r="J424" s="257">
        <v>0</v>
      </c>
      <c r="K424" s="257">
        <v>1138877585.95</v>
      </c>
      <c r="L424" s="257">
        <v>1138877585.95</v>
      </c>
      <c r="M424" s="257">
        <v>5606609414.0500002</v>
      </c>
      <c r="N424" s="257">
        <v>5606609414.0500002</v>
      </c>
    </row>
    <row r="425" spans="1:14" s="143" customFormat="1" x14ac:dyDescent="0.25">
      <c r="A425" s="143" t="s">
        <v>378</v>
      </c>
      <c r="B425" s="143" t="s">
        <v>79</v>
      </c>
      <c r="C425" s="143" t="s">
        <v>80</v>
      </c>
      <c r="D425" s="143" t="s">
        <v>69</v>
      </c>
      <c r="E425" s="257">
        <v>1460185000</v>
      </c>
      <c r="F425" s="257">
        <v>1460185000</v>
      </c>
      <c r="G425" s="257">
        <v>1460185000</v>
      </c>
      <c r="H425" s="257">
        <v>0</v>
      </c>
      <c r="I425" s="257">
        <v>0</v>
      </c>
      <c r="J425" s="257">
        <v>0</v>
      </c>
      <c r="K425" s="257">
        <v>110871693.18000001</v>
      </c>
      <c r="L425" s="257">
        <v>110871693.18000001</v>
      </c>
      <c r="M425" s="257">
        <v>1349313306.8199999</v>
      </c>
      <c r="N425" s="257">
        <v>1349313306.8199999</v>
      </c>
    </row>
    <row r="426" spans="1:14" s="143" customFormat="1" x14ac:dyDescent="0.25">
      <c r="A426" s="143" t="s">
        <v>378</v>
      </c>
      <c r="B426" s="143" t="s">
        <v>81</v>
      </c>
      <c r="C426" s="143" t="s">
        <v>82</v>
      </c>
      <c r="D426" s="143" t="s">
        <v>69</v>
      </c>
      <c r="E426" s="257">
        <v>2519609000</v>
      </c>
      <c r="F426" s="257">
        <v>2519609000</v>
      </c>
      <c r="G426" s="257">
        <v>2519609000</v>
      </c>
      <c r="H426" s="257">
        <v>0</v>
      </c>
      <c r="I426" s="257">
        <v>0</v>
      </c>
      <c r="J426" s="257">
        <v>0</v>
      </c>
      <c r="K426" s="257">
        <v>196699015.50999999</v>
      </c>
      <c r="L426" s="257">
        <v>196699015.50999999</v>
      </c>
      <c r="M426" s="257">
        <v>2322909984.4899998</v>
      </c>
      <c r="N426" s="257">
        <v>2322909984.4899998</v>
      </c>
    </row>
    <row r="427" spans="1:14" s="143" customFormat="1" x14ac:dyDescent="0.25">
      <c r="A427" s="143" t="s">
        <v>378</v>
      </c>
      <c r="B427" s="143" t="s">
        <v>86</v>
      </c>
      <c r="C427" s="143" t="s">
        <v>87</v>
      </c>
      <c r="D427" s="143" t="s">
        <v>69</v>
      </c>
      <c r="E427" s="257">
        <v>738904000</v>
      </c>
      <c r="F427" s="257">
        <v>738904000</v>
      </c>
      <c r="G427" s="257">
        <v>738904000</v>
      </c>
      <c r="H427" s="257">
        <v>0</v>
      </c>
      <c r="I427" s="257">
        <v>0</v>
      </c>
      <c r="J427" s="257">
        <v>0</v>
      </c>
      <c r="K427" s="257">
        <v>737016521.14999998</v>
      </c>
      <c r="L427" s="257">
        <v>737016521.14999998</v>
      </c>
      <c r="M427" s="257">
        <v>1887478.85</v>
      </c>
      <c r="N427" s="257">
        <v>1887478.85</v>
      </c>
    </row>
    <row r="428" spans="1:14" s="143" customFormat="1" x14ac:dyDescent="0.25">
      <c r="A428" s="143" t="s">
        <v>378</v>
      </c>
      <c r="B428" s="143" t="s">
        <v>88</v>
      </c>
      <c r="C428" s="143" t="s">
        <v>89</v>
      </c>
      <c r="D428" s="143" t="s">
        <v>69</v>
      </c>
      <c r="E428" s="257">
        <v>1196454000</v>
      </c>
      <c r="F428" s="257">
        <v>1196454000</v>
      </c>
      <c r="G428" s="257">
        <v>1196454000</v>
      </c>
      <c r="H428" s="257">
        <v>0</v>
      </c>
      <c r="I428" s="257">
        <v>0</v>
      </c>
      <c r="J428" s="257">
        <v>0</v>
      </c>
      <c r="K428" s="257">
        <v>94290356.109999999</v>
      </c>
      <c r="L428" s="257">
        <v>94290356.109999999</v>
      </c>
      <c r="M428" s="257">
        <v>1102163643.8900001</v>
      </c>
      <c r="N428" s="257">
        <v>1102163643.8900001</v>
      </c>
    </row>
    <row r="429" spans="1:14" s="143" customFormat="1" x14ac:dyDescent="0.25">
      <c r="A429" s="143" t="s">
        <v>378</v>
      </c>
      <c r="B429" s="143" t="s">
        <v>83</v>
      </c>
      <c r="C429" s="143" t="s">
        <v>84</v>
      </c>
      <c r="D429" s="143" t="s">
        <v>85</v>
      </c>
      <c r="E429" s="257">
        <v>830335000</v>
      </c>
      <c r="F429" s="257">
        <v>830335000</v>
      </c>
      <c r="G429" s="257">
        <v>830335000</v>
      </c>
      <c r="H429" s="257">
        <v>0</v>
      </c>
      <c r="I429" s="257">
        <v>0</v>
      </c>
      <c r="J429" s="257">
        <v>0</v>
      </c>
      <c r="K429" s="257">
        <v>0</v>
      </c>
      <c r="L429" s="257">
        <v>0</v>
      </c>
      <c r="M429" s="257">
        <v>830335000</v>
      </c>
      <c r="N429" s="257">
        <v>830335000</v>
      </c>
    </row>
    <row r="430" spans="1:14" s="143" customFormat="1" x14ac:dyDescent="0.25">
      <c r="A430" s="143" t="s">
        <v>378</v>
      </c>
      <c r="B430" s="143" t="s">
        <v>90</v>
      </c>
      <c r="C430" s="143" t="s">
        <v>91</v>
      </c>
      <c r="D430" s="143" t="s">
        <v>69</v>
      </c>
      <c r="E430" s="257">
        <v>1012881000</v>
      </c>
      <c r="F430" s="257">
        <v>1012881000</v>
      </c>
      <c r="G430" s="257">
        <v>1012881000</v>
      </c>
      <c r="H430" s="257">
        <v>0</v>
      </c>
      <c r="I430" s="257">
        <v>940074588</v>
      </c>
      <c r="J430" s="257">
        <v>0</v>
      </c>
      <c r="K430" s="257">
        <v>72806412</v>
      </c>
      <c r="L430" s="257">
        <v>72806412</v>
      </c>
      <c r="M430" s="257">
        <v>0</v>
      </c>
      <c r="N430" s="257">
        <v>0</v>
      </c>
    </row>
    <row r="431" spans="1:14" s="143" customFormat="1" x14ac:dyDescent="0.25">
      <c r="A431" s="143" t="s">
        <v>378</v>
      </c>
      <c r="B431" s="143" t="s">
        <v>379</v>
      </c>
      <c r="C431" s="143" t="s">
        <v>93</v>
      </c>
      <c r="D431" s="143" t="s">
        <v>69</v>
      </c>
      <c r="E431" s="257">
        <v>960939000</v>
      </c>
      <c r="F431" s="257">
        <v>960939000</v>
      </c>
      <c r="G431" s="257">
        <v>960939000</v>
      </c>
      <c r="H431" s="257">
        <v>0</v>
      </c>
      <c r="I431" s="257">
        <v>891866253</v>
      </c>
      <c r="J431" s="257">
        <v>0</v>
      </c>
      <c r="K431" s="257">
        <v>69072747</v>
      </c>
      <c r="L431" s="257">
        <v>69072747</v>
      </c>
      <c r="M431" s="257">
        <v>0</v>
      </c>
      <c r="N431" s="257">
        <v>0</v>
      </c>
    </row>
    <row r="432" spans="1:14" s="143" customFormat="1" x14ac:dyDescent="0.25">
      <c r="A432" s="143" t="s">
        <v>378</v>
      </c>
      <c r="B432" s="143" t="s">
        <v>380</v>
      </c>
      <c r="C432" s="143" t="s">
        <v>95</v>
      </c>
      <c r="D432" s="143" t="s">
        <v>69</v>
      </c>
      <c r="E432" s="257">
        <v>51942000</v>
      </c>
      <c r="F432" s="257">
        <v>51942000</v>
      </c>
      <c r="G432" s="257">
        <v>51942000</v>
      </c>
      <c r="H432" s="257">
        <v>0</v>
      </c>
      <c r="I432" s="257">
        <v>48208335</v>
      </c>
      <c r="J432" s="257">
        <v>0</v>
      </c>
      <c r="K432" s="257">
        <v>3733665</v>
      </c>
      <c r="L432" s="257">
        <v>3733665</v>
      </c>
      <c r="M432" s="257">
        <v>0</v>
      </c>
      <c r="N432" s="257">
        <v>0</v>
      </c>
    </row>
    <row r="433" spans="1:14" s="143" customFormat="1" x14ac:dyDescent="0.25">
      <c r="A433" s="143" t="s">
        <v>378</v>
      </c>
      <c r="B433" s="143" t="s">
        <v>96</v>
      </c>
      <c r="C433" s="143" t="s">
        <v>97</v>
      </c>
      <c r="D433" s="143" t="s">
        <v>69</v>
      </c>
      <c r="E433" s="257">
        <v>1081566000</v>
      </c>
      <c r="F433" s="257">
        <v>1081566000</v>
      </c>
      <c r="G433" s="257">
        <v>1081566000</v>
      </c>
      <c r="H433" s="257">
        <v>0</v>
      </c>
      <c r="I433" s="257">
        <v>1008881806.22</v>
      </c>
      <c r="J433" s="257">
        <v>0</v>
      </c>
      <c r="K433" s="257">
        <v>72684193.780000001</v>
      </c>
      <c r="L433" s="257">
        <v>72684193.780000001</v>
      </c>
      <c r="M433" s="257">
        <v>0</v>
      </c>
      <c r="N433" s="257">
        <v>0</v>
      </c>
    </row>
    <row r="434" spans="1:14" s="143" customFormat="1" x14ac:dyDescent="0.25">
      <c r="A434" s="143" t="s">
        <v>378</v>
      </c>
      <c r="B434" s="143" t="s">
        <v>381</v>
      </c>
      <c r="C434" s="143" t="s">
        <v>99</v>
      </c>
      <c r="D434" s="143" t="s">
        <v>69</v>
      </c>
      <c r="E434" s="257">
        <v>527737000</v>
      </c>
      <c r="F434" s="257">
        <v>527737000</v>
      </c>
      <c r="G434" s="257">
        <v>527737000</v>
      </c>
      <c r="H434" s="257">
        <v>0</v>
      </c>
      <c r="I434" s="257">
        <v>495380564</v>
      </c>
      <c r="J434" s="257">
        <v>0</v>
      </c>
      <c r="K434" s="257">
        <v>32356436</v>
      </c>
      <c r="L434" s="257">
        <v>32356436</v>
      </c>
      <c r="M434" s="257">
        <v>0</v>
      </c>
      <c r="N434" s="257">
        <v>0</v>
      </c>
    </row>
    <row r="435" spans="1:14" s="143" customFormat="1" x14ac:dyDescent="0.25">
      <c r="A435" s="143" t="s">
        <v>378</v>
      </c>
      <c r="B435" s="143" t="s">
        <v>382</v>
      </c>
      <c r="C435" s="143" t="s">
        <v>101</v>
      </c>
      <c r="D435" s="143" t="s">
        <v>69</v>
      </c>
      <c r="E435" s="257">
        <v>155828000</v>
      </c>
      <c r="F435" s="257">
        <v>155828000</v>
      </c>
      <c r="G435" s="257">
        <v>155828000</v>
      </c>
      <c r="H435" s="257">
        <v>0</v>
      </c>
      <c r="I435" s="257">
        <v>144627015</v>
      </c>
      <c r="J435" s="257">
        <v>0</v>
      </c>
      <c r="K435" s="257">
        <v>11200985</v>
      </c>
      <c r="L435" s="257">
        <v>11200985</v>
      </c>
      <c r="M435" s="257">
        <v>0</v>
      </c>
      <c r="N435" s="257">
        <v>0</v>
      </c>
    </row>
    <row r="436" spans="1:14" s="143" customFormat="1" x14ac:dyDescent="0.25">
      <c r="A436" s="143" t="s">
        <v>378</v>
      </c>
      <c r="B436" s="143" t="s">
        <v>383</v>
      </c>
      <c r="C436" s="143" t="s">
        <v>103</v>
      </c>
      <c r="D436" s="143" t="s">
        <v>69</v>
      </c>
      <c r="E436" s="257">
        <v>311656000</v>
      </c>
      <c r="F436" s="257">
        <v>311656000</v>
      </c>
      <c r="G436" s="257">
        <v>311656000</v>
      </c>
      <c r="H436" s="257">
        <v>0</v>
      </c>
      <c r="I436" s="257">
        <v>289254035</v>
      </c>
      <c r="J436" s="257">
        <v>0</v>
      </c>
      <c r="K436" s="257">
        <v>22401965</v>
      </c>
      <c r="L436" s="257">
        <v>22401965</v>
      </c>
      <c r="M436" s="257">
        <v>0</v>
      </c>
      <c r="N436" s="257">
        <v>0</v>
      </c>
    </row>
    <row r="437" spans="1:14" s="143" customFormat="1" x14ac:dyDescent="0.25">
      <c r="A437" s="143" t="s">
        <v>378</v>
      </c>
      <c r="B437" s="143" t="s">
        <v>384</v>
      </c>
      <c r="C437" s="143" t="s">
        <v>385</v>
      </c>
      <c r="D437" s="143" t="s">
        <v>69</v>
      </c>
      <c r="E437" s="257">
        <v>86345000</v>
      </c>
      <c r="F437" s="257">
        <v>86345000</v>
      </c>
      <c r="G437" s="257">
        <v>86345000</v>
      </c>
      <c r="H437" s="257">
        <v>0</v>
      </c>
      <c r="I437" s="257">
        <v>79620192.219999999</v>
      </c>
      <c r="J437" s="257">
        <v>0</v>
      </c>
      <c r="K437" s="257">
        <v>6724807.7800000003</v>
      </c>
      <c r="L437" s="257">
        <v>6724807.7800000003</v>
      </c>
      <c r="M437" s="257">
        <v>0</v>
      </c>
      <c r="N437" s="257">
        <v>0</v>
      </c>
    </row>
    <row r="438" spans="1:14" s="143" customFormat="1" x14ac:dyDescent="0.25">
      <c r="A438" s="143" t="s">
        <v>378</v>
      </c>
      <c r="B438" s="143" t="s">
        <v>104</v>
      </c>
      <c r="C438" s="143" t="s">
        <v>105</v>
      </c>
      <c r="D438" s="143" t="s">
        <v>69</v>
      </c>
      <c r="E438" s="257">
        <v>31730334</v>
      </c>
      <c r="F438" s="257">
        <v>31730334</v>
      </c>
      <c r="G438" s="257">
        <v>0</v>
      </c>
      <c r="H438" s="257">
        <v>0</v>
      </c>
      <c r="I438" s="257">
        <v>410517</v>
      </c>
      <c r="J438" s="257">
        <v>0</v>
      </c>
      <c r="K438" s="257">
        <v>0</v>
      </c>
      <c r="L438" s="257">
        <v>0</v>
      </c>
      <c r="M438" s="257">
        <v>31319817</v>
      </c>
      <c r="N438" s="275">
        <v>-410517</v>
      </c>
    </row>
    <row r="439" spans="1:14" s="143" customFormat="1" x14ac:dyDescent="0.25">
      <c r="A439" s="143" t="s">
        <v>378</v>
      </c>
      <c r="B439" s="143" t="s">
        <v>150</v>
      </c>
      <c r="C439" s="143" t="s">
        <v>151</v>
      </c>
      <c r="D439" s="143" t="s">
        <v>69</v>
      </c>
      <c r="E439" s="257">
        <v>31730334</v>
      </c>
      <c r="F439" s="257">
        <v>31730334</v>
      </c>
      <c r="G439" s="257">
        <v>0</v>
      </c>
      <c r="H439" s="257">
        <v>0</v>
      </c>
      <c r="I439" s="257">
        <v>410517</v>
      </c>
      <c r="J439" s="257">
        <v>0</v>
      </c>
      <c r="K439" s="257">
        <v>0</v>
      </c>
      <c r="L439" s="257">
        <v>0</v>
      </c>
      <c r="M439" s="257">
        <v>31319817</v>
      </c>
      <c r="N439" s="275">
        <v>-410517</v>
      </c>
    </row>
    <row r="440" spans="1:14" s="143" customFormat="1" x14ac:dyDescent="0.25">
      <c r="A440" s="143" t="s">
        <v>378</v>
      </c>
      <c r="B440" s="143" t="s">
        <v>152</v>
      </c>
      <c r="C440" s="143" t="s">
        <v>153</v>
      </c>
      <c r="D440" s="143" t="s">
        <v>69</v>
      </c>
      <c r="E440" s="257">
        <v>31730334</v>
      </c>
      <c r="F440" s="257">
        <v>31730334</v>
      </c>
      <c r="G440" s="257">
        <v>0</v>
      </c>
      <c r="H440" s="257">
        <v>0</v>
      </c>
      <c r="I440" s="257">
        <v>410517</v>
      </c>
      <c r="J440" s="257">
        <v>0</v>
      </c>
      <c r="K440" s="257">
        <v>0</v>
      </c>
      <c r="L440" s="257">
        <v>0</v>
      </c>
      <c r="M440" s="257">
        <v>31319817</v>
      </c>
      <c r="N440" s="275">
        <v>-410517</v>
      </c>
    </row>
    <row r="441" spans="1:14" s="143" customFormat="1" x14ac:dyDescent="0.25">
      <c r="A441" s="143" t="s">
        <v>378</v>
      </c>
      <c r="B441" s="143" t="s">
        <v>248</v>
      </c>
      <c r="C441" s="143" t="s">
        <v>249</v>
      </c>
      <c r="D441" s="143" t="s">
        <v>69</v>
      </c>
      <c r="E441" s="257">
        <v>492565000</v>
      </c>
      <c r="F441" s="257">
        <v>492565000</v>
      </c>
      <c r="G441" s="257">
        <v>302205834</v>
      </c>
      <c r="H441" s="257">
        <v>0</v>
      </c>
      <c r="I441" s="257">
        <v>222619952.99000001</v>
      </c>
      <c r="J441" s="257">
        <v>0</v>
      </c>
      <c r="K441" s="257">
        <v>7954440.0099999998</v>
      </c>
      <c r="L441" s="257">
        <v>7954440.0099999998</v>
      </c>
      <c r="M441" s="257">
        <v>261990607</v>
      </c>
      <c r="N441" s="257">
        <v>71631441</v>
      </c>
    </row>
    <row r="442" spans="1:14" s="143" customFormat="1" x14ac:dyDescent="0.25">
      <c r="A442" s="143" t="s">
        <v>378</v>
      </c>
      <c r="B442" s="143" t="s">
        <v>250</v>
      </c>
      <c r="C442" s="143" t="s">
        <v>251</v>
      </c>
      <c r="D442" s="143" t="s">
        <v>69</v>
      </c>
      <c r="E442" s="257">
        <v>154788000</v>
      </c>
      <c r="F442" s="257">
        <v>154788000</v>
      </c>
      <c r="G442" s="257">
        <v>154788000</v>
      </c>
      <c r="H442" s="257">
        <v>0</v>
      </c>
      <c r="I442" s="257">
        <v>148590120.99000001</v>
      </c>
      <c r="J442" s="257">
        <v>0</v>
      </c>
      <c r="K442" s="257">
        <v>6197879.0099999998</v>
      </c>
      <c r="L442" s="257">
        <v>6197879.0099999998</v>
      </c>
      <c r="M442" s="257">
        <v>0</v>
      </c>
      <c r="N442" s="257">
        <v>0</v>
      </c>
    </row>
    <row r="443" spans="1:14" s="143" customFormat="1" x14ac:dyDescent="0.25">
      <c r="A443" s="143" t="s">
        <v>378</v>
      </c>
      <c r="B443" s="143" t="s">
        <v>386</v>
      </c>
      <c r="C443" s="143" t="s">
        <v>257</v>
      </c>
      <c r="D443" s="143" t="s">
        <v>69</v>
      </c>
      <c r="E443" s="257">
        <v>128817000</v>
      </c>
      <c r="F443" s="257">
        <v>128817000</v>
      </c>
      <c r="G443" s="257">
        <v>128817000</v>
      </c>
      <c r="H443" s="257">
        <v>0</v>
      </c>
      <c r="I443" s="257">
        <v>124485952.02</v>
      </c>
      <c r="J443" s="257">
        <v>0</v>
      </c>
      <c r="K443" s="257">
        <v>4331047.9800000004</v>
      </c>
      <c r="L443" s="257">
        <v>4331047.9800000004</v>
      </c>
      <c r="M443" s="257">
        <v>0</v>
      </c>
      <c r="N443" s="257">
        <v>0</v>
      </c>
    </row>
    <row r="444" spans="1:14" s="143" customFormat="1" x14ac:dyDescent="0.25">
      <c r="A444" s="143" t="s">
        <v>378</v>
      </c>
      <c r="B444" s="143" t="s">
        <v>387</v>
      </c>
      <c r="C444" s="143" t="s">
        <v>259</v>
      </c>
      <c r="D444" s="143" t="s">
        <v>69</v>
      </c>
      <c r="E444" s="257">
        <v>25971000</v>
      </c>
      <c r="F444" s="257">
        <v>25971000</v>
      </c>
      <c r="G444" s="257">
        <v>25971000</v>
      </c>
      <c r="H444" s="257">
        <v>0</v>
      </c>
      <c r="I444" s="257">
        <v>24104168.969999999</v>
      </c>
      <c r="J444" s="257">
        <v>0</v>
      </c>
      <c r="K444" s="257">
        <v>1866831.03</v>
      </c>
      <c r="L444" s="257">
        <v>1866831.03</v>
      </c>
      <c r="M444" s="257">
        <v>0</v>
      </c>
      <c r="N444" s="257">
        <v>0</v>
      </c>
    </row>
    <row r="445" spans="1:14" s="143" customFormat="1" x14ac:dyDescent="0.25">
      <c r="A445" s="143" t="s">
        <v>378</v>
      </c>
      <c r="B445" s="143" t="s">
        <v>260</v>
      </c>
      <c r="C445" s="143" t="s">
        <v>261</v>
      </c>
      <c r="D445" s="143" t="s">
        <v>69</v>
      </c>
      <c r="E445" s="257">
        <v>312777000</v>
      </c>
      <c r="F445" s="257">
        <v>312777000</v>
      </c>
      <c r="G445" s="257">
        <v>141167834</v>
      </c>
      <c r="H445" s="257">
        <v>0</v>
      </c>
      <c r="I445" s="257">
        <v>67779832</v>
      </c>
      <c r="J445" s="257">
        <v>0</v>
      </c>
      <c r="K445" s="257">
        <v>1756561</v>
      </c>
      <c r="L445" s="257">
        <v>1756561</v>
      </c>
      <c r="M445" s="257">
        <v>243240607</v>
      </c>
      <c r="N445" s="257">
        <v>71631441</v>
      </c>
    </row>
    <row r="446" spans="1:14" s="143" customFormat="1" x14ac:dyDescent="0.25">
      <c r="A446" s="143" t="s">
        <v>378</v>
      </c>
      <c r="B446" s="143" t="s">
        <v>262</v>
      </c>
      <c r="C446" s="143" t="s">
        <v>263</v>
      </c>
      <c r="D446" s="143" t="s">
        <v>69</v>
      </c>
      <c r="E446" s="257">
        <v>239389000</v>
      </c>
      <c r="F446" s="257">
        <v>239389000</v>
      </c>
      <c r="G446" s="257">
        <v>67779834</v>
      </c>
      <c r="H446" s="257">
        <v>0</v>
      </c>
      <c r="I446" s="257">
        <v>67779832</v>
      </c>
      <c r="J446" s="257">
        <v>0</v>
      </c>
      <c r="K446" s="257">
        <v>0</v>
      </c>
      <c r="L446" s="257">
        <v>0</v>
      </c>
      <c r="M446" s="257">
        <v>171609168</v>
      </c>
      <c r="N446" s="257">
        <v>2</v>
      </c>
    </row>
    <row r="447" spans="1:14" s="143" customFormat="1" x14ac:dyDescent="0.25">
      <c r="A447" s="143" t="s">
        <v>378</v>
      </c>
      <c r="B447" s="143" t="s">
        <v>264</v>
      </c>
      <c r="C447" s="143" t="s">
        <v>265</v>
      </c>
      <c r="D447" s="143" t="s">
        <v>69</v>
      </c>
      <c r="E447" s="257">
        <v>73388000</v>
      </c>
      <c r="F447" s="257">
        <v>73388000</v>
      </c>
      <c r="G447" s="257">
        <v>73388000</v>
      </c>
      <c r="H447" s="257">
        <v>0</v>
      </c>
      <c r="I447" s="257">
        <v>0</v>
      </c>
      <c r="J447" s="257">
        <v>0</v>
      </c>
      <c r="K447" s="257">
        <v>1756561</v>
      </c>
      <c r="L447" s="257">
        <v>1756561</v>
      </c>
      <c r="M447" s="257">
        <v>71631439</v>
      </c>
      <c r="N447" s="257">
        <v>71631439</v>
      </c>
    </row>
    <row r="448" spans="1:14" s="143" customFormat="1" x14ac:dyDescent="0.25">
      <c r="A448" s="143" t="s">
        <v>378</v>
      </c>
      <c r="B448" s="143" t="s">
        <v>286</v>
      </c>
      <c r="C448" s="143" t="s">
        <v>287</v>
      </c>
      <c r="D448" s="143" t="s">
        <v>69</v>
      </c>
      <c r="E448" s="257">
        <v>25000000</v>
      </c>
      <c r="F448" s="257">
        <v>25000000</v>
      </c>
      <c r="G448" s="257">
        <v>6250000</v>
      </c>
      <c r="H448" s="257">
        <v>0</v>
      </c>
      <c r="I448" s="257">
        <v>6250000</v>
      </c>
      <c r="J448" s="257">
        <v>0</v>
      </c>
      <c r="K448" s="257">
        <v>0</v>
      </c>
      <c r="L448" s="257">
        <v>0</v>
      </c>
      <c r="M448" s="257">
        <v>18750000</v>
      </c>
      <c r="N448" s="257">
        <v>0</v>
      </c>
    </row>
    <row r="449" spans="1:14" s="143" customFormat="1" x14ac:dyDescent="0.25">
      <c r="A449" s="143" t="s">
        <v>378</v>
      </c>
      <c r="B449" s="143" t="s">
        <v>288</v>
      </c>
      <c r="C449" s="143" t="s">
        <v>289</v>
      </c>
      <c r="D449" s="143" t="s">
        <v>69</v>
      </c>
      <c r="E449" s="257">
        <v>10000000</v>
      </c>
      <c r="F449" s="257">
        <v>10000000</v>
      </c>
      <c r="G449" s="257">
        <v>2500000</v>
      </c>
      <c r="H449" s="257">
        <v>0</v>
      </c>
      <c r="I449" s="257">
        <v>2500000</v>
      </c>
      <c r="J449" s="257">
        <v>0</v>
      </c>
      <c r="K449" s="257">
        <v>0</v>
      </c>
      <c r="L449" s="257">
        <v>0</v>
      </c>
      <c r="M449" s="257">
        <v>7500000</v>
      </c>
      <c r="N449" s="257">
        <v>0</v>
      </c>
    </row>
    <row r="450" spans="1:14" s="143" customFormat="1" x14ac:dyDescent="0.25">
      <c r="A450" s="143" t="s">
        <v>378</v>
      </c>
      <c r="B450" s="143" t="s">
        <v>370</v>
      </c>
      <c r="C450" s="143" t="s">
        <v>371</v>
      </c>
      <c r="D450" s="143" t="s">
        <v>69</v>
      </c>
      <c r="E450" s="257">
        <v>15000000</v>
      </c>
      <c r="F450" s="257">
        <v>15000000</v>
      </c>
      <c r="G450" s="257">
        <v>3750000</v>
      </c>
      <c r="H450" s="257">
        <v>0</v>
      </c>
      <c r="I450" s="257">
        <v>3750000</v>
      </c>
      <c r="J450" s="257">
        <v>0</v>
      </c>
      <c r="K450" s="257">
        <v>0</v>
      </c>
      <c r="L450" s="257">
        <v>0</v>
      </c>
      <c r="M450" s="257">
        <v>11250000</v>
      </c>
      <c r="N450" s="257">
        <v>0</v>
      </c>
    </row>
    <row r="451" spans="1:14" s="143" customFormat="1" x14ac:dyDescent="0.25">
      <c r="A451" s="53"/>
      <c r="B451" s="53"/>
      <c r="C451" s="53"/>
      <c r="D451" s="53"/>
      <c r="E451" s="54">
        <v>675435665000</v>
      </c>
      <c r="F451" s="54">
        <v>675435665000</v>
      </c>
      <c r="G451" s="54">
        <v>533960655614.25</v>
      </c>
      <c r="H451" s="54">
        <v>6148814.5</v>
      </c>
      <c r="I451" s="54">
        <v>112506863710.35001</v>
      </c>
      <c r="J451" s="54">
        <v>1675335941.25</v>
      </c>
      <c r="K451" s="54">
        <v>61464309563.849998</v>
      </c>
      <c r="L451" s="54">
        <v>59197795932.599998</v>
      </c>
      <c r="M451" s="54">
        <v>499783006970.04999</v>
      </c>
      <c r="N451" s="54">
        <v>358307997584.29999</v>
      </c>
    </row>
  </sheetData>
  <sheetProtection selectLockedCells="1" selectUnlockedCells="1"/>
  <conditionalFormatting sqref="K2:K455">
    <cfRule type="cellIs" dxfId="3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1"/>
  <sheetViews>
    <sheetView zoomScaleNormal="100" workbookViewId="0"/>
  </sheetViews>
  <sheetFormatPr baseColWidth="10" defaultColWidth="36.28515625" defaultRowHeight="15" x14ac:dyDescent="0.25"/>
  <cols>
    <col min="1" max="1" width="13" customWidth="1"/>
    <col min="2" max="2" width="18.140625" customWidth="1"/>
    <col min="3" max="3" width="27" customWidth="1"/>
    <col min="4" max="4" width="6.5703125" customWidth="1"/>
    <col min="5" max="5" width="18.7109375" customWidth="1"/>
    <col min="6" max="7" width="18.5703125" customWidth="1"/>
    <col min="8" max="8" width="17.42578125" customWidth="1"/>
    <col min="9" max="9" width="18.5703125" customWidth="1"/>
    <col min="10" max="10" width="20" customWidth="1"/>
    <col min="11" max="12" width="18.5703125" customWidth="1"/>
    <col min="13" max="13" width="21.5703125" customWidth="1"/>
    <col min="14" max="14" width="18.5703125" customWidth="1"/>
  </cols>
  <sheetData>
    <row r="1" spans="1:14" x14ac:dyDescent="0.25">
      <c r="A1" s="144" t="s">
        <v>52</v>
      </c>
      <c r="B1" s="144" t="s">
        <v>53</v>
      </c>
      <c r="C1" s="144" t="s">
        <v>54</v>
      </c>
      <c r="D1" s="144" t="s">
        <v>55</v>
      </c>
      <c r="E1" s="144" t="s">
        <v>56</v>
      </c>
      <c r="F1" s="144" t="s">
        <v>57</v>
      </c>
      <c r="G1" s="144" t="s">
        <v>58</v>
      </c>
      <c r="H1" s="144" t="s">
        <v>59</v>
      </c>
      <c r="I1" s="144" t="s">
        <v>60</v>
      </c>
      <c r="J1" s="144" t="s">
        <v>61</v>
      </c>
      <c r="K1" s="144" t="s">
        <v>12</v>
      </c>
      <c r="L1" s="144" t="s">
        <v>63</v>
      </c>
      <c r="M1" s="144" t="s">
        <v>65</v>
      </c>
      <c r="N1" s="144" t="s">
        <v>67</v>
      </c>
    </row>
    <row r="2" spans="1:14" s="143" customFormat="1" x14ac:dyDescent="0.25">
      <c r="A2" s="143" t="s">
        <v>68</v>
      </c>
      <c r="D2" s="143" t="s">
        <v>69</v>
      </c>
      <c r="E2" s="257">
        <v>135087133000</v>
      </c>
      <c r="F2" s="257">
        <v>135087133000</v>
      </c>
      <c r="G2" s="257">
        <v>106502503089.85001</v>
      </c>
      <c r="H2" s="257">
        <v>799055638.02999997</v>
      </c>
      <c r="I2" s="257">
        <v>18178435250.400002</v>
      </c>
      <c r="J2" s="257">
        <v>181889321.66</v>
      </c>
      <c r="K2" s="257">
        <v>21895676381.75</v>
      </c>
      <c r="L2" s="257">
        <v>20780694020.18</v>
      </c>
      <c r="M2" s="257">
        <v>94032076408.160004</v>
      </c>
      <c r="N2" s="257">
        <v>65447446498.010002</v>
      </c>
    </row>
    <row r="3" spans="1:14" s="143" customFormat="1" x14ac:dyDescent="0.25">
      <c r="A3" s="143">
        <v>214779</v>
      </c>
      <c r="D3" s="143" t="s">
        <v>69</v>
      </c>
      <c r="E3" s="257">
        <v>2519449227</v>
      </c>
      <c r="F3" s="257">
        <v>2519449227</v>
      </c>
      <c r="G3" s="257">
        <v>1697763692</v>
      </c>
      <c r="H3" s="257">
        <v>616649.75</v>
      </c>
      <c r="I3" s="257">
        <v>288716507.24000001</v>
      </c>
      <c r="J3" s="257">
        <v>0</v>
      </c>
      <c r="K3" s="279">
        <v>390163462.35000002</v>
      </c>
      <c r="L3" s="257">
        <v>381221611.68000001</v>
      </c>
      <c r="M3" s="257">
        <v>1839952607.6600001</v>
      </c>
      <c r="N3" s="257">
        <v>1018267072.66</v>
      </c>
    </row>
    <row r="4" spans="1:14" s="143" customFormat="1" x14ac:dyDescent="0.25">
      <c r="A4" s="143" t="s">
        <v>70</v>
      </c>
      <c r="B4" s="143" t="s">
        <v>71</v>
      </c>
      <c r="C4" s="143" t="s">
        <v>72</v>
      </c>
      <c r="D4" s="143" t="s">
        <v>69</v>
      </c>
      <c r="E4" s="257">
        <v>1386097000</v>
      </c>
      <c r="F4" s="257">
        <v>1386097000</v>
      </c>
      <c r="G4" s="257">
        <v>1372097000</v>
      </c>
      <c r="H4" s="257">
        <v>0</v>
      </c>
      <c r="I4" s="257">
        <v>168891793</v>
      </c>
      <c r="J4" s="257">
        <v>0</v>
      </c>
      <c r="K4" s="257">
        <v>242028238.13999999</v>
      </c>
      <c r="L4" s="257">
        <v>242028238.13999999</v>
      </c>
      <c r="M4" s="257">
        <v>975176968.86000001</v>
      </c>
      <c r="N4" s="257">
        <v>961176968.86000001</v>
      </c>
    </row>
    <row r="5" spans="1:14" s="143" customFormat="1" x14ac:dyDescent="0.25">
      <c r="A5" s="143" t="s">
        <v>70</v>
      </c>
      <c r="B5" s="143" t="s">
        <v>73</v>
      </c>
      <c r="C5" s="143" t="s">
        <v>74</v>
      </c>
      <c r="D5" s="143" t="s">
        <v>69</v>
      </c>
      <c r="E5" s="257">
        <v>526394000</v>
      </c>
      <c r="F5" s="257">
        <v>526394000</v>
      </c>
      <c r="G5" s="257">
        <v>526394000</v>
      </c>
      <c r="H5" s="257">
        <v>0</v>
      </c>
      <c r="I5" s="257">
        <v>0</v>
      </c>
      <c r="J5" s="257">
        <v>0</v>
      </c>
      <c r="K5" s="257">
        <v>72155177.670000002</v>
      </c>
      <c r="L5" s="257">
        <v>72155177.670000002</v>
      </c>
      <c r="M5" s="257">
        <v>454238822.32999998</v>
      </c>
      <c r="N5" s="257">
        <v>454238822.32999998</v>
      </c>
    </row>
    <row r="6" spans="1:14" s="143" customFormat="1" x14ac:dyDescent="0.25">
      <c r="A6" s="143" t="s">
        <v>70</v>
      </c>
      <c r="B6" s="143" t="s">
        <v>75</v>
      </c>
      <c r="C6" s="143" t="s">
        <v>76</v>
      </c>
      <c r="D6" s="143" t="s">
        <v>69</v>
      </c>
      <c r="E6" s="257">
        <v>526394000</v>
      </c>
      <c r="F6" s="257">
        <v>526394000</v>
      </c>
      <c r="G6" s="257">
        <v>526394000</v>
      </c>
      <c r="H6" s="257">
        <v>0</v>
      </c>
      <c r="I6" s="257">
        <v>0</v>
      </c>
      <c r="J6" s="257">
        <v>0</v>
      </c>
      <c r="K6" s="257">
        <v>72155177.670000002</v>
      </c>
      <c r="L6" s="257">
        <v>72155177.670000002</v>
      </c>
      <c r="M6" s="257">
        <v>454238822.32999998</v>
      </c>
      <c r="N6" s="257">
        <v>454238822.32999998</v>
      </c>
    </row>
    <row r="7" spans="1:14" s="143" customFormat="1" x14ac:dyDescent="0.25">
      <c r="A7" s="143" t="s">
        <v>70</v>
      </c>
      <c r="B7" s="143" t="s">
        <v>77</v>
      </c>
      <c r="C7" s="143" t="s">
        <v>78</v>
      </c>
      <c r="D7" s="143" t="s">
        <v>69</v>
      </c>
      <c r="E7" s="257">
        <v>649722000</v>
      </c>
      <c r="F7" s="257">
        <v>649722000</v>
      </c>
      <c r="G7" s="257">
        <v>635722000</v>
      </c>
      <c r="H7" s="257">
        <v>0</v>
      </c>
      <c r="I7" s="257">
        <v>0</v>
      </c>
      <c r="J7" s="257">
        <v>0</v>
      </c>
      <c r="K7" s="257">
        <v>128783853.47</v>
      </c>
      <c r="L7" s="257">
        <v>128783853.47</v>
      </c>
      <c r="M7" s="257">
        <v>520938146.52999997</v>
      </c>
      <c r="N7" s="257">
        <v>506938146.52999997</v>
      </c>
    </row>
    <row r="8" spans="1:14" s="143" customFormat="1" x14ac:dyDescent="0.25">
      <c r="A8" s="143" t="s">
        <v>70</v>
      </c>
      <c r="B8" s="143" t="s">
        <v>79</v>
      </c>
      <c r="C8" s="143" t="s">
        <v>80</v>
      </c>
      <c r="D8" s="143" t="s">
        <v>69</v>
      </c>
      <c r="E8" s="257">
        <v>138872000</v>
      </c>
      <c r="F8" s="257">
        <v>138872000</v>
      </c>
      <c r="G8" s="257">
        <v>138872000</v>
      </c>
      <c r="H8" s="257">
        <v>0</v>
      </c>
      <c r="I8" s="257">
        <v>0</v>
      </c>
      <c r="J8" s="257">
        <v>0</v>
      </c>
      <c r="K8" s="257">
        <v>15012077.779999999</v>
      </c>
      <c r="L8" s="257">
        <v>15012077.779999999</v>
      </c>
      <c r="M8" s="257">
        <v>123859922.22</v>
      </c>
      <c r="N8" s="257">
        <v>123859922.22</v>
      </c>
    </row>
    <row r="9" spans="1:14" s="143" customFormat="1" x14ac:dyDescent="0.25">
      <c r="A9" s="143" t="s">
        <v>70</v>
      </c>
      <c r="B9" s="143" t="s">
        <v>81</v>
      </c>
      <c r="C9" s="143" t="s">
        <v>82</v>
      </c>
      <c r="D9" s="143" t="s">
        <v>69</v>
      </c>
      <c r="E9" s="257">
        <v>289755000</v>
      </c>
      <c r="F9" s="257">
        <v>289755000</v>
      </c>
      <c r="G9" s="257">
        <v>275755000</v>
      </c>
      <c r="H9" s="257">
        <v>0</v>
      </c>
      <c r="I9" s="257">
        <v>0</v>
      </c>
      <c r="J9" s="257">
        <v>0</v>
      </c>
      <c r="K9" s="257">
        <v>33137377.600000001</v>
      </c>
      <c r="L9" s="257">
        <v>33137377.600000001</v>
      </c>
      <c r="M9" s="257">
        <v>256617622.40000001</v>
      </c>
      <c r="N9" s="257">
        <v>242617622.40000001</v>
      </c>
    </row>
    <row r="10" spans="1:14" s="143" customFormat="1" x14ac:dyDescent="0.25">
      <c r="A10" s="143" t="s">
        <v>70</v>
      </c>
      <c r="B10" s="143" t="s">
        <v>83</v>
      </c>
      <c r="C10" s="143" t="s">
        <v>84</v>
      </c>
      <c r="D10" s="143" t="s">
        <v>85</v>
      </c>
      <c r="E10" s="257">
        <v>89807000</v>
      </c>
      <c r="F10" s="257">
        <v>89807000</v>
      </c>
      <c r="G10" s="257">
        <v>89807000</v>
      </c>
      <c r="H10" s="257">
        <v>0</v>
      </c>
      <c r="I10" s="257">
        <v>0</v>
      </c>
      <c r="J10" s="257">
        <v>0</v>
      </c>
      <c r="K10" s="257">
        <v>0</v>
      </c>
      <c r="L10" s="257">
        <v>0</v>
      </c>
      <c r="M10" s="257">
        <v>89807000</v>
      </c>
      <c r="N10" s="257">
        <v>89807000</v>
      </c>
    </row>
    <row r="11" spans="1:14" s="143" customFormat="1" x14ac:dyDescent="0.25">
      <c r="A11" s="143" t="s">
        <v>70</v>
      </c>
      <c r="B11" s="143" t="s">
        <v>86</v>
      </c>
      <c r="C11" s="143" t="s">
        <v>87</v>
      </c>
      <c r="D11" s="143" t="s">
        <v>69</v>
      </c>
      <c r="E11" s="257">
        <v>83881000</v>
      </c>
      <c r="F11" s="257">
        <v>83881000</v>
      </c>
      <c r="G11" s="257">
        <v>83881000</v>
      </c>
      <c r="H11" s="257">
        <v>0</v>
      </c>
      <c r="I11" s="257">
        <v>0</v>
      </c>
      <c r="J11" s="257">
        <v>0</v>
      </c>
      <c r="K11" s="257">
        <v>74682002.099999994</v>
      </c>
      <c r="L11" s="257">
        <v>74682002.099999994</v>
      </c>
      <c r="M11" s="257">
        <v>9198997.9000000004</v>
      </c>
      <c r="N11" s="257">
        <v>9198997.9000000004</v>
      </c>
    </row>
    <row r="12" spans="1:14" s="143" customFormat="1" x14ac:dyDescent="0.25">
      <c r="A12" s="143" t="s">
        <v>70</v>
      </c>
      <c r="B12" s="143" t="s">
        <v>88</v>
      </c>
      <c r="C12" s="143" t="s">
        <v>89</v>
      </c>
      <c r="D12" s="143" t="s">
        <v>69</v>
      </c>
      <c r="E12" s="257">
        <v>47407000</v>
      </c>
      <c r="F12" s="257">
        <v>47407000</v>
      </c>
      <c r="G12" s="257">
        <v>47407000</v>
      </c>
      <c r="H12" s="257">
        <v>0</v>
      </c>
      <c r="I12" s="257">
        <v>0</v>
      </c>
      <c r="J12" s="257">
        <v>0</v>
      </c>
      <c r="K12" s="257">
        <v>5952395.9900000002</v>
      </c>
      <c r="L12" s="257">
        <v>5952395.9900000002</v>
      </c>
      <c r="M12" s="257">
        <v>41454604.009999998</v>
      </c>
      <c r="N12" s="257">
        <v>41454604.009999998</v>
      </c>
    </row>
    <row r="13" spans="1:14" s="143" customFormat="1" x14ac:dyDescent="0.25">
      <c r="A13" s="143" t="s">
        <v>70</v>
      </c>
      <c r="B13" s="143" t="s">
        <v>90</v>
      </c>
      <c r="C13" s="143" t="s">
        <v>91</v>
      </c>
      <c r="D13" s="143" t="s">
        <v>69</v>
      </c>
      <c r="E13" s="257">
        <v>105914000</v>
      </c>
      <c r="F13" s="257">
        <v>105914000</v>
      </c>
      <c r="G13" s="257">
        <v>105914000</v>
      </c>
      <c r="H13" s="257">
        <v>0</v>
      </c>
      <c r="I13" s="257">
        <v>85188709</v>
      </c>
      <c r="J13" s="257">
        <v>0</v>
      </c>
      <c r="K13" s="257">
        <v>20725291</v>
      </c>
      <c r="L13" s="257">
        <v>20725291</v>
      </c>
      <c r="M13" s="257">
        <v>0</v>
      </c>
      <c r="N13" s="257">
        <v>0</v>
      </c>
    </row>
    <row r="14" spans="1:14" s="143" customFormat="1" x14ac:dyDescent="0.25">
      <c r="A14" s="143" t="s">
        <v>70</v>
      </c>
      <c r="B14" s="143" t="s">
        <v>92</v>
      </c>
      <c r="C14" s="143" t="s">
        <v>93</v>
      </c>
      <c r="D14" s="143" t="s">
        <v>69</v>
      </c>
      <c r="E14" s="257">
        <v>100483000</v>
      </c>
      <c r="F14" s="257">
        <v>100483000</v>
      </c>
      <c r="G14" s="257">
        <v>100483000</v>
      </c>
      <c r="H14" s="257">
        <v>0</v>
      </c>
      <c r="I14" s="257">
        <v>80820553</v>
      </c>
      <c r="J14" s="257">
        <v>0</v>
      </c>
      <c r="K14" s="257">
        <v>19662447</v>
      </c>
      <c r="L14" s="257">
        <v>19662447</v>
      </c>
      <c r="M14" s="257">
        <v>0</v>
      </c>
      <c r="N14" s="257">
        <v>0</v>
      </c>
    </row>
    <row r="15" spans="1:14" s="143" customFormat="1" x14ac:dyDescent="0.25">
      <c r="A15" s="143" t="s">
        <v>70</v>
      </c>
      <c r="B15" s="143" t="s">
        <v>94</v>
      </c>
      <c r="C15" s="143" t="s">
        <v>95</v>
      </c>
      <c r="D15" s="143" t="s">
        <v>69</v>
      </c>
      <c r="E15" s="257">
        <v>5431000</v>
      </c>
      <c r="F15" s="257">
        <v>5431000</v>
      </c>
      <c r="G15" s="257">
        <v>5431000</v>
      </c>
      <c r="H15" s="257">
        <v>0</v>
      </c>
      <c r="I15" s="257">
        <v>4368156</v>
      </c>
      <c r="J15" s="257">
        <v>0</v>
      </c>
      <c r="K15" s="257">
        <v>1062844</v>
      </c>
      <c r="L15" s="257">
        <v>1062844</v>
      </c>
      <c r="M15" s="257">
        <v>0</v>
      </c>
      <c r="N15" s="257">
        <v>0</v>
      </c>
    </row>
    <row r="16" spans="1:14" s="143" customFormat="1" x14ac:dyDescent="0.25">
      <c r="A16" s="143" t="s">
        <v>70</v>
      </c>
      <c r="B16" s="143" t="s">
        <v>96</v>
      </c>
      <c r="C16" s="143" t="s">
        <v>97</v>
      </c>
      <c r="D16" s="143" t="s">
        <v>69</v>
      </c>
      <c r="E16" s="257">
        <v>104067000</v>
      </c>
      <c r="F16" s="257">
        <v>104067000</v>
      </c>
      <c r="G16" s="257">
        <v>104067000</v>
      </c>
      <c r="H16" s="257">
        <v>0</v>
      </c>
      <c r="I16" s="257">
        <v>83703084</v>
      </c>
      <c r="J16" s="257">
        <v>0</v>
      </c>
      <c r="K16" s="257">
        <v>20363916</v>
      </c>
      <c r="L16" s="257">
        <v>20363916</v>
      </c>
      <c r="M16" s="257">
        <v>0</v>
      </c>
      <c r="N16" s="257">
        <v>0</v>
      </c>
    </row>
    <row r="17" spans="1:14" s="143" customFormat="1" x14ac:dyDescent="0.25">
      <c r="A17" s="143" t="s">
        <v>70</v>
      </c>
      <c r="B17" s="143" t="s">
        <v>98</v>
      </c>
      <c r="C17" s="143" t="s">
        <v>99</v>
      </c>
      <c r="D17" s="143" t="s">
        <v>69</v>
      </c>
      <c r="E17" s="257">
        <v>55184000</v>
      </c>
      <c r="F17" s="257">
        <v>55184000</v>
      </c>
      <c r="G17" s="257">
        <v>55184000</v>
      </c>
      <c r="H17" s="257">
        <v>0</v>
      </c>
      <c r="I17" s="257">
        <v>44385597</v>
      </c>
      <c r="J17" s="257">
        <v>0</v>
      </c>
      <c r="K17" s="257">
        <v>10798403</v>
      </c>
      <c r="L17" s="257">
        <v>10798403</v>
      </c>
      <c r="M17" s="257">
        <v>0</v>
      </c>
      <c r="N17" s="257">
        <v>0</v>
      </c>
    </row>
    <row r="18" spans="1:14" s="143" customFormat="1" x14ac:dyDescent="0.25">
      <c r="A18" s="143" t="s">
        <v>70</v>
      </c>
      <c r="B18" s="143" t="s">
        <v>100</v>
      </c>
      <c r="C18" s="143" t="s">
        <v>101</v>
      </c>
      <c r="D18" s="143" t="s">
        <v>69</v>
      </c>
      <c r="E18" s="257">
        <v>16294000</v>
      </c>
      <c r="F18" s="257">
        <v>16294000</v>
      </c>
      <c r="G18" s="257">
        <v>16294000</v>
      </c>
      <c r="H18" s="257">
        <v>0</v>
      </c>
      <c r="I18" s="257">
        <v>13105497</v>
      </c>
      <c r="J18" s="257">
        <v>0</v>
      </c>
      <c r="K18" s="257">
        <v>3188503</v>
      </c>
      <c r="L18" s="257">
        <v>3188503</v>
      </c>
      <c r="M18" s="257">
        <v>0</v>
      </c>
      <c r="N18" s="257">
        <v>0</v>
      </c>
    </row>
    <row r="19" spans="1:14" s="143" customFormat="1" x14ac:dyDescent="0.25">
      <c r="A19" s="143" t="s">
        <v>70</v>
      </c>
      <c r="B19" s="143" t="s">
        <v>102</v>
      </c>
      <c r="C19" s="143" t="s">
        <v>103</v>
      </c>
      <c r="D19" s="143" t="s">
        <v>69</v>
      </c>
      <c r="E19" s="257">
        <v>32589000</v>
      </c>
      <c r="F19" s="257">
        <v>32589000</v>
      </c>
      <c r="G19" s="257">
        <v>32589000</v>
      </c>
      <c r="H19" s="257">
        <v>0</v>
      </c>
      <c r="I19" s="257">
        <v>26211990</v>
      </c>
      <c r="J19" s="257">
        <v>0</v>
      </c>
      <c r="K19" s="257">
        <v>6377010</v>
      </c>
      <c r="L19" s="257">
        <v>6377010</v>
      </c>
      <c r="M19" s="257">
        <v>0</v>
      </c>
      <c r="N19" s="257">
        <v>0</v>
      </c>
    </row>
    <row r="20" spans="1:14" s="143" customFormat="1" x14ac:dyDescent="0.25">
      <c r="A20" s="143" t="s">
        <v>70</v>
      </c>
      <c r="B20" s="143" t="s">
        <v>104</v>
      </c>
      <c r="C20" s="143" t="s">
        <v>105</v>
      </c>
      <c r="D20" s="143" t="s">
        <v>69</v>
      </c>
      <c r="E20" s="257">
        <v>342741579</v>
      </c>
      <c r="F20" s="257">
        <v>342741579</v>
      </c>
      <c r="G20" s="257">
        <v>79980780</v>
      </c>
      <c r="H20" s="257">
        <v>0</v>
      </c>
      <c r="I20" s="257">
        <v>57893545.759999998</v>
      </c>
      <c r="J20" s="257">
        <v>0</v>
      </c>
      <c r="K20" s="257">
        <v>18192990.949999999</v>
      </c>
      <c r="L20" s="257">
        <v>9710764.2799999993</v>
      </c>
      <c r="M20" s="257">
        <v>266655042.28999999</v>
      </c>
      <c r="N20" s="257">
        <v>3894243.29</v>
      </c>
    </row>
    <row r="21" spans="1:14" s="143" customFormat="1" x14ac:dyDescent="0.25">
      <c r="A21" s="143" t="s">
        <v>70</v>
      </c>
      <c r="B21" s="143" t="s">
        <v>106</v>
      </c>
      <c r="C21" s="143" t="s">
        <v>107</v>
      </c>
      <c r="D21" s="143" t="s">
        <v>69</v>
      </c>
      <c r="E21" s="257">
        <v>125845446</v>
      </c>
      <c r="F21" s="257">
        <v>125845446</v>
      </c>
      <c r="G21" s="257">
        <v>31079538</v>
      </c>
      <c r="H21" s="257">
        <v>0</v>
      </c>
      <c r="I21" s="257">
        <v>29423661.960000001</v>
      </c>
      <c r="J21" s="257">
        <v>0</v>
      </c>
      <c r="K21" s="257">
        <v>1272258.67</v>
      </c>
      <c r="L21" s="257">
        <v>0</v>
      </c>
      <c r="M21" s="257">
        <v>95149525.370000005</v>
      </c>
      <c r="N21" s="257">
        <v>383617.37</v>
      </c>
    </row>
    <row r="22" spans="1:14" s="143" customFormat="1" x14ac:dyDescent="0.25">
      <c r="A22" s="143" t="s">
        <v>70</v>
      </c>
      <c r="B22" s="143" t="s">
        <v>108</v>
      </c>
      <c r="C22" s="143" t="s">
        <v>109</v>
      </c>
      <c r="D22" s="143" t="s">
        <v>69</v>
      </c>
      <c r="E22" s="257">
        <v>125765446</v>
      </c>
      <c r="F22" s="257">
        <v>125765446</v>
      </c>
      <c r="G22" s="257">
        <v>30999538</v>
      </c>
      <c r="H22" s="257">
        <v>0</v>
      </c>
      <c r="I22" s="257">
        <v>29423661.960000001</v>
      </c>
      <c r="J22" s="257">
        <v>0</v>
      </c>
      <c r="K22" s="257">
        <v>1272258.67</v>
      </c>
      <c r="L22" s="257">
        <v>0</v>
      </c>
      <c r="M22" s="257">
        <v>95069525.370000005</v>
      </c>
      <c r="N22" s="257">
        <v>303617.37</v>
      </c>
    </row>
    <row r="23" spans="1:14" s="143" customFormat="1" x14ac:dyDescent="0.25">
      <c r="A23" s="143" t="s">
        <v>70</v>
      </c>
      <c r="B23" s="143" t="s">
        <v>110</v>
      </c>
      <c r="C23" s="143" t="s">
        <v>111</v>
      </c>
      <c r="D23" s="143" t="s">
        <v>69</v>
      </c>
      <c r="E23" s="257">
        <v>80000</v>
      </c>
      <c r="F23" s="257">
        <v>80000</v>
      </c>
      <c r="G23" s="257">
        <v>80000</v>
      </c>
      <c r="H23" s="257">
        <v>0</v>
      </c>
      <c r="I23" s="257">
        <v>0</v>
      </c>
      <c r="J23" s="257">
        <v>0</v>
      </c>
      <c r="K23" s="257">
        <v>0</v>
      </c>
      <c r="L23" s="257">
        <v>0</v>
      </c>
      <c r="M23" s="257">
        <v>80000</v>
      </c>
      <c r="N23" s="257">
        <v>80000</v>
      </c>
    </row>
    <row r="24" spans="1:14" s="143" customFormat="1" x14ac:dyDescent="0.25">
      <c r="A24" s="143" t="s">
        <v>70</v>
      </c>
      <c r="B24" s="143" t="s">
        <v>112</v>
      </c>
      <c r="C24" s="143" t="s">
        <v>113</v>
      </c>
      <c r="D24" s="143" t="s">
        <v>69</v>
      </c>
      <c r="E24" s="257">
        <v>131428353</v>
      </c>
      <c r="F24" s="257">
        <v>131428353</v>
      </c>
      <c r="G24" s="257">
        <v>30310000</v>
      </c>
      <c r="H24" s="257">
        <v>0</v>
      </c>
      <c r="I24" s="257">
        <v>15276304</v>
      </c>
      <c r="J24" s="257">
        <v>0</v>
      </c>
      <c r="K24" s="257">
        <v>13045614.800000001</v>
      </c>
      <c r="L24" s="257">
        <v>8826519.8000000007</v>
      </c>
      <c r="M24" s="257">
        <v>103106434.2</v>
      </c>
      <c r="N24" s="257">
        <v>1988081.2</v>
      </c>
    </row>
    <row r="25" spans="1:14" s="143" customFormat="1" x14ac:dyDescent="0.25">
      <c r="A25" s="143" t="s">
        <v>70</v>
      </c>
      <c r="B25" s="143" t="s">
        <v>114</v>
      </c>
      <c r="C25" s="143" t="s">
        <v>115</v>
      </c>
      <c r="D25" s="143" t="s">
        <v>69</v>
      </c>
      <c r="E25" s="257">
        <v>4971429</v>
      </c>
      <c r="F25" s="257">
        <v>4971429</v>
      </c>
      <c r="G25" s="257">
        <v>1200000</v>
      </c>
      <c r="H25" s="257">
        <v>0</v>
      </c>
      <c r="I25" s="257">
        <v>251494</v>
      </c>
      <c r="J25" s="257">
        <v>0</v>
      </c>
      <c r="K25" s="257">
        <v>948506</v>
      </c>
      <c r="L25" s="257">
        <v>948506</v>
      </c>
      <c r="M25" s="257">
        <v>3771429</v>
      </c>
      <c r="N25" s="257">
        <v>0</v>
      </c>
    </row>
    <row r="26" spans="1:14" s="143" customFormat="1" x14ac:dyDescent="0.25">
      <c r="A26" s="143" t="s">
        <v>70</v>
      </c>
      <c r="B26" s="143" t="s">
        <v>116</v>
      </c>
      <c r="C26" s="143" t="s">
        <v>117</v>
      </c>
      <c r="D26" s="143" t="s">
        <v>69</v>
      </c>
      <c r="E26" s="257">
        <v>56000000</v>
      </c>
      <c r="F26" s="257">
        <v>56000000</v>
      </c>
      <c r="G26" s="257">
        <v>14000000</v>
      </c>
      <c r="H26" s="257">
        <v>0</v>
      </c>
      <c r="I26" s="257">
        <v>5594925</v>
      </c>
      <c r="J26" s="257">
        <v>0</v>
      </c>
      <c r="K26" s="257">
        <v>8405075</v>
      </c>
      <c r="L26" s="257">
        <v>4185980</v>
      </c>
      <c r="M26" s="257">
        <v>42000000</v>
      </c>
      <c r="N26" s="257">
        <v>0</v>
      </c>
    </row>
    <row r="27" spans="1:14" s="143" customFormat="1" x14ac:dyDescent="0.25">
      <c r="A27" s="143" t="s">
        <v>70</v>
      </c>
      <c r="B27" s="143" t="s">
        <v>118</v>
      </c>
      <c r="C27" s="143" t="s">
        <v>119</v>
      </c>
      <c r="D27" s="143" t="s">
        <v>69</v>
      </c>
      <c r="E27" s="257">
        <v>20000</v>
      </c>
      <c r="F27" s="257">
        <v>20000</v>
      </c>
      <c r="G27" s="257">
        <v>20000</v>
      </c>
      <c r="H27" s="257">
        <v>0</v>
      </c>
      <c r="I27" s="257">
        <v>3600</v>
      </c>
      <c r="J27" s="257">
        <v>0</v>
      </c>
      <c r="K27" s="257">
        <v>16400</v>
      </c>
      <c r="L27" s="257">
        <v>16400</v>
      </c>
      <c r="M27" s="257">
        <v>0</v>
      </c>
      <c r="N27" s="257">
        <v>0</v>
      </c>
    </row>
    <row r="28" spans="1:14" s="143" customFormat="1" x14ac:dyDescent="0.25">
      <c r="A28" s="143" t="s">
        <v>70</v>
      </c>
      <c r="B28" s="143" t="s">
        <v>120</v>
      </c>
      <c r="C28" s="143" t="s">
        <v>121</v>
      </c>
      <c r="D28" s="143" t="s">
        <v>69</v>
      </c>
      <c r="E28" s="257">
        <v>70076924</v>
      </c>
      <c r="F28" s="257">
        <v>70076924</v>
      </c>
      <c r="G28" s="257">
        <v>15000000</v>
      </c>
      <c r="H28" s="257">
        <v>0</v>
      </c>
      <c r="I28" s="257">
        <v>9336285</v>
      </c>
      <c r="J28" s="257">
        <v>0</v>
      </c>
      <c r="K28" s="257">
        <v>3675633.8</v>
      </c>
      <c r="L28" s="257">
        <v>3675633.8</v>
      </c>
      <c r="M28" s="257">
        <v>57065005.200000003</v>
      </c>
      <c r="N28" s="257">
        <v>1988081.2</v>
      </c>
    </row>
    <row r="29" spans="1:14" s="143" customFormat="1" x14ac:dyDescent="0.25">
      <c r="A29" s="143" t="s">
        <v>70</v>
      </c>
      <c r="B29" s="143" t="s">
        <v>122</v>
      </c>
      <c r="C29" s="143" t="s">
        <v>123</v>
      </c>
      <c r="D29" s="143" t="s">
        <v>69</v>
      </c>
      <c r="E29" s="257">
        <v>360000</v>
      </c>
      <c r="F29" s="257">
        <v>360000</v>
      </c>
      <c r="G29" s="257">
        <v>90000</v>
      </c>
      <c r="H29" s="257">
        <v>0</v>
      </c>
      <c r="I29" s="257">
        <v>90000</v>
      </c>
      <c r="J29" s="257">
        <v>0</v>
      </c>
      <c r="K29" s="257">
        <v>0</v>
      </c>
      <c r="L29" s="257">
        <v>0</v>
      </c>
      <c r="M29" s="257">
        <v>270000</v>
      </c>
      <c r="N29" s="257">
        <v>0</v>
      </c>
    </row>
    <row r="30" spans="1:14" s="143" customFormat="1" x14ac:dyDescent="0.25">
      <c r="A30" s="143" t="s">
        <v>70</v>
      </c>
      <c r="B30" s="143" t="s">
        <v>124</v>
      </c>
      <c r="C30" s="143" t="s">
        <v>125</v>
      </c>
      <c r="D30" s="143" t="s">
        <v>69</v>
      </c>
      <c r="E30" s="257">
        <v>8700000</v>
      </c>
      <c r="F30" s="257">
        <v>8700000</v>
      </c>
      <c r="G30" s="257">
        <v>2218500</v>
      </c>
      <c r="H30" s="257">
        <v>0</v>
      </c>
      <c r="I30" s="257">
        <v>2200431</v>
      </c>
      <c r="J30" s="257">
        <v>0</v>
      </c>
      <c r="K30" s="257">
        <v>11830</v>
      </c>
      <c r="L30" s="257">
        <v>11830</v>
      </c>
      <c r="M30" s="257">
        <v>6487739</v>
      </c>
      <c r="N30" s="257">
        <v>6239</v>
      </c>
    </row>
    <row r="31" spans="1:14" s="143" customFormat="1" x14ac:dyDescent="0.25">
      <c r="A31" s="143" t="s">
        <v>70</v>
      </c>
      <c r="B31" s="143" t="s">
        <v>126</v>
      </c>
      <c r="C31" s="143" t="s">
        <v>127</v>
      </c>
      <c r="D31" s="143" t="s">
        <v>69</v>
      </c>
      <c r="E31" s="257">
        <v>7000000</v>
      </c>
      <c r="F31" s="257">
        <v>7000000</v>
      </c>
      <c r="G31" s="257">
        <v>1750000</v>
      </c>
      <c r="H31" s="257">
        <v>0</v>
      </c>
      <c r="I31" s="257">
        <v>1737931</v>
      </c>
      <c r="J31" s="257">
        <v>0</v>
      </c>
      <c r="K31" s="257">
        <v>11830</v>
      </c>
      <c r="L31" s="257">
        <v>11830</v>
      </c>
      <c r="M31" s="257">
        <v>5250239</v>
      </c>
      <c r="N31" s="257">
        <v>239</v>
      </c>
    </row>
    <row r="32" spans="1:14" s="143" customFormat="1" x14ac:dyDescent="0.25">
      <c r="A32" s="143" t="s">
        <v>70</v>
      </c>
      <c r="B32" s="143" t="s">
        <v>128</v>
      </c>
      <c r="C32" s="143" t="s">
        <v>129</v>
      </c>
      <c r="D32" s="143" t="s">
        <v>69</v>
      </c>
      <c r="E32" s="257">
        <v>1650000</v>
      </c>
      <c r="F32" s="257">
        <v>1650000</v>
      </c>
      <c r="G32" s="257">
        <v>418500</v>
      </c>
      <c r="H32" s="257">
        <v>0</v>
      </c>
      <c r="I32" s="257">
        <v>412500</v>
      </c>
      <c r="J32" s="257">
        <v>0</v>
      </c>
      <c r="K32" s="257">
        <v>0</v>
      </c>
      <c r="L32" s="257">
        <v>0</v>
      </c>
      <c r="M32" s="257">
        <v>1237500</v>
      </c>
      <c r="N32" s="257">
        <v>6000</v>
      </c>
    </row>
    <row r="33" spans="1:14" s="143" customFormat="1" x14ac:dyDescent="0.25">
      <c r="A33" s="143" t="s">
        <v>70</v>
      </c>
      <c r="B33" s="143" t="s">
        <v>130</v>
      </c>
      <c r="C33" s="143" t="s">
        <v>131</v>
      </c>
      <c r="D33" s="143" t="s">
        <v>69</v>
      </c>
      <c r="E33" s="257">
        <v>50000</v>
      </c>
      <c r="F33" s="257">
        <v>50000</v>
      </c>
      <c r="G33" s="257">
        <v>50000</v>
      </c>
      <c r="H33" s="257">
        <v>0</v>
      </c>
      <c r="I33" s="257">
        <v>50000</v>
      </c>
      <c r="J33" s="257">
        <v>0</v>
      </c>
      <c r="K33" s="257">
        <v>0</v>
      </c>
      <c r="L33" s="257">
        <v>0</v>
      </c>
      <c r="M33" s="257">
        <v>0</v>
      </c>
      <c r="N33" s="257">
        <v>0</v>
      </c>
    </row>
    <row r="34" spans="1:14" s="143" customFormat="1" x14ac:dyDescent="0.25">
      <c r="A34" s="143" t="s">
        <v>70</v>
      </c>
      <c r="B34" s="143" t="s">
        <v>134</v>
      </c>
      <c r="C34" s="143" t="s">
        <v>135</v>
      </c>
      <c r="D34" s="143" t="s">
        <v>69</v>
      </c>
      <c r="E34" s="257">
        <v>5851429</v>
      </c>
      <c r="F34" s="257">
        <v>5851429</v>
      </c>
      <c r="G34" s="257">
        <v>2048036</v>
      </c>
      <c r="H34" s="257">
        <v>0</v>
      </c>
      <c r="I34" s="257">
        <v>1702086</v>
      </c>
      <c r="J34" s="257">
        <v>0</v>
      </c>
      <c r="K34" s="257">
        <v>0</v>
      </c>
      <c r="L34" s="257">
        <v>0</v>
      </c>
      <c r="M34" s="257">
        <v>4149343</v>
      </c>
      <c r="N34" s="257">
        <v>345950</v>
      </c>
    </row>
    <row r="35" spans="1:14" s="143" customFormat="1" x14ac:dyDescent="0.25">
      <c r="A35" s="143" t="s">
        <v>70</v>
      </c>
      <c r="B35" s="143" t="s">
        <v>136</v>
      </c>
      <c r="C35" s="143" t="s">
        <v>137</v>
      </c>
      <c r="D35" s="143" t="s">
        <v>69</v>
      </c>
      <c r="E35" s="257">
        <v>3080000</v>
      </c>
      <c r="F35" s="257">
        <v>3080000</v>
      </c>
      <c r="G35" s="257">
        <v>220000</v>
      </c>
      <c r="H35" s="257">
        <v>0</v>
      </c>
      <c r="I35" s="257">
        <v>0</v>
      </c>
      <c r="J35" s="257">
        <v>0</v>
      </c>
      <c r="K35" s="257">
        <v>0</v>
      </c>
      <c r="L35" s="257">
        <v>0</v>
      </c>
      <c r="M35" s="257">
        <v>3080000</v>
      </c>
      <c r="N35" s="257">
        <v>220000</v>
      </c>
    </row>
    <row r="36" spans="1:14" s="143" customFormat="1" x14ac:dyDescent="0.25">
      <c r="A36" s="143" t="s">
        <v>70</v>
      </c>
      <c r="B36" s="143" t="s">
        <v>138</v>
      </c>
      <c r="C36" s="143" t="s">
        <v>139</v>
      </c>
      <c r="D36" s="143" t="s">
        <v>69</v>
      </c>
      <c r="E36" s="257">
        <v>2771429</v>
      </c>
      <c r="F36" s="257">
        <v>2771429</v>
      </c>
      <c r="G36" s="257">
        <v>1828036</v>
      </c>
      <c r="H36" s="257">
        <v>0</v>
      </c>
      <c r="I36" s="257">
        <v>1702086</v>
      </c>
      <c r="J36" s="257">
        <v>0</v>
      </c>
      <c r="K36" s="257">
        <v>0</v>
      </c>
      <c r="L36" s="257">
        <v>0</v>
      </c>
      <c r="M36" s="257">
        <v>1069343</v>
      </c>
      <c r="N36" s="257">
        <v>125950</v>
      </c>
    </row>
    <row r="37" spans="1:14" s="143" customFormat="1" x14ac:dyDescent="0.25">
      <c r="A37" s="143" t="s">
        <v>70</v>
      </c>
      <c r="B37" s="143" t="s">
        <v>140</v>
      </c>
      <c r="C37" s="143" t="s">
        <v>141</v>
      </c>
      <c r="D37" s="143" t="s">
        <v>69</v>
      </c>
      <c r="E37" s="257">
        <v>17774865</v>
      </c>
      <c r="F37" s="257">
        <v>17774865</v>
      </c>
      <c r="G37" s="257">
        <v>4200000</v>
      </c>
      <c r="H37" s="257">
        <v>0</v>
      </c>
      <c r="I37" s="257">
        <v>2359350</v>
      </c>
      <c r="J37" s="257">
        <v>0</v>
      </c>
      <c r="K37" s="257">
        <v>872414.48</v>
      </c>
      <c r="L37" s="257">
        <v>872414.48</v>
      </c>
      <c r="M37" s="257">
        <v>14543100.52</v>
      </c>
      <c r="N37" s="257">
        <v>968235.52000000002</v>
      </c>
    </row>
    <row r="38" spans="1:14" s="143" customFormat="1" x14ac:dyDescent="0.25">
      <c r="A38" s="143" t="s">
        <v>70</v>
      </c>
      <c r="B38" s="143" t="s">
        <v>142</v>
      </c>
      <c r="C38" s="143" t="s">
        <v>143</v>
      </c>
      <c r="D38" s="143" t="s">
        <v>69</v>
      </c>
      <c r="E38" s="257">
        <v>100000</v>
      </c>
      <c r="F38" s="257">
        <v>100000</v>
      </c>
      <c r="G38" s="257">
        <v>100000</v>
      </c>
      <c r="H38" s="257">
        <v>0</v>
      </c>
      <c r="I38" s="257">
        <v>0</v>
      </c>
      <c r="J38" s="257">
        <v>0</v>
      </c>
      <c r="K38" s="257">
        <v>0</v>
      </c>
      <c r="L38" s="257">
        <v>0</v>
      </c>
      <c r="M38" s="257">
        <v>100000</v>
      </c>
      <c r="N38" s="257">
        <v>100000</v>
      </c>
    </row>
    <row r="39" spans="1:14" s="143" customFormat="1" x14ac:dyDescent="0.25">
      <c r="A39" s="143" t="s">
        <v>70</v>
      </c>
      <c r="B39" s="143" t="s">
        <v>144</v>
      </c>
      <c r="C39" s="143" t="s">
        <v>145</v>
      </c>
      <c r="D39" s="143" t="s">
        <v>69</v>
      </c>
      <c r="E39" s="257">
        <v>6685715</v>
      </c>
      <c r="F39" s="257">
        <v>6685715</v>
      </c>
      <c r="G39" s="257">
        <v>1700000</v>
      </c>
      <c r="H39" s="257">
        <v>0</v>
      </c>
      <c r="I39" s="257">
        <v>481850</v>
      </c>
      <c r="J39" s="257">
        <v>0</v>
      </c>
      <c r="K39" s="257">
        <v>784850</v>
      </c>
      <c r="L39" s="257">
        <v>784850</v>
      </c>
      <c r="M39" s="257">
        <v>5419015</v>
      </c>
      <c r="N39" s="257">
        <v>433300</v>
      </c>
    </row>
    <row r="40" spans="1:14" s="143" customFormat="1" x14ac:dyDescent="0.25">
      <c r="A40" s="143" t="s">
        <v>70</v>
      </c>
      <c r="B40" s="143" t="s">
        <v>146</v>
      </c>
      <c r="C40" s="143" t="s">
        <v>147</v>
      </c>
      <c r="D40" s="143" t="s">
        <v>69</v>
      </c>
      <c r="E40" s="257">
        <v>5170968</v>
      </c>
      <c r="F40" s="257">
        <v>5170968</v>
      </c>
      <c r="G40" s="257">
        <v>1200000</v>
      </c>
      <c r="H40" s="257">
        <v>0</v>
      </c>
      <c r="I40" s="257">
        <v>877500</v>
      </c>
      <c r="J40" s="257">
        <v>0</v>
      </c>
      <c r="K40" s="257">
        <v>87564.479999999996</v>
      </c>
      <c r="L40" s="257">
        <v>87564.479999999996</v>
      </c>
      <c r="M40" s="257">
        <v>4205903.5199999996</v>
      </c>
      <c r="N40" s="257">
        <v>234935.52</v>
      </c>
    </row>
    <row r="41" spans="1:14" s="143" customFormat="1" x14ac:dyDescent="0.25">
      <c r="A41" s="143" t="s">
        <v>70</v>
      </c>
      <c r="B41" s="143" t="s">
        <v>148</v>
      </c>
      <c r="C41" s="143" t="s">
        <v>149</v>
      </c>
      <c r="D41" s="143" t="s">
        <v>69</v>
      </c>
      <c r="E41" s="257">
        <v>5818182</v>
      </c>
      <c r="F41" s="257">
        <v>5818182</v>
      </c>
      <c r="G41" s="257">
        <v>1200000</v>
      </c>
      <c r="H41" s="257">
        <v>0</v>
      </c>
      <c r="I41" s="257">
        <v>1000000</v>
      </c>
      <c r="J41" s="257">
        <v>0</v>
      </c>
      <c r="K41" s="257">
        <v>0</v>
      </c>
      <c r="L41" s="257">
        <v>0</v>
      </c>
      <c r="M41" s="257">
        <v>4818182</v>
      </c>
      <c r="N41" s="257">
        <v>200000</v>
      </c>
    </row>
    <row r="42" spans="1:14" s="143" customFormat="1" x14ac:dyDescent="0.25">
      <c r="A42" s="143" t="s">
        <v>70</v>
      </c>
      <c r="B42" s="143" t="s">
        <v>150</v>
      </c>
      <c r="C42" s="143" t="s">
        <v>151</v>
      </c>
      <c r="D42" s="143" t="s">
        <v>69</v>
      </c>
      <c r="E42" s="257">
        <v>32290000</v>
      </c>
      <c r="F42" s="257">
        <v>32290000</v>
      </c>
      <c r="G42" s="257">
        <v>4851506</v>
      </c>
      <c r="H42" s="257">
        <v>0</v>
      </c>
      <c r="I42" s="257">
        <v>612040</v>
      </c>
      <c r="J42" s="257">
        <v>0</v>
      </c>
      <c r="K42" s="257">
        <v>2990873</v>
      </c>
      <c r="L42" s="257">
        <v>0</v>
      </c>
      <c r="M42" s="257">
        <v>28687087</v>
      </c>
      <c r="N42" s="257">
        <v>1248593</v>
      </c>
    </row>
    <row r="43" spans="1:14" s="143" customFormat="1" x14ac:dyDescent="0.25">
      <c r="A43" s="143" t="s">
        <v>70</v>
      </c>
      <c r="B43" s="143" t="s">
        <v>152</v>
      </c>
      <c r="C43" s="143" t="s">
        <v>153</v>
      </c>
      <c r="D43" s="143" t="s">
        <v>69</v>
      </c>
      <c r="E43" s="257">
        <v>32290000</v>
      </c>
      <c r="F43" s="257">
        <v>32290000</v>
      </c>
      <c r="G43" s="257">
        <v>4851506</v>
      </c>
      <c r="H43" s="257">
        <v>0</v>
      </c>
      <c r="I43" s="257">
        <v>612040</v>
      </c>
      <c r="J43" s="257">
        <v>0</v>
      </c>
      <c r="K43" s="257">
        <v>2990873</v>
      </c>
      <c r="L43" s="257">
        <v>0</v>
      </c>
      <c r="M43" s="257">
        <v>28687087</v>
      </c>
      <c r="N43" s="257">
        <v>1248593</v>
      </c>
    </row>
    <row r="44" spans="1:14" s="143" customFormat="1" x14ac:dyDescent="0.25">
      <c r="A44" s="143" t="s">
        <v>70</v>
      </c>
      <c r="B44" s="143" t="s">
        <v>154</v>
      </c>
      <c r="C44" s="143" t="s">
        <v>155</v>
      </c>
      <c r="D44" s="143" t="s">
        <v>69</v>
      </c>
      <c r="E44" s="257">
        <v>2150000</v>
      </c>
      <c r="F44" s="257">
        <v>2150000</v>
      </c>
      <c r="G44" s="257">
        <v>600000</v>
      </c>
      <c r="H44" s="257">
        <v>0</v>
      </c>
      <c r="I44" s="257">
        <v>500000</v>
      </c>
      <c r="J44" s="257">
        <v>0</v>
      </c>
      <c r="K44" s="257">
        <v>0</v>
      </c>
      <c r="L44" s="257">
        <v>0</v>
      </c>
      <c r="M44" s="257">
        <v>1650000</v>
      </c>
      <c r="N44" s="257">
        <v>100000</v>
      </c>
    </row>
    <row r="45" spans="1:14" s="143" customFormat="1" x14ac:dyDescent="0.25">
      <c r="A45" s="143" t="s">
        <v>70</v>
      </c>
      <c r="B45" s="143" t="s">
        <v>156</v>
      </c>
      <c r="C45" s="143" t="s">
        <v>157</v>
      </c>
      <c r="D45" s="143" t="s">
        <v>69</v>
      </c>
      <c r="E45" s="257">
        <v>0</v>
      </c>
      <c r="F45" s="257">
        <v>0</v>
      </c>
      <c r="G45" s="257">
        <v>0</v>
      </c>
      <c r="H45" s="257">
        <v>0</v>
      </c>
      <c r="I45" s="257">
        <v>0</v>
      </c>
      <c r="J45" s="257">
        <v>0</v>
      </c>
      <c r="K45" s="257">
        <v>0</v>
      </c>
      <c r="L45" s="257">
        <v>0</v>
      </c>
      <c r="M45" s="257">
        <v>0</v>
      </c>
      <c r="N45" s="257">
        <v>0</v>
      </c>
    </row>
    <row r="46" spans="1:14" s="143" customFormat="1" x14ac:dyDescent="0.25">
      <c r="A46" s="143" t="s">
        <v>70</v>
      </c>
      <c r="B46" s="143" t="s">
        <v>158</v>
      </c>
      <c r="C46" s="143" t="s">
        <v>159</v>
      </c>
      <c r="D46" s="143" t="s">
        <v>69</v>
      </c>
      <c r="E46" s="257">
        <v>1550000</v>
      </c>
      <c r="F46" s="257">
        <v>1550000</v>
      </c>
      <c r="G46" s="257">
        <v>0</v>
      </c>
      <c r="H46" s="257">
        <v>0</v>
      </c>
      <c r="I46" s="257">
        <v>0</v>
      </c>
      <c r="J46" s="257">
        <v>0</v>
      </c>
      <c r="K46" s="257">
        <v>0</v>
      </c>
      <c r="L46" s="257">
        <v>0</v>
      </c>
      <c r="M46" s="257">
        <v>1550000</v>
      </c>
      <c r="N46" s="257">
        <v>0</v>
      </c>
    </row>
    <row r="47" spans="1:14" s="143" customFormat="1" x14ac:dyDescent="0.25">
      <c r="A47" s="143" t="s">
        <v>70</v>
      </c>
      <c r="B47" s="143" t="s">
        <v>160</v>
      </c>
      <c r="C47" s="143" t="s">
        <v>161</v>
      </c>
      <c r="D47" s="143" t="s">
        <v>69</v>
      </c>
      <c r="E47" s="257">
        <v>600000</v>
      </c>
      <c r="F47" s="257">
        <v>600000</v>
      </c>
      <c r="G47" s="257">
        <v>600000</v>
      </c>
      <c r="H47" s="257">
        <v>0</v>
      </c>
      <c r="I47" s="257">
        <v>500000</v>
      </c>
      <c r="J47" s="257">
        <v>0</v>
      </c>
      <c r="K47" s="257">
        <v>0</v>
      </c>
      <c r="L47" s="257">
        <v>0</v>
      </c>
      <c r="M47" s="257">
        <v>100000</v>
      </c>
      <c r="N47" s="257">
        <v>100000</v>
      </c>
    </row>
    <row r="48" spans="1:14" s="143" customFormat="1" x14ac:dyDescent="0.25">
      <c r="A48" s="143" t="s">
        <v>70</v>
      </c>
      <c r="B48" s="143" t="s">
        <v>162</v>
      </c>
      <c r="C48" s="143" t="s">
        <v>163</v>
      </c>
      <c r="D48" s="143" t="s">
        <v>69</v>
      </c>
      <c r="E48" s="257">
        <v>17019667</v>
      </c>
      <c r="F48" s="257">
        <v>17019667</v>
      </c>
      <c r="G48" s="257">
        <v>4673200</v>
      </c>
      <c r="H48" s="257">
        <v>0</v>
      </c>
      <c r="I48" s="257">
        <v>3768988.8</v>
      </c>
      <c r="J48" s="257">
        <v>0</v>
      </c>
      <c r="K48" s="257">
        <v>0</v>
      </c>
      <c r="L48" s="257">
        <v>0</v>
      </c>
      <c r="M48" s="257">
        <v>13250678.199999999</v>
      </c>
      <c r="N48" s="257">
        <v>904211.2</v>
      </c>
    </row>
    <row r="49" spans="1:14" s="143" customFormat="1" x14ac:dyDescent="0.25">
      <c r="A49" s="143" t="s">
        <v>70</v>
      </c>
      <c r="B49" s="143" t="s">
        <v>164</v>
      </c>
      <c r="C49" s="143" t="s">
        <v>165</v>
      </c>
      <c r="D49" s="143" t="s">
        <v>69</v>
      </c>
      <c r="E49" s="257">
        <v>300000</v>
      </c>
      <c r="F49" s="257">
        <v>300000</v>
      </c>
      <c r="G49" s="257">
        <v>0</v>
      </c>
      <c r="H49" s="257">
        <v>0</v>
      </c>
      <c r="I49" s="257">
        <v>0</v>
      </c>
      <c r="J49" s="257">
        <v>0</v>
      </c>
      <c r="K49" s="257">
        <v>0</v>
      </c>
      <c r="L49" s="257">
        <v>0</v>
      </c>
      <c r="M49" s="257">
        <v>300000</v>
      </c>
      <c r="N49" s="257">
        <v>0</v>
      </c>
    </row>
    <row r="50" spans="1:14" s="143" customFormat="1" x14ac:dyDescent="0.25">
      <c r="A50" s="143" t="s">
        <v>70</v>
      </c>
      <c r="B50" s="143" t="s">
        <v>166</v>
      </c>
      <c r="C50" s="143" t="s">
        <v>167</v>
      </c>
      <c r="D50" s="143" t="s">
        <v>69</v>
      </c>
      <c r="E50" s="257">
        <v>9066667</v>
      </c>
      <c r="F50" s="257">
        <v>9066667</v>
      </c>
      <c r="G50" s="257">
        <v>2500000</v>
      </c>
      <c r="H50" s="257">
        <v>0</v>
      </c>
      <c r="I50" s="257">
        <v>1600000</v>
      </c>
      <c r="J50" s="257">
        <v>0</v>
      </c>
      <c r="K50" s="257">
        <v>0</v>
      </c>
      <c r="L50" s="257">
        <v>0</v>
      </c>
      <c r="M50" s="257">
        <v>7466667</v>
      </c>
      <c r="N50" s="257">
        <v>900000</v>
      </c>
    </row>
    <row r="51" spans="1:14" s="143" customFormat="1" x14ac:dyDescent="0.25">
      <c r="A51" s="143" t="s">
        <v>70</v>
      </c>
      <c r="B51" s="143" t="s">
        <v>168</v>
      </c>
      <c r="C51" s="143" t="s">
        <v>169</v>
      </c>
      <c r="D51" s="143" t="s">
        <v>69</v>
      </c>
      <c r="E51" s="257">
        <v>2900000</v>
      </c>
      <c r="F51" s="257">
        <v>2900000</v>
      </c>
      <c r="G51" s="257">
        <v>1641200</v>
      </c>
      <c r="H51" s="257">
        <v>0</v>
      </c>
      <c r="I51" s="257">
        <v>1641200</v>
      </c>
      <c r="J51" s="257">
        <v>0</v>
      </c>
      <c r="K51" s="257">
        <v>0</v>
      </c>
      <c r="L51" s="257">
        <v>0</v>
      </c>
      <c r="M51" s="257">
        <v>1258800</v>
      </c>
      <c r="N51" s="257">
        <v>0</v>
      </c>
    </row>
    <row r="52" spans="1:14" s="143" customFormat="1" x14ac:dyDescent="0.25">
      <c r="A52" s="143" t="s">
        <v>70</v>
      </c>
      <c r="B52" s="143" t="s">
        <v>170</v>
      </c>
      <c r="C52" s="143" t="s">
        <v>171</v>
      </c>
      <c r="D52" s="143" t="s">
        <v>69</v>
      </c>
      <c r="E52" s="257">
        <v>393000</v>
      </c>
      <c r="F52" s="257">
        <v>393000</v>
      </c>
      <c r="G52" s="257">
        <v>0</v>
      </c>
      <c r="H52" s="257">
        <v>0</v>
      </c>
      <c r="I52" s="257">
        <v>0</v>
      </c>
      <c r="J52" s="257">
        <v>0</v>
      </c>
      <c r="K52" s="257">
        <v>0</v>
      </c>
      <c r="L52" s="257">
        <v>0</v>
      </c>
      <c r="M52" s="257">
        <v>393000</v>
      </c>
      <c r="N52" s="257">
        <v>0</v>
      </c>
    </row>
    <row r="53" spans="1:14" s="143" customFormat="1" x14ac:dyDescent="0.25">
      <c r="A53" s="143" t="s">
        <v>70</v>
      </c>
      <c r="B53" s="143" t="s">
        <v>172</v>
      </c>
      <c r="C53" s="143" t="s">
        <v>173</v>
      </c>
      <c r="D53" s="143" t="s">
        <v>69</v>
      </c>
      <c r="E53" s="257">
        <v>4360000</v>
      </c>
      <c r="F53" s="257">
        <v>4360000</v>
      </c>
      <c r="G53" s="257">
        <v>532000</v>
      </c>
      <c r="H53" s="257">
        <v>0</v>
      </c>
      <c r="I53" s="257">
        <v>527788.80000000005</v>
      </c>
      <c r="J53" s="257">
        <v>0</v>
      </c>
      <c r="K53" s="257">
        <v>0</v>
      </c>
      <c r="L53" s="257">
        <v>0</v>
      </c>
      <c r="M53" s="257">
        <v>3832211.2</v>
      </c>
      <c r="N53" s="257">
        <v>4211.2</v>
      </c>
    </row>
    <row r="54" spans="1:14" s="143" customFormat="1" x14ac:dyDescent="0.25">
      <c r="A54" s="143" t="s">
        <v>70</v>
      </c>
      <c r="B54" s="143" t="s">
        <v>174</v>
      </c>
      <c r="C54" s="143" t="s">
        <v>175</v>
      </c>
      <c r="D54" s="143" t="s">
        <v>69</v>
      </c>
      <c r="E54" s="257">
        <v>681819</v>
      </c>
      <c r="F54" s="257">
        <v>681819</v>
      </c>
      <c r="G54" s="257">
        <v>0</v>
      </c>
      <c r="H54" s="257">
        <v>0</v>
      </c>
      <c r="I54" s="257">
        <v>1250684</v>
      </c>
      <c r="J54" s="257">
        <v>0</v>
      </c>
      <c r="K54" s="257">
        <v>0</v>
      </c>
      <c r="L54" s="257">
        <v>0</v>
      </c>
      <c r="M54" s="275">
        <v>-568865</v>
      </c>
      <c r="N54" s="275">
        <v>-1250684</v>
      </c>
    </row>
    <row r="55" spans="1:14" s="143" customFormat="1" x14ac:dyDescent="0.25">
      <c r="A55" s="143" t="s">
        <v>70</v>
      </c>
      <c r="B55" s="143" t="s">
        <v>176</v>
      </c>
      <c r="C55" s="143" t="s">
        <v>177</v>
      </c>
      <c r="D55" s="143" t="s">
        <v>69</v>
      </c>
      <c r="E55" s="257">
        <v>681819</v>
      </c>
      <c r="F55" s="257">
        <v>681819</v>
      </c>
      <c r="G55" s="257">
        <v>0</v>
      </c>
      <c r="H55" s="257">
        <v>0</v>
      </c>
      <c r="I55" s="257">
        <v>1250684</v>
      </c>
      <c r="J55" s="257">
        <v>0</v>
      </c>
      <c r="K55" s="257">
        <v>0</v>
      </c>
      <c r="L55" s="257">
        <v>0</v>
      </c>
      <c r="M55" s="275">
        <v>-568865</v>
      </c>
      <c r="N55" s="275">
        <v>-1250684</v>
      </c>
    </row>
    <row r="56" spans="1:14" s="143" customFormat="1" x14ac:dyDescent="0.25">
      <c r="A56" s="143" t="s">
        <v>70</v>
      </c>
      <c r="B56" s="143" t="s">
        <v>178</v>
      </c>
      <c r="C56" s="143" t="s">
        <v>179</v>
      </c>
      <c r="D56" s="143" t="s">
        <v>69</v>
      </c>
      <c r="E56" s="257">
        <v>1000000</v>
      </c>
      <c r="F56" s="257">
        <v>1000000</v>
      </c>
      <c r="G56" s="257">
        <v>0</v>
      </c>
      <c r="H56" s="257">
        <v>0</v>
      </c>
      <c r="I56" s="257">
        <v>800000</v>
      </c>
      <c r="J56" s="257">
        <v>0</v>
      </c>
      <c r="K56" s="257">
        <v>0</v>
      </c>
      <c r="L56" s="257">
        <v>0</v>
      </c>
      <c r="M56" s="257">
        <v>200000</v>
      </c>
      <c r="N56" s="275">
        <v>-800000</v>
      </c>
    </row>
    <row r="57" spans="1:14" s="143" customFormat="1" x14ac:dyDescent="0.25">
      <c r="A57" s="143" t="s">
        <v>70</v>
      </c>
      <c r="B57" s="143" t="s">
        <v>182</v>
      </c>
      <c r="C57" s="143" t="s">
        <v>183</v>
      </c>
      <c r="D57" s="143" t="s">
        <v>69</v>
      </c>
      <c r="E57" s="257">
        <v>1000000</v>
      </c>
      <c r="F57" s="257">
        <v>1000000</v>
      </c>
      <c r="G57" s="257">
        <v>0</v>
      </c>
      <c r="H57" s="257">
        <v>0</v>
      </c>
      <c r="I57" s="257">
        <v>800000</v>
      </c>
      <c r="J57" s="257">
        <v>0</v>
      </c>
      <c r="K57" s="257">
        <v>0</v>
      </c>
      <c r="L57" s="257">
        <v>0</v>
      </c>
      <c r="M57" s="257">
        <v>200000</v>
      </c>
      <c r="N57" s="275">
        <v>-800000</v>
      </c>
    </row>
    <row r="58" spans="1:14" s="143" customFormat="1" x14ac:dyDescent="0.25">
      <c r="A58" s="143" t="s">
        <v>70</v>
      </c>
      <c r="B58" s="143" t="s">
        <v>184</v>
      </c>
      <c r="C58" s="143" t="s">
        <v>185</v>
      </c>
      <c r="D58" s="143" t="s">
        <v>69</v>
      </c>
      <c r="E58" s="257">
        <v>42229000</v>
      </c>
      <c r="F58" s="257">
        <v>42229000</v>
      </c>
      <c r="G58" s="257">
        <v>26634000</v>
      </c>
      <c r="H58" s="257">
        <v>616649.75</v>
      </c>
      <c r="I58" s="257">
        <v>3810156.74</v>
      </c>
      <c r="J58" s="257">
        <v>0</v>
      </c>
      <c r="K58" s="257">
        <v>1178882</v>
      </c>
      <c r="L58" s="257">
        <v>719258</v>
      </c>
      <c r="M58" s="257">
        <v>36623311.509999998</v>
      </c>
      <c r="N58" s="257">
        <v>21028311.510000002</v>
      </c>
    </row>
    <row r="59" spans="1:14" s="143" customFormat="1" x14ac:dyDescent="0.25">
      <c r="A59" s="143" t="s">
        <v>70</v>
      </c>
      <c r="B59" s="143" t="s">
        <v>186</v>
      </c>
      <c r="C59" s="143" t="s">
        <v>187</v>
      </c>
      <c r="D59" s="143" t="s">
        <v>69</v>
      </c>
      <c r="E59" s="257">
        <v>17137000</v>
      </c>
      <c r="F59" s="257">
        <v>17137000</v>
      </c>
      <c r="G59" s="257">
        <v>2019000</v>
      </c>
      <c r="H59" s="257">
        <v>0</v>
      </c>
      <c r="I59" s="257">
        <v>1004140</v>
      </c>
      <c r="J59" s="257">
        <v>0</v>
      </c>
      <c r="K59" s="257">
        <v>719258</v>
      </c>
      <c r="L59" s="257">
        <v>719258</v>
      </c>
      <c r="M59" s="257">
        <v>15413602</v>
      </c>
      <c r="N59" s="257">
        <v>295602</v>
      </c>
    </row>
    <row r="60" spans="1:14" s="143" customFormat="1" x14ac:dyDescent="0.25">
      <c r="A60" s="143" t="s">
        <v>70</v>
      </c>
      <c r="B60" s="143" t="s">
        <v>188</v>
      </c>
      <c r="C60" s="143" t="s">
        <v>189</v>
      </c>
      <c r="D60" s="143" t="s">
        <v>69</v>
      </c>
      <c r="E60" s="257">
        <v>11100000</v>
      </c>
      <c r="F60" s="257">
        <v>11100000</v>
      </c>
      <c r="G60" s="257">
        <v>1900000</v>
      </c>
      <c r="H60" s="257">
        <v>0</v>
      </c>
      <c r="I60" s="257">
        <v>956140</v>
      </c>
      <c r="J60" s="257">
        <v>0</v>
      </c>
      <c r="K60" s="257">
        <v>719258</v>
      </c>
      <c r="L60" s="257">
        <v>719258</v>
      </c>
      <c r="M60" s="257">
        <v>9424602</v>
      </c>
      <c r="N60" s="257">
        <v>224602</v>
      </c>
    </row>
    <row r="61" spans="1:14" s="143" customFormat="1" x14ac:dyDescent="0.25">
      <c r="A61" s="143" t="s">
        <v>70</v>
      </c>
      <c r="B61" s="143" t="s">
        <v>190</v>
      </c>
      <c r="C61" s="143" t="s">
        <v>191</v>
      </c>
      <c r="D61" s="143" t="s">
        <v>69</v>
      </c>
      <c r="E61" s="257">
        <v>5000000</v>
      </c>
      <c r="F61" s="257">
        <v>5000000</v>
      </c>
      <c r="G61" s="257">
        <v>0</v>
      </c>
      <c r="H61" s="257">
        <v>0</v>
      </c>
      <c r="I61" s="257">
        <v>0</v>
      </c>
      <c r="J61" s="257">
        <v>0</v>
      </c>
      <c r="K61" s="257">
        <v>0</v>
      </c>
      <c r="L61" s="257">
        <v>0</v>
      </c>
      <c r="M61" s="257">
        <v>5000000</v>
      </c>
      <c r="N61" s="257">
        <v>0</v>
      </c>
    </row>
    <row r="62" spans="1:14" s="143" customFormat="1" x14ac:dyDescent="0.25">
      <c r="A62" s="143" t="s">
        <v>70</v>
      </c>
      <c r="B62" s="143" t="s">
        <v>192</v>
      </c>
      <c r="C62" s="143" t="s">
        <v>193</v>
      </c>
      <c r="D62" s="143" t="s">
        <v>69</v>
      </c>
      <c r="E62" s="257">
        <v>126000</v>
      </c>
      <c r="F62" s="257">
        <v>126000</v>
      </c>
      <c r="G62" s="257">
        <v>119000</v>
      </c>
      <c r="H62" s="257">
        <v>0</v>
      </c>
      <c r="I62" s="257">
        <v>48000</v>
      </c>
      <c r="J62" s="257">
        <v>0</v>
      </c>
      <c r="K62" s="257">
        <v>0</v>
      </c>
      <c r="L62" s="257">
        <v>0</v>
      </c>
      <c r="M62" s="257">
        <v>78000</v>
      </c>
      <c r="N62" s="257">
        <v>71000</v>
      </c>
    </row>
    <row r="63" spans="1:14" s="143" customFormat="1" x14ac:dyDescent="0.25">
      <c r="A63" s="143" t="s">
        <v>70</v>
      </c>
      <c r="B63" s="143" t="s">
        <v>194</v>
      </c>
      <c r="C63" s="143" t="s">
        <v>195</v>
      </c>
      <c r="D63" s="143" t="s">
        <v>69</v>
      </c>
      <c r="E63" s="257">
        <v>911000</v>
      </c>
      <c r="F63" s="257">
        <v>911000</v>
      </c>
      <c r="G63" s="257">
        <v>0</v>
      </c>
      <c r="H63" s="257">
        <v>0</v>
      </c>
      <c r="I63" s="257">
        <v>0</v>
      </c>
      <c r="J63" s="257">
        <v>0</v>
      </c>
      <c r="K63" s="257">
        <v>0</v>
      </c>
      <c r="L63" s="257">
        <v>0</v>
      </c>
      <c r="M63" s="257">
        <v>911000</v>
      </c>
      <c r="N63" s="257">
        <v>0</v>
      </c>
    </row>
    <row r="64" spans="1:14" s="143" customFormat="1" x14ac:dyDescent="0.25">
      <c r="A64" s="143" t="s">
        <v>70</v>
      </c>
      <c r="B64" s="143" t="s">
        <v>196</v>
      </c>
      <c r="C64" s="143" t="s">
        <v>197</v>
      </c>
      <c r="D64" s="143" t="s">
        <v>69</v>
      </c>
      <c r="E64" s="257">
        <v>3000000</v>
      </c>
      <c r="F64" s="257">
        <v>3000000</v>
      </c>
      <c r="G64" s="257">
        <v>3000000</v>
      </c>
      <c r="H64" s="257">
        <v>0</v>
      </c>
      <c r="I64" s="257">
        <v>749918</v>
      </c>
      <c r="J64" s="257">
        <v>0</v>
      </c>
      <c r="K64" s="257">
        <v>0</v>
      </c>
      <c r="L64" s="257">
        <v>0</v>
      </c>
      <c r="M64" s="257">
        <v>2250082</v>
      </c>
      <c r="N64" s="257">
        <v>2250082</v>
      </c>
    </row>
    <row r="65" spans="1:14" s="143" customFormat="1" x14ac:dyDescent="0.25">
      <c r="A65" s="143" t="s">
        <v>70</v>
      </c>
      <c r="B65" s="143" t="s">
        <v>198</v>
      </c>
      <c r="C65" s="143" t="s">
        <v>199</v>
      </c>
      <c r="D65" s="143" t="s">
        <v>69</v>
      </c>
      <c r="E65" s="257">
        <v>3000000</v>
      </c>
      <c r="F65" s="257">
        <v>3000000</v>
      </c>
      <c r="G65" s="257">
        <v>3000000</v>
      </c>
      <c r="H65" s="257">
        <v>0</v>
      </c>
      <c r="I65" s="257">
        <v>749918</v>
      </c>
      <c r="J65" s="257">
        <v>0</v>
      </c>
      <c r="K65" s="257">
        <v>0</v>
      </c>
      <c r="L65" s="257">
        <v>0</v>
      </c>
      <c r="M65" s="257">
        <v>2250082</v>
      </c>
      <c r="N65" s="257">
        <v>2250082</v>
      </c>
    </row>
    <row r="66" spans="1:14" s="143" customFormat="1" x14ac:dyDescent="0.25">
      <c r="A66" s="143" t="s">
        <v>70</v>
      </c>
      <c r="B66" s="143" t="s">
        <v>200</v>
      </c>
      <c r="C66" s="143" t="s">
        <v>201</v>
      </c>
      <c r="D66" s="143" t="s">
        <v>69</v>
      </c>
      <c r="E66" s="257">
        <v>936000</v>
      </c>
      <c r="F66" s="257">
        <v>936000</v>
      </c>
      <c r="G66" s="257">
        <v>771000</v>
      </c>
      <c r="H66" s="257">
        <v>0</v>
      </c>
      <c r="I66" s="257">
        <v>0</v>
      </c>
      <c r="J66" s="257">
        <v>0</v>
      </c>
      <c r="K66" s="257">
        <v>0</v>
      </c>
      <c r="L66" s="257">
        <v>0</v>
      </c>
      <c r="M66" s="257">
        <v>936000</v>
      </c>
      <c r="N66" s="257">
        <v>771000</v>
      </c>
    </row>
    <row r="67" spans="1:14" s="143" customFormat="1" x14ac:dyDescent="0.25">
      <c r="A67" s="143" t="s">
        <v>70</v>
      </c>
      <c r="B67" s="143" t="s">
        <v>202</v>
      </c>
      <c r="C67" s="143" t="s">
        <v>203</v>
      </c>
      <c r="D67" s="143" t="s">
        <v>69</v>
      </c>
      <c r="E67" s="257">
        <v>771000</v>
      </c>
      <c r="F67" s="257">
        <v>771000</v>
      </c>
      <c r="G67" s="257">
        <v>771000</v>
      </c>
      <c r="H67" s="257">
        <v>0</v>
      </c>
      <c r="I67" s="257">
        <v>0</v>
      </c>
      <c r="J67" s="257">
        <v>0</v>
      </c>
      <c r="K67" s="257">
        <v>0</v>
      </c>
      <c r="L67" s="257">
        <v>0</v>
      </c>
      <c r="M67" s="257">
        <v>771000</v>
      </c>
      <c r="N67" s="257">
        <v>771000</v>
      </c>
    </row>
    <row r="68" spans="1:14" s="143" customFormat="1" x14ac:dyDescent="0.25">
      <c r="A68" s="143" t="s">
        <v>70</v>
      </c>
      <c r="B68" s="143" t="s">
        <v>204</v>
      </c>
      <c r="C68" s="143" t="s">
        <v>205</v>
      </c>
      <c r="D68" s="143" t="s">
        <v>69</v>
      </c>
      <c r="E68" s="257">
        <v>165000</v>
      </c>
      <c r="F68" s="257">
        <v>165000</v>
      </c>
      <c r="G68" s="257">
        <v>0</v>
      </c>
      <c r="H68" s="257">
        <v>0</v>
      </c>
      <c r="I68" s="257">
        <v>0</v>
      </c>
      <c r="J68" s="257">
        <v>0</v>
      </c>
      <c r="K68" s="257">
        <v>0</v>
      </c>
      <c r="L68" s="257">
        <v>0</v>
      </c>
      <c r="M68" s="257">
        <v>165000</v>
      </c>
      <c r="N68" s="257">
        <v>0</v>
      </c>
    </row>
    <row r="69" spans="1:14" s="143" customFormat="1" x14ac:dyDescent="0.25">
      <c r="A69" s="143" t="s">
        <v>70</v>
      </c>
      <c r="B69" s="143" t="s">
        <v>206</v>
      </c>
      <c r="C69" s="143" t="s">
        <v>207</v>
      </c>
      <c r="D69" s="143" t="s">
        <v>69</v>
      </c>
      <c r="E69" s="257">
        <v>312000</v>
      </c>
      <c r="F69" s="257">
        <v>312000</v>
      </c>
      <c r="G69" s="257">
        <v>0</v>
      </c>
      <c r="H69" s="257">
        <v>0</v>
      </c>
      <c r="I69" s="257">
        <v>0</v>
      </c>
      <c r="J69" s="257">
        <v>0</v>
      </c>
      <c r="K69" s="257">
        <v>0</v>
      </c>
      <c r="L69" s="257">
        <v>0</v>
      </c>
      <c r="M69" s="257">
        <v>312000</v>
      </c>
      <c r="N69" s="257">
        <v>0</v>
      </c>
    </row>
    <row r="70" spans="1:14" s="143" customFormat="1" x14ac:dyDescent="0.25">
      <c r="A70" s="143" t="s">
        <v>70</v>
      </c>
      <c r="B70" s="143" t="s">
        <v>208</v>
      </c>
      <c r="C70" s="143" t="s">
        <v>209</v>
      </c>
      <c r="D70" s="143" t="s">
        <v>69</v>
      </c>
      <c r="E70" s="257">
        <v>206000</v>
      </c>
      <c r="F70" s="257">
        <v>206000</v>
      </c>
      <c r="G70" s="257">
        <v>0</v>
      </c>
      <c r="H70" s="257">
        <v>0</v>
      </c>
      <c r="I70" s="257">
        <v>0</v>
      </c>
      <c r="J70" s="257">
        <v>0</v>
      </c>
      <c r="K70" s="257">
        <v>0</v>
      </c>
      <c r="L70" s="257">
        <v>0</v>
      </c>
      <c r="M70" s="257">
        <v>206000</v>
      </c>
      <c r="N70" s="257">
        <v>0</v>
      </c>
    </row>
    <row r="71" spans="1:14" s="143" customFormat="1" x14ac:dyDescent="0.25">
      <c r="A71" s="143" t="s">
        <v>70</v>
      </c>
      <c r="B71" s="143" t="s">
        <v>210</v>
      </c>
      <c r="C71" s="143" t="s">
        <v>211</v>
      </c>
      <c r="D71" s="143" t="s">
        <v>69</v>
      </c>
      <c r="E71" s="257">
        <v>106000</v>
      </c>
      <c r="F71" s="257">
        <v>106000</v>
      </c>
      <c r="G71" s="257">
        <v>0</v>
      </c>
      <c r="H71" s="257">
        <v>0</v>
      </c>
      <c r="I71" s="257">
        <v>0</v>
      </c>
      <c r="J71" s="257">
        <v>0</v>
      </c>
      <c r="K71" s="257">
        <v>0</v>
      </c>
      <c r="L71" s="257">
        <v>0</v>
      </c>
      <c r="M71" s="257">
        <v>106000</v>
      </c>
      <c r="N71" s="257">
        <v>0</v>
      </c>
    </row>
    <row r="72" spans="1:14" s="143" customFormat="1" x14ac:dyDescent="0.25">
      <c r="A72" s="143" t="s">
        <v>70</v>
      </c>
      <c r="B72" s="143" t="s">
        <v>212</v>
      </c>
      <c r="C72" s="143" t="s">
        <v>213</v>
      </c>
      <c r="D72" s="143" t="s">
        <v>69</v>
      </c>
      <c r="E72" s="257">
        <v>20844000</v>
      </c>
      <c r="F72" s="257">
        <v>20844000</v>
      </c>
      <c r="G72" s="257">
        <v>20844000</v>
      </c>
      <c r="H72" s="257">
        <v>616649.75</v>
      </c>
      <c r="I72" s="257">
        <v>2056098.74</v>
      </c>
      <c r="J72" s="257">
        <v>0</v>
      </c>
      <c r="K72" s="257">
        <v>459624</v>
      </c>
      <c r="L72" s="257">
        <v>0</v>
      </c>
      <c r="M72" s="257">
        <v>17711627.510000002</v>
      </c>
      <c r="N72" s="257">
        <v>17711627.510000002</v>
      </c>
    </row>
    <row r="73" spans="1:14" s="143" customFormat="1" x14ac:dyDescent="0.25">
      <c r="A73" s="143" t="s">
        <v>70</v>
      </c>
      <c r="B73" s="143" t="s">
        <v>214</v>
      </c>
      <c r="C73" s="143" t="s">
        <v>215</v>
      </c>
      <c r="D73" s="143" t="s">
        <v>69</v>
      </c>
      <c r="E73" s="257">
        <v>3000000</v>
      </c>
      <c r="F73" s="257">
        <v>3000000</v>
      </c>
      <c r="G73" s="257">
        <v>3000000</v>
      </c>
      <c r="H73" s="257">
        <v>0</v>
      </c>
      <c r="I73" s="257">
        <v>0</v>
      </c>
      <c r="J73" s="257">
        <v>0</v>
      </c>
      <c r="K73" s="257">
        <v>84624</v>
      </c>
      <c r="L73" s="257">
        <v>0</v>
      </c>
      <c r="M73" s="257">
        <v>2915376</v>
      </c>
      <c r="N73" s="257">
        <v>2915376</v>
      </c>
    </row>
    <row r="74" spans="1:14" s="143" customFormat="1" x14ac:dyDescent="0.25">
      <c r="A74" s="143" t="s">
        <v>70</v>
      </c>
      <c r="B74" s="143" t="s">
        <v>216</v>
      </c>
      <c r="C74" s="143" t="s">
        <v>217</v>
      </c>
      <c r="D74" s="143" t="s">
        <v>69</v>
      </c>
      <c r="E74" s="257">
        <v>271000</v>
      </c>
      <c r="F74" s="257">
        <v>271000</v>
      </c>
      <c r="G74" s="257">
        <v>271000</v>
      </c>
      <c r="H74" s="257">
        <v>0</v>
      </c>
      <c r="I74" s="257">
        <v>0</v>
      </c>
      <c r="J74" s="257">
        <v>0</v>
      </c>
      <c r="K74" s="257">
        <v>0</v>
      </c>
      <c r="L74" s="257">
        <v>0</v>
      </c>
      <c r="M74" s="257">
        <v>271000</v>
      </c>
      <c r="N74" s="257">
        <v>271000</v>
      </c>
    </row>
    <row r="75" spans="1:14" s="143" customFormat="1" x14ac:dyDescent="0.25">
      <c r="A75" s="143" t="s">
        <v>70</v>
      </c>
      <c r="B75" s="143" t="s">
        <v>218</v>
      </c>
      <c r="C75" s="143" t="s">
        <v>219</v>
      </c>
      <c r="D75" s="143" t="s">
        <v>69</v>
      </c>
      <c r="E75" s="257">
        <v>12000000</v>
      </c>
      <c r="F75" s="257">
        <v>12000000</v>
      </c>
      <c r="G75" s="257">
        <v>12000000</v>
      </c>
      <c r="H75" s="257">
        <v>616649.75</v>
      </c>
      <c r="I75" s="257">
        <v>1947079.24</v>
      </c>
      <c r="J75" s="257">
        <v>0</v>
      </c>
      <c r="K75" s="257">
        <v>375000</v>
      </c>
      <c r="L75" s="257">
        <v>0</v>
      </c>
      <c r="M75" s="257">
        <v>9061271.0099999998</v>
      </c>
      <c r="N75" s="257">
        <v>9061271.0099999998</v>
      </c>
    </row>
    <row r="76" spans="1:14" s="143" customFormat="1" x14ac:dyDescent="0.25">
      <c r="A76" s="143" t="s">
        <v>70</v>
      </c>
      <c r="B76" s="143" t="s">
        <v>220</v>
      </c>
      <c r="C76" s="143" t="s">
        <v>221</v>
      </c>
      <c r="D76" s="143" t="s">
        <v>69</v>
      </c>
      <c r="E76" s="257">
        <v>1445000</v>
      </c>
      <c r="F76" s="257">
        <v>1445000</v>
      </c>
      <c r="G76" s="257">
        <v>1445000</v>
      </c>
      <c r="H76" s="257">
        <v>0</v>
      </c>
      <c r="I76" s="257">
        <v>0</v>
      </c>
      <c r="J76" s="257">
        <v>0</v>
      </c>
      <c r="K76" s="257">
        <v>0</v>
      </c>
      <c r="L76" s="257">
        <v>0</v>
      </c>
      <c r="M76" s="257">
        <v>1445000</v>
      </c>
      <c r="N76" s="257">
        <v>1445000</v>
      </c>
    </row>
    <row r="77" spans="1:14" s="143" customFormat="1" x14ac:dyDescent="0.25">
      <c r="A77" s="143" t="s">
        <v>70</v>
      </c>
      <c r="B77" s="143" t="s">
        <v>222</v>
      </c>
      <c r="C77" s="143" t="s">
        <v>223</v>
      </c>
      <c r="D77" s="143" t="s">
        <v>69</v>
      </c>
      <c r="E77" s="257">
        <v>2500000</v>
      </c>
      <c r="F77" s="257">
        <v>2500000</v>
      </c>
      <c r="G77" s="257">
        <v>2500000</v>
      </c>
      <c r="H77" s="257">
        <v>0</v>
      </c>
      <c r="I77" s="257">
        <v>0</v>
      </c>
      <c r="J77" s="257">
        <v>0</v>
      </c>
      <c r="K77" s="257">
        <v>0</v>
      </c>
      <c r="L77" s="257">
        <v>0</v>
      </c>
      <c r="M77" s="257">
        <v>2500000</v>
      </c>
      <c r="N77" s="257">
        <v>2500000</v>
      </c>
    </row>
    <row r="78" spans="1:14" s="143" customFormat="1" x14ac:dyDescent="0.25">
      <c r="A78" s="143" t="s">
        <v>70</v>
      </c>
      <c r="B78" s="143" t="s">
        <v>224</v>
      </c>
      <c r="C78" s="143" t="s">
        <v>225</v>
      </c>
      <c r="D78" s="143" t="s">
        <v>69</v>
      </c>
      <c r="E78" s="257">
        <v>66000</v>
      </c>
      <c r="F78" s="257">
        <v>66000</v>
      </c>
      <c r="G78" s="257">
        <v>66000</v>
      </c>
      <c r="H78" s="257">
        <v>0</v>
      </c>
      <c r="I78" s="257">
        <v>0</v>
      </c>
      <c r="J78" s="257">
        <v>0</v>
      </c>
      <c r="K78" s="257">
        <v>0</v>
      </c>
      <c r="L78" s="257">
        <v>0</v>
      </c>
      <c r="M78" s="257">
        <v>66000</v>
      </c>
      <c r="N78" s="257">
        <v>66000</v>
      </c>
    </row>
    <row r="79" spans="1:14" s="143" customFormat="1" x14ac:dyDescent="0.25">
      <c r="A79" s="143" t="s">
        <v>70</v>
      </c>
      <c r="B79" s="143" t="s">
        <v>226</v>
      </c>
      <c r="C79" s="143" t="s">
        <v>227</v>
      </c>
      <c r="D79" s="143" t="s">
        <v>69</v>
      </c>
      <c r="E79" s="257">
        <v>562000</v>
      </c>
      <c r="F79" s="257">
        <v>562000</v>
      </c>
      <c r="G79" s="257">
        <v>562000</v>
      </c>
      <c r="H79" s="257">
        <v>0</v>
      </c>
      <c r="I79" s="257">
        <v>0</v>
      </c>
      <c r="J79" s="257">
        <v>0</v>
      </c>
      <c r="K79" s="257">
        <v>0</v>
      </c>
      <c r="L79" s="257">
        <v>0</v>
      </c>
      <c r="M79" s="257">
        <v>562000</v>
      </c>
      <c r="N79" s="257">
        <v>562000</v>
      </c>
    </row>
    <row r="80" spans="1:14" s="143" customFormat="1" x14ac:dyDescent="0.25">
      <c r="A80" s="143" t="s">
        <v>70</v>
      </c>
      <c r="B80" s="143" t="s">
        <v>228</v>
      </c>
      <c r="C80" s="143" t="s">
        <v>229</v>
      </c>
      <c r="D80" s="143" t="s">
        <v>69</v>
      </c>
      <c r="E80" s="257">
        <v>1000000</v>
      </c>
      <c r="F80" s="257">
        <v>1000000</v>
      </c>
      <c r="G80" s="257">
        <v>1000000</v>
      </c>
      <c r="H80" s="257">
        <v>0</v>
      </c>
      <c r="I80" s="257">
        <v>109019.5</v>
      </c>
      <c r="J80" s="257">
        <v>0</v>
      </c>
      <c r="K80" s="257">
        <v>0</v>
      </c>
      <c r="L80" s="257">
        <v>0</v>
      </c>
      <c r="M80" s="257">
        <v>890980.5</v>
      </c>
      <c r="N80" s="257">
        <v>890980.5</v>
      </c>
    </row>
    <row r="81" spans="1:14" s="143" customFormat="1" x14ac:dyDescent="0.25">
      <c r="A81" s="143" t="s">
        <v>70</v>
      </c>
      <c r="B81" s="143" t="s">
        <v>230</v>
      </c>
      <c r="C81" s="143" t="s">
        <v>231</v>
      </c>
      <c r="D81" s="143" t="s">
        <v>85</v>
      </c>
      <c r="E81" s="257">
        <v>17098648</v>
      </c>
      <c r="F81" s="257">
        <v>17098648</v>
      </c>
      <c r="G81" s="257">
        <v>4274662</v>
      </c>
      <c r="H81" s="257">
        <v>0</v>
      </c>
      <c r="I81" s="257">
        <v>0</v>
      </c>
      <c r="J81" s="257">
        <v>0</v>
      </c>
      <c r="K81" s="257">
        <v>0</v>
      </c>
      <c r="L81" s="257">
        <v>0</v>
      </c>
      <c r="M81" s="257">
        <v>17098648</v>
      </c>
      <c r="N81" s="257">
        <v>4274662</v>
      </c>
    </row>
    <row r="82" spans="1:14" s="143" customFormat="1" x14ac:dyDescent="0.25">
      <c r="A82" s="143" t="s">
        <v>70</v>
      </c>
      <c r="B82" s="143" t="s">
        <v>232</v>
      </c>
      <c r="C82" s="143" t="s">
        <v>233</v>
      </c>
      <c r="D82" s="143" t="s">
        <v>85</v>
      </c>
      <c r="E82" s="257">
        <v>16598648</v>
      </c>
      <c r="F82" s="257">
        <v>16598648</v>
      </c>
      <c r="G82" s="257">
        <v>3774662</v>
      </c>
      <c r="H82" s="257">
        <v>0</v>
      </c>
      <c r="I82" s="257">
        <v>0</v>
      </c>
      <c r="J82" s="257">
        <v>0</v>
      </c>
      <c r="K82" s="257">
        <v>0</v>
      </c>
      <c r="L82" s="257">
        <v>0</v>
      </c>
      <c r="M82" s="257">
        <v>16598648</v>
      </c>
      <c r="N82" s="257">
        <v>3774662</v>
      </c>
    </row>
    <row r="83" spans="1:14" s="143" customFormat="1" x14ac:dyDescent="0.25">
      <c r="A83" s="143" t="s">
        <v>70</v>
      </c>
      <c r="B83" s="143" t="s">
        <v>234</v>
      </c>
      <c r="C83" s="143" t="s">
        <v>235</v>
      </c>
      <c r="D83" s="143" t="s">
        <v>85</v>
      </c>
      <c r="E83" s="257">
        <v>3000000</v>
      </c>
      <c r="F83" s="257">
        <v>3000000</v>
      </c>
      <c r="G83" s="257">
        <v>513662</v>
      </c>
      <c r="H83" s="257">
        <v>0</v>
      </c>
      <c r="I83" s="257">
        <v>0</v>
      </c>
      <c r="J83" s="257">
        <v>0</v>
      </c>
      <c r="K83" s="257">
        <v>0</v>
      </c>
      <c r="L83" s="257">
        <v>0</v>
      </c>
      <c r="M83" s="257">
        <v>3000000</v>
      </c>
      <c r="N83" s="257">
        <v>513662</v>
      </c>
    </row>
    <row r="84" spans="1:14" s="143" customFormat="1" x14ac:dyDescent="0.25">
      <c r="A84" s="143" t="s">
        <v>70</v>
      </c>
      <c r="B84" s="143" t="s">
        <v>236</v>
      </c>
      <c r="C84" s="143" t="s">
        <v>237</v>
      </c>
      <c r="D84" s="143" t="s">
        <v>85</v>
      </c>
      <c r="E84" s="257">
        <v>4000000</v>
      </c>
      <c r="F84" s="257">
        <v>4000000</v>
      </c>
      <c r="G84" s="257">
        <v>0</v>
      </c>
      <c r="H84" s="257">
        <v>0</v>
      </c>
      <c r="I84" s="257">
        <v>0</v>
      </c>
      <c r="J84" s="257">
        <v>0</v>
      </c>
      <c r="K84" s="257">
        <v>0</v>
      </c>
      <c r="L84" s="257">
        <v>0</v>
      </c>
      <c r="M84" s="257">
        <v>4000000</v>
      </c>
      <c r="N84" s="257">
        <v>0</v>
      </c>
    </row>
    <row r="85" spans="1:14" s="143" customFormat="1" x14ac:dyDescent="0.25">
      <c r="A85" s="143" t="s">
        <v>70</v>
      </c>
      <c r="B85" s="143" t="s">
        <v>238</v>
      </c>
      <c r="C85" s="143" t="s">
        <v>239</v>
      </c>
      <c r="D85" s="143" t="s">
        <v>85</v>
      </c>
      <c r="E85" s="257">
        <v>6337648</v>
      </c>
      <c r="F85" s="257">
        <v>6337648</v>
      </c>
      <c r="G85" s="257">
        <v>0</v>
      </c>
      <c r="H85" s="257">
        <v>0</v>
      </c>
      <c r="I85" s="257">
        <v>0</v>
      </c>
      <c r="J85" s="257">
        <v>0</v>
      </c>
      <c r="K85" s="257">
        <v>0</v>
      </c>
      <c r="L85" s="257">
        <v>0</v>
      </c>
      <c r="M85" s="257">
        <v>6337648</v>
      </c>
      <c r="N85" s="257">
        <v>0</v>
      </c>
    </row>
    <row r="86" spans="1:14" s="143" customFormat="1" x14ac:dyDescent="0.25">
      <c r="A86" s="143" t="s">
        <v>70</v>
      </c>
      <c r="B86" s="143" t="s">
        <v>240</v>
      </c>
      <c r="C86" s="143" t="s">
        <v>241</v>
      </c>
      <c r="D86" s="143" t="s">
        <v>85</v>
      </c>
      <c r="E86" s="257">
        <v>2261000</v>
      </c>
      <c r="F86" s="257">
        <v>2261000</v>
      </c>
      <c r="G86" s="257">
        <v>2261000</v>
      </c>
      <c r="H86" s="257">
        <v>0</v>
      </c>
      <c r="I86" s="257">
        <v>0</v>
      </c>
      <c r="J86" s="257">
        <v>0</v>
      </c>
      <c r="K86" s="257">
        <v>0</v>
      </c>
      <c r="L86" s="257">
        <v>0</v>
      </c>
      <c r="M86" s="257">
        <v>2261000</v>
      </c>
      <c r="N86" s="257">
        <v>2261000</v>
      </c>
    </row>
    <row r="87" spans="1:14" s="143" customFormat="1" x14ac:dyDescent="0.25">
      <c r="A87" s="143" t="s">
        <v>70</v>
      </c>
      <c r="B87" s="143" t="s">
        <v>242</v>
      </c>
      <c r="C87" s="143" t="s">
        <v>243</v>
      </c>
      <c r="D87" s="143" t="s">
        <v>85</v>
      </c>
      <c r="E87" s="257">
        <v>1000000</v>
      </c>
      <c r="F87" s="257">
        <v>1000000</v>
      </c>
      <c r="G87" s="257">
        <v>1000000</v>
      </c>
      <c r="H87" s="257">
        <v>0</v>
      </c>
      <c r="I87" s="257">
        <v>0</v>
      </c>
      <c r="J87" s="257">
        <v>0</v>
      </c>
      <c r="K87" s="257">
        <v>0</v>
      </c>
      <c r="L87" s="257">
        <v>0</v>
      </c>
      <c r="M87" s="257">
        <v>1000000</v>
      </c>
      <c r="N87" s="257">
        <v>1000000</v>
      </c>
    </row>
    <row r="88" spans="1:14" s="143" customFormat="1" x14ac:dyDescent="0.25">
      <c r="A88" s="143" t="s">
        <v>70</v>
      </c>
      <c r="B88" s="143" t="s">
        <v>244</v>
      </c>
      <c r="C88" s="143" t="s">
        <v>245</v>
      </c>
      <c r="D88" s="143" t="s">
        <v>85</v>
      </c>
      <c r="E88" s="257">
        <v>500000</v>
      </c>
      <c r="F88" s="257">
        <v>500000</v>
      </c>
      <c r="G88" s="257">
        <v>500000</v>
      </c>
      <c r="H88" s="257">
        <v>0</v>
      </c>
      <c r="I88" s="257">
        <v>0</v>
      </c>
      <c r="J88" s="257">
        <v>0</v>
      </c>
      <c r="K88" s="257">
        <v>0</v>
      </c>
      <c r="L88" s="257">
        <v>0</v>
      </c>
      <c r="M88" s="257">
        <v>500000</v>
      </c>
      <c r="N88" s="257">
        <v>500000</v>
      </c>
    </row>
    <row r="89" spans="1:14" s="143" customFormat="1" x14ac:dyDescent="0.25">
      <c r="A89" s="143" t="s">
        <v>70</v>
      </c>
      <c r="B89" s="143" t="s">
        <v>246</v>
      </c>
      <c r="C89" s="143" t="s">
        <v>247</v>
      </c>
      <c r="D89" s="143" t="s">
        <v>85</v>
      </c>
      <c r="E89" s="257">
        <v>500000</v>
      </c>
      <c r="F89" s="257">
        <v>500000</v>
      </c>
      <c r="G89" s="257">
        <v>500000</v>
      </c>
      <c r="H89" s="257">
        <v>0</v>
      </c>
      <c r="I89" s="257">
        <v>0</v>
      </c>
      <c r="J89" s="257">
        <v>0</v>
      </c>
      <c r="K89" s="257">
        <v>0</v>
      </c>
      <c r="L89" s="257">
        <v>0</v>
      </c>
      <c r="M89" s="257">
        <v>500000</v>
      </c>
      <c r="N89" s="257">
        <v>500000</v>
      </c>
    </row>
    <row r="90" spans="1:14" s="143" customFormat="1" x14ac:dyDescent="0.25">
      <c r="A90" s="143" t="s">
        <v>70</v>
      </c>
      <c r="B90" s="143" t="s">
        <v>248</v>
      </c>
      <c r="C90" s="143" t="s">
        <v>249</v>
      </c>
      <c r="D90" s="143" t="s">
        <v>69</v>
      </c>
      <c r="E90" s="257">
        <v>731283000</v>
      </c>
      <c r="F90" s="257">
        <v>731283000</v>
      </c>
      <c r="G90" s="257">
        <v>214777250</v>
      </c>
      <c r="H90" s="257">
        <v>0</v>
      </c>
      <c r="I90" s="257">
        <v>58121011.740000002</v>
      </c>
      <c r="J90" s="257">
        <v>0</v>
      </c>
      <c r="K90" s="257">
        <v>128763351.26000001</v>
      </c>
      <c r="L90" s="257">
        <v>128763351.26000001</v>
      </c>
      <c r="M90" s="257">
        <v>544398637</v>
      </c>
      <c r="N90" s="257">
        <v>27892887</v>
      </c>
    </row>
    <row r="91" spans="1:14" s="143" customFormat="1" x14ac:dyDescent="0.25">
      <c r="A91" s="143" t="s">
        <v>70</v>
      </c>
      <c r="B91" s="143" t="s">
        <v>250</v>
      </c>
      <c r="C91" s="143" t="s">
        <v>251</v>
      </c>
      <c r="D91" s="143" t="s">
        <v>69</v>
      </c>
      <c r="E91" s="257">
        <v>268185000</v>
      </c>
      <c r="F91" s="257">
        <v>268185000</v>
      </c>
      <c r="G91" s="257">
        <v>79185000</v>
      </c>
      <c r="H91" s="257">
        <v>0</v>
      </c>
      <c r="I91" s="257">
        <v>13017751</v>
      </c>
      <c r="J91" s="257">
        <v>0</v>
      </c>
      <c r="K91" s="257">
        <v>54970384.299999997</v>
      </c>
      <c r="L91" s="257">
        <v>54970384.299999997</v>
      </c>
      <c r="M91" s="257">
        <v>200196864.69999999</v>
      </c>
      <c r="N91" s="257">
        <v>11196864.699999999</v>
      </c>
    </row>
    <row r="92" spans="1:14" s="143" customFormat="1" x14ac:dyDescent="0.25">
      <c r="A92" s="143" t="s">
        <v>70</v>
      </c>
      <c r="B92" s="143" t="s">
        <v>252</v>
      </c>
      <c r="C92" s="143" t="s">
        <v>253</v>
      </c>
      <c r="D92" s="143" t="s">
        <v>69</v>
      </c>
      <c r="E92" s="257">
        <v>2000000</v>
      </c>
      <c r="F92" s="257">
        <v>2000000</v>
      </c>
      <c r="G92" s="257">
        <v>2000000</v>
      </c>
      <c r="H92" s="257">
        <v>0</v>
      </c>
      <c r="I92" s="257">
        <v>0</v>
      </c>
      <c r="J92" s="257">
        <v>0</v>
      </c>
      <c r="K92" s="257">
        <v>2000000</v>
      </c>
      <c r="L92" s="257">
        <v>2000000</v>
      </c>
      <c r="M92" s="257">
        <v>0</v>
      </c>
      <c r="N92" s="257">
        <v>0</v>
      </c>
    </row>
    <row r="93" spans="1:14" s="143" customFormat="1" x14ac:dyDescent="0.25">
      <c r="A93" s="143" t="s">
        <v>70</v>
      </c>
      <c r="B93" s="143" t="s">
        <v>254</v>
      </c>
      <c r="C93" s="143" t="s">
        <v>255</v>
      </c>
      <c r="D93" s="143" t="s">
        <v>69</v>
      </c>
      <c r="E93" s="257">
        <v>250000000</v>
      </c>
      <c r="F93" s="257">
        <v>250000000</v>
      </c>
      <c r="G93" s="257">
        <v>61000000</v>
      </c>
      <c r="H93" s="257">
        <v>0</v>
      </c>
      <c r="I93" s="257">
        <v>0</v>
      </c>
      <c r="J93" s="257">
        <v>0</v>
      </c>
      <c r="K93" s="257">
        <v>49803135.299999997</v>
      </c>
      <c r="L93" s="257">
        <v>49803135.299999997</v>
      </c>
      <c r="M93" s="257">
        <v>200196864.69999999</v>
      </c>
      <c r="N93" s="257">
        <v>11196864.699999999</v>
      </c>
    </row>
    <row r="94" spans="1:14" s="143" customFormat="1" x14ac:dyDescent="0.25">
      <c r="A94" s="143" t="s">
        <v>70</v>
      </c>
      <c r="B94" s="143" t="s">
        <v>256</v>
      </c>
      <c r="C94" s="143" t="s">
        <v>257</v>
      </c>
      <c r="D94" s="143" t="s">
        <v>69</v>
      </c>
      <c r="E94" s="257">
        <v>13470000</v>
      </c>
      <c r="F94" s="257">
        <v>13470000</v>
      </c>
      <c r="G94" s="257">
        <v>13470000</v>
      </c>
      <c r="H94" s="257">
        <v>0</v>
      </c>
      <c r="I94" s="257">
        <v>10834169</v>
      </c>
      <c r="J94" s="257">
        <v>0</v>
      </c>
      <c r="K94" s="257">
        <v>2635831</v>
      </c>
      <c r="L94" s="257">
        <v>2635831</v>
      </c>
      <c r="M94" s="257">
        <v>0</v>
      </c>
      <c r="N94" s="257">
        <v>0</v>
      </c>
    </row>
    <row r="95" spans="1:14" s="143" customFormat="1" x14ac:dyDescent="0.25">
      <c r="A95" s="143" t="s">
        <v>70</v>
      </c>
      <c r="B95" s="143" t="s">
        <v>258</v>
      </c>
      <c r="C95" s="143" t="s">
        <v>259</v>
      </c>
      <c r="D95" s="143" t="s">
        <v>69</v>
      </c>
      <c r="E95" s="257">
        <v>2715000</v>
      </c>
      <c r="F95" s="257">
        <v>2715000</v>
      </c>
      <c r="G95" s="257">
        <v>2715000</v>
      </c>
      <c r="H95" s="257">
        <v>0</v>
      </c>
      <c r="I95" s="257">
        <v>2183582</v>
      </c>
      <c r="J95" s="257">
        <v>0</v>
      </c>
      <c r="K95" s="257">
        <v>531418</v>
      </c>
      <c r="L95" s="257">
        <v>531418</v>
      </c>
      <c r="M95" s="257">
        <v>0</v>
      </c>
      <c r="N95" s="257">
        <v>0</v>
      </c>
    </row>
    <row r="96" spans="1:14" s="143" customFormat="1" x14ac:dyDescent="0.25">
      <c r="A96" s="143" t="s">
        <v>70</v>
      </c>
      <c r="B96" s="143" t="s">
        <v>260</v>
      </c>
      <c r="C96" s="143" t="s">
        <v>261</v>
      </c>
      <c r="D96" s="143" t="s">
        <v>69</v>
      </c>
      <c r="E96" s="257">
        <v>39757000</v>
      </c>
      <c r="F96" s="257">
        <v>39757000</v>
      </c>
      <c r="G96" s="257">
        <v>29757000</v>
      </c>
      <c r="H96" s="257">
        <v>0</v>
      </c>
      <c r="I96" s="257">
        <v>2767291.24</v>
      </c>
      <c r="J96" s="257">
        <v>0</v>
      </c>
      <c r="K96" s="257">
        <v>10293686.460000001</v>
      </c>
      <c r="L96" s="257">
        <v>10293686.460000001</v>
      </c>
      <c r="M96" s="257">
        <v>26696022.300000001</v>
      </c>
      <c r="N96" s="257">
        <v>16696022.300000001</v>
      </c>
    </row>
    <row r="97" spans="1:14" s="143" customFormat="1" x14ac:dyDescent="0.25">
      <c r="A97" s="143" t="s">
        <v>70</v>
      </c>
      <c r="B97" s="143" t="s">
        <v>262</v>
      </c>
      <c r="C97" s="143" t="s">
        <v>263</v>
      </c>
      <c r="D97" s="143" t="s">
        <v>69</v>
      </c>
      <c r="E97" s="257">
        <v>30000000</v>
      </c>
      <c r="F97" s="257">
        <v>30000000</v>
      </c>
      <c r="G97" s="257">
        <v>20000000</v>
      </c>
      <c r="H97" s="257">
        <v>0</v>
      </c>
      <c r="I97" s="257">
        <v>2767291.24</v>
      </c>
      <c r="J97" s="257">
        <v>0</v>
      </c>
      <c r="K97" s="257">
        <v>10078305.460000001</v>
      </c>
      <c r="L97" s="257">
        <v>10078305.460000001</v>
      </c>
      <c r="M97" s="257">
        <v>17154403.300000001</v>
      </c>
      <c r="N97" s="257">
        <v>7154403.2999999998</v>
      </c>
    </row>
    <row r="98" spans="1:14" s="143" customFormat="1" x14ac:dyDescent="0.25">
      <c r="A98" s="143" t="s">
        <v>70</v>
      </c>
      <c r="B98" s="143" t="s">
        <v>264</v>
      </c>
      <c r="C98" s="143" t="s">
        <v>265</v>
      </c>
      <c r="D98" s="143" t="s">
        <v>69</v>
      </c>
      <c r="E98" s="257">
        <v>9757000</v>
      </c>
      <c r="F98" s="257">
        <v>9757000</v>
      </c>
      <c r="G98" s="257">
        <v>9757000</v>
      </c>
      <c r="H98" s="257">
        <v>0</v>
      </c>
      <c r="I98" s="257">
        <v>0</v>
      </c>
      <c r="J98" s="257">
        <v>0</v>
      </c>
      <c r="K98" s="257">
        <v>215381</v>
      </c>
      <c r="L98" s="257">
        <v>215381</v>
      </c>
      <c r="M98" s="257">
        <v>9541619</v>
      </c>
      <c r="N98" s="257">
        <v>9541619</v>
      </c>
    </row>
    <row r="99" spans="1:14" s="143" customFormat="1" x14ac:dyDescent="0.25">
      <c r="A99" s="143" t="s">
        <v>70</v>
      </c>
      <c r="B99" s="143" t="s">
        <v>266</v>
      </c>
      <c r="C99" s="143" t="s">
        <v>267</v>
      </c>
      <c r="D99" s="143" t="s">
        <v>69</v>
      </c>
      <c r="E99" s="257">
        <v>423341000</v>
      </c>
      <c r="F99" s="257">
        <v>423341000</v>
      </c>
      <c r="G99" s="257">
        <v>105835250</v>
      </c>
      <c r="H99" s="257">
        <v>0</v>
      </c>
      <c r="I99" s="257">
        <v>42335969.5</v>
      </c>
      <c r="J99" s="257">
        <v>0</v>
      </c>
      <c r="K99" s="257">
        <v>63499280.5</v>
      </c>
      <c r="L99" s="257">
        <v>63499280.5</v>
      </c>
      <c r="M99" s="257">
        <v>317505750</v>
      </c>
      <c r="N99" s="257">
        <v>0</v>
      </c>
    </row>
    <row r="100" spans="1:14" s="143" customFormat="1" x14ac:dyDescent="0.25">
      <c r="A100" s="143" t="s">
        <v>70</v>
      </c>
      <c r="B100" s="143" t="s">
        <v>268</v>
      </c>
      <c r="C100" s="143" t="s">
        <v>269</v>
      </c>
      <c r="D100" s="143" t="s">
        <v>69</v>
      </c>
      <c r="E100" s="257">
        <v>406300000</v>
      </c>
      <c r="F100" s="257">
        <v>406300000</v>
      </c>
      <c r="G100" s="257">
        <v>88794250</v>
      </c>
      <c r="H100" s="257">
        <v>0</v>
      </c>
      <c r="I100" s="257">
        <v>28794250</v>
      </c>
      <c r="J100" s="257">
        <v>0</v>
      </c>
      <c r="K100" s="257">
        <v>60000000</v>
      </c>
      <c r="L100" s="257">
        <v>60000000</v>
      </c>
      <c r="M100" s="257">
        <v>317505750</v>
      </c>
      <c r="N100" s="257">
        <v>0</v>
      </c>
    </row>
    <row r="101" spans="1:14" s="143" customFormat="1" x14ac:dyDescent="0.25">
      <c r="A101" s="143" t="s">
        <v>70</v>
      </c>
      <c r="B101" s="143" t="s">
        <v>270</v>
      </c>
      <c r="C101" s="143" t="s">
        <v>271</v>
      </c>
      <c r="D101" s="143" t="s">
        <v>69</v>
      </c>
      <c r="E101" s="257">
        <v>13364000</v>
      </c>
      <c r="F101" s="257">
        <v>13364000</v>
      </c>
      <c r="G101" s="257">
        <v>13364000</v>
      </c>
      <c r="H101" s="257">
        <v>0</v>
      </c>
      <c r="I101" s="257">
        <v>13364000</v>
      </c>
      <c r="J101" s="257">
        <v>0</v>
      </c>
      <c r="K101" s="257">
        <v>0</v>
      </c>
      <c r="L101" s="257">
        <v>0</v>
      </c>
      <c r="M101" s="257">
        <v>0</v>
      </c>
      <c r="N101" s="257">
        <v>0</v>
      </c>
    </row>
    <row r="102" spans="1:14" s="143" customFormat="1" x14ac:dyDescent="0.25">
      <c r="A102" s="143" t="s">
        <v>70</v>
      </c>
      <c r="B102" s="143" t="s">
        <v>272</v>
      </c>
      <c r="C102" s="143" t="s">
        <v>273</v>
      </c>
      <c r="D102" s="143" t="s">
        <v>69</v>
      </c>
      <c r="E102" s="257">
        <v>3677000</v>
      </c>
      <c r="F102" s="257">
        <v>3677000</v>
      </c>
      <c r="G102" s="257">
        <v>3677000</v>
      </c>
      <c r="H102" s="257">
        <v>0</v>
      </c>
      <c r="I102" s="257">
        <v>177719.5</v>
      </c>
      <c r="J102" s="257">
        <v>0</v>
      </c>
      <c r="K102" s="257">
        <v>3499280.5</v>
      </c>
      <c r="L102" s="257">
        <v>3499280.5</v>
      </c>
      <c r="M102" s="257">
        <v>0</v>
      </c>
      <c r="N102" s="257">
        <v>0</v>
      </c>
    </row>
    <row r="103" spans="1:14" s="143" customFormat="1" x14ac:dyDescent="0.25">
      <c r="A103" s="143">
        <v>214780</v>
      </c>
      <c r="D103" s="143" t="s">
        <v>69</v>
      </c>
      <c r="E103" s="257">
        <v>1241247489</v>
      </c>
      <c r="F103" s="257">
        <v>1241247489</v>
      </c>
      <c r="G103" s="257">
        <v>1033128481.85</v>
      </c>
      <c r="H103" s="257">
        <v>8103642.4800000004</v>
      </c>
      <c r="I103" s="257">
        <v>152846545.09</v>
      </c>
      <c r="J103" s="257">
        <v>371426</v>
      </c>
      <c r="K103" s="279">
        <v>189962074.90000001</v>
      </c>
      <c r="L103" s="257">
        <v>181652548.06</v>
      </c>
      <c r="M103" s="257">
        <v>889963800.52999997</v>
      </c>
      <c r="N103" s="257">
        <v>681844793.38</v>
      </c>
    </row>
    <row r="104" spans="1:14" s="143" customFormat="1" x14ac:dyDescent="0.25">
      <c r="A104" s="143" t="s">
        <v>274</v>
      </c>
      <c r="B104" s="143" t="s">
        <v>71</v>
      </c>
      <c r="C104" s="143" t="s">
        <v>72</v>
      </c>
      <c r="D104" s="143" t="s">
        <v>69</v>
      </c>
      <c r="E104" s="257">
        <v>953910000</v>
      </c>
      <c r="F104" s="257">
        <v>953910000</v>
      </c>
      <c r="G104" s="257">
        <v>953560000</v>
      </c>
      <c r="H104" s="257">
        <v>0</v>
      </c>
      <c r="I104" s="257">
        <v>116910335</v>
      </c>
      <c r="J104" s="257">
        <v>0</v>
      </c>
      <c r="K104" s="257">
        <v>167861602.88</v>
      </c>
      <c r="L104" s="257">
        <v>167861602.88</v>
      </c>
      <c r="M104" s="257">
        <v>669138062.12</v>
      </c>
      <c r="N104" s="257">
        <v>668788062.12</v>
      </c>
    </row>
    <row r="105" spans="1:14" s="143" customFormat="1" x14ac:dyDescent="0.25">
      <c r="A105" s="143" t="s">
        <v>274</v>
      </c>
      <c r="B105" s="143" t="s">
        <v>73</v>
      </c>
      <c r="C105" s="143" t="s">
        <v>74</v>
      </c>
      <c r="D105" s="143" t="s">
        <v>69</v>
      </c>
      <c r="E105" s="257">
        <v>383841000</v>
      </c>
      <c r="F105" s="257">
        <v>383841000</v>
      </c>
      <c r="G105" s="257">
        <v>383841000</v>
      </c>
      <c r="H105" s="257">
        <v>0</v>
      </c>
      <c r="I105" s="257">
        <v>0</v>
      </c>
      <c r="J105" s="257">
        <v>0</v>
      </c>
      <c r="K105" s="257">
        <v>53762987.310000002</v>
      </c>
      <c r="L105" s="257">
        <v>53762987.310000002</v>
      </c>
      <c r="M105" s="257">
        <v>330078012.69</v>
      </c>
      <c r="N105" s="257">
        <v>330078012.69</v>
      </c>
    </row>
    <row r="106" spans="1:14" s="143" customFormat="1" x14ac:dyDescent="0.25">
      <c r="A106" s="143" t="s">
        <v>274</v>
      </c>
      <c r="B106" s="143" t="s">
        <v>75</v>
      </c>
      <c r="C106" s="143" t="s">
        <v>76</v>
      </c>
      <c r="D106" s="143" t="s">
        <v>69</v>
      </c>
      <c r="E106" s="257">
        <v>383841000</v>
      </c>
      <c r="F106" s="257">
        <v>383841000</v>
      </c>
      <c r="G106" s="257">
        <v>383841000</v>
      </c>
      <c r="H106" s="257">
        <v>0</v>
      </c>
      <c r="I106" s="257">
        <v>0</v>
      </c>
      <c r="J106" s="257">
        <v>0</v>
      </c>
      <c r="K106" s="257">
        <v>53762987.310000002</v>
      </c>
      <c r="L106" s="257">
        <v>53762987.310000002</v>
      </c>
      <c r="M106" s="257">
        <v>330078012.69</v>
      </c>
      <c r="N106" s="257">
        <v>330078012.69</v>
      </c>
    </row>
    <row r="107" spans="1:14" s="143" customFormat="1" x14ac:dyDescent="0.25">
      <c r="A107" s="143" t="s">
        <v>274</v>
      </c>
      <c r="B107" s="143" t="s">
        <v>77</v>
      </c>
      <c r="C107" s="143" t="s">
        <v>78</v>
      </c>
      <c r="D107" s="143" t="s">
        <v>69</v>
      </c>
      <c r="E107" s="257">
        <v>425514000</v>
      </c>
      <c r="F107" s="257">
        <v>425514000</v>
      </c>
      <c r="G107" s="257">
        <v>425164000</v>
      </c>
      <c r="H107" s="257">
        <v>0</v>
      </c>
      <c r="I107" s="257">
        <v>0</v>
      </c>
      <c r="J107" s="257">
        <v>0</v>
      </c>
      <c r="K107" s="257">
        <v>86453950.569999993</v>
      </c>
      <c r="L107" s="257">
        <v>86453950.569999993</v>
      </c>
      <c r="M107" s="257">
        <v>339060049.43000001</v>
      </c>
      <c r="N107" s="257">
        <v>338710049.43000001</v>
      </c>
    </row>
    <row r="108" spans="1:14" s="143" customFormat="1" x14ac:dyDescent="0.25">
      <c r="A108" s="143" t="s">
        <v>274</v>
      </c>
      <c r="B108" s="143" t="s">
        <v>79</v>
      </c>
      <c r="C108" s="143" t="s">
        <v>80</v>
      </c>
      <c r="D108" s="143" t="s">
        <v>69</v>
      </c>
      <c r="E108" s="257">
        <v>70660000</v>
      </c>
      <c r="F108" s="257">
        <v>70660000</v>
      </c>
      <c r="G108" s="257">
        <v>70660000</v>
      </c>
      <c r="H108" s="257">
        <v>0</v>
      </c>
      <c r="I108" s="257">
        <v>0</v>
      </c>
      <c r="J108" s="257">
        <v>0</v>
      </c>
      <c r="K108" s="257">
        <v>9469408.5800000001</v>
      </c>
      <c r="L108" s="257">
        <v>9469408.5800000001</v>
      </c>
      <c r="M108" s="257">
        <v>61190591.420000002</v>
      </c>
      <c r="N108" s="257">
        <v>61190591.420000002</v>
      </c>
    </row>
    <row r="109" spans="1:14" s="143" customFormat="1" x14ac:dyDescent="0.25">
      <c r="A109" s="143" t="s">
        <v>274</v>
      </c>
      <c r="B109" s="143" t="s">
        <v>81</v>
      </c>
      <c r="C109" s="143" t="s">
        <v>82</v>
      </c>
      <c r="D109" s="143" t="s">
        <v>69</v>
      </c>
      <c r="E109" s="257">
        <v>211191000</v>
      </c>
      <c r="F109" s="257">
        <v>211191000</v>
      </c>
      <c r="G109" s="257">
        <v>211191000</v>
      </c>
      <c r="H109" s="257">
        <v>0</v>
      </c>
      <c r="I109" s="257">
        <v>0</v>
      </c>
      <c r="J109" s="257">
        <v>0</v>
      </c>
      <c r="K109" s="257">
        <v>27303976.559999999</v>
      </c>
      <c r="L109" s="257">
        <v>27303976.559999999</v>
      </c>
      <c r="M109" s="257">
        <v>183887023.44</v>
      </c>
      <c r="N109" s="257">
        <v>183887023.44</v>
      </c>
    </row>
    <row r="110" spans="1:14" s="143" customFormat="1" x14ac:dyDescent="0.25">
      <c r="A110" s="143" t="s">
        <v>274</v>
      </c>
      <c r="B110" s="143" t="s">
        <v>83</v>
      </c>
      <c r="C110" s="143" t="s">
        <v>84</v>
      </c>
      <c r="D110" s="143" t="s">
        <v>85</v>
      </c>
      <c r="E110" s="257">
        <v>61518000</v>
      </c>
      <c r="F110" s="257">
        <v>61518000</v>
      </c>
      <c r="G110" s="257">
        <v>61518000</v>
      </c>
      <c r="H110" s="257">
        <v>0</v>
      </c>
      <c r="I110" s="257">
        <v>0</v>
      </c>
      <c r="J110" s="257">
        <v>0</v>
      </c>
      <c r="K110" s="257">
        <v>0</v>
      </c>
      <c r="L110" s="257">
        <v>0</v>
      </c>
      <c r="M110" s="257">
        <v>61518000</v>
      </c>
      <c r="N110" s="257">
        <v>61518000</v>
      </c>
    </row>
    <row r="111" spans="1:14" s="143" customFormat="1" x14ac:dyDescent="0.25">
      <c r="A111" s="143" t="s">
        <v>274</v>
      </c>
      <c r="B111" s="143" t="s">
        <v>86</v>
      </c>
      <c r="C111" s="143" t="s">
        <v>87</v>
      </c>
      <c r="D111" s="143" t="s">
        <v>69</v>
      </c>
      <c r="E111" s="257">
        <v>46480000</v>
      </c>
      <c r="F111" s="257">
        <v>46480000</v>
      </c>
      <c r="G111" s="257">
        <v>46480000</v>
      </c>
      <c r="H111" s="257">
        <v>0</v>
      </c>
      <c r="I111" s="257">
        <v>0</v>
      </c>
      <c r="J111" s="257">
        <v>0</v>
      </c>
      <c r="K111" s="257">
        <v>44448031.07</v>
      </c>
      <c r="L111" s="257">
        <v>44448031.07</v>
      </c>
      <c r="M111" s="257">
        <v>2031968.93</v>
      </c>
      <c r="N111" s="257">
        <v>2031968.93</v>
      </c>
    </row>
    <row r="112" spans="1:14" s="143" customFormat="1" x14ac:dyDescent="0.25">
      <c r="A112" s="143" t="s">
        <v>274</v>
      </c>
      <c r="B112" s="143" t="s">
        <v>88</v>
      </c>
      <c r="C112" s="143" t="s">
        <v>89</v>
      </c>
      <c r="D112" s="143" t="s">
        <v>69</v>
      </c>
      <c r="E112" s="257">
        <v>35665000</v>
      </c>
      <c r="F112" s="257">
        <v>35665000</v>
      </c>
      <c r="G112" s="257">
        <v>35315000</v>
      </c>
      <c r="H112" s="257">
        <v>0</v>
      </c>
      <c r="I112" s="257">
        <v>0</v>
      </c>
      <c r="J112" s="257">
        <v>0</v>
      </c>
      <c r="K112" s="257">
        <v>5232534.3600000003</v>
      </c>
      <c r="L112" s="257">
        <v>5232534.3600000003</v>
      </c>
      <c r="M112" s="257">
        <v>30432465.640000001</v>
      </c>
      <c r="N112" s="257">
        <v>30082465.640000001</v>
      </c>
    </row>
    <row r="113" spans="1:14" s="143" customFormat="1" x14ac:dyDescent="0.25">
      <c r="A113" s="143" t="s">
        <v>274</v>
      </c>
      <c r="B113" s="143" t="s">
        <v>90</v>
      </c>
      <c r="C113" s="143" t="s">
        <v>91</v>
      </c>
      <c r="D113" s="143" t="s">
        <v>69</v>
      </c>
      <c r="E113" s="257">
        <v>72913000</v>
      </c>
      <c r="F113" s="257">
        <v>72913000</v>
      </c>
      <c r="G113" s="257">
        <v>72913000</v>
      </c>
      <c r="H113" s="257">
        <v>0</v>
      </c>
      <c r="I113" s="257">
        <v>58967541</v>
      </c>
      <c r="J113" s="257">
        <v>0</v>
      </c>
      <c r="K113" s="257">
        <v>13945459</v>
      </c>
      <c r="L113" s="257">
        <v>13945459</v>
      </c>
      <c r="M113" s="257">
        <v>0</v>
      </c>
      <c r="N113" s="257">
        <v>0</v>
      </c>
    </row>
    <row r="114" spans="1:14" s="143" customFormat="1" x14ac:dyDescent="0.25">
      <c r="A114" s="143" t="s">
        <v>274</v>
      </c>
      <c r="B114" s="143" t="s">
        <v>275</v>
      </c>
      <c r="C114" s="143" t="s">
        <v>93</v>
      </c>
      <c r="D114" s="143" t="s">
        <v>69</v>
      </c>
      <c r="E114" s="257">
        <v>69174000</v>
      </c>
      <c r="F114" s="257">
        <v>69174000</v>
      </c>
      <c r="G114" s="257">
        <v>69174000</v>
      </c>
      <c r="H114" s="257">
        <v>0</v>
      </c>
      <c r="I114" s="257">
        <v>55943446</v>
      </c>
      <c r="J114" s="257">
        <v>0</v>
      </c>
      <c r="K114" s="257">
        <v>13230554</v>
      </c>
      <c r="L114" s="257">
        <v>13230554</v>
      </c>
      <c r="M114" s="257">
        <v>0</v>
      </c>
      <c r="N114" s="257">
        <v>0</v>
      </c>
    </row>
    <row r="115" spans="1:14" s="143" customFormat="1" x14ac:dyDescent="0.25">
      <c r="A115" s="143" t="s">
        <v>274</v>
      </c>
      <c r="B115" s="143" t="s">
        <v>276</v>
      </c>
      <c r="C115" s="143" t="s">
        <v>95</v>
      </c>
      <c r="D115" s="143" t="s">
        <v>69</v>
      </c>
      <c r="E115" s="257">
        <v>3739000</v>
      </c>
      <c r="F115" s="257">
        <v>3739000</v>
      </c>
      <c r="G115" s="257">
        <v>3739000</v>
      </c>
      <c r="H115" s="257">
        <v>0</v>
      </c>
      <c r="I115" s="257">
        <v>3024095</v>
      </c>
      <c r="J115" s="257">
        <v>0</v>
      </c>
      <c r="K115" s="257">
        <v>714905</v>
      </c>
      <c r="L115" s="257">
        <v>714905</v>
      </c>
      <c r="M115" s="257">
        <v>0</v>
      </c>
      <c r="N115" s="257">
        <v>0</v>
      </c>
    </row>
    <row r="116" spans="1:14" s="143" customFormat="1" x14ac:dyDescent="0.25">
      <c r="A116" s="143" t="s">
        <v>274</v>
      </c>
      <c r="B116" s="143" t="s">
        <v>96</v>
      </c>
      <c r="C116" s="143" t="s">
        <v>97</v>
      </c>
      <c r="D116" s="143" t="s">
        <v>69</v>
      </c>
      <c r="E116" s="257">
        <v>71642000</v>
      </c>
      <c r="F116" s="257">
        <v>71642000</v>
      </c>
      <c r="G116" s="257">
        <v>71642000</v>
      </c>
      <c r="H116" s="257">
        <v>0</v>
      </c>
      <c r="I116" s="257">
        <v>57942794</v>
      </c>
      <c r="J116" s="257">
        <v>0</v>
      </c>
      <c r="K116" s="257">
        <v>13699206</v>
      </c>
      <c r="L116" s="257">
        <v>13699206</v>
      </c>
      <c r="M116" s="257">
        <v>0</v>
      </c>
      <c r="N116" s="257">
        <v>0</v>
      </c>
    </row>
    <row r="117" spans="1:14" s="143" customFormat="1" x14ac:dyDescent="0.25">
      <c r="A117" s="143" t="s">
        <v>274</v>
      </c>
      <c r="B117" s="143" t="s">
        <v>277</v>
      </c>
      <c r="C117" s="143" t="s">
        <v>99</v>
      </c>
      <c r="D117" s="143" t="s">
        <v>69</v>
      </c>
      <c r="E117" s="257">
        <v>37990000</v>
      </c>
      <c r="F117" s="257">
        <v>37990000</v>
      </c>
      <c r="G117" s="257">
        <v>37990000</v>
      </c>
      <c r="H117" s="257">
        <v>0</v>
      </c>
      <c r="I117" s="257">
        <v>30724908</v>
      </c>
      <c r="J117" s="257">
        <v>0</v>
      </c>
      <c r="K117" s="257">
        <v>7265092</v>
      </c>
      <c r="L117" s="257">
        <v>7265092</v>
      </c>
      <c r="M117" s="257">
        <v>0</v>
      </c>
      <c r="N117" s="257">
        <v>0</v>
      </c>
    </row>
    <row r="118" spans="1:14" s="143" customFormat="1" x14ac:dyDescent="0.25">
      <c r="A118" s="143" t="s">
        <v>274</v>
      </c>
      <c r="B118" s="143" t="s">
        <v>278</v>
      </c>
      <c r="C118" s="143" t="s">
        <v>101</v>
      </c>
      <c r="D118" s="143" t="s">
        <v>69</v>
      </c>
      <c r="E118" s="257">
        <v>11217000</v>
      </c>
      <c r="F118" s="257">
        <v>11217000</v>
      </c>
      <c r="G118" s="257">
        <v>11217000</v>
      </c>
      <c r="H118" s="257">
        <v>0</v>
      </c>
      <c r="I118" s="257">
        <v>9072294</v>
      </c>
      <c r="J118" s="257">
        <v>0</v>
      </c>
      <c r="K118" s="257">
        <v>2144706</v>
      </c>
      <c r="L118" s="257">
        <v>2144706</v>
      </c>
      <c r="M118" s="257">
        <v>0</v>
      </c>
      <c r="N118" s="257">
        <v>0</v>
      </c>
    </row>
    <row r="119" spans="1:14" s="143" customFormat="1" x14ac:dyDescent="0.25">
      <c r="A119" s="143" t="s">
        <v>274</v>
      </c>
      <c r="B119" s="143" t="s">
        <v>279</v>
      </c>
      <c r="C119" s="143" t="s">
        <v>103</v>
      </c>
      <c r="D119" s="143" t="s">
        <v>69</v>
      </c>
      <c r="E119" s="257">
        <v>22435000</v>
      </c>
      <c r="F119" s="257">
        <v>22435000</v>
      </c>
      <c r="G119" s="257">
        <v>22435000</v>
      </c>
      <c r="H119" s="257">
        <v>0</v>
      </c>
      <c r="I119" s="257">
        <v>18145592</v>
      </c>
      <c r="J119" s="257">
        <v>0</v>
      </c>
      <c r="K119" s="257">
        <v>4289408</v>
      </c>
      <c r="L119" s="257">
        <v>4289408</v>
      </c>
      <c r="M119" s="257">
        <v>0</v>
      </c>
      <c r="N119" s="257">
        <v>0</v>
      </c>
    </row>
    <row r="120" spans="1:14" s="143" customFormat="1" x14ac:dyDescent="0.25">
      <c r="A120" s="143" t="s">
        <v>274</v>
      </c>
      <c r="B120" s="143" t="s">
        <v>104</v>
      </c>
      <c r="C120" s="143" t="s">
        <v>105</v>
      </c>
      <c r="D120" s="143" t="s">
        <v>69</v>
      </c>
      <c r="E120" s="257">
        <v>155922650</v>
      </c>
      <c r="F120" s="257">
        <v>155922650</v>
      </c>
      <c r="G120" s="257">
        <v>37413771.850000001</v>
      </c>
      <c r="H120" s="257">
        <v>0</v>
      </c>
      <c r="I120" s="257">
        <v>18572338.289999999</v>
      </c>
      <c r="J120" s="257">
        <v>0</v>
      </c>
      <c r="K120" s="257">
        <v>16618598.220000001</v>
      </c>
      <c r="L120" s="257">
        <v>9194921.2100000009</v>
      </c>
      <c r="M120" s="257">
        <v>120731713.48999999</v>
      </c>
      <c r="N120" s="257">
        <v>2222835.34</v>
      </c>
    </row>
    <row r="121" spans="1:14" s="143" customFormat="1" x14ac:dyDescent="0.25">
      <c r="A121" s="143" t="s">
        <v>274</v>
      </c>
      <c r="B121" s="143" t="s">
        <v>106</v>
      </c>
      <c r="C121" s="143" t="s">
        <v>107</v>
      </c>
      <c r="D121" s="143" t="s">
        <v>69</v>
      </c>
      <c r="E121" s="257">
        <v>78966646</v>
      </c>
      <c r="F121" s="257">
        <v>78966646</v>
      </c>
      <c r="G121" s="257">
        <v>19740909</v>
      </c>
      <c r="H121" s="257">
        <v>0</v>
      </c>
      <c r="I121" s="257">
        <v>7585012.3899999997</v>
      </c>
      <c r="J121" s="257">
        <v>0</v>
      </c>
      <c r="K121" s="257">
        <v>11838226.59</v>
      </c>
      <c r="L121" s="257">
        <v>5824141.3499999996</v>
      </c>
      <c r="M121" s="257">
        <v>59543407.020000003</v>
      </c>
      <c r="N121" s="257">
        <v>317670.02</v>
      </c>
    </row>
    <row r="122" spans="1:14" s="143" customFormat="1" x14ac:dyDescent="0.25">
      <c r="A122" s="143" t="s">
        <v>274</v>
      </c>
      <c r="B122" s="143" t="s">
        <v>280</v>
      </c>
      <c r="C122" s="143" t="s">
        <v>281</v>
      </c>
      <c r="D122" s="143" t="s">
        <v>69</v>
      </c>
      <c r="E122" s="257">
        <v>67899341</v>
      </c>
      <c r="F122" s="257">
        <v>67899341</v>
      </c>
      <c r="G122" s="257">
        <v>16974082</v>
      </c>
      <c r="H122" s="257">
        <v>0</v>
      </c>
      <c r="I122" s="257">
        <v>5477513.3200000003</v>
      </c>
      <c r="J122" s="257">
        <v>0</v>
      </c>
      <c r="K122" s="257">
        <v>11496568.68</v>
      </c>
      <c r="L122" s="257">
        <v>5746308.3700000001</v>
      </c>
      <c r="M122" s="257">
        <v>50925259</v>
      </c>
      <c r="N122" s="257">
        <v>0</v>
      </c>
    </row>
    <row r="123" spans="1:14" s="143" customFormat="1" x14ac:dyDescent="0.25">
      <c r="A123" s="143" t="s">
        <v>274</v>
      </c>
      <c r="B123" s="143" t="s">
        <v>108</v>
      </c>
      <c r="C123" s="143" t="s">
        <v>109</v>
      </c>
      <c r="D123" s="143" t="s">
        <v>69</v>
      </c>
      <c r="E123" s="257">
        <v>11067305</v>
      </c>
      <c r="F123" s="257">
        <v>11067305</v>
      </c>
      <c r="G123" s="257">
        <v>2766827</v>
      </c>
      <c r="H123" s="257">
        <v>0</v>
      </c>
      <c r="I123" s="257">
        <v>2107499.0699999998</v>
      </c>
      <c r="J123" s="257">
        <v>0</v>
      </c>
      <c r="K123" s="257">
        <v>341657.91</v>
      </c>
      <c r="L123" s="257">
        <v>77832.98</v>
      </c>
      <c r="M123" s="257">
        <v>8618148.0199999996</v>
      </c>
      <c r="N123" s="257">
        <v>317670.02</v>
      </c>
    </row>
    <row r="124" spans="1:14" s="143" customFormat="1" x14ac:dyDescent="0.25">
      <c r="A124" s="143" t="s">
        <v>274</v>
      </c>
      <c r="B124" s="143" t="s">
        <v>112</v>
      </c>
      <c r="C124" s="143" t="s">
        <v>113</v>
      </c>
      <c r="D124" s="143" t="s">
        <v>69</v>
      </c>
      <c r="E124" s="257">
        <v>14518657</v>
      </c>
      <c r="F124" s="257">
        <v>14518657</v>
      </c>
      <c r="G124" s="257">
        <v>4623775</v>
      </c>
      <c r="H124" s="257">
        <v>0</v>
      </c>
      <c r="I124" s="257">
        <v>1803933.9</v>
      </c>
      <c r="J124" s="257">
        <v>0</v>
      </c>
      <c r="K124" s="257">
        <v>1864783.63</v>
      </c>
      <c r="L124" s="257">
        <v>1424939.86</v>
      </c>
      <c r="M124" s="257">
        <v>10849939.470000001</v>
      </c>
      <c r="N124" s="257">
        <v>955057.47</v>
      </c>
    </row>
    <row r="125" spans="1:14" s="143" customFormat="1" x14ac:dyDescent="0.25">
      <c r="A125" s="143" t="s">
        <v>274</v>
      </c>
      <c r="B125" s="143" t="s">
        <v>114</v>
      </c>
      <c r="C125" s="143" t="s">
        <v>115</v>
      </c>
      <c r="D125" s="143" t="s">
        <v>69</v>
      </c>
      <c r="E125" s="257">
        <v>1280000</v>
      </c>
      <c r="F125" s="257">
        <v>1280000</v>
      </c>
      <c r="G125" s="257">
        <v>284110</v>
      </c>
      <c r="H125" s="257">
        <v>0</v>
      </c>
      <c r="I125" s="257">
        <v>104559</v>
      </c>
      <c r="J125" s="257">
        <v>0</v>
      </c>
      <c r="K125" s="257">
        <v>155021</v>
      </c>
      <c r="L125" s="257">
        <v>155021</v>
      </c>
      <c r="M125" s="257">
        <v>1020420</v>
      </c>
      <c r="N125" s="257">
        <v>24530</v>
      </c>
    </row>
    <row r="126" spans="1:14" s="143" customFormat="1" x14ac:dyDescent="0.25">
      <c r="A126" s="143" t="s">
        <v>274</v>
      </c>
      <c r="B126" s="143" t="s">
        <v>116</v>
      </c>
      <c r="C126" s="143" t="s">
        <v>117</v>
      </c>
      <c r="D126" s="143" t="s">
        <v>69</v>
      </c>
      <c r="E126" s="257">
        <v>3685715</v>
      </c>
      <c r="F126" s="257">
        <v>3685715</v>
      </c>
      <c r="G126" s="257">
        <v>921429</v>
      </c>
      <c r="H126" s="257">
        <v>0</v>
      </c>
      <c r="I126" s="257">
        <v>641287</v>
      </c>
      <c r="J126" s="257">
        <v>0</v>
      </c>
      <c r="K126" s="257">
        <v>280042</v>
      </c>
      <c r="L126" s="257">
        <v>270329</v>
      </c>
      <c r="M126" s="257">
        <v>2764386</v>
      </c>
      <c r="N126" s="257">
        <v>100</v>
      </c>
    </row>
    <row r="127" spans="1:14" s="143" customFormat="1" x14ac:dyDescent="0.25">
      <c r="A127" s="143" t="s">
        <v>274</v>
      </c>
      <c r="B127" s="143" t="s">
        <v>120</v>
      </c>
      <c r="C127" s="143" t="s">
        <v>121</v>
      </c>
      <c r="D127" s="143" t="s">
        <v>69</v>
      </c>
      <c r="E127" s="257">
        <v>9552942</v>
      </c>
      <c r="F127" s="257">
        <v>9552942</v>
      </c>
      <c r="G127" s="257">
        <v>3418236</v>
      </c>
      <c r="H127" s="257">
        <v>0</v>
      </c>
      <c r="I127" s="257">
        <v>1058087.8999999999</v>
      </c>
      <c r="J127" s="257">
        <v>0</v>
      </c>
      <c r="K127" s="257">
        <v>1429720.63</v>
      </c>
      <c r="L127" s="257">
        <v>999589.86</v>
      </c>
      <c r="M127" s="257">
        <v>7065133.4699999997</v>
      </c>
      <c r="N127" s="257">
        <v>930427.47</v>
      </c>
    </row>
    <row r="128" spans="1:14" s="143" customFormat="1" x14ac:dyDescent="0.25">
      <c r="A128" s="143" t="s">
        <v>274</v>
      </c>
      <c r="B128" s="143" t="s">
        <v>124</v>
      </c>
      <c r="C128" s="143" t="s">
        <v>125</v>
      </c>
      <c r="D128" s="143" t="s">
        <v>69</v>
      </c>
      <c r="E128" s="257">
        <v>16719000</v>
      </c>
      <c r="F128" s="257">
        <v>16719000</v>
      </c>
      <c r="G128" s="257">
        <v>2968000</v>
      </c>
      <c r="H128" s="257">
        <v>0</v>
      </c>
      <c r="I128" s="257">
        <v>2100000</v>
      </c>
      <c r="J128" s="257">
        <v>0</v>
      </c>
      <c r="K128" s="257">
        <v>0</v>
      </c>
      <c r="L128" s="257">
        <v>0</v>
      </c>
      <c r="M128" s="257">
        <v>14619000</v>
      </c>
      <c r="N128" s="257">
        <v>868000</v>
      </c>
    </row>
    <row r="129" spans="1:14" s="143" customFormat="1" x14ac:dyDescent="0.25">
      <c r="A129" s="143" t="s">
        <v>274</v>
      </c>
      <c r="B129" s="143" t="s">
        <v>126</v>
      </c>
      <c r="C129" s="143" t="s">
        <v>127</v>
      </c>
      <c r="D129" s="143" t="s">
        <v>69</v>
      </c>
      <c r="E129" s="257">
        <v>719000</v>
      </c>
      <c r="F129" s="257">
        <v>719000</v>
      </c>
      <c r="G129" s="257">
        <v>80000</v>
      </c>
      <c r="H129" s="257">
        <v>0</v>
      </c>
      <c r="I129" s="257">
        <v>80000</v>
      </c>
      <c r="J129" s="257">
        <v>0</v>
      </c>
      <c r="K129" s="257">
        <v>0</v>
      </c>
      <c r="L129" s="257">
        <v>0</v>
      </c>
      <c r="M129" s="257">
        <v>639000</v>
      </c>
      <c r="N129" s="257">
        <v>0</v>
      </c>
    </row>
    <row r="130" spans="1:14" s="143" customFormat="1" x14ac:dyDescent="0.25">
      <c r="A130" s="143" t="s">
        <v>274</v>
      </c>
      <c r="B130" s="143" t="s">
        <v>128</v>
      </c>
      <c r="C130" s="143" t="s">
        <v>129</v>
      </c>
      <c r="D130" s="143" t="s">
        <v>69</v>
      </c>
      <c r="E130" s="257">
        <v>16000000</v>
      </c>
      <c r="F130" s="257">
        <v>16000000</v>
      </c>
      <c r="G130" s="257">
        <v>2888000</v>
      </c>
      <c r="H130" s="257">
        <v>0</v>
      </c>
      <c r="I130" s="257">
        <v>2020000</v>
      </c>
      <c r="J130" s="257">
        <v>0</v>
      </c>
      <c r="K130" s="257">
        <v>0</v>
      </c>
      <c r="L130" s="257">
        <v>0</v>
      </c>
      <c r="M130" s="257">
        <v>13980000</v>
      </c>
      <c r="N130" s="257">
        <v>868000</v>
      </c>
    </row>
    <row r="131" spans="1:14" s="143" customFormat="1" x14ac:dyDescent="0.25">
      <c r="A131" s="143" t="s">
        <v>274</v>
      </c>
      <c r="B131" s="143" t="s">
        <v>134</v>
      </c>
      <c r="C131" s="143" t="s">
        <v>135</v>
      </c>
      <c r="D131" s="143" t="s">
        <v>69</v>
      </c>
      <c r="E131" s="257">
        <v>2200000</v>
      </c>
      <c r="F131" s="257">
        <v>2200000</v>
      </c>
      <c r="G131" s="257">
        <v>1267240</v>
      </c>
      <c r="H131" s="257">
        <v>0</v>
      </c>
      <c r="I131" s="257">
        <v>199900</v>
      </c>
      <c r="J131" s="257">
        <v>0</v>
      </c>
      <c r="K131" s="257">
        <v>1067240</v>
      </c>
      <c r="L131" s="257">
        <v>1017240</v>
      </c>
      <c r="M131" s="257">
        <v>932860</v>
      </c>
      <c r="N131" s="257">
        <v>100</v>
      </c>
    </row>
    <row r="132" spans="1:14" s="143" customFormat="1" x14ac:dyDescent="0.25">
      <c r="A132" s="143" t="s">
        <v>274</v>
      </c>
      <c r="B132" s="143" t="s">
        <v>136</v>
      </c>
      <c r="C132" s="143" t="s">
        <v>137</v>
      </c>
      <c r="D132" s="143" t="s">
        <v>69</v>
      </c>
      <c r="E132" s="257">
        <v>1200000</v>
      </c>
      <c r="F132" s="257">
        <v>1200000</v>
      </c>
      <c r="G132" s="257">
        <v>1017240</v>
      </c>
      <c r="H132" s="257">
        <v>0</v>
      </c>
      <c r="I132" s="257">
        <v>0</v>
      </c>
      <c r="J132" s="257">
        <v>0</v>
      </c>
      <c r="K132" s="257">
        <v>1017240</v>
      </c>
      <c r="L132" s="257">
        <v>1017240</v>
      </c>
      <c r="M132" s="257">
        <v>182760</v>
      </c>
      <c r="N132" s="257">
        <v>0</v>
      </c>
    </row>
    <row r="133" spans="1:14" s="143" customFormat="1" x14ac:dyDescent="0.25">
      <c r="A133" s="143" t="s">
        <v>274</v>
      </c>
      <c r="B133" s="143" t="s">
        <v>138</v>
      </c>
      <c r="C133" s="143" t="s">
        <v>139</v>
      </c>
      <c r="D133" s="143" t="s">
        <v>69</v>
      </c>
      <c r="E133" s="257">
        <v>1000000</v>
      </c>
      <c r="F133" s="257">
        <v>1000000</v>
      </c>
      <c r="G133" s="257">
        <v>250000</v>
      </c>
      <c r="H133" s="257">
        <v>0</v>
      </c>
      <c r="I133" s="257">
        <v>199900</v>
      </c>
      <c r="J133" s="257">
        <v>0</v>
      </c>
      <c r="K133" s="257">
        <v>50000</v>
      </c>
      <c r="L133" s="257">
        <v>0</v>
      </c>
      <c r="M133" s="257">
        <v>750100</v>
      </c>
      <c r="N133" s="257">
        <v>100</v>
      </c>
    </row>
    <row r="134" spans="1:14" s="143" customFormat="1" x14ac:dyDescent="0.25">
      <c r="A134" s="143" t="s">
        <v>274</v>
      </c>
      <c r="B134" s="143" t="s">
        <v>140</v>
      </c>
      <c r="C134" s="143" t="s">
        <v>141</v>
      </c>
      <c r="D134" s="143" t="s">
        <v>69</v>
      </c>
      <c r="E134" s="257">
        <v>6813730</v>
      </c>
      <c r="F134" s="257">
        <v>6813730</v>
      </c>
      <c r="G134" s="257">
        <v>1703433</v>
      </c>
      <c r="H134" s="257">
        <v>0</v>
      </c>
      <c r="I134" s="257">
        <v>859540</v>
      </c>
      <c r="J134" s="257">
        <v>0</v>
      </c>
      <c r="K134" s="257">
        <v>958800</v>
      </c>
      <c r="L134" s="257">
        <v>928600</v>
      </c>
      <c r="M134" s="257">
        <v>4995390</v>
      </c>
      <c r="N134" s="275">
        <v>-114907</v>
      </c>
    </row>
    <row r="135" spans="1:14" s="143" customFormat="1" x14ac:dyDescent="0.25">
      <c r="A135" s="143" t="s">
        <v>274</v>
      </c>
      <c r="B135" s="143" t="s">
        <v>142</v>
      </c>
      <c r="C135" s="143" t="s">
        <v>143</v>
      </c>
      <c r="D135" s="143" t="s">
        <v>69</v>
      </c>
      <c r="E135" s="257">
        <v>250000</v>
      </c>
      <c r="F135" s="257">
        <v>250000</v>
      </c>
      <c r="G135" s="257">
        <v>62500</v>
      </c>
      <c r="H135" s="257">
        <v>0</v>
      </c>
      <c r="I135" s="257">
        <v>285890</v>
      </c>
      <c r="J135" s="257">
        <v>0</v>
      </c>
      <c r="K135" s="257">
        <v>0</v>
      </c>
      <c r="L135" s="257">
        <v>0</v>
      </c>
      <c r="M135" s="275">
        <v>-35890</v>
      </c>
      <c r="N135" s="275">
        <v>-223390</v>
      </c>
    </row>
    <row r="136" spans="1:14" s="143" customFormat="1" x14ac:dyDescent="0.25">
      <c r="A136" s="143" t="s">
        <v>274</v>
      </c>
      <c r="B136" s="143" t="s">
        <v>144</v>
      </c>
      <c r="C136" s="143" t="s">
        <v>145</v>
      </c>
      <c r="D136" s="143" t="s">
        <v>69</v>
      </c>
      <c r="E136" s="257">
        <v>6563730</v>
      </c>
      <c r="F136" s="257">
        <v>6563730</v>
      </c>
      <c r="G136" s="257">
        <v>1640933</v>
      </c>
      <c r="H136" s="257">
        <v>0</v>
      </c>
      <c r="I136" s="257">
        <v>573650</v>
      </c>
      <c r="J136" s="257">
        <v>0</v>
      </c>
      <c r="K136" s="257">
        <v>958800</v>
      </c>
      <c r="L136" s="257">
        <v>928600</v>
      </c>
      <c r="M136" s="257">
        <v>5031280</v>
      </c>
      <c r="N136" s="257">
        <v>108483</v>
      </c>
    </row>
    <row r="137" spans="1:14" s="143" customFormat="1" x14ac:dyDescent="0.25">
      <c r="A137" s="143" t="s">
        <v>274</v>
      </c>
      <c r="B137" s="143" t="s">
        <v>150</v>
      </c>
      <c r="C137" s="143" t="s">
        <v>151</v>
      </c>
      <c r="D137" s="143" t="s">
        <v>69</v>
      </c>
      <c r="E137" s="257">
        <v>4277392</v>
      </c>
      <c r="F137" s="257">
        <v>4277392</v>
      </c>
      <c r="G137" s="257">
        <v>1069348</v>
      </c>
      <c r="H137" s="257">
        <v>0</v>
      </c>
      <c r="I137" s="257">
        <v>100452</v>
      </c>
      <c r="J137" s="257">
        <v>0</v>
      </c>
      <c r="K137" s="257">
        <v>889548</v>
      </c>
      <c r="L137" s="257">
        <v>0</v>
      </c>
      <c r="M137" s="257">
        <v>3287392</v>
      </c>
      <c r="N137" s="257">
        <v>79348</v>
      </c>
    </row>
    <row r="138" spans="1:14" s="143" customFormat="1" x14ac:dyDescent="0.25">
      <c r="A138" s="143" t="s">
        <v>274</v>
      </c>
      <c r="B138" s="143" t="s">
        <v>152</v>
      </c>
      <c r="C138" s="143" t="s">
        <v>153</v>
      </c>
      <c r="D138" s="143" t="s">
        <v>69</v>
      </c>
      <c r="E138" s="257">
        <v>4277392</v>
      </c>
      <c r="F138" s="257">
        <v>4277392</v>
      </c>
      <c r="G138" s="257">
        <v>1069348</v>
      </c>
      <c r="H138" s="257">
        <v>0</v>
      </c>
      <c r="I138" s="257">
        <v>100452</v>
      </c>
      <c r="J138" s="257">
        <v>0</v>
      </c>
      <c r="K138" s="257">
        <v>889548</v>
      </c>
      <c r="L138" s="257">
        <v>0</v>
      </c>
      <c r="M138" s="257">
        <v>3287392</v>
      </c>
      <c r="N138" s="257">
        <v>79348</v>
      </c>
    </row>
    <row r="139" spans="1:14" s="143" customFormat="1" x14ac:dyDescent="0.25">
      <c r="A139" s="143" t="s">
        <v>274</v>
      </c>
      <c r="B139" s="143" t="s">
        <v>154</v>
      </c>
      <c r="C139" s="143" t="s">
        <v>155</v>
      </c>
      <c r="D139" s="143" t="s">
        <v>69</v>
      </c>
      <c r="E139" s="257">
        <v>12267225</v>
      </c>
      <c r="F139" s="257">
        <v>12267225</v>
      </c>
      <c r="G139" s="257">
        <v>3066807</v>
      </c>
      <c r="H139" s="257">
        <v>0</v>
      </c>
      <c r="I139" s="257">
        <v>3000000</v>
      </c>
      <c r="J139" s="257">
        <v>0</v>
      </c>
      <c r="K139" s="257">
        <v>0</v>
      </c>
      <c r="L139" s="257">
        <v>0</v>
      </c>
      <c r="M139" s="257">
        <v>9267225</v>
      </c>
      <c r="N139" s="257">
        <v>66807</v>
      </c>
    </row>
    <row r="140" spans="1:14" s="143" customFormat="1" x14ac:dyDescent="0.25">
      <c r="A140" s="143" t="s">
        <v>274</v>
      </c>
      <c r="B140" s="143" t="s">
        <v>156</v>
      </c>
      <c r="C140" s="143" t="s">
        <v>157</v>
      </c>
      <c r="D140" s="143" t="s">
        <v>69</v>
      </c>
      <c r="E140" s="257">
        <v>12267225</v>
      </c>
      <c r="F140" s="257">
        <v>12267225</v>
      </c>
      <c r="G140" s="257">
        <v>3066807</v>
      </c>
      <c r="H140" s="257">
        <v>0</v>
      </c>
      <c r="I140" s="257">
        <v>3000000</v>
      </c>
      <c r="J140" s="257">
        <v>0</v>
      </c>
      <c r="K140" s="257">
        <v>0</v>
      </c>
      <c r="L140" s="257">
        <v>0</v>
      </c>
      <c r="M140" s="257">
        <v>9267225</v>
      </c>
      <c r="N140" s="257">
        <v>66807</v>
      </c>
    </row>
    <row r="141" spans="1:14" s="143" customFormat="1" x14ac:dyDescent="0.25">
      <c r="A141" s="143" t="s">
        <v>274</v>
      </c>
      <c r="B141" s="143" t="s">
        <v>162</v>
      </c>
      <c r="C141" s="143" t="s">
        <v>163</v>
      </c>
      <c r="D141" s="143" t="s">
        <v>69</v>
      </c>
      <c r="E141" s="257">
        <v>17894000</v>
      </c>
      <c r="F141" s="257">
        <v>17894000</v>
      </c>
      <c r="G141" s="257">
        <v>2874260</v>
      </c>
      <c r="H141" s="257">
        <v>0</v>
      </c>
      <c r="I141" s="257">
        <v>2873500</v>
      </c>
      <c r="J141" s="257">
        <v>0</v>
      </c>
      <c r="K141" s="257">
        <v>0</v>
      </c>
      <c r="L141" s="257">
        <v>0</v>
      </c>
      <c r="M141" s="257">
        <v>15020500</v>
      </c>
      <c r="N141" s="257">
        <v>760</v>
      </c>
    </row>
    <row r="142" spans="1:14" s="143" customFormat="1" x14ac:dyDescent="0.25">
      <c r="A142" s="143" t="s">
        <v>274</v>
      </c>
      <c r="B142" s="143" t="s">
        <v>166</v>
      </c>
      <c r="C142" s="143" t="s">
        <v>167</v>
      </c>
      <c r="D142" s="143" t="s">
        <v>69</v>
      </c>
      <c r="E142" s="257">
        <v>7000000</v>
      </c>
      <c r="F142" s="257">
        <v>7000000</v>
      </c>
      <c r="G142" s="257">
        <v>1750000</v>
      </c>
      <c r="H142" s="257">
        <v>0</v>
      </c>
      <c r="I142" s="257">
        <v>1750000</v>
      </c>
      <c r="J142" s="257">
        <v>0</v>
      </c>
      <c r="K142" s="257">
        <v>0</v>
      </c>
      <c r="L142" s="257">
        <v>0</v>
      </c>
      <c r="M142" s="257">
        <v>5250000</v>
      </c>
      <c r="N142" s="257">
        <v>0</v>
      </c>
    </row>
    <row r="143" spans="1:14" s="143" customFormat="1" x14ac:dyDescent="0.25">
      <c r="A143" s="143" t="s">
        <v>274</v>
      </c>
      <c r="B143" s="143" t="s">
        <v>168</v>
      </c>
      <c r="C143" s="143" t="s">
        <v>169</v>
      </c>
      <c r="D143" s="143" t="s">
        <v>69</v>
      </c>
      <c r="E143" s="257">
        <v>3000000</v>
      </c>
      <c r="F143" s="257">
        <v>3000000</v>
      </c>
      <c r="G143" s="257">
        <v>760</v>
      </c>
      <c r="H143" s="257">
        <v>0</v>
      </c>
      <c r="I143" s="257">
        <v>0</v>
      </c>
      <c r="J143" s="257">
        <v>0</v>
      </c>
      <c r="K143" s="257">
        <v>0</v>
      </c>
      <c r="L143" s="257">
        <v>0</v>
      </c>
      <c r="M143" s="257">
        <v>3000000</v>
      </c>
      <c r="N143" s="257">
        <v>760</v>
      </c>
    </row>
    <row r="144" spans="1:14" s="143" customFormat="1" x14ac:dyDescent="0.25">
      <c r="A144" s="143" t="s">
        <v>274</v>
      </c>
      <c r="B144" s="143" t="s">
        <v>170</v>
      </c>
      <c r="C144" s="143" t="s">
        <v>171</v>
      </c>
      <c r="D144" s="143" t="s">
        <v>69</v>
      </c>
      <c r="E144" s="257">
        <v>4494000</v>
      </c>
      <c r="F144" s="257">
        <v>4494000</v>
      </c>
      <c r="G144" s="257">
        <v>1123500</v>
      </c>
      <c r="H144" s="257">
        <v>0</v>
      </c>
      <c r="I144" s="257">
        <v>1123500</v>
      </c>
      <c r="J144" s="257">
        <v>0</v>
      </c>
      <c r="K144" s="257">
        <v>0</v>
      </c>
      <c r="L144" s="257">
        <v>0</v>
      </c>
      <c r="M144" s="257">
        <v>3370500</v>
      </c>
      <c r="N144" s="257">
        <v>0</v>
      </c>
    </row>
    <row r="145" spans="1:14" s="143" customFormat="1" x14ac:dyDescent="0.25">
      <c r="A145" s="143" t="s">
        <v>274</v>
      </c>
      <c r="B145" s="143" t="s">
        <v>172</v>
      </c>
      <c r="C145" s="143" t="s">
        <v>173</v>
      </c>
      <c r="D145" s="143" t="s">
        <v>69</v>
      </c>
      <c r="E145" s="257">
        <v>3400000</v>
      </c>
      <c r="F145" s="257">
        <v>3400000</v>
      </c>
      <c r="G145" s="257">
        <v>0</v>
      </c>
      <c r="H145" s="257">
        <v>0</v>
      </c>
      <c r="I145" s="257">
        <v>0</v>
      </c>
      <c r="J145" s="257">
        <v>0</v>
      </c>
      <c r="K145" s="257">
        <v>0</v>
      </c>
      <c r="L145" s="257">
        <v>0</v>
      </c>
      <c r="M145" s="257">
        <v>3400000</v>
      </c>
      <c r="N145" s="257">
        <v>0</v>
      </c>
    </row>
    <row r="146" spans="1:14" s="143" customFormat="1" x14ac:dyDescent="0.25">
      <c r="A146" s="143" t="s">
        <v>274</v>
      </c>
      <c r="B146" s="143" t="s">
        <v>174</v>
      </c>
      <c r="C146" s="143" t="s">
        <v>175</v>
      </c>
      <c r="D146" s="143" t="s">
        <v>69</v>
      </c>
      <c r="E146" s="257">
        <v>466000</v>
      </c>
      <c r="F146" s="257">
        <v>466000</v>
      </c>
      <c r="G146" s="257">
        <v>50000</v>
      </c>
      <c r="H146" s="257">
        <v>0</v>
      </c>
      <c r="I146" s="257">
        <v>50000</v>
      </c>
      <c r="J146" s="257">
        <v>0</v>
      </c>
      <c r="K146" s="257">
        <v>0</v>
      </c>
      <c r="L146" s="257">
        <v>0</v>
      </c>
      <c r="M146" s="257">
        <v>416000</v>
      </c>
      <c r="N146" s="257">
        <v>0</v>
      </c>
    </row>
    <row r="147" spans="1:14" s="143" customFormat="1" x14ac:dyDescent="0.25">
      <c r="A147" s="143" t="s">
        <v>274</v>
      </c>
      <c r="B147" s="143" t="s">
        <v>176</v>
      </c>
      <c r="C147" s="143" t="s">
        <v>177</v>
      </c>
      <c r="D147" s="143" t="s">
        <v>69</v>
      </c>
      <c r="E147" s="257">
        <v>466000</v>
      </c>
      <c r="F147" s="257">
        <v>466000</v>
      </c>
      <c r="G147" s="257">
        <v>50000</v>
      </c>
      <c r="H147" s="257">
        <v>0</v>
      </c>
      <c r="I147" s="257">
        <v>50000</v>
      </c>
      <c r="J147" s="257">
        <v>0</v>
      </c>
      <c r="K147" s="257">
        <v>0</v>
      </c>
      <c r="L147" s="257">
        <v>0</v>
      </c>
      <c r="M147" s="257">
        <v>416000</v>
      </c>
      <c r="N147" s="257">
        <v>0</v>
      </c>
    </row>
    <row r="148" spans="1:14" s="143" customFormat="1" x14ac:dyDescent="0.25">
      <c r="A148" s="143" t="s">
        <v>274</v>
      </c>
      <c r="B148" s="143" t="s">
        <v>178</v>
      </c>
      <c r="C148" s="143" t="s">
        <v>179</v>
      </c>
      <c r="D148" s="143" t="s">
        <v>69</v>
      </c>
      <c r="E148" s="257">
        <v>1800000</v>
      </c>
      <c r="F148" s="257">
        <v>1800000</v>
      </c>
      <c r="G148" s="257">
        <v>49999.85</v>
      </c>
      <c r="H148" s="257">
        <v>0</v>
      </c>
      <c r="I148" s="257">
        <v>0</v>
      </c>
      <c r="J148" s="257">
        <v>0</v>
      </c>
      <c r="K148" s="257">
        <v>0</v>
      </c>
      <c r="L148" s="257">
        <v>0</v>
      </c>
      <c r="M148" s="257">
        <v>1800000</v>
      </c>
      <c r="N148" s="257">
        <v>49999.85</v>
      </c>
    </row>
    <row r="149" spans="1:14" s="143" customFormat="1" x14ac:dyDescent="0.25">
      <c r="A149" s="143" t="s">
        <v>274</v>
      </c>
      <c r="B149" s="143" t="s">
        <v>182</v>
      </c>
      <c r="C149" s="143" t="s">
        <v>183</v>
      </c>
      <c r="D149" s="143" t="s">
        <v>69</v>
      </c>
      <c r="E149" s="257">
        <v>1800000</v>
      </c>
      <c r="F149" s="257">
        <v>1800000</v>
      </c>
      <c r="G149" s="257">
        <v>49999.85</v>
      </c>
      <c r="H149" s="257">
        <v>0</v>
      </c>
      <c r="I149" s="257">
        <v>0</v>
      </c>
      <c r="J149" s="257">
        <v>0</v>
      </c>
      <c r="K149" s="257">
        <v>0</v>
      </c>
      <c r="L149" s="257">
        <v>0</v>
      </c>
      <c r="M149" s="257">
        <v>1800000</v>
      </c>
      <c r="N149" s="257">
        <v>49999.85</v>
      </c>
    </row>
    <row r="150" spans="1:14" s="143" customFormat="1" x14ac:dyDescent="0.25">
      <c r="A150" s="143" t="s">
        <v>274</v>
      </c>
      <c r="B150" s="143" t="s">
        <v>184</v>
      </c>
      <c r="C150" s="143" t="s">
        <v>185</v>
      </c>
      <c r="D150" s="143" t="s">
        <v>69</v>
      </c>
      <c r="E150" s="257">
        <v>57954839</v>
      </c>
      <c r="F150" s="257">
        <v>57954839</v>
      </c>
      <c r="G150" s="257">
        <v>12819710</v>
      </c>
      <c r="H150" s="257">
        <v>3568642.48</v>
      </c>
      <c r="I150" s="257">
        <v>4627851.7699999996</v>
      </c>
      <c r="J150" s="257">
        <v>325070</v>
      </c>
      <c r="K150" s="257">
        <v>1808817.83</v>
      </c>
      <c r="L150" s="257">
        <v>922968</v>
      </c>
      <c r="M150" s="257">
        <v>47624456.920000002</v>
      </c>
      <c r="N150" s="257">
        <v>2489327.92</v>
      </c>
    </row>
    <row r="151" spans="1:14" s="143" customFormat="1" x14ac:dyDescent="0.25">
      <c r="A151" s="143" t="s">
        <v>274</v>
      </c>
      <c r="B151" s="143" t="s">
        <v>186</v>
      </c>
      <c r="C151" s="143" t="s">
        <v>187</v>
      </c>
      <c r="D151" s="143" t="s">
        <v>69</v>
      </c>
      <c r="E151" s="257">
        <v>17854839</v>
      </c>
      <c r="F151" s="257">
        <v>17854839</v>
      </c>
      <c r="G151" s="257">
        <v>4463710</v>
      </c>
      <c r="H151" s="257">
        <v>1116500</v>
      </c>
      <c r="I151" s="257">
        <v>2110967</v>
      </c>
      <c r="J151" s="257">
        <v>0</v>
      </c>
      <c r="K151" s="257">
        <v>288968</v>
      </c>
      <c r="L151" s="257">
        <v>288968</v>
      </c>
      <c r="M151" s="257">
        <v>14338404</v>
      </c>
      <c r="N151" s="257">
        <v>947275</v>
      </c>
    </row>
    <row r="152" spans="1:14" s="143" customFormat="1" x14ac:dyDescent="0.25">
      <c r="A152" s="143" t="s">
        <v>274</v>
      </c>
      <c r="B152" s="143" t="s">
        <v>188</v>
      </c>
      <c r="C152" s="143" t="s">
        <v>189</v>
      </c>
      <c r="D152" s="143" t="s">
        <v>69</v>
      </c>
      <c r="E152" s="257">
        <v>9354839</v>
      </c>
      <c r="F152" s="257">
        <v>9354839</v>
      </c>
      <c r="G152" s="257">
        <v>2338710</v>
      </c>
      <c r="H152" s="257">
        <v>0</v>
      </c>
      <c r="I152" s="257">
        <v>1490237</v>
      </c>
      <c r="J152" s="257">
        <v>0</v>
      </c>
      <c r="K152" s="257">
        <v>288968</v>
      </c>
      <c r="L152" s="257">
        <v>288968</v>
      </c>
      <c r="M152" s="257">
        <v>7575634</v>
      </c>
      <c r="N152" s="257">
        <v>559505</v>
      </c>
    </row>
    <row r="153" spans="1:14" s="143" customFormat="1" x14ac:dyDescent="0.25">
      <c r="A153" s="143" t="s">
        <v>274</v>
      </c>
      <c r="B153" s="143" t="s">
        <v>192</v>
      </c>
      <c r="C153" s="143" t="s">
        <v>193</v>
      </c>
      <c r="D153" s="143" t="s">
        <v>69</v>
      </c>
      <c r="E153" s="257">
        <v>8500000</v>
      </c>
      <c r="F153" s="257">
        <v>8500000</v>
      </c>
      <c r="G153" s="257">
        <v>2125000</v>
      </c>
      <c r="H153" s="257">
        <v>1116500</v>
      </c>
      <c r="I153" s="257">
        <v>620730</v>
      </c>
      <c r="J153" s="257">
        <v>0</v>
      </c>
      <c r="K153" s="257">
        <v>0</v>
      </c>
      <c r="L153" s="257">
        <v>0</v>
      </c>
      <c r="M153" s="257">
        <v>6762770</v>
      </c>
      <c r="N153" s="257">
        <v>387770</v>
      </c>
    </row>
    <row r="154" spans="1:14" s="143" customFormat="1" x14ac:dyDescent="0.25">
      <c r="A154" s="143" t="s">
        <v>274</v>
      </c>
      <c r="B154" s="143" t="s">
        <v>196</v>
      </c>
      <c r="C154" s="143" t="s">
        <v>197</v>
      </c>
      <c r="D154" s="143" t="s">
        <v>69</v>
      </c>
      <c r="E154" s="257">
        <v>2460000</v>
      </c>
      <c r="F154" s="257">
        <v>2460000</v>
      </c>
      <c r="G154" s="257">
        <v>615000</v>
      </c>
      <c r="H154" s="257">
        <v>0</v>
      </c>
      <c r="I154" s="257">
        <v>449702</v>
      </c>
      <c r="J154" s="257">
        <v>0</v>
      </c>
      <c r="K154" s="257">
        <v>0</v>
      </c>
      <c r="L154" s="257">
        <v>0</v>
      </c>
      <c r="M154" s="257">
        <v>2010298</v>
      </c>
      <c r="N154" s="257">
        <v>165298</v>
      </c>
    </row>
    <row r="155" spans="1:14" s="143" customFormat="1" x14ac:dyDescent="0.25">
      <c r="A155" s="143" t="s">
        <v>274</v>
      </c>
      <c r="B155" s="143" t="s">
        <v>198</v>
      </c>
      <c r="C155" s="143" t="s">
        <v>199</v>
      </c>
      <c r="D155" s="143" t="s">
        <v>69</v>
      </c>
      <c r="E155" s="257">
        <v>2460000</v>
      </c>
      <c r="F155" s="257">
        <v>2460000</v>
      </c>
      <c r="G155" s="257">
        <v>615000</v>
      </c>
      <c r="H155" s="257">
        <v>0</v>
      </c>
      <c r="I155" s="257">
        <v>449702</v>
      </c>
      <c r="J155" s="257">
        <v>0</v>
      </c>
      <c r="K155" s="257">
        <v>0</v>
      </c>
      <c r="L155" s="257">
        <v>0</v>
      </c>
      <c r="M155" s="257">
        <v>2010298</v>
      </c>
      <c r="N155" s="257">
        <v>165298</v>
      </c>
    </row>
    <row r="156" spans="1:14" s="143" customFormat="1" x14ac:dyDescent="0.25">
      <c r="A156" s="143" t="s">
        <v>274</v>
      </c>
      <c r="B156" s="143" t="s">
        <v>200</v>
      </c>
      <c r="C156" s="143" t="s">
        <v>201</v>
      </c>
      <c r="D156" s="143" t="s">
        <v>69</v>
      </c>
      <c r="E156" s="257">
        <v>2000000</v>
      </c>
      <c r="F156" s="257">
        <v>2000000</v>
      </c>
      <c r="G156" s="257">
        <v>502000</v>
      </c>
      <c r="H156" s="257">
        <v>56000</v>
      </c>
      <c r="I156" s="257">
        <v>105430</v>
      </c>
      <c r="J156" s="257">
        <v>0</v>
      </c>
      <c r="K156" s="257">
        <v>310571.18</v>
      </c>
      <c r="L156" s="257">
        <v>0</v>
      </c>
      <c r="M156" s="257">
        <v>1527998.82</v>
      </c>
      <c r="N156" s="257">
        <v>29998.82</v>
      </c>
    </row>
    <row r="157" spans="1:14" s="143" customFormat="1" x14ac:dyDescent="0.25">
      <c r="A157" s="143" t="s">
        <v>274</v>
      </c>
      <c r="B157" s="143" t="s">
        <v>202</v>
      </c>
      <c r="C157" s="143" t="s">
        <v>203</v>
      </c>
      <c r="D157" s="143" t="s">
        <v>69</v>
      </c>
      <c r="E157" s="257">
        <v>2000000</v>
      </c>
      <c r="F157" s="257">
        <v>2000000</v>
      </c>
      <c r="G157" s="257">
        <v>502000</v>
      </c>
      <c r="H157" s="257">
        <v>56000</v>
      </c>
      <c r="I157" s="257">
        <v>105430</v>
      </c>
      <c r="J157" s="257">
        <v>0</v>
      </c>
      <c r="K157" s="257">
        <v>310571.18</v>
      </c>
      <c r="L157" s="257">
        <v>0</v>
      </c>
      <c r="M157" s="257">
        <v>1527998.82</v>
      </c>
      <c r="N157" s="257">
        <v>29998.82</v>
      </c>
    </row>
    <row r="158" spans="1:14" s="143" customFormat="1" x14ac:dyDescent="0.25">
      <c r="A158" s="143" t="s">
        <v>274</v>
      </c>
      <c r="B158" s="143" t="s">
        <v>206</v>
      </c>
      <c r="C158" s="143" t="s">
        <v>207</v>
      </c>
      <c r="D158" s="143" t="s">
        <v>69</v>
      </c>
      <c r="E158" s="257">
        <v>6710000</v>
      </c>
      <c r="F158" s="257">
        <v>6710000</v>
      </c>
      <c r="G158" s="257">
        <v>6500</v>
      </c>
      <c r="H158" s="257">
        <v>0</v>
      </c>
      <c r="I158" s="257">
        <v>0</v>
      </c>
      <c r="J158" s="257">
        <v>0</v>
      </c>
      <c r="K158" s="257">
        <v>0</v>
      </c>
      <c r="L158" s="257">
        <v>0</v>
      </c>
      <c r="M158" s="257">
        <v>6710000</v>
      </c>
      <c r="N158" s="257">
        <v>6500</v>
      </c>
    </row>
    <row r="159" spans="1:14" s="143" customFormat="1" x14ac:dyDescent="0.25">
      <c r="A159" s="143" t="s">
        <v>274</v>
      </c>
      <c r="B159" s="143" t="s">
        <v>208</v>
      </c>
      <c r="C159" s="143" t="s">
        <v>209</v>
      </c>
      <c r="D159" s="143" t="s">
        <v>69</v>
      </c>
      <c r="E159" s="257">
        <v>3710000</v>
      </c>
      <c r="F159" s="257">
        <v>3710000</v>
      </c>
      <c r="G159" s="257">
        <v>6500</v>
      </c>
      <c r="H159" s="257">
        <v>0</v>
      </c>
      <c r="I159" s="257">
        <v>0</v>
      </c>
      <c r="J159" s="257">
        <v>0</v>
      </c>
      <c r="K159" s="257">
        <v>0</v>
      </c>
      <c r="L159" s="257">
        <v>0</v>
      </c>
      <c r="M159" s="257">
        <v>3710000</v>
      </c>
      <c r="N159" s="257">
        <v>6500</v>
      </c>
    </row>
    <row r="160" spans="1:14" s="143" customFormat="1" x14ac:dyDescent="0.25">
      <c r="A160" s="143" t="s">
        <v>274</v>
      </c>
      <c r="B160" s="143" t="s">
        <v>210</v>
      </c>
      <c r="C160" s="143" t="s">
        <v>211</v>
      </c>
      <c r="D160" s="143" t="s">
        <v>69</v>
      </c>
      <c r="E160" s="257">
        <v>3000000</v>
      </c>
      <c r="F160" s="257">
        <v>3000000</v>
      </c>
      <c r="G160" s="257">
        <v>0</v>
      </c>
      <c r="H160" s="257">
        <v>0</v>
      </c>
      <c r="I160" s="257">
        <v>0</v>
      </c>
      <c r="J160" s="257">
        <v>0</v>
      </c>
      <c r="K160" s="257">
        <v>0</v>
      </c>
      <c r="L160" s="257">
        <v>0</v>
      </c>
      <c r="M160" s="257">
        <v>3000000</v>
      </c>
      <c r="N160" s="257">
        <v>0</v>
      </c>
    </row>
    <row r="161" spans="1:14" s="143" customFormat="1" x14ac:dyDescent="0.25">
      <c r="A161" s="143" t="s">
        <v>274</v>
      </c>
      <c r="B161" s="143" t="s">
        <v>212</v>
      </c>
      <c r="C161" s="143" t="s">
        <v>213</v>
      </c>
      <c r="D161" s="143" t="s">
        <v>69</v>
      </c>
      <c r="E161" s="257">
        <v>28930000</v>
      </c>
      <c r="F161" s="257">
        <v>28930000</v>
      </c>
      <c r="G161" s="257">
        <v>7232500</v>
      </c>
      <c r="H161" s="257">
        <v>2396142.48</v>
      </c>
      <c r="I161" s="257">
        <v>1961752.77</v>
      </c>
      <c r="J161" s="257">
        <v>325070</v>
      </c>
      <c r="K161" s="257">
        <v>1209278.6499999999</v>
      </c>
      <c r="L161" s="257">
        <v>634000</v>
      </c>
      <c r="M161" s="257">
        <v>23037756.100000001</v>
      </c>
      <c r="N161" s="257">
        <v>1340256.1000000001</v>
      </c>
    </row>
    <row r="162" spans="1:14" s="143" customFormat="1" x14ac:dyDescent="0.25">
      <c r="A162" s="143" t="s">
        <v>274</v>
      </c>
      <c r="B162" s="143" t="s">
        <v>214</v>
      </c>
      <c r="C162" s="143" t="s">
        <v>215</v>
      </c>
      <c r="D162" s="143" t="s">
        <v>69</v>
      </c>
      <c r="E162" s="257">
        <v>8000000</v>
      </c>
      <c r="F162" s="257">
        <v>8000000</v>
      </c>
      <c r="G162" s="257">
        <v>2000000</v>
      </c>
      <c r="H162" s="257">
        <v>406142.48</v>
      </c>
      <c r="I162" s="257">
        <v>1591410.77</v>
      </c>
      <c r="J162" s="257">
        <v>0</v>
      </c>
      <c r="K162" s="257">
        <v>0</v>
      </c>
      <c r="L162" s="257">
        <v>0</v>
      </c>
      <c r="M162" s="257">
        <v>6002446.75</v>
      </c>
      <c r="N162" s="257">
        <v>2446.75</v>
      </c>
    </row>
    <row r="163" spans="1:14" s="143" customFormat="1" x14ac:dyDescent="0.25">
      <c r="A163" s="143" t="s">
        <v>274</v>
      </c>
      <c r="B163" s="143" t="s">
        <v>218</v>
      </c>
      <c r="C163" s="143" t="s">
        <v>219</v>
      </c>
      <c r="D163" s="143" t="s">
        <v>69</v>
      </c>
      <c r="E163" s="257">
        <v>8000000</v>
      </c>
      <c r="F163" s="257">
        <v>8000000</v>
      </c>
      <c r="G163" s="257">
        <v>2000000</v>
      </c>
      <c r="H163" s="257">
        <v>0</v>
      </c>
      <c r="I163" s="257">
        <v>125100</v>
      </c>
      <c r="J163" s="257">
        <v>325070</v>
      </c>
      <c r="K163" s="257">
        <v>1209278.6499999999</v>
      </c>
      <c r="L163" s="257">
        <v>634000</v>
      </c>
      <c r="M163" s="257">
        <v>6340551.3499999996</v>
      </c>
      <c r="N163" s="257">
        <v>340551.35</v>
      </c>
    </row>
    <row r="164" spans="1:14" s="143" customFormat="1" x14ac:dyDescent="0.25">
      <c r="A164" s="143" t="s">
        <v>274</v>
      </c>
      <c r="B164" s="143" t="s">
        <v>222</v>
      </c>
      <c r="C164" s="143" t="s">
        <v>223</v>
      </c>
      <c r="D164" s="143" t="s">
        <v>69</v>
      </c>
      <c r="E164" s="257">
        <v>4930000</v>
      </c>
      <c r="F164" s="257">
        <v>4930000</v>
      </c>
      <c r="G164" s="257">
        <v>1232500</v>
      </c>
      <c r="H164" s="257">
        <v>0</v>
      </c>
      <c r="I164" s="257">
        <v>245242</v>
      </c>
      <c r="J164" s="257">
        <v>0</v>
      </c>
      <c r="K164" s="257">
        <v>0</v>
      </c>
      <c r="L164" s="257">
        <v>0</v>
      </c>
      <c r="M164" s="257">
        <v>4684758</v>
      </c>
      <c r="N164" s="257">
        <v>987258</v>
      </c>
    </row>
    <row r="165" spans="1:14" s="143" customFormat="1" x14ac:dyDescent="0.25">
      <c r="A165" s="143" t="s">
        <v>274</v>
      </c>
      <c r="B165" s="143" t="s">
        <v>228</v>
      </c>
      <c r="C165" s="143" t="s">
        <v>229</v>
      </c>
      <c r="D165" s="143" t="s">
        <v>69</v>
      </c>
      <c r="E165" s="257">
        <v>8000000</v>
      </c>
      <c r="F165" s="257">
        <v>8000000</v>
      </c>
      <c r="G165" s="257">
        <v>2000000</v>
      </c>
      <c r="H165" s="257">
        <v>1990000</v>
      </c>
      <c r="I165" s="257">
        <v>0</v>
      </c>
      <c r="J165" s="257">
        <v>0</v>
      </c>
      <c r="K165" s="257">
        <v>0</v>
      </c>
      <c r="L165" s="257">
        <v>0</v>
      </c>
      <c r="M165" s="257">
        <v>6010000</v>
      </c>
      <c r="N165" s="257">
        <v>10000</v>
      </c>
    </row>
    <row r="166" spans="1:14" s="143" customFormat="1" x14ac:dyDescent="0.25">
      <c r="A166" s="143" t="s">
        <v>274</v>
      </c>
      <c r="B166" s="143" t="s">
        <v>230</v>
      </c>
      <c r="C166" s="143" t="s">
        <v>231</v>
      </c>
      <c r="D166" s="143" t="s">
        <v>85</v>
      </c>
      <c r="E166" s="257">
        <v>29500000</v>
      </c>
      <c r="F166" s="257">
        <v>29500000</v>
      </c>
      <c r="G166" s="257">
        <v>6125000</v>
      </c>
      <c r="H166" s="257">
        <v>4535000</v>
      </c>
      <c r="I166" s="257">
        <v>356665</v>
      </c>
      <c r="J166" s="257">
        <v>46356</v>
      </c>
      <c r="K166" s="257">
        <v>0</v>
      </c>
      <c r="L166" s="257">
        <v>0</v>
      </c>
      <c r="M166" s="257">
        <v>24561979</v>
      </c>
      <c r="N166" s="257">
        <v>1186979</v>
      </c>
    </row>
    <row r="167" spans="1:14" s="143" customFormat="1" x14ac:dyDescent="0.25">
      <c r="A167" s="143" t="s">
        <v>274</v>
      </c>
      <c r="B167" s="143" t="s">
        <v>232</v>
      </c>
      <c r="C167" s="143" t="s">
        <v>233</v>
      </c>
      <c r="D167" s="143" t="s">
        <v>85</v>
      </c>
      <c r="E167" s="257">
        <v>29500000</v>
      </c>
      <c r="F167" s="257">
        <v>29500000</v>
      </c>
      <c r="G167" s="257">
        <v>6125000</v>
      </c>
      <c r="H167" s="257">
        <v>4535000</v>
      </c>
      <c r="I167" s="257">
        <v>356665</v>
      </c>
      <c r="J167" s="257">
        <v>46356</v>
      </c>
      <c r="K167" s="257">
        <v>0</v>
      </c>
      <c r="L167" s="257">
        <v>0</v>
      </c>
      <c r="M167" s="257">
        <v>24561979</v>
      </c>
      <c r="N167" s="257">
        <v>1186979</v>
      </c>
    </row>
    <row r="168" spans="1:14" s="143" customFormat="1" x14ac:dyDescent="0.25">
      <c r="A168" s="143" t="s">
        <v>274</v>
      </c>
      <c r="B168" s="143" t="s">
        <v>236</v>
      </c>
      <c r="C168" s="143" t="s">
        <v>237</v>
      </c>
      <c r="D168" s="143" t="s">
        <v>85</v>
      </c>
      <c r="E168" s="257">
        <v>4700000</v>
      </c>
      <c r="F168" s="257">
        <v>4700000</v>
      </c>
      <c r="G168" s="257">
        <v>1175000</v>
      </c>
      <c r="H168" s="257">
        <v>0</v>
      </c>
      <c r="I168" s="257">
        <v>0</v>
      </c>
      <c r="J168" s="257">
        <v>0</v>
      </c>
      <c r="K168" s="257">
        <v>0</v>
      </c>
      <c r="L168" s="257">
        <v>0</v>
      </c>
      <c r="M168" s="257">
        <v>4700000</v>
      </c>
      <c r="N168" s="257">
        <v>1175000</v>
      </c>
    </row>
    <row r="169" spans="1:14" s="143" customFormat="1" x14ac:dyDescent="0.25">
      <c r="A169" s="143" t="s">
        <v>274</v>
      </c>
      <c r="B169" s="143" t="s">
        <v>238</v>
      </c>
      <c r="C169" s="143" t="s">
        <v>239</v>
      </c>
      <c r="D169" s="143" t="s">
        <v>85</v>
      </c>
      <c r="E169" s="257">
        <v>3800000</v>
      </c>
      <c r="F169" s="257">
        <v>3800000</v>
      </c>
      <c r="G169" s="257">
        <v>950000</v>
      </c>
      <c r="H169" s="257">
        <v>719000</v>
      </c>
      <c r="I169" s="257">
        <v>222520</v>
      </c>
      <c r="J169" s="257">
        <v>0</v>
      </c>
      <c r="K169" s="257">
        <v>0</v>
      </c>
      <c r="L169" s="257">
        <v>0</v>
      </c>
      <c r="M169" s="257">
        <v>2858480</v>
      </c>
      <c r="N169" s="257">
        <v>8480</v>
      </c>
    </row>
    <row r="170" spans="1:14" s="143" customFormat="1" x14ac:dyDescent="0.25">
      <c r="A170" s="143" t="s">
        <v>274</v>
      </c>
      <c r="B170" s="143" t="s">
        <v>282</v>
      </c>
      <c r="C170" s="143" t="s">
        <v>283</v>
      </c>
      <c r="D170" s="143" t="s">
        <v>85</v>
      </c>
      <c r="E170" s="257">
        <v>1000000</v>
      </c>
      <c r="F170" s="257">
        <v>1000000</v>
      </c>
      <c r="G170" s="257">
        <v>0</v>
      </c>
      <c r="H170" s="257">
        <v>0</v>
      </c>
      <c r="I170" s="257">
        <v>0</v>
      </c>
      <c r="J170" s="257">
        <v>0</v>
      </c>
      <c r="K170" s="257">
        <v>0</v>
      </c>
      <c r="L170" s="257">
        <v>0</v>
      </c>
      <c r="M170" s="257">
        <v>1000000</v>
      </c>
      <c r="N170" s="257">
        <v>0</v>
      </c>
    </row>
    <row r="171" spans="1:14" s="143" customFormat="1" x14ac:dyDescent="0.25">
      <c r="A171" s="143" t="s">
        <v>274</v>
      </c>
      <c r="B171" s="143" t="s">
        <v>240</v>
      </c>
      <c r="C171" s="143" t="s">
        <v>241</v>
      </c>
      <c r="D171" s="143" t="s">
        <v>85</v>
      </c>
      <c r="E171" s="257">
        <v>16000000</v>
      </c>
      <c r="F171" s="257">
        <v>16000000</v>
      </c>
      <c r="G171" s="257">
        <v>4000000</v>
      </c>
      <c r="H171" s="257">
        <v>3816000</v>
      </c>
      <c r="I171" s="257">
        <v>134145</v>
      </c>
      <c r="J171" s="257">
        <v>46356</v>
      </c>
      <c r="K171" s="257">
        <v>0</v>
      </c>
      <c r="L171" s="257">
        <v>0</v>
      </c>
      <c r="M171" s="257">
        <v>12003499</v>
      </c>
      <c r="N171" s="257">
        <v>3499</v>
      </c>
    </row>
    <row r="172" spans="1:14" s="143" customFormat="1" x14ac:dyDescent="0.25">
      <c r="A172" s="143" t="s">
        <v>274</v>
      </c>
      <c r="B172" s="143" t="s">
        <v>242</v>
      </c>
      <c r="C172" s="143" t="s">
        <v>243</v>
      </c>
      <c r="D172" s="143" t="s">
        <v>85</v>
      </c>
      <c r="E172" s="257">
        <v>4000000</v>
      </c>
      <c r="F172" s="257">
        <v>4000000</v>
      </c>
      <c r="G172" s="257">
        <v>0</v>
      </c>
      <c r="H172" s="257">
        <v>0</v>
      </c>
      <c r="I172" s="257">
        <v>0</v>
      </c>
      <c r="J172" s="257">
        <v>0</v>
      </c>
      <c r="K172" s="257">
        <v>0</v>
      </c>
      <c r="L172" s="257">
        <v>0</v>
      </c>
      <c r="M172" s="257">
        <v>4000000</v>
      </c>
      <c r="N172" s="257">
        <v>0</v>
      </c>
    </row>
    <row r="173" spans="1:14" s="143" customFormat="1" x14ac:dyDescent="0.25">
      <c r="A173" s="143" t="s">
        <v>274</v>
      </c>
      <c r="B173" s="143" t="s">
        <v>248</v>
      </c>
      <c r="C173" s="143" t="s">
        <v>249</v>
      </c>
      <c r="D173" s="143" t="s">
        <v>69</v>
      </c>
      <c r="E173" s="257">
        <v>43960000</v>
      </c>
      <c r="F173" s="257">
        <v>43960000</v>
      </c>
      <c r="G173" s="257">
        <v>23210000</v>
      </c>
      <c r="H173" s="257">
        <v>0</v>
      </c>
      <c r="I173" s="257">
        <v>12379355.029999999</v>
      </c>
      <c r="J173" s="257">
        <v>0</v>
      </c>
      <c r="K173" s="257">
        <v>3673055.97</v>
      </c>
      <c r="L173" s="257">
        <v>3673055.97</v>
      </c>
      <c r="M173" s="257">
        <v>27907589</v>
      </c>
      <c r="N173" s="257">
        <v>7157589</v>
      </c>
    </row>
    <row r="174" spans="1:14" s="143" customFormat="1" x14ac:dyDescent="0.25">
      <c r="A174" s="143" t="s">
        <v>274</v>
      </c>
      <c r="B174" s="143" t="s">
        <v>250</v>
      </c>
      <c r="C174" s="143" t="s">
        <v>251</v>
      </c>
      <c r="D174" s="143" t="s">
        <v>69</v>
      </c>
      <c r="E174" s="257">
        <v>11142000</v>
      </c>
      <c r="F174" s="257">
        <v>11142000</v>
      </c>
      <c r="G174" s="257">
        <v>11142000</v>
      </c>
      <c r="H174" s="257">
        <v>0</v>
      </c>
      <c r="I174" s="257">
        <v>9011593</v>
      </c>
      <c r="J174" s="257">
        <v>0</v>
      </c>
      <c r="K174" s="257">
        <v>2130407</v>
      </c>
      <c r="L174" s="257">
        <v>2130407</v>
      </c>
      <c r="M174" s="257">
        <v>0</v>
      </c>
      <c r="N174" s="257">
        <v>0</v>
      </c>
    </row>
    <row r="175" spans="1:14" s="143" customFormat="1" x14ac:dyDescent="0.25">
      <c r="A175" s="143" t="s">
        <v>274</v>
      </c>
      <c r="B175" s="143" t="s">
        <v>284</v>
      </c>
      <c r="C175" s="143" t="s">
        <v>257</v>
      </c>
      <c r="D175" s="143" t="s">
        <v>69</v>
      </c>
      <c r="E175" s="257">
        <v>9273000</v>
      </c>
      <c r="F175" s="257">
        <v>9273000</v>
      </c>
      <c r="G175" s="257">
        <v>9273000</v>
      </c>
      <c r="H175" s="257">
        <v>0</v>
      </c>
      <c r="I175" s="257">
        <v>7500044</v>
      </c>
      <c r="J175" s="257">
        <v>0</v>
      </c>
      <c r="K175" s="257">
        <v>1772956</v>
      </c>
      <c r="L175" s="257">
        <v>1772956</v>
      </c>
      <c r="M175" s="257">
        <v>0</v>
      </c>
      <c r="N175" s="257">
        <v>0</v>
      </c>
    </row>
    <row r="176" spans="1:14" s="143" customFormat="1" x14ac:dyDescent="0.25">
      <c r="A176" s="143" t="s">
        <v>274</v>
      </c>
      <c r="B176" s="143" t="s">
        <v>285</v>
      </c>
      <c r="C176" s="143" t="s">
        <v>259</v>
      </c>
      <c r="D176" s="143" t="s">
        <v>69</v>
      </c>
      <c r="E176" s="257">
        <v>1869000</v>
      </c>
      <c r="F176" s="257">
        <v>1869000</v>
      </c>
      <c r="G176" s="257">
        <v>1869000</v>
      </c>
      <c r="H176" s="257">
        <v>0</v>
      </c>
      <c r="I176" s="257">
        <v>1511549</v>
      </c>
      <c r="J176" s="257">
        <v>0</v>
      </c>
      <c r="K176" s="257">
        <v>357451</v>
      </c>
      <c r="L176" s="257">
        <v>357451</v>
      </c>
      <c r="M176" s="257">
        <v>0</v>
      </c>
      <c r="N176" s="257">
        <v>0</v>
      </c>
    </row>
    <row r="177" spans="1:14" s="143" customFormat="1" x14ac:dyDescent="0.25">
      <c r="A177" s="143" t="s">
        <v>274</v>
      </c>
      <c r="B177" s="143" t="s">
        <v>260</v>
      </c>
      <c r="C177" s="143" t="s">
        <v>261</v>
      </c>
      <c r="D177" s="143" t="s">
        <v>69</v>
      </c>
      <c r="E177" s="257">
        <v>24818000</v>
      </c>
      <c r="F177" s="257">
        <v>24818000</v>
      </c>
      <c r="G177" s="257">
        <v>12068000</v>
      </c>
      <c r="H177" s="257">
        <v>0</v>
      </c>
      <c r="I177" s="257">
        <v>3367762.03</v>
      </c>
      <c r="J177" s="257">
        <v>0</v>
      </c>
      <c r="K177" s="257">
        <v>1542648.97</v>
      </c>
      <c r="L177" s="257">
        <v>1542648.97</v>
      </c>
      <c r="M177" s="257">
        <v>19907589</v>
      </c>
      <c r="N177" s="257">
        <v>7157589</v>
      </c>
    </row>
    <row r="178" spans="1:14" s="143" customFormat="1" x14ac:dyDescent="0.25">
      <c r="A178" s="143" t="s">
        <v>274</v>
      </c>
      <c r="B178" s="143" t="s">
        <v>262</v>
      </c>
      <c r="C178" s="143" t="s">
        <v>263</v>
      </c>
      <c r="D178" s="143" t="s">
        <v>69</v>
      </c>
      <c r="E178" s="257">
        <v>17000000</v>
      </c>
      <c r="F178" s="257">
        <v>17000000</v>
      </c>
      <c r="G178" s="257">
        <v>4250000</v>
      </c>
      <c r="H178" s="257">
        <v>0</v>
      </c>
      <c r="I178" s="257">
        <v>3367762.03</v>
      </c>
      <c r="J178" s="257">
        <v>0</v>
      </c>
      <c r="K178" s="257">
        <v>882237.97</v>
      </c>
      <c r="L178" s="257">
        <v>882237.97</v>
      </c>
      <c r="M178" s="257">
        <v>12750000</v>
      </c>
      <c r="N178" s="257">
        <v>0</v>
      </c>
    </row>
    <row r="179" spans="1:14" s="143" customFormat="1" x14ac:dyDescent="0.25">
      <c r="A179" s="143" t="s">
        <v>274</v>
      </c>
      <c r="B179" s="143" t="s">
        <v>264</v>
      </c>
      <c r="C179" s="143" t="s">
        <v>265</v>
      </c>
      <c r="D179" s="143" t="s">
        <v>69</v>
      </c>
      <c r="E179" s="257">
        <v>7818000</v>
      </c>
      <c r="F179" s="257">
        <v>7818000</v>
      </c>
      <c r="G179" s="257">
        <v>7818000</v>
      </c>
      <c r="H179" s="257">
        <v>0</v>
      </c>
      <c r="I179" s="257">
        <v>0</v>
      </c>
      <c r="J179" s="257">
        <v>0</v>
      </c>
      <c r="K179" s="257">
        <v>660411</v>
      </c>
      <c r="L179" s="257">
        <v>660411</v>
      </c>
      <c r="M179" s="257">
        <v>7157589</v>
      </c>
      <c r="N179" s="257">
        <v>7157589</v>
      </c>
    </row>
    <row r="180" spans="1:14" s="143" customFormat="1" x14ac:dyDescent="0.25">
      <c r="A180" s="143" t="s">
        <v>274</v>
      </c>
      <c r="B180" s="143" t="s">
        <v>286</v>
      </c>
      <c r="C180" s="143" t="s">
        <v>287</v>
      </c>
      <c r="D180" s="143" t="s">
        <v>69</v>
      </c>
      <c r="E180" s="257">
        <v>8000000</v>
      </c>
      <c r="F180" s="257">
        <v>8000000</v>
      </c>
      <c r="G180" s="257">
        <v>0</v>
      </c>
      <c r="H180" s="257">
        <v>0</v>
      </c>
      <c r="I180" s="257">
        <v>0</v>
      </c>
      <c r="J180" s="257">
        <v>0</v>
      </c>
      <c r="K180" s="257">
        <v>0</v>
      </c>
      <c r="L180" s="257">
        <v>0</v>
      </c>
      <c r="M180" s="257">
        <v>8000000</v>
      </c>
      <c r="N180" s="257">
        <v>0</v>
      </c>
    </row>
    <row r="181" spans="1:14" s="143" customFormat="1" x14ac:dyDescent="0.25">
      <c r="A181" s="143" t="s">
        <v>274</v>
      </c>
      <c r="B181" s="143" t="s">
        <v>288</v>
      </c>
      <c r="C181" s="143" t="s">
        <v>289</v>
      </c>
      <c r="D181" s="143" t="s">
        <v>69</v>
      </c>
      <c r="E181" s="257">
        <v>8000000</v>
      </c>
      <c r="F181" s="257">
        <v>8000000</v>
      </c>
      <c r="G181" s="257">
        <v>0</v>
      </c>
      <c r="H181" s="257">
        <v>0</v>
      </c>
      <c r="I181" s="257">
        <v>0</v>
      </c>
      <c r="J181" s="257">
        <v>0</v>
      </c>
      <c r="K181" s="257">
        <v>0</v>
      </c>
      <c r="L181" s="257">
        <v>0</v>
      </c>
      <c r="M181" s="257">
        <v>8000000</v>
      </c>
      <c r="N181" s="257">
        <v>0</v>
      </c>
    </row>
    <row r="182" spans="1:14" s="143" customFormat="1" x14ac:dyDescent="0.25">
      <c r="A182" s="143">
        <v>214781</v>
      </c>
      <c r="D182" s="143" t="s">
        <v>69</v>
      </c>
      <c r="E182" s="257">
        <v>11325587195</v>
      </c>
      <c r="F182" s="257">
        <v>11325587195</v>
      </c>
      <c r="G182" s="257">
        <v>10397881815.809999</v>
      </c>
      <c r="H182" s="257">
        <v>0</v>
      </c>
      <c r="I182" s="257">
        <v>1490723718.9200001</v>
      </c>
      <c r="J182" s="257">
        <v>15912467.449999999</v>
      </c>
      <c r="K182" s="257">
        <v>1931129854.25</v>
      </c>
      <c r="L182" s="257">
        <v>1876246366.8800001</v>
      </c>
      <c r="M182" s="257">
        <v>7887821154.3800001</v>
      </c>
      <c r="N182" s="257">
        <v>6960115775.1899996</v>
      </c>
    </row>
    <row r="183" spans="1:14" s="143" customFormat="1" x14ac:dyDescent="0.25">
      <c r="A183" s="143" t="s">
        <v>290</v>
      </c>
      <c r="B183" s="143" t="s">
        <v>71</v>
      </c>
      <c r="C183" s="143" t="s">
        <v>72</v>
      </c>
      <c r="D183" s="143" t="s">
        <v>69</v>
      </c>
      <c r="E183" s="257">
        <v>9908319000</v>
      </c>
      <c r="F183" s="257">
        <v>9908319000</v>
      </c>
      <c r="G183" s="257">
        <v>9908319000</v>
      </c>
      <c r="H183" s="257">
        <v>0</v>
      </c>
      <c r="I183" s="257">
        <v>1206615935</v>
      </c>
      <c r="J183" s="257">
        <v>0</v>
      </c>
      <c r="K183" s="257">
        <v>1824489010.4200001</v>
      </c>
      <c r="L183" s="257">
        <v>1824489010.4200001</v>
      </c>
      <c r="M183" s="257">
        <v>6877214054.5799999</v>
      </c>
      <c r="N183" s="257">
        <v>6877214054.5799999</v>
      </c>
    </row>
    <row r="184" spans="1:14" s="143" customFormat="1" x14ac:dyDescent="0.25">
      <c r="A184" s="143" t="s">
        <v>290</v>
      </c>
      <c r="B184" s="143" t="s">
        <v>73</v>
      </c>
      <c r="C184" s="143" t="s">
        <v>74</v>
      </c>
      <c r="D184" s="143" t="s">
        <v>69</v>
      </c>
      <c r="E184" s="257">
        <v>3418584000</v>
      </c>
      <c r="F184" s="257">
        <v>3418584000</v>
      </c>
      <c r="G184" s="257">
        <v>3418584000</v>
      </c>
      <c r="H184" s="257">
        <v>0</v>
      </c>
      <c r="I184" s="257">
        <v>0</v>
      </c>
      <c r="J184" s="257">
        <v>0</v>
      </c>
      <c r="K184" s="257">
        <v>493394321.61000001</v>
      </c>
      <c r="L184" s="257">
        <v>493394321.61000001</v>
      </c>
      <c r="M184" s="257">
        <v>2925189678.3899999</v>
      </c>
      <c r="N184" s="257">
        <v>2925189678.3899999</v>
      </c>
    </row>
    <row r="185" spans="1:14" s="143" customFormat="1" x14ac:dyDescent="0.25">
      <c r="A185" s="143" t="s">
        <v>290</v>
      </c>
      <c r="B185" s="143" t="s">
        <v>75</v>
      </c>
      <c r="C185" s="143" t="s">
        <v>76</v>
      </c>
      <c r="D185" s="143" t="s">
        <v>69</v>
      </c>
      <c r="E185" s="257">
        <v>3413584000</v>
      </c>
      <c r="F185" s="257">
        <v>3413584000</v>
      </c>
      <c r="G185" s="257">
        <v>3413584000</v>
      </c>
      <c r="H185" s="257">
        <v>0</v>
      </c>
      <c r="I185" s="257">
        <v>0</v>
      </c>
      <c r="J185" s="257">
        <v>0</v>
      </c>
      <c r="K185" s="257">
        <v>493394321.61000001</v>
      </c>
      <c r="L185" s="257">
        <v>493394321.61000001</v>
      </c>
      <c r="M185" s="257">
        <v>2920189678.3899999</v>
      </c>
      <c r="N185" s="257">
        <v>2920189678.3899999</v>
      </c>
    </row>
    <row r="186" spans="1:14" s="143" customFormat="1" x14ac:dyDescent="0.25">
      <c r="A186" s="143" t="s">
        <v>290</v>
      </c>
      <c r="B186" s="143" t="s">
        <v>291</v>
      </c>
      <c r="C186" s="143" t="s">
        <v>292</v>
      </c>
      <c r="D186" s="143" t="s">
        <v>69</v>
      </c>
      <c r="E186" s="257">
        <v>5000000</v>
      </c>
      <c r="F186" s="257">
        <v>5000000</v>
      </c>
      <c r="G186" s="257">
        <v>5000000</v>
      </c>
      <c r="H186" s="257">
        <v>0</v>
      </c>
      <c r="I186" s="257">
        <v>0</v>
      </c>
      <c r="J186" s="257">
        <v>0</v>
      </c>
      <c r="K186" s="257">
        <v>0</v>
      </c>
      <c r="L186" s="257">
        <v>0</v>
      </c>
      <c r="M186" s="257">
        <v>5000000</v>
      </c>
      <c r="N186" s="257">
        <v>5000000</v>
      </c>
    </row>
    <row r="187" spans="1:14" s="143" customFormat="1" x14ac:dyDescent="0.25">
      <c r="A187" s="143" t="s">
        <v>290</v>
      </c>
      <c r="B187" s="143" t="s">
        <v>293</v>
      </c>
      <c r="C187" s="143" t="s">
        <v>294</v>
      </c>
      <c r="D187" s="143" t="s">
        <v>69</v>
      </c>
      <c r="E187" s="257">
        <v>11000000</v>
      </c>
      <c r="F187" s="257">
        <v>11000000</v>
      </c>
      <c r="G187" s="257">
        <v>11000000</v>
      </c>
      <c r="H187" s="257">
        <v>0</v>
      </c>
      <c r="I187" s="257">
        <v>0</v>
      </c>
      <c r="J187" s="257">
        <v>0</v>
      </c>
      <c r="K187" s="257">
        <v>824374.9</v>
      </c>
      <c r="L187" s="257">
        <v>824374.9</v>
      </c>
      <c r="M187" s="257">
        <v>10175625.1</v>
      </c>
      <c r="N187" s="257">
        <v>10175625.1</v>
      </c>
    </row>
    <row r="188" spans="1:14" s="143" customFormat="1" x14ac:dyDescent="0.25">
      <c r="A188" s="143" t="s">
        <v>290</v>
      </c>
      <c r="B188" s="143" t="s">
        <v>295</v>
      </c>
      <c r="C188" s="143" t="s">
        <v>296</v>
      </c>
      <c r="D188" s="143" t="s">
        <v>69</v>
      </c>
      <c r="E188" s="257">
        <v>11000000</v>
      </c>
      <c r="F188" s="257">
        <v>11000000</v>
      </c>
      <c r="G188" s="257">
        <v>11000000</v>
      </c>
      <c r="H188" s="257">
        <v>0</v>
      </c>
      <c r="I188" s="257">
        <v>0</v>
      </c>
      <c r="J188" s="257">
        <v>0</v>
      </c>
      <c r="K188" s="257">
        <v>824374.9</v>
      </c>
      <c r="L188" s="257">
        <v>824374.9</v>
      </c>
      <c r="M188" s="257">
        <v>10175625.1</v>
      </c>
      <c r="N188" s="257">
        <v>10175625.1</v>
      </c>
    </row>
    <row r="189" spans="1:14" s="143" customFormat="1" x14ac:dyDescent="0.25">
      <c r="A189" s="143" t="s">
        <v>290</v>
      </c>
      <c r="B189" s="143" t="s">
        <v>77</v>
      </c>
      <c r="C189" s="143" t="s">
        <v>78</v>
      </c>
      <c r="D189" s="143" t="s">
        <v>69</v>
      </c>
      <c r="E189" s="257">
        <v>4978167000</v>
      </c>
      <c r="F189" s="257">
        <v>4978167000</v>
      </c>
      <c r="G189" s="257">
        <v>4978167000</v>
      </c>
      <c r="H189" s="257">
        <v>0</v>
      </c>
      <c r="I189" s="257">
        <v>0</v>
      </c>
      <c r="J189" s="257">
        <v>0</v>
      </c>
      <c r="K189" s="257">
        <v>1036318248.91</v>
      </c>
      <c r="L189" s="257">
        <v>1036318248.91</v>
      </c>
      <c r="M189" s="257">
        <v>3941848751.0900002</v>
      </c>
      <c r="N189" s="257">
        <v>3941848751.0900002</v>
      </c>
    </row>
    <row r="190" spans="1:14" s="143" customFormat="1" x14ac:dyDescent="0.25">
      <c r="A190" s="143" t="s">
        <v>290</v>
      </c>
      <c r="B190" s="143" t="s">
        <v>79</v>
      </c>
      <c r="C190" s="143" t="s">
        <v>80</v>
      </c>
      <c r="D190" s="143" t="s">
        <v>69</v>
      </c>
      <c r="E190" s="257">
        <v>913627000</v>
      </c>
      <c r="F190" s="257">
        <v>913627000</v>
      </c>
      <c r="G190" s="257">
        <v>913627000</v>
      </c>
      <c r="H190" s="257">
        <v>0</v>
      </c>
      <c r="I190" s="257">
        <v>0</v>
      </c>
      <c r="J190" s="257">
        <v>0</v>
      </c>
      <c r="K190" s="257">
        <v>124107261.55</v>
      </c>
      <c r="L190" s="257">
        <v>124107261.55</v>
      </c>
      <c r="M190" s="257">
        <v>789519738.45000005</v>
      </c>
      <c r="N190" s="257">
        <v>789519738.45000005</v>
      </c>
    </row>
    <row r="191" spans="1:14" s="143" customFormat="1" x14ac:dyDescent="0.25">
      <c r="A191" s="143" t="s">
        <v>290</v>
      </c>
      <c r="B191" s="143" t="s">
        <v>81</v>
      </c>
      <c r="C191" s="143" t="s">
        <v>82</v>
      </c>
      <c r="D191" s="143" t="s">
        <v>69</v>
      </c>
      <c r="E191" s="257">
        <v>2244831000</v>
      </c>
      <c r="F191" s="257">
        <v>2244831000</v>
      </c>
      <c r="G191" s="257">
        <v>2244831000</v>
      </c>
      <c r="H191" s="257">
        <v>0</v>
      </c>
      <c r="I191" s="257">
        <v>0</v>
      </c>
      <c r="J191" s="257">
        <v>0</v>
      </c>
      <c r="K191" s="257">
        <v>325467044.75</v>
      </c>
      <c r="L191" s="257">
        <v>325467044.75</v>
      </c>
      <c r="M191" s="257">
        <v>1919363955.25</v>
      </c>
      <c r="N191" s="257">
        <v>1919363955.25</v>
      </c>
    </row>
    <row r="192" spans="1:14" s="143" customFormat="1" x14ac:dyDescent="0.25">
      <c r="A192" s="143" t="s">
        <v>290</v>
      </c>
      <c r="B192" s="143" t="s">
        <v>83</v>
      </c>
      <c r="C192" s="143" t="s">
        <v>84</v>
      </c>
      <c r="D192" s="143" t="s">
        <v>85</v>
      </c>
      <c r="E192" s="257">
        <v>647839000</v>
      </c>
      <c r="F192" s="257">
        <v>647839000</v>
      </c>
      <c r="G192" s="257">
        <v>647839000</v>
      </c>
      <c r="H192" s="257">
        <v>0</v>
      </c>
      <c r="I192" s="257">
        <v>0</v>
      </c>
      <c r="J192" s="257">
        <v>0</v>
      </c>
      <c r="K192" s="257">
        <v>0</v>
      </c>
      <c r="L192" s="257">
        <v>0</v>
      </c>
      <c r="M192" s="257">
        <v>647839000</v>
      </c>
      <c r="N192" s="257">
        <v>647839000</v>
      </c>
    </row>
    <row r="193" spans="1:14" s="143" customFormat="1" x14ac:dyDescent="0.25">
      <c r="A193" s="143" t="s">
        <v>290</v>
      </c>
      <c r="B193" s="143" t="s">
        <v>86</v>
      </c>
      <c r="C193" s="143" t="s">
        <v>87</v>
      </c>
      <c r="D193" s="143" t="s">
        <v>69</v>
      </c>
      <c r="E193" s="257">
        <v>540993000</v>
      </c>
      <c r="F193" s="257">
        <v>540993000</v>
      </c>
      <c r="G193" s="257">
        <v>540993000</v>
      </c>
      <c r="H193" s="257">
        <v>0</v>
      </c>
      <c r="I193" s="257">
        <v>0</v>
      </c>
      <c r="J193" s="257">
        <v>0</v>
      </c>
      <c r="K193" s="257">
        <v>493915397.87</v>
      </c>
      <c r="L193" s="257">
        <v>493915397.87</v>
      </c>
      <c r="M193" s="257">
        <v>47077602.130000003</v>
      </c>
      <c r="N193" s="257">
        <v>47077602.130000003</v>
      </c>
    </row>
    <row r="194" spans="1:14" s="143" customFormat="1" x14ac:dyDescent="0.25">
      <c r="A194" s="143" t="s">
        <v>290</v>
      </c>
      <c r="B194" s="143" t="s">
        <v>88</v>
      </c>
      <c r="C194" s="143" t="s">
        <v>89</v>
      </c>
      <c r="D194" s="143" t="s">
        <v>69</v>
      </c>
      <c r="E194" s="257">
        <v>630877000</v>
      </c>
      <c r="F194" s="257">
        <v>630877000</v>
      </c>
      <c r="G194" s="257">
        <v>630877000</v>
      </c>
      <c r="H194" s="257">
        <v>0</v>
      </c>
      <c r="I194" s="257">
        <v>0</v>
      </c>
      <c r="J194" s="257">
        <v>0</v>
      </c>
      <c r="K194" s="257">
        <v>92828544.739999995</v>
      </c>
      <c r="L194" s="257">
        <v>92828544.739999995</v>
      </c>
      <c r="M194" s="257">
        <v>538048455.25999999</v>
      </c>
      <c r="N194" s="257">
        <v>538048455.25999999</v>
      </c>
    </row>
    <row r="195" spans="1:14" s="143" customFormat="1" x14ac:dyDescent="0.25">
      <c r="A195" s="143" t="s">
        <v>290</v>
      </c>
      <c r="B195" s="143" t="s">
        <v>90</v>
      </c>
      <c r="C195" s="143" t="s">
        <v>91</v>
      </c>
      <c r="D195" s="143" t="s">
        <v>69</v>
      </c>
      <c r="E195" s="257">
        <v>756883000</v>
      </c>
      <c r="F195" s="257">
        <v>756883000</v>
      </c>
      <c r="G195" s="257">
        <v>756883000</v>
      </c>
      <c r="H195" s="257">
        <v>0</v>
      </c>
      <c r="I195" s="257">
        <v>607557434</v>
      </c>
      <c r="J195" s="257">
        <v>0</v>
      </c>
      <c r="K195" s="257">
        <v>149325566</v>
      </c>
      <c r="L195" s="257">
        <v>149325566</v>
      </c>
      <c r="M195" s="257">
        <v>0</v>
      </c>
      <c r="N195" s="257">
        <v>0</v>
      </c>
    </row>
    <row r="196" spans="1:14" s="143" customFormat="1" x14ac:dyDescent="0.25">
      <c r="A196" s="143" t="s">
        <v>290</v>
      </c>
      <c r="B196" s="143" t="s">
        <v>297</v>
      </c>
      <c r="C196" s="143" t="s">
        <v>93</v>
      </c>
      <c r="D196" s="143" t="s">
        <v>69</v>
      </c>
      <c r="E196" s="257">
        <v>718069000</v>
      </c>
      <c r="F196" s="257">
        <v>718069000</v>
      </c>
      <c r="G196" s="257">
        <v>718069000</v>
      </c>
      <c r="H196" s="257">
        <v>0</v>
      </c>
      <c r="I196" s="257">
        <v>576400174</v>
      </c>
      <c r="J196" s="257">
        <v>0</v>
      </c>
      <c r="K196" s="257">
        <v>141668826</v>
      </c>
      <c r="L196" s="257">
        <v>141668826</v>
      </c>
      <c r="M196" s="257">
        <v>0</v>
      </c>
      <c r="N196" s="257">
        <v>0</v>
      </c>
    </row>
    <row r="197" spans="1:14" s="143" customFormat="1" x14ac:dyDescent="0.25">
      <c r="A197" s="143" t="s">
        <v>290</v>
      </c>
      <c r="B197" s="143" t="s">
        <v>298</v>
      </c>
      <c r="C197" s="143" t="s">
        <v>95</v>
      </c>
      <c r="D197" s="143" t="s">
        <v>69</v>
      </c>
      <c r="E197" s="257">
        <v>38814000</v>
      </c>
      <c r="F197" s="257">
        <v>38814000</v>
      </c>
      <c r="G197" s="257">
        <v>38814000</v>
      </c>
      <c r="H197" s="257">
        <v>0</v>
      </c>
      <c r="I197" s="257">
        <v>31157260</v>
      </c>
      <c r="J197" s="257">
        <v>0</v>
      </c>
      <c r="K197" s="257">
        <v>7656740</v>
      </c>
      <c r="L197" s="257">
        <v>7656740</v>
      </c>
      <c r="M197" s="257">
        <v>0</v>
      </c>
      <c r="N197" s="257">
        <v>0</v>
      </c>
    </row>
    <row r="198" spans="1:14" s="143" customFormat="1" x14ac:dyDescent="0.25">
      <c r="A198" s="143" t="s">
        <v>290</v>
      </c>
      <c r="B198" s="143" t="s">
        <v>96</v>
      </c>
      <c r="C198" s="143" t="s">
        <v>97</v>
      </c>
      <c r="D198" s="143" t="s">
        <v>69</v>
      </c>
      <c r="E198" s="257">
        <v>743685000</v>
      </c>
      <c r="F198" s="257">
        <v>743685000</v>
      </c>
      <c r="G198" s="257">
        <v>743685000</v>
      </c>
      <c r="H198" s="257">
        <v>0</v>
      </c>
      <c r="I198" s="257">
        <v>599058501</v>
      </c>
      <c r="J198" s="257">
        <v>0</v>
      </c>
      <c r="K198" s="257">
        <v>144626499</v>
      </c>
      <c r="L198" s="257">
        <v>144626499</v>
      </c>
      <c r="M198" s="257">
        <v>0</v>
      </c>
      <c r="N198" s="257">
        <v>0</v>
      </c>
    </row>
    <row r="199" spans="1:14" s="143" customFormat="1" x14ac:dyDescent="0.25">
      <c r="A199" s="143" t="s">
        <v>290</v>
      </c>
      <c r="B199" s="143" t="s">
        <v>299</v>
      </c>
      <c r="C199" s="143" t="s">
        <v>99</v>
      </c>
      <c r="D199" s="143" t="s">
        <v>69</v>
      </c>
      <c r="E199" s="257">
        <v>394355000</v>
      </c>
      <c r="F199" s="257">
        <v>394355000</v>
      </c>
      <c r="G199" s="257">
        <v>394355000</v>
      </c>
      <c r="H199" s="257">
        <v>0</v>
      </c>
      <c r="I199" s="257">
        <v>318639059</v>
      </c>
      <c r="J199" s="257">
        <v>0</v>
      </c>
      <c r="K199" s="257">
        <v>75715941</v>
      </c>
      <c r="L199" s="257">
        <v>75715941</v>
      </c>
      <c r="M199" s="257">
        <v>0</v>
      </c>
      <c r="N199" s="257">
        <v>0</v>
      </c>
    </row>
    <row r="200" spans="1:14" s="143" customFormat="1" x14ac:dyDescent="0.25">
      <c r="A200" s="143" t="s">
        <v>290</v>
      </c>
      <c r="B200" s="143" t="s">
        <v>300</v>
      </c>
      <c r="C200" s="143" t="s">
        <v>101</v>
      </c>
      <c r="D200" s="143" t="s">
        <v>69</v>
      </c>
      <c r="E200" s="257">
        <v>116443000</v>
      </c>
      <c r="F200" s="257">
        <v>116443000</v>
      </c>
      <c r="G200" s="257">
        <v>116443000</v>
      </c>
      <c r="H200" s="257">
        <v>0</v>
      </c>
      <c r="I200" s="257">
        <v>93472829</v>
      </c>
      <c r="J200" s="257">
        <v>0</v>
      </c>
      <c r="K200" s="257">
        <v>22970171</v>
      </c>
      <c r="L200" s="257">
        <v>22970171</v>
      </c>
      <c r="M200" s="257">
        <v>0</v>
      </c>
      <c r="N200" s="257">
        <v>0</v>
      </c>
    </row>
    <row r="201" spans="1:14" s="143" customFormat="1" x14ac:dyDescent="0.25">
      <c r="A201" s="143" t="s">
        <v>290</v>
      </c>
      <c r="B201" s="143" t="s">
        <v>301</v>
      </c>
      <c r="C201" s="143" t="s">
        <v>103</v>
      </c>
      <c r="D201" s="143" t="s">
        <v>69</v>
      </c>
      <c r="E201" s="257">
        <v>232887000</v>
      </c>
      <c r="F201" s="257">
        <v>232887000</v>
      </c>
      <c r="G201" s="257">
        <v>232887000</v>
      </c>
      <c r="H201" s="257">
        <v>0</v>
      </c>
      <c r="I201" s="257">
        <v>186946613</v>
      </c>
      <c r="J201" s="257">
        <v>0</v>
      </c>
      <c r="K201" s="257">
        <v>45940387</v>
      </c>
      <c r="L201" s="257">
        <v>45940387</v>
      </c>
      <c r="M201" s="257">
        <v>0</v>
      </c>
      <c r="N201" s="257">
        <v>0</v>
      </c>
    </row>
    <row r="202" spans="1:14" s="143" customFormat="1" x14ac:dyDescent="0.25">
      <c r="A202" s="143" t="s">
        <v>290</v>
      </c>
      <c r="B202" s="143" t="s">
        <v>104</v>
      </c>
      <c r="C202" s="143" t="s">
        <v>105</v>
      </c>
      <c r="D202" s="143" t="s">
        <v>69</v>
      </c>
      <c r="E202" s="257">
        <v>1006874402</v>
      </c>
      <c r="F202" s="257">
        <v>1006874402</v>
      </c>
      <c r="G202" s="257">
        <v>286599300</v>
      </c>
      <c r="H202" s="257">
        <v>0</v>
      </c>
      <c r="I202" s="257">
        <v>188243217.61000001</v>
      </c>
      <c r="J202" s="257">
        <v>1058905.99</v>
      </c>
      <c r="K202" s="257">
        <v>75568879.950000003</v>
      </c>
      <c r="L202" s="257">
        <v>20685392.579999998</v>
      </c>
      <c r="M202" s="257">
        <v>742003398.45000005</v>
      </c>
      <c r="N202" s="257">
        <v>21728296.449999999</v>
      </c>
    </row>
    <row r="203" spans="1:14" s="143" customFormat="1" x14ac:dyDescent="0.25">
      <c r="A203" s="143" t="s">
        <v>290</v>
      </c>
      <c r="B203" s="143" t="s">
        <v>106</v>
      </c>
      <c r="C203" s="143" t="s">
        <v>107</v>
      </c>
      <c r="D203" s="143" t="s">
        <v>69</v>
      </c>
      <c r="E203" s="257">
        <v>331717997</v>
      </c>
      <c r="F203" s="257">
        <v>331717997</v>
      </c>
      <c r="G203" s="257">
        <v>79409499</v>
      </c>
      <c r="H203" s="257">
        <v>0</v>
      </c>
      <c r="I203" s="257">
        <v>49907989.719999999</v>
      </c>
      <c r="J203" s="257">
        <v>151623.45000000001</v>
      </c>
      <c r="K203" s="257">
        <v>28404849.460000001</v>
      </c>
      <c r="L203" s="257">
        <v>11513075</v>
      </c>
      <c r="M203" s="257">
        <v>253253534.37</v>
      </c>
      <c r="N203" s="257">
        <v>945036.37</v>
      </c>
    </row>
    <row r="204" spans="1:14" s="143" customFormat="1" x14ac:dyDescent="0.25">
      <c r="A204" s="143" t="s">
        <v>290</v>
      </c>
      <c r="B204" s="143" t="s">
        <v>280</v>
      </c>
      <c r="C204" s="143" t="s">
        <v>281</v>
      </c>
      <c r="D204" s="143" t="s">
        <v>69</v>
      </c>
      <c r="E204" s="257">
        <v>200526630</v>
      </c>
      <c r="F204" s="257">
        <v>200526630</v>
      </c>
      <c r="G204" s="257">
        <v>40211657</v>
      </c>
      <c r="H204" s="257">
        <v>0</v>
      </c>
      <c r="I204" s="257">
        <v>12733680</v>
      </c>
      <c r="J204" s="257">
        <v>0</v>
      </c>
      <c r="K204" s="257">
        <v>26837145</v>
      </c>
      <c r="L204" s="257">
        <v>11513075</v>
      </c>
      <c r="M204" s="257">
        <v>160955805</v>
      </c>
      <c r="N204" s="257">
        <v>640832</v>
      </c>
    </row>
    <row r="205" spans="1:14" s="143" customFormat="1" x14ac:dyDescent="0.25">
      <c r="A205" s="143" t="s">
        <v>290</v>
      </c>
      <c r="B205" s="143" t="s">
        <v>302</v>
      </c>
      <c r="C205" s="143" t="s">
        <v>303</v>
      </c>
      <c r="D205" s="143" t="s">
        <v>69</v>
      </c>
      <c r="E205" s="257">
        <v>3933000</v>
      </c>
      <c r="F205" s="257">
        <v>3933000</v>
      </c>
      <c r="G205" s="257">
        <v>983250</v>
      </c>
      <c r="H205" s="257">
        <v>0</v>
      </c>
      <c r="I205" s="257">
        <v>800659.2</v>
      </c>
      <c r="J205" s="257">
        <v>0</v>
      </c>
      <c r="K205" s="257">
        <v>0</v>
      </c>
      <c r="L205" s="257">
        <v>0</v>
      </c>
      <c r="M205" s="257">
        <v>3132340.8</v>
      </c>
      <c r="N205" s="257">
        <v>182590.8</v>
      </c>
    </row>
    <row r="206" spans="1:14" s="143" customFormat="1" x14ac:dyDescent="0.25">
      <c r="A206" s="143" t="s">
        <v>290</v>
      </c>
      <c r="B206" s="143" t="s">
        <v>108</v>
      </c>
      <c r="C206" s="143" t="s">
        <v>109</v>
      </c>
      <c r="D206" s="143" t="s">
        <v>69</v>
      </c>
      <c r="E206" s="257">
        <v>98126131</v>
      </c>
      <c r="F206" s="257">
        <v>98126131</v>
      </c>
      <c r="G206" s="257">
        <v>28531533</v>
      </c>
      <c r="H206" s="257">
        <v>0</v>
      </c>
      <c r="I206" s="257">
        <v>27013516.260000002</v>
      </c>
      <c r="J206" s="257">
        <v>0</v>
      </c>
      <c r="K206" s="257">
        <v>1430148.46</v>
      </c>
      <c r="L206" s="257">
        <v>0</v>
      </c>
      <c r="M206" s="257">
        <v>69682466.280000001</v>
      </c>
      <c r="N206" s="257">
        <v>87868.28</v>
      </c>
    </row>
    <row r="207" spans="1:14" s="143" customFormat="1" x14ac:dyDescent="0.25">
      <c r="A207" s="143" t="s">
        <v>290</v>
      </c>
      <c r="B207" s="143" t="s">
        <v>304</v>
      </c>
      <c r="C207" s="143" t="s">
        <v>305</v>
      </c>
      <c r="D207" s="143" t="s">
        <v>69</v>
      </c>
      <c r="E207" s="257">
        <v>1774000</v>
      </c>
      <c r="F207" s="257">
        <v>1774000</v>
      </c>
      <c r="G207" s="257">
        <v>643500</v>
      </c>
      <c r="H207" s="257">
        <v>0</v>
      </c>
      <c r="I207" s="257">
        <v>329212.58</v>
      </c>
      <c r="J207" s="257">
        <v>151623.45000000001</v>
      </c>
      <c r="K207" s="257">
        <v>137556</v>
      </c>
      <c r="L207" s="257">
        <v>0</v>
      </c>
      <c r="M207" s="257">
        <v>1155607.97</v>
      </c>
      <c r="N207" s="257">
        <v>25107.97</v>
      </c>
    </row>
    <row r="208" spans="1:14" s="143" customFormat="1" x14ac:dyDescent="0.25">
      <c r="A208" s="143" t="s">
        <v>290</v>
      </c>
      <c r="B208" s="143" t="s">
        <v>110</v>
      </c>
      <c r="C208" s="143" t="s">
        <v>111</v>
      </c>
      <c r="D208" s="143" t="s">
        <v>69</v>
      </c>
      <c r="E208" s="257">
        <v>27358236</v>
      </c>
      <c r="F208" s="257">
        <v>27358236</v>
      </c>
      <c r="G208" s="257">
        <v>9039559</v>
      </c>
      <c r="H208" s="257">
        <v>0</v>
      </c>
      <c r="I208" s="257">
        <v>9030921.6799999997</v>
      </c>
      <c r="J208" s="257">
        <v>0</v>
      </c>
      <c r="K208" s="257">
        <v>0</v>
      </c>
      <c r="L208" s="257">
        <v>0</v>
      </c>
      <c r="M208" s="257">
        <v>18327314.32</v>
      </c>
      <c r="N208" s="257">
        <v>8637.32</v>
      </c>
    </row>
    <row r="209" spans="1:14" s="143" customFormat="1" x14ac:dyDescent="0.25">
      <c r="A209" s="143" t="s">
        <v>290</v>
      </c>
      <c r="B209" s="143" t="s">
        <v>112</v>
      </c>
      <c r="C209" s="143" t="s">
        <v>113</v>
      </c>
      <c r="D209" s="143" t="s">
        <v>69</v>
      </c>
      <c r="E209" s="257">
        <v>126929000</v>
      </c>
      <c r="F209" s="257">
        <v>126929000</v>
      </c>
      <c r="G209" s="257">
        <v>36932250</v>
      </c>
      <c r="H209" s="257">
        <v>0</v>
      </c>
      <c r="I209" s="257">
        <v>21309935.890000001</v>
      </c>
      <c r="J209" s="257">
        <v>262850.65999999997</v>
      </c>
      <c r="K209" s="257">
        <v>14828795.07</v>
      </c>
      <c r="L209" s="257">
        <v>2977084.68</v>
      </c>
      <c r="M209" s="257">
        <v>90527418.379999995</v>
      </c>
      <c r="N209" s="257">
        <v>530668.38</v>
      </c>
    </row>
    <row r="210" spans="1:14" s="143" customFormat="1" x14ac:dyDescent="0.25">
      <c r="A210" s="143" t="s">
        <v>290</v>
      </c>
      <c r="B210" s="143" t="s">
        <v>114</v>
      </c>
      <c r="C210" s="143" t="s">
        <v>115</v>
      </c>
      <c r="D210" s="143" t="s">
        <v>69</v>
      </c>
      <c r="E210" s="257">
        <v>13400000</v>
      </c>
      <c r="F210" s="257">
        <v>13400000</v>
      </c>
      <c r="G210" s="257">
        <v>6350000</v>
      </c>
      <c r="H210" s="257">
        <v>0</v>
      </c>
      <c r="I210" s="257">
        <v>3438574</v>
      </c>
      <c r="J210" s="257">
        <v>0</v>
      </c>
      <c r="K210" s="257">
        <v>2722595</v>
      </c>
      <c r="L210" s="257">
        <v>1060635</v>
      </c>
      <c r="M210" s="257">
        <v>7238831</v>
      </c>
      <c r="N210" s="257">
        <v>188831</v>
      </c>
    </row>
    <row r="211" spans="1:14" s="143" customFormat="1" x14ac:dyDescent="0.25">
      <c r="A211" s="143" t="s">
        <v>290</v>
      </c>
      <c r="B211" s="143" t="s">
        <v>116</v>
      </c>
      <c r="C211" s="143" t="s">
        <v>117</v>
      </c>
      <c r="D211" s="143" t="s">
        <v>69</v>
      </c>
      <c r="E211" s="257">
        <v>49200000</v>
      </c>
      <c r="F211" s="257">
        <v>49200000</v>
      </c>
      <c r="G211" s="257">
        <v>14000000</v>
      </c>
      <c r="H211" s="257">
        <v>0</v>
      </c>
      <c r="I211" s="257">
        <v>7102245</v>
      </c>
      <c r="J211" s="257">
        <v>0</v>
      </c>
      <c r="K211" s="257">
        <v>6897755</v>
      </c>
      <c r="L211" s="257">
        <v>0</v>
      </c>
      <c r="M211" s="257">
        <v>35200000</v>
      </c>
      <c r="N211" s="257">
        <v>0</v>
      </c>
    </row>
    <row r="212" spans="1:14" s="143" customFormat="1" x14ac:dyDescent="0.25">
      <c r="A212" s="143" t="s">
        <v>290</v>
      </c>
      <c r="B212" s="143" t="s">
        <v>118</v>
      </c>
      <c r="C212" s="143" t="s">
        <v>119</v>
      </c>
      <c r="D212" s="143" t="s">
        <v>69</v>
      </c>
      <c r="E212" s="257">
        <v>12000000</v>
      </c>
      <c r="F212" s="257">
        <v>12000000</v>
      </c>
      <c r="G212" s="257">
        <v>1300000</v>
      </c>
      <c r="H212" s="257">
        <v>0</v>
      </c>
      <c r="I212" s="257">
        <v>726430</v>
      </c>
      <c r="J212" s="257">
        <v>0</v>
      </c>
      <c r="K212" s="257">
        <v>482270</v>
      </c>
      <c r="L212" s="257">
        <v>208700</v>
      </c>
      <c r="M212" s="257">
        <v>10791300</v>
      </c>
      <c r="N212" s="257">
        <v>91300</v>
      </c>
    </row>
    <row r="213" spans="1:14" s="143" customFormat="1" x14ac:dyDescent="0.25">
      <c r="A213" s="143" t="s">
        <v>290</v>
      </c>
      <c r="B213" s="143" t="s">
        <v>120</v>
      </c>
      <c r="C213" s="143" t="s">
        <v>121</v>
      </c>
      <c r="D213" s="143" t="s">
        <v>69</v>
      </c>
      <c r="E213" s="257">
        <v>47604000</v>
      </c>
      <c r="F213" s="257">
        <v>47604000</v>
      </c>
      <c r="G213" s="257">
        <v>13901000</v>
      </c>
      <c r="H213" s="257">
        <v>0</v>
      </c>
      <c r="I213" s="257">
        <v>8661686.8900000006</v>
      </c>
      <c r="J213" s="257">
        <v>262850.65999999997</v>
      </c>
      <c r="K213" s="257">
        <v>4726175.07</v>
      </c>
      <c r="L213" s="257">
        <v>1707749.68</v>
      </c>
      <c r="M213" s="257">
        <v>33953287.380000003</v>
      </c>
      <c r="N213" s="257">
        <v>250287.38</v>
      </c>
    </row>
    <row r="214" spans="1:14" s="143" customFormat="1" x14ac:dyDescent="0.25">
      <c r="A214" s="143" t="s">
        <v>290</v>
      </c>
      <c r="B214" s="143" t="s">
        <v>122</v>
      </c>
      <c r="C214" s="143" t="s">
        <v>123</v>
      </c>
      <c r="D214" s="143" t="s">
        <v>69</v>
      </c>
      <c r="E214" s="257">
        <v>4725000</v>
      </c>
      <c r="F214" s="257">
        <v>4725000</v>
      </c>
      <c r="G214" s="257">
        <v>1381250</v>
      </c>
      <c r="H214" s="257">
        <v>0</v>
      </c>
      <c r="I214" s="257">
        <v>1381000</v>
      </c>
      <c r="J214" s="257">
        <v>0</v>
      </c>
      <c r="K214" s="257">
        <v>0</v>
      </c>
      <c r="L214" s="257">
        <v>0</v>
      </c>
      <c r="M214" s="257">
        <v>3344000</v>
      </c>
      <c r="N214" s="257">
        <v>250</v>
      </c>
    </row>
    <row r="215" spans="1:14" s="143" customFormat="1" x14ac:dyDescent="0.25">
      <c r="A215" s="143" t="s">
        <v>290</v>
      </c>
      <c r="B215" s="143" t="s">
        <v>124</v>
      </c>
      <c r="C215" s="143" t="s">
        <v>125</v>
      </c>
      <c r="D215" s="143" t="s">
        <v>69</v>
      </c>
      <c r="E215" s="257">
        <v>3746000</v>
      </c>
      <c r="F215" s="257">
        <v>3746000</v>
      </c>
      <c r="G215" s="257">
        <v>1267200</v>
      </c>
      <c r="H215" s="257">
        <v>0</v>
      </c>
      <c r="I215" s="257">
        <v>885664.42</v>
      </c>
      <c r="J215" s="257">
        <v>0</v>
      </c>
      <c r="K215" s="257">
        <v>124652.9</v>
      </c>
      <c r="L215" s="257">
        <v>124652.9</v>
      </c>
      <c r="M215" s="257">
        <v>2735682.68</v>
      </c>
      <c r="N215" s="257">
        <v>256882.68</v>
      </c>
    </row>
    <row r="216" spans="1:14" s="143" customFormat="1" x14ac:dyDescent="0.25">
      <c r="A216" s="143" t="s">
        <v>290</v>
      </c>
      <c r="B216" s="143" t="s">
        <v>126</v>
      </c>
      <c r="C216" s="143" t="s">
        <v>127</v>
      </c>
      <c r="D216" s="143" t="s">
        <v>69</v>
      </c>
      <c r="E216" s="257">
        <v>500000</v>
      </c>
      <c r="F216" s="257">
        <v>500000</v>
      </c>
      <c r="G216" s="257">
        <v>305700</v>
      </c>
      <c r="H216" s="257">
        <v>0</v>
      </c>
      <c r="I216" s="257">
        <v>233730</v>
      </c>
      <c r="J216" s="257">
        <v>0</v>
      </c>
      <c r="K216" s="257">
        <v>71970</v>
      </c>
      <c r="L216" s="257">
        <v>71970</v>
      </c>
      <c r="M216" s="257">
        <v>194300</v>
      </c>
      <c r="N216" s="257">
        <v>0</v>
      </c>
    </row>
    <row r="217" spans="1:14" s="143" customFormat="1" x14ac:dyDescent="0.25">
      <c r="A217" s="143" t="s">
        <v>290</v>
      </c>
      <c r="B217" s="143" t="s">
        <v>128</v>
      </c>
      <c r="C217" s="143" t="s">
        <v>129</v>
      </c>
      <c r="D217" s="143" t="s">
        <v>69</v>
      </c>
      <c r="E217" s="257">
        <v>1000000</v>
      </c>
      <c r="F217" s="257">
        <v>1000000</v>
      </c>
      <c r="G217" s="257">
        <v>250000</v>
      </c>
      <c r="H217" s="257">
        <v>0</v>
      </c>
      <c r="I217" s="257">
        <v>147000</v>
      </c>
      <c r="J217" s="257">
        <v>0</v>
      </c>
      <c r="K217" s="257">
        <v>21950</v>
      </c>
      <c r="L217" s="257">
        <v>21950</v>
      </c>
      <c r="M217" s="257">
        <v>831050</v>
      </c>
      <c r="N217" s="257">
        <v>81050</v>
      </c>
    </row>
    <row r="218" spans="1:14" s="143" customFormat="1" x14ac:dyDescent="0.25">
      <c r="A218" s="143" t="s">
        <v>290</v>
      </c>
      <c r="B218" s="143" t="s">
        <v>130</v>
      </c>
      <c r="C218" s="143" t="s">
        <v>131</v>
      </c>
      <c r="D218" s="143" t="s">
        <v>69</v>
      </c>
      <c r="E218" s="257">
        <v>200000</v>
      </c>
      <c r="F218" s="257">
        <v>200000</v>
      </c>
      <c r="G218" s="257">
        <v>200000</v>
      </c>
      <c r="H218" s="257">
        <v>0</v>
      </c>
      <c r="I218" s="257">
        <v>92503</v>
      </c>
      <c r="J218" s="257">
        <v>0</v>
      </c>
      <c r="K218" s="257">
        <v>14521.5</v>
      </c>
      <c r="L218" s="257">
        <v>14521.5</v>
      </c>
      <c r="M218" s="257">
        <v>92975.5</v>
      </c>
      <c r="N218" s="257">
        <v>92975.5</v>
      </c>
    </row>
    <row r="219" spans="1:14" s="143" customFormat="1" x14ac:dyDescent="0.25">
      <c r="A219" s="143" t="s">
        <v>290</v>
      </c>
      <c r="B219" s="143" t="s">
        <v>132</v>
      </c>
      <c r="C219" s="143" t="s">
        <v>133</v>
      </c>
      <c r="D219" s="143" t="s">
        <v>69</v>
      </c>
      <c r="E219" s="257">
        <v>2046000</v>
      </c>
      <c r="F219" s="257">
        <v>2046000</v>
      </c>
      <c r="G219" s="257">
        <v>511500</v>
      </c>
      <c r="H219" s="257">
        <v>0</v>
      </c>
      <c r="I219" s="257">
        <v>412431.42</v>
      </c>
      <c r="J219" s="257">
        <v>0</v>
      </c>
      <c r="K219" s="257">
        <v>16211.4</v>
      </c>
      <c r="L219" s="257">
        <v>16211.4</v>
      </c>
      <c r="M219" s="257">
        <v>1617357.18</v>
      </c>
      <c r="N219" s="257">
        <v>82857.179999999993</v>
      </c>
    </row>
    <row r="220" spans="1:14" s="143" customFormat="1" x14ac:dyDescent="0.25">
      <c r="A220" s="143" t="s">
        <v>290</v>
      </c>
      <c r="B220" s="143" t="s">
        <v>134</v>
      </c>
      <c r="C220" s="143" t="s">
        <v>135</v>
      </c>
      <c r="D220" s="143" t="s">
        <v>69</v>
      </c>
      <c r="E220" s="257">
        <v>334518795</v>
      </c>
      <c r="F220" s="257">
        <v>334518795</v>
      </c>
      <c r="G220" s="257">
        <v>95979699</v>
      </c>
      <c r="H220" s="257">
        <v>0</v>
      </c>
      <c r="I220" s="257">
        <v>71136424.379999995</v>
      </c>
      <c r="J220" s="257">
        <v>0</v>
      </c>
      <c r="K220" s="257">
        <v>23730242.52</v>
      </c>
      <c r="L220" s="257">
        <v>0</v>
      </c>
      <c r="M220" s="257">
        <v>239652128.09999999</v>
      </c>
      <c r="N220" s="257">
        <v>1113032.1000000001</v>
      </c>
    </row>
    <row r="221" spans="1:14" s="143" customFormat="1" x14ac:dyDescent="0.25">
      <c r="A221" s="143" t="s">
        <v>290</v>
      </c>
      <c r="B221" s="143" t="s">
        <v>306</v>
      </c>
      <c r="C221" s="143" t="s">
        <v>307</v>
      </c>
      <c r="D221" s="143" t="s">
        <v>69</v>
      </c>
      <c r="E221" s="257">
        <v>2000000</v>
      </c>
      <c r="F221" s="257">
        <v>2000000</v>
      </c>
      <c r="G221" s="257">
        <v>300000</v>
      </c>
      <c r="H221" s="257">
        <v>0</v>
      </c>
      <c r="I221" s="257">
        <v>0</v>
      </c>
      <c r="J221" s="257">
        <v>0</v>
      </c>
      <c r="K221" s="257">
        <v>0</v>
      </c>
      <c r="L221" s="257">
        <v>0</v>
      </c>
      <c r="M221" s="257">
        <v>2000000</v>
      </c>
      <c r="N221" s="257">
        <v>300000</v>
      </c>
    </row>
    <row r="222" spans="1:14" s="143" customFormat="1" x14ac:dyDescent="0.25">
      <c r="A222" s="143" t="s">
        <v>290</v>
      </c>
      <c r="B222" s="143" t="s">
        <v>308</v>
      </c>
      <c r="C222" s="143" t="s">
        <v>309</v>
      </c>
      <c r="D222" s="143" t="s">
        <v>69</v>
      </c>
      <c r="E222" s="257">
        <v>5000000</v>
      </c>
      <c r="F222" s="257">
        <v>5000000</v>
      </c>
      <c r="G222" s="257">
        <v>5000000</v>
      </c>
      <c r="H222" s="257">
        <v>0</v>
      </c>
      <c r="I222" s="257">
        <v>4556956</v>
      </c>
      <c r="J222" s="257">
        <v>0</v>
      </c>
      <c r="K222" s="257">
        <v>0</v>
      </c>
      <c r="L222" s="257">
        <v>0</v>
      </c>
      <c r="M222" s="257">
        <v>443044</v>
      </c>
      <c r="N222" s="257">
        <v>443044</v>
      </c>
    </row>
    <row r="223" spans="1:14" s="143" customFormat="1" x14ac:dyDescent="0.25">
      <c r="A223" s="143" t="s">
        <v>290</v>
      </c>
      <c r="B223" s="143" t="s">
        <v>136</v>
      </c>
      <c r="C223" s="143" t="s">
        <v>137</v>
      </c>
      <c r="D223" s="143" t="s">
        <v>69</v>
      </c>
      <c r="E223" s="257">
        <v>319951179</v>
      </c>
      <c r="F223" s="257">
        <v>319951179</v>
      </c>
      <c r="G223" s="257">
        <v>86187795</v>
      </c>
      <c r="H223" s="257">
        <v>0</v>
      </c>
      <c r="I223" s="257">
        <v>62525763.039999999</v>
      </c>
      <c r="J223" s="257">
        <v>0</v>
      </c>
      <c r="K223" s="257">
        <v>23661517.52</v>
      </c>
      <c r="L223" s="257">
        <v>0</v>
      </c>
      <c r="M223" s="257">
        <v>233763898.44</v>
      </c>
      <c r="N223" s="257">
        <v>514.44000000000005</v>
      </c>
    </row>
    <row r="224" spans="1:14" s="143" customFormat="1" x14ac:dyDescent="0.25">
      <c r="A224" s="143" t="s">
        <v>290</v>
      </c>
      <c r="B224" s="143" t="s">
        <v>138</v>
      </c>
      <c r="C224" s="143" t="s">
        <v>139</v>
      </c>
      <c r="D224" s="143" t="s">
        <v>69</v>
      </c>
      <c r="E224" s="257">
        <v>7567616</v>
      </c>
      <c r="F224" s="257">
        <v>7567616</v>
      </c>
      <c r="G224" s="257">
        <v>4491904</v>
      </c>
      <c r="H224" s="257">
        <v>0</v>
      </c>
      <c r="I224" s="257">
        <v>4053705.34</v>
      </c>
      <c r="J224" s="257">
        <v>0</v>
      </c>
      <c r="K224" s="257">
        <v>68725</v>
      </c>
      <c r="L224" s="257">
        <v>0</v>
      </c>
      <c r="M224" s="257">
        <v>3445185.66</v>
      </c>
      <c r="N224" s="257">
        <v>369473.66</v>
      </c>
    </row>
    <row r="225" spans="1:14" s="143" customFormat="1" x14ac:dyDescent="0.25">
      <c r="A225" s="143" t="s">
        <v>290</v>
      </c>
      <c r="B225" s="143" t="s">
        <v>140</v>
      </c>
      <c r="C225" s="143" t="s">
        <v>141</v>
      </c>
      <c r="D225" s="143" t="s">
        <v>69</v>
      </c>
      <c r="E225" s="257">
        <v>33445676</v>
      </c>
      <c r="F225" s="257">
        <v>33445676</v>
      </c>
      <c r="G225" s="257">
        <v>16181419</v>
      </c>
      <c r="H225" s="257">
        <v>0</v>
      </c>
      <c r="I225" s="257">
        <v>8740240</v>
      </c>
      <c r="J225" s="257">
        <v>0</v>
      </c>
      <c r="K225" s="257">
        <v>5634960</v>
      </c>
      <c r="L225" s="257">
        <v>5225060</v>
      </c>
      <c r="M225" s="257">
        <v>19070476</v>
      </c>
      <c r="N225" s="257">
        <v>1806219</v>
      </c>
    </row>
    <row r="226" spans="1:14" s="143" customFormat="1" x14ac:dyDescent="0.25">
      <c r="A226" s="143" t="s">
        <v>290</v>
      </c>
      <c r="B226" s="143" t="s">
        <v>142</v>
      </c>
      <c r="C226" s="143" t="s">
        <v>143</v>
      </c>
      <c r="D226" s="143" t="s">
        <v>69</v>
      </c>
      <c r="E226" s="257">
        <v>1700000</v>
      </c>
      <c r="F226" s="257">
        <v>1700000</v>
      </c>
      <c r="G226" s="257">
        <v>425000</v>
      </c>
      <c r="H226" s="257">
        <v>0</v>
      </c>
      <c r="I226" s="257">
        <v>295140</v>
      </c>
      <c r="J226" s="257">
        <v>0</v>
      </c>
      <c r="K226" s="257">
        <v>103860</v>
      </c>
      <c r="L226" s="257">
        <v>103860</v>
      </c>
      <c r="M226" s="257">
        <v>1301000</v>
      </c>
      <c r="N226" s="257">
        <v>26000</v>
      </c>
    </row>
    <row r="227" spans="1:14" s="143" customFormat="1" x14ac:dyDescent="0.25">
      <c r="A227" s="143" t="s">
        <v>290</v>
      </c>
      <c r="B227" s="143" t="s">
        <v>144</v>
      </c>
      <c r="C227" s="143" t="s">
        <v>145</v>
      </c>
      <c r="D227" s="143" t="s">
        <v>69</v>
      </c>
      <c r="E227" s="257">
        <v>24979191</v>
      </c>
      <c r="F227" s="257">
        <v>24979191</v>
      </c>
      <c r="G227" s="257">
        <v>12244798</v>
      </c>
      <c r="H227" s="257">
        <v>0</v>
      </c>
      <c r="I227" s="257">
        <v>4945100</v>
      </c>
      <c r="J227" s="257">
        <v>0</v>
      </c>
      <c r="K227" s="257">
        <v>5531100</v>
      </c>
      <c r="L227" s="257">
        <v>5121200</v>
      </c>
      <c r="M227" s="257">
        <v>14502991</v>
      </c>
      <c r="N227" s="257">
        <v>1768598</v>
      </c>
    </row>
    <row r="228" spans="1:14" s="143" customFormat="1" x14ac:dyDescent="0.25">
      <c r="A228" s="143" t="s">
        <v>290</v>
      </c>
      <c r="B228" s="143" t="s">
        <v>146</v>
      </c>
      <c r="C228" s="143" t="s">
        <v>147</v>
      </c>
      <c r="D228" s="143" t="s">
        <v>69</v>
      </c>
      <c r="E228" s="257">
        <v>2035715</v>
      </c>
      <c r="F228" s="257">
        <v>2035715</v>
      </c>
      <c r="G228" s="257">
        <v>508929</v>
      </c>
      <c r="H228" s="257">
        <v>0</v>
      </c>
      <c r="I228" s="257">
        <v>500000</v>
      </c>
      <c r="J228" s="257">
        <v>0</v>
      </c>
      <c r="K228" s="257">
        <v>0</v>
      </c>
      <c r="L228" s="257">
        <v>0</v>
      </c>
      <c r="M228" s="257">
        <v>1535715</v>
      </c>
      <c r="N228" s="257">
        <v>8929</v>
      </c>
    </row>
    <row r="229" spans="1:14" s="143" customFormat="1" x14ac:dyDescent="0.25">
      <c r="A229" s="143" t="s">
        <v>290</v>
      </c>
      <c r="B229" s="143" t="s">
        <v>148</v>
      </c>
      <c r="C229" s="143" t="s">
        <v>149</v>
      </c>
      <c r="D229" s="143" t="s">
        <v>69</v>
      </c>
      <c r="E229" s="257">
        <v>4730770</v>
      </c>
      <c r="F229" s="257">
        <v>4730770</v>
      </c>
      <c r="G229" s="257">
        <v>3002692</v>
      </c>
      <c r="H229" s="257">
        <v>0</v>
      </c>
      <c r="I229" s="257">
        <v>3000000</v>
      </c>
      <c r="J229" s="257">
        <v>0</v>
      </c>
      <c r="K229" s="257">
        <v>0</v>
      </c>
      <c r="L229" s="257">
        <v>0</v>
      </c>
      <c r="M229" s="257">
        <v>1730770</v>
      </c>
      <c r="N229" s="257">
        <v>2692</v>
      </c>
    </row>
    <row r="230" spans="1:14" s="143" customFormat="1" x14ac:dyDescent="0.25">
      <c r="A230" s="143" t="s">
        <v>290</v>
      </c>
      <c r="B230" s="143" t="s">
        <v>150</v>
      </c>
      <c r="C230" s="143" t="s">
        <v>151</v>
      </c>
      <c r="D230" s="143" t="s">
        <v>69</v>
      </c>
      <c r="E230" s="257">
        <v>83546141</v>
      </c>
      <c r="F230" s="257">
        <v>83546141</v>
      </c>
      <c r="G230" s="257">
        <v>20886535</v>
      </c>
      <c r="H230" s="257">
        <v>0</v>
      </c>
      <c r="I230" s="257">
        <v>15042546</v>
      </c>
      <c r="J230" s="257">
        <v>0</v>
      </c>
      <c r="K230" s="257">
        <v>0</v>
      </c>
      <c r="L230" s="257">
        <v>0</v>
      </c>
      <c r="M230" s="257">
        <v>68503595</v>
      </c>
      <c r="N230" s="257">
        <v>5843989</v>
      </c>
    </row>
    <row r="231" spans="1:14" s="143" customFormat="1" x14ac:dyDescent="0.25">
      <c r="A231" s="143" t="s">
        <v>290</v>
      </c>
      <c r="B231" s="143" t="s">
        <v>152</v>
      </c>
      <c r="C231" s="143" t="s">
        <v>153</v>
      </c>
      <c r="D231" s="143" t="s">
        <v>69</v>
      </c>
      <c r="E231" s="257">
        <v>83546141</v>
      </c>
      <c r="F231" s="257">
        <v>83546141</v>
      </c>
      <c r="G231" s="257">
        <v>20886535</v>
      </c>
      <c r="H231" s="257">
        <v>0</v>
      </c>
      <c r="I231" s="257">
        <v>15042546</v>
      </c>
      <c r="J231" s="257">
        <v>0</v>
      </c>
      <c r="K231" s="257">
        <v>0</v>
      </c>
      <c r="L231" s="257">
        <v>0</v>
      </c>
      <c r="M231" s="257">
        <v>68503595</v>
      </c>
      <c r="N231" s="257">
        <v>5843989</v>
      </c>
    </row>
    <row r="232" spans="1:14" s="143" customFormat="1" x14ac:dyDescent="0.25">
      <c r="A232" s="143" t="s">
        <v>290</v>
      </c>
      <c r="B232" s="143" t="s">
        <v>154</v>
      </c>
      <c r="C232" s="143" t="s">
        <v>155</v>
      </c>
      <c r="D232" s="143" t="s">
        <v>69</v>
      </c>
      <c r="E232" s="257">
        <v>0</v>
      </c>
      <c r="F232" s="257">
        <v>0</v>
      </c>
      <c r="G232" s="257">
        <v>0</v>
      </c>
      <c r="H232" s="257">
        <v>0</v>
      </c>
      <c r="I232" s="257">
        <v>0</v>
      </c>
      <c r="J232" s="257">
        <v>0</v>
      </c>
      <c r="K232" s="257">
        <v>0</v>
      </c>
      <c r="L232" s="257">
        <v>0</v>
      </c>
      <c r="M232" s="257">
        <v>0</v>
      </c>
      <c r="N232" s="257">
        <v>0</v>
      </c>
    </row>
    <row r="233" spans="1:14" s="143" customFormat="1" x14ac:dyDescent="0.25">
      <c r="A233" s="143" t="s">
        <v>290</v>
      </c>
      <c r="B233" s="143" t="s">
        <v>156</v>
      </c>
      <c r="C233" s="143" t="s">
        <v>157</v>
      </c>
      <c r="D233" s="143" t="s">
        <v>69</v>
      </c>
      <c r="E233" s="257">
        <v>0</v>
      </c>
      <c r="F233" s="257">
        <v>0</v>
      </c>
      <c r="G233" s="257">
        <v>0</v>
      </c>
      <c r="H233" s="257">
        <v>0</v>
      </c>
      <c r="I233" s="257">
        <v>0</v>
      </c>
      <c r="J233" s="257">
        <v>0</v>
      </c>
      <c r="K233" s="257">
        <v>0</v>
      </c>
      <c r="L233" s="257">
        <v>0</v>
      </c>
      <c r="M233" s="257">
        <v>0</v>
      </c>
      <c r="N233" s="257">
        <v>0</v>
      </c>
    </row>
    <row r="234" spans="1:14" s="143" customFormat="1" x14ac:dyDescent="0.25">
      <c r="A234" s="143" t="s">
        <v>290</v>
      </c>
      <c r="B234" s="143" t="s">
        <v>162</v>
      </c>
      <c r="C234" s="143" t="s">
        <v>163</v>
      </c>
      <c r="D234" s="143" t="s">
        <v>69</v>
      </c>
      <c r="E234" s="257">
        <v>89480793</v>
      </c>
      <c r="F234" s="257">
        <v>89480793</v>
      </c>
      <c r="G234" s="257">
        <v>34370198</v>
      </c>
      <c r="H234" s="257">
        <v>0</v>
      </c>
      <c r="I234" s="257">
        <v>20229846.420000002</v>
      </c>
      <c r="J234" s="257">
        <v>644431.88</v>
      </c>
      <c r="K234" s="257">
        <v>2845380</v>
      </c>
      <c r="L234" s="257">
        <v>845520</v>
      </c>
      <c r="M234" s="257">
        <v>65761134.700000003</v>
      </c>
      <c r="N234" s="257">
        <v>10650539.699999999</v>
      </c>
    </row>
    <row r="235" spans="1:14" s="143" customFormat="1" x14ac:dyDescent="0.25">
      <c r="A235" s="143" t="s">
        <v>290</v>
      </c>
      <c r="B235" s="143" t="s">
        <v>310</v>
      </c>
      <c r="C235" s="143" t="s">
        <v>311</v>
      </c>
      <c r="D235" s="143" t="s">
        <v>69</v>
      </c>
      <c r="E235" s="257">
        <v>13000000</v>
      </c>
      <c r="F235" s="257">
        <v>13000000</v>
      </c>
      <c r="G235" s="257">
        <v>4750000</v>
      </c>
      <c r="H235" s="257">
        <v>0</v>
      </c>
      <c r="I235" s="257">
        <v>3311000</v>
      </c>
      <c r="J235" s="257">
        <v>0</v>
      </c>
      <c r="K235" s="257">
        <v>1189860</v>
      </c>
      <c r="L235" s="257">
        <v>0</v>
      </c>
      <c r="M235" s="257">
        <v>8499140</v>
      </c>
      <c r="N235" s="257">
        <v>249140</v>
      </c>
    </row>
    <row r="236" spans="1:14" s="143" customFormat="1" x14ac:dyDescent="0.25">
      <c r="A236" s="143" t="s">
        <v>290</v>
      </c>
      <c r="B236" s="143" t="s">
        <v>164</v>
      </c>
      <c r="C236" s="143" t="s">
        <v>165</v>
      </c>
      <c r="D236" s="143" t="s">
        <v>69</v>
      </c>
      <c r="E236" s="257">
        <v>1918000</v>
      </c>
      <c r="F236" s="257">
        <v>1918000</v>
      </c>
      <c r="G236" s="257">
        <v>879500</v>
      </c>
      <c r="H236" s="257">
        <v>0</v>
      </c>
      <c r="I236" s="257">
        <v>818856</v>
      </c>
      <c r="J236" s="257">
        <v>0</v>
      </c>
      <c r="K236" s="257">
        <v>0</v>
      </c>
      <c r="L236" s="257">
        <v>0</v>
      </c>
      <c r="M236" s="257">
        <v>1099144</v>
      </c>
      <c r="N236" s="257">
        <v>60644</v>
      </c>
    </row>
    <row r="237" spans="1:14" s="143" customFormat="1" x14ac:dyDescent="0.25">
      <c r="A237" s="143" t="s">
        <v>290</v>
      </c>
      <c r="B237" s="143" t="s">
        <v>166</v>
      </c>
      <c r="C237" s="143" t="s">
        <v>167</v>
      </c>
      <c r="D237" s="143" t="s">
        <v>69</v>
      </c>
      <c r="E237" s="257">
        <v>25420000</v>
      </c>
      <c r="F237" s="257">
        <v>25420000</v>
      </c>
      <c r="G237" s="257">
        <v>17455000</v>
      </c>
      <c r="H237" s="257">
        <v>0</v>
      </c>
      <c r="I237" s="257">
        <v>10406536</v>
      </c>
      <c r="J237" s="257">
        <v>378000</v>
      </c>
      <c r="K237" s="257">
        <v>35520</v>
      </c>
      <c r="L237" s="257">
        <v>35520</v>
      </c>
      <c r="M237" s="257">
        <v>14599944</v>
      </c>
      <c r="N237" s="257">
        <v>6634944</v>
      </c>
    </row>
    <row r="238" spans="1:14" s="143" customFormat="1" x14ac:dyDescent="0.25">
      <c r="A238" s="143" t="s">
        <v>290</v>
      </c>
      <c r="B238" s="143" t="s">
        <v>312</v>
      </c>
      <c r="C238" s="143" t="s">
        <v>313</v>
      </c>
      <c r="D238" s="143" t="s">
        <v>69</v>
      </c>
      <c r="E238" s="257">
        <v>7181770</v>
      </c>
      <c r="F238" s="257">
        <v>7181770</v>
      </c>
      <c r="G238" s="257">
        <v>1795442</v>
      </c>
      <c r="H238" s="257">
        <v>0</v>
      </c>
      <c r="I238" s="257">
        <v>1745263.68</v>
      </c>
      <c r="J238" s="257">
        <v>0</v>
      </c>
      <c r="K238" s="257">
        <v>0</v>
      </c>
      <c r="L238" s="257">
        <v>0</v>
      </c>
      <c r="M238" s="257">
        <v>5436506.3200000003</v>
      </c>
      <c r="N238" s="257">
        <v>50178.32</v>
      </c>
    </row>
    <row r="239" spans="1:14" s="143" customFormat="1" x14ac:dyDescent="0.25">
      <c r="A239" s="143" t="s">
        <v>290</v>
      </c>
      <c r="B239" s="143" t="s">
        <v>168</v>
      </c>
      <c r="C239" s="143" t="s">
        <v>169</v>
      </c>
      <c r="D239" s="143" t="s">
        <v>69</v>
      </c>
      <c r="E239" s="257">
        <v>8196286</v>
      </c>
      <c r="F239" s="257">
        <v>8196286</v>
      </c>
      <c r="G239" s="257">
        <v>2049072</v>
      </c>
      <c r="H239" s="257">
        <v>0</v>
      </c>
      <c r="I239" s="257">
        <v>1460692.16</v>
      </c>
      <c r="J239" s="257">
        <v>60000</v>
      </c>
      <c r="K239" s="257">
        <v>0</v>
      </c>
      <c r="L239" s="257">
        <v>0</v>
      </c>
      <c r="M239" s="257">
        <v>6675593.8399999999</v>
      </c>
      <c r="N239" s="257">
        <v>528379.84</v>
      </c>
    </row>
    <row r="240" spans="1:14" s="143" customFormat="1" x14ac:dyDescent="0.25">
      <c r="A240" s="143" t="s">
        <v>290</v>
      </c>
      <c r="B240" s="143" t="s">
        <v>170</v>
      </c>
      <c r="C240" s="143" t="s">
        <v>171</v>
      </c>
      <c r="D240" s="143" t="s">
        <v>69</v>
      </c>
      <c r="E240" s="257">
        <v>28160737</v>
      </c>
      <c r="F240" s="257">
        <v>28160737</v>
      </c>
      <c r="G240" s="257">
        <v>6040184</v>
      </c>
      <c r="H240" s="257">
        <v>0</v>
      </c>
      <c r="I240" s="257">
        <v>1862580.6</v>
      </c>
      <c r="J240" s="257">
        <v>206431.88</v>
      </c>
      <c r="K240" s="257">
        <v>1620000</v>
      </c>
      <c r="L240" s="257">
        <v>810000</v>
      </c>
      <c r="M240" s="257">
        <v>24471724.52</v>
      </c>
      <c r="N240" s="257">
        <v>2351171.52</v>
      </c>
    </row>
    <row r="241" spans="1:14" s="143" customFormat="1" x14ac:dyDescent="0.25">
      <c r="A241" s="143" t="s">
        <v>290</v>
      </c>
      <c r="B241" s="143" t="s">
        <v>172</v>
      </c>
      <c r="C241" s="143" t="s">
        <v>173</v>
      </c>
      <c r="D241" s="143" t="s">
        <v>69</v>
      </c>
      <c r="E241" s="257">
        <v>5604000</v>
      </c>
      <c r="F241" s="257">
        <v>5604000</v>
      </c>
      <c r="G241" s="257">
        <v>1401000</v>
      </c>
      <c r="H241" s="257">
        <v>0</v>
      </c>
      <c r="I241" s="257">
        <v>624917.98</v>
      </c>
      <c r="J241" s="257">
        <v>0</v>
      </c>
      <c r="K241" s="257">
        <v>0</v>
      </c>
      <c r="L241" s="257">
        <v>0</v>
      </c>
      <c r="M241" s="257">
        <v>4979082.0199999996</v>
      </c>
      <c r="N241" s="257">
        <v>776082.02</v>
      </c>
    </row>
    <row r="242" spans="1:14" s="143" customFormat="1" x14ac:dyDescent="0.25">
      <c r="A242" s="143" t="s">
        <v>290</v>
      </c>
      <c r="B242" s="143" t="s">
        <v>174</v>
      </c>
      <c r="C242" s="143" t="s">
        <v>175</v>
      </c>
      <c r="D242" s="143" t="s">
        <v>69</v>
      </c>
      <c r="E242" s="257">
        <v>1340000</v>
      </c>
      <c r="F242" s="257">
        <v>1340000</v>
      </c>
      <c r="G242" s="257">
        <v>935000</v>
      </c>
      <c r="H242" s="257">
        <v>0</v>
      </c>
      <c r="I242" s="257">
        <v>877363</v>
      </c>
      <c r="J242" s="257">
        <v>0</v>
      </c>
      <c r="K242" s="257">
        <v>0</v>
      </c>
      <c r="L242" s="257">
        <v>0</v>
      </c>
      <c r="M242" s="257">
        <v>462637</v>
      </c>
      <c r="N242" s="257">
        <v>57637</v>
      </c>
    </row>
    <row r="243" spans="1:14" s="143" customFormat="1" x14ac:dyDescent="0.25">
      <c r="A243" s="143" t="s">
        <v>290</v>
      </c>
      <c r="B243" s="143" t="s">
        <v>176</v>
      </c>
      <c r="C243" s="143" t="s">
        <v>177</v>
      </c>
      <c r="D243" s="143" t="s">
        <v>69</v>
      </c>
      <c r="E243" s="257">
        <v>1340000</v>
      </c>
      <c r="F243" s="257">
        <v>1340000</v>
      </c>
      <c r="G243" s="257">
        <v>935000</v>
      </c>
      <c r="H243" s="257">
        <v>0</v>
      </c>
      <c r="I243" s="257">
        <v>877363</v>
      </c>
      <c r="J243" s="257">
        <v>0</v>
      </c>
      <c r="K243" s="257">
        <v>0</v>
      </c>
      <c r="L243" s="257">
        <v>0</v>
      </c>
      <c r="M243" s="257">
        <v>462637</v>
      </c>
      <c r="N243" s="257">
        <v>57637</v>
      </c>
    </row>
    <row r="244" spans="1:14" s="143" customFormat="1" x14ac:dyDescent="0.25">
      <c r="A244" s="143" t="s">
        <v>290</v>
      </c>
      <c r="B244" s="143" t="s">
        <v>178</v>
      </c>
      <c r="C244" s="143" t="s">
        <v>179</v>
      </c>
      <c r="D244" s="143" t="s">
        <v>69</v>
      </c>
      <c r="E244" s="257">
        <v>2150000</v>
      </c>
      <c r="F244" s="257">
        <v>2150000</v>
      </c>
      <c r="G244" s="257">
        <v>637500</v>
      </c>
      <c r="H244" s="257">
        <v>0</v>
      </c>
      <c r="I244" s="257">
        <v>113207.78</v>
      </c>
      <c r="J244" s="257">
        <v>0</v>
      </c>
      <c r="K244" s="257">
        <v>0</v>
      </c>
      <c r="L244" s="257">
        <v>0</v>
      </c>
      <c r="M244" s="257">
        <v>2036792.22</v>
      </c>
      <c r="N244" s="257">
        <v>524292.22</v>
      </c>
    </row>
    <row r="245" spans="1:14" s="143" customFormat="1" x14ac:dyDescent="0.25">
      <c r="A245" s="143" t="s">
        <v>290</v>
      </c>
      <c r="B245" s="143" t="s">
        <v>180</v>
      </c>
      <c r="C245" s="143" t="s">
        <v>181</v>
      </c>
      <c r="D245" s="143" t="s">
        <v>69</v>
      </c>
      <c r="E245" s="257">
        <v>150000</v>
      </c>
      <c r="F245" s="257">
        <v>150000</v>
      </c>
      <c r="G245" s="257">
        <v>137500</v>
      </c>
      <c r="H245" s="257">
        <v>0</v>
      </c>
      <c r="I245" s="257">
        <v>113207.78</v>
      </c>
      <c r="J245" s="257">
        <v>0</v>
      </c>
      <c r="K245" s="257">
        <v>0</v>
      </c>
      <c r="L245" s="257">
        <v>0</v>
      </c>
      <c r="M245" s="257">
        <v>36792.22</v>
      </c>
      <c r="N245" s="257">
        <v>24292.22</v>
      </c>
    </row>
    <row r="246" spans="1:14" s="143" customFormat="1" x14ac:dyDescent="0.25">
      <c r="A246" s="143" t="s">
        <v>290</v>
      </c>
      <c r="B246" s="143" t="s">
        <v>182</v>
      </c>
      <c r="C246" s="143" t="s">
        <v>183</v>
      </c>
      <c r="D246" s="143" t="s">
        <v>69</v>
      </c>
      <c r="E246" s="257">
        <v>2000000</v>
      </c>
      <c r="F246" s="257">
        <v>2000000</v>
      </c>
      <c r="G246" s="257">
        <v>500000</v>
      </c>
      <c r="H246" s="257">
        <v>0</v>
      </c>
      <c r="I246" s="257">
        <v>0</v>
      </c>
      <c r="J246" s="257">
        <v>0</v>
      </c>
      <c r="K246" s="257">
        <v>0</v>
      </c>
      <c r="L246" s="257">
        <v>0</v>
      </c>
      <c r="M246" s="257">
        <v>2000000</v>
      </c>
      <c r="N246" s="257">
        <v>500000</v>
      </c>
    </row>
    <row r="247" spans="1:14" s="143" customFormat="1" x14ac:dyDescent="0.25">
      <c r="A247" s="143" t="s">
        <v>290</v>
      </c>
      <c r="B247" s="143" t="s">
        <v>184</v>
      </c>
      <c r="C247" s="143" t="s">
        <v>185</v>
      </c>
      <c r="D247" s="143" t="s">
        <v>69</v>
      </c>
      <c r="E247" s="257">
        <v>65233793</v>
      </c>
      <c r="F247" s="257">
        <v>65233793</v>
      </c>
      <c r="G247" s="257">
        <v>13358448</v>
      </c>
      <c r="H247" s="257">
        <v>0</v>
      </c>
      <c r="I247" s="257">
        <v>1663632.21</v>
      </c>
      <c r="J247" s="257">
        <v>0</v>
      </c>
      <c r="K247" s="257">
        <v>2729552.79</v>
      </c>
      <c r="L247" s="257">
        <v>2729552.79</v>
      </c>
      <c r="M247" s="257">
        <v>60840608</v>
      </c>
      <c r="N247" s="257">
        <v>8965263</v>
      </c>
    </row>
    <row r="248" spans="1:14" s="143" customFormat="1" x14ac:dyDescent="0.25">
      <c r="A248" s="143" t="s">
        <v>290</v>
      </c>
      <c r="B248" s="143" t="s">
        <v>186</v>
      </c>
      <c r="C248" s="143" t="s">
        <v>187</v>
      </c>
      <c r="D248" s="143" t="s">
        <v>69</v>
      </c>
      <c r="E248" s="257">
        <v>34706100</v>
      </c>
      <c r="F248" s="257">
        <v>34706100</v>
      </c>
      <c r="G248" s="257">
        <v>8676525</v>
      </c>
      <c r="H248" s="257">
        <v>0</v>
      </c>
      <c r="I248" s="257">
        <v>1354917.21</v>
      </c>
      <c r="J248" s="257">
        <v>0</v>
      </c>
      <c r="K248" s="257">
        <v>1941152.79</v>
      </c>
      <c r="L248" s="257">
        <v>1941152.79</v>
      </c>
      <c r="M248" s="257">
        <v>31410030</v>
      </c>
      <c r="N248" s="257">
        <v>5380455</v>
      </c>
    </row>
    <row r="249" spans="1:14" s="143" customFormat="1" x14ac:dyDescent="0.25">
      <c r="A249" s="143" t="s">
        <v>290</v>
      </c>
      <c r="B249" s="143" t="s">
        <v>188</v>
      </c>
      <c r="C249" s="143" t="s">
        <v>189</v>
      </c>
      <c r="D249" s="143" t="s">
        <v>69</v>
      </c>
      <c r="E249" s="257">
        <v>26298967</v>
      </c>
      <c r="F249" s="257">
        <v>26298967</v>
      </c>
      <c r="G249" s="257">
        <v>6574742</v>
      </c>
      <c r="H249" s="257">
        <v>0</v>
      </c>
      <c r="I249" s="257">
        <v>1354917.21</v>
      </c>
      <c r="J249" s="257">
        <v>0</v>
      </c>
      <c r="K249" s="257">
        <v>1941152.79</v>
      </c>
      <c r="L249" s="257">
        <v>1941152.79</v>
      </c>
      <c r="M249" s="257">
        <v>23002897</v>
      </c>
      <c r="N249" s="257">
        <v>3278672</v>
      </c>
    </row>
    <row r="250" spans="1:14" s="143" customFormat="1" x14ac:dyDescent="0.25">
      <c r="A250" s="143" t="s">
        <v>290</v>
      </c>
      <c r="B250" s="143" t="s">
        <v>192</v>
      </c>
      <c r="C250" s="143" t="s">
        <v>193</v>
      </c>
      <c r="D250" s="143" t="s">
        <v>69</v>
      </c>
      <c r="E250" s="257">
        <v>8102133</v>
      </c>
      <c r="F250" s="257">
        <v>8102133</v>
      </c>
      <c r="G250" s="257">
        <v>2025533</v>
      </c>
      <c r="H250" s="257">
        <v>0</v>
      </c>
      <c r="I250" s="257">
        <v>0</v>
      </c>
      <c r="J250" s="257">
        <v>0</v>
      </c>
      <c r="K250" s="257">
        <v>0</v>
      </c>
      <c r="L250" s="257">
        <v>0</v>
      </c>
      <c r="M250" s="257">
        <v>8102133</v>
      </c>
      <c r="N250" s="257">
        <v>2025533</v>
      </c>
    </row>
    <row r="251" spans="1:14" s="143" customFormat="1" x14ac:dyDescent="0.25">
      <c r="A251" s="143" t="s">
        <v>290</v>
      </c>
      <c r="B251" s="143" t="s">
        <v>194</v>
      </c>
      <c r="C251" s="143" t="s">
        <v>195</v>
      </c>
      <c r="D251" s="143" t="s">
        <v>69</v>
      </c>
      <c r="E251" s="257">
        <v>305000</v>
      </c>
      <c r="F251" s="257">
        <v>305000</v>
      </c>
      <c r="G251" s="257">
        <v>76250</v>
      </c>
      <c r="H251" s="257">
        <v>0</v>
      </c>
      <c r="I251" s="257">
        <v>0</v>
      </c>
      <c r="J251" s="257">
        <v>0</v>
      </c>
      <c r="K251" s="257">
        <v>0</v>
      </c>
      <c r="L251" s="257">
        <v>0</v>
      </c>
      <c r="M251" s="257">
        <v>305000</v>
      </c>
      <c r="N251" s="257">
        <v>76250</v>
      </c>
    </row>
    <row r="252" spans="1:14" s="143" customFormat="1" x14ac:dyDescent="0.25">
      <c r="A252" s="143" t="s">
        <v>290</v>
      </c>
      <c r="B252" s="143" t="s">
        <v>200</v>
      </c>
      <c r="C252" s="143" t="s">
        <v>201</v>
      </c>
      <c r="D252" s="143" t="s">
        <v>69</v>
      </c>
      <c r="E252" s="257">
        <v>2978000</v>
      </c>
      <c r="F252" s="257">
        <v>2978000</v>
      </c>
      <c r="G252" s="257">
        <v>744500</v>
      </c>
      <c r="H252" s="257">
        <v>0</v>
      </c>
      <c r="I252" s="257">
        <v>0</v>
      </c>
      <c r="J252" s="257">
        <v>0</v>
      </c>
      <c r="K252" s="257">
        <v>0</v>
      </c>
      <c r="L252" s="257">
        <v>0</v>
      </c>
      <c r="M252" s="257">
        <v>2978000</v>
      </c>
      <c r="N252" s="257">
        <v>744500</v>
      </c>
    </row>
    <row r="253" spans="1:14" s="143" customFormat="1" x14ac:dyDescent="0.25">
      <c r="A253" s="143" t="s">
        <v>290</v>
      </c>
      <c r="B253" s="143" t="s">
        <v>314</v>
      </c>
      <c r="C253" s="143" t="s">
        <v>315</v>
      </c>
      <c r="D253" s="143" t="s">
        <v>69</v>
      </c>
      <c r="E253" s="257">
        <v>830000</v>
      </c>
      <c r="F253" s="257">
        <v>830000</v>
      </c>
      <c r="G253" s="257">
        <v>207500</v>
      </c>
      <c r="H253" s="257">
        <v>0</v>
      </c>
      <c r="I253" s="257">
        <v>0</v>
      </c>
      <c r="J253" s="257">
        <v>0</v>
      </c>
      <c r="K253" s="257">
        <v>0</v>
      </c>
      <c r="L253" s="257">
        <v>0</v>
      </c>
      <c r="M253" s="257">
        <v>830000</v>
      </c>
      <c r="N253" s="257">
        <v>207500</v>
      </c>
    </row>
    <row r="254" spans="1:14" s="143" customFormat="1" x14ac:dyDescent="0.25">
      <c r="A254" s="143" t="s">
        <v>290</v>
      </c>
      <c r="B254" s="143" t="s">
        <v>316</v>
      </c>
      <c r="C254" s="143" t="s">
        <v>317</v>
      </c>
      <c r="D254" s="143" t="s">
        <v>69</v>
      </c>
      <c r="E254" s="257">
        <v>67000</v>
      </c>
      <c r="F254" s="257">
        <v>67000</v>
      </c>
      <c r="G254" s="257">
        <v>16750</v>
      </c>
      <c r="H254" s="257">
        <v>0</v>
      </c>
      <c r="I254" s="257">
        <v>0</v>
      </c>
      <c r="J254" s="257">
        <v>0</v>
      </c>
      <c r="K254" s="257">
        <v>0</v>
      </c>
      <c r="L254" s="257">
        <v>0</v>
      </c>
      <c r="M254" s="257">
        <v>67000</v>
      </c>
      <c r="N254" s="257">
        <v>16750</v>
      </c>
    </row>
    <row r="255" spans="1:14" s="143" customFormat="1" x14ac:dyDescent="0.25">
      <c r="A255" s="143" t="s">
        <v>290</v>
      </c>
      <c r="B255" s="143" t="s">
        <v>318</v>
      </c>
      <c r="C255" s="143" t="s">
        <v>319</v>
      </c>
      <c r="D255" s="143" t="s">
        <v>69</v>
      </c>
      <c r="E255" s="257">
        <v>99000</v>
      </c>
      <c r="F255" s="257">
        <v>99000</v>
      </c>
      <c r="G255" s="257">
        <v>24750</v>
      </c>
      <c r="H255" s="257">
        <v>0</v>
      </c>
      <c r="I255" s="257">
        <v>0</v>
      </c>
      <c r="J255" s="257">
        <v>0</v>
      </c>
      <c r="K255" s="257">
        <v>0</v>
      </c>
      <c r="L255" s="257">
        <v>0</v>
      </c>
      <c r="M255" s="257">
        <v>99000</v>
      </c>
      <c r="N255" s="257">
        <v>24750</v>
      </c>
    </row>
    <row r="256" spans="1:14" s="143" customFormat="1" x14ac:dyDescent="0.25">
      <c r="A256" s="143" t="s">
        <v>290</v>
      </c>
      <c r="B256" s="143" t="s">
        <v>202</v>
      </c>
      <c r="C256" s="143" t="s">
        <v>203</v>
      </c>
      <c r="D256" s="143" t="s">
        <v>69</v>
      </c>
      <c r="E256" s="257">
        <v>1345000</v>
      </c>
      <c r="F256" s="257">
        <v>1345000</v>
      </c>
      <c r="G256" s="257">
        <v>336250</v>
      </c>
      <c r="H256" s="257">
        <v>0</v>
      </c>
      <c r="I256" s="257">
        <v>0</v>
      </c>
      <c r="J256" s="257">
        <v>0</v>
      </c>
      <c r="K256" s="257">
        <v>0</v>
      </c>
      <c r="L256" s="257">
        <v>0</v>
      </c>
      <c r="M256" s="257">
        <v>1345000</v>
      </c>
      <c r="N256" s="257">
        <v>336250</v>
      </c>
    </row>
    <row r="257" spans="1:14" s="143" customFormat="1" x14ac:dyDescent="0.25">
      <c r="A257" s="143" t="s">
        <v>290</v>
      </c>
      <c r="B257" s="143" t="s">
        <v>320</v>
      </c>
      <c r="C257" s="143" t="s">
        <v>321</v>
      </c>
      <c r="D257" s="143" t="s">
        <v>69</v>
      </c>
      <c r="E257" s="257">
        <v>40000</v>
      </c>
      <c r="F257" s="257">
        <v>40000</v>
      </c>
      <c r="G257" s="257">
        <v>10000</v>
      </c>
      <c r="H257" s="257">
        <v>0</v>
      </c>
      <c r="I257" s="257">
        <v>0</v>
      </c>
      <c r="J257" s="257">
        <v>0</v>
      </c>
      <c r="K257" s="257">
        <v>0</v>
      </c>
      <c r="L257" s="257">
        <v>0</v>
      </c>
      <c r="M257" s="257">
        <v>40000</v>
      </c>
      <c r="N257" s="257">
        <v>10000</v>
      </c>
    </row>
    <row r="258" spans="1:14" s="143" customFormat="1" x14ac:dyDescent="0.25">
      <c r="A258" s="143" t="s">
        <v>290</v>
      </c>
      <c r="B258" s="143" t="s">
        <v>204</v>
      </c>
      <c r="C258" s="143" t="s">
        <v>205</v>
      </c>
      <c r="D258" s="143" t="s">
        <v>69</v>
      </c>
      <c r="E258" s="257">
        <v>198000</v>
      </c>
      <c r="F258" s="257">
        <v>198000</v>
      </c>
      <c r="G258" s="257">
        <v>49500</v>
      </c>
      <c r="H258" s="257">
        <v>0</v>
      </c>
      <c r="I258" s="257">
        <v>0</v>
      </c>
      <c r="J258" s="257">
        <v>0</v>
      </c>
      <c r="K258" s="257">
        <v>0</v>
      </c>
      <c r="L258" s="257">
        <v>0</v>
      </c>
      <c r="M258" s="257">
        <v>198000</v>
      </c>
      <c r="N258" s="257">
        <v>49500</v>
      </c>
    </row>
    <row r="259" spans="1:14" s="143" customFormat="1" x14ac:dyDescent="0.25">
      <c r="A259" s="143" t="s">
        <v>290</v>
      </c>
      <c r="B259" s="143" t="s">
        <v>322</v>
      </c>
      <c r="C259" s="143" t="s">
        <v>323</v>
      </c>
      <c r="D259" s="143" t="s">
        <v>69</v>
      </c>
      <c r="E259" s="257">
        <v>399000</v>
      </c>
      <c r="F259" s="257">
        <v>399000</v>
      </c>
      <c r="G259" s="257">
        <v>99750</v>
      </c>
      <c r="H259" s="257">
        <v>0</v>
      </c>
      <c r="I259" s="257">
        <v>0</v>
      </c>
      <c r="J259" s="257">
        <v>0</v>
      </c>
      <c r="K259" s="257">
        <v>0</v>
      </c>
      <c r="L259" s="257">
        <v>0</v>
      </c>
      <c r="M259" s="257">
        <v>399000</v>
      </c>
      <c r="N259" s="257">
        <v>99750</v>
      </c>
    </row>
    <row r="260" spans="1:14" s="143" customFormat="1" x14ac:dyDescent="0.25">
      <c r="A260" s="143" t="s">
        <v>290</v>
      </c>
      <c r="B260" s="143" t="s">
        <v>206</v>
      </c>
      <c r="C260" s="143" t="s">
        <v>207</v>
      </c>
      <c r="D260" s="143" t="s">
        <v>69</v>
      </c>
      <c r="E260" s="257">
        <v>3047000</v>
      </c>
      <c r="F260" s="257">
        <v>3047000</v>
      </c>
      <c r="G260" s="257">
        <v>761750</v>
      </c>
      <c r="H260" s="257">
        <v>0</v>
      </c>
      <c r="I260" s="257">
        <v>0</v>
      </c>
      <c r="J260" s="257">
        <v>0</v>
      </c>
      <c r="K260" s="257">
        <v>0</v>
      </c>
      <c r="L260" s="257">
        <v>0</v>
      </c>
      <c r="M260" s="257">
        <v>3047000</v>
      </c>
      <c r="N260" s="257">
        <v>761750</v>
      </c>
    </row>
    <row r="261" spans="1:14" s="143" customFormat="1" x14ac:dyDescent="0.25">
      <c r="A261" s="143" t="s">
        <v>290</v>
      </c>
      <c r="B261" s="143" t="s">
        <v>208</v>
      </c>
      <c r="C261" s="143" t="s">
        <v>209</v>
      </c>
      <c r="D261" s="143" t="s">
        <v>69</v>
      </c>
      <c r="E261" s="257">
        <v>251000</v>
      </c>
      <c r="F261" s="257">
        <v>251000</v>
      </c>
      <c r="G261" s="257">
        <v>62750</v>
      </c>
      <c r="H261" s="257">
        <v>0</v>
      </c>
      <c r="I261" s="257">
        <v>0</v>
      </c>
      <c r="J261" s="257">
        <v>0</v>
      </c>
      <c r="K261" s="257">
        <v>0</v>
      </c>
      <c r="L261" s="257">
        <v>0</v>
      </c>
      <c r="M261" s="257">
        <v>251000</v>
      </c>
      <c r="N261" s="257">
        <v>62750</v>
      </c>
    </row>
    <row r="262" spans="1:14" s="143" customFormat="1" x14ac:dyDescent="0.25">
      <c r="A262" s="143" t="s">
        <v>290</v>
      </c>
      <c r="B262" s="143" t="s">
        <v>210</v>
      </c>
      <c r="C262" s="143" t="s">
        <v>211</v>
      </c>
      <c r="D262" s="143" t="s">
        <v>69</v>
      </c>
      <c r="E262" s="257">
        <v>2796000</v>
      </c>
      <c r="F262" s="257">
        <v>2796000</v>
      </c>
      <c r="G262" s="257">
        <v>699000</v>
      </c>
      <c r="H262" s="257">
        <v>0</v>
      </c>
      <c r="I262" s="257">
        <v>0</v>
      </c>
      <c r="J262" s="257">
        <v>0</v>
      </c>
      <c r="K262" s="257">
        <v>0</v>
      </c>
      <c r="L262" s="257">
        <v>0</v>
      </c>
      <c r="M262" s="257">
        <v>2796000</v>
      </c>
      <c r="N262" s="257">
        <v>699000</v>
      </c>
    </row>
    <row r="263" spans="1:14" s="143" customFormat="1" x14ac:dyDescent="0.25">
      <c r="A263" s="143" t="s">
        <v>290</v>
      </c>
      <c r="B263" s="143" t="s">
        <v>212</v>
      </c>
      <c r="C263" s="143" t="s">
        <v>213</v>
      </c>
      <c r="D263" s="143" t="s">
        <v>69</v>
      </c>
      <c r="E263" s="257">
        <v>24502693</v>
      </c>
      <c r="F263" s="257">
        <v>24502693</v>
      </c>
      <c r="G263" s="257">
        <v>3175673</v>
      </c>
      <c r="H263" s="257">
        <v>0</v>
      </c>
      <c r="I263" s="257">
        <v>308715</v>
      </c>
      <c r="J263" s="257">
        <v>0</v>
      </c>
      <c r="K263" s="257">
        <v>788400</v>
      </c>
      <c r="L263" s="257">
        <v>788400</v>
      </c>
      <c r="M263" s="257">
        <v>23405578</v>
      </c>
      <c r="N263" s="257">
        <v>2078558</v>
      </c>
    </row>
    <row r="264" spans="1:14" s="143" customFormat="1" x14ac:dyDescent="0.25">
      <c r="A264" s="143" t="s">
        <v>290</v>
      </c>
      <c r="B264" s="143" t="s">
        <v>214</v>
      </c>
      <c r="C264" s="143" t="s">
        <v>215</v>
      </c>
      <c r="D264" s="143" t="s">
        <v>69</v>
      </c>
      <c r="E264" s="257">
        <v>7116000</v>
      </c>
      <c r="F264" s="257">
        <v>7116000</v>
      </c>
      <c r="G264" s="257">
        <v>1779000</v>
      </c>
      <c r="H264" s="257">
        <v>0</v>
      </c>
      <c r="I264" s="257">
        <v>0</v>
      </c>
      <c r="J264" s="257">
        <v>0</v>
      </c>
      <c r="K264" s="257">
        <v>119000</v>
      </c>
      <c r="L264" s="257">
        <v>119000</v>
      </c>
      <c r="M264" s="257">
        <v>6997000</v>
      </c>
      <c r="N264" s="257">
        <v>1660000</v>
      </c>
    </row>
    <row r="265" spans="1:14" s="143" customFormat="1" x14ac:dyDescent="0.25">
      <c r="A265" s="143" t="s">
        <v>290</v>
      </c>
      <c r="B265" s="143" t="s">
        <v>216</v>
      </c>
      <c r="C265" s="143" t="s">
        <v>217</v>
      </c>
      <c r="D265" s="143" t="s">
        <v>69</v>
      </c>
      <c r="E265" s="257">
        <v>0</v>
      </c>
      <c r="F265" s="257">
        <v>0</v>
      </c>
      <c r="G265" s="257">
        <v>0</v>
      </c>
      <c r="H265" s="257">
        <v>0</v>
      </c>
      <c r="I265" s="257">
        <v>0</v>
      </c>
      <c r="J265" s="257">
        <v>0</v>
      </c>
      <c r="K265" s="257">
        <v>0</v>
      </c>
      <c r="L265" s="257">
        <v>0</v>
      </c>
      <c r="M265" s="257">
        <v>0</v>
      </c>
      <c r="N265" s="257">
        <v>0</v>
      </c>
    </row>
    <row r="266" spans="1:14" s="143" customFormat="1" x14ac:dyDescent="0.25">
      <c r="A266" s="143" t="s">
        <v>290</v>
      </c>
      <c r="B266" s="143" t="s">
        <v>218</v>
      </c>
      <c r="C266" s="143" t="s">
        <v>219</v>
      </c>
      <c r="D266" s="143" t="s">
        <v>69</v>
      </c>
      <c r="E266" s="257">
        <v>15203693</v>
      </c>
      <c r="F266" s="257">
        <v>15203693</v>
      </c>
      <c r="G266" s="257">
        <v>800923</v>
      </c>
      <c r="H266" s="257">
        <v>0</v>
      </c>
      <c r="I266" s="257">
        <v>171375</v>
      </c>
      <c r="J266" s="257">
        <v>0</v>
      </c>
      <c r="K266" s="257">
        <v>278000</v>
      </c>
      <c r="L266" s="257">
        <v>278000</v>
      </c>
      <c r="M266" s="257">
        <v>14754318</v>
      </c>
      <c r="N266" s="257">
        <v>351548</v>
      </c>
    </row>
    <row r="267" spans="1:14" s="143" customFormat="1" x14ac:dyDescent="0.25">
      <c r="A267" s="143" t="s">
        <v>290</v>
      </c>
      <c r="B267" s="143" t="s">
        <v>220</v>
      </c>
      <c r="C267" s="143" t="s">
        <v>221</v>
      </c>
      <c r="D267" s="143" t="s">
        <v>69</v>
      </c>
      <c r="E267" s="257">
        <v>133000</v>
      </c>
      <c r="F267" s="257">
        <v>133000</v>
      </c>
      <c r="G267" s="257">
        <v>33250</v>
      </c>
      <c r="H267" s="257">
        <v>0</v>
      </c>
      <c r="I267" s="257">
        <v>0</v>
      </c>
      <c r="J267" s="257">
        <v>0</v>
      </c>
      <c r="K267" s="257">
        <v>0</v>
      </c>
      <c r="L267" s="257">
        <v>0</v>
      </c>
      <c r="M267" s="257">
        <v>133000</v>
      </c>
      <c r="N267" s="257">
        <v>33250</v>
      </c>
    </row>
    <row r="268" spans="1:14" s="143" customFormat="1" x14ac:dyDescent="0.25">
      <c r="A268" s="143" t="s">
        <v>290</v>
      </c>
      <c r="B268" s="143" t="s">
        <v>222</v>
      </c>
      <c r="C268" s="143" t="s">
        <v>223</v>
      </c>
      <c r="D268" s="143" t="s">
        <v>69</v>
      </c>
      <c r="E268" s="257">
        <v>1356000</v>
      </c>
      <c r="F268" s="257">
        <v>1356000</v>
      </c>
      <c r="G268" s="257">
        <v>389000</v>
      </c>
      <c r="H268" s="257">
        <v>0</v>
      </c>
      <c r="I268" s="257">
        <v>0</v>
      </c>
      <c r="J268" s="257">
        <v>0</v>
      </c>
      <c r="K268" s="257">
        <v>386600</v>
      </c>
      <c r="L268" s="257">
        <v>386600</v>
      </c>
      <c r="M268" s="257">
        <v>969400</v>
      </c>
      <c r="N268" s="257">
        <v>2400</v>
      </c>
    </row>
    <row r="269" spans="1:14" s="143" customFormat="1" x14ac:dyDescent="0.25">
      <c r="A269" s="143" t="s">
        <v>290</v>
      </c>
      <c r="B269" s="143" t="s">
        <v>224</v>
      </c>
      <c r="C269" s="143" t="s">
        <v>225</v>
      </c>
      <c r="D269" s="143" t="s">
        <v>69</v>
      </c>
      <c r="E269" s="257">
        <v>123000</v>
      </c>
      <c r="F269" s="257">
        <v>123000</v>
      </c>
      <c r="G269" s="257">
        <v>30750</v>
      </c>
      <c r="H269" s="257">
        <v>0</v>
      </c>
      <c r="I269" s="257">
        <v>0</v>
      </c>
      <c r="J269" s="257">
        <v>0</v>
      </c>
      <c r="K269" s="257">
        <v>4800</v>
      </c>
      <c r="L269" s="257">
        <v>4800</v>
      </c>
      <c r="M269" s="257">
        <v>118200</v>
      </c>
      <c r="N269" s="257">
        <v>25950</v>
      </c>
    </row>
    <row r="270" spans="1:14" s="143" customFormat="1" x14ac:dyDescent="0.25">
      <c r="A270" s="143" t="s">
        <v>290</v>
      </c>
      <c r="B270" s="143" t="s">
        <v>228</v>
      </c>
      <c r="C270" s="143" t="s">
        <v>229</v>
      </c>
      <c r="D270" s="143" t="s">
        <v>69</v>
      </c>
      <c r="E270" s="257">
        <v>571000</v>
      </c>
      <c r="F270" s="257">
        <v>571000</v>
      </c>
      <c r="G270" s="257">
        <v>142750</v>
      </c>
      <c r="H270" s="257">
        <v>0</v>
      </c>
      <c r="I270" s="257">
        <v>137340</v>
      </c>
      <c r="J270" s="257">
        <v>0</v>
      </c>
      <c r="K270" s="257">
        <v>0</v>
      </c>
      <c r="L270" s="257">
        <v>0</v>
      </c>
      <c r="M270" s="257">
        <v>433660</v>
      </c>
      <c r="N270" s="257">
        <v>5410</v>
      </c>
    </row>
    <row r="271" spans="1:14" s="143" customFormat="1" x14ac:dyDescent="0.25">
      <c r="A271" s="143" t="s">
        <v>290</v>
      </c>
      <c r="B271" s="143" t="s">
        <v>230</v>
      </c>
      <c r="C271" s="143" t="s">
        <v>231</v>
      </c>
      <c r="D271" s="143" t="s">
        <v>85</v>
      </c>
      <c r="E271" s="257">
        <v>47031000</v>
      </c>
      <c r="F271" s="257">
        <v>47031000</v>
      </c>
      <c r="G271" s="257">
        <v>38156767.810000002</v>
      </c>
      <c r="H271" s="257">
        <v>0</v>
      </c>
      <c r="I271" s="257">
        <v>1350982.19</v>
      </c>
      <c r="J271" s="257">
        <v>14853561.460000001</v>
      </c>
      <c r="K271" s="257">
        <v>0</v>
      </c>
      <c r="L271" s="257">
        <v>0</v>
      </c>
      <c r="M271" s="257">
        <v>30826456.350000001</v>
      </c>
      <c r="N271" s="257">
        <v>21952224.16</v>
      </c>
    </row>
    <row r="272" spans="1:14" s="143" customFormat="1" x14ac:dyDescent="0.25">
      <c r="A272" s="143" t="s">
        <v>290</v>
      </c>
      <c r="B272" s="143" t="s">
        <v>232</v>
      </c>
      <c r="C272" s="143" t="s">
        <v>233</v>
      </c>
      <c r="D272" s="143" t="s">
        <v>85</v>
      </c>
      <c r="E272" s="257">
        <v>25000000</v>
      </c>
      <c r="F272" s="257">
        <v>25000000</v>
      </c>
      <c r="G272" s="257">
        <v>16149017.810000001</v>
      </c>
      <c r="H272" s="257">
        <v>0</v>
      </c>
      <c r="I272" s="257">
        <v>0</v>
      </c>
      <c r="J272" s="257">
        <v>14853561.460000001</v>
      </c>
      <c r="K272" s="257">
        <v>0</v>
      </c>
      <c r="L272" s="257">
        <v>0</v>
      </c>
      <c r="M272" s="257">
        <v>10146438.539999999</v>
      </c>
      <c r="N272" s="257">
        <v>1295456.3500000001</v>
      </c>
    </row>
    <row r="273" spans="1:14" s="143" customFormat="1" x14ac:dyDescent="0.25">
      <c r="A273" s="143" t="s">
        <v>290</v>
      </c>
      <c r="B273" s="143" t="s">
        <v>324</v>
      </c>
      <c r="C273" s="143" t="s">
        <v>325</v>
      </c>
      <c r="D273" s="143" t="s">
        <v>85</v>
      </c>
      <c r="E273" s="257">
        <v>15000000</v>
      </c>
      <c r="F273" s="257">
        <v>15000000</v>
      </c>
      <c r="G273" s="257">
        <v>15000000</v>
      </c>
      <c r="H273" s="257">
        <v>0</v>
      </c>
      <c r="I273" s="257">
        <v>0</v>
      </c>
      <c r="J273" s="257">
        <v>14853561.460000001</v>
      </c>
      <c r="K273" s="257">
        <v>0</v>
      </c>
      <c r="L273" s="257">
        <v>0</v>
      </c>
      <c r="M273" s="257">
        <v>146438.54</v>
      </c>
      <c r="N273" s="257">
        <v>146438.54</v>
      </c>
    </row>
    <row r="274" spans="1:14" s="143" customFormat="1" x14ac:dyDescent="0.25">
      <c r="A274" s="143" t="s">
        <v>290</v>
      </c>
      <c r="B274" s="143" t="s">
        <v>236</v>
      </c>
      <c r="C274" s="143" t="s">
        <v>237</v>
      </c>
      <c r="D274" s="143" t="s">
        <v>85</v>
      </c>
      <c r="E274" s="257">
        <v>0</v>
      </c>
      <c r="F274" s="257">
        <v>0</v>
      </c>
      <c r="G274" s="257">
        <v>0</v>
      </c>
      <c r="H274" s="257">
        <v>0</v>
      </c>
      <c r="I274" s="257">
        <v>0</v>
      </c>
      <c r="J274" s="257">
        <v>0</v>
      </c>
      <c r="K274" s="257">
        <v>0</v>
      </c>
      <c r="L274" s="257">
        <v>0</v>
      </c>
      <c r="M274" s="257">
        <v>0</v>
      </c>
      <c r="N274" s="257">
        <v>0</v>
      </c>
    </row>
    <row r="275" spans="1:14" s="143" customFormat="1" x14ac:dyDescent="0.25">
      <c r="A275" s="143" t="s">
        <v>290</v>
      </c>
      <c r="B275" s="143" t="s">
        <v>238</v>
      </c>
      <c r="C275" s="143" t="s">
        <v>239</v>
      </c>
      <c r="D275" s="143" t="s">
        <v>85</v>
      </c>
      <c r="E275" s="257">
        <v>0</v>
      </c>
      <c r="F275" s="257">
        <v>0</v>
      </c>
      <c r="G275" s="257">
        <v>0</v>
      </c>
      <c r="H275" s="257">
        <v>0</v>
      </c>
      <c r="I275" s="257">
        <v>0</v>
      </c>
      <c r="J275" s="257">
        <v>0</v>
      </c>
      <c r="K275" s="257">
        <v>0</v>
      </c>
      <c r="L275" s="257">
        <v>0</v>
      </c>
      <c r="M275" s="257">
        <v>0</v>
      </c>
      <c r="N275" s="257">
        <v>0</v>
      </c>
    </row>
    <row r="276" spans="1:14" s="143" customFormat="1" x14ac:dyDescent="0.25">
      <c r="A276" s="143" t="s">
        <v>290</v>
      </c>
      <c r="B276" s="143" t="s">
        <v>282</v>
      </c>
      <c r="C276" s="143" t="s">
        <v>283</v>
      </c>
      <c r="D276" s="143" t="s">
        <v>85</v>
      </c>
      <c r="E276" s="257">
        <v>10000000</v>
      </c>
      <c r="F276" s="257">
        <v>10000000</v>
      </c>
      <c r="G276" s="257">
        <v>1149017.81</v>
      </c>
      <c r="H276" s="257">
        <v>0</v>
      </c>
      <c r="I276" s="257">
        <v>0</v>
      </c>
      <c r="J276" s="257">
        <v>0</v>
      </c>
      <c r="K276" s="257">
        <v>0</v>
      </c>
      <c r="L276" s="257">
        <v>0</v>
      </c>
      <c r="M276" s="257">
        <v>10000000</v>
      </c>
      <c r="N276" s="257">
        <v>1149017.81</v>
      </c>
    </row>
    <row r="277" spans="1:14" s="143" customFormat="1" x14ac:dyDescent="0.25">
      <c r="A277" s="143" t="s">
        <v>290</v>
      </c>
      <c r="B277" s="143" t="s">
        <v>326</v>
      </c>
      <c r="C277" s="143" t="s">
        <v>327</v>
      </c>
      <c r="D277" s="143" t="s">
        <v>85</v>
      </c>
      <c r="E277" s="257">
        <v>0</v>
      </c>
      <c r="F277" s="257">
        <v>0</v>
      </c>
      <c r="G277" s="257">
        <v>0</v>
      </c>
      <c r="H277" s="257">
        <v>0</v>
      </c>
      <c r="I277" s="257">
        <v>0</v>
      </c>
      <c r="J277" s="257">
        <v>0</v>
      </c>
      <c r="K277" s="257">
        <v>0</v>
      </c>
      <c r="L277" s="257">
        <v>0</v>
      </c>
      <c r="M277" s="257">
        <v>0</v>
      </c>
      <c r="N277" s="257">
        <v>0</v>
      </c>
    </row>
    <row r="278" spans="1:14" s="143" customFormat="1" x14ac:dyDescent="0.25">
      <c r="A278" s="143" t="s">
        <v>290</v>
      </c>
      <c r="B278" s="143" t="s">
        <v>328</v>
      </c>
      <c r="C278" s="143" t="s">
        <v>329</v>
      </c>
      <c r="D278" s="143" t="s">
        <v>85</v>
      </c>
      <c r="E278" s="257">
        <v>0</v>
      </c>
      <c r="F278" s="257">
        <v>0</v>
      </c>
      <c r="G278" s="257">
        <v>0</v>
      </c>
      <c r="H278" s="257">
        <v>0</v>
      </c>
      <c r="I278" s="257">
        <v>1350982.19</v>
      </c>
      <c r="J278" s="257">
        <v>0</v>
      </c>
      <c r="K278" s="257">
        <v>0</v>
      </c>
      <c r="L278" s="257">
        <v>0</v>
      </c>
      <c r="M278" s="257">
        <v>-1350982.19</v>
      </c>
      <c r="N278" s="257">
        <v>-1350982.19</v>
      </c>
    </row>
    <row r="279" spans="1:14" s="143" customFormat="1" x14ac:dyDescent="0.25">
      <c r="A279" s="143" t="s">
        <v>290</v>
      </c>
      <c r="B279" s="143" t="s">
        <v>330</v>
      </c>
      <c r="C279" s="143" t="s">
        <v>331</v>
      </c>
      <c r="D279" s="143" t="s">
        <v>85</v>
      </c>
      <c r="E279" s="257">
        <v>0</v>
      </c>
      <c r="F279" s="257">
        <v>0</v>
      </c>
      <c r="G279" s="257">
        <v>0</v>
      </c>
      <c r="H279" s="257">
        <v>0</v>
      </c>
      <c r="I279" s="257">
        <v>1350982.19</v>
      </c>
      <c r="J279" s="257">
        <v>0</v>
      </c>
      <c r="K279" s="257">
        <v>0</v>
      </c>
      <c r="L279" s="257">
        <v>0</v>
      </c>
      <c r="M279" s="257">
        <v>-1350982.19</v>
      </c>
      <c r="N279" s="257">
        <v>-1350982.19</v>
      </c>
    </row>
    <row r="280" spans="1:14" s="143" customFormat="1" x14ac:dyDescent="0.25">
      <c r="A280" s="143" t="s">
        <v>290</v>
      </c>
      <c r="B280" s="143" t="s">
        <v>244</v>
      </c>
      <c r="C280" s="143" t="s">
        <v>245</v>
      </c>
      <c r="D280" s="143" t="s">
        <v>85</v>
      </c>
      <c r="E280" s="257">
        <v>22031000</v>
      </c>
      <c r="F280" s="257">
        <v>22031000</v>
      </c>
      <c r="G280" s="257">
        <v>22007750</v>
      </c>
      <c r="H280" s="257">
        <v>0</v>
      </c>
      <c r="I280" s="257">
        <v>0</v>
      </c>
      <c r="J280" s="257">
        <v>0</v>
      </c>
      <c r="K280" s="257">
        <v>0</v>
      </c>
      <c r="L280" s="257">
        <v>0</v>
      </c>
      <c r="M280" s="257">
        <v>22031000</v>
      </c>
      <c r="N280" s="257">
        <v>22007750</v>
      </c>
    </row>
    <row r="281" spans="1:14" s="143" customFormat="1" x14ac:dyDescent="0.25">
      <c r="A281" s="143" t="s">
        <v>290</v>
      </c>
      <c r="B281" s="143" t="s">
        <v>246</v>
      </c>
      <c r="C281" s="143" t="s">
        <v>247</v>
      </c>
      <c r="D281" s="143" t="s">
        <v>85</v>
      </c>
      <c r="E281" s="257">
        <v>22031000</v>
      </c>
      <c r="F281" s="257">
        <v>22031000</v>
      </c>
      <c r="G281" s="257">
        <v>22007750</v>
      </c>
      <c r="H281" s="257">
        <v>0</v>
      </c>
      <c r="I281" s="257">
        <v>0</v>
      </c>
      <c r="J281" s="257">
        <v>0</v>
      </c>
      <c r="K281" s="257">
        <v>0</v>
      </c>
      <c r="L281" s="257">
        <v>0</v>
      </c>
      <c r="M281" s="257">
        <v>22031000</v>
      </c>
      <c r="N281" s="257">
        <v>22007750</v>
      </c>
    </row>
    <row r="282" spans="1:14" s="143" customFormat="1" x14ac:dyDescent="0.25">
      <c r="A282" s="143" t="s">
        <v>290</v>
      </c>
      <c r="B282" s="143" t="s">
        <v>248</v>
      </c>
      <c r="C282" s="143" t="s">
        <v>249</v>
      </c>
      <c r="D282" s="143" t="s">
        <v>69</v>
      </c>
      <c r="E282" s="257">
        <v>298129000</v>
      </c>
      <c r="F282" s="257">
        <v>298129000</v>
      </c>
      <c r="G282" s="257">
        <v>151448300</v>
      </c>
      <c r="H282" s="257">
        <v>0</v>
      </c>
      <c r="I282" s="257">
        <v>92849951.909999996</v>
      </c>
      <c r="J282" s="257">
        <v>0</v>
      </c>
      <c r="K282" s="257">
        <v>28342411.09</v>
      </c>
      <c r="L282" s="257">
        <v>28342411.09</v>
      </c>
      <c r="M282" s="257">
        <v>176936637</v>
      </c>
      <c r="N282" s="257">
        <v>30255937</v>
      </c>
    </row>
    <row r="283" spans="1:14" s="143" customFormat="1" x14ac:dyDescent="0.25">
      <c r="A283" s="143" t="s">
        <v>290</v>
      </c>
      <c r="B283" s="143" t="s">
        <v>250</v>
      </c>
      <c r="C283" s="143" t="s">
        <v>251</v>
      </c>
      <c r="D283" s="143" t="s">
        <v>69</v>
      </c>
      <c r="E283" s="257">
        <v>115667000</v>
      </c>
      <c r="F283" s="257">
        <v>115667000</v>
      </c>
      <c r="G283" s="257">
        <v>115667000</v>
      </c>
      <c r="H283" s="257">
        <v>0</v>
      </c>
      <c r="I283" s="257">
        <v>92849951.909999996</v>
      </c>
      <c r="J283" s="257">
        <v>0</v>
      </c>
      <c r="K283" s="257">
        <v>22817048.09</v>
      </c>
      <c r="L283" s="257">
        <v>22817048.09</v>
      </c>
      <c r="M283" s="257">
        <v>0</v>
      </c>
      <c r="N283" s="257">
        <v>0</v>
      </c>
    </row>
    <row r="284" spans="1:14" s="143" customFormat="1" x14ac:dyDescent="0.25">
      <c r="A284" s="143" t="s">
        <v>290</v>
      </c>
      <c r="B284" s="143" t="s">
        <v>332</v>
      </c>
      <c r="C284" s="143" t="s">
        <v>257</v>
      </c>
      <c r="D284" s="143" t="s">
        <v>69</v>
      </c>
      <c r="E284" s="257">
        <v>96260000</v>
      </c>
      <c r="F284" s="257">
        <v>96260000</v>
      </c>
      <c r="G284" s="257">
        <v>96260000</v>
      </c>
      <c r="H284" s="257">
        <v>0</v>
      </c>
      <c r="I284" s="257">
        <v>77271315.689999998</v>
      </c>
      <c r="J284" s="257">
        <v>0</v>
      </c>
      <c r="K284" s="257">
        <v>18988684.309999999</v>
      </c>
      <c r="L284" s="257">
        <v>18988684.309999999</v>
      </c>
      <c r="M284" s="257">
        <v>0</v>
      </c>
      <c r="N284" s="257">
        <v>0</v>
      </c>
    </row>
    <row r="285" spans="1:14" s="143" customFormat="1" x14ac:dyDescent="0.25">
      <c r="A285" s="143" t="s">
        <v>290</v>
      </c>
      <c r="B285" s="143" t="s">
        <v>333</v>
      </c>
      <c r="C285" s="143" t="s">
        <v>259</v>
      </c>
      <c r="D285" s="143" t="s">
        <v>69</v>
      </c>
      <c r="E285" s="257">
        <v>19407000</v>
      </c>
      <c r="F285" s="257">
        <v>19407000</v>
      </c>
      <c r="G285" s="257">
        <v>19407000</v>
      </c>
      <c r="H285" s="257">
        <v>0</v>
      </c>
      <c r="I285" s="257">
        <v>15578636.220000001</v>
      </c>
      <c r="J285" s="257">
        <v>0</v>
      </c>
      <c r="K285" s="257">
        <v>3828363.78</v>
      </c>
      <c r="L285" s="257">
        <v>3828363.78</v>
      </c>
      <c r="M285" s="257">
        <v>0</v>
      </c>
      <c r="N285" s="257">
        <v>0</v>
      </c>
    </row>
    <row r="286" spans="1:14" s="143" customFormat="1" x14ac:dyDescent="0.25">
      <c r="A286" s="143" t="s">
        <v>290</v>
      </c>
      <c r="B286" s="143" t="s">
        <v>260</v>
      </c>
      <c r="C286" s="143" t="s">
        <v>261</v>
      </c>
      <c r="D286" s="143" t="s">
        <v>69</v>
      </c>
      <c r="E286" s="257">
        <v>179462000</v>
      </c>
      <c r="F286" s="257">
        <v>179462000</v>
      </c>
      <c r="G286" s="257">
        <v>35031300</v>
      </c>
      <c r="H286" s="257">
        <v>0</v>
      </c>
      <c r="I286" s="257">
        <v>0</v>
      </c>
      <c r="J286" s="257">
        <v>0</v>
      </c>
      <c r="K286" s="257">
        <v>5525363</v>
      </c>
      <c r="L286" s="257">
        <v>5525363</v>
      </c>
      <c r="M286" s="257">
        <v>173936637</v>
      </c>
      <c r="N286" s="257">
        <v>29505937</v>
      </c>
    </row>
    <row r="287" spans="1:14" s="143" customFormat="1" x14ac:dyDescent="0.25">
      <c r="A287" s="143" t="s">
        <v>290</v>
      </c>
      <c r="B287" s="143" t="s">
        <v>262</v>
      </c>
      <c r="C287" s="143" t="s">
        <v>263</v>
      </c>
      <c r="D287" s="143" t="s">
        <v>69</v>
      </c>
      <c r="E287" s="257">
        <v>150000000</v>
      </c>
      <c r="F287" s="257">
        <v>150000000</v>
      </c>
      <c r="G287" s="257">
        <v>5569300</v>
      </c>
      <c r="H287" s="257">
        <v>0</v>
      </c>
      <c r="I287" s="257">
        <v>0</v>
      </c>
      <c r="J287" s="257">
        <v>0</v>
      </c>
      <c r="K287" s="257">
        <v>0</v>
      </c>
      <c r="L287" s="257">
        <v>0</v>
      </c>
      <c r="M287" s="257">
        <v>150000000</v>
      </c>
      <c r="N287" s="257">
        <v>5569300</v>
      </c>
    </row>
    <row r="288" spans="1:14" s="143" customFormat="1" x14ac:dyDescent="0.25">
      <c r="A288" s="143" t="s">
        <v>290</v>
      </c>
      <c r="B288" s="143" t="s">
        <v>264</v>
      </c>
      <c r="C288" s="143" t="s">
        <v>265</v>
      </c>
      <c r="D288" s="143" t="s">
        <v>69</v>
      </c>
      <c r="E288" s="257">
        <v>29462000</v>
      </c>
      <c r="F288" s="257">
        <v>29462000</v>
      </c>
      <c r="G288" s="257">
        <v>29462000</v>
      </c>
      <c r="H288" s="257">
        <v>0</v>
      </c>
      <c r="I288" s="257">
        <v>0</v>
      </c>
      <c r="J288" s="257">
        <v>0</v>
      </c>
      <c r="K288" s="257">
        <v>5525363</v>
      </c>
      <c r="L288" s="257">
        <v>5525363</v>
      </c>
      <c r="M288" s="257">
        <v>23936637</v>
      </c>
      <c r="N288" s="257">
        <v>23936637</v>
      </c>
    </row>
    <row r="289" spans="1:14" s="143" customFormat="1" x14ac:dyDescent="0.25">
      <c r="A289" s="143" t="s">
        <v>290</v>
      </c>
      <c r="B289" s="143" t="s">
        <v>286</v>
      </c>
      <c r="C289" s="143" t="s">
        <v>287</v>
      </c>
      <c r="D289" s="143" t="s">
        <v>69</v>
      </c>
      <c r="E289" s="257">
        <v>3000000</v>
      </c>
      <c r="F289" s="257">
        <v>3000000</v>
      </c>
      <c r="G289" s="257">
        <v>750000</v>
      </c>
      <c r="H289" s="257">
        <v>0</v>
      </c>
      <c r="I289" s="257">
        <v>0</v>
      </c>
      <c r="J289" s="257">
        <v>0</v>
      </c>
      <c r="K289" s="257">
        <v>0</v>
      </c>
      <c r="L289" s="257">
        <v>0</v>
      </c>
      <c r="M289" s="257">
        <v>3000000</v>
      </c>
      <c r="N289" s="257">
        <v>750000</v>
      </c>
    </row>
    <row r="290" spans="1:14" s="143" customFormat="1" x14ac:dyDescent="0.25">
      <c r="A290" s="143" t="s">
        <v>290</v>
      </c>
      <c r="B290" s="143" t="s">
        <v>288</v>
      </c>
      <c r="C290" s="143" t="s">
        <v>289</v>
      </c>
      <c r="D290" s="143" t="s">
        <v>69</v>
      </c>
      <c r="E290" s="257">
        <v>3000000</v>
      </c>
      <c r="F290" s="257">
        <v>3000000</v>
      </c>
      <c r="G290" s="257">
        <v>750000</v>
      </c>
      <c r="H290" s="257">
        <v>0</v>
      </c>
      <c r="I290" s="257">
        <v>0</v>
      </c>
      <c r="J290" s="257">
        <v>0</v>
      </c>
      <c r="K290" s="257">
        <v>0</v>
      </c>
      <c r="L290" s="257">
        <v>0</v>
      </c>
      <c r="M290" s="257">
        <v>3000000</v>
      </c>
      <c r="N290" s="257">
        <v>750000</v>
      </c>
    </row>
    <row r="291" spans="1:14" s="143" customFormat="1" x14ac:dyDescent="0.25">
      <c r="A291" s="143">
        <v>214783</v>
      </c>
      <c r="D291" s="143" t="s">
        <v>69</v>
      </c>
      <c r="E291" s="257">
        <v>106163237755</v>
      </c>
      <c r="F291" s="257">
        <v>106163237755</v>
      </c>
      <c r="G291" s="257">
        <v>79774829731.190002</v>
      </c>
      <c r="H291" s="257">
        <v>790335345.79999995</v>
      </c>
      <c r="I291" s="257">
        <v>14407953933.129999</v>
      </c>
      <c r="J291" s="257">
        <v>165605428.21000001</v>
      </c>
      <c r="K291" s="279">
        <v>16683695394.290001</v>
      </c>
      <c r="L291" s="257">
        <v>15640847897.6</v>
      </c>
      <c r="M291" s="257">
        <v>74115647653.570007</v>
      </c>
      <c r="N291" s="257">
        <v>47727239629.760002</v>
      </c>
    </row>
    <row r="292" spans="1:14" s="143" customFormat="1" x14ac:dyDescent="0.25">
      <c r="A292" s="143" t="s">
        <v>334</v>
      </c>
      <c r="B292" s="143" t="s">
        <v>71</v>
      </c>
      <c r="C292" s="143" t="s">
        <v>72</v>
      </c>
      <c r="D292" s="143" t="s">
        <v>69</v>
      </c>
      <c r="E292" s="257">
        <v>69224041000</v>
      </c>
      <c r="F292" s="257">
        <v>69224041000</v>
      </c>
      <c r="G292" s="257">
        <v>69223691000</v>
      </c>
      <c r="H292" s="257">
        <v>0</v>
      </c>
      <c r="I292" s="257">
        <v>8234727014</v>
      </c>
      <c r="J292" s="257">
        <v>0</v>
      </c>
      <c r="K292" s="257">
        <v>14044887213.23</v>
      </c>
      <c r="L292" s="257">
        <v>14044887213.23</v>
      </c>
      <c r="M292" s="257">
        <v>46944426772.769997</v>
      </c>
      <c r="N292" s="257">
        <v>46944076772.769997</v>
      </c>
    </row>
    <row r="293" spans="1:14" s="143" customFormat="1" x14ac:dyDescent="0.25">
      <c r="A293" s="143" t="s">
        <v>334</v>
      </c>
      <c r="B293" s="143" t="s">
        <v>73</v>
      </c>
      <c r="C293" s="143" t="s">
        <v>74</v>
      </c>
      <c r="D293" s="143" t="s">
        <v>69</v>
      </c>
      <c r="E293" s="257">
        <v>25618223000</v>
      </c>
      <c r="F293" s="257">
        <v>25618223000</v>
      </c>
      <c r="G293" s="257">
        <v>25618223000</v>
      </c>
      <c r="H293" s="257">
        <v>0</v>
      </c>
      <c r="I293" s="257">
        <v>0</v>
      </c>
      <c r="J293" s="257">
        <v>0</v>
      </c>
      <c r="K293" s="257">
        <v>3961336709.6900001</v>
      </c>
      <c r="L293" s="257">
        <v>3961336709.6900001</v>
      </c>
      <c r="M293" s="257">
        <v>21656886290.310001</v>
      </c>
      <c r="N293" s="257">
        <v>21656886290.310001</v>
      </c>
    </row>
    <row r="294" spans="1:14" s="143" customFormat="1" x14ac:dyDescent="0.25">
      <c r="A294" s="143" t="s">
        <v>334</v>
      </c>
      <c r="B294" s="143" t="s">
        <v>75</v>
      </c>
      <c r="C294" s="143" t="s">
        <v>76</v>
      </c>
      <c r="D294" s="143" t="s">
        <v>69</v>
      </c>
      <c r="E294" s="257">
        <v>25601107000</v>
      </c>
      <c r="F294" s="257">
        <v>25601107000</v>
      </c>
      <c r="G294" s="257">
        <v>25601107000</v>
      </c>
      <c r="H294" s="257">
        <v>0</v>
      </c>
      <c r="I294" s="257">
        <v>0</v>
      </c>
      <c r="J294" s="257">
        <v>0</v>
      </c>
      <c r="K294" s="257">
        <v>3946064909.6900001</v>
      </c>
      <c r="L294" s="257">
        <v>3946064909.6900001</v>
      </c>
      <c r="M294" s="257">
        <v>21655042090.310001</v>
      </c>
      <c r="N294" s="257">
        <v>21655042090.310001</v>
      </c>
    </row>
    <row r="295" spans="1:14" s="143" customFormat="1" x14ac:dyDescent="0.25">
      <c r="A295" s="143" t="s">
        <v>334</v>
      </c>
      <c r="B295" s="143" t="s">
        <v>335</v>
      </c>
      <c r="C295" s="143" t="s">
        <v>336</v>
      </c>
      <c r="D295" s="143" t="s">
        <v>69</v>
      </c>
      <c r="E295" s="257">
        <v>17116000</v>
      </c>
      <c r="F295" s="257">
        <v>17116000</v>
      </c>
      <c r="G295" s="257">
        <v>17116000</v>
      </c>
      <c r="H295" s="257">
        <v>0</v>
      </c>
      <c r="I295" s="257">
        <v>0</v>
      </c>
      <c r="J295" s="257">
        <v>0</v>
      </c>
      <c r="K295" s="257">
        <v>15271800</v>
      </c>
      <c r="L295" s="257">
        <v>15271800</v>
      </c>
      <c r="M295" s="257">
        <v>1844200</v>
      </c>
      <c r="N295" s="257">
        <v>1844200</v>
      </c>
    </row>
    <row r="296" spans="1:14" s="143" customFormat="1" x14ac:dyDescent="0.25">
      <c r="A296" s="143" t="s">
        <v>334</v>
      </c>
      <c r="B296" s="143" t="s">
        <v>293</v>
      </c>
      <c r="C296" s="143" t="s">
        <v>294</v>
      </c>
      <c r="D296" s="143" t="s">
        <v>69</v>
      </c>
      <c r="E296" s="257">
        <v>3406791000</v>
      </c>
      <c r="F296" s="257">
        <v>3406791000</v>
      </c>
      <c r="G296" s="257">
        <v>3406791000</v>
      </c>
      <c r="H296" s="257">
        <v>0</v>
      </c>
      <c r="I296" s="257">
        <v>0</v>
      </c>
      <c r="J296" s="257">
        <v>0</v>
      </c>
      <c r="K296" s="257">
        <v>598605055.15999997</v>
      </c>
      <c r="L296" s="257">
        <v>598605055.15999997</v>
      </c>
      <c r="M296" s="257">
        <v>2808185944.8400002</v>
      </c>
      <c r="N296" s="257">
        <v>2808185944.8400002</v>
      </c>
    </row>
    <row r="297" spans="1:14" s="143" customFormat="1" x14ac:dyDescent="0.25">
      <c r="A297" s="143" t="s">
        <v>334</v>
      </c>
      <c r="B297" s="143" t="s">
        <v>295</v>
      </c>
      <c r="C297" s="143" t="s">
        <v>296</v>
      </c>
      <c r="D297" s="143" t="s">
        <v>69</v>
      </c>
      <c r="E297" s="257">
        <v>8000000</v>
      </c>
      <c r="F297" s="257">
        <v>8000000</v>
      </c>
      <c r="G297" s="257">
        <v>8000000</v>
      </c>
      <c r="H297" s="257">
        <v>0</v>
      </c>
      <c r="I297" s="257">
        <v>0</v>
      </c>
      <c r="J297" s="257">
        <v>0</v>
      </c>
      <c r="K297" s="257">
        <v>125998</v>
      </c>
      <c r="L297" s="257">
        <v>125998</v>
      </c>
      <c r="M297" s="257">
        <v>7874002</v>
      </c>
      <c r="N297" s="257">
        <v>7874002</v>
      </c>
    </row>
    <row r="298" spans="1:14" s="143" customFormat="1" x14ac:dyDescent="0.25">
      <c r="A298" s="143" t="s">
        <v>334</v>
      </c>
      <c r="B298" s="143" t="s">
        <v>337</v>
      </c>
      <c r="C298" s="143" t="s">
        <v>338</v>
      </c>
      <c r="D298" s="143" t="s">
        <v>69</v>
      </c>
      <c r="E298" s="257">
        <v>24994000</v>
      </c>
      <c r="F298" s="257">
        <v>24994000</v>
      </c>
      <c r="G298" s="257">
        <v>24994000</v>
      </c>
      <c r="H298" s="257">
        <v>0</v>
      </c>
      <c r="I298" s="257">
        <v>0</v>
      </c>
      <c r="J298" s="257">
        <v>0</v>
      </c>
      <c r="K298" s="257">
        <v>1263838</v>
      </c>
      <c r="L298" s="257">
        <v>1263838</v>
      </c>
      <c r="M298" s="257">
        <v>23730162</v>
      </c>
      <c r="N298" s="257">
        <v>23730162</v>
      </c>
    </row>
    <row r="299" spans="1:14" s="143" customFormat="1" x14ac:dyDescent="0.25">
      <c r="A299" s="143" t="s">
        <v>334</v>
      </c>
      <c r="B299" s="143" t="s">
        <v>339</v>
      </c>
      <c r="C299" s="143" t="s">
        <v>340</v>
      </c>
      <c r="D299" s="143" t="s">
        <v>69</v>
      </c>
      <c r="E299" s="257">
        <v>3373797000</v>
      </c>
      <c r="F299" s="257">
        <v>3373797000</v>
      </c>
      <c r="G299" s="257">
        <v>3373797000</v>
      </c>
      <c r="H299" s="257">
        <v>0</v>
      </c>
      <c r="I299" s="257">
        <v>0</v>
      </c>
      <c r="J299" s="257">
        <v>0</v>
      </c>
      <c r="K299" s="257">
        <v>597215219.15999997</v>
      </c>
      <c r="L299" s="257">
        <v>597215219.15999997</v>
      </c>
      <c r="M299" s="257">
        <v>2776581780.8400002</v>
      </c>
      <c r="N299" s="257">
        <v>2776581780.8400002</v>
      </c>
    </row>
    <row r="300" spans="1:14" s="143" customFormat="1" x14ac:dyDescent="0.25">
      <c r="A300" s="143" t="s">
        <v>334</v>
      </c>
      <c r="B300" s="143" t="s">
        <v>77</v>
      </c>
      <c r="C300" s="143" t="s">
        <v>78</v>
      </c>
      <c r="D300" s="143" t="s">
        <v>69</v>
      </c>
      <c r="E300" s="257">
        <v>29694590000</v>
      </c>
      <c r="F300" s="257">
        <v>29694590000</v>
      </c>
      <c r="G300" s="257">
        <v>29694240000</v>
      </c>
      <c r="H300" s="257">
        <v>0</v>
      </c>
      <c r="I300" s="257">
        <v>0</v>
      </c>
      <c r="J300" s="257">
        <v>0</v>
      </c>
      <c r="K300" s="257">
        <v>7215235462.3800001</v>
      </c>
      <c r="L300" s="257">
        <v>7215235462.3800001</v>
      </c>
      <c r="M300" s="257">
        <v>22479354537.619999</v>
      </c>
      <c r="N300" s="257">
        <v>22479004537.619999</v>
      </c>
    </row>
    <row r="301" spans="1:14" s="143" customFormat="1" x14ac:dyDescent="0.25">
      <c r="A301" s="143" t="s">
        <v>334</v>
      </c>
      <c r="B301" s="143" t="s">
        <v>79</v>
      </c>
      <c r="C301" s="143" t="s">
        <v>80</v>
      </c>
      <c r="D301" s="143" t="s">
        <v>69</v>
      </c>
      <c r="E301" s="257">
        <v>9856906000</v>
      </c>
      <c r="F301" s="257">
        <v>9856906000</v>
      </c>
      <c r="G301" s="257">
        <v>9856906000</v>
      </c>
      <c r="H301" s="257">
        <v>0</v>
      </c>
      <c r="I301" s="257">
        <v>0</v>
      </c>
      <c r="J301" s="257">
        <v>0</v>
      </c>
      <c r="K301" s="257">
        <v>1531985480.27</v>
      </c>
      <c r="L301" s="257">
        <v>1531985480.27</v>
      </c>
      <c r="M301" s="257">
        <v>8324920519.7299995</v>
      </c>
      <c r="N301" s="257">
        <v>8324920519.7299995</v>
      </c>
    </row>
    <row r="302" spans="1:14" s="143" customFormat="1" x14ac:dyDescent="0.25">
      <c r="A302" s="143" t="s">
        <v>334</v>
      </c>
      <c r="B302" s="143" t="s">
        <v>81</v>
      </c>
      <c r="C302" s="143" t="s">
        <v>82</v>
      </c>
      <c r="D302" s="143" t="s">
        <v>69</v>
      </c>
      <c r="E302" s="257">
        <v>3637068000</v>
      </c>
      <c r="F302" s="257">
        <v>3637068000</v>
      </c>
      <c r="G302" s="257">
        <v>3637068000</v>
      </c>
      <c r="H302" s="257">
        <v>0</v>
      </c>
      <c r="I302" s="257">
        <v>0</v>
      </c>
      <c r="J302" s="257">
        <v>0</v>
      </c>
      <c r="K302" s="257">
        <v>549860270.08000004</v>
      </c>
      <c r="L302" s="257">
        <v>549860270.08000004</v>
      </c>
      <c r="M302" s="257">
        <v>3087207729.9200001</v>
      </c>
      <c r="N302" s="257">
        <v>3087207729.9200001</v>
      </c>
    </row>
    <row r="303" spans="1:14" s="143" customFormat="1" x14ac:dyDescent="0.25">
      <c r="A303" s="143" t="s">
        <v>334</v>
      </c>
      <c r="B303" s="143" t="s">
        <v>83</v>
      </c>
      <c r="C303" s="143" t="s">
        <v>84</v>
      </c>
      <c r="D303" s="143" t="s">
        <v>85</v>
      </c>
      <c r="E303" s="257">
        <v>4378933000</v>
      </c>
      <c r="F303" s="257">
        <v>4378933000</v>
      </c>
      <c r="G303" s="257">
        <v>4378933000</v>
      </c>
      <c r="H303" s="257">
        <v>0</v>
      </c>
      <c r="I303" s="257">
        <v>0</v>
      </c>
      <c r="J303" s="257">
        <v>0</v>
      </c>
      <c r="K303" s="257">
        <v>4423234.9400000004</v>
      </c>
      <c r="L303" s="257">
        <v>4423234.9400000004</v>
      </c>
      <c r="M303" s="257">
        <v>4374509765.0600004</v>
      </c>
      <c r="N303" s="257">
        <v>4374509765.0600004</v>
      </c>
    </row>
    <row r="304" spans="1:14" s="143" customFormat="1" x14ac:dyDescent="0.25">
      <c r="A304" s="143" t="s">
        <v>334</v>
      </c>
      <c r="B304" s="143" t="s">
        <v>86</v>
      </c>
      <c r="C304" s="143" t="s">
        <v>87</v>
      </c>
      <c r="D304" s="143" t="s">
        <v>69</v>
      </c>
      <c r="E304" s="257">
        <v>3859929000</v>
      </c>
      <c r="F304" s="257">
        <v>3859929000</v>
      </c>
      <c r="G304" s="257">
        <v>3859929000</v>
      </c>
      <c r="H304" s="257">
        <v>0</v>
      </c>
      <c r="I304" s="257">
        <v>0</v>
      </c>
      <c r="J304" s="257">
        <v>0</v>
      </c>
      <c r="K304" s="257">
        <v>3839719122.6700001</v>
      </c>
      <c r="L304" s="257">
        <v>3839719122.6700001</v>
      </c>
      <c r="M304" s="257">
        <v>20209877.329999998</v>
      </c>
      <c r="N304" s="257">
        <v>20209877.329999998</v>
      </c>
    </row>
    <row r="305" spans="1:14" s="143" customFormat="1" x14ac:dyDescent="0.25">
      <c r="A305" s="143" t="s">
        <v>334</v>
      </c>
      <c r="B305" s="143" t="s">
        <v>88</v>
      </c>
      <c r="C305" s="143" t="s">
        <v>89</v>
      </c>
      <c r="D305" s="143" t="s">
        <v>69</v>
      </c>
      <c r="E305" s="257">
        <v>7961754000</v>
      </c>
      <c r="F305" s="257">
        <v>7961754000</v>
      </c>
      <c r="G305" s="257">
        <v>7961404000</v>
      </c>
      <c r="H305" s="257">
        <v>0</v>
      </c>
      <c r="I305" s="257">
        <v>0</v>
      </c>
      <c r="J305" s="257">
        <v>0</v>
      </c>
      <c r="K305" s="257">
        <v>1289247354.4200001</v>
      </c>
      <c r="L305" s="257">
        <v>1289247354.4200001</v>
      </c>
      <c r="M305" s="257">
        <v>6672506645.5799999</v>
      </c>
      <c r="N305" s="257">
        <v>6672156645.5799999</v>
      </c>
    </row>
    <row r="306" spans="1:14" s="143" customFormat="1" x14ac:dyDescent="0.25">
      <c r="A306" s="143" t="s">
        <v>334</v>
      </c>
      <c r="B306" s="143" t="s">
        <v>90</v>
      </c>
      <c r="C306" s="143" t="s">
        <v>91</v>
      </c>
      <c r="D306" s="143" t="s">
        <v>69</v>
      </c>
      <c r="E306" s="257">
        <v>5298410000</v>
      </c>
      <c r="F306" s="257">
        <v>5298410000</v>
      </c>
      <c r="G306" s="257">
        <v>5298410000</v>
      </c>
      <c r="H306" s="257">
        <v>0</v>
      </c>
      <c r="I306" s="257">
        <v>4153271876</v>
      </c>
      <c r="J306" s="257">
        <v>0</v>
      </c>
      <c r="K306" s="257">
        <v>1145138124</v>
      </c>
      <c r="L306" s="257">
        <v>1145138124</v>
      </c>
      <c r="M306" s="257">
        <v>0</v>
      </c>
      <c r="N306" s="257">
        <v>0</v>
      </c>
    </row>
    <row r="307" spans="1:14" s="143" customFormat="1" x14ac:dyDescent="0.25">
      <c r="A307" s="143" t="s">
        <v>334</v>
      </c>
      <c r="B307" s="143" t="s">
        <v>341</v>
      </c>
      <c r="C307" s="143" t="s">
        <v>93</v>
      </c>
      <c r="D307" s="143" t="s">
        <v>69</v>
      </c>
      <c r="E307" s="257">
        <v>5026697000</v>
      </c>
      <c r="F307" s="257">
        <v>5026697000</v>
      </c>
      <c r="G307" s="257">
        <v>5026697000</v>
      </c>
      <c r="H307" s="257">
        <v>0</v>
      </c>
      <c r="I307" s="257">
        <v>3940277022</v>
      </c>
      <c r="J307" s="257">
        <v>0</v>
      </c>
      <c r="K307" s="257">
        <v>1086419978</v>
      </c>
      <c r="L307" s="257">
        <v>1086419978</v>
      </c>
      <c r="M307" s="257">
        <v>0</v>
      </c>
      <c r="N307" s="257">
        <v>0</v>
      </c>
    </row>
    <row r="308" spans="1:14" s="143" customFormat="1" x14ac:dyDescent="0.25">
      <c r="A308" s="143" t="s">
        <v>334</v>
      </c>
      <c r="B308" s="143" t="s">
        <v>342</v>
      </c>
      <c r="C308" s="143" t="s">
        <v>95</v>
      </c>
      <c r="D308" s="143" t="s">
        <v>69</v>
      </c>
      <c r="E308" s="257">
        <v>271713000</v>
      </c>
      <c r="F308" s="257">
        <v>271713000</v>
      </c>
      <c r="G308" s="257">
        <v>271713000</v>
      </c>
      <c r="H308" s="257">
        <v>0</v>
      </c>
      <c r="I308" s="257">
        <v>212994854</v>
      </c>
      <c r="J308" s="257">
        <v>0</v>
      </c>
      <c r="K308" s="257">
        <v>58718146</v>
      </c>
      <c r="L308" s="257">
        <v>58718146</v>
      </c>
      <c r="M308" s="257">
        <v>0</v>
      </c>
      <c r="N308" s="257">
        <v>0</v>
      </c>
    </row>
    <row r="309" spans="1:14" s="143" customFormat="1" x14ac:dyDescent="0.25">
      <c r="A309" s="143" t="s">
        <v>334</v>
      </c>
      <c r="B309" s="143" t="s">
        <v>96</v>
      </c>
      <c r="C309" s="143" t="s">
        <v>97</v>
      </c>
      <c r="D309" s="143" t="s">
        <v>69</v>
      </c>
      <c r="E309" s="257">
        <v>5206027000</v>
      </c>
      <c r="F309" s="257">
        <v>5206027000</v>
      </c>
      <c r="G309" s="257">
        <v>5206027000</v>
      </c>
      <c r="H309" s="257">
        <v>0</v>
      </c>
      <c r="I309" s="257">
        <v>4081455138</v>
      </c>
      <c r="J309" s="257">
        <v>0</v>
      </c>
      <c r="K309" s="257">
        <v>1124571862</v>
      </c>
      <c r="L309" s="257">
        <v>1124571862</v>
      </c>
      <c r="M309" s="257">
        <v>0</v>
      </c>
      <c r="N309" s="257">
        <v>0</v>
      </c>
    </row>
    <row r="310" spans="1:14" s="143" customFormat="1" x14ac:dyDescent="0.25">
      <c r="A310" s="143" t="s">
        <v>334</v>
      </c>
      <c r="B310" s="143" t="s">
        <v>343</v>
      </c>
      <c r="C310" s="143" t="s">
        <v>99</v>
      </c>
      <c r="D310" s="143" t="s">
        <v>69</v>
      </c>
      <c r="E310" s="257">
        <v>2760607000</v>
      </c>
      <c r="F310" s="257">
        <v>2760607000</v>
      </c>
      <c r="G310" s="257">
        <v>2760607000</v>
      </c>
      <c r="H310" s="257">
        <v>0</v>
      </c>
      <c r="I310" s="257">
        <v>2164499469</v>
      </c>
      <c r="J310" s="257">
        <v>0</v>
      </c>
      <c r="K310" s="257">
        <v>596107531</v>
      </c>
      <c r="L310" s="257">
        <v>596107531</v>
      </c>
      <c r="M310" s="257">
        <v>0</v>
      </c>
      <c r="N310" s="257">
        <v>0</v>
      </c>
    </row>
    <row r="311" spans="1:14" s="143" customFormat="1" x14ac:dyDescent="0.25">
      <c r="A311" s="143" t="s">
        <v>334</v>
      </c>
      <c r="B311" s="143" t="s">
        <v>344</v>
      </c>
      <c r="C311" s="143" t="s">
        <v>101</v>
      </c>
      <c r="D311" s="143" t="s">
        <v>69</v>
      </c>
      <c r="E311" s="257">
        <v>815140000</v>
      </c>
      <c r="F311" s="257">
        <v>815140000</v>
      </c>
      <c r="G311" s="257">
        <v>815140000</v>
      </c>
      <c r="H311" s="257">
        <v>0</v>
      </c>
      <c r="I311" s="257">
        <v>638985179</v>
      </c>
      <c r="J311" s="257">
        <v>0</v>
      </c>
      <c r="K311" s="257">
        <v>176154821</v>
      </c>
      <c r="L311" s="257">
        <v>176154821</v>
      </c>
      <c r="M311" s="257">
        <v>0</v>
      </c>
      <c r="N311" s="257">
        <v>0</v>
      </c>
    </row>
    <row r="312" spans="1:14" s="143" customFormat="1" x14ac:dyDescent="0.25">
      <c r="A312" s="143" t="s">
        <v>334</v>
      </c>
      <c r="B312" s="143" t="s">
        <v>345</v>
      </c>
      <c r="C312" s="143" t="s">
        <v>103</v>
      </c>
      <c r="D312" s="143" t="s">
        <v>69</v>
      </c>
      <c r="E312" s="257">
        <v>1630280000</v>
      </c>
      <c r="F312" s="257">
        <v>1630280000</v>
      </c>
      <c r="G312" s="257">
        <v>1630280000</v>
      </c>
      <c r="H312" s="257">
        <v>0</v>
      </c>
      <c r="I312" s="257">
        <v>1277970490</v>
      </c>
      <c r="J312" s="257">
        <v>0</v>
      </c>
      <c r="K312" s="257">
        <v>352309510</v>
      </c>
      <c r="L312" s="257">
        <v>352309510</v>
      </c>
      <c r="M312" s="257">
        <v>0</v>
      </c>
      <c r="N312" s="257">
        <v>0</v>
      </c>
    </row>
    <row r="313" spans="1:14" s="143" customFormat="1" x14ac:dyDescent="0.25">
      <c r="A313" s="143" t="s">
        <v>334</v>
      </c>
      <c r="B313" s="143" t="s">
        <v>104</v>
      </c>
      <c r="C313" s="143" t="s">
        <v>105</v>
      </c>
      <c r="D313" s="143" t="s">
        <v>69</v>
      </c>
      <c r="E313" s="257">
        <v>9869454182</v>
      </c>
      <c r="F313" s="257">
        <v>9869454182</v>
      </c>
      <c r="G313" s="257">
        <v>2479952543.6900001</v>
      </c>
      <c r="H313" s="257">
        <v>13349017</v>
      </c>
      <c r="I313" s="257">
        <v>851141247.72000003</v>
      </c>
      <c r="J313" s="257">
        <v>590000</v>
      </c>
      <c r="K313" s="257">
        <v>1232479612.76</v>
      </c>
      <c r="L313" s="257">
        <v>599392828.73000002</v>
      </c>
      <c r="M313" s="257">
        <v>7771894304.5200005</v>
      </c>
      <c r="N313" s="257">
        <v>382392666.20999998</v>
      </c>
    </row>
    <row r="314" spans="1:14" s="143" customFormat="1" x14ac:dyDescent="0.25">
      <c r="A314" s="143" t="s">
        <v>334</v>
      </c>
      <c r="B314" s="143" t="s">
        <v>106</v>
      </c>
      <c r="C314" s="143" t="s">
        <v>107</v>
      </c>
      <c r="D314" s="143" t="s">
        <v>69</v>
      </c>
      <c r="E314" s="257">
        <v>3181468559</v>
      </c>
      <c r="F314" s="257">
        <v>3181468559</v>
      </c>
      <c r="G314" s="257">
        <v>662241822.89999998</v>
      </c>
      <c r="H314" s="257">
        <v>0</v>
      </c>
      <c r="I314" s="257">
        <v>174573993.19</v>
      </c>
      <c r="J314" s="257">
        <v>0</v>
      </c>
      <c r="K314" s="257">
        <v>325613251.93000001</v>
      </c>
      <c r="L314" s="257">
        <v>253277018.72</v>
      </c>
      <c r="M314" s="257">
        <v>2681281313.8800001</v>
      </c>
      <c r="N314" s="257">
        <v>162054577.78</v>
      </c>
    </row>
    <row r="315" spans="1:14" s="143" customFormat="1" x14ac:dyDescent="0.25">
      <c r="A315" s="143" t="s">
        <v>334</v>
      </c>
      <c r="B315" s="143" t="s">
        <v>280</v>
      </c>
      <c r="C315" s="143" t="s">
        <v>281</v>
      </c>
      <c r="D315" s="143" t="s">
        <v>69</v>
      </c>
      <c r="E315" s="257">
        <v>431740903</v>
      </c>
      <c r="F315" s="257">
        <v>431740903</v>
      </c>
      <c r="G315" s="257">
        <v>107935225.8</v>
      </c>
      <c r="H315" s="257">
        <v>0</v>
      </c>
      <c r="I315" s="257">
        <v>36386738.609999999</v>
      </c>
      <c r="J315" s="257">
        <v>0</v>
      </c>
      <c r="K315" s="257">
        <v>41920973.600000001</v>
      </c>
      <c r="L315" s="257">
        <v>17808052.34</v>
      </c>
      <c r="M315" s="257">
        <v>353433190.79000002</v>
      </c>
      <c r="N315" s="257">
        <v>29627513.59</v>
      </c>
    </row>
    <row r="316" spans="1:14" s="143" customFormat="1" x14ac:dyDescent="0.25">
      <c r="A316" s="143" t="s">
        <v>334</v>
      </c>
      <c r="B316" s="143" t="s">
        <v>108</v>
      </c>
      <c r="C316" s="143" t="s">
        <v>109</v>
      </c>
      <c r="D316" s="143" t="s">
        <v>69</v>
      </c>
      <c r="E316" s="257">
        <v>719138329</v>
      </c>
      <c r="F316" s="257">
        <v>719138329</v>
      </c>
      <c r="G316" s="257">
        <v>179784582.30000001</v>
      </c>
      <c r="H316" s="257">
        <v>0</v>
      </c>
      <c r="I316" s="257">
        <v>52672118.770000003</v>
      </c>
      <c r="J316" s="257">
        <v>0</v>
      </c>
      <c r="K316" s="257">
        <v>38507633.170000002</v>
      </c>
      <c r="L316" s="257">
        <v>36836447.780000001</v>
      </c>
      <c r="M316" s="257">
        <v>627958577.05999994</v>
      </c>
      <c r="N316" s="257">
        <v>88604830.359999999</v>
      </c>
    </row>
    <row r="317" spans="1:14" s="143" customFormat="1" x14ac:dyDescent="0.25">
      <c r="A317" s="143" t="s">
        <v>334</v>
      </c>
      <c r="B317" s="143" t="s">
        <v>304</v>
      </c>
      <c r="C317" s="143" t="s">
        <v>305</v>
      </c>
      <c r="D317" s="143" t="s">
        <v>69</v>
      </c>
      <c r="E317" s="257">
        <v>23472000</v>
      </c>
      <c r="F317" s="257">
        <v>23472000</v>
      </c>
      <c r="G317" s="257">
        <v>5868000</v>
      </c>
      <c r="H317" s="257">
        <v>0</v>
      </c>
      <c r="I317" s="257">
        <v>3834042.77</v>
      </c>
      <c r="J317" s="257">
        <v>0</v>
      </c>
      <c r="K317" s="257">
        <v>1627014.4</v>
      </c>
      <c r="L317" s="257">
        <v>0</v>
      </c>
      <c r="M317" s="257">
        <v>18010942.829999998</v>
      </c>
      <c r="N317" s="257">
        <v>406942.83</v>
      </c>
    </row>
    <row r="318" spans="1:14" s="143" customFormat="1" x14ac:dyDescent="0.25">
      <c r="A318" s="143" t="s">
        <v>334</v>
      </c>
      <c r="B318" s="143" t="s">
        <v>110</v>
      </c>
      <c r="C318" s="143" t="s">
        <v>111</v>
      </c>
      <c r="D318" s="143" t="s">
        <v>69</v>
      </c>
      <c r="E318" s="257">
        <v>2007117327</v>
      </c>
      <c r="F318" s="257">
        <v>2007117327</v>
      </c>
      <c r="G318" s="257">
        <v>368654014.80000001</v>
      </c>
      <c r="H318" s="257">
        <v>0</v>
      </c>
      <c r="I318" s="257">
        <v>81681093.040000007</v>
      </c>
      <c r="J318" s="257">
        <v>0</v>
      </c>
      <c r="K318" s="257">
        <v>243557630.75999999</v>
      </c>
      <c r="L318" s="257">
        <v>198632518.59999999</v>
      </c>
      <c r="M318" s="257">
        <v>1681878603.2</v>
      </c>
      <c r="N318" s="257">
        <v>43415291</v>
      </c>
    </row>
    <row r="319" spans="1:14" s="143" customFormat="1" x14ac:dyDescent="0.25">
      <c r="A319" s="143" t="s">
        <v>334</v>
      </c>
      <c r="B319" s="143" t="s">
        <v>112</v>
      </c>
      <c r="C319" s="143" t="s">
        <v>113</v>
      </c>
      <c r="D319" s="143" t="s">
        <v>69</v>
      </c>
      <c r="E319" s="257">
        <v>4328674526</v>
      </c>
      <c r="F319" s="257">
        <v>4328674526</v>
      </c>
      <c r="G319" s="257">
        <v>1098773100.5</v>
      </c>
      <c r="H319" s="257">
        <v>0</v>
      </c>
      <c r="I319" s="257">
        <v>272565616.26999998</v>
      </c>
      <c r="J319" s="257">
        <v>0</v>
      </c>
      <c r="K319" s="257">
        <v>744832097.69000006</v>
      </c>
      <c r="L319" s="257">
        <v>323689115.77999997</v>
      </c>
      <c r="M319" s="257">
        <v>3311276812.04</v>
      </c>
      <c r="N319" s="257">
        <v>81375386.540000007</v>
      </c>
    </row>
    <row r="320" spans="1:14" s="143" customFormat="1" x14ac:dyDescent="0.25">
      <c r="A320" s="143" t="s">
        <v>334</v>
      </c>
      <c r="B320" s="143" t="s">
        <v>114</v>
      </c>
      <c r="C320" s="143" t="s">
        <v>115</v>
      </c>
      <c r="D320" s="143" t="s">
        <v>69</v>
      </c>
      <c r="E320" s="257">
        <v>2503011786</v>
      </c>
      <c r="F320" s="257">
        <v>2503011786</v>
      </c>
      <c r="G320" s="257">
        <v>625752946.5</v>
      </c>
      <c r="H320" s="257">
        <v>0</v>
      </c>
      <c r="I320" s="257">
        <v>163478939.5</v>
      </c>
      <c r="J320" s="257">
        <v>0</v>
      </c>
      <c r="K320" s="257">
        <v>462274007</v>
      </c>
      <c r="L320" s="257">
        <v>227371367</v>
      </c>
      <c r="M320" s="257">
        <v>1877258839.5</v>
      </c>
      <c r="N320" s="257">
        <v>0</v>
      </c>
    </row>
    <row r="321" spans="1:14" s="143" customFormat="1" x14ac:dyDescent="0.25">
      <c r="A321" s="143" t="s">
        <v>334</v>
      </c>
      <c r="B321" s="143" t="s">
        <v>116</v>
      </c>
      <c r="C321" s="143" t="s">
        <v>117</v>
      </c>
      <c r="D321" s="143" t="s">
        <v>69</v>
      </c>
      <c r="E321" s="257">
        <v>973642474</v>
      </c>
      <c r="F321" s="257">
        <v>973642474</v>
      </c>
      <c r="G321" s="257">
        <v>203410618.5</v>
      </c>
      <c r="H321" s="257">
        <v>0</v>
      </c>
      <c r="I321" s="257">
        <v>26012805.379999999</v>
      </c>
      <c r="J321" s="257">
        <v>0</v>
      </c>
      <c r="K321" s="257">
        <v>176990143</v>
      </c>
      <c r="L321" s="257">
        <v>52190118.530000001</v>
      </c>
      <c r="M321" s="257">
        <v>770639525.62</v>
      </c>
      <c r="N321" s="257">
        <v>407670.12</v>
      </c>
    </row>
    <row r="322" spans="1:14" s="143" customFormat="1" x14ac:dyDescent="0.25">
      <c r="A322" s="143" t="s">
        <v>334</v>
      </c>
      <c r="B322" s="143" t="s">
        <v>118</v>
      </c>
      <c r="C322" s="143" t="s">
        <v>119</v>
      </c>
      <c r="D322" s="143" t="s">
        <v>69</v>
      </c>
      <c r="E322" s="257">
        <v>3942858</v>
      </c>
      <c r="F322" s="257">
        <v>3942858</v>
      </c>
      <c r="G322" s="257">
        <v>3942857.5</v>
      </c>
      <c r="H322" s="257">
        <v>0</v>
      </c>
      <c r="I322" s="257">
        <v>3335582.5</v>
      </c>
      <c r="J322" s="257">
        <v>0</v>
      </c>
      <c r="K322" s="257">
        <v>168380</v>
      </c>
      <c r="L322" s="257">
        <v>168380</v>
      </c>
      <c r="M322" s="257">
        <v>438895.5</v>
      </c>
      <c r="N322" s="257">
        <v>438895</v>
      </c>
    </row>
    <row r="323" spans="1:14" s="143" customFormat="1" x14ac:dyDescent="0.25">
      <c r="A323" s="143" t="s">
        <v>334</v>
      </c>
      <c r="B323" s="143" t="s">
        <v>120</v>
      </c>
      <c r="C323" s="143" t="s">
        <v>121</v>
      </c>
      <c r="D323" s="143" t="s">
        <v>69</v>
      </c>
      <c r="E323" s="257">
        <v>753229000</v>
      </c>
      <c r="F323" s="257">
        <v>753229000</v>
      </c>
      <c r="G323" s="257">
        <v>188307250</v>
      </c>
      <c r="H323" s="257">
        <v>0</v>
      </c>
      <c r="I323" s="257">
        <v>36513108.789999999</v>
      </c>
      <c r="J323" s="257">
        <v>0</v>
      </c>
      <c r="K323" s="257">
        <v>103923201.41</v>
      </c>
      <c r="L323" s="257">
        <v>43959250.25</v>
      </c>
      <c r="M323" s="257">
        <v>612792689.79999995</v>
      </c>
      <c r="N323" s="257">
        <v>47870939.799999997</v>
      </c>
    </row>
    <row r="324" spans="1:14" s="143" customFormat="1" x14ac:dyDescent="0.25">
      <c r="A324" s="143" t="s">
        <v>334</v>
      </c>
      <c r="B324" s="143" t="s">
        <v>122</v>
      </c>
      <c r="C324" s="143" t="s">
        <v>123</v>
      </c>
      <c r="D324" s="143" t="s">
        <v>69</v>
      </c>
      <c r="E324" s="257">
        <v>94848408</v>
      </c>
      <c r="F324" s="257">
        <v>94848408</v>
      </c>
      <c r="G324" s="257">
        <v>77359428</v>
      </c>
      <c r="H324" s="257">
        <v>0</v>
      </c>
      <c r="I324" s="257">
        <v>43225180.100000001</v>
      </c>
      <c r="J324" s="257">
        <v>0</v>
      </c>
      <c r="K324" s="257">
        <v>1476366.28</v>
      </c>
      <c r="L324" s="257">
        <v>0</v>
      </c>
      <c r="M324" s="257">
        <v>50146861.619999997</v>
      </c>
      <c r="N324" s="257">
        <v>32657881.620000001</v>
      </c>
    </row>
    <row r="325" spans="1:14" s="143" customFormat="1" x14ac:dyDescent="0.25">
      <c r="A325" s="143" t="s">
        <v>334</v>
      </c>
      <c r="B325" s="143" t="s">
        <v>124</v>
      </c>
      <c r="C325" s="143" t="s">
        <v>125</v>
      </c>
      <c r="D325" s="143" t="s">
        <v>69</v>
      </c>
      <c r="E325" s="257">
        <v>4451091</v>
      </c>
      <c r="F325" s="257">
        <v>4451091</v>
      </c>
      <c r="G325" s="257">
        <v>2873730.75</v>
      </c>
      <c r="H325" s="257">
        <v>0</v>
      </c>
      <c r="I325" s="257">
        <v>2099510</v>
      </c>
      <c r="J325" s="257">
        <v>0</v>
      </c>
      <c r="K325" s="257">
        <v>425670</v>
      </c>
      <c r="L325" s="257">
        <v>393670</v>
      </c>
      <c r="M325" s="257">
        <v>1925911</v>
      </c>
      <c r="N325" s="257">
        <v>348550.75</v>
      </c>
    </row>
    <row r="326" spans="1:14" s="143" customFormat="1" x14ac:dyDescent="0.25">
      <c r="A326" s="143" t="s">
        <v>334</v>
      </c>
      <c r="B326" s="143" t="s">
        <v>126</v>
      </c>
      <c r="C326" s="143" t="s">
        <v>127</v>
      </c>
      <c r="D326" s="143" t="s">
        <v>69</v>
      </c>
      <c r="E326" s="257">
        <v>1831091</v>
      </c>
      <c r="F326" s="257">
        <v>1831091</v>
      </c>
      <c r="G326" s="257">
        <v>1831090.75</v>
      </c>
      <c r="H326" s="257">
        <v>0</v>
      </c>
      <c r="I326" s="257">
        <v>1088870</v>
      </c>
      <c r="J326" s="257">
        <v>0</v>
      </c>
      <c r="K326" s="257">
        <v>393670</v>
      </c>
      <c r="L326" s="257">
        <v>393670</v>
      </c>
      <c r="M326" s="257">
        <v>348551</v>
      </c>
      <c r="N326" s="257">
        <v>348550.75</v>
      </c>
    </row>
    <row r="327" spans="1:14" s="143" customFormat="1" x14ac:dyDescent="0.25">
      <c r="A327" s="143" t="s">
        <v>334</v>
      </c>
      <c r="B327" s="143" t="s">
        <v>128</v>
      </c>
      <c r="C327" s="143" t="s">
        <v>129</v>
      </c>
      <c r="D327" s="143" t="s">
        <v>69</v>
      </c>
      <c r="E327" s="257">
        <v>2620000</v>
      </c>
      <c r="F327" s="257">
        <v>2620000</v>
      </c>
      <c r="G327" s="257">
        <v>1042640</v>
      </c>
      <c r="H327" s="257">
        <v>0</v>
      </c>
      <c r="I327" s="257">
        <v>1010640</v>
      </c>
      <c r="J327" s="257">
        <v>0</v>
      </c>
      <c r="K327" s="257">
        <v>32000</v>
      </c>
      <c r="L327" s="257">
        <v>0</v>
      </c>
      <c r="M327" s="257">
        <v>1577360</v>
      </c>
      <c r="N327" s="257">
        <v>0</v>
      </c>
    </row>
    <row r="328" spans="1:14" s="143" customFormat="1" x14ac:dyDescent="0.25">
      <c r="A328" s="143" t="s">
        <v>334</v>
      </c>
      <c r="B328" s="143" t="s">
        <v>134</v>
      </c>
      <c r="C328" s="143" t="s">
        <v>135</v>
      </c>
      <c r="D328" s="143" t="s">
        <v>69</v>
      </c>
      <c r="E328" s="257">
        <v>310063679</v>
      </c>
      <c r="F328" s="257">
        <v>310063679</v>
      </c>
      <c r="G328" s="257">
        <v>81252293.75</v>
      </c>
      <c r="H328" s="257">
        <v>0</v>
      </c>
      <c r="I328" s="257">
        <v>37177907.82</v>
      </c>
      <c r="J328" s="257">
        <v>590000</v>
      </c>
      <c r="K328" s="257">
        <v>15357644.66</v>
      </c>
      <c r="L328" s="257">
        <v>5758847.96</v>
      </c>
      <c r="M328" s="257">
        <v>256938126.52000001</v>
      </c>
      <c r="N328" s="257">
        <v>28126741.27</v>
      </c>
    </row>
    <row r="329" spans="1:14" s="143" customFormat="1" x14ac:dyDescent="0.25">
      <c r="A329" s="143" t="s">
        <v>334</v>
      </c>
      <c r="B329" s="143" t="s">
        <v>346</v>
      </c>
      <c r="C329" s="143" t="s">
        <v>347</v>
      </c>
      <c r="D329" s="143" t="s">
        <v>69</v>
      </c>
      <c r="E329" s="257">
        <v>21381819</v>
      </c>
      <c r="F329" s="257">
        <v>21381819</v>
      </c>
      <c r="G329" s="257">
        <v>5345454.75</v>
      </c>
      <c r="H329" s="257">
        <v>0</v>
      </c>
      <c r="I329" s="257">
        <v>190000</v>
      </c>
      <c r="J329" s="257">
        <v>0</v>
      </c>
      <c r="K329" s="257">
        <v>0</v>
      </c>
      <c r="L329" s="257">
        <v>0</v>
      </c>
      <c r="M329" s="257">
        <v>21191819</v>
      </c>
      <c r="N329" s="257">
        <v>5155454.75</v>
      </c>
    </row>
    <row r="330" spans="1:14" s="143" customFormat="1" x14ac:dyDescent="0.25">
      <c r="A330" s="143" t="s">
        <v>334</v>
      </c>
      <c r="B330" s="143" t="s">
        <v>308</v>
      </c>
      <c r="C330" s="143" t="s">
        <v>309</v>
      </c>
      <c r="D330" s="143" t="s">
        <v>69</v>
      </c>
      <c r="E330" s="257">
        <v>106119000</v>
      </c>
      <c r="F330" s="257">
        <v>106119000</v>
      </c>
      <c r="G330" s="257">
        <v>26529750</v>
      </c>
      <c r="H330" s="257">
        <v>0</v>
      </c>
      <c r="I330" s="257">
        <v>20792663.219999999</v>
      </c>
      <c r="J330" s="257">
        <v>0</v>
      </c>
      <c r="K330" s="257">
        <v>4125000</v>
      </c>
      <c r="L330" s="257">
        <v>0</v>
      </c>
      <c r="M330" s="257">
        <v>81201336.780000001</v>
      </c>
      <c r="N330" s="257">
        <v>1612086.78</v>
      </c>
    </row>
    <row r="331" spans="1:14" s="143" customFormat="1" x14ac:dyDescent="0.25">
      <c r="A331" s="143" t="s">
        <v>334</v>
      </c>
      <c r="B331" s="143" t="s">
        <v>136</v>
      </c>
      <c r="C331" s="143" t="s">
        <v>137</v>
      </c>
      <c r="D331" s="143" t="s">
        <v>69</v>
      </c>
      <c r="E331" s="257">
        <v>126000000</v>
      </c>
      <c r="F331" s="257">
        <v>126000000</v>
      </c>
      <c r="G331" s="257">
        <v>31500000</v>
      </c>
      <c r="H331" s="257">
        <v>0</v>
      </c>
      <c r="I331" s="257">
        <v>6406179.8499999996</v>
      </c>
      <c r="J331" s="257">
        <v>590000</v>
      </c>
      <c r="K331" s="257">
        <v>10805519.66</v>
      </c>
      <c r="L331" s="257">
        <v>5758847.96</v>
      </c>
      <c r="M331" s="257">
        <v>108198300.48999999</v>
      </c>
      <c r="N331" s="257">
        <v>13698300.49</v>
      </c>
    </row>
    <row r="332" spans="1:14" s="143" customFormat="1" x14ac:dyDescent="0.25">
      <c r="A332" s="143" t="s">
        <v>334</v>
      </c>
      <c r="B332" s="143" t="s">
        <v>138</v>
      </c>
      <c r="C332" s="143" t="s">
        <v>139</v>
      </c>
      <c r="D332" s="143" t="s">
        <v>69</v>
      </c>
      <c r="E332" s="257">
        <v>56562860</v>
      </c>
      <c r="F332" s="257">
        <v>56562860</v>
      </c>
      <c r="G332" s="257">
        <v>17877089</v>
      </c>
      <c r="H332" s="257">
        <v>0</v>
      </c>
      <c r="I332" s="257">
        <v>9789064.75</v>
      </c>
      <c r="J332" s="257">
        <v>0</v>
      </c>
      <c r="K332" s="257">
        <v>427125</v>
      </c>
      <c r="L332" s="257">
        <v>0</v>
      </c>
      <c r="M332" s="257">
        <v>46346670.25</v>
      </c>
      <c r="N332" s="257">
        <v>7660899.25</v>
      </c>
    </row>
    <row r="333" spans="1:14" s="143" customFormat="1" x14ac:dyDescent="0.25">
      <c r="A333" s="143" t="s">
        <v>334</v>
      </c>
      <c r="B333" s="143" t="s">
        <v>140</v>
      </c>
      <c r="C333" s="143" t="s">
        <v>141</v>
      </c>
      <c r="D333" s="143" t="s">
        <v>69</v>
      </c>
      <c r="E333" s="257">
        <v>128523280</v>
      </c>
      <c r="F333" s="257">
        <v>128523280</v>
      </c>
      <c r="G333" s="257">
        <v>65563280</v>
      </c>
      <c r="H333" s="257">
        <v>0</v>
      </c>
      <c r="I333" s="257">
        <v>16258605</v>
      </c>
      <c r="J333" s="257">
        <v>0</v>
      </c>
      <c r="K333" s="257">
        <v>9497975</v>
      </c>
      <c r="L333" s="257">
        <v>9002925</v>
      </c>
      <c r="M333" s="257">
        <v>102766700</v>
      </c>
      <c r="N333" s="257">
        <v>39806700</v>
      </c>
    </row>
    <row r="334" spans="1:14" s="143" customFormat="1" x14ac:dyDescent="0.25">
      <c r="A334" s="143" t="s">
        <v>334</v>
      </c>
      <c r="B334" s="143" t="s">
        <v>142</v>
      </c>
      <c r="C334" s="143" t="s">
        <v>143</v>
      </c>
      <c r="D334" s="143" t="s">
        <v>69</v>
      </c>
      <c r="E334" s="257">
        <v>4829000</v>
      </c>
      <c r="F334" s="257">
        <v>4829000</v>
      </c>
      <c r="G334" s="257">
        <v>3014210</v>
      </c>
      <c r="H334" s="257">
        <v>0</v>
      </c>
      <c r="I334" s="257">
        <v>544655</v>
      </c>
      <c r="J334" s="257">
        <v>0</v>
      </c>
      <c r="K334" s="257">
        <v>219225</v>
      </c>
      <c r="L334" s="257">
        <v>219225</v>
      </c>
      <c r="M334" s="257">
        <v>4065120</v>
      </c>
      <c r="N334" s="257">
        <v>2250330</v>
      </c>
    </row>
    <row r="335" spans="1:14" s="143" customFormat="1" x14ac:dyDescent="0.25">
      <c r="A335" s="143" t="s">
        <v>334</v>
      </c>
      <c r="B335" s="143" t="s">
        <v>144</v>
      </c>
      <c r="C335" s="143" t="s">
        <v>145</v>
      </c>
      <c r="D335" s="143" t="s">
        <v>69</v>
      </c>
      <c r="E335" s="257">
        <v>119154137</v>
      </c>
      <c r="F335" s="257">
        <v>119154137</v>
      </c>
      <c r="G335" s="257">
        <v>61414034.25</v>
      </c>
      <c r="H335" s="257">
        <v>0</v>
      </c>
      <c r="I335" s="257">
        <v>15713950</v>
      </c>
      <c r="J335" s="257">
        <v>0</v>
      </c>
      <c r="K335" s="257">
        <v>9278750</v>
      </c>
      <c r="L335" s="257">
        <v>8783700</v>
      </c>
      <c r="M335" s="257">
        <v>94161437</v>
      </c>
      <c r="N335" s="257">
        <v>36421334.25</v>
      </c>
    </row>
    <row r="336" spans="1:14" s="143" customFormat="1" x14ac:dyDescent="0.25">
      <c r="A336" s="143" t="s">
        <v>334</v>
      </c>
      <c r="B336" s="143" t="s">
        <v>146</v>
      </c>
      <c r="C336" s="143" t="s">
        <v>147</v>
      </c>
      <c r="D336" s="143" t="s">
        <v>69</v>
      </c>
      <c r="E336" s="257">
        <v>2851000</v>
      </c>
      <c r="F336" s="257">
        <v>2851000</v>
      </c>
      <c r="G336" s="257">
        <v>712750</v>
      </c>
      <c r="H336" s="257">
        <v>0</v>
      </c>
      <c r="I336" s="257">
        <v>0</v>
      </c>
      <c r="J336" s="257">
        <v>0</v>
      </c>
      <c r="K336" s="257">
        <v>0</v>
      </c>
      <c r="L336" s="257">
        <v>0</v>
      </c>
      <c r="M336" s="257">
        <v>2851000</v>
      </c>
      <c r="N336" s="257">
        <v>712750</v>
      </c>
    </row>
    <row r="337" spans="1:14" s="143" customFormat="1" x14ac:dyDescent="0.25">
      <c r="A337" s="143" t="s">
        <v>334</v>
      </c>
      <c r="B337" s="143" t="s">
        <v>148</v>
      </c>
      <c r="C337" s="143" t="s">
        <v>149</v>
      </c>
      <c r="D337" s="143" t="s">
        <v>69</v>
      </c>
      <c r="E337" s="257">
        <v>1689143</v>
      </c>
      <c r="F337" s="257">
        <v>1689143</v>
      </c>
      <c r="G337" s="257">
        <v>422285.75</v>
      </c>
      <c r="H337" s="257">
        <v>0</v>
      </c>
      <c r="I337" s="257">
        <v>0</v>
      </c>
      <c r="J337" s="257">
        <v>0</v>
      </c>
      <c r="K337" s="257">
        <v>0</v>
      </c>
      <c r="L337" s="257">
        <v>0</v>
      </c>
      <c r="M337" s="257">
        <v>1689143</v>
      </c>
      <c r="N337" s="257">
        <v>422285.75</v>
      </c>
    </row>
    <row r="338" spans="1:14" s="143" customFormat="1" x14ac:dyDescent="0.25">
      <c r="A338" s="143" t="s">
        <v>334</v>
      </c>
      <c r="B338" s="143" t="s">
        <v>150</v>
      </c>
      <c r="C338" s="143" t="s">
        <v>151</v>
      </c>
      <c r="D338" s="143" t="s">
        <v>69</v>
      </c>
      <c r="E338" s="257">
        <v>1290997262</v>
      </c>
      <c r="F338" s="257">
        <v>1290997262</v>
      </c>
      <c r="G338" s="257">
        <v>152220425.78999999</v>
      </c>
      <c r="H338" s="257">
        <v>0</v>
      </c>
      <c r="I338" s="257">
        <v>67676253.400000006</v>
      </c>
      <c r="J338" s="257">
        <v>0</v>
      </c>
      <c r="K338" s="257">
        <v>80643434.599999994</v>
      </c>
      <c r="L338" s="257">
        <v>0</v>
      </c>
      <c r="M338" s="257">
        <v>1142677574</v>
      </c>
      <c r="N338" s="257">
        <v>3900737.79</v>
      </c>
    </row>
    <row r="339" spans="1:14" s="143" customFormat="1" x14ac:dyDescent="0.25">
      <c r="A339" s="143" t="s">
        <v>334</v>
      </c>
      <c r="B339" s="143" t="s">
        <v>152</v>
      </c>
      <c r="C339" s="143" t="s">
        <v>153</v>
      </c>
      <c r="D339" s="143" t="s">
        <v>69</v>
      </c>
      <c r="E339" s="257">
        <v>1290997262</v>
      </c>
      <c r="F339" s="257">
        <v>1290997262</v>
      </c>
      <c r="G339" s="257">
        <v>152220425.78999999</v>
      </c>
      <c r="H339" s="257">
        <v>0</v>
      </c>
      <c r="I339" s="257">
        <v>67676253.400000006</v>
      </c>
      <c r="J339" s="257">
        <v>0</v>
      </c>
      <c r="K339" s="257">
        <v>80643434.599999994</v>
      </c>
      <c r="L339" s="257">
        <v>0</v>
      </c>
      <c r="M339" s="257">
        <v>1142677574</v>
      </c>
      <c r="N339" s="257">
        <v>3900737.79</v>
      </c>
    </row>
    <row r="340" spans="1:14" s="143" customFormat="1" x14ac:dyDescent="0.25">
      <c r="A340" s="143" t="s">
        <v>334</v>
      </c>
      <c r="B340" s="143" t="s">
        <v>154</v>
      </c>
      <c r="C340" s="143" t="s">
        <v>155</v>
      </c>
      <c r="D340" s="143" t="s">
        <v>69</v>
      </c>
      <c r="E340" s="257">
        <v>1413715</v>
      </c>
      <c r="F340" s="257">
        <v>1413715</v>
      </c>
      <c r="G340" s="257">
        <v>353428.75</v>
      </c>
      <c r="H340" s="257">
        <v>0</v>
      </c>
      <c r="I340" s="257">
        <v>0</v>
      </c>
      <c r="J340" s="257">
        <v>0</v>
      </c>
      <c r="K340" s="257">
        <v>0</v>
      </c>
      <c r="L340" s="257">
        <v>0</v>
      </c>
      <c r="M340" s="257">
        <v>1413715</v>
      </c>
      <c r="N340" s="257">
        <v>353428.75</v>
      </c>
    </row>
    <row r="341" spans="1:14" s="143" customFormat="1" x14ac:dyDescent="0.25">
      <c r="A341" s="143" t="s">
        <v>334</v>
      </c>
      <c r="B341" s="143" t="s">
        <v>156</v>
      </c>
      <c r="C341" s="143" t="s">
        <v>157</v>
      </c>
      <c r="D341" s="143" t="s">
        <v>69</v>
      </c>
      <c r="E341" s="257">
        <v>1413715</v>
      </c>
      <c r="F341" s="257">
        <v>1413715</v>
      </c>
      <c r="G341" s="257">
        <v>353428.75</v>
      </c>
      <c r="H341" s="257">
        <v>0</v>
      </c>
      <c r="I341" s="257">
        <v>0</v>
      </c>
      <c r="J341" s="257">
        <v>0</v>
      </c>
      <c r="K341" s="257">
        <v>0</v>
      </c>
      <c r="L341" s="257">
        <v>0</v>
      </c>
      <c r="M341" s="257">
        <v>1413715</v>
      </c>
      <c r="N341" s="257">
        <v>353428.75</v>
      </c>
    </row>
    <row r="342" spans="1:14" s="143" customFormat="1" x14ac:dyDescent="0.25">
      <c r="A342" s="143" t="s">
        <v>334</v>
      </c>
      <c r="B342" s="143" t="s">
        <v>162</v>
      </c>
      <c r="C342" s="143" t="s">
        <v>163</v>
      </c>
      <c r="D342" s="143" t="s">
        <v>69</v>
      </c>
      <c r="E342" s="257">
        <v>594069615</v>
      </c>
      <c r="F342" s="257">
        <v>594069615</v>
      </c>
      <c r="G342" s="257">
        <v>406976347.5</v>
      </c>
      <c r="H342" s="257">
        <v>13349017</v>
      </c>
      <c r="I342" s="257">
        <v>215864399.88</v>
      </c>
      <c r="J342" s="257">
        <v>0</v>
      </c>
      <c r="K342" s="257">
        <v>55956795.630000003</v>
      </c>
      <c r="L342" s="257">
        <v>7271251.2699999996</v>
      </c>
      <c r="M342" s="257">
        <v>308899402.49000001</v>
      </c>
      <c r="N342" s="257">
        <v>121806134.98999999</v>
      </c>
    </row>
    <row r="343" spans="1:14" s="143" customFormat="1" x14ac:dyDescent="0.25">
      <c r="A343" s="143" t="s">
        <v>334</v>
      </c>
      <c r="B343" s="143" t="s">
        <v>310</v>
      </c>
      <c r="C343" s="143" t="s">
        <v>311</v>
      </c>
      <c r="D343" s="143" t="s">
        <v>69</v>
      </c>
      <c r="E343" s="257">
        <v>125656000</v>
      </c>
      <c r="F343" s="257">
        <v>125656000</v>
      </c>
      <c r="G343" s="257">
        <v>31414000</v>
      </c>
      <c r="H343" s="257">
        <v>13349017</v>
      </c>
      <c r="I343" s="257">
        <v>0</v>
      </c>
      <c r="J343" s="257">
        <v>0</v>
      </c>
      <c r="K343" s="257">
        <v>0</v>
      </c>
      <c r="L343" s="257">
        <v>0</v>
      </c>
      <c r="M343" s="257">
        <v>112306983</v>
      </c>
      <c r="N343" s="257">
        <v>18064983</v>
      </c>
    </row>
    <row r="344" spans="1:14" s="143" customFormat="1" x14ac:dyDescent="0.25">
      <c r="A344" s="143" t="s">
        <v>334</v>
      </c>
      <c r="B344" s="143" t="s">
        <v>164</v>
      </c>
      <c r="C344" s="143" t="s">
        <v>165</v>
      </c>
      <c r="D344" s="143" t="s">
        <v>69</v>
      </c>
      <c r="E344" s="257">
        <v>188229817</v>
      </c>
      <c r="F344" s="257">
        <v>188229817</v>
      </c>
      <c r="G344" s="257">
        <v>188229817</v>
      </c>
      <c r="H344" s="257">
        <v>0</v>
      </c>
      <c r="I344" s="257">
        <v>111180019.48999999</v>
      </c>
      <c r="J344" s="257">
        <v>0</v>
      </c>
      <c r="K344" s="257">
        <v>46922302.460000001</v>
      </c>
      <c r="L344" s="257">
        <v>0</v>
      </c>
      <c r="M344" s="257">
        <v>30127495.050000001</v>
      </c>
      <c r="N344" s="257">
        <v>30127495.050000001</v>
      </c>
    </row>
    <row r="345" spans="1:14" s="143" customFormat="1" x14ac:dyDescent="0.25">
      <c r="A345" s="143" t="s">
        <v>334</v>
      </c>
      <c r="B345" s="143" t="s">
        <v>166</v>
      </c>
      <c r="C345" s="143" t="s">
        <v>167</v>
      </c>
      <c r="D345" s="143" t="s">
        <v>69</v>
      </c>
      <c r="E345" s="257">
        <v>95028648</v>
      </c>
      <c r="F345" s="257">
        <v>95028648</v>
      </c>
      <c r="G345" s="257">
        <v>95028648</v>
      </c>
      <c r="H345" s="257">
        <v>0</v>
      </c>
      <c r="I345" s="257">
        <v>47320127.490000002</v>
      </c>
      <c r="J345" s="257">
        <v>0</v>
      </c>
      <c r="K345" s="257">
        <v>7805286.7699999996</v>
      </c>
      <c r="L345" s="257">
        <v>6432044.8700000001</v>
      </c>
      <c r="M345" s="257">
        <v>39903233.740000002</v>
      </c>
      <c r="N345" s="257">
        <v>39903233.740000002</v>
      </c>
    </row>
    <row r="346" spans="1:14" s="143" customFormat="1" x14ac:dyDescent="0.25">
      <c r="A346" s="143" t="s">
        <v>334</v>
      </c>
      <c r="B346" s="143" t="s">
        <v>312</v>
      </c>
      <c r="C346" s="143" t="s">
        <v>313</v>
      </c>
      <c r="D346" s="143" t="s">
        <v>69</v>
      </c>
      <c r="E346" s="257">
        <v>6300000</v>
      </c>
      <c r="F346" s="257">
        <v>6300000</v>
      </c>
      <c r="G346" s="257">
        <v>6300000</v>
      </c>
      <c r="H346" s="257">
        <v>0</v>
      </c>
      <c r="I346" s="257">
        <v>0</v>
      </c>
      <c r="J346" s="257">
        <v>0</v>
      </c>
      <c r="K346" s="257">
        <v>0</v>
      </c>
      <c r="L346" s="257">
        <v>0</v>
      </c>
      <c r="M346" s="257">
        <v>6300000</v>
      </c>
      <c r="N346" s="257">
        <v>6300000</v>
      </c>
    </row>
    <row r="347" spans="1:14" s="143" customFormat="1" x14ac:dyDescent="0.25">
      <c r="A347" s="143" t="s">
        <v>334</v>
      </c>
      <c r="B347" s="143" t="s">
        <v>168</v>
      </c>
      <c r="C347" s="143" t="s">
        <v>169</v>
      </c>
      <c r="D347" s="143" t="s">
        <v>69</v>
      </c>
      <c r="E347" s="257">
        <v>11141667</v>
      </c>
      <c r="F347" s="257">
        <v>11141667</v>
      </c>
      <c r="G347" s="257">
        <v>11141666.75</v>
      </c>
      <c r="H347" s="257">
        <v>0</v>
      </c>
      <c r="I347" s="257">
        <v>1305000</v>
      </c>
      <c r="J347" s="257">
        <v>0</v>
      </c>
      <c r="K347" s="257">
        <v>390000</v>
      </c>
      <c r="L347" s="257">
        <v>0</v>
      </c>
      <c r="M347" s="257">
        <v>9446667</v>
      </c>
      <c r="N347" s="257">
        <v>9446666.75</v>
      </c>
    </row>
    <row r="348" spans="1:14" s="143" customFormat="1" x14ac:dyDescent="0.25">
      <c r="A348" s="143" t="s">
        <v>334</v>
      </c>
      <c r="B348" s="143" t="s">
        <v>170</v>
      </c>
      <c r="C348" s="143" t="s">
        <v>171</v>
      </c>
      <c r="D348" s="143" t="s">
        <v>69</v>
      </c>
      <c r="E348" s="257">
        <v>40562000</v>
      </c>
      <c r="F348" s="257">
        <v>40562000</v>
      </c>
      <c r="G348" s="257">
        <v>11286475</v>
      </c>
      <c r="H348" s="257">
        <v>0</v>
      </c>
      <c r="I348" s="257">
        <v>11286474.789999999</v>
      </c>
      <c r="J348" s="257">
        <v>0</v>
      </c>
      <c r="K348" s="257">
        <v>0</v>
      </c>
      <c r="L348" s="257">
        <v>0</v>
      </c>
      <c r="M348" s="257">
        <v>29275525.210000001</v>
      </c>
      <c r="N348" s="257">
        <v>0.21</v>
      </c>
    </row>
    <row r="349" spans="1:14" s="143" customFormat="1" x14ac:dyDescent="0.25">
      <c r="A349" s="143" t="s">
        <v>334</v>
      </c>
      <c r="B349" s="143" t="s">
        <v>172</v>
      </c>
      <c r="C349" s="143" t="s">
        <v>173</v>
      </c>
      <c r="D349" s="143" t="s">
        <v>69</v>
      </c>
      <c r="E349" s="257">
        <v>127151483</v>
      </c>
      <c r="F349" s="257">
        <v>127151483</v>
      </c>
      <c r="G349" s="257">
        <v>63575740.75</v>
      </c>
      <c r="H349" s="257">
        <v>0</v>
      </c>
      <c r="I349" s="257">
        <v>44772778.109999999</v>
      </c>
      <c r="J349" s="257">
        <v>0</v>
      </c>
      <c r="K349" s="257">
        <v>839206.40000000002</v>
      </c>
      <c r="L349" s="257">
        <v>839206.40000000002</v>
      </c>
      <c r="M349" s="257">
        <v>81539498.489999995</v>
      </c>
      <c r="N349" s="257">
        <v>17963756.239999998</v>
      </c>
    </row>
    <row r="350" spans="1:14" s="143" customFormat="1" x14ac:dyDescent="0.25">
      <c r="A350" s="143" t="s">
        <v>334</v>
      </c>
      <c r="B350" s="143" t="s">
        <v>174</v>
      </c>
      <c r="C350" s="143" t="s">
        <v>175</v>
      </c>
      <c r="D350" s="143" t="s">
        <v>69</v>
      </c>
      <c r="E350" s="257">
        <v>11126154</v>
      </c>
      <c r="F350" s="257">
        <v>11126154</v>
      </c>
      <c r="G350" s="257">
        <v>2781538.5</v>
      </c>
      <c r="H350" s="257">
        <v>0</v>
      </c>
      <c r="I350" s="257">
        <v>1732219</v>
      </c>
      <c r="J350" s="257">
        <v>0</v>
      </c>
      <c r="K350" s="257">
        <v>78882</v>
      </c>
      <c r="L350" s="257">
        <v>0</v>
      </c>
      <c r="M350" s="257">
        <v>9315053</v>
      </c>
      <c r="N350" s="257">
        <v>970437.5</v>
      </c>
    </row>
    <row r="351" spans="1:14" s="143" customFormat="1" x14ac:dyDescent="0.25">
      <c r="A351" s="143" t="s">
        <v>334</v>
      </c>
      <c r="B351" s="143" t="s">
        <v>176</v>
      </c>
      <c r="C351" s="143" t="s">
        <v>177</v>
      </c>
      <c r="D351" s="143" t="s">
        <v>69</v>
      </c>
      <c r="E351" s="257">
        <v>11126154</v>
      </c>
      <c r="F351" s="257">
        <v>11126154</v>
      </c>
      <c r="G351" s="257">
        <v>2781538.5</v>
      </c>
      <c r="H351" s="257">
        <v>0</v>
      </c>
      <c r="I351" s="257">
        <v>1732219</v>
      </c>
      <c r="J351" s="257">
        <v>0</v>
      </c>
      <c r="K351" s="257">
        <v>78882</v>
      </c>
      <c r="L351" s="257">
        <v>0</v>
      </c>
      <c r="M351" s="257">
        <v>9315053</v>
      </c>
      <c r="N351" s="257">
        <v>970437.5</v>
      </c>
    </row>
    <row r="352" spans="1:14" s="143" customFormat="1" x14ac:dyDescent="0.25">
      <c r="A352" s="143" t="s">
        <v>334</v>
      </c>
      <c r="B352" s="143" t="s">
        <v>178</v>
      </c>
      <c r="C352" s="143" t="s">
        <v>179</v>
      </c>
      <c r="D352" s="143" t="s">
        <v>69</v>
      </c>
      <c r="E352" s="257">
        <v>18666301</v>
      </c>
      <c r="F352" s="257">
        <v>18666301</v>
      </c>
      <c r="G352" s="257">
        <v>6916575.25</v>
      </c>
      <c r="H352" s="257">
        <v>0</v>
      </c>
      <c r="I352" s="257">
        <v>63192743.159999996</v>
      </c>
      <c r="J352" s="257">
        <v>0</v>
      </c>
      <c r="K352" s="257">
        <v>73861.25</v>
      </c>
      <c r="L352" s="257">
        <v>0</v>
      </c>
      <c r="M352" s="257">
        <v>-44600303.409999996</v>
      </c>
      <c r="N352" s="257">
        <v>-56350029.159999996</v>
      </c>
    </row>
    <row r="353" spans="1:14" s="143" customFormat="1" x14ac:dyDescent="0.25">
      <c r="A353" s="143" t="s">
        <v>334</v>
      </c>
      <c r="B353" s="143" t="s">
        <v>348</v>
      </c>
      <c r="C353" s="143" t="s">
        <v>349</v>
      </c>
      <c r="D353" s="143" t="s">
        <v>69</v>
      </c>
      <c r="E353" s="257">
        <v>3000000</v>
      </c>
      <c r="F353" s="257">
        <v>3000000</v>
      </c>
      <c r="G353" s="257">
        <v>3000000</v>
      </c>
      <c r="H353" s="257">
        <v>0</v>
      </c>
      <c r="I353" s="257">
        <v>988552.45</v>
      </c>
      <c r="J353" s="257">
        <v>0</v>
      </c>
      <c r="K353" s="257">
        <v>73861.25</v>
      </c>
      <c r="L353" s="257">
        <v>0</v>
      </c>
      <c r="M353" s="257">
        <v>1937586.3</v>
      </c>
      <c r="N353" s="257">
        <v>1937586.3</v>
      </c>
    </row>
    <row r="354" spans="1:14" s="143" customFormat="1" x14ac:dyDescent="0.25">
      <c r="A354" s="143" t="s">
        <v>334</v>
      </c>
      <c r="B354" s="143" t="s">
        <v>180</v>
      </c>
      <c r="C354" s="143" t="s">
        <v>181</v>
      </c>
      <c r="D354" s="143" t="s">
        <v>69</v>
      </c>
      <c r="E354" s="257">
        <v>1275676</v>
      </c>
      <c r="F354" s="257">
        <v>1275676</v>
      </c>
      <c r="G354" s="257">
        <v>318919</v>
      </c>
      <c r="H354" s="257">
        <v>0</v>
      </c>
      <c r="I354" s="257">
        <v>47166460.710000001</v>
      </c>
      <c r="J354" s="257">
        <v>0</v>
      </c>
      <c r="K354" s="257">
        <v>0</v>
      </c>
      <c r="L354" s="257">
        <v>0</v>
      </c>
      <c r="M354" s="257">
        <v>-45890784.710000001</v>
      </c>
      <c r="N354" s="257">
        <v>-46847541.710000001</v>
      </c>
    </row>
    <row r="355" spans="1:14" s="143" customFormat="1" x14ac:dyDescent="0.25">
      <c r="A355" s="143" t="s">
        <v>334</v>
      </c>
      <c r="B355" s="143" t="s">
        <v>182</v>
      </c>
      <c r="C355" s="143" t="s">
        <v>183</v>
      </c>
      <c r="D355" s="143" t="s">
        <v>69</v>
      </c>
      <c r="E355" s="257">
        <v>14390625</v>
      </c>
      <c r="F355" s="257">
        <v>14390625</v>
      </c>
      <c r="G355" s="257">
        <v>3597656.25</v>
      </c>
      <c r="H355" s="257">
        <v>0</v>
      </c>
      <c r="I355" s="257">
        <v>15037730</v>
      </c>
      <c r="J355" s="257">
        <v>0</v>
      </c>
      <c r="K355" s="257">
        <v>0</v>
      </c>
      <c r="L355" s="257">
        <v>0</v>
      </c>
      <c r="M355" s="275">
        <v>-647105</v>
      </c>
      <c r="N355" s="257">
        <v>-11440073.75</v>
      </c>
    </row>
    <row r="356" spans="1:14" s="143" customFormat="1" x14ac:dyDescent="0.25">
      <c r="A356" s="143" t="s">
        <v>334</v>
      </c>
      <c r="B356" s="143" t="s">
        <v>184</v>
      </c>
      <c r="C356" s="143" t="s">
        <v>185</v>
      </c>
      <c r="D356" s="143" t="s">
        <v>69</v>
      </c>
      <c r="E356" s="257">
        <v>14015826994</v>
      </c>
      <c r="F356" s="257">
        <v>14015826994</v>
      </c>
      <c r="G356" s="257">
        <v>3448088258.5</v>
      </c>
      <c r="H356" s="257">
        <v>776986328.79999995</v>
      </c>
      <c r="I356" s="257">
        <v>865013800.10000002</v>
      </c>
      <c r="J356" s="257">
        <v>161911600.21000001</v>
      </c>
      <c r="K356" s="257">
        <v>930709907.05999994</v>
      </c>
      <c r="L356" s="257">
        <v>601121143.70000005</v>
      </c>
      <c r="M356" s="257">
        <v>11281205357.83</v>
      </c>
      <c r="N356" s="257">
        <v>713466622.33000004</v>
      </c>
    </row>
    <row r="357" spans="1:14" s="143" customFormat="1" x14ac:dyDescent="0.25">
      <c r="A357" s="143" t="s">
        <v>334</v>
      </c>
      <c r="B357" s="143" t="s">
        <v>186</v>
      </c>
      <c r="C357" s="143" t="s">
        <v>187</v>
      </c>
      <c r="D357" s="143" t="s">
        <v>69</v>
      </c>
      <c r="E357" s="257">
        <v>777682724</v>
      </c>
      <c r="F357" s="257">
        <v>777682724</v>
      </c>
      <c r="G357" s="257">
        <v>194420681</v>
      </c>
      <c r="H357" s="257">
        <v>0</v>
      </c>
      <c r="I357" s="257">
        <v>40197875.130000003</v>
      </c>
      <c r="J357" s="257">
        <v>0</v>
      </c>
      <c r="K357" s="257">
        <v>73071805.159999996</v>
      </c>
      <c r="L357" s="257">
        <v>55488030.630000003</v>
      </c>
      <c r="M357" s="257">
        <v>664413043.71000004</v>
      </c>
      <c r="N357" s="257">
        <v>81151000.709999993</v>
      </c>
    </row>
    <row r="358" spans="1:14" s="143" customFormat="1" x14ac:dyDescent="0.25">
      <c r="A358" s="143" t="s">
        <v>334</v>
      </c>
      <c r="B358" s="143" t="s">
        <v>188</v>
      </c>
      <c r="C358" s="143" t="s">
        <v>189</v>
      </c>
      <c r="D358" s="143" t="s">
        <v>69</v>
      </c>
      <c r="E358" s="257">
        <v>543016724</v>
      </c>
      <c r="F358" s="257">
        <v>543016724</v>
      </c>
      <c r="G358" s="257">
        <v>135754181</v>
      </c>
      <c r="H358" s="257">
        <v>0</v>
      </c>
      <c r="I358" s="257">
        <v>40009139.130000003</v>
      </c>
      <c r="J358" s="257">
        <v>0</v>
      </c>
      <c r="K358" s="257">
        <v>72993880.159999996</v>
      </c>
      <c r="L358" s="257">
        <v>55464530.630000003</v>
      </c>
      <c r="M358" s="257">
        <v>430013704.70999998</v>
      </c>
      <c r="N358" s="257">
        <v>22751161.710000001</v>
      </c>
    </row>
    <row r="359" spans="1:14" s="143" customFormat="1" x14ac:dyDescent="0.25">
      <c r="A359" s="143" t="s">
        <v>334</v>
      </c>
      <c r="B359" s="143" t="s">
        <v>190</v>
      </c>
      <c r="C359" s="143" t="s">
        <v>191</v>
      </c>
      <c r="D359" s="143" t="s">
        <v>69</v>
      </c>
      <c r="E359" s="257">
        <v>195656000</v>
      </c>
      <c r="F359" s="257">
        <v>195656000</v>
      </c>
      <c r="G359" s="257">
        <v>48914000</v>
      </c>
      <c r="H359" s="257">
        <v>0</v>
      </c>
      <c r="I359" s="257">
        <v>0</v>
      </c>
      <c r="J359" s="257">
        <v>0</v>
      </c>
      <c r="K359" s="257">
        <v>0</v>
      </c>
      <c r="L359" s="257">
        <v>0</v>
      </c>
      <c r="M359" s="257">
        <v>195656000</v>
      </c>
      <c r="N359" s="257">
        <v>48914000</v>
      </c>
    </row>
    <row r="360" spans="1:14" s="143" customFormat="1" x14ac:dyDescent="0.25">
      <c r="A360" s="143" t="s">
        <v>334</v>
      </c>
      <c r="B360" s="143" t="s">
        <v>350</v>
      </c>
      <c r="C360" s="143" t="s">
        <v>351</v>
      </c>
      <c r="D360" s="143" t="s">
        <v>69</v>
      </c>
      <c r="E360" s="257">
        <v>2674000</v>
      </c>
      <c r="F360" s="257">
        <v>2674000</v>
      </c>
      <c r="G360" s="257">
        <v>668500</v>
      </c>
      <c r="H360" s="257">
        <v>0</v>
      </c>
      <c r="I360" s="257">
        <v>42846</v>
      </c>
      <c r="J360" s="257">
        <v>0</v>
      </c>
      <c r="K360" s="257">
        <v>77925</v>
      </c>
      <c r="L360" s="257">
        <v>23500</v>
      </c>
      <c r="M360" s="257">
        <v>2553229</v>
      </c>
      <c r="N360" s="257">
        <v>547729</v>
      </c>
    </row>
    <row r="361" spans="1:14" s="143" customFormat="1" x14ac:dyDescent="0.25">
      <c r="A361" s="143" t="s">
        <v>334</v>
      </c>
      <c r="B361" s="143" t="s">
        <v>192</v>
      </c>
      <c r="C361" s="143" t="s">
        <v>193</v>
      </c>
      <c r="D361" s="143" t="s">
        <v>69</v>
      </c>
      <c r="E361" s="257">
        <v>30373000</v>
      </c>
      <c r="F361" s="257">
        <v>30373000</v>
      </c>
      <c r="G361" s="257">
        <v>7593250</v>
      </c>
      <c r="H361" s="257">
        <v>0</v>
      </c>
      <c r="I361" s="257">
        <v>145890</v>
      </c>
      <c r="J361" s="257">
        <v>0</v>
      </c>
      <c r="K361" s="257">
        <v>0</v>
      </c>
      <c r="L361" s="257">
        <v>0</v>
      </c>
      <c r="M361" s="257">
        <v>30227110</v>
      </c>
      <c r="N361" s="257">
        <v>7447360</v>
      </c>
    </row>
    <row r="362" spans="1:14" s="143" customFormat="1" x14ac:dyDescent="0.25">
      <c r="A362" s="143" t="s">
        <v>334</v>
      </c>
      <c r="B362" s="143" t="s">
        <v>194</v>
      </c>
      <c r="C362" s="143" t="s">
        <v>195</v>
      </c>
      <c r="D362" s="143" t="s">
        <v>69</v>
      </c>
      <c r="E362" s="257">
        <v>5963000</v>
      </c>
      <c r="F362" s="257">
        <v>5963000</v>
      </c>
      <c r="G362" s="257">
        <v>1490750</v>
      </c>
      <c r="H362" s="257">
        <v>0</v>
      </c>
      <c r="I362" s="257">
        <v>0</v>
      </c>
      <c r="J362" s="257">
        <v>0</v>
      </c>
      <c r="K362" s="257">
        <v>0</v>
      </c>
      <c r="L362" s="257">
        <v>0</v>
      </c>
      <c r="M362" s="257">
        <v>5963000</v>
      </c>
      <c r="N362" s="257">
        <v>1490750</v>
      </c>
    </row>
    <row r="363" spans="1:14" s="143" customFormat="1" x14ac:dyDescent="0.25">
      <c r="A363" s="143" t="s">
        <v>334</v>
      </c>
      <c r="B363" s="143" t="s">
        <v>196</v>
      </c>
      <c r="C363" s="143" t="s">
        <v>197</v>
      </c>
      <c r="D363" s="143" t="s">
        <v>69</v>
      </c>
      <c r="E363" s="257">
        <v>10984366500</v>
      </c>
      <c r="F363" s="257">
        <v>10984366500</v>
      </c>
      <c r="G363" s="257">
        <v>2532474150</v>
      </c>
      <c r="H363" s="257">
        <v>776986328.79999995</v>
      </c>
      <c r="I363" s="257">
        <v>709396720.99000001</v>
      </c>
      <c r="J363" s="257">
        <v>116450666.66</v>
      </c>
      <c r="K363" s="257">
        <v>778381962.25</v>
      </c>
      <c r="L363" s="257">
        <v>489728331.39999998</v>
      </c>
      <c r="M363" s="257">
        <v>8603150821.2999992</v>
      </c>
      <c r="N363" s="257">
        <v>151258471.30000001</v>
      </c>
    </row>
    <row r="364" spans="1:14" s="143" customFormat="1" x14ac:dyDescent="0.25">
      <c r="A364" s="143" t="s">
        <v>334</v>
      </c>
      <c r="B364" s="143" t="s">
        <v>198</v>
      </c>
      <c r="C364" s="143" t="s">
        <v>199</v>
      </c>
      <c r="D364" s="143" t="s">
        <v>69</v>
      </c>
      <c r="E364" s="257">
        <v>10972726000</v>
      </c>
      <c r="F364" s="257">
        <v>10972726000</v>
      </c>
      <c r="G364" s="257">
        <v>2529564025</v>
      </c>
      <c r="H364" s="257">
        <v>776986328.79999995</v>
      </c>
      <c r="I364" s="257">
        <v>709396720.99000001</v>
      </c>
      <c r="J364" s="257">
        <v>116450666.66</v>
      </c>
      <c r="K364" s="257">
        <v>778381962.25</v>
      </c>
      <c r="L364" s="257">
        <v>489728331.39999998</v>
      </c>
      <c r="M364" s="257">
        <v>8591510321.2999992</v>
      </c>
      <c r="N364" s="257">
        <v>148348346.30000001</v>
      </c>
    </row>
    <row r="365" spans="1:14" s="143" customFormat="1" x14ac:dyDescent="0.25">
      <c r="A365" s="143" t="s">
        <v>334</v>
      </c>
      <c r="B365" s="143" t="s">
        <v>352</v>
      </c>
      <c r="C365" s="143" t="s">
        <v>353</v>
      </c>
      <c r="D365" s="143" t="s">
        <v>69</v>
      </c>
      <c r="E365" s="257">
        <v>11640500</v>
      </c>
      <c r="F365" s="257">
        <v>11640500</v>
      </c>
      <c r="G365" s="257">
        <v>2910125</v>
      </c>
      <c r="H365" s="257">
        <v>0</v>
      </c>
      <c r="I365" s="257">
        <v>0</v>
      </c>
      <c r="J365" s="257">
        <v>0</v>
      </c>
      <c r="K365" s="257">
        <v>0</v>
      </c>
      <c r="L365" s="257">
        <v>0</v>
      </c>
      <c r="M365" s="257">
        <v>11640500</v>
      </c>
      <c r="N365" s="257">
        <v>2910125</v>
      </c>
    </row>
    <row r="366" spans="1:14" s="143" customFormat="1" x14ac:dyDescent="0.25">
      <c r="A366" s="143" t="s">
        <v>334</v>
      </c>
      <c r="B366" s="143" t="s">
        <v>200</v>
      </c>
      <c r="C366" s="143" t="s">
        <v>201</v>
      </c>
      <c r="D366" s="143" t="s">
        <v>69</v>
      </c>
      <c r="E366" s="257">
        <v>446867786</v>
      </c>
      <c r="F366" s="257">
        <v>446867786</v>
      </c>
      <c r="G366" s="257">
        <v>100824215.5</v>
      </c>
      <c r="H366" s="257">
        <v>0</v>
      </c>
      <c r="I366" s="257">
        <v>12968098.18</v>
      </c>
      <c r="J366" s="257">
        <v>10515530</v>
      </c>
      <c r="K366" s="257">
        <v>26335949</v>
      </c>
      <c r="L366" s="257">
        <v>15571828</v>
      </c>
      <c r="M366" s="257">
        <v>397048208.81999999</v>
      </c>
      <c r="N366" s="257">
        <v>51004638.32</v>
      </c>
    </row>
    <row r="367" spans="1:14" s="143" customFormat="1" x14ac:dyDescent="0.25">
      <c r="A367" s="143" t="s">
        <v>334</v>
      </c>
      <c r="B367" s="143" t="s">
        <v>314</v>
      </c>
      <c r="C367" s="143" t="s">
        <v>315</v>
      </c>
      <c r="D367" s="143" t="s">
        <v>69</v>
      </c>
      <c r="E367" s="257">
        <v>122902000</v>
      </c>
      <c r="F367" s="257">
        <v>122902000</v>
      </c>
      <c r="G367" s="257">
        <v>28643820</v>
      </c>
      <c r="H367" s="257">
        <v>0</v>
      </c>
      <c r="I367" s="257">
        <v>3009224</v>
      </c>
      <c r="J367" s="257">
        <v>0</v>
      </c>
      <c r="K367" s="257">
        <v>3306875</v>
      </c>
      <c r="L367" s="257">
        <v>0</v>
      </c>
      <c r="M367" s="257">
        <v>116585901</v>
      </c>
      <c r="N367" s="257">
        <v>22327721</v>
      </c>
    </row>
    <row r="368" spans="1:14" s="143" customFormat="1" x14ac:dyDescent="0.25">
      <c r="A368" s="143" t="s">
        <v>334</v>
      </c>
      <c r="B368" s="143" t="s">
        <v>316</v>
      </c>
      <c r="C368" s="143" t="s">
        <v>317</v>
      </c>
      <c r="D368" s="143" t="s">
        <v>69</v>
      </c>
      <c r="E368" s="257">
        <v>50168000</v>
      </c>
      <c r="F368" s="257">
        <v>50168000</v>
      </c>
      <c r="G368" s="257">
        <v>12542000</v>
      </c>
      <c r="H368" s="257">
        <v>0</v>
      </c>
      <c r="I368" s="257">
        <v>2687883</v>
      </c>
      <c r="J368" s="257">
        <v>1247760</v>
      </c>
      <c r="K368" s="257">
        <v>0</v>
      </c>
      <c r="L368" s="257">
        <v>0</v>
      </c>
      <c r="M368" s="257">
        <v>46232357</v>
      </c>
      <c r="N368" s="257">
        <v>8606357</v>
      </c>
    </row>
    <row r="369" spans="1:14" s="143" customFormat="1" x14ac:dyDescent="0.25">
      <c r="A369" s="143" t="s">
        <v>334</v>
      </c>
      <c r="B369" s="143" t="s">
        <v>318</v>
      </c>
      <c r="C369" s="143" t="s">
        <v>319</v>
      </c>
      <c r="D369" s="143" t="s">
        <v>69</v>
      </c>
      <c r="E369" s="257">
        <v>89195672</v>
      </c>
      <c r="F369" s="257">
        <v>89195672</v>
      </c>
      <c r="G369" s="257">
        <v>39170598</v>
      </c>
      <c r="H369" s="257">
        <v>0</v>
      </c>
      <c r="I369" s="257">
        <v>6955000</v>
      </c>
      <c r="J369" s="257">
        <v>9267770</v>
      </c>
      <c r="K369" s="257">
        <v>22947828</v>
      </c>
      <c r="L369" s="257">
        <v>15571828</v>
      </c>
      <c r="M369" s="257">
        <v>50025074</v>
      </c>
      <c r="N369" s="257">
        <v>0</v>
      </c>
    </row>
    <row r="370" spans="1:14" s="143" customFormat="1" x14ac:dyDescent="0.25">
      <c r="A370" s="143" t="s">
        <v>334</v>
      </c>
      <c r="B370" s="143" t="s">
        <v>202</v>
      </c>
      <c r="C370" s="143" t="s">
        <v>203</v>
      </c>
      <c r="D370" s="143" t="s">
        <v>69</v>
      </c>
      <c r="E370" s="257">
        <v>90316000</v>
      </c>
      <c r="F370" s="257">
        <v>90316000</v>
      </c>
      <c r="G370" s="257">
        <v>7789000</v>
      </c>
      <c r="H370" s="257">
        <v>0</v>
      </c>
      <c r="I370" s="257">
        <v>292627</v>
      </c>
      <c r="J370" s="257">
        <v>0</v>
      </c>
      <c r="K370" s="257">
        <v>81246</v>
      </c>
      <c r="L370" s="257">
        <v>0</v>
      </c>
      <c r="M370" s="257">
        <v>89942127</v>
      </c>
      <c r="N370" s="257">
        <v>7415127</v>
      </c>
    </row>
    <row r="371" spans="1:14" s="143" customFormat="1" x14ac:dyDescent="0.25">
      <c r="A371" s="143" t="s">
        <v>334</v>
      </c>
      <c r="B371" s="143" t="s">
        <v>320</v>
      </c>
      <c r="C371" s="143" t="s">
        <v>321</v>
      </c>
      <c r="D371" s="143" t="s">
        <v>69</v>
      </c>
      <c r="E371" s="257">
        <v>7059000</v>
      </c>
      <c r="F371" s="257">
        <v>7059000</v>
      </c>
      <c r="G371" s="257">
        <v>2481183</v>
      </c>
      <c r="H371" s="257">
        <v>0</v>
      </c>
      <c r="I371" s="257">
        <v>0</v>
      </c>
      <c r="J371" s="257">
        <v>0</v>
      </c>
      <c r="K371" s="257">
        <v>0</v>
      </c>
      <c r="L371" s="257">
        <v>0</v>
      </c>
      <c r="M371" s="257">
        <v>7059000</v>
      </c>
      <c r="N371" s="257">
        <v>2481183</v>
      </c>
    </row>
    <row r="372" spans="1:14" s="143" customFormat="1" x14ac:dyDescent="0.25">
      <c r="A372" s="143" t="s">
        <v>334</v>
      </c>
      <c r="B372" s="143" t="s">
        <v>204</v>
      </c>
      <c r="C372" s="143" t="s">
        <v>205</v>
      </c>
      <c r="D372" s="143" t="s">
        <v>69</v>
      </c>
      <c r="E372" s="257">
        <v>61279000</v>
      </c>
      <c r="F372" s="257">
        <v>61279000</v>
      </c>
      <c r="G372" s="257">
        <v>3710586</v>
      </c>
      <c r="H372" s="257">
        <v>0</v>
      </c>
      <c r="I372" s="257">
        <v>23364.18</v>
      </c>
      <c r="J372" s="257">
        <v>0</v>
      </c>
      <c r="K372" s="257">
        <v>0</v>
      </c>
      <c r="L372" s="257">
        <v>0</v>
      </c>
      <c r="M372" s="257">
        <v>61255635.82</v>
      </c>
      <c r="N372" s="257">
        <v>3687221.82</v>
      </c>
    </row>
    <row r="373" spans="1:14" s="143" customFormat="1" x14ac:dyDescent="0.25">
      <c r="A373" s="143" t="s">
        <v>334</v>
      </c>
      <c r="B373" s="143" t="s">
        <v>322</v>
      </c>
      <c r="C373" s="143" t="s">
        <v>323</v>
      </c>
      <c r="D373" s="143" t="s">
        <v>69</v>
      </c>
      <c r="E373" s="257">
        <v>25948114</v>
      </c>
      <c r="F373" s="257">
        <v>25948114</v>
      </c>
      <c r="G373" s="257">
        <v>6487028.5</v>
      </c>
      <c r="H373" s="257">
        <v>0</v>
      </c>
      <c r="I373" s="257">
        <v>0</v>
      </c>
      <c r="J373" s="257">
        <v>0</v>
      </c>
      <c r="K373" s="257">
        <v>0</v>
      </c>
      <c r="L373" s="257">
        <v>0</v>
      </c>
      <c r="M373" s="257">
        <v>25948114</v>
      </c>
      <c r="N373" s="257">
        <v>6487028.5</v>
      </c>
    </row>
    <row r="374" spans="1:14" s="143" customFormat="1" x14ac:dyDescent="0.25">
      <c r="A374" s="143" t="s">
        <v>334</v>
      </c>
      <c r="B374" s="143" t="s">
        <v>206</v>
      </c>
      <c r="C374" s="143" t="s">
        <v>207</v>
      </c>
      <c r="D374" s="143" t="s">
        <v>69</v>
      </c>
      <c r="E374" s="257">
        <v>150560000</v>
      </c>
      <c r="F374" s="257">
        <v>150560000</v>
      </c>
      <c r="G374" s="257">
        <v>65328080</v>
      </c>
      <c r="H374" s="257">
        <v>0</v>
      </c>
      <c r="I374" s="257">
        <v>24168517.219999999</v>
      </c>
      <c r="J374" s="257">
        <v>5568500</v>
      </c>
      <c r="K374" s="257">
        <v>12005143.449999999</v>
      </c>
      <c r="L374" s="257">
        <v>832538.47</v>
      </c>
      <c r="M374" s="257">
        <v>108817839.33</v>
      </c>
      <c r="N374" s="257">
        <v>23585919.329999998</v>
      </c>
    </row>
    <row r="375" spans="1:14" s="143" customFormat="1" x14ac:dyDescent="0.25">
      <c r="A375" s="143" t="s">
        <v>334</v>
      </c>
      <c r="B375" s="143" t="s">
        <v>208</v>
      </c>
      <c r="C375" s="143" t="s">
        <v>209</v>
      </c>
      <c r="D375" s="143" t="s">
        <v>69</v>
      </c>
      <c r="E375" s="257">
        <v>53615000</v>
      </c>
      <c r="F375" s="257">
        <v>53615000</v>
      </c>
      <c r="G375" s="257">
        <v>16855580</v>
      </c>
      <c r="H375" s="257">
        <v>0</v>
      </c>
      <c r="I375" s="257">
        <v>7540000</v>
      </c>
      <c r="J375" s="257">
        <v>5568500</v>
      </c>
      <c r="K375" s="257">
        <v>3747080</v>
      </c>
      <c r="L375" s="257">
        <v>0</v>
      </c>
      <c r="M375" s="257">
        <v>36759420</v>
      </c>
      <c r="N375" s="257">
        <v>0</v>
      </c>
    </row>
    <row r="376" spans="1:14" s="143" customFormat="1" x14ac:dyDescent="0.25">
      <c r="A376" s="143" t="s">
        <v>334</v>
      </c>
      <c r="B376" s="143" t="s">
        <v>210</v>
      </c>
      <c r="C376" s="143" t="s">
        <v>211</v>
      </c>
      <c r="D376" s="143" t="s">
        <v>69</v>
      </c>
      <c r="E376" s="257">
        <v>96945000</v>
      </c>
      <c r="F376" s="257">
        <v>96945000</v>
      </c>
      <c r="G376" s="257">
        <v>48472500</v>
      </c>
      <c r="H376" s="257">
        <v>0</v>
      </c>
      <c r="I376" s="257">
        <v>16628517.220000001</v>
      </c>
      <c r="J376" s="257">
        <v>0</v>
      </c>
      <c r="K376" s="257">
        <v>8258063.4500000002</v>
      </c>
      <c r="L376" s="257">
        <v>832538.47</v>
      </c>
      <c r="M376" s="257">
        <v>72058419.329999998</v>
      </c>
      <c r="N376" s="257">
        <v>23585919.329999998</v>
      </c>
    </row>
    <row r="377" spans="1:14" s="143" customFormat="1" x14ac:dyDescent="0.25">
      <c r="A377" s="143" t="s">
        <v>334</v>
      </c>
      <c r="B377" s="143" t="s">
        <v>212</v>
      </c>
      <c r="C377" s="143" t="s">
        <v>213</v>
      </c>
      <c r="D377" s="143" t="s">
        <v>69</v>
      </c>
      <c r="E377" s="257">
        <v>1656349984</v>
      </c>
      <c r="F377" s="257">
        <v>1656349984</v>
      </c>
      <c r="G377" s="257">
        <v>555041132</v>
      </c>
      <c r="H377" s="257">
        <v>0</v>
      </c>
      <c r="I377" s="257">
        <v>78282588.579999998</v>
      </c>
      <c r="J377" s="257">
        <v>29376903.550000001</v>
      </c>
      <c r="K377" s="257">
        <v>40915047.200000003</v>
      </c>
      <c r="L377" s="257">
        <v>39500415.200000003</v>
      </c>
      <c r="M377" s="257">
        <v>1507775444.6700001</v>
      </c>
      <c r="N377" s="257">
        <v>406466592.67000002</v>
      </c>
    </row>
    <row r="378" spans="1:14" s="143" customFormat="1" x14ac:dyDescent="0.25">
      <c r="A378" s="143" t="s">
        <v>334</v>
      </c>
      <c r="B378" s="143" t="s">
        <v>214</v>
      </c>
      <c r="C378" s="143" t="s">
        <v>215</v>
      </c>
      <c r="D378" s="143" t="s">
        <v>69</v>
      </c>
      <c r="E378" s="257">
        <v>34070136</v>
      </c>
      <c r="F378" s="257">
        <v>34070136</v>
      </c>
      <c r="G378" s="257">
        <v>8517534</v>
      </c>
      <c r="H378" s="257">
        <v>0</v>
      </c>
      <c r="I378" s="257">
        <v>0</v>
      </c>
      <c r="J378" s="257">
        <v>0</v>
      </c>
      <c r="K378" s="257">
        <v>0</v>
      </c>
      <c r="L378" s="257">
        <v>0</v>
      </c>
      <c r="M378" s="257">
        <v>34070136</v>
      </c>
      <c r="N378" s="257">
        <v>8517534</v>
      </c>
    </row>
    <row r="379" spans="1:14" s="143" customFormat="1" x14ac:dyDescent="0.25">
      <c r="A379" s="143" t="s">
        <v>334</v>
      </c>
      <c r="B379" s="143" t="s">
        <v>216</v>
      </c>
      <c r="C379" s="143" t="s">
        <v>217</v>
      </c>
      <c r="D379" s="143" t="s">
        <v>69</v>
      </c>
      <c r="E379" s="257">
        <v>65363019</v>
      </c>
      <c r="F379" s="257">
        <v>65363019</v>
      </c>
      <c r="G379" s="257">
        <v>16340754.75</v>
      </c>
      <c r="H379" s="257">
        <v>0</v>
      </c>
      <c r="I379" s="257">
        <v>1059074.54</v>
      </c>
      <c r="J379" s="257">
        <v>0</v>
      </c>
      <c r="K379" s="257">
        <v>4345797.17</v>
      </c>
      <c r="L379" s="257">
        <v>3607165.17</v>
      </c>
      <c r="M379" s="257">
        <v>59958147.289999999</v>
      </c>
      <c r="N379" s="257">
        <v>10935883.039999999</v>
      </c>
    </row>
    <row r="380" spans="1:14" s="143" customFormat="1" x14ac:dyDescent="0.25">
      <c r="A380" s="143" t="s">
        <v>334</v>
      </c>
      <c r="B380" s="143" t="s">
        <v>218</v>
      </c>
      <c r="C380" s="143" t="s">
        <v>219</v>
      </c>
      <c r="D380" s="143" t="s">
        <v>69</v>
      </c>
      <c r="E380" s="257">
        <v>146259000</v>
      </c>
      <c r="F380" s="257">
        <v>146259000</v>
      </c>
      <c r="G380" s="257">
        <v>36564750</v>
      </c>
      <c r="H380" s="257">
        <v>0</v>
      </c>
      <c r="I380" s="257">
        <v>20520814.640000001</v>
      </c>
      <c r="J380" s="257">
        <v>0</v>
      </c>
      <c r="K380" s="257">
        <v>0</v>
      </c>
      <c r="L380" s="257">
        <v>0</v>
      </c>
      <c r="M380" s="257">
        <v>125738185.36</v>
      </c>
      <c r="N380" s="257">
        <v>16043935.359999999</v>
      </c>
    </row>
    <row r="381" spans="1:14" s="143" customFormat="1" x14ac:dyDescent="0.25">
      <c r="A381" s="143" t="s">
        <v>334</v>
      </c>
      <c r="B381" s="143" t="s">
        <v>220</v>
      </c>
      <c r="C381" s="143" t="s">
        <v>221</v>
      </c>
      <c r="D381" s="143" t="s">
        <v>69</v>
      </c>
      <c r="E381" s="257">
        <v>643150000</v>
      </c>
      <c r="F381" s="257">
        <v>643150000</v>
      </c>
      <c r="G381" s="257">
        <v>293912817</v>
      </c>
      <c r="H381" s="257">
        <v>0</v>
      </c>
      <c r="I381" s="257">
        <v>4880482</v>
      </c>
      <c r="J381" s="257">
        <v>0</v>
      </c>
      <c r="K381" s="257">
        <v>676000</v>
      </c>
      <c r="L381" s="257">
        <v>0</v>
      </c>
      <c r="M381" s="257">
        <v>637593518</v>
      </c>
      <c r="N381" s="257">
        <v>288356335</v>
      </c>
    </row>
    <row r="382" spans="1:14" s="143" customFormat="1" x14ac:dyDescent="0.25">
      <c r="A382" s="143" t="s">
        <v>334</v>
      </c>
      <c r="B382" s="143" t="s">
        <v>222</v>
      </c>
      <c r="C382" s="143" t="s">
        <v>223</v>
      </c>
      <c r="D382" s="143" t="s">
        <v>69</v>
      </c>
      <c r="E382" s="257">
        <v>302355000</v>
      </c>
      <c r="F382" s="257">
        <v>302355000</v>
      </c>
      <c r="G382" s="257">
        <v>75588750</v>
      </c>
      <c r="H382" s="257">
        <v>0</v>
      </c>
      <c r="I382" s="257">
        <v>6526957.5</v>
      </c>
      <c r="J382" s="257">
        <v>0</v>
      </c>
      <c r="K382" s="257">
        <v>27766714.699999999</v>
      </c>
      <c r="L382" s="257">
        <v>27766714.699999999</v>
      </c>
      <c r="M382" s="257">
        <v>268061327.80000001</v>
      </c>
      <c r="N382" s="257">
        <v>41295077.799999997</v>
      </c>
    </row>
    <row r="383" spans="1:14" s="143" customFormat="1" x14ac:dyDescent="0.25">
      <c r="A383" s="143" t="s">
        <v>334</v>
      </c>
      <c r="B383" s="143" t="s">
        <v>224</v>
      </c>
      <c r="C383" s="143" t="s">
        <v>225</v>
      </c>
      <c r="D383" s="143" t="s">
        <v>69</v>
      </c>
      <c r="E383" s="257">
        <v>182921000</v>
      </c>
      <c r="F383" s="257">
        <v>182921000</v>
      </c>
      <c r="G383" s="257">
        <v>45730250</v>
      </c>
      <c r="H383" s="257">
        <v>0</v>
      </c>
      <c r="I383" s="257">
        <v>123476</v>
      </c>
      <c r="J383" s="257">
        <v>0</v>
      </c>
      <c r="K383" s="257">
        <v>297017.25</v>
      </c>
      <c r="L383" s="257">
        <v>297017.25</v>
      </c>
      <c r="M383" s="257">
        <v>182500506.75</v>
      </c>
      <c r="N383" s="257">
        <v>45309756.75</v>
      </c>
    </row>
    <row r="384" spans="1:14" s="143" customFormat="1" x14ac:dyDescent="0.25">
      <c r="A384" s="143" t="s">
        <v>334</v>
      </c>
      <c r="B384" s="143" t="s">
        <v>226</v>
      </c>
      <c r="C384" s="143" t="s">
        <v>227</v>
      </c>
      <c r="D384" s="143" t="s">
        <v>69</v>
      </c>
      <c r="E384" s="257">
        <v>92727347</v>
      </c>
      <c r="F384" s="257">
        <v>92727347</v>
      </c>
      <c r="G384" s="257">
        <v>23181836.75</v>
      </c>
      <c r="H384" s="257">
        <v>0</v>
      </c>
      <c r="I384" s="257">
        <v>19174617.219999999</v>
      </c>
      <c r="J384" s="257">
        <v>14830959.550000001</v>
      </c>
      <c r="K384" s="257">
        <v>0</v>
      </c>
      <c r="L384" s="257">
        <v>0</v>
      </c>
      <c r="M384" s="257">
        <v>58721770.229999997</v>
      </c>
      <c r="N384" s="257">
        <v>-10823740.02</v>
      </c>
    </row>
    <row r="385" spans="1:14" s="143" customFormat="1" x14ac:dyDescent="0.25">
      <c r="A385" s="143" t="s">
        <v>334</v>
      </c>
      <c r="B385" s="143" t="s">
        <v>228</v>
      </c>
      <c r="C385" s="143" t="s">
        <v>229</v>
      </c>
      <c r="D385" s="143" t="s">
        <v>69</v>
      </c>
      <c r="E385" s="257">
        <v>189504482</v>
      </c>
      <c r="F385" s="257">
        <v>189504482</v>
      </c>
      <c r="G385" s="257">
        <v>55204439.5</v>
      </c>
      <c r="H385" s="257">
        <v>0</v>
      </c>
      <c r="I385" s="257">
        <v>25997166.68</v>
      </c>
      <c r="J385" s="257">
        <v>14545944</v>
      </c>
      <c r="K385" s="257">
        <v>7829518.0800000001</v>
      </c>
      <c r="L385" s="257">
        <v>7829518.0800000001</v>
      </c>
      <c r="M385" s="257">
        <v>141131853.24000001</v>
      </c>
      <c r="N385" s="257">
        <v>6831810.7400000002</v>
      </c>
    </row>
    <row r="386" spans="1:14" s="143" customFormat="1" x14ac:dyDescent="0.25">
      <c r="A386" s="143" t="s">
        <v>334</v>
      </c>
      <c r="B386" s="143" t="s">
        <v>230</v>
      </c>
      <c r="C386" s="143" t="s">
        <v>231</v>
      </c>
      <c r="D386" s="143" t="s">
        <v>69</v>
      </c>
      <c r="E386" s="257">
        <v>883769579</v>
      </c>
      <c r="F386" s="257">
        <v>883769579</v>
      </c>
      <c r="G386" s="257">
        <v>322694618.75</v>
      </c>
      <c r="H386" s="257">
        <v>0</v>
      </c>
      <c r="I386" s="257">
        <v>677426650.38999999</v>
      </c>
      <c r="J386" s="257">
        <v>3103828</v>
      </c>
      <c r="K386" s="257">
        <v>85818756.659999996</v>
      </c>
      <c r="L386" s="257">
        <v>11689566.67</v>
      </c>
      <c r="M386" s="257">
        <v>117420343.95</v>
      </c>
      <c r="N386" s="593">
        <v>-443654616.30000001</v>
      </c>
    </row>
    <row r="387" spans="1:14" s="143" customFormat="1" x14ac:dyDescent="0.25">
      <c r="A387" s="143" t="s">
        <v>334</v>
      </c>
      <c r="B387" s="143" t="s">
        <v>232</v>
      </c>
      <c r="C387" s="143" t="s">
        <v>233</v>
      </c>
      <c r="D387" s="143" t="s">
        <v>69</v>
      </c>
      <c r="E387" s="257">
        <v>667187579</v>
      </c>
      <c r="F387" s="257">
        <v>667187579</v>
      </c>
      <c r="G387" s="257">
        <v>262483118.75</v>
      </c>
      <c r="H387" s="257">
        <v>0</v>
      </c>
      <c r="I387" s="257">
        <v>35465632.68</v>
      </c>
      <c r="J387" s="257">
        <v>3103828</v>
      </c>
      <c r="K387" s="257">
        <v>82672618.459999993</v>
      </c>
      <c r="L387" s="257">
        <v>9217427.4700000007</v>
      </c>
      <c r="M387" s="257">
        <v>545945499.86000001</v>
      </c>
      <c r="N387" s="257">
        <v>141241039.61000001</v>
      </c>
    </row>
    <row r="388" spans="1:14" s="143" customFormat="1" x14ac:dyDescent="0.25">
      <c r="A388" s="143" t="s">
        <v>334</v>
      </c>
      <c r="B388" s="143" t="s">
        <v>234</v>
      </c>
      <c r="C388" s="143" t="s">
        <v>235</v>
      </c>
      <c r="D388" s="143" t="s">
        <v>85</v>
      </c>
      <c r="E388" s="257">
        <v>33062000</v>
      </c>
      <c r="F388" s="257">
        <v>33062000</v>
      </c>
      <c r="G388" s="257">
        <v>19951724</v>
      </c>
      <c r="H388" s="257">
        <v>0</v>
      </c>
      <c r="I388" s="257">
        <v>0</v>
      </c>
      <c r="J388" s="257">
        <v>0</v>
      </c>
      <c r="K388" s="257">
        <v>0</v>
      </c>
      <c r="L388" s="257">
        <v>0</v>
      </c>
      <c r="M388" s="257">
        <v>33062000</v>
      </c>
      <c r="N388" s="257">
        <v>19951724</v>
      </c>
    </row>
    <row r="389" spans="1:14" s="143" customFormat="1" x14ac:dyDescent="0.25">
      <c r="A389" s="143" t="s">
        <v>334</v>
      </c>
      <c r="B389" s="143" t="s">
        <v>324</v>
      </c>
      <c r="C389" s="143" t="s">
        <v>325</v>
      </c>
      <c r="D389" s="143" t="s">
        <v>85</v>
      </c>
      <c r="E389" s="257">
        <v>72100000</v>
      </c>
      <c r="F389" s="257">
        <v>72100000</v>
      </c>
      <c r="G389" s="257">
        <v>18025000</v>
      </c>
      <c r="H389" s="257">
        <v>0</v>
      </c>
      <c r="I389" s="257">
        <v>0</v>
      </c>
      <c r="J389" s="257">
        <v>0</v>
      </c>
      <c r="K389" s="257">
        <v>16883370</v>
      </c>
      <c r="L389" s="257">
        <v>0</v>
      </c>
      <c r="M389" s="257">
        <v>55216630</v>
      </c>
      <c r="N389" s="257">
        <v>1141630</v>
      </c>
    </row>
    <row r="390" spans="1:14" s="143" customFormat="1" x14ac:dyDescent="0.25">
      <c r="A390" s="143" t="s">
        <v>334</v>
      </c>
      <c r="B390" s="143" t="s">
        <v>236</v>
      </c>
      <c r="C390" s="143" t="s">
        <v>237</v>
      </c>
      <c r="D390" s="143" t="s">
        <v>69</v>
      </c>
      <c r="E390" s="257">
        <v>0</v>
      </c>
      <c r="F390" s="257">
        <v>0</v>
      </c>
      <c r="G390" s="257">
        <v>0</v>
      </c>
      <c r="H390" s="257">
        <v>0</v>
      </c>
      <c r="I390" s="257">
        <v>0</v>
      </c>
      <c r="J390" s="257">
        <v>0</v>
      </c>
      <c r="K390" s="257">
        <v>0</v>
      </c>
      <c r="L390" s="257">
        <v>0</v>
      </c>
      <c r="M390" s="257">
        <v>0</v>
      </c>
      <c r="N390" s="257">
        <v>0</v>
      </c>
    </row>
    <row r="391" spans="1:14" s="143" customFormat="1" x14ac:dyDescent="0.25">
      <c r="A391" s="143" t="s">
        <v>334</v>
      </c>
      <c r="B391" s="143" t="s">
        <v>236</v>
      </c>
      <c r="C391" s="143" t="s">
        <v>237</v>
      </c>
      <c r="D391" s="143" t="s">
        <v>85</v>
      </c>
      <c r="E391" s="257">
        <v>147248000</v>
      </c>
      <c r="F391" s="257">
        <v>147248000</v>
      </c>
      <c r="G391" s="257">
        <v>36812000</v>
      </c>
      <c r="H391" s="257">
        <v>0</v>
      </c>
      <c r="I391" s="257">
        <v>16197.33</v>
      </c>
      <c r="J391" s="257">
        <v>0</v>
      </c>
      <c r="K391" s="257">
        <v>0</v>
      </c>
      <c r="L391" s="257">
        <v>0</v>
      </c>
      <c r="M391" s="257">
        <v>147231802.66999999</v>
      </c>
      <c r="N391" s="257">
        <v>36795802.670000002</v>
      </c>
    </row>
    <row r="392" spans="1:14" s="143" customFormat="1" x14ac:dyDescent="0.25">
      <c r="A392" s="143" t="s">
        <v>334</v>
      </c>
      <c r="B392" s="143" t="s">
        <v>238</v>
      </c>
      <c r="C392" s="143" t="s">
        <v>239</v>
      </c>
      <c r="D392" s="143" t="s">
        <v>69</v>
      </c>
      <c r="E392" s="257">
        <v>0</v>
      </c>
      <c r="F392" s="257">
        <v>0</v>
      </c>
      <c r="G392" s="257">
        <v>0</v>
      </c>
      <c r="H392" s="257">
        <v>0</v>
      </c>
      <c r="I392" s="257">
        <v>0</v>
      </c>
      <c r="J392" s="257">
        <v>0</v>
      </c>
      <c r="K392" s="257">
        <v>0</v>
      </c>
      <c r="L392" s="257">
        <v>0</v>
      </c>
      <c r="M392" s="257">
        <v>0</v>
      </c>
      <c r="N392" s="257">
        <v>0</v>
      </c>
    </row>
    <row r="393" spans="1:14" s="143" customFormat="1" x14ac:dyDescent="0.25">
      <c r="A393" s="143" t="s">
        <v>334</v>
      </c>
      <c r="B393" s="143" t="s">
        <v>238</v>
      </c>
      <c r="C393" s="143" t="s">
        <v>239</v>
      </c>
      <c r="D393" s="143" t="s">
        <v>85</v>
      </c>
      <c r="E393" s="257">
        <v>69415579</v>
      </c>
      <c r="F393" s="257">
        <v>69415579</v>
      </c>
      <c r="G393" s="257">
        <v>59353894.75</v>
      </c>
      <c r="H393" s="257">
        <v>0</v>
      </c>
      <c r="I393" s="257">
        <v>8448600</v>
      </c>
      <c r="J393" s="257">
        <v>0</v>
      </c>
      <c r="K393" s="257">
        <v>2306404</v>
      </c>
      <c r="L393" s="257">
        <v>2306404</v>
      </c>
      <c r="M393" s="257">
        <v>58660575</v>
      </c>
      <c r="N393" s="257">
        <v>48598890.75</v>
      </c>
    </row>
    <row r="394" spans="1:14" s="143" customFormat="1" x14ac:dyDescent="0.25">
      <c r="A394" s="143" t="s">
        <v>334</v>
      </c>
      <c r="B394" s="143" t="s">
        <v>282</v>
      </c>
      <c r="C394" s="143" t="s">
        <v>283</v>
      </c>
      <c r="D394" s="143" t="s">
        <v>85</v>
      </c>
      <c r="E394" s="257">
        <v>21137000</v>
      </c>
      <c r="F394" s="257">
        <v>21137000</v>
      </c>
      <c r="G394" s="257">
        <v>21137000</v>
      </c>
      <c r="H394" s="257">
        <v>0</v>
      </c>
      <c r="I394" s="257">
        <v>0</v>
      </c>
      <c r="J394" s="257">
        <v>0</v>
      </c>
      <c r="K394" s="257">
        <v>13982594.789999999</v>
      </c>
      <c r="L394" s="257">
        <v>0</v>
      </c>
      <c r="M394" s="257">
        <v>7154405.21</v>
      </c>
      <c r="N394" s="257">
        <v>7154405.21</v>
      </c>
    </row>
    <row r="395" spans="1:14" s="143" customFormat="1" x14ac:dyDescent="0.25">
      <c r="A395" s="143" t="s">
        <v>334</v>
      </c>
      <c r="B395" s="143" t="s">
        <v>326</v>
      </c>
      <c r="C395" s="143" t="s">
        <v>327</v>
      </c>
      <c r="D395" s="143" t="s">
        <v>85</v>
      </c>
      <c r="E395" s="257">
        <v>29458000</v>
      </c>
      <c r="F395" s="257">
        <v>29458000</v>
      </c>
      <c r="G395" s="257">
        <v>29458000</v>
      </c>
      <c r="H395" s="257">
        <v>0</v>
      </c>
      <c r="I395" s="257">
        <v>9214906.1400000006</v>
      </c>
      <c r="J395" s="257">
        <v>3103828</v>
      </c>
      <c r="K395" s="257">
        <v>4013437.56</v>
      </c>
      <c r="L395" s="257">
        <v>1393335</v>
      </c>
      <c r="M395" s="257">
        <v>13125828.300000001</v>
      </c>
      <c r="N395" s="257">
        <v>13125828.300000001</v>
      </c>
    </row>
    <row r="396" spans="1:14" s="143" customFormat="1" x14ac:dyDescent="0.25">
      <c r="A396" s="143" t="s">
        <v>334</v>
      </c>
      <c r="B396" s="143" t="s">
        <v>240</v>
      </c>
      <c r="C396" s="143" t="s">
        <v>241</v>
      </c>
      <c r="D396" s="143" t="s">
        <v>85</v>
      </c>
      <c r="E396" s="257">
        <v>5405000</v>
      </c>
      <c r="F396" s="257">
        <v>5405000</v>
      </c>
      <c r="G396" s="257">
        <v>5405000</v>
      </c>
      <c r="H396" s="257">
        <v>0</v>
      </c>
      <c r="I396" s="257">
        <v>3981450</v>
      </c>
      <c r="J396" s="257">
        <v>0</v>
      </c>
      <c r="K396" s="257">
        <v>0</v>
      </c>
      <c r="L396" s="257">
        <v>0</v>
      </c>
      <c r="M396" s="257">
        <v>1423550</v>
      </c>
      <c r="N396" s="257">
        <v>1423550</v>
      </c>
    </row>
    <row r="397" spans="1:14" s="143" customFormat="1" x14ac:dyDescent="0.25">
      <c r="A397" s="143" t="s">
        <v>334</v>
      </c>
      <c r="B397" s="143" t="s">
        <v>242</v>
      </c>
      <c r="C397" s="143" t="s">
        <v>243</v>
      </c>
      <c r="D397" s="143" t="s">
        <v>85</v>
      </c>
      <c r="E397" s="257">
        <v>289362000</v>
      </c>
      <c r="F397" s="257">
        <v>289362000</v>
      </c>
      <c r="G397" s="257">
        <v>72340500</v>
      </c>
      <c r="H397" s="257">
        <v>0</v>
      </c>
      <c r="I397" s="257">
        <v>13804479.210000001</v>
      </c>
      <c r="J397" s="257">
        <v>0</v>
      </c>
      <c r="K397" s="257">
        <v>45486812.109999999</v>
      </c>
      <c r="L397" s="257">
        <v>5517688.4699999997</v>
      </c>
      <c r="M397" s="257">
        <v>230070708.68000001</v>
      </c>
      <c r="N397" s="257">
        <v>13049208.68</v>
      </c>
    </row>
    <row r="398" spans="1:14" s="143" customFormat="1" x14ac:dyDescent="0.25">
      <c r="A398" s="143" t="s">
        <v>334</v>
      </c>
      <c r="B398" s="143" t="s">
        <v>328</v>
      </c>
      <c r="C398" s="143" t="s">
        <v>329</v>
      </c>
      <c r="D398" s="143" t="s">
        <v>85</v>
      </c>
      <c r="E398" s="257">
        <v>8088000</v>
      </c>
      <c r="F398" s="257">
        <v>8088000</v>
      </c>
      <c r="G398" s="257">
        <v>8088000</v>
      </c>
      <c r="H398" s="257">
        <v>0</v>
      </c>
      <c r="I398" s="257">
        <v>641961017.71000004</v>
      </c>
      <c r="J398" s="257">
        <v>0</v>
      </c>
      <c r="K398" s="257">
        <v>673999</v>
      </c>
      <c r="L398" s="257">
        <v>0</v>
      </c>
      <c r="M398" s="257">
        <v>-634547016.71000004</v>
      </c>
      <c r="N398" s="257">
        <v>-634547016.71000004</v>
      </c>
    </row>
    <row r="399" spans="1:14" s="143" customFormat="1" x14ac:dyDescent="0.25">
      <c r="A399" s="143" t="s">
        <v>334</v>
      </c>
      <c r="B399" s="143" t="s">
        <v>330</v>
      </c>
      <c r="C399" s="143" t="s">
        <v>331</v>
      </c>
      <c r="D399" s="143" t="s">
        <v>85</v>
      </c>
      <c r="E399" s="257">
        <v>0</v>
      </c>
      <c r="F399" s="257">
        <v>0</v>
      </c>
      <c r="G399" s="257">
        <v>0</v>
      </c>
      <c r="H399" s="257">
        <v>0</v>
      </c>
      <c r="I399" s="257">
        <v>640613017.71000004</v>
      </c>
      <c r="J399" s="257">
        <v>0</v>
      </c>
      <c r="K399" s="257">
        <v>0</v>
      </c>
      <c r="L399" s="257">
        <v>0</v>
      </c>
      <c r="M399" s="257">
        <v>-640613017.71000004</v>
      </c>
      <c r="N399" s="257">
        <v>-640613017.71000004</v>
      </c>
    </row>
    <row r="400" spans="1:14" s="143" customFormat="1" x14ac:dyDescent="0.25">
      <c r="A400" s="143" t="s">
        <v>334</v>
      </c>
      <c r="B400" s="143" t="s">
        <v>358</v>
      </c>
      <c r="C400" s="143" t="s">
        <v>359</v>
      </c>
      <c r="D400" s="143" t="s">
        <v>85</v>
      </c>
      <c r="E400" s="257">
        <v>8088000</v>
      </c>
      <c r="F400" s="257">
        <v>8088000</v>
      </c>
      <c r="G400" s="257">
        <v>8088000</v>
      </c>
      <c r="H400" s="257">
        <v>0</v>
      </c>
      <c r="I400" s="257">
        <v>1348000</v>
      </c>
      <c r="J400" s="257">
        <v>0</v>
      </c>
      <c r="K400" s="257">
        <v>673999</v>
      </c>
      <c r="L400" s="257">
        <v>0</v>
      </c>
      <c r="M400" s="257">
        <v>6066001</v>
      </c>
      <c r="N400" s="257">
        <v>6066001</v>
      </c>
    </row>
    <row r="401" spans="1:14" s="143" customFormat="1" x14ac:dyDescent="0.25">
      <c r="A401" s="143" t="s">
        <v>334</v>
      </c>
      <c r="B401" s="143" t="s">
        <v>244</v>
      </c>
      <c r="C401" s="143" t="s">
        <v>245</v>
      </c>
      <c r="D401" s="143" t="s">
        <v>85</v>
      </c>
      <c r="E401" s="257">
        <v>208494000</v>
      </c>
      <c r="F401" s="257">
        <v>208494000</v>
      </c>
      <c r="G401" s="257">
        <v>52123500</v>
      </c>
      <c r="H401" s="257">
        <v>0</v>
      </c>
      <c r="I401" s="257">
        <v>0</v>
      </c>
      <c r="J401" s="257">
        <v>0</v>
      </c>
      <c r="K401" s="257">
        <v>2472139.2000000002</v>
      </c>
      <c r="L401" s="257">
        <v>2472139.2000000002</v>
      </c>
      <c r="M401" s="257">
        <v>206021860.80000001</v>
      </c>
      <c r="N401" s="257">
        <v>49651360.799999997</v>
      </c>
    </row>
    <row r="402" spans="1:14" s="143" customFormat="1" x14ac:dyDescent="0.25">
      <c r="A402" s="143" t="s">
        <v>334</v>
      </c>
      <c r="B402" s="143" t="s">
        <v>246</v>
      </c>
      <c r="C402" s="143" t="s">
        <v>247</v>
      </c>
      <c r="D402" s="143" t="s">
        <v>85</v>
      </c>
      <c r="E402" s="257">
        <v>208494000</v>
      </c>
      <c r="F402" s="257">
        <v>208494000</v>
      </c>
      <c r="G402" s="257">
        <v>52123500</v>
      </c>
      <c r="H402" s="257">
        <v>0</v>
      </c>
      <c r="I402" s="257">
        <v>0</v>
      </c>
      <c r="J402" s="257">
        <v>0</v>
      </c>
      <c r="K402" s="257">
        <v>2472139.2000000002</v>
      </c>
      <c r="L402" s="257">
        <v>2472139.2000000002</v>
      </c>
      <c r="M402" s="257">
        <v>206021860.80000001</v>
      </c>
      <c r="N402" s="257">
        <v>49651360.799999997</v>
      </c>
    </row>
    <row r="403" spans="1:14" s="143" customFormat="1" x14ac:dyDescent="0.25">
      <c r="A403" s="143" t="s">
        <v>334</v>
      </c>
      <c r="B403" s="143" t="s">
        <v>248</v>
      </c>
      <c r="C403" s="143" t="s">
        <v>249</v>
      </c>
      <c r="D403" s="143" t="s">
        <v>69</v>
      </c>
      <c r="E403" s="257">
        <v>11597046000</v>
      </c>
      <c r="F403" s="257">
        <v>11597046000</v>
      </c>
      <c r="G403" s="257">
        <v>4299740810.25</v>
      </c>
      <c r="H403" s="257">
        <v>0</v>
      </c>
      <c r="I403" s="257">
        <v>3779645220.9200001</v>
      </c>
      <c r="J403" s="257">
        <v>0</v>
      </c>
      <c r="K403" s="257">
        <v>389799904.57999998</v>
      </c>
      <c r="L403" s="257">
        <v>383757145.26999998</v>
      </c>
      <c r="M403" s="257">
        <v>7427600874.5</v>
      </c>
      <c r="N403" s="257">
        <v>130295684.75</v>
      </c>
    </row>
    <row r="404" spans="1:14" s="143" customFormat="1" x14ac:dyDescent="0.25">
      <c r="A404" s="143" t="s">
        <v>334</v>
      </c>
      <c r="B404" s="143" t="s">
        <v>250</v>
      </c>
      <c r="C404" s="143" t="s">
        <v>251</v>
      </c>
      <c r="D404" s="143" t="s">
        <v>69</v>
      </c>
      <c r="E404" s="257">
        <v>9955805000</v>
      </c>
      <c r="F404" s="257">
        <v>9955805000</v>
      </c>
      <c r="G404" s="257">
        <v>3875805000</v>
      </c>
      <c r="H404" s="257">
        <v>0</v>
      </c>
      <c r="I404" s="257">
        <v>3700824707</v>
      </c>
      <c r="J404" s="257">
        <v>0</v>
      </c>
      <c r="K404" s="257">
        <v>174980293</v>
      </c>
      <c r="L404" s="257">
        <v>174980293</v>
      </c>
      <c r="M404" s="257">
        <v>6080000000</v>
      </c>
      <c r="N404" s="257">
        <v>0</v>
      </c>
    </row>
    <row r="405" spans="1:14" s="143" customFormat="1" x14ac:dyDescent="0.25">
      <c r="A405" s="143" t="s">
        <v>334</v>
      </c>
      <c r="B405" s="143" t="s">
        <v>360</v>
      </c>
      <c r="C405" s="143" t="s">
        <v>361</v>
      </c>
      <c r="D405" s="143" t="s">
        <v>69</v>
      </c>
      <c r="E405" s="257">
        <v>80000000</v>
      </c>
      <c r="F405" s="257">
        <v>80000000</v>
      </c>
      <c r="G405" s="257">
        <v>0</v>
      </c>
      <c r="H405" s="257">
        <v>0</v>
      </c>
      <c r="I405" s="257">
        <v>0</v>
      </c>
      <c r="J405" s="257">
        <v>0</v>
      </c>
      <c r="K405" s="257">
        <v>0</v>
      </c>
      <c r="L405" s="257">
        <v>0</v>
      </c>
      <c r="M405" s="257">
        <v>80000000</v>
      </c>
      <c r="N405" s="257">
        <v>0</v>
      </c>
    </row>
    <row r="406" spans="1:14" s="143" customFormat="1" x14ac:dyDescent="0.25">
      <c r="A406" s="143" t="s">
        <v>334</v>
      </c>
      <c r="B406" s="143" t="s">
        <v>362</v>
      </c>
      <c r="C406" s="143" t="s">
        <v>257</v>
      </c>
      <c r="D406" s="143" t="s">
        <v>69</v>
      </c>
      <c r="E406" s="257">
        <v>673849000</v>
      </c>
      <c r="F406" s="257">
        <v>673849000</v>
      </c>
      <c r="G406" s="257">
        <v>673849000</v>
      </c>
      <c r="H406" s="257">
        <v>0</v>
      </c>
      <c r="I406" s="257">
        <v>528227816</v>
      </c>
      <c r="J406" s="257">
        <v>0</v>
      </c>
      <c r="K406" s="257">
        <v>145621184</v>
      </c>
      <c r="L406" s="257">
        <v>145621184</v>
      </c>
      <c r="M406" s="257">
        <v>0</v>
      </c>
      <c r="N406" s="257">
        <v>0</v>
      </c>
    </row>
    <row r="407" spans="1:14" s="143" customFormat="1" x14ac:dyDescent="0.25">
      <c r="A407" s="143" t="s">
        <v>334</v>
      </c>
      <c r="B407" s="143" t="s">
        <v>363</v>
      </c>
      <c r="C407" s="143" t="s">
        <v>259</v>
      </c>
      <c r="D407" s="143" t="s">
        <v>69</v>
      </c>
      <c r="E407" s="257">
        <v>135856000</v>
      </c>
      <c r="F407" s="257">
        <v>135856000</v>
      </c>
      <c r="G407" s="257">
        <v>135856000</v>
      </c>
      <c r="H407" s="257">
        <v>0</v>
      </c>
      <c r="I407" s="257">
        <v>106496891</v>
      </c>
      <c r="J407" s="257">
        <v>0</v>
      </c>
      <c r="K407" s="257">
        <v>29359109</v>
      </c>
      <c r="L407" s="257">
        <v>29359109</v>
      </c>
      <c r="M407" s="257">
        <v>0</v>
      </c>
      <c r="N407" s="257">
        <v>0</v>
      </c>
    </row>
    <row r="408" spans="1:14" s="143" customFormat="1" x14ac:dyDescent="0.25">
      <c r="A408" s="143" t="s">
        <v>334</v>
      </c>
      <c r="B408" s="143" t="s">
        <v>364</v>
      </c>
      <c r="C408" s="143" t="s">
        <v>365</v>
      </c>
      <c r="D408" s="143" t="s">
        <v>85</v>
      </c>
      <c r="E408" s="257">
        <v>9066100000</v>
      </c>
      <c r="F408" s="257">
        <v>9066100000</v>
      </c>
      <c r="G408" s="257">
        <v>3066100000</v>
      </c>
      <c r="H408" s="257">
        <v>0</v>
      </c>
      <c r="I408" s="257">
        <v>3066100000</v>
      </c>
      <c r="J408" s="257">
        <v>0</v>
      </c>
      <c r="K408" s="257">
        <v>0</v>
      </c>
      <c r="L408" s="257">
        <v>0</v>
      </c>
      <c r="M408" s="257">
        <v>6000000000</v>
      </c>
      <c r="N408" s="257">
        <v>0</v>
      </c>
    </row>
    <row r="409" spans="1:14" s="143" customFormat="1" x14ac:dyDescent="0.25">
      <c r="A409" s="143" t="s">
        <v>334</v>
      </c>
      <c r="B409" s="143" t="s">
        <v>366</v>
      </c>
      <c r="C409" s="143" t="s">
        <v>367</v>
      </c>
      <c r="D409" s="143" t="s">
        <v>69</v>
      </c>
      <c r="E409" s="257">
        <v>550000000</v>
      </c>
      <c r="F409" s="257">
        <v>550000000</v>
      </c>
      <c r="G409" s="257">
        <v>137500000</v>
      </c>
      <c r="H409" s="257">
        <v>0</v>
      </c>
      <c r="I409" s="257">
        <v>60000000</v>
      </c>
      <c r="J409" s="257">
        <v>0</v>
      </c>
      <c r="K409" s="257">
        <v>45000000</v>
      </c>
      <c r="L409" s="257">
        <v>45000000</v>
      </c>
      <c r="M409" s="257">
        <v>445000000</v>
      </c>
      <c r="N409" s="257">
        <v>32500000</v>
      </c>
    </row>
    <row r="410" spans="1:14" s="143" customFormat="1" x14ac:dyDescent="0.25">
      <c r="A410" s="143" t="s">
        <v>334</v>
      </c>
      <c r="B410" s="143" t="s">
        <v>368</v>
      </c>
      <c r="C410" s="143" t="s">
        <v>369</v>
      </c>
      <c r="D410" s="143" t="s">
        <v>69</v>
      </c>
      <c r="E410" s="257">
        <v>550000000</v>
      </c>
      <c r="F410" s="257">
        <v>550000000</v>
      </c>
      <c r="G410" s="257">
        <v>137500000</v>
      </c>
      <c r="H410" s="257">
        <v>0</v>
      </c>
      <c r="I410" s="257">
        <v>60000000</v>
      </c>
      <c r="J410" s="257">
        <v>0</v>
      </c>
      <c r="K410" s="257">
        <v>45000000</v>
      </c>
      <c r="L410" s="257">
        <v>45000000</v>
      </c>
      <c r="M410" s="257">
        <v>445000000</v>
      </c>
      <c r="N410" s="257">
        <v>32500000</v>
      </c>
    </row>
    <row r="411" spans="1:14" s="143" customFormat="1" x14ac:dyDescent="0.25">
      <c r="A411" s="143" t="s">
        <v>334</v>
      </c>
      <c r="B411" s="143" t="s">
        <v>260</v>
      </c>
      <c r="C411" s="143" t="s">
        <v>261</v>
      </c>
      <c r="D411" s="143" t="s">
        <v>69</v>
      </c>
      <c r="E411" s="257">
        <v>1002889000</v>
      </c>
      <c r="F411" s="257">
        <v>1002889000</v>
      </c>
      <c r="G411" s="257">
        <v>215597810.25</v>
      </c>
      <c r="H411" s="257">
        <v>0</v>
      </c>
      <c r="I411" s="257">
        <v>2423143.87</v>
      </c>
      <c r="J411" s="257">
        <v>0</v>
      </c>
      <c r="K411" s="257">
        <v>108035461.13</v>
      </c>
      <c r="L411" s="257">
        <v>101992701.81999999</v>
      </c>
      <c r="M411" s="257">
        <v>892430395</v>
      </c>
      <c r="N411" s="257">
        <v>105139205.25</v>
      </c>
    </row>
    <row r="412" spans="1:14" s="143" customFormat="1" x14ac:dyDescent="0.25">
      <c r="A412" s="143" t="s">
        <v>334</v>
      </c>
      <c r="B412" s="143" t="s">
        <v>262</v>
      </c>
      <c r="C412" s="143" t="s">
        <v>263</v>
      </c>
      <c r="D412" s="143" t="s">
        <v>69</v>
      </c>
      <c r="E412" s="257">
        <v>657462000</v>
      </c>
      <c r="F412" s="257">
        <v>657462000</v>
      </c>
      <c r="G412" s="257">
        <v>60093173</v>
      </c>
      <c r="H412" s="257">
        <v>0</v>
      </c>
      <c r="I412" s="257">
        <v>2423143.87</v>
      </c>
      <c r="J412" s="257">
        <v>0</v>
      </c>
      <c r="K412" s="257">
        <v>57670029.130000003</v>
      </c>
      <c r="L412" s="257">
        <v>51627269.82</v>
      </c>
      <c r="M412" s="257">
        <v>597368827</v>
      </c>
      <c r="N412" s="257">
        <v>0</v>
      </c>
    </row>
    <row r="413" spans="1:14" s="143" customFormat="1" x14ac:dyDescent="0.25">
      <c r="A413" s="143" t="s">
        <v>334</v>
      </c>
      <c r="B413" s="143" t="s">
        <v>264</v>
      </c>
      <c r="C413" s="143" t="s">
        <v>265</v>
      </c>
      <c r="D413" s="143" t="s">
        <v>69</v>
      </c>
      <c r="E413" s="257">
        <v>345427000</v>
      </c>
      <c r="F413" s="257">
        <v>345427000</v>
      </c>
      <c r="G413" s="257">
        <v>155504637.25</v>
      </c>
      <c r="H413" s="257">
        <v>0</v>
      </c>
      <c r="I413" s="257">
        <v>0</v>
      </c>
      <c r="J413" s="257">
        <v>0</v>
      </c>
      <c r="K413" s="257">
        <v>50365432</v>
      </c>
      <c r="L413" s="257">
        <v>50365432</v>
      </c>
      <c r="M413" s="257">
        <v>295061568</v>
      </c>
      <c r="N413" s="257">
        <v>105139205.25</v>
      </c>
    </row>
    <row r="414" spans="1:14" s="143" customFormat="1" x14ac:dyDescent="0.25">
      <c r="A414" s="143" t="s">
        <v>334</v>
      </c>
      <c r="B414" s="143" t="s">
        <v>286</v>
      </c>
      <c r="C414" s="143" t="s">
        <v>287</v>
      </c>
      <c r="D414" s="143" t="s">
        <v>69</v>
      </c>
      <c r="E414" s="257">
        <v>88352000</v>
      </c>
      <c r="F414" s="257">
        <v>88352000</v>
      </c>
      <c r="G414" s="257">
        <v>70838000</v>
      </c>
      <c r="H414" s="257">
        <v>0</v>
      </c>
      <c r="I414" s="257">
        <v>16397370.050000001</v>
      </c>
      <c r="J414" s="257">
        <v>0</v>
      </c>
      <c r="K414" s="257">
        <v>61784150.450000003</v>
      </c>
      <c r="L414" s="257">
        <v>61784150.450000003</v>
      </c>
      <c r="M414" s="257">
        <v>10170479.5</v>
      </c>
      <c r="N414" s="593">
        <v>-7343520.5</v>
      </c>
    </row>
    <row r="415" spans="1:14" s="143" customFormat="1" x14ac:dyDescent="0.25">
      <c r="A415" s="143" t="s">
        <v>334</v>
      </c>
      <c r="B415" s="143" t="s">
        <v>288</v>
      </c>
      <c r="C415" s="143" t="s">
        <v>289</v>
      </c>
      <c r="D415" s="143" t="s">
        <v>69</v>
      </c>
      <c r="E415" s="257">
        <v>65000000</v>
      </c>
      <c r="F415" s="257">
        <v>65000000</v>
      </c>
      <c r="G415" s="257">
        <v>65000000</v>
      </c>
      <c r="H415" s="257">
        <v>0</v>
      </c>
      <c r="I415" s="257">
        <v>3215849.55</v>
      </c>
      <c r="J415" s="257">
        <v>0</v>
      </c>
      <c r="K415" s="257">
        <v>61784150.450000003</v>
      </c>
      <c r="L415" s="257">
        <v>61784150.450000003</v>
      </c>
      <c r="M415" s="257">
        <v>0</v>
      </c>
      <c r="N415" s="257">
        <v>0</v>
      </c>
    </row>
    <row r="416" spans="1:14" s="143" customFormat="1" x14ac:dyDescent="0.25">
      <c r="A416" s="143" t="s">
        <v>334</v>
      </c>
      <c r="B416" s="143" t="s">
        <v>370</v>
      </c>
      <c r="C416" s="143" t="s">
        <v>371</v>
      </c>
      <c r="D416" s="143" t="s">
        <v>69</v>
      </c>
      <c r="E416" s="257">
        <v>23352000</v>
      </c>
      <c r="F416" s="257">
        <v>23352000</v>
      </c>
      <c r="G416" s="257">
        <v>5838000</v>
      </c>
      <c r="H416" s="257">
        <v>0</v>
      </c>
      <c r="I416" s="257">
        <v>13181520.5</v>
      </c>
      <c r="J416" s="257">
        <v>0</v>
      </c>
      <c r="K416" s="257">
        <v>0</v>
      </c>
      <c r="L416" s="257">
        <v>0</v>
      </c>
      <c r="M416" s="257">
        <v>10170479.5</v>
      </c>
      <c r="N416" s="593">
        <v>-7343520.5</v>
      </c>
    </row>
    <row r="417" spans="1:14" s="143" customFormat="1" x14ac:dyDescent="0.25">
      <c r="A417" s="143" t="s">
        <v>334</v>
      </c>
      <c r="B417" s="143" t="s">
        <v>372</v>
      </c>
      <c r="C417" s="143" t="s">
        <v>373</v>
      </c>
      <c r="D417" s="143" t="s">
        <v>85</v>
      </c>
      <c r="E417" s="257">
        <v>573100000</v>
      </c>
      <c r="F417" s="257">
        <v>573100000</v>
      </c>
      <c r="G417" s="257">
        <v>662500</v>
      </c>
      <c r="H417" s="257">
        <v>0</v>
      </c>
      <c r="I417" s="257">
        <v>0</v>
      </c>
      <c r="J417" s="257">
        <v>0</v>
      </c>
      <c r="K417" s="257">
        <v>0</v>
      </c>
      <c r="L417" s="257">
        <v>0</v>
      </c>
      <c r="M417" s="257">
        <v>573100000</v>
      </c>
      <c r="N417" s="257">
        <v>662500</v>
      </c>
    </row>
    <row r="418" spans="1:14" s="143" customFormat="1" x14ac:dyDescent="0.25">
      <c r="A418" s="143" t="s">
        <v>334</v>
      </c>
      <c r="B418" s="143" t="s">
        <v>374</v>
      </c>
      <c r="C418" s="143" t="s">
        <v>375</v>
      </c>
      <c r="D418" s="143" t="s">
        <v>85</v>
      </c>
      <c r="E418" s="257">
        <v>573100000</v>
      </c>
      <c r="F418" s="257">
        <v>573100000</v>
      </c>
      <c r="G418" s="257">
        <v>662500</v>
      </c>
      <c r="H418" s="257">
        <v>0</v>
      </c>
      <c r="I418" s="257">
        <v>0</v>
      </c>
      <c r="J418" s="257">
        <v>0</v>
      </c>
      <c r="K418" s="257">
        <v>0</v>
      </c>
      <c r="L418" s="257">
        <v>0</v>
      </c>
      <c r="M418" s="257">
        <v>573100000</v>
      </c>
      <c r="N418" s="257">
        <v>662500</v>
      </c>
    </row>
    <row r="419" spans="1:14" s="143" customFormat="1" x14ac:dyDescent="0.25">
      <c r="A419" s="143" t="s">
        <v>334</v>
      </c>
      <c r="B419" s="143" t="s">
        <v>376</v>
      </c>
      <c r="C419" s="143" t="s">
        <v>377</v>
      </c>
      <c r="D419" s="143" t="s">
        <v>85</v>
      </c>
      <c r="E419" s="257">
        <v>573100000</v>
      </c>
      <c r="F419" s="257">
        <v>573100000</v>
      </c>
      <c r="G419" s="257">
        <v>662500</v>
      </c>
      <c r="H419" s="257">
        <v>0</v>
      </c>
      <c r="I419" s="257">
        <v>0</v>
      </c>
      <c r="J419" s="257">
        <v>0</v>
      </c>
      <c r="K419" s="257">
        <v>0</v>
      </c>
      <c r="L419" s="257">
        <v>0</v>
      </c>
      <c r="M419" s="257">
        <v>573100000</v>
      </c>
      <c r="N419" s="257">
        <v>662500</v>
      </c>
    </row>
    <row r="420" spans="1:14" s="143" customFormat="1" x14ac:dyDescent="0.25">
      <c r="A420" s="143">
        <v>214784</v>
      </c>
      <c r="D420" s="143" t="s">
        <v>69</v>
      </c>
      <c r="E420" s="257">
        <v>13837611334</v>
      </c>
      <c r="F420" s="257">
        <v>13837611334</v>
      </c>
      <c r="G420" s="257">
        <v>13598899369</v>
      </c>
      <c r="H420" s="257">
        <v>0</v>
      </c>
      <c r="I420" s="257">
        <v>1838194546.02</v>
      </c>
      <c r="J420" s="257">
        <v>0</v>
      </c>
      <c r="K420" s="257">
        <v>2700725595.96</v>
      </c>
      <c r="L420" s="257">
        <v>2700725595.96</v>
      </c>
      <c r="M420" s="257">
        <v>9298691192.0200005</v>
      </c>
      <c r="N420" s="257">
        <v>9059979227.0200005</v>
      </c>
    </row>
    <row r="421" spans="1:14" s="143" customFormat="1" x14ac:dyDescent="0.25">
      <c r="A421" s="143" t="s">
        <v>378</v>
      </c>
      <c r="B421" s="143" t="s">
        <v>71</v>
      </c>
      <c r="C421" s="143" t="s">
        <v>72</v>
      </c>
      <c r="D421" s="143" t="s">
        <v>69</v>
      </c>
      <c r="E421" s="257">
        <v>13313316000</v>
      </c>
      <c r="F421" s="257">
        <v>13313316000</v>
      </c>
      <c r="G421" s="257">
        <v>13313316000</v>
      </c>
      <c r="H421" s="257">
        <v>0</v>
      </c>
      <c r="I421" s="257">
        <v>1662073986.25</v>
      </c>
      <c r="J421" s="257">
        <v>0</v>
      </c>
      <c r="K421" s="257">
        <v>2641440294.9299998</v>
      </c>
      <c r="L421" s="257">
        <v>2641440294.9299998</v>
      </c>
      <c r="M421" s="257">
        <v>9009801718.8199997</v>
      </c>
      <c r="N421" s="257">
        <v>9009801718.8199997</v>
      </c>
    </row>
    <row r="422" spans="1:14" s="143" customFormat="1" x14ac:dyDescent="0.25">
      <c r="A422" s="143" t="s">
        <v>378</v>
      </c>
      <c r="B422" s="143" t="s">
        <v>73</v>
      </c>
      <c r="C422" s="143" t="s">
        <v>74</v>
      </c>
      <c r="D422" s="143" t="s">
        <v>69</v>
      </c>
      <c r="E422" s="257">
        <v>4473382000</v>
      </c>
      <c r="F422" s="257">
        <v>4473382000</v>
      </c>
      <c r="G422" s="257">
        <v>4473382000</v>
      </c>
      <c r="H422" s="257">
        <v>0</v>
      </c>
      <c r="I422" s="257">
        <v>0</v>
      </c>
      <c r="J422" s="257">
        <v>0</v>
      </c>
      <c r="K422" s="257">
        <v>671007695.76999998</v>
      </c>
      <c r="L422" s="257">
        <v>671007695.76999998</v>
      </c>
      <c r="M422" s="257">
        <v>3802374304.23</v>
      </c>
      <c r="N422" s="257">
        <v>3802374304.23</v>
      </c>
    </row>
    <row r="423" spans="1:14" s="143" customFormat="1" x14ac:dyDescent="0.25">
      <c r="A423" s="143" t="s">
        <v>378</v>
      </c>
      <c r="B423" s="143" t="s">
        <v>75</v>
      </c>
      <c r="C423" s="143" t="s">
        <v>76</v>
      </c>
      <c r="D423" s="143" t="s">
        <v>69</v>
      </c>
      <c r="E423" s="257">
        <v>4473382000</v>
      </c>
      <c r="F423" s="257">
        <v>4473382000</v>
      </c>
      <c r="G423" s="257">
        <v>4473382000</v>
      </c>
      <c r="H423" s="257">
        <v>0</v>
      </c>
      <c r="I423" s="257">
        <v>0</v>
      </c>
      <c r="J423" s="257">
        <v>0</v>
      </c>
      <c r="K423" s="257">
        <v>671007695.76999998</v>
      </c>
      <c r="L423" s="257">
        <v>671007695.76999998</v>
      </c>
      <c r="M423" s="257">
        <v>3802374304.23</v>
      </c>
      <c r="N423" s="257">
        <v>3802374304.23</v>
      </c>
    </row>
    <row r="424" spans="1:14" s="143" customFormat="1" x14ac:dyDescent="0.25">
      <c r="A424" s="143" t="s">
        <v>378</v>
      </c>
      <c r="B424" s="143" t="s">
        <v>77</v>
      </c>
      <c r="C424" s="143" t="s">
        <v>78</v>
      </c>
      <c r="D424" s="143" t="s">
        <v>69</v>
      </c>
      <c r="E424" s="257">
        <v>6745487000</v>
      </c>
      <c r="F424" s="257">
        <v>6745487000</v>
      </c>
      <c r="G424" s="257">
        <v>6745487000</v>
      </c>
      <c r="H424" s="257">
        <v>0</v>
      </c>
      <c r="I424" s="257">
        <v>0</v>
      </c>
      <c r="J424" s="257">
        <v>0</v>
      </c>
      <c r="K424" s="257">
        <v>1538059585.4100001</v>
      </c>
      <c r="L424" s="257">
        <v>1538059585.4100001</v>
      </c>
      <c r="M424" s="257">
        <v>5207427414.5900002</v>
      </c>
      <c r="N424" s="257">
        <v>5207427414.5900002</v>
      </c>
    </row>
    <row r="425" spans="1:14" s="143" customFormat="1" x14ac:dyDescent="0.25">
      <c r="A425" s="143" t="s">
        <v>378</v>
      </c>
      <c r="B425" s="143" t="s">
        <v>79</v>
      </c>
      <c r="C425" s="143" t="s">
        <v>80</v>
      </c>
      <c r="D425" s="143" t="s">
        <v>69</v>
      </c>
      <c r="E425" s="257">
        <v>1460185000</v>
      </c>
      <c r="F425" s="257">
        <v>1460185000</v>
      </c>
      <c r="G425" s="257">
        <v>1460185000</v>
      </c>
      <c r="H425" s="257">
        <v>0</v>
      </c>
      <c r="I425" s="257">
        <v>0</v>
      </c>
      <c r="J425" s="257">
        <v>0</v>
      </c>
      <c r="K425" s="257">
        <v>221036248.19</v>
      </c>
      <c r="L425" s="257">
        <v>221036248.19</v>
      </c>
      <c r="M425" s="257">
        <v>1239148751.8099999</v>
      </c>
      <c r="N425" s="257">
        <v>1239148751.8099999</v>
      </c>
    </row>
    <row r="426" spans="1:14" s="143" customFormat="1" x14ac:dyDescent="0.25">
      <c r="A426" s="143" t="s">
        <v>378</v>
      </c>
      <c r="B426" s="143" t="s">
        <v>81</v>
      </c>
      <c r="C426" s="143" t="s">
        <v>82</v>
      </c>
      <c r="D426" s="143" t="s">
        <v>69</v>
      </c>
      <c r="E426" s="257">
        <v>2519609000</v>
      </c>
      <c r="F426" s="257">
        <v>2519609000</v>
      </c>
      <c r="G426" s="257">
        <v>2519609000</v>
      </c>
      <c r="H426" s="257">
        <v>0</v>
      </c>
      <c r="I426" s="257">
        <v>0</v>
      </c>
      <c r="J426" s="257">
        <v>0</v>
      </c>
      <c r="K426" s="257">
        <v>392186931.25</v>
      </c>
      <c r="L426" s="257">
        <v>392186931.25</v>
      </c>
      <c r="M426" s="257">
        <v>2127422068.75</v>
      </c>
      <c r="N426" s="257">
        <v>2127422068.75</v>
      </c>
    </row>
    <row r="427" spans="1:14" s="143" customFormat="1" x14ac:dyDescent="0.25">
      <c r="A427" s="143" t="s">
        <v>378</v>
      </c>
      <c r="B427" s="143" t="s">
        <v>83</v>
      </c>
      <c r="C427" s="143" t="s">
        <v>84</v>
      </c>
      <c r="D427" s="143" t="s">
        <v>85</v>
      </c>
      <c r="E427" s="257">
        <v>830335000</v>
      </c>
      <c r="F427" s="257">
        <v>830335000</v>
      </c>
      <c r="G427" s="257">
        <v>830335000</v>
      </c>
      <c r="H427" s="257">
        <v>0</v>
      </c>
      <c r="I427" s="257">
        <v>0</v>
      </c>
      <c r="J427" s="257">
        <v>0</v>
      </c>
      <c r="K427" s="257">
        <v>0</v>
      </c>
      <c r="L427" s="257">
        <v>0</v>
      </c>
      <c r="M427" s="257">
        <v>830335000</v>
      </c>
      <c r="N427" s="257">
        <v>830335000</v>
      </c>
    </row>
    <row r="428" spans="1:14" s="143" customFormat="1" x14ac:dyDescent="0.25">
      <c r="A428" s="143" t="s">
        <v>378</v>
      </c>
      <c r="B428" s="143" t="s">
        <v>86</v>
      </c>
      <c r="C428" s="143" t="s">
        <v>87</v>
      </c>
      <c r="D428" s="143" t="s">
        <v>69</v>
      </c>
      <c r="E428" s="257">
        <v>738904000</v>
      </c>
      <c r="F428" s="257">
        <v>738904000</v>
      </c>
      <c r="G428" s="257">
        <v>738904000</v>
      </c>
      <c r="H428" s="257">
        <v>0</v>
      </c>
      <c r="I428" s="257">
        <v>0</v>
      </c>
      <c r="J428" s="257">
        <v>0</v>
      </c>
      <c r="K428" s="257">
        <v>737016521.14999998</v>
      </c>
      <c r="L428" s="257">
        <v>737016521.14999998</v>
      </c>
      <c r="M428" s="257">
        <v>1887478.85</v>
      </c>
      <c r="N428" s="257">
        <v>1887478.85</v>
      </c>
    </row>
    <row r="429" spans="1:14" s="143" customFormat="1" x14ac:dyDescent="0.25">
      <c r="A429" s="143" t="s">
        <v>378</v>
      </c>
      <c r="B429" s="143" t="s">
        <v>88</v>
      </c>
      <c r="C429" s="143" t="s">
        <v>89</v>
      </c>
      <c r="D429" s="143" t="s">
        <v>69</v>
      </c>
      <c r="E429" s="257">
        <v>1196454000</v>
      </c>
      <c r="F429" s="257">
        <v>1196454000</v>
      </c>
      <c r="G429" s="257">
        <v>1196454000</v>
      </c>
      <c r="H429" s="257">
        <v>0</v>
      </c>
      <c r="I429" s="257">
        <v>0</v>
      </c>
      <c r="J429" s="257">
        <v>0</v>
      </c>
      <c r="K429" s="257">
        <v>187819884.81999999</v>
      </c>
      <c r="L429" s="257">
        <v>187819884.81999999</v>
      </c>
      <c r="M429" s="257">
        <v>1008634115.1799999</v>
      </c>
      <c r="N429" s="257">
        <v>1008634115.1799999</v>
      </c>
    </row>
    <row r="430" spans="1:14" s="143" customFormat="1" x14ac:dyDescent="0.25">
      <c r="A430" s="143" t="s">
        <v>378</v>
      </c>
      <c r="B430" s="143" t="s">
        <v>90</v>
      </c>
      <c r="C430" s="143" t="s">
        <v>91</v>
      </c>
      <c r="D430" s="143" t="s">
        <v>69</v>
      </c>
      <c r="E430" s="257">
        <v>1012881000</v>
      </c>
      <c r="F430" s="257">
        <v>1012881000</v>
      </c>
      <c r="G430" s="257">
        <v>1012881000</v>
      </c>
      <c r="H430" s="257">
        <v>0</v>
      </c>
      <c r="I430" s="257">
        <v>796193959</v>
      </c>
      <c r="J430" s="257">
        <v>0</v>
      </c>
      <c r="K430" s="257">
        <v>216687041</v>
      </c>
      <c r="L430" s="257">
        <v>216687041</v>
      </c>
      <c r="M430" s="257">
        <v>0</v>
      </c>
      <c r="N430" s="257">
        <v>0</v>
      </c>
    </row>
    <row r="431" spans="1:14" s="143" customFormat="1" x14ac:dyDescent="0.25">
      <c r="A431" s="143" t="s">
        <v>378</v>
      </c>
      <c r="B431" s="143" t="s">
        <v>379</v>
      </c>
      <c r="C431" s="143" t="s">
        <v>93</v>
      </c>
      <c r="D431" s="143" t="s">
        <v>69</v>
      </c>
      <c r="E431" s="257">
        <v>960939000</v>
      </c>
      <c r="F431" s="257">
        <v>960939000</v>
      </c>
      <c r="G431" s="257">
        <v>960939000</v>
      </c>
      <c r="H431" s="257">
        <v>0</v>
      </c>
      <c r="I431" s="257">
        <v>755363687</v>
      </c>
      <c r="J431" s="257">
        <v>0</v>
      </c>
      <c r="K431" s="257">
        <v>205575313</v>
      </c>
      <c r="L431" s="257">
        <v>205575313</v>
      </c>
      <c r="M431" s="257">
        <v>0</v>
      </c>
      <c r="N431" s="257">
        <v>0</v>
      </c>
    </row>
    <row r="432" spans="1:14" s="143" customFormat="1" x14ac:dyDescent="0.25">
      <c r="A432" s="143" t="s">
        <v>378</v>
      </c>
      <c r="B432" s="143" t="s">
        <v>380</v>
      </c>
      <c r="C432" s="143" t="s">
        <v>95</v>
      </c>
      <c r="D432" s="143" t="s">
        <v>69</v>
      </c>
      <c r="E432" s="257">
        <v>51942000</v>
      </c>
      <c r="F432" s="257">
        <v>51942000</v>
      </c>
      <c r="G432" s="257">
        <v>51942000</v>
      </c>
      <c r="H432" s="257">
        <v>0</v>
      </c>
      <c r="I432" s="257">
        <v>40830272</v>
      </c>
      <c r="J432" s="257">
        <v>0</v>
      </c>
      <c r="K432" s="257">
        <v>11111728</v>
      </c>
      <c r="L432" s="257">
        <v>11111728</v>
      </c>
      <c r="M432" s="257">
        <v>0</v>
      </c>
      <c r="N432" s="257">
        <v>0</v>
      </c>
    </row>
    <row r="433" spans="1:14" s="143" customFormat="1" x14ac:dyDescent="0.25">
      <c r="A433" s="143" t="s">
        <v>378</v>
      </c>
      <c r="B433" s="143" t="s">
        <v>96</v>
      </c>
      <c r="C433" s="143" t="s">
        <v>97</v>
      </c>
      <c r="D433" s="143" t="s">
        <v>69</v>
      </c>
      <c r="E433" s="257">
        <v>1081566000</v>
      </c>
      <c r="F433" s="257">
        <v>1081566000</v>
      </c>
      <c r="G433" s="257">
        <v>1081566000</v>
      </c>
      <c r="H433" s="257">
        <v>0</v>
      </c>
      <c r="I433" s="257">
        <v>865880027.25</v>
      </c>
      <c r="J433" s="257">
        <v>0</v>
      </c>
      <c r="K433" s="257">
        <v>215685972.75</v>
      </c>
      <c r="L433" s="257">
        <v>215685972.75</v>
      </c>
      <c r="M433" s="257">
        <v>0</v>
      </c>
      <c r="N433" s="257">
        <v>0</v>
      </c>
    </row>
    <row r="434" spans="1:14" s="143" customFormat="1" x14ac:dyDescent="0.25">
      <c r="A434" s="143" t="s">
        <v>378</v>
      </c>
      <c r="B434" s="143" t="s">
        <v>381</v>
      </c>
      <c r="C434" s="143" t="s">
        <v>99</v>
      </c>
      <c r="D434" s="143" t="s">
        <v>69</v>
      </c>
      <c r="E434" s="257">
        <v>527737000</v>
      </c>
      <c r="F434" s="257">
        <v>527737000</v>
      </c>
      <c r="G434" s="257">
        <v>527737000</v>
      </c>
      <c r="H434" s="257">
        <v>0</v>
      </c>
      <c r="I434" s="257">
        <v>431784146</v>
      </c>
      <c r="J434" s="257">
        <v>0</v>
      </c>
      <c r="K434" s="257">
        <v>95952854</v>
      </c>
      <c r="L434" s="257">
        <v>95952854</v>
      </c>
      <c r="M434" s="257">
        <v>0</v>
      </c>
      <c r="N434" s="257">
        <v>0</v>
      </c>
    </row>
    <row r="435" spans="1:14" s="143" customFormat="1" x14ac:dyDescent="0.25">
      <c r="A435" s="143" t="s">
        <v>378</v>
      </c>
      <c r="B435" s="143" t="s">
        <v>382</v>
      </c>
      <c r="C435" s="143" t="s">
        <v>101</v>
      </c>
      <c r="D435" s="143" t="s">
        <v>69</v>
      </c>
      <c r="E435" s="257">
        <v>155828000</v>
      </c>
      <c r="F435" s="257">
        <v>155828000</v>
      </c>
      <c r="G435" s="257">
        <v>155828000</v>
      </c>
      <c r="H435" s="257">
        <v>0</v>
      </c>
      <c r="I435" s="257">
        <v>122492804</v>
      </c>
      <c r="J435" s="257">
        <v>0</v>
      </c>
      <c r="K435" s="257">
        <v>33335196</v>
      </c>
      <c r="L435" s="257">
        <v>33335196</v>
      </c>
      <c r="M435" s="257">
        <v>0</v>
      </c>
      <c r="N435" s="257">
        <v>0</v>
      </c>
    </row>
    <row r="436" spans="1:14" s="143" customFormat="1" x14ac:dyDescent="0.25">
      <c r="A436" s="143" t="s">
        <v>378</v>
      </c>
      <c r="B436" s="143" t="s">
        <v>383</v>
      </c>
      <c r="C436" s="143" t="s">
        <v>103</v>
      </c>
      <c r="D436" s="143" t="s">
        <v>69</v>
      </c>
      <c r="E436" s="257">
        <v>311656000</v>
      </c>
      <c r="F436" s="257">
        <v>311656000</v>
      </c>
      <c r="G436" s="257">
        <v>311656000</v>
      </c>
      <c r="H436" s="257">
        <v>0</v>
      </c>
      <c r="I436" s="257">
        <v>244985644</v>
      </c>
      <c r="J436" s="257">
        <v>0</v>
      </c>
      <c r="K436" s="257">
        <v>66670356</v>
      </c>
      <c r="L436" s="257">
        <v>66670356</v>
      </c>
      <c r="M436" s="257">
        <v>0</v>
      </c>
      <c r="N436" s="257">
        <v>0</v>
      </c>
    </row>
    <row r="437" spans="1:14" s="143" customFormat="1" x14ac:dyDescent="0.25">
      <c r="A437" s="143" t="s">
        <v>378</v>
      </c>
      <c r="B437" s="143" t="s">
        <v>384</v>
      </c>
      <c r="C437" s="143" t="s">
        <v>385</v>
      </c>
      <c r="D437" s="143" t="s">
        <v>69</v>
      </c>
      <c r="E437" s="257">
        <v>86345000</v>
      </c>
      <c r="F437" s="257">
        <v>86345000</v>
      </c>
      <c r="G437" s="257">
        <v>86345000</v>
      </c>
      <c r="H437" s="257">
        <v>0</v>
      </c>
      <c r="I437" s="257">
        <v>66617433.25</v>
      </c>
      <c r="J437" s="257">
        <v>0</v>
      </c>
      <c r="K437" s="257">
        <v>19727566.75</v>
      </c>
      <c r="L437" s="257">
        <v>19727566.75</v>
      </c>
      <c r="M437" s="257">
        <v>0</v>
      </c>
      <c r="N437" s="257">
        <v>0</v>
      </c>
    </row>
    <row r="438" spans="1:14" s="143" customFormat="1" x14ac:dyDescent="0.25">
      <c r="A438" s="143" t="s">
        <v>378</v>
      </c>
      <c r="B438" s="143" t="s">
        <v>104</v>
      </c>
      <c r="C438" s="143" t="s">
        <v>105</v>
      </c>
      <c r="D438" s="143" t="s">
        <v>69</v>
      </c>
      <c r="E438" s="257">
        <v>31730334</v>
      </c>
      <c r="F438" s="257">
        <v>31730334</v>
      </c>
      <c r="G438" s="257">
        <v>0</v>
      </c>
      <c r="H438" s="257">
        <v>0</v>
      </c>
      <c r="I438" s="257">
        <v>410517</v>
      </c>
      <c r="J438" s="257">
        <v>0</v>
      </c>
      <c r="K438" s="257">
        <v>0</v>
      </c>
      <c r="L438" s="257">
        <v>0</v>
      </c>
      <c r="M438" s="257">
        <v>31319817</v>
      </c>
      <c r="N438" s="275">
        <v>-410517</v>
      </c>
    </row>
    <row r="439" spans="1:14" s="143" customFormat="1" x14ac:dyDescent="0.25">
      <c r="A439" s="143" t="s">
        <v>378</v>
      </c>
      <c r="B439" s="143" t="s">
        <v>150</v>
      </c>
      <c r="C439" s="143" t="s">
        <v>151</v>
      </c>
      <c r="D439" s="143" t="s">
        <v>69</v>
      </c>
      <c r="E439" s="257">
        <v>31730334</v>
      </c>
      <c r="F439" s="257">
        <v>31730334</v>
      </c>
      <c r="G439" s="257">
        <v>0</v>
      </c>
      <c r="H439" s="257">
        <v>0</v>
      </c>
      <c r="I439" s="257">
        <v>410517</v>
      </c>
      <c r="J439" s="257">
        <v>0</v>
      </c>
      <c r="K439" s="257">
        <v>0</v>
      </c>
      <c r="L439" s="257">
        <v>0</v>
      </c>
      <c r="M439" s="257">
        <v>31319817</v>
      </c>
      <c r="N439" s="275">
        <v>-410517</v>
      </c>
    </row>
    <row r="440" spans="1:14" s="143" customFormat="1" x14ac:dyDescent="0.25">
      <c r="A440" s="143" t="s">
        <v>378</v>
      </c>
      <c r="B440" s="143" t="s">
        <v>152</v>
      </c>
      <c r="C440" s="143" t="s">
        <v>153</v>
      </c>
      <c r="D440" s="143" t="s">
        <v>69</v>
      </c>
      <c r="E440" s="257">
        <v>31730334</v>
      </c>
      <c r="F440" s="257">
        <v>31730334</v>
      </c>
      <c r="G440" s="257">
        <v>0</v>
      </c>
      <c r="H440" s="257">
        <v>0</v>
      </c>
      <c r="I440" s="257">
        <v>410517</v>
      </c>
      <c r="J440" s="257">
        <v>0</v>
      </c>
      <c r="K440" s="257">
        <v>0</v>
      </c>
      <c r="L440" s="257">
        <v>0</v>
      </c>
      <c r="M440" s="257">
        <v>31319817</v>
      </c>
      <c r="N440" s="275">
        <v>-410517</v>
      </c>
    </row>
    <row r="441" spans="1:14" s="143" customFormat="1" x14ac:dyDescent="0.25">
      <c r="A441" s="143" t="s">
        <v>378</v>
      </c>
      <c r="B441" s="143" t="s">
        <v>248</v>
      </c>
      <c r="C441" s="143" t="s">
        <v>249</v>
      </c>
      <c r="D441" s="143" t="s">
        <v>69</v>
      </c>
      <c r="E441" s="257">
        <v>492565000</v>
      </c>
      <c r="F441" s="257">
        <v>492565000</v>
      </c>
      <c r="G441" s="257">
        <v>285583369</v>
      </c>
      <c r="H441" s="257">
        <v>0</v>
      </c>
      <c r="I441" s="257">
        <v>175710042.77000001</v>
      </c>
      <c r="J441" s="257">
        <v>0</v>
      </c>
      <c r="K441" s="257">
        <v>59285301.030000001</v>
      </c>
      <c r="L441" s="257">
        <v>59285301.030000001</v>
      </c>
      <c r="M441" s="257">
        <v>257569656.19999999</v>
      </c>
      <c r="N441" s="257">
        <v>50588025.200000003</v>
      </c>
    </row>
    <row r="442" spans="1:14" s="143" customFormat="1" x14ac:dyDescent="0.25">
      <c r="A442" s="143" t="s">
        <v>378</v>
      </c>
      <c r="B442" s="143" t="s">
        <v>250</v>
      </c>
      <c r="C442" s="143" t="s">
        <v>251</v>
      </c>
      <c r="D442" s="143" t="s">
        <v>69</v>
      </c>
      <c r="E442" s="257">
        <v>154788000</v>
      </c>
      <c r="F442" s="257">
        <v>154788000</v>
      </c>
      <c r="G442" s="257">
        <v>154788000</v>
      </c>
      <c r="H442" s="257">
        <v>0</v>
      </c>
      <c r="I442" s="257">
        <v>131467380.88</v>
      </c>
      <c r="J442" s="257">
        <v>0</v>
      </c>
      <c r="K442" s="257">
        <v>23320619.120000001</v>
      </c>
      <c r="L442" s="257">
        <v>23320619.120000001</v>
      </c>
      <c r="M442" s="257">
        <v>0</v>
      </c>
      <c r="N442" s="257">
        <v>0</v>
      </c>
    </row>
    <row r="443" spans="1:14" s="143" customFormat="1" x14ac:dyDescent="0.25">
      <c r="A443" s="143" t="s">
        <v>378</v>
      </c>
      <c r="B443" s="143" t="s">
        <v>386</v>
      </c>
      <c r="C443" s="143" t="s">
        <v>257</v>
      </c>
      <c r="D443" s="143" t="s">
        <v>69</v>
      </c>
      <c r="E443" s="257">
        <v>128817000</v>
      </c>
      <c r="F443" s="257">
        <v>128817000</v>
      </c>
      <c r="G443" s="257">
        <v>128817000</v>
      </c>
      <c r="H443" s="257">
        <v>0</v>
      </c>
      <c r="I443" s="257">
        <v>111052314.11</v>
      </c>
      <c r="J443" s="257">
        <v>0</v>
      </c>
      <c r="K443" s="257">
        <v>17764685.890000001</v>
      </c>
      <c r="L443" s="257">
        <v>17764685.890000001</v>
      </c>
      <c r="M443" s="257">
        <v>0</v>
      </c>
      <c r="N443" s="257">
        <v>0</v>
      </c>
    </row>
    <row r="444" spans="1:14" s="143" customFormat="1" x14ac:dyDescent="0.25">
      <c r="A444" s="143" t="s">
        <v>378</v>
      </c>
      <c r="B444" s="143" t="s">
        <v>387</v>
      </c>
      <c r="C444" s="143" t="s">
        <v>259</v>
      </c>
      <c r="D444" s="143" t="s">
        <v>69</v>
      </c>
      <c r="E444" s="257">
        <v>25971000</v>
      </c>
      <c r="F444" s="257">
        <v>25971000</v>
      </c>
      <c r="G444" s="257">
        <v>25971000</v>
      </c>
      <c r="H444" s="257">
        <v>0</v>
      </c>
      <c r="I444" s="257">
        <v>20415066.77</v>
      </c>
      <c r="J444" s="257">
        <v>0</v>
      </c>
      <c r="K444" s="257">
        <v>5555933.2300000004</v>
      </c>
      <c r="L444" s="257">
        <v>5555933.2300000004</v>
      </c>
      <c r="M444" s="257">
        <v>0</v>
      </c>
      <c r="N444" s="257">
        <v>0</v>
      </c>
    </row>
    <row r="445" spans="1:14" s="143" customFormat="1" x14ac:dyDescent="0.25">
      <c r="A445" s="143" t="s">
        <v>378</v>
      </c>
      <c r="B445" s="143" t="s">
        <v>260</v>
      </c>
      <c r="C445" s="143" t="s">
        <v>261</v>
      </c>
      <c r="D445" s="143" t="s">
        <v>69</v>
      </c>
      <c r="E445" s="257">
        <v>312777000</v>
      </c>
      <c r="F445" s="257">
        <v>312777000</v>
      </c>
      <c r="G445" s="257">
        <v>124545369</v>
      </c>
      <c r="H445" s="257">
        <v>0</v>
      </c>
      <c r="I445" s="257">
        <v>38035916.829999998</v>
      </c>
      <c r="J445" s="257">
        <v>0</v>
      </c>
      <c r="K445" s="257">
        <v>35921426.969999999</v>
      </c>
      <c r="L445" s="257">
        <v>35921426.969999999</v>
      </c>
      <c r="M445" s="257">
        <v>238819656.19999999</v>
      </c>
      <c r="N445" s="257">
        <v>50588025.200000003</v>
      </c>
    </row>
    <row r="446" spans="1:14" s="143" customFormat="1" x14ac:dyDescent="0.25">
      <c r="A446" s="143" t="s">
        <v>378</v>
      </c>
      <c r="B446" s="143" t="s">
        <v>262</v>
      </c>
      <c r="C446" s="143" t="s">
        <v>263</v>
      </c>
      <c r="D446" s="143" t="s">
        <v>69</v>
      </c>
      <c r="E446" s="257">
        <v>239389000</v>
      </c>
      <c r="F446" s="257">
        <v>239389000</v>
      </c>
      <c r="G446" s="257">
        <v>67779834</v>
      </c>
      <c r="H446" s="257">
        <v>0</v>
      </c>
      <c r="I446" s="257">
        <v>38035916.829999998</v>
      </c>
      <c r="J446" s="257">
        <v>0</v>
      </c>
      <c r="K446" s="257">
        <v>29743915.170000002</v>
      </c>
      <c r="L446" s="257">
        <v>29743915.170000002</v>
      </c>
      <c r="M446" s="257">
        <v>171609168</v>
      </c>
      <c r="N446" s="257">
        <v>2</v>
      </c>
    </row>
    <row r="447" spans="1:14" s="143" customFormat="1" x14ac:dyDescent="0.25">
      <c r="A447" s="143" t="s">
        <v>378</v>
      </c>
      <c r="B447" s="143" t="s">
        <v>264</v>
      </c>
      <c r="C447" s="143" t="s">
        <v>265</v>
      </c>
      <c r="D447" s="143" t="s">
        <v>69</v>
      </c>
      <c r="E447" s="257">
        <v>73388000</v>
      </c>
      <c r="F447" s="257">
        <v>73388000</v>
      </c>
      <c r="G447" s="257">
        <v>56765535</v>
      </c>
      <c r="H447" s="257">
        <v>0</v>
      </c>
      <c r="I447" s="257">
        <v>0</v>
      </c>
      <c r="J447" s="257">
        <v>0</v>
      </c>
      <c r="K447" s="257">
        <v>6177511.7999999998</v>
      </c>
      <c r="L447" s="257">
        <v>6177511.7999999998</v>
      </c>
      <c r="M447" s="257">
        <v>67210488.200000003</v>
      </c>
      <c r="N447" s="257">
        <v>50588023.200000003</v>
      </c>
    </row>
    <row r="448" spans="1:14" s="143" customFormat="1" x14ac:dyDescent="0.25">
      <c r="A448" s="143" t="s">
        <v>378</v>
      </c>
      <c r="B448" s="143" t="s">
        <v>286</v>
      </c>
      <c r="C448" s="143" t="s">
        <v>287</v>
      </c>
      <c r="D448" s="143" t="s">
        <v>69</v>
      </c>
      <c r="E448" s="257">
        <v>25000000</v>
      </c>
      <c r="F448" s="257">
        <v>25000000</v>
      </c>
      <c r="G448" s="257">
        <v>6250000</v>
      </c>
      <c r="H448" s="257">
        <v>0</v>
      </c>
      <c r="I448" s="257">
        <v>6206745.0599999996</v>
      </c>
      <c r="J448" s="257">
        <v>0</v>
      </c>
      <c r="K448" s="257">
        <v>43254.94</v>
      </c>
      <c r="L448" s="257">
        <v>43254.94</v>
      </c>
      <c r="M448" s="257">
        <v>18750000</v>
      </c>
      <c r="N448" s="257">
        <v>0</v>
      </c>
    </row>
    <row r="449" spans="1:14" s="143" customFormat="1" x14ac:dyDescent="0.25">
      <c r="A449" s="143" t="s">
        <v>378</v>
      </c>
      <c r="B449" s="143" t="s">
        <v>288</v>
      </c>
      <c r="C449" s="143" t="s">
        <v>289</v>
      </c>
      <c r="D449" s="143" t="s">
        <v>69</v>
      </c>
      <c r="E449" s="257">
        <v>10000000</v>
      </c>
      <c r="F449" s="257">
        <v>10000000</v>
      </c>
      <c r="G449" s="257">
        <v>2500000</v>
      </c>
      <c r="H449" s="257">
        <v>0</v>
      </c>
      <c r="I449" s="257">
        <v>2500000</v>
      </c>
      <c r="J449" s="257">
        <v>0</v>
      </c>
      <c r="K449" s="257">
        <v>0</v>
      </c>
      <c r="L449" s="257">
        <v>0</v>
      </c>
      <c r="M449" s="257">
        <v>7500000</v>
      </c>
      <c r="N449" s="257">
        <v>0</v>
      </c>
    </row>
    <row r="450" spans="1:14" s="143" customFormat="1" x14ac:dyDescent="0.25">
      <c r="A450" s="143" t="s">
        <v>378</v>
      </c>
      <c r="B450" s="143" t="s">
        <v>370</v>
      </c>
      <c r="C450" s="143" t="s">
        <v>371</v>
      </c>
      <c r="D450" s="143" t="s">
        <v>69</v>
      </c>
      <c r="E450" s="257">
        <v>15000000</v>
      </c>
      <c r="F450" s="257">
        <v>15000000</v>
      </c>
      <c r="G450" s="257">
        <v>3750000</v>
      </c>
      <c r="H450" s="257">
        <v>0</v>
      </c>
      <c r="I450" s="257">
        <v>3706745.06</v>
      </c>
      <c r="J450" s="257">
        <v>0</v>
      </c>
      <c r="K450" s="257">
        <v>43254.94</v>
      </c>
      <c r="L450" s="257">
        <v>43254.94</v>
      </c>
      <c r="M450" s="257">
        <v>11250000</v>
      </c>
      <c r="N450" s="257">
        <v>0</v>
      </c>
    </row>
    <row r="451" spans="1:14" s="143" customFormat="1" x14ac:dyDescent="0.25">
      <c r="A451" s="53"/>
      <c r="B451" s="53"/>
      <c r="C451" s="53"/>
      <c r="D451" s="53"/>
      <c r="E451" s="54">
        <v>675435665000</v>
      </c>
      <c r="F451" s="54">
        <v>675435665000</v>
      </c>
      <c r="G451" s="54">
        <v>532512515449.25</v>
      </c>
      <c r="H451" s="54">
        <v>3995278190.1500001</v>
      </c>
      <c r="I451" s="54">
        <v>90892176252</v>
      </c>
      <c r="J451" s="54">
        <v>909446608.29999995</v>
      </c>
      <c r="K451" s="54">
        <v>109478381908.75</v>
      </c>
      <c r="L451" s="54">
        <v>103903470100.89999</v>
      </c>
      <c r="M451" s="54">
        <v>470160382040.79999</v>
      </c>
      <c r="N451" s="54">
        <v>327237232490.04999</v>
      </c>
    </row>
  </sheetData>
  <sheetProtection selectLockedCells="1" selectUnlockedCells="1"/>
  <conditionalFormatting sqref="K2:K455">
    <cfRule type="cellIs" dxfId="2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5"/>
  <sheetViews>
    <sheetView zoomScaleNormal="100" workbookViewId="0"/>
  </sheetViews>
  <sheetFormatPr baseColWidth="10" defaultColWidth="36.28515625" defaultRowHeight="15" x14ac:dyDescent="0.25"/>
  <cols>
    <col min="1" max="1" width="13" customWidth="1"/>
    <col min="2" max="2" width="18.140625" customWidth="1"/>
    <col min="3" max="3" width="27" customWidth="1"/>
    <col min="4" max="4" width="6.5703125" customWidth="1"/>
    <col min="5" max="5" width="18.7109375" customWidth="1"/>
    <col min="6" max="7" width="18.5703125" customWidth="1"/>
    <col min="8" max="8" width="17.42578125" customWidth="1"/>
    <col min="9" max="9" width="18.5703125" customWidth="1"/>
    <col min="10" max="10" width="20" customWidth="1"/>
    <col min="11" max="12" width="18.5703125" customWidth="1"/>
    <col min="13" max="13" width="21.5703125" customWidth="1"/>
    <col min="14" max="14" width="18.5703125" customWidth="1"/>
  </cols>
  <sheetData>
    <row r="1" spans="1:14" x14ac:dyDescent="0.25">
      <c r="A1" s="144" t="s">
        <v>52</v>
      </c>
      <c r="B1" s="144" t="s">
        <v>53</v>
      </c>
      <c r="C1" s="144" t="s">
        <v>54</v>
      </c>
      <c r="D1" s="144" t="s">
        <v>55</v>
      </c>
      <c r="E1" s="144" t="s">
        <v>56</v>
      </c>
      <c r="F1" s="144" t="s">
        <v>57</v>
      </c>
      <c r="G1" s="144" t="s">
        <v>58</v>
      </c>
      <c r="H1" s="144" t="s">
        <v>59</v>
      </c>
      <c r="I1" s="144" t="s">
        <v>60</v>
      </c>
      <c r="J1" s="144" t="s">
        <v>61</v>
      </c>
      <c r="K1" s="144" t="s">
        <v>12</v>
      </c>
      <c r="L1" s="144" t="s">
        <v>63</v>
      </c>
      <c r="M1" s="144" t="s">
        <v>65</v>
      </c>
      <c r="N1" s="144" t="s">
        <v>67</v>
      </c>
    </row>
    <row r="2" spans="1:14" s="143" customFormat="1" x14ac:dyDescent="0.25">
      <c r="A2" s="143" t="s">
        <v>68</v>
      </c>
      <c r="D2" s="143" t="s">
        <v>69</v>
      </c>
      <c r="E2" s="257">
        <v>138283902690</v>
      </c>
      <c r="F2" s="257">
        <v>134302218983</v>
      </c>
      <c r="G2" s="257">
        <v>134296244482</v>
      </c>
      <c r="H2" s="257">
        <v>0</v>
      </c>
      <c r="I2" s="257">
        <v>3940029257.7199998</v>
      </c>
      <c r="J2" s="257">
        <v>0</v>
      </c>
      <c r="K2" s="257">
        <v>123842516565.67</v>
      </c>
      <c r="L2" s="257">
        <v>118856946867.02</v>
      </c>
      <c r="M2" s="257">
        <v>6519673159.6099997</v>
      </c>
      <c r="N2" s="257">
        <v>6513698658.6099997</v>
      </c>
    </row>
    <row r="3" spans="1:14" s="143" customFormat="1" x14ac:dyDescent="0.25">
      <c r="A3" s="143">
        <v>214779</v>
      </c>
      <c r="D3" s="143" t="s">
        <v>69</v>
      </c>
      <c r="E3" s="257">
        <v>2837761000</v>
      </c>
      <c r="F3" s="257">
        <v>2608813216</v>
      </c>
      <c r="G3" s="257">
        <v>2608813216</v>
      </c>
      <c r="H3" s="257">
        <v>0</v>
      </c>
      <c r="I3" s="257">
        <v>36261843.689999998</v>
      </c>
      <c r="J3" s="257">
        <v>0</v>
      </c>
      <c r="K3" s="279">
        <v>2334886845.4299998</v>
      </c>
      <c r="L3" s="257">
        <v>2285270006.3699999</v>
      </c>
      <c r="M3" s="257">
        <v>237664526.88</v>
      </c>
      <c r="N3" s="257">
        <v>237664526.88</v>
      </c>
    </row>
    <row r="4" spans="1:14" s="143" customFormat="1" x14ac:dyDescent="0.25">
      <c r="A4" s="143" t="s">
        <v>70</v>
      </c>
      <c r="B4" s="143" t="s">
        <v>71</v>
      </c>
      <c r="C4" s="143" t="s">
        <v>72</v>
      </c>
      <c r="D4" s="143" t="s">
        <v>69</v>
      </c>
      <c r="E4" s="257">
        <v>1576957000</v>
      </c>
      <c r="F4" s="257">
        <v>1380844650</v>
      </c>
      <c r="G4" s="257">
        <v>1380844650</v>
      </c>
      <c r="H4" s="257">
        <v>0</v>
      </c>
      <c r="I4" s="257">
        <v>0</v>
      </c>
      <c r="J4" s="257">
        <v>0</v>
      </c>
      <c r="K4" s="257">
        <v>1253172385.3099999</v>
      </c>
      <c r="L4" s="257">
        <v>1253172385.3099999</v>
      </c>
      <c r="M4" s="257">
        <v>127672264.69</v>
      </c>
      <c r="N4" s="257">
        <v>127672264.69</v>
      </c>
    </row>
    <row r="5" spans="1:14" s="143" customFormat="1" x14ac:dyDescent="0.25">
      <c r="A5" s="143" t="s">
        <v>70</v>
      </c>
      <c r="B5" s="143" t="s">
        <v>73</v>
      </c>
      <c r="C5" s="143" t="s">
        <v>74</v>
      </c>
      <c r="D5" s="143" t="s">
        <v>69</v>
      </c>
      <c r="E5" s="257">
        <v>611601000</v>
      </c>
      <c r="F5" s="257">
        <v>561866650</v>
      </c>
      <c r="G5" s="257">
        <v>561866650</v>
      </c>
      <c r="H5" s="257">
        <v>0</v>
      </c>
      <c r="I5" s="257">
        <v>0</v>
      </c>
      <c r="J5" s="257">
        <v>0</v>
      </c>
      <c r="K5" s="257">
        <v>491925013.44999999</v>
      </c>
      <c r="L5" s="257">
        <v>491925013.44999999</v>
      </c>
      <c r="M5" s="257">
        <v>69941636.549999997</v>
      </c>
      <c r="N5" s="257">
        <v>69941636.549999997</v>
      </c>
    </row>
    <row r="6" spans="1:14" s="143" customFormat="1" x14ac:dyDescent="0.25">
      <c r="A6" s="143" t="s">
        <v>70</v>
      </c>
      <c r="B6" s="143" t="s">
        <v>75</v>
      </c>
      <c r="C6" s="143" t="s">
        <v>76</v>
      </c>
      <c r="D6" s="143" t="s">
        <v>69</v>
      </c>
      <c r="E6" s="257">
        <v>611601000</v>
      </c>
      <c r="F6" s="257">
        <v>561866650</v>
      </c>
      <c r="G6" s="257">
        <v>561866650</v>
      </c>
      <c r="H6" s="257">
        <v>0</v>
      </c>
      <c r="I6" s="257">
        <v>0</v>
      </c>
      <c r="J6" s="257">
        <v>0</v>
      </c>
      <c r="K6" s="257">
        <v>491925013.44999999</v>
      </c>
      <c r="L6" s="257">
        <v>491925013.44999999</v>
      </c>
      <c r="M6" s="257">
        <v>69941636.549999997</v>
      </c>
      <c r="N6" s="257">
        <v>69941636.549999997</v>
      </c>
    </row>
    <row r="7" spans="1:14" s="143" customFormat="1" x14ac:dyDescent="0.25">
      <c r="A7" s="143" t="s">
        <v>70</v>
      </c>
      <c r="B7" s="143" t="s">
        <v>77</v>
      </c>
      <c r="C7" s="143" t="s">
        <v>78</v>
      </c>
      <c r="D7" s="143" t="s">
        <v>69</v>
      </c>
      <c r="E7" s="257">
        <v>726302000</v>
      </c>
      <c r="F7" s="257">
        <v>604862000</v>
      </c>
      <c r="G7" s="257">
        <v>604862000</v>
      </c>
      <c r="H7" s="257">
        <v>0</v>
      </c>
      <c r="I7" s="257">
        <v>0</v>
      </c>
      <c r="J7" s="257">
        <v>0</v>
      </c>
      <c r="K7" s="257">
        <v>569988187.86000001</v>
      </c>
      <c r="L7" s="257">
        <v>569988187.86000001</v>
      </c>
      <c r="M7" s="257">
        <v>34873812.140000001</v>
      </c>
      <c r="N7" s="257">
        <v>34873812.140000001</v>
      </c>
    </row>
    <row r="8" spans="1:14" s="143" customFormat="1" x14ac:dyDescent="0.25">
      <c r="A8" s="143" t="s">
        <v>70</v>
      </c>
      <c r="B8" s="143" t="s">
        <v>79</v>
      </c>
      <c r="C8" s="143" t="s">
        <v>80</v>
      </c>
      <c r="D8" s="143" t="s">
        <v>69</v>
      </c>
      <c r="E8" s="257">
        <v>167585000</v>
      </c>
      <c r="F8" s="257">
        <v>123085000</v>
      </c>
      <c r="G8" s="257">
        <v>123085000</v>
      </c>
      <c r="H8" s="257">
        <v>0</v>
      </c>
      <c r="I8" s="257">
        <v>0</v>
      </c>
      <c r="J8" s="257">
        <v>0</v>
      </c>
      <c r="K8" s="257">
        <v>113626374.72</v>
      </c>
      <c r="L8" s="257">
        <v>113626374.72</v>
      </c>
      <c r="M8" s="257">
        <v>9458625.2799999993</v>
      </c>
      <c r="N8" s="257">
        <v>9458625.2799999993</v>
      </c>
    </row>
    <row r="9" spans="1:14" s="143" customFormat="1" x14ac:dyDescent="0.25">
      <c r="A9" s="143" t="s">
        <v>70</v>
      </c>
      <c r="B9" s="143" t="s">
        <v>81</v>
      </c>
      <c r="C9" s="143" t="s">
        <v>82</v>
      </c>
      <c r="D9" s="143" t="s">
        <v>69</v>
      </c>
      <c r="E9" s="257">
        <v>320119000</v>
      </c>
      <c r="F9" s="257">
        <v>264319000</v>
      </c>
      <c r="G9" s="257">
        <v>264319000</v>
      </c>
      <c r="H9" s="257">
        <v>0</v>
      </c>
      <c r="I9" s="257">
        <v>0</v>
      </c>
      <c r="J9" s="257">
        <v>0</v>
      </c>
      <c r="K9" s="257">
        <v>246796649.41</v>
      </c>
      <c r="L9" s="257">
        <v>246796649.41</v>
      </c>
      <c r="M9" s="257">
        <v>17522350.59</v>
      </c>
      <c r="N9" s="257">
        <v>17522350.59</v>
      </c>
    </row>
    <row r="10" spans="1:14" s="143" customFormat="1" x14ac:dyDescent="0.25">
      <c r="A10" s="143" t="s">
        <v>70</v>
      </c>
      <c r="B10" s="143" t="s">
        <v>86</v>
      </c>
      <c r="C10" s="143" t="s">
        <v>87</v>
      </c>
      <c r="D10" s="143" t="s">
        <v>69</v>
      </c>
      <c r="E10" s="257">
        <v>83553000</v>
      </c>
      <c r="F10" s="257">
        <v>85053000</v>
      </c>
      <c r="G10" s="257">
        <v>85053000</v>
      </c>
      <c r="H10" s="257">
        <v>0</v>
      </c>
      <c r="I10" s="257">
        <v>0</v>
      </c>
      <c r="J10" s="257">
        <v>0</v>
      </c>
      <c r="K10" s="257">
        <v>84044163.719999999</v>
      </c>
      <c r="L10" s="257">
        <v>84044163.719999999</v>
      </c>
      <c r="M10" s="257">
        <v>1008836.28</v>
      </c>
      <c r="N10" s="257">
        <v>1008836.28</v>
      </c>
    </row>
    <row r="11" spans="1:14" s="143" customFormat="1" x14ac:dyDescent="0.25">
      <c r="A11" s="143" t="s">
        <v>70</v>
      </c>
      <c r="B11" s="143" t="s">
        <v>88</v>
      </c>
      <c r="C11" s="143" t="s">
        <v>89</v>
      </c>
      <c r="D11" s="143" t="s">
        <v>69</v>
      </c>
      <c r="E11" s="257">
        <v>53833000</v>
      </c>
      <c r="F11" s="257">
        <v>44833000</v>
      </c>
      <c r="G11" s="257">
        <v>44833000</v>
      </c>
      <c r="H11" s="257">
        <v>0</v>
      </c>
      <c r="I11" s="257">
        <v>0</v>
      </c>
      <c r="J11" s="257">
        <v>0</v>
      </c>
      <c r="K11" s="257">
        <v>41485882.520000003</v>
      </c>
      <c r="L11" s="257">
        <v>41485882.520000003</v>
      </c>
      <c r="M11" s="257">
        <v>3347117.48</v>
      </c>
      <c r="N11" s="257">
        <v>3347117.48</v>
      </c>
    </row>
    <row r="12" spans="1:14" s="143" customFormat="1" x14ac:dyDescent="0.25">
      <c r="A12" s="143" t="s">
        <v>70</v>
      </c>
      <c r="B12" s="143" t="s">
        <v>83</v>
      </c>
      <c r="C12" s="143" t="s">
        <v>84</v>
      </c>
      <c r="D12" s="143" t="s">
        <v>85</v>
      </c>
      <c r="E12" s="257">
        <v>101212000</v>
      </c>
      <c r="F12" s="257">
        <v>87572000</v>
      </c>
      <c r="G12" s="257">
        <v>87572000</v>
      </c>
      <c r="H12" s="257">
        <v>0</v>
      </c>
      <c r="I12" s="257">
        <v>0</v>
      </c>
      <c r="J12" s="257">
        <v>0</v>
      </c>
      <c r="K12" s="257">
        <v>84035117.489999995</v>
      </c>
      <c r="L12" s="257">
        <v>84035117.489999995</v>
      </c>
      <c r="M12" s="257">
        <v>3536882.51</v>
      </c>
      <c r="N12" s="257">
        <v>3536882.51</v>
      </c>
    </row>
    <row r="13" spans="1:14" s="143" customFormat="1" x14ac:dyDescent="0.25">
      <c r="A13" s="143" t="s">
        <v>70</v>
      </c>
      <c r="B13" s="143" t="s">
        <v>90</v>
      </c>
      <c r="C13" s="143" t="s">
        <v>91</v>
      </c>
      <c r="D13" s="143" t="s">
        <v>69</v>
      </c>
      <c r="E13" s="257">
        <v>120578000</v>
      </c>
      <c r="F13" s="257">
        <v>107930000</v>
      </c>
      <c r="G13" s="257">
        <v>107930000</v>
      </c>
      <c r="H13" s="257">
        <v>0</v>
      </c>
      <c r="I13" s="257">
        <v>0</v>
      </c>
      <c r="J13" s="257">
        <v>0</v>
      </c>
      <c r="K13" s="257">
        <v>96470600</v>
      </c>
      <c r="L13" s="257">
        <v>96470600</v>
      </c>
      <c r="M13" s="257">
        <v>11459400</v>
      </c>
      <c r="N13" s="257">
        <v>11459400</v>
      </c>
    </row>
    <row r="14" spans="1:14" s="143" customFormat="1" x14ac:dyDescent="0.25">
      <c r="A14" s="143" t="s">
        <v>70</v>
      </c>
      <c r="B14" s="143" t="s">
        <v>92</v>
      </c>
      <c r="C14" s="143" t="s">
        <v>827</v>
      </c>
      <c r="D14" s="143" t="s">
        <v>69</v>
      </c>
      <c r="E14" s="257">
        <v>114394000</v>
      </c>
      <c r="F14" s="257">
        <v>102394000</v>
      </c>
      <c r="G14" s="257">
        <v>102394000</v>
      </c>
      <c r="H14" s="257">
        <v>0</v>
      </c>
      <c r="I14" s="257">
        <v>0</v>
      </c>
      <c r="J14" s="257">
        <v>0</v>
      </c>
      <c r="K14" s="257">
        <v>91523398</v>
      </c>
      <c r="L14" s="257">
        <v>91523398</v>
      </c>
      <c r="M14" s="257">
        <v>10870602</v>
      </c>
      <c r="N14" s="257">
        <v>10870602</v>
      </c>
    </row>
    <row r="15" spans="1:14" s="143" customFormat="1" x14ac:dyDescent="0.25">
      <c r="A15" s="143" t="s">
        <v>70</v>
      </c>
      <c r="B15" s="143" t="s">
        <v>94</v>
      </c>
      <c r="C15" s="143" t="s">
        <v>95</v>
      </c>
      <c r="D15" s="143" t="s">
        <v>69</v>
      </c>
      <c r="E15" s="257">
        <v>6184000</v>
      </c>
      <c r="F15" s="257">
        <v>5536000</v>
      </c>
      <c r="G15" s="257">
        <v>5536000</v>
      </c>
      <c r="H15" s="257">
        <v>0</v>
      </c>
      <c r="I15" s="257">
        <v>0</v>
      </c>
      <c r="J15" s="257">
        <v>0</v>
      </c>
      <c r="K15" s="257">
        <v>4947202</v>
      </c>
      <c r="L15" s="257">
        <v>4947202</v>
      </c>
      <c r="M15" s="257">
        <v>588798</v>
      </c>
      <c r="N15" s="257">
        <v>588798</v>
      </c>
    </row>
    <row r="16" spans="1:14" s="143" customFormat="1" x14ac:dyDescent="0.25">
      <c r="A16" s="143" t="s">
        <v>70</v>
      </c>
      <c r="B16" s="143" t="s">
        <v>96</v>
      </c>
      <c r="C16" s="143" t="s">
        <v>97</v>
      </c>
      <c r="D16" s="143" t="s">
        <v>69</v>
      </c>
      <c r="E16" s="257">
        <v>118476000</v>
      </c>
      <c r="F16" s="257">
        <v>106186000</v>
      </c>
      <c r="G16" s="257">
        <v>106186000</v>
      </c>
      <c r="H16" s="257">
        <v>0</v>
      </c>
      <c r="I16" s="257">
        <v>0</v>
      </c>
      <c r="J16" s="257">
        <v>0</v>
      </c>
      <c r="K16" s="257">
        <v>94788584</v>
      </c>
      <c r="L16" s="257">
        <v>94788584</v>
      </c>
      <c r="M16" s="257">
        <v>11397416</v>
      </c>
      <c r="N16" s="257">
        <v>11397416</v>
      </c>
    </row>
    <row r="17" spans="1:14" s="143" customFormat="1" x14ac:dyDescent="0.25">
      <c r="A17" s="143" t="s">
        <v>70</v>
      </c>
      <c r="B17" s="143" t="s">
        <v>98</v>
      </c>
      <c r="C17" s="143" t="s">
        <v>828</v>
      </c>
      <c r="D17" s="143" t="s">
        <v>69</v>
      </c>
      <c r="E17" s="257">
        <v>62824000</v>
      </c>
      <c r="F17" s="257">
        <v>56274000</v>
      </c>
      <c r="G17" s="257">
        <v>56274000</v>
      </c>
      <c r="H17" s="257">
        <v>0</v>
      </c>
      <c r="I17" s="257">
        <v>0</v>
      </c>
      <c r="J17" s="257">
        <v>0</v>
      </c>
      <c r="K17" s="257">
        <v>50263662</v>
      </c>
      <c r="L17" s="257">
        <v>50263662</v>
      </c>
      <c r="M17" s="257">
        <v>6010338</v>
      </c>
      <c r="N17" s="257">
        <v>6010338</v>
      </c>
    </row>
    <row r="18" spans="1:14" s="143" customFormat="1" x14ac:dyDescent="0.25">
      <c r="A18" s="143" t="s">
        <v>70</v>
      </c>
      <c r="B18" s="143" t="s">
        <v>100</v>
      </c>
      <c r="C18" s="143" t="s">
        <v>829</v>
      </c>
      <c r="D18" s="143" t="s">
        <v>69</v>
      </c>
      <c r="E18" s="257">
        <v>18551000</v>
      </c>
      <c r="F18" s="257">
        <v>16641000</v>
      </c>
      <c r="G18" s="257">
        <v>16641000</v>
      </c>
      <c r="H18" s="257">
        <v>0</v>
      </c>
      <c r="I18" s="257">
        <v>0</v>
      </c>
      <c r="J18" s="257">
        <v>0</v>
      </c>
      <c r="K18" s="257">
        <v>14841656</v>
      </c>
      <c r="L18" s="257">
        <v>14841656</v>
      </c>
      <c r="M18" s="257">
        <v>1799344</v>
      </c>
      <c r="N18" s="257">
        <v>1799344</v>
      </c>
    </row>
    <row r="19" spans="1:14" s="143" customFormat="1" x14ac:dyDescent="0.25">
      <c r="A19" s="143" t="s">
        <v>70</v>
      </c>
      <c r="B19" s="143" t="s">
        <v>102</v>
      </c>
      <c r="C19" s="143" t="s">
        <v>830</v>
      </c>
      <c r="D19" s="143" t="s">
        <v>69</v>
      </c>
      <c r="E19" s="257">
        <v>37101000</v>
      </c>
      <c r="F19" s="257">
        <v>33271000</v>
      </c>
      <c r="G19" s="257">
        <v>33271000</v>
      </c>
      <c r="H19" s="257">
        <v>0</v>
      </c>
      <c r="I19" s="257">
        <v>0</v>
      </c>
      <c r="J19" s="257">
        <v>0</v>
      </c>
      <c r="K19" s="257">
        <v>29683266</v>
      </c>
      <c r="L19" s="257">
        <v>29683266</v>
      </c>
      <c r="M19" s="257">
        <v>3587734</v>
      </c>
      <c r="N19" s="257">
        <v>3587734</v>
      </c>
    </row>
    <row r="20" spans="1:14" s="143" customFormat="1" x14ac:dyDescent="0.25">
      <c r="A20" s="143" t="s">
        <v>70</v>
      </c>
      <c r="B20" s="143" t="s">
        <v>104</v>
      </c>
      <c r="C20" s="143" t="s">
        <v>105</v>
      </c>
      <c r="D20" s="143" t="s">
        <v>69</v>
      </c>
      <c r="E20" s="257">
        <v>428982000</v>
      </c>
      <c r="F20" s="257">
        <v>395995580</v>
      </c>
      <c r="G20" s="257">
        <v>395995580</v>
      </c>
      <c r="H20" s="257">
        <v>0</v>
      </c>
      <c r="I20" s="257">
        <v>34616931.890000001</v>
      </c>
      <c r="J20" s="257">
        <v>0</v>
      </c>
      <c r="K20" s="257">
        <v>316936556.88</v>
      </c>
      <c r="L20" s="257">
        <v>268601795.60000002</v>
      </c>
      <c r="M20" s="257">
        <v>44442091.229999997</v>
      </c>
      <c r="N20" s="257">
        <v>44442091.229999997</v>
      </c>
    </row>
    <row r="21" spans="1:14" s="143" customFormat="1" x14ac:dyDescent="0.25">
      <c r="A21" s="143" t="s">
        <v>70</v>
      </c>
      <c r="B21" s="143" t="s">
        <v>106</v>
      </c>
      <c r="C21" s="143" t="s">
        <v>107</v>
      </c>
      <c r="D21" s="143" t="s">
        <v>69</v>
      </c>
      <c r="E21" s="257">
        <v>155080000</v>
      </c>
      <c r="F21" s="257">
        <v>148786375</v>
      </c>
      <c r="G21" s="257">
        <v>148786375</v>
      </c>
      <c r="H21" s="257">
        <v>0</v>
      </c>
      <c r="I21" s="257">
        <v>10056255.789999999</v>
      </c>
      <c r="J21" s="257">
        <v>0</v>
      </c>
      <c r="K21" s="257">
        <v>128132648.91</v>
      </c>
      <c r="L21" s="257">
        <v>101233318.33</v>
      </c>
      <c r="M21" s="257">
        <v>10597470.300000001</v>
      </c>
      <c r="N21" s="257">
        <v>10597470.300000001</v>
      </c>
    </row>
    <row r="22" spans="1:14" s="143" customFormat="1" x14ac:dyDescent="0.25">
      <c r="A22" s="143" t="s">
        <v>70</v>
      </c>
      <c r="B22" s="143" t="s">
        <v>108</v>
      </c>
      <c r="C22" s="143" t="s">
        <v>109</v>
      </c>
      <c r="D22" s="143" t="s">
        <v>69</v>
      </c>
      <c r="E22" s="257">
        <v>155000000</v>
      </c>
      <c r="F22" s="257">
        <v>148715000</v>
      </c>
      <c r="G22" s="257">
        <v>148715000</v>
      </c>
      <c r="H22" s="257">
        <v>0</v>
      </c>
      <c r="I22" s="257">
        <v>10056255.789999999</v>
      </c>
      <c r="J22" s="257">
        <v>0</v>
      </c>
      <c r="K22" s="257">
        <v>128061273.91</v>
      </c>
      <c r="L22" s="257">
        <v>101161943.33</v>
      </c>
      <c r="M22" s="257">
        <v>10597470.300000001</v>
      </c>
      <c r="N22" s="257">
        <v>10597470.300000001</v>
      </c>
    </row>
    <row r="23" spans="1:14" s="143" customFormat="1" x14ac:dyDescent="0.25">
      <c r="A23" s="143" t="s">
        <v>70</v>
      </c>
      <c r="B23" s="143" t="s">
        <v>110</v>
      </c>
      <c r="C23" s="143" t="s">
        <v>111</v>
      </c>
      <c r="D23" s="143" t="s">
        <v>69</v>
      </c>
      <c r="E23" s="257">
        <v>80000</v>
      </c>
      <c r="F23" s="257">
        <v>71375</v>
      </c>
      <c r="G23" s="257">
        <v>71375</v>
      </c>
      <c r="H23" s="257">
        <v>0</v>
      </c>
      <c r="I23" s="257">
        <v>0</v>
      </c>
      <c r="J23" s="257">
        <v>0</v>
      </c>
      <c r="K23" s="257">
        <v>71375</v>
      </c>
      <c r="L23" s="257">
        <v>71375</v>
      </c>
      <c r="M23" s="257">
        <v>0</v>
      </c>
      <c r="N23" s="257">
        <v>0</v>
      </c>
    </row>
    <row r="24" spans="1:14" s="143" customFormat="1" x14ac:dyDescent="0.25">
      <c r="A24" s="143" t="s">
        <v>70</v>
      </c>
      <c r="B24" s="143" t="s">
        <v>112</v>
      </c>
      <c r="C24" s="143" t="s">
        <v>113</v>
      </c>
      <c r="D24" s="143" t="s">
        <v>69</v>
      </c>
      <c r="E24" s="257">
        <v>148625000</v>
      </c>
      <c r="F24" s="257">
        <v>148375200</v>
      </c>
      <c r="G24" s="257">
        <v>148375200</v>
      </c>
      <c r="H24" s="257">
        <v>0</v>
      </c>
      <c r="I24" s="257">
        <v>18942284.09</v>
      </c>
      <c r="J24" s="257">
        <v>0</v>
      </c>
      <c r="K24" s="257">
        <v>116012315.91</v>
      </c>
      <c r="L24" s="257">
        <v>106548934</v>
      </c>
      <c r="M24" s="257">
        <v>13420600</v>
      </c>
      <c r="N24" s="257">
        <v>13420600</v>
      </c>
    </row>
    <row r="25" spans="1:14" s="143" customFormat="1" x14ac:dyDescent="0.25">
      <c r="A25" s="143" t="s">
        <v>70</v>
      </c>
      <c r="B25" s="143" t="s">
        <v>114</v>
      </c>
      <c r="C25" s="143" t="s">
        <v>115</v>
      </c>
      <c r="D25" s="143" t="s">
        <v>69</v>
      </c>
      <c r="E25" s="257">
        <v>6000000</v>
      </c>
      <c r="F25" s="257">
        <v>6000000</v>
      </c>
      <c r="G25" s="257">
        <v>6000000</v>
      </c>
      <c r="H25" s="257">
        <v>0</v>
      </c>
      <c r="I25" s="257">
        <v>697844</v>
      </c>
      <c r="J25" s="257">
        <v>0</v>
      </c>
      <c r="K25" s="257">
        <v>5302156</v>
      </c>
      <c r="L25" s="257">
        <v>5302156</v>
      </c>
      <c r="M25" s="257">
        <v>0</v>
      </c>
      <c r="N25" s="257">
        <v>0</v>
      </c>
    </row>
    <row r="26" spans="1:14" s="143" customFormat="1" x14ac:dyDescent="0.25">
      <c r="A26" s="143" t="s">
        <v>70</v>
      </c>
      <c r="B26" s="143" t="s">
        <v>116</v>
      </c>
      <c r="C26" s="143" t="s">
        <v>117</v>
      </c>
      <c r="D26" s="143" t="s">
        <v>69</v>
      </c>
      <c r="E26" s="257">
        <v>62000000</v>
      </c>
      <c r="F26" s="257">
        <v>62000000</v>
      </c>
      <c r="G26" s="257">
        <v>62000000</v>
      </c>
      <c r="H26" s="257">
        <v>0</v>
      </c>
      <c r="I26" s="257">
        <v>6157930</v>
      </c>
      <c r="J26" s="257">
        <v>0</v>
      </c>
      <c r="K26" s="257">
        <v>49342070</v>
      </c>
      <c r="L26" s="257">
        <v>45333545</v>
      </c>
      <c r="M26" s="257">
        <v>6500000</v>
      </c>
      <c r="N26" s="257">
        <v>6500000</v>
      </c>
    </row>
    <row r="27" spans="1:14" s="143" customFormat="1" x14ac:dyDescent="0.25">
      <c r="A27" s="143" t="s">
        <v>70</v>
      </c>
      <c r="B27" s="143" t="s">
        <v>118</v>
      </c>
      <c r="C27" s="143" t="s">
        <v>119</v>
      </c>
      <c r="D27" s="143" t="s">
        <v>69</v>
      </c>
      <c r="E27" s="257">
        <v>25000</v>
      </c>
      <c r="F27" s="257">
        <v>25000</v>
      </c>
      <c r="G27" s="257">
        <v>25000</v>
      </c>
      <c r="H27" s="257">
        <v>0</v>
      </c>
      <c r="I27" s="257">
        <v>0</v>
      </c>
      <c r="J27" s="257">
        <v>0</v>
      </c>
      <c r="K27" s="257">
        <v>16000</v>
      </c>
      <c r="L27" s="257">
        <v>16000</v>
      </c>
      <c r="M27" s="257">
        <v>9000</v>
      </c>
      <c r="N27" s="257">
        <v>9000</v>
      </c>
    </row>
    <row r="28" spans="1:14" s="143" customFormat="1" x14ac:dyDescent="0.25">
      <c r="A28" s="143" t="s">
        <v>70</v>
      </c>
      <c r="B28" s="143" t="s">
        <v>120</v>
      </c>
      <c r="C28" s="143" t="s">
        <v>121</v>
      </c>
      <c r="D28" s="143" t="s">
        <v>69</v>
      </c>
      <c r="E28" s="257">
        <v>80000000</v>
      </c>
      <c r="F28" s="257">
        <v>80000000</v>
      </c>
      <c r="G28" s="257">
        <v>80000000</v>
      </c>
      <c r="H28" s="257">
        <v>0</v>
      </c>
      <c r="I28" s="257">
        <v>12056510.09</v>
      </c>
      <c r="J28" s="257">
        <v>0</v>
      </c>
      <c r="K28" s="257">
        <v>61296489.909999996</v>
      </c>
      <c r="L28" s="257">
        <v>55841633</v>
      </c>
      <c r="M28" s="257">
        <v>6647000</v>
      </c>
      <c r="N28" s="257">
        <v>6647000</v>
      </c>
    </row>
    <row r="29" spans="1:14" s="143" customFormat="1" x14ac:dyDescent="0.25">
      <c r="A29" s="143" t="s">
        <v>70</v>
      </c>
      <c r="B29" s="143" t="s">
        <v>122</v>
      </c>
      <c r="C29" s="143" t="s">
        <v>123</v>
      </c>
      <c r="D29" s="143" t="s">
        <v>69</v>
      </c>
      <c r="E29" s="257">
        <v>600000</v>
      </c>
      <c r="F29" s="257">
        <v>350200</v>
      </c>
      <c r="G29" s="257">
        <v>350200</v>
      </c>
      <c r="H29" s="257">
        <v>0</v>
      </c>
      <c r="I29" s="257">
        <v>30000</v>
      </c>
      <c r="J29" s="257">
        <v>0</v>
      </c>
      <c r="K29" s="257">
        <v>55600</v>
      </c>
      <c r="L29" s="257">
        <v>55600</v>
      </c>
      <c r="M29" s="257">
        <v>264600</v>
      </c>
      <c r="N29" s="257">
        <v>264600</v>
      </c>
    </row>
    <row r="30" spans="1:14" s="143" customFormat="1" x14ac:dyDescent="0.25">
      <c r="A30" s="143" t="s">
        <v>70</v>
      </c>
      <c r="B30" s="143" t="s">
        <v>124</v>
      </c>
      <c r="C30" s="143" t="s">
        <v>125</v>
      </c>
      <c r="D30" s="143" t="s">
        <v>69</v>
      </c>
      <c r="E30" s="257">
        <v>10550000</v>
      </c>
      <c r="F30" s="257">
        <v>12994120</v>
      </c>
      <c r="G30" s="257">
        <v>12994120</v>
      </c>
      <c r="H30" s="257">
        <v>0</v>
      </c>
      <c r="I30" s="257">
        <v>204761</v>
      </c>
      <c r="J30" s="257">
        <v>0</v>
      </c>
      <c r="K30" s="257">
        <v>12386564</v>
      </c>
      <c r="L30" s="257">
        <v>11076014</v>
      </c>
      <c r="M30" s="257">
        <v>402795</v>
      </c>
      <c r="N30" s="257">
        <v>402795</v>
      </c>
    </row>
    <row r="31" spans="1:14" s="143" customFormat="1" x14ac:dyDescent="0.25">
      <c r="A31" s="143" t="s">
        <v>70</v>
      </c>
      <c r="B31" s="143" t="s">
        <v>126</v>
      </c>
      <c r="C31" s="143" t="s">
        <v>127</v>
      </c>
      <c r="D31" s="143" t="s">
        <v>69</v>
      </c>
      <c r="E31" s="257">
        <v>8000000</v>
      </c>
      <c r="F31" s="257">
        <v>10444120</v>
      </c>
      <c r="G31" s="257">
        <v>10444120</v>
      </c>
      <c r="H31" s="257">
        <v>0</v>
      </c>
      <c r="I31" s="257">
        <v>198761</v>
      </c>
      <c r="J31" s="257">
        <v>0</v>
      </c>
      <c r="K31" s="257">
        <v>10112390</v>
      </c>
      <c r="L31" s="257">
        <v>9787020</v>
      </c>
      <c r="M31" s="257">
        <v>132969</v>
      </c>
      <c r="N31" s="257">
        <v>132969</v>
      </c>
    </row>
    <row r="32" spans="1:14" s="143" customFormat="1" x14ac:dyDescent="0.25">
      <c r="A32" s="143" t="s">
        <v>70</v>
      </c>
      <c r="B32" s="143" t="s">
        <v>128</v>
      </c>
      <c r="C32" s="143" t="s">
        <v>129</v>
      </c>
      <c r="D32" s="143" t="s">
        <v>69</v>
      </c>
      <c r="E32" s="257">
        <v>2500000</v>
      </c>
      <c r="F32" s="257">
        <v>2500000</v>
      </c>
      <c r="G32" s="257">
        <v>2500000</v>
      </c>
      <c r="H32" s="257">
        <v>0</v>
      </c>
      <c r="I32" s="257">
        <v>6000</v>
      </c>
      <c r="J32" s="257">
        <v>0</v>
      </c>
      <c r="K32" s="257">
        <v>2266180</v>
      </c>
      <c r="L32" s="257">
        <v>1281000</v>
      </c>
      <c r="M32" s="257">
        <v>227820</v>
      </c>
      <c r="N32" s="257">
        <v>227820</v>
      </c>
    </row>
    <row r="33" spans="1:14" s="143" customFormat="1" x14ac:dyDescent="0.25">
      <c r="A33" s="143" t="s">
        <v>70</v>
      </c>
      <c r="B33" s="143" t="s">
        <v>130</v>
      </c>
      <c r="C33" s="143" t="s">
        <v>131</v>
      </c>
      <c r="D33" s="143" t="s">
        <v>69</v>
      </c>
      <c r="E33" s="257">
        <v>50000</v>
      </c>
      <c r="F33" s="257">
        <v>50000</v>
      </c>
      <c r="G33" s="257">
        <v>50000</v>
      </c>
      <c r="H33" s="257">
        <v>0</v>
      </c>
      <c r="I33" s="257">
        <v>0</v>
      </c>
      <c r="J33" s="257">
        <v>0</v>
      </c>
      <c r="K33" s="257">
        <v>7994</v>
      </c>
      <c r="L33" s="257">
        <v>7994</v>
      </c>
      <c r="M33" s="257">
        <v>42006</v>
      </c>
      <c r="N33" s="257">
        <v>42006</v>
      </c>
    </row>
    <row r="34" spans="1:14" s="143" customFormat="1" x14ac:dyDescent="0.25">
      <c r="A34" s="143" t="s">
        <v>70</v>
      </c>
      <c r="B34" s="143" t="s">
        <v>134</v>
      </c>
      <c r="C34" s="143" t="s">
        <v>135</v>
      </c>
      <c r="D34" s="143" t="s">
        <v>69</v>
      </c>
      <c r="E34" s="257">
        <v>8740000</v>
      </c>
      <c r="F34" s="257">
        <v>4240000</v>
      </c>
      <c r="G34" s="257">
        <v>4240000</v>
      </c>
      <c r="H34" s="257">
        <v>0</v>
      </c>
      <c r="I34" s="257">
        <v>625950</v>
      </c>
      <c r="J34" s="257">
        <v>0</v>
      </c>
      <c r="K34" s="257">
        <v>1308946</v>
      </c>
      <c r="L34" s="257">
        <v>1308946</v>
      </c>
      <c r="M34" s="257">
        <v>2305104</v>
      </c>
      <c r="N34" s="257">
        <v>2305104</v>
      </c>
    </row>
    <row r="35" spans="1:14" s="143" customFormat="1" x14ac:dyDescent="0.25">
      <c r="A35" s="143" t="s">
        <v>70</v>
      </c>
      <c r="B35" s="143" t="s">
        <v>136</v>
      </c>
      <c r="C35" s="143" t="s">
        <v>137</v>
      </c>
      <c r="D35" s="143" t="s">
        <v>69</v>
      </c>
      <c r="E35" s="257">
        <v>1000000</v>
      </c>
      <c r="F35" s="257">
        <v>1000000</v>
      </c>
      <c r="G35" s="257">
        <v>1000000</v>
      </c>
      <c r="H35" s="257">
        <v>0</v>
      </c>
      <c r="I35" s="257">
        <v>0</v>
      </c>
      <c r="J35" s="257">
        <v>0</v>
      </c>
      <c r="K35" s="257">
        <v>0</v>
      </c>
      <c r="L35" s="257">
        <v>0</v>
      </c>
      <c r="M35" s="257">
        <v>1000000</v>
      </c>
      <c r="N35" s="257">
        <v>1000000</v>
      </c>
    </row>
    <row r="36" spans="1:14" s="143" customFormat="1" x14ac:dyDescent="0.25">
      <c r="A36" s="143" t="s">
        <v>70</v>
      </c>
      <c r="B36" s="143" t="s">
        <v>138</v>
      </c>
      <c r="C36" s="143" t="s">
        <v>139</v>
      </c>
      <c r="D36" s="143" t="s">
        <v>69</v>
      </c>
      <c r="E36" s="257">
        <v>7740000</v>
      </c>
      <c r="F36" s="257">
        <v>3240000</v>
      </c>
      <c r="G36" s="257">
        <v>3240000</v>
      </c>
      <c r="H36" s="257">
        <v>0</v>
      </c>
      <c r="I36" s="257">
        <v>625950</v>
      </c>
      <c r="J36" s="257">
        <v>0</v>
      </c>
      <c r="K36" s="257">
        <v>1308946</v>
      </c>
      <c r="L36" s="257">
        <v>1308946</v>
      </c>
      <c r="M36" s="257">
        <v>1305104</v>
      </c>
      <c r="N36" s="257">
        <v>1305104</v>
      </c>
    </row>
    <row r="37" spans="1:14" s="143" customFormat="1" x14ac:dyDescent="0.25">
      <c r="A37" s="143" t="s">
        <v>70</v>
      </c>
      <c r="B37" s="143" t="s">
        <v>140</v>
      </c>
      <c r="C37" s="143" t="s">
        <v>141</v>
      </c>
      <c r="D37" s="143" t="s">
        <v>69</v>
      </c>
      <c r="E37" s="257">
        <v>25100000</v>
      </c>
      <c r="F37" s="257">
        <v>21340885</v>
      </c>
      <c r="G37" s="257">
        <v>21340885</v>
      </c>
      <c r="H37" s="257">
        <v>0</v>
      </c>
      <c r="I37" s="257">
        <v>949857.01</v>
      </c>
      <c r="J37" s="257">
        <v>0</v>
      </c>
      <c r="K37" s="257">
        <v>14648062.699999999</v>
      </c>
      <c r="L37" s="257">
        <v>14648062.699999999</v>
      </c>
      <c r="M37" s="257">
        <v>5742965.29</v>
      </c>
      <c r="N37" s="257">
        <v>5742965.29</v>
      </c>
    </row>
    <row r="38" spans="1:14" s="143" customFormat="1" x14ac:dyDescent="0.25">
      <c r="A38" s="143" t="s">
        <v>70</v>
      </c>
      <c r="B38" s="143" t="s">
        <v>142</v>
      </c>
      <c r="C38" s="143" t="s">
        <v>143</v>
      </c>
      <c r="D38" s="143" t="s">
        <v>69</v>
      </c>
      <c r="E38" s="257">
        <v>100000</v>
      </c>
      <c r="F38" s="257">
        <v>100000</v>
      </c>
      <c r="G38" s="257">
        <v>100000</v>
      </c>
      <c r="H38" s="257">
        <v>0</v>
      </c>
      <c r="I38" s="257">
        <v>0</v>
      </c>
      <c r="J38" s="257">
        <v>0</v>
      </c>
      <c r="K38" s="257">
        <v>44110</v>
      </c>
      <c r="L38" s="257">
        <v>44110</v>
      </c>
      <c r="M38" s="257">
        <v>55890</v>
      </c>
      <c r="N38" s="257">
        <v>55890</v>
      </c>
    </row>
    <row r="39" spans="1:14" s="143" customFormat="1" x14ac:dyDescent="0.25">
      <c r="A39" s="143" t="s">
        <v>70</v>
      </c>
      <c r="B39" s="143" t="s">
        <v>144</v>
      </c>
      <c r="C39" s="143" t="s">
        <v>145</v>
      </c>
      <c r="D39" s="143" t="s">
        <v>69</v>
      </c>
      <c r="E39" s="257">
        <v>10000000</v>
      </c>
      <c r="F39" s="257">
        <v>7454100</v>
      </c>
      <c r="G39" s="257">
        <v>7454100</v>
      </c>
      <c r="H39" s="257">
        <v>0</v>
      </c>
      <c r="I39" s="257">
        <v>228200</v>
      </c>
      <c r="J39" s="257">
        <v>0</v>
      </c>
      <c r="K39" s="257">
        <v>6000650</v>
      </c>
      <c r="L39" s="257">
        <v>6000650</v>
      </c>
      <c r="M39" s="257">
        <v>1225250</v>
      </c>
      <c r="N39" s="257">
        <v>1225250</v>
      </c>
    </row>
    <row r="40" spans="1:14" s="143" customFormat="1" x14ac:dyDescent="0.25">
      <c r="A40" s="143" t="s">
        <v>70</v>
      </c>
      <c r="B40" s="143" t="s">
        <v>146</v>
      </c>
      <c r="C40" s="143" t="s">
        <v>147</v>
      </c>
      <c r="D40" s="143" t="s">
        <v>69</v>
      </c>
      <c r="E40" s="257">
        <v>7000000</v>
      </c>
      <c r="F40" s="257">
        <v>6248313</v>
      </c>
      <c r="G40" s="257">
        <v>6248313</v>
      </c>
      <c r="H40" s="257">
        <v>0</v>
      </c>
      <c r="I40" s="257">
        <v>147093</v>
      </c>
      <c r="J40" s="257">
        <v>0</v>
      </c>
      <c r="K40" s="257">
        <v>4064778.21</v>
      </c>
      <c r="L40" s="257">
        <v>4064778.21</v>
      </c>
      <c r="M40" s="257">
        <v>2036441.79</v>
      </c>
      <c r="N40" s="257">
        <v>2036441.79</v>
      </c>
    </row>
    <row r="41" spans="1:14" s="143" customFormat="1" x14ac:dyDescent="0.25">
      <c r="A41" s="143" t="s">
        <v>70</v>
      </c>
      <c r="B41" s="143" t="s">
        <v>148</v>
      </c>
      <c r="C41" s="143" t="s">
        <v>149</v>
      </c>
      <c r="D41" s="143" t="s">
        <v>69</v>
      </c>
      <c r="E41" s="257">
        <v>8000000</v>
      </c>
      <c r="F41" s="257">
        <v>7538472</v>
      </c>
      <c r="G41" s="257">
        <v>7538472</v>
      </c>
      <c r="H41" s="257">
        <v>0</v>
      </c>
      <c r="I41" s="257">
        <v>574564.01</v>
      </c>
      <c r="J41" s="257">
        <v>0</v>
      </c>
      <c r="K41" s="257">
        <v>4538524.49</v>
      </c>
      <c r="L41" s="257">
        <v>4538524.49</v>
      </c>
      <c r="M41" s="257">
        <v>2425383.5</v>
      </c>
      <c r="N41" s="257">
        <v>2425383.5</v>
      </c>
    </row>
    <row r="42" spans="1:14" s="143" customFormat="1" x14ac:dyDescent="0.25">
      <c r="A42" s="143" t="s">
        <v>70</v>
      </c>
      <c r="B42" s="143" t="s">
        <v>150</v>
      </c>
      <c r="C42" s="143" t="s">
        <v>151</v>
      </c>
      <c r="D42" s="143" t="s">
        <v>69</v>
      </c>
      <c r="E42" s="257">
        <v>48000000</v>
      </c>
      <c r="F42" s="257">
        <v>28000000</v>
      </c>
      <c r="G42" s="257">
        <v>28000000</v>
      </c>
      <c r="H42" s="257">
        <v>0</v>
      </c>
      <c r="I42" s="257">
        <v>612040</v>
      </c>
      <c r="J42" s="257">
        <v>0</v>
      </c>
      <c r="K42" s="257">
        <v>23085053.600000001</v>
      </c>
      <c r="L42" s="257">
        <v>17694456.600000001</v>
      </c>
      <c r="M42" s="257">
        <v>4302906.4000000004</v>
      </c>
      <c r="N42" s="257">
        <v>4302906.4000000004</v>
      </c>
    </row>
    <row r="43" spans="1:14" s="143" customFormat="1" x14ac:dyDescent="0.25">
      <c r="A43" s="143" t="s">
        <v>70</v>
      </c>
      <c r="B43" s="143" t="s">
        <v>152</v>
      </c>
      <c r="C43" s="143" t="s">
        <v>153</v>
      </c>
      <c r="D43" s="143" t="s">
        <v>69</v>
      </c>
      <c r="E43" s="257">
        <v>48000000</v>
      </c>
      <c r="F43" s="257">
        <v>28000000</v>
      </c>
      <c r="G43" s="257">
        <v>28000000</v>
      </c>
      <c r="H43" s="257">
        <v>0</v>
      </c>
      <c r="I43" s="257">
        <v>612040</v>
      </c>
      <c r="J43" s="257">
        <v>0</v>
      </c>
      <c r="K43" s="257">
        <v>23085053.600000001</v>
      </c>
      <c r="L43" s="257">
        <v>17694456.600000001</v>
      </c>
      <c r="M43" s="257">
        <v>4302906.4000000004</v>
      </c>
      <c r="N43" s="257">
        <v>4302906.4000000004</v>
      </c>
    </row>
    <row r="44" spans="1:14" s="143" customFormat="1" x14ac:dyDescent="0.25">
      <c r="A44" s="143" t="s">
        <v>70</v>
      </c>
      <c r="B44" s="143" t="s">
        <v>154</v>
      </c>
      <c r="C44" s="143" t="s">
        <v>155</v>
      </c>
      <c r="D44" s="143" t="s">
        <v>69</v>
      </c>
      <c r="E44" s="257">
        <v>7397000</v>
      </c>
      <c r="F44" s="257">
        <v>7472000</v>
      </c>
      <c r="G44" s="257">
        <v>7472000</v>
      </c>
      <c r="H44" s="257">
        <v>0</v>
      </c>
      <c r="I44" s="257">
        <v>100000</v>
      </c>
      <c r="J44" s="257">
        <v>0</v>
      </c>
      <c r="K44" s="257">
        <v>6067678.0599999996</v>
      </c>
      <c r="L44" s="257">
        <v>4203904.97</v>
      </c>
      <c r="M44" s="257">
        <v>1304321.94</v>
      </c>
      <c r="N44" s="257">
        <v>1304321.94</v>
      </c>
    </row>
    <row r="45" spans="1:14" s="143" customFormat="1" x14ac:dyDescent="0.25">
      <c r="A45" s="143" t="s">
        <v>70</v>
      </c>
      <c r="B45" s="143" t="s">
        <v>156</v>
      </c>
      <c r="C45" s="143" t="s">
        <v>157</v>
      </c>
      <c r="D45" s="143" t="s">
        <v>69</v>
      </c>
      <c r="E45" s="257">
        <v>5000000</v>
      </c>
      <c r="F45" s="257">
        <v>5000000</v>
      </c>
      <c r="G45" s="257">
        <v>5000000</v>
      </c>
      <c r="H45" s="257">
        <v>0</v>
      </c>
      <c r="I45" s="257">
        <v>0</v>
      </c>
      <c r="J45" s="257">
        <v>0</v>
      </c>
      <c r="K45" s="257">
        <v>4910000</v>
      </c>
      <c r="L45" s="257">
        <v>3420000</v>
      </c>
      <c r="M45" s="257">
        <v>90000</v>
      </c>
      <c r="N45" s="257">
        <v>90000</v>
      </c>
    </row>
    <row r="46" spans="1:14" s="143" customFormat="1" x14ac:dyDescent="0.25">
      <c r="A46" s="143" t="s">
        <v>70</v>
      </c>
      <c r="B46" s="143" t="s">
        <v>158</v>
      </c>
      <c r="C46" s="143" t="s">
        <v>159</v>
      </c>
      <c r="D46" s="143" t="s">
        <v>69</v>
      </c>
      <c r="E46" s="257">
        <v>1797000</v>
      </c>
      <c r="F46" s="257">
        <v>1872000</v>
      </c>
      <c r="G46" s="257">
        <v>1872000</v>
      </c>
      <c r="H46" s="257">
        <v>0</v>
      </c>
      <c r="I46" s="257">
        <v>0</v>
      </c>
      <c r="J46" s="257">
        <v>0</v>
      </c>
      <c r="K46" s="257">
        <v>972813.09</v>
      </c>
      <c r="L46" s="257">
        <v>599040</v>
      </c>
      <c r="M46" s="257">
        <v>899186.91</v>
      </c>
      <c r="N46" s="257">
        <v>899186.91</v>
      </c>
    </row>
    <row r="47" spans="1:14" s="143" customFormat="1" x14ac:dyDescent="0.25">
      <c r="A47" s="143" t="s">
        <v>70</v>
      </c>
      <c r="B47" s="143" t="s">
        <v>160</v>
      </c>
      <c r="C47" s="143" t="s">
        <v>161</v>
      </c>
      <c r="D47" s="143" t="s">
        <v>69</v>
      </c>
      <c r="E47" s="257">
        <v>600000</v>
      </c>
      <c r="F47" s="257">
        <v>600000</v>
      </c>
      <c r="G47" s="257">
        <v>600000</v>
      </c>
      <c r="H47" s="257">
        <v>0</v>
      </c>
      <c r="I47" s="257">
        <v>100000</v>
      </c>
      <c r="J47" s="257">
        <v>0</v>
      </c>
      <c r="K47" s="257">
        <v>184864.97</v>
      </c>
      <c r="L47" s="257">
        <v>184864.97</v>
      </c>
      <c r="M47" s="257">
        <v>315135.03000000003</v>
      </c>
      <c r="N47" s="257">
        <v>315135.03000000003</v>
      </c>
    </row>
    <row r="48" spans="1:14" s="143" customFormat="1" x14ac:dyDescent="0.25">
      <c r="A48" s="143" t="s">
        <v>70</v>
      </c>
      <c r="B48" s="143" t="s">
        <v>162</v>
      </c>
      <c r="C48" s="143" t="s">
        <v>163</v>
      </c>
      <c r="D48" s="143" t="s">
        <v>69</v>
      </c>
      <c r="E48" s="257">
        <v>22990000</v>
      </c>
      <c r="F48" s="257">
        <v>22287000</v>
      </c>
      <c r="G48" s="257">
        <v>22287000</v>
      </c>
      <c r="H48" s="257">
        <v>0</v>
      </c>
      <c r="I48" s="257">
        <v>1075100</v>
      </c>
      <c r="J48" s="257">
        <v>0</v>
      </c>
      <c r="K48" s="257">
        <v>14845971.699999999</v>
      </c>
      <c r="L48" s="257">
        <v>11688159</v>
      </c>
      <c r="M48" s="257">
        <v>6365928.2999999998</v>
      </c>
      <c r="N48" s="257">
        <v>6365928.2999999998</v>
      </c>
    </row>
    <row r="49" spans="1:14" s="143" customFormat="1" x14ac:dyDescent="0.25">
      <c r="A49" s="143" t="s">
        <v>70</v>
      </c>
      <c r="B49" s="143" t="s">
        <v>166</v>
      </c>
      <c r="C49" s="143" t="s">
        <v>167</v>
      </c>
      <c r="D49" s="143" t="s">
        <v>69</v>
      </c>
      <c r="E49" s="257">
        <v>16000000</v>
      </c>
      <c r="F49" s="257">
        <v>15250000</v>
      </c>
      <c r="G49" s="257">
        <v>15250000</v>
      </c>
      <c r="H49" s="257">
        <v>0</v>
      </c>
      <c r="I49" s="257">
        <v>547500</v>
      </c>
      <c r="J49" s="257">
        <v>0</v>
      </c>
      <c r="K49" s="257">
        <v>11040293</v>
      </c>
      <c r="L49" s="257">
        <v>8916886</v>
      </c>
      <c r="M49" s="257">
        <v>3662207</v>
      </c>
      <c r="N49" s="257">
        <v>3662207</v>
      </c>
    </row>
    <row r="50" spans="1:14" s="143" customFormat="1" x14ac:dyDescent="0.25">
      <c r="A50" s="143" t="s">
        <v>70</v>
      </c>
      <c r="B50" s="143" t="s">
        <v>312</v>
      </c>
      <c r="C50" s="143" t="s">
        <v>313</v>
      </c>
      <c r="D50" s="143" t="s">
        <v>69</v>
      </c>
      <c r="E50" s="257">
        <v>0</v>
      </c>
      <c r="F50" s="257">
        <v>150000</v>
      </c>
      <c r="G50" s="257">
        <v>150000</v>
      </c>
      <c r="H50" s="257">
        <v>0</v>
      </c>
      <c r="I50" s="257">
        <v>0</v>
      </c>
      <c r="J50" s="257">
        <v>0</v>
      </c>
      <c r="K50" s="257">
        <v>0</v>
      </c>
      <c r="L50" s="257">
        <v>0</v>
      </c>
      <c r="M50" s="257">
        <v>150000</v>
      </c>
      <c r="N50" s="257">
        <v>150000</v>
      </c>
    </row>
    <row r="51" spans="1:14" s="143" customFormat="1" x14ac:dyDescent="0.25">
      <c r="A51" s="143" t="s">
        <v>70</v>
      </c>
      <c r="B51" s="143" t="s">
        <v>168</v>
      </c>
      <c r="C51" s="143" t="s">
        <v>169</v>
      </c>
      <c r="D51" s="143" t="s">
        <v>69</v>
      </c>
      <c r="E51" s="257">
        <v>4000000</v>
      </c>
      <c r="F51" s="257">
        <v>3850000</v>
      </c>
      <c r="G51" s="257">
        <v>3850000</v>
      </c>
      <c r="H51" s="257">
        <v>0</v>
      </c>
      <c r="I51" s="257">
        <v>527600</v>
      </c>
      <c r="J51" s="257">
        <v>0</v>
      </c>
      <c r="K51" s="257">
        <v>3098873</v>
      </c>
      <c r="L51" s="257">
        <v>2771273</v>
      </c>
      <c r="M51" s="257">
        <v>223527</v>
      </c>
      <c r="N51" s="257">
        <v>223527</v>
      </c>
    </row>
    <row r="52" spans="1:14" s="143" customFormat="1" x14ac:dyDescent="0.25">
      <c r="A52" s="143" t="s">
        <v>70</v>
      </c>
      <c r="B52" s="143" t="s">
        <v>170</v>
      </c>
      <c r="C52" s="143" t="s">
        <v>171</v>
      </c>
      <c r="D52" s="143" t="s">
        <v>69</v>
      </c>
      <c r="E52" s="257">
        <v>290000</v>
      </c>
      <c r="F52" s="257">
        <v>337000</v>
      </c>
      <c r="G52" s="257">
        <v>337000</v>
      </c>
      <c r="H52" s="257">
        <v>0</v>
      </c>
      <c r="I52" s="257">
        <v>0</v>
      </c>
      <c r="J52" s="257">
        <v>0</v>
      </c>
      <c r="K52" s="257">
        <v>322575</v>
      </c>
      <c r="L52" s="257">
        <v>0</v>
      </c>
      <c r="M52" s="257">
        <v>14425</v>
      </c>
      <c r="N52" s="257">
        <v>14425</v>
      </c>
    </row>
    <row r="53" spans="1:14" s="143" customFormat="1" x14ac:dyDescent="0.25">
      <c r="A53" s="143" t="s">
        <v>70</v>
      </c>
      <c r="B53" s="143" t="s">
        <v>172</v>
      </c>
      <c r="C53" s="143" t="s">
        <v>173</v>
      </c>
      <c r="D53" s="143" t="s">
        <v>69</v>
      </c>
      <c r="E53" s="257">
        <v>2700000</v>
      </c>
      <c r="F53" s="257">
        <v>2700000</v>
      </c>
      <c r="G53" s="257">
        <v>2700000</v>
      </c>
      <c r="H53" s="257">
        <v>0</v>
      </c>
      <c r="I53" s="257">
        <v>0</v>
      </c>
      <c r="J53" s="257">
        <v>0</v>
      </c>
      <c r="K53" s="257">
        <v>384230.7</v>
      </c>
      <c r="L53" s="257">
        <v>0</v>
      </c>
      <c r="M53" s="257">
        <v>2315769.2999999998</v>
      </c>
      <c r="N53" s="257">
        <v>2315769.2999999998</v>
      </c>
    </row>
    <row r="54" spans="1:14" s="143" customFormat="1" x14ac:dyDescent="0.25">
      <c r="A54" s="143" t="s">
        <v>70</v>
      </c>
      <c r="B54" s="143" t="s">
        <v>174</v>
      </c>
      <c r="C54" s="143" t="s">
        <v>175</v>
      </c>
      <c r="D54" s="143" t="s">
        <v>69</v>
      </c>
      <c r="E54" s="257">
        <v>1500000</v>
      </c>
      <c r="F54" s="257">
        <v>1500000</v>
      </c>
      <c r="G54" s="257">
        <v>1500000</v>
      </c>
      <c r="H54" s="257">
        <v>0</v>
      </c>
      <c r="I54" s="257">
        <v>1250684</v>
      </c>
      <c r="J54" s="257">
        <v>0</v>
      </c>
      <c r="K54" s="257">
        <v>249316</v>
      </c>
      <c r="L54" s="257">
        <v>0</v>
      </c>
      <c r="M54" s="257">
        <v>0</v>
      </c>
      <c r="N54" s="257">
        <v>0</v>
      </c>
    </row>
    <row r="55" spans="1:14" s="143" customFormat="1" x14ac:dyDescent="0.25">
      <c r="A55" s="143" t="s">
        <v>70</v>
      </c>
      <c r="B55" s="143" t="s">
        <v>176</v>
      </c>
      <c r="C55" s="143" t="s">
        <v>177</v>
      </c>
      <c r="D55" s="143" t="s">
        <v>69</v>
      </c>
      <c r="E55" s="257">
        <v>1500000</v>
      </c>
      <c r="F55" s="257">
        <v>1500000</v>
      </c>
      <c r="G55" s="257">
        <v>1500000</v>
      </c>
      <c r="H55" s="257">
        <v>0</v>
      </c>
      <c r="I55" s="257">
        <v>1250684</v>
      </c>
      <c r="J55" s="257">
        <v>0</v>
      </c>
      <c r="K55" s="257">
        <v>249316</v>
      </c>
      <c r="L55" s="257">
        <v>0</v>
      </c>
      <c r="M55" s="257">
        <v>0</v>
      </c>
      <c r="N55" s="257">
        <v>0</v>
      </c>
    </row>
    <row r="56" spans="1:14" s="143" customFormat="1" x14ac:dyDescent="0.25">
      <c r="A56" s="143" t="s">
        <v>70</v>
      </c>
      <c r="B56" s="143" t="s">
        <v>178</v>
      </c>
      <c r="C56" s="143" t="s">
        <v>179</v>
      </c>
      <c r="D56" s="143" t="s">
        <v>69</v>
      </c>
      <c r="E56" s="257">
        <v>1000000</v>
      </c>
      <c r="F56" s="257">
        <v>1000000</v>
      </c>
      <c r="G56" s="257">
        <v>1000000</v>
      </c>
      <c r="H56" s="257">
        <v>0</v>
      </c>
      <c r="I56" s="257">
        <v>800000</v>
      </c>
      <c r="J56" s="257">
        <v>0</v>
      </c>
      <c r="K56" s="257">
        <v>200000</v>
      </c>
      <c r="L56" s="257">
        <v>200000</v>
      </c>
      <c r="M56" s="257">
        <v>0</v>
      </c>
      <c r="N56" s="257">
        <v>0</v>
      </c>
    </row>
    <row r="57" spans="1:14" s="143" customFormat="1" x14ac:dyDescent="0.25">
      <c r="A57" s="143" t="s">
        <v>70</v>
      </c>
      <c r="B57" s="143" t="s">
        <v>182</v>
      </c>
      <c r="C57" s="143" t="s">
        <v>183</v>
      </c>
      <c r="D57" s="143" t="s">
        <v>69</v>
      </c>
      <c r="E57" s="257">
        <v>1000000</v>
      </c>
      <c r="F57" s="257">
        <v>1000000</v>
      </c>
      <c r="G57" s="257">
        <v>1000000</v>
      </c>
      <c r="H57" s="257">
        <v>0</v>
      </c>
      <c r="I57" s="257">
        <v>800000</v>
      </c>
      <c r="J57" s="257">
        <v>0</v>
      </c>
      <c r="K57" s="257">
        <v>200000</v>
      </c>
      <c r="L57" s="257">
        <v>200000</v>
      </c>
      <c r="M57" s="257">
        <v>0</v>
      </c>
      <c r="N57" s="257">
        <v>0</v>
      </c>
    </row>
    <row r="58" spans="1:14" s="143" customFormat="1" x14ac:dyDescent="0.25">
      <c r="A58" s="143" t="s">
        <v>70</v>
      </c>
      <c r="B58" s="143" t="s">
        <v>184</v>
      </c>
      <c r="C58" s="143" t="s">
        <v>185</v>
      </c>
      <c r="D58" s="143" t="s">
        <v>69</v>
      </c>
      <c r="E58" s="257">
        <v>70900000</v>
      </c>
      <c r="F58" s="257">
        <v>49640986</v>
      </c>
      <c r="G58" s="257">
        <v>49640986</v>
      </c>
      <c r="H58" s="257">
        <v>0</v>
      </c>
      <c r="I58" s="257">
        <v>1644911.8</v>
      </c>
      <c r="J58" s="257">
        <v>0</v>
      </c>
      <c r="K58" s="257">
        <v>45322798.060000002</v>
      </c>
      <c r="L58" s="257">
        <v>44585870.560000002</v>
      </c>
      <c r="M58" s="257">
        <v>2673276.14</v>
      </c>
      <c r="N58" s="257">
        <v>2673276.14</v>
      </c>
    </row>
    <row r="59" spans="1:14" s="143" customFormat="1" x14ac:dyDescent="0.25">
      <c r="A59" s="143" t="s">
        <v>70</v>
      </c>
      <c r="B59" s="143" t="s">
        <v>186</v>
      </c>
      <c r="C59" s="143" t="s">
        <v>187</v>
      </c>
      <c r="D59" s="143" t="s">
        <v>69</v>
      </c>
      <c r="E59" s="257">
        <v>25925000</v>
      </c>
      <c r="F59" s="257">
        <v>14977000</v>
      </c>
      <c r="G59" s="257">
        <v>14977000</v>
      </c>
      <c r="H59" s="257">
        <v>0</v>
      </c>
      <c r="I59" s="257">
        <v>1514937.8</v>
      </c>
      <c r="J59" s="257">
        <v>0</v>
      </c>
      <c r="K59" s="257">
        <v>12597078.970000001</v>
      </c>
      <c r="L59" s="257">
        <v>12421527.970000001</v>
      </c>
      <c r="M59" s="257">
        <v>864983.23</v>
      </c>
      <c r="N59" s="257">
        <v>864983.23</v>
      </c>
    </row>
    <row r="60" spans="1:14" s="143" customFormat="1" x14ac:dyDescent="0.25">
      <c r="A60" s="143" t="s">
        <v>70</v>
      </c>
      <c r="B60" s="143" t="s">
        <v>188</v>
      </c>
      <c r="C60" s="143" t="s">
        <v>189</v>
      </c>
      <c r="D60" s="143" t="s">
        <v>69</v>
      </c>
      <c r="E60" s="257">
        <v>17000000</v>
      </c>
      <c r="F60" s="257">
        <v>8500000</v>
      </c>
      <c r="G60" s="257">
        <v>8500000</v>
      </c>
      <c r="H60" s="257">
        <v>0</v>
      </c>
      <c r="I60" s="257">
        <v>1514937.8</v>
      </c>
      <c r="J60" s="257">
        <v>0</v>
      </c>
      <c r="K60" s="257">
        <v>6636073.9699999997</v>
      </c>
      <c r="L60" s="257">
        <v>6460522.9699999997</v>
      </c>
      <c r="M60" s="257">
        <v>348988.23</v>
      </c>
      <c r="N60" s="257">
        <v>348988.23</v>
      </c>
    </row>
    <row r="61" spans="1:14" s="143" customFormat="1" x14ac:dyDescent="0.25">
      <c r="A61" s="143" t="s">
        <v>70</v>
      </c>
      <c r="B61" s="143" t="s">
        <v>190</v>
      </c>
      <c r="C61" s="143" t="s">
        <v>191</v>
      </c>
      <c r="D61" s="143" t="s">
        <v>69</v>
      </c>
      <c r="E61" s="257">
        <v>8000000</v>
      </c>
      <c r="F61" s="257">
        <v>5952000</v>
      </c>
      <c r="G61" s="257">
        <v>5952000</v>
      </c>
      <c r="H61" s="257">
        <v>0</v>
      </c>
      <c r="I61" s="257">
        <v>0</v>
      </c>
      <c r="J61" s="257">
        <v>0</v>
      </c>
      <c r="K61" s="257">
        <v>5951735</v>
      </c>
      <c r="L61" s="257">
        <v>5951735</v>
      </c>
      <c r="M61" s="257">
        <v>265</v>
      </c>
      <c r="N61" s="257">
        <v>265</v>
      </c>
    </row>
    <row r="62" spans="1:14" s="143" customFormat="1" x14ac:dyDescent="0.25">
      <c r="A62" s="143" t="s">
        <v>70</v>
      </c>
      <c r="B62" s="143" t="s">
        <v>192</v>
      </c>
      <c r="C62" s="143" t="s">
        <v>193</v>
      </c>
      <c r="D62" s="143" t="s">
        <v>69</v>
      </c>
      <c r="E62" s="257">
        <v>500000</v>
      </c>
      <c r="F62" s="257">
        <v>100000</v>
      </c>
      <c r="G62" s="257">
        <v>100000</v>
      </c>
      <c r="H62" s="257">
        <v>0</v>
      </c>
      <c r="I62" s="257">
        <v>0</v>
      </c>
      <c r="J62" s="257">
        <v>0</v>
      </c>
      <c r="K62" s="257">
        <v>9270</v>
      </c>
      <c r="L62" s="257">
        <v>9270</v>
      </c>
      <c r="M62" s="257">
        <v>90730</v>
      </c>
      <c r="N62" s="257">
        <v>90730</v>
      </c>
    </row>
    <row r="63" spans="1:14" s="143" customFormat="1" x14ac:dyDescent="0.25">
      <c r="A63" s="143" t="s">
        <v>70</v>
      </c>
      <c r="B63" s="143" t="s">
        <v>194</v>
      </c>
      <c r="C63" s="143" t="s">
        <v>195</v>
      </c>
      <c r="D63" s="143" t="s">
        <v>69</v>
      </c>
      <c r="E63" s="257">
        <v>425000</v>
      </c>
      <c r="F63" s="257">
        <v>425000</v>
      </c>
      <c r="G63" s="257">
        <v>425000</v>
      </c>
      <c r="H63" s="257">
        <v>0</v>
      </c>
      <c r="I63" s="257">
        <v>0</v>
      </c>
      <c r="J63" s="257">
        <v>0</v>
      </c>
      <c r="K63" s="257">
        <v>0</v>
      </c>
      <c r="L63" s="257">
        <v>0</v>
      </c>
      <c r="M63" s="257">
        <v>425000</v>
      </c>
      <c r="N63" s="257">
        <v>425000</v>
      </c>
    </row>
    <row r="64" spans="1:14" s="143" customFormat="1" x14ac:dyDescent="0.25">
      <c r="A64" s="143" t="s">
        <v>70</v>
      </c>
      <c r="B64" s="143" t="s">
        <v>196</v>
      </c>
      <c r="C64" s="143" t="s">
        <v>197</v>
      </c>
      <c r="D64" s="143" t="s">
        <v>69</v>
      </c>
      <c r="E64" s="257">
        <v>3500000</v>
      </c>
      <c r="F64" s="257">
        <v>3500000</v>
      </c>
      <c r="G64" s="257">
        <v>3500000</v>
      </c>
      <c r="H64" s="257">
        <v>0</v>
      </c>
      <c r="I64" s="257">
        <v>0</v>
      </c>
      <c r="J64" s="257">
        <v>0</v>
      </c>
      <c r="K64" s="257">
        <v>3429858</v>
      </c>
      <c r="L64" s="257">
        <v>3429858</v>
      </c>
      <c r="M64" s="257">
        <v>70142</v>
      </c>
      <c r="N64" s="257">
        <v>70142</v>
      </c>
    </row>
    <row r="65" spans="1:14" s="143" customFormat="1" x14ac:dyDescent="0.25">
      <c r="A65" s="143" t="s">
        <v>70</v>
      </c>
      <c r="B65" s="143" t="s">
        <v>198</v>
      </c>
      <c r="C65" s="143" t="s">
        <v>199</v>
      </c>
      <c r="D65" s="143" t="s">
        <v>69</v>
      </c>
      <c r="E65" s="257">
        <v>3500000</v>
      </c>
      <c r="F65" s="257">
        <v>3500000</v>
      </c>
      <c r="G65" s="257">
        <v>3500000</v>
      </c>
      <c r="H65" s="257">
        <v>0</v>
      </c>
      <c r="I65" s="257">
        <v>0</v>
      </c>
      <c r="J65" s="257">
        <v>0</v>
      </c>
      <c r="K65" s="257">
        <v>3429858</v>
      </c>
      <c r="L65" s="257">
        <v>3429858</v>
      </c>
      <c r="M65" s="257">
        <v>70142</v>
      </c>
      <c r="N65" s="257">
        <v>70142</v>
      </c>
    </row>
    <row r="66" spans="1:14" s="143" customFormat="1" x14ac:dyDescent="0.25">
      <c r="A66" s="143" t="s">
        <v>70</v>
      </c>
      <c r="B66" s="143" t="s">
        <v>200</v>
      </c>
      <c r="C66" s="143" t="s">
        <v>201</v>
      </c>
      <c r="D66" s="143" t="s">
        <v>69</v>
      </c>
      <c r="E66" s="257">
        <v>2000000</v>
      </c>
      <c r="F66" s="257">
        <v>2000000</v>
      </c>
      <c r="G66" s="257">
        <v>2000000</v>
      </c>
      <c r="H66" s="257">
        <v>0</v>
      </c>
      <c r="I66" s="257">
        <v>0</v>
      </c>
      <c r="J66" s="257">
        <v>0</v>
      </c>
      <c r="K66" s="257">
        <v>1971225.15</v>
      </c>
      <c r="L66" s="257">
        <v>1971225.15</v>
      </c>
      <c r="M66" s="257">
        <v>28774.85</v>
      </c>
      <c r="N66" s="257">
        <v>28774.85</v>
      </c>
    </row>
    <row r="67" spans="1:14" s="143" customFormat="1" x14ac:dyDescent="0.25">
      <c r="A67" s="143" t="s">
        <v>70</v>
      </c>
      <c r="B67" s="143" t="s">
        <v>202</v>
      </c>
      <c r="C67" s="143" t="s">
        <v>203</v>
      </c>
      <c r="D67" s="143" t="s">
        <v>69</v>
      </c>
      <c r="E67" s="257">
        <v>2000000</v>
      </c>
      <c r="F67" s="257">
        <v>2000000</v>
      </c>
      <c r="G67" s="257">
        <v>2000000</v>
      </c>
      <c r="H67" s="257">
        <v>0</v>
      </c>
      <c r="I67" s="257">
        <v>0</v>
      </c>
      <c r="J67" s="257">
        <v>0</v>
      </c>
      <c r="K67" s="257">
        <v>1971225.15</v>
      </c>
      <c r="L67" s="257">
        <v>1971225.15</v>
      </c>
      <c r="M67" s="257">
        <v>28774.85</v>
      </c>
      <c r="N67" s="257">
        <v>28774.85</v>
      </c>
    </row>
    <row r="68" spans="1:14" s="143" customFormat="1" x14ac:dyDescent="0.25">
      <c r="A68" s="143" t="s">
        <v>70</v>
      </c>
      <c r="B68" s="143" t="s">
        <v>206</v>
      </c>
      <c r="C68" s="143" t="s">
        <v>207</v>
      </c>
      <c r="D68" s="143" t="s">
        <v>69</v>
      </c>
      <c r="E68" s="257">
        <v>4400000</v>
      </c>
      <c r="F68" s="257">
        <v>1578986</v>
      </c>
      <c r="G68" s="257">
        <v>1578986</v>
      </c>
      <c r="H68" s="257">
        <v>0</v>
      </c>
      <c r="I68" s="257">
        <v>0</v>
      </c>
      <c r="J68" s="257">
        <v>0</v>
      </c>
      <c r="K68" s="257">
        <v>1568985.85</v>
      </c>
      <c r="L68" s="257">
        <v>1568985.85</v>
      </c>
      <c r="M68" s="257">
        <v>10000.15</v>
      </c>
      <c r="N68" s="257">
        <v>10000.15</v>
      </c>
    </row>
    <row r="69" spans="1:14" s="143" customFormat="1" x14ac:dyDescent="0.25">
      <c r="A69" s="143" t="s">
        <v>70</v>
      </c>
      <c r="B69" s="143" t="s">
        <v>208</v>
      </c>
      <c r="C69" s="143" t="s">
        <v>209</v>
      </c>
      <c r="D69" s="143" t="s">
        <v>69</v>
      </c>
      <c r="E69" s="257">
        <v>3580000</v>
      </c>
      <c r="F69" s="257">
        <v>758986</v>
      </c>
      <c r="G69" s="257">
        <v>758986</v>
      </c>
      <c r="H69" s="257">
        <v>0</v>
      </c>
      <c r="I69" s="257">
        <v>0</v>
      </c>
      <c r="J69" s="257">
        <v>0</v>
      </c>
      <c r="K69" s="257">
        <v>758985.85</v>
      </c>
      <c r="L69" s="257">
        <v>758985.85</v>
      </c>
      <c r="M69" s="257">
        <v>0.15</v>
      </c>
      <c r="N69" s="257">
        <v>0.15</v>
      </c>
    </row>
    <row r="70" spans="1:14" s="143" customFormat="1" x14ac:dyDescent="0.25">
      <c r="A70" s="143" t="s">
        <v>70</v>
      </c>
      <c r="B70" s="143" t="s">
        <v>210</v>
      </c>
      <c r="C70" s="143" t="s">
        <v>211</v>
      </c>
      <c r="D70" s="143" t="s">
        <v>69</v>
      </c>
      <c r="E70" s="257">
        <v>820000</v>
      </c>
      <c r="F70" s="257">
        <v>820000</v>
      </c>
      <c r="G70" s="257">
        <v>820000</v>
      </c>
      <c r="H70" s="257">
        <v>0</v>
      </c>
      <c r="I70" s="257">
        <v>0</v>
      </c>
      <c r="J70" s="257">
        <v>0</v>
      </c>
      <c r="K70" s="257">
        <v>810000</v>
      </c>
      <c r="L70" s="257">
        <v>810000</v>
      </c>
      <c r="M70" s="257">
        <v>10000</v>
      </c>
      <c r="N70" s="257">
        <v>10000</v>
      </c>
    </row>
    <row r="71" spans="1:14" s="143" customFormat="1" x14ac:dyDescent="0.25">
      <c r="A71" s="143" t="s">
        <v>70</v>
      </c>
      <c r="B71" s="143" t="s">
        <v>212</v>
      </c>
      <c r="C71" s="143" t="s">
        <v>831</v>
      </c>
      <c r="D71" s="143" t="s">
        <v>69</v>
      </c>
      <c r="E71" s="257">
        <v>35075000</v>
      </c>
      <c r="F71" s="257">
        <v>27585000</v>
      </c>
      <c r="G71" s="257">
        <v>27585000</v>
      </c>
      <c r="H71" s="257">
        <v>0</v>
      </c>
      <c r="I71" s="257">
        <v>129974</v>
      </c>
      <c r="J71" s="257">
        <v>0</v>
      </c>
      <c r="K71" s="257">
        <v>25755650.09</v>
      </c>
      <c r="L71" s="257">
        <v>25194273.59</v>
      </c>
      <c r="M71" s="257">
        <v>1699375.91</v>
      </c>
      <c r="N71" s="257">
        <v>1699375.91</v>
      </c>
    </row>
    <row r="72" spans="1:14" s="143" customFormat="1" x14ac:dyDescent="0.25">
      <c r="A72" s="143" t="s">
        <v>70</v>
      </c>
      <c r="B72" s="143" t="s">
        <v>214</v>
      </c>
      <c r="C72" s="143" t="s">
        <v>215</v>
      </c>
      <c r="D72" s="143" t="s">
        <v>69</v>
      </c>
      <c r="E72" s="257">
        <v>4500000</v>
      </c>
      <c r="F72" s="257">
        <v>3500000</v>
      </c>
      <c r="G72" s="257">
        <v>3500000</v>
      </c>
      <c r="H72" s="257">
        <v>0</v>
      </c>
      <c r="I72" s="257">
        <v>84624</v>
      </c>
      <c r="J72" s="257">
        <v>0</v>
      </c>
      <c r="K72" s="257">
        <v>2998273.22</v>
      </c>
      <c r="L72" s="257">
        <v>2486232.2799999998</v>
      </c>
      <c r="M72" s="257">
        <v>417102.78</v>
      </c>
      <c r="N72" s="257">
        <v>417102.78</v>
      </c>
    </row>
    <row r="73" spans="1:14" s="143" customFormat="1" x14ac:dyDescent="0.25">
      <c r="A73" s="143" t="s">
        <v>70</v>
      </c>
      <c r="B73" s="143" t="s">
        <v>216</v>
      </c>
      <c r="C73" s="143" t="s">
        <v>217</v>
      </c>
      <c r="D73" s="143" t="s">
        <v>69</v>
      </c>
      <c r="E73" s="257">
        <v>4000000</v>
      </c>
      <c r="F73" s="257">
        <v>2000000</v>
      </c>
      <c r="G73" s="257">
        <v>2000000</v>
      </c>
      <c r="H73" s="257">
        <v>0</v>
      </c>
      <c r="I73" s="257">
        <v>0</v>
      </c>
      <c r="J73" s="257">
        <v>0</v>
      </c>
      <c r="K73" s="257">
        <v>1125000</v>
      </c>
      <c r="L73" s="257">
        <v>1125000</v>
      </c>
      <c r="M73" s="257">
        <v>875000</v>
      </c>
      <c r="N73" s="257">
        <v>875000</v>
      </c>
    </row>
    <row r="74" spans="1:14" s="143" customFormat="1" x14ac:dyDescent="0.25">
      <c r="A74" s="143" t="s">
        <v>70</v>
      </c>
      <c r="B74" s="143" t="s">
        <v>218</v>
      </c>
      <c r="C74" s="143" t="s">
        <v>219</v>
      </c>
      <c r="D74" s="143" t="s">
        <v>69</v>
      </c>
      <c r="E74" s="257">
        <v>22000000</v>
      </c>
      <c r="F74" s="257">
        <v>19800000</v>
      </c>
      <c r="G74" s="257">
        <v>19800000</v>
      </c>
      <c r="H74" s="257">
        <v>0</v>
      </c>
      <c r="I74" s="257">
        <v>45350</v>
      </c>
      <c r="J74" s="257">
        <v>0</v>
      </c>
      <c r="K74" s="257">
        <v>19404345.760000002</v>
      </c>
      <c r="L74" s="257">
        <v>19355010.199999999</v>
      </c>
      <c r="M74" s="257">
        <v>350304.24</v>
      </c>
      <c r="N74" s="257">
        <v>350304.24</v>
      </c>
    </row>
    <row r="75" spans="1:14" s="143" customFormat="1" x14ac:dyDescent="0.25">
      <c r="A75" s="143" t="s">
        <v>70</v>
      </c>
      <c r="B75" s="143" t="s">
        <v>222</v>
      </c>
      <c r="C75" s="143" t="s">
        <v>223</v>
      </c>
      <c r="D75" s="143" t="s">
        <v>69</v>
      </c>
      <c r="E75" s="257">
        <v>3575000</v>
      </c>
      <c r="F75" s="257">
        <v>1285000</v>
      </c>
      <c r="G75" s="257">
        <v>1285000</v>
      </c>
      <c r="H75" s="257">
        <v>0</v>
      </c>
      <c r="I75" s="257">
        <v>0</v>
      </c>
      <c r="J75" s="257">
        <v>0</v>
      </c>
      <c r="K75" s="257">
        <v>1284531.1100000001</v>
      </c>
      <c r="L75" s="257">
        <v>1284531.1100000001</v>
      </c>
      <c r="M75" s="257">
        <v>468.89</v>
      </c>
      <c r="N75" s="257">
        <v>468.89</v>
      </c>
    </row>
    <row r="76" spans="1:14" s="143" customFormat="1" x14ac:dyDescent="0.25">
      <c r="A76" s="143" t="s">
        <v>70</v>
      </c>
      <c r="B76" s="143" t="s">
        <v>228</v>
      </c>
      <c r="C76" s="143" t="s">
        <v>229</v>
      </c>
      <c r="D76" s="143" t="s">
        <v>69</v>
      </c>
      <c r="E76" s="257">
        <v>1000000</v>
      </c>
      <c r="F76" s="257">
        <v>1000000</v>
      </c>
      <c r="G76" s="257">
        <v>1000000</v>
      </c>
      <c r="H76" s="257">
        <v>0</v>
      </c>
      <c r="I76" s="257">
        <v>0</v>
      </c>
      <c r="J76" s="257">
        <v>0</v>
      </c>
      <c r="K76" s="257">
        <v>943500</v>
      </c>
      <c r="L76" s="257">
        <v>943500</v>
      </c>
      <c r="M76" s="257">
        <v>56500</v>
      </c>
      <c r="N76" s="257">
        <v>56500</v>
      </c>
    </row>
    <row r="77" spans="1:14" s="143" customFormat="1" x14ac:dyDescent="0.25">
      <c r="A77" s="143" t="s">
        <v>70</v>
      </c>
      <c r="B77" s="143" t="s">
        <v>230</v>
      </c>
      <c r="C77" s="143" t="s">
        <v>231</v>
      </c>
      <c r="D77" s="143" t="s">
        <v>69</v>
      </c>
      <c r="E77" s="257">
        <v>4150000</v>
      </c>
      <c r="F77" s="257">
        <v>5094000</v>
      </c>
      <c r="G77" s="257">
        <v>5094000</v>
      </c>
      <c r="H77" s="257">
        <v>0</v>
      </c>
      <c r="I77" s="257">
        <v>0</v>
      </c>
      <c r="J77" s="257">
        <v>0</v>
      </c>
      <c r="K77" s="257">
        <v>4337503.07</v>
      </c>
      <c r="L77" s="257">
        <v>3792352.79</v>
      </c>
      <c r="M77" s="257">
        <v>756496.93</v>
      </c>
      <c r="N77" s="257">
        <v>756496.93</v>
      </c>
    </row>
    <row r="78" spans="1:14" s="143" customFormat="1" x14ac:dyDescent="0.25">
      <c r="A78" s="143" t="s">
        <v>70</v>
      </c>
      <c r="B78" s="143" t="s">
        <v>232</v>
      </c>
      <c r="C78" s="143" t="s">
        <v>233</v>
      </c>
      <c r="D78" s="143" t="s">
        <v>69</v>
      </c>
      <c r="E78" s="257">
        <v>4150000</v>
      </c>
      <c r="F78" s="257">
        <v>4500000</v>
      </c>
      <c r="G78" s="257">
        <v>4500000</v>
      </c>
      <c r="H78" s="257">
        <v>0</v>
      </c>
      <c r="I78" s="257">
        <v>0</v>
      </c>
      <c r="J78" s="257">
        <v>0</v>
      </c>
      <c r="K78" s="257">
        <v>3772322.07</v>
      </c>
      <c r="L78" s="257">
        <v>3227171.79</v>
      </c>
      <c r="M78" s="257">
        <v>727677.93</v>
      </c>
      <c r="N78" s="257">
        <v>727677.93</v>
      </c>
    </row>
    <row r="79" spans="1:14" s="143" customFormat="1" x14ac:dyDescent="0.25">
      <c r="A79" s="143" t="s">
        <v>70</v>
      </c>
      <c r="B79" s="143" t="s">
        <v>238</v>
      </c>
      <c r="C79" s="143" t="s">
        <v>239</v>
      </c>
      <c r="D79" s="143" t="s">
        <v>69</v>
      </c>
      <c r="E79" s="257">
        <v>0</v>
      </c>
      <c r="F79" s="257">
        <v>500000</v>
      </c>
      <c r="G79" s="257">
        <v>500000</v>
      </c>
      <c r="H79" s="257">
        <v>0</v>
      </c>
      <c r="I79" s="257">
        <v>0</v>
      </c>
      <c r="J79" s="257">
        <v>0</v>
      </c>
      <c r="K79" s="257">
        <v>310171.78999999998</v>
      </c>
      <c r="L79" s="257">
        <v>310171.78999999998</v>
      </c>
      <c r="M79" s="257">
        <v>189828.21</v>
      </c>
      <c r="N79" s="257">
        <v>189828.21</v>
      </c>
    </row>
    <row r="80" spans="1:14" s="143" customFormat="1" x14ac:dyDescent="0.25">
      <c r="A80" s="143" t="s">
        <v>70</v>
      </c>
      <c r="B80" s="143" t="s">
        <v>234</v>
      </c>
      <c r="C80" s="143" t="s">
        <v>235</v>
      </c>
      <c r="D80" s="143" t="s">
        <v>85</v>
      </c>
      <c r="E80" s="257">
        <v>450000</v>
      </c>
      <c r="F80" s="257">
        <v>0</v>
      </c>
      <c r="G80" s="257">
        <v>0</v>
      </c>
      <c r="H80" s="257">
        <v>0</v>
      </c>
      <c r="I80" s="257">
        <v>0</v>
      </c>
      <c r="J80" s="257">
        <v>0</v>
      </c>
      <c r="K80" s="257">
        <v>0</v>
      </c>
      <c r="L80" s="257">
        <v>0</v>
      </c>
      <c r="M80" s="257">
        <v>0</v>
      </c>
      <c r="N80" s="257">
        <v>0</v>
      </c>
    </row>
    <row r="81" spans="1:14" s="143" customFormat="1" x14ac:dyDescent="0.25">
      <c r="A81" s="143" t="s">
        <v>70</v>
      </c>
      <c r="B81" s="143" t="s">
        <v>236</v>
      </c>
      <c r="C81" s="143" t="s">
        <v>237</v>
      </c>
      <c r="D81" s="143" t="s">
        <v>85</v>
      </c>
      <c r="E81" s="257">
        <v>500000</v>
      </c>
      <c r="F81" s="257">
        <v>800000</v>
      </c>
      <c r="G81" s="257">
        <v>800000</v>
      </c>
      <c r="H81" s="257">
        <v>0</v>
      </c>
      <c r="I81" s="257">
        <v>0</v>
      </c>
      <c r="J81" s="257">
        <v>0</v>
      </c>
      <c r="K81" s="257">
        <v>780000</v>
      </c>
      <c r="L81" s="257">
        <v>780000</v>
      </c>
      <c r="M81" s="257">
        <v>20000</v>
      </c>
      <c r="N81" s="257">
        <v>20000</v>
      </c>
    </row>
    <row r="82" spans="1:14" s="143" customFormat="1" x14ac:dyDescent="0.25">
      <c r="A82" s="143" t="s">
        <v>70</v>
      </c>
      <c r="B82" s="143" t="s">
        <v>238</v>
      </c>
      <c r="C82" s="143" t="s">
        <v>239</v>
      </c>
      <c r="D82" s="143" t="s">
        <v>85</v>
      </c>
      <c r="E82" s="257">
        <v>3000000</v>
      </c>
      <c r="F82" s="257">
        <v>3000000</v>
      </c>
      <c r="G82" s="257">
        <v>3000000</v>
      </c>
      <c r="H82" s="257">
        <v>0</v>
      </c>
      <c r="I82" s="257">
        <v>0</v>
      </c>
      <c r="J82" s="257">
        <v>0</v>
      </c>
      <c r="K82" s="257">
        <v>2482150.2799999998</v>
      </c>
      <c r="L82" s="257">
        <v>1937000</v>
      </c>
      <c r="M82" s="257">
        <v>517849.72</v>
      </c>
      <c r="N82" s="257">
        <v>517849.72</v>
      </c>
    </row>
    <row r="83" spans="1:14" s="143" customFormat="1" x14ac:dyDescent="0.25">
      <c r="A83" s="143" t="s">
        <v>70</v>
      </c>
      <c r="B83" s="143" t="s">
        <v>242</v>
      </c>
      <c r="C83" s="143" t="s">
        <v>243</v>
      </c>
      <c r="D83" s="143" t="s">
        <v>85</v>
      </c>
      <c r="E83" s="257">
        <v>200000</v>
      </c>
      <c r="F83" s="257">
        <v>200000</v>
      </c>
      <c r="G83" s="257">
        <v>200000</v>
      </c>
      <c r="H83" s="257">
        <v>0</v>
      </c>
      <c r="I83" s="257">
        <v>0</v>
      </c>
      <c r="J83" s="257">
        <v>0</v>
      </c>
      <c r="K83" s="257">
        <v>200000</v>
      </c>
      <c r="L83" s="257">
        <v>200000</v>
      </c>
      <c r="M83" s="257">
        <v>0</v>
      </c>
      <c r="N83" s="257">
        <v>0</v>
      </c>
    </row>
    <row r="84" spans="1:14" s="143" customFormat="1" x14ac:dyDescent="0.25">
      <c r="A84" s="143" t="s">
        <v>70</v>
      </c>
      <c r="B84" s="143" t="s">
        <v>244</v>
      </c>
      <c r="C84" s="143" t="s">
        <v>245</v>
      </c>
      <c r="D84" s="143" t="s">
        <v>69</v>
      </c>
      <c r="E84" s="257">
        <v>0</v>
      </c>
      <c r="F84" s="257">
        <v>594000</v>
      </c>
      <c r="G84" s="257">
        <v>594000</v>
      </c>
      <c r="H84" s="257">
        <v>0</v>
      </c>
      <c r="I84" s="257">
        <v>0</v>
      </c>
      <c r="J84" s="257">
        <v>0</v>
      </c>
      <c r="K84" s="257">
        <v>565181</v>
      </c>
      <c r="L84" s="257">
        <v>565181</v>
      </c>
      <c r="M84" s="257">
        <v>28819</v>
      </c>
      <c r="N84" s="257">
        <v>28819</v>
      </c>
    </row>
    <row r="85" spans="1:14" s="143" customFormat="1" x14ac:dyDescent="0.25">
      <c r="A85" s="143" t="s">
        <v>70</v>
      </c>
      <c r="B85" s="143" t="s">
        <v>246</v>
      </c>
      <c r="C85" s="143" t="s">
        <v>247</v>
      </c>
      <c r="D85" s="143" t="s">
        <v>69</v>
      </c>
      <c r="E85" s="257">
        <v>0</v>
      </c>
      <c r="F85" s="257">
        <v>594000</v>
      </c>
      <c r="G85" s="257">
        <v>594000</v>
      </c>
      <c r="H85" s="257">
        <v>0</v>
      </c>
      <c r="I85" s="257">
        <v>0</v>
      </c>
      <c r="J85" s="257">
        <v>0</v>
      </c>
      <c r="K85" s="257">
        <v>565181</v>
      </c>
      <c r="L85" s="257">
        <v>565181</v>
      </c>
      <c r="M85" s="257">
        <v>28819</v>
      </c>
      <c r="N85" s="257">
        <v>28819</v>
      </c>
    </row>
    <row r="86" spans="1:14" s="143" customFormat="1" x14ac:dyDescent="0.25">
      <c r="A86" s="143" t="s">
        <v>70</v>
      </c>
      <c r="B86" s="143" t="s">
        <v>248</v>
      </c>
      <c r="C86" s="143" t="s">
        <v>249</v>
      </c>
      <c r="D86" s="143" t="s">
        <v>69</v>
      </c>
      <c r="E86" s="257">
        <v>756772000</v>
      </c>
      <c r="F86" s="257">
        <v>759678000</v>
      </c>
      <c r="G86" s="257">
        <v>759678000</v>
      </c>
      <c r="H86" s="257">
        <v>0</v>
      </c>
      <c r="I86" s="257">
        <v>0</v>
      </c>
      <c r="J86" s="257">
        <v>0</v>
      </c>
      <c r="K86" s="257">
        <v>715117602.11000001</v>
      </c>
      <c r="L86" s="257">
        <v>715117602.11000001</v>
      </c>
      <c r="M86" s="257">
        <v>44560397.890000001</v>
      </c>
      <c r="N86" s="257">
        <v>44560397.890000001</v>
      </c>
    </row>
    <row r="87" spans="1:14" s="143" customFormat="1" x14ac:dyDescent="0.25">
      <c r="A87" s="143" t="s">
        <v>70</v>
      </c>
      <c r="B87" s="143" t="s">
        <v>250</v>
      </c>
      <c r="C87" s="143" t="s">
        <v>251</v>
      </c>
      <c r="D87" s="143" t="s">
        <v>69</v>
      </c>
      <c r="E87" s="257">
        <v>312265000</v>
      </c>
      <c r="F87" s="257">
        <v>312265000</v>
      </c>
      <c r="G87" s="257">
        <v>312265000</v>
      </c>
      <c r="H87" s="257">
        <v>0</v>
      </c>
      <c r="I87" s="257">
        <v>0</v>
      </c>
      <c r="J87" s="257">
        <v>0</v>
      </c>
      <c r="K87" s="257">
        <v>277749194.51999998</v>
      </c>
      <c r="L87" s="257">
        <v>277749194.51999998</v>
      </c>
      <c r="M87" s="257">
        <v>34515805.479999997</v>
      </c>
      <c r="N87" s="257">
        <v>34515805.479999997</v>
      </c>
    </row>
    <row r="88" spans="1:14" s="143" customFormat="1" x14ac:dyDescent="0.25">
      <c r="A88" s="143" t="s">
        <v>70</v>
      </c>
      <c r="B88" s="143" t="s">
        <v>252</v>
      </c>
      <c r="C88" s="143" t="s">
        <v>253</v>
      </c>
      <c r="D88" s="143" t="s">
        <v>69</v>
      </c>
      <c r="E88" s="257">
        <v>2000000</v>
      </c>
      <c r="F88" s="257">
        <v>2000000</v>
      </c>
      <c r="G88" s="257">
        <v>2000000</v>
      </c>
      <c r="H88" s="257">
        <v>0</v>
      </c>
      <c r="I88" s="257">
        <v>0</v>
      </c>
      <c r="J88" s="257">
        <v>0</v>
      </c>
      <c r="K88" s="257">
        <v>2000000</v>
      </c>
      <c r="L88" s="257">
        <v>2000000</v>
      </c>
      <c r="M88" s="257">
        <v>0</v>
      </c>
      <c r="N88" s="257">
        <v>0</v>
      </c>
    </row>
    <row r="89" spans="1:14" s="143" customFormat="1" x14ac:dyDescent="0.25">
      <c r="A89" s="143" t="s">
        <v>70</v>
      </c>
      <c r="B89" s="143" t="s">
        <v>254</v>
      </c>
      <c r="C89" s="143" t="s">
        <v>255</v>
      </c>
      <c r="D89" s="143" t="s">
        <v>69</v>
      </c>
      <c r="E89" s="257">
        <v>300000000</v>
      </c>
      <c r="F89" s="257">
        <v>300000000</v>
      </c>
      <c r="G89" s="257">
        <v>300000000</v>
      </c>
      <c r="H89" s="257">
        <v>0</v>
      </c>
      <c r="I89" s="257">
        <v>0</v>
      </c>
      <c r="J89" s="257">
        <v>0</v>
      </c>
      <c r="K89" s="257">
        <v>266694271.5</v>
      </c>
      <c r="L89" s="257">
        <v>266694271.5</v>
      </c>
      <c r="M89" s="257">
        <v>33305728.5</v>
      </c>
      <c r="N89" s="257">
        <v>33305728.5</v>
      </c>
    </row>
    <row r="90" spans="1:14" s="143" customFormat="1" x14ac:dyDescent="0.25">
      <c r="A90" s="143" t="s">
        <v>70</v>
      </c>
      <c r="B90" s="143" t="s">
        <v>256</v>
      </c>
      <c r="C90" s="143" t="s">
        <v>832</v>
      </c>
      <c r="D90" s="143" t="s">
        <v>69</v>
      </c>
      <c r="E90" s="257">
        <v>7173000</v>
      </c>
      <c r="F90" s="257">
        <v>7173000</v>
      </c>
      <c r="G90" s="257">
        <v>7173000</v>
      </c>
      <c r="H90" s="257">
        <v>0</v>
      </c>
      <c r="I90" s="257">
        <v>0</v>
      </c>
      <c r="J90" s="257">
        <v>0</v>
      </c>
      <c r="K90" s="257">
        <v>6581323</v>
      </c>
      <c r="L90" s="257">
        <v>6581323</v>
      </c>
      <c r="M90" s="257">
        <v>591677</v>
      </c>
      <c r="N90" s="257">
        <v>591677</v>
      </c>
    </row>
    <row r="91" spans="1:14" s="143" customFormat="1" x14ac:dyDescent="0.25">
      <c r="A91" s="143" t="s">
        <v>70</v>
      </c>
      <c r="B91" s="143" t="s">
        <v>258</v>
      </c>
      <c r="C91" s="143" t="s">
        <v>833</v>
      </c>
      <c r="D91" s="143" t="s">
        <v>69</v>
      </c>
      <c r="E91" s="257">
        <v>3092000</v>
      </c>
      <c r="F91" s="257">
        <v>3092000</v>
      </c>
      <c r="G91" s="257">
        <v>3092000</v>
      </c>
      <c r="H91" s="257">
        <v>0</v>
      </c>
      <c r="I91" s="257">
        <v>0</v>
      </c>
      <c r="J91" s="257">
        <v>0</v>
      </c>
      <c r="K91" s="257">
        <v>2473600.02</v>
      </c>
      <c r="L91" s="257">
        <v>2473600.02</v>
      </c>
      <c r="M91" s="257">
        <v>618399.98</v>
      </c>
      <c r="N91" s="257">
        <v>618399.98</v>
      </c>
    </row>
    <row r="92" spans="1:14" s="143" customFormat="1" x14ac:dyDescent="0.25">
      <c r="A92" s="143" t="s">
        <v>70</v>
      </c>
      <c r="B92" s="143" t="s">
        <v>260</v>
      </c>
      <c r="C92" s="143" t="s">
        <v>261</v>
      </c>
      <c r="D92" s="143" t="s">
        <v>69</v>
      </c>
      <c r="E92" s="257">
        <v>40000000</v>
      </c>
      <c r="F92" s="257">
        <v>40000000</v>
      </c>
      <c r="G92" s="257">
        <v>40000000</v>
      </c>
      <c r="H92" s="257">
        <v>0</v>
      </c>
      <c r="I92" s="257">
        <v>0</v>
      </c>
      <c r="J92" s="257">
        <v>0</v>
      </c>
      <c r="K92" s="257">
        <v>32114471</v>
      </c>
      <c r="L92" s="257">
        <v>32114471</v>
      </c>
      <c r="M92" s="257">
        <v>7885529</v>
      </c>
      <c r="N92" s="257">
        <v>7885529</v>
      </c>
    </row>
    <row r="93" spans="1:14" s="143" customFormat="1" x14ac:dyDescent="0.25">
      <c r="A93" s="143" t="s">
        <v>70</v>
      </c>
      <c r="B93" s="143" t="s">
        <v>262</v>
      </c>
      <c r="C93" s="143" t="s">
        <v>263</v>
      </c>
      <c r="D93" s="143" t="s">
        <v>69</v>
      </c>
      <c r="E93" s="257">
        <v>30000000</v>
      </c>
      <c r="F93" s="257">
        <v>30000000</v>
      </c>
      <c r="G93" s="257">
        <v>30000000</v>
      </c>
      <c r="H93" s="257">
        <v>0</v>
      </c>
      <c r="I93" s="257">
        <v>0</v>
      </c>
      <c r="J93" s="257">
        <v>0</v>
      </c>
      <c r="K93" s="257">
        <v>30000000</v>
      </c>
      <c r="L93" s="257">
        <v>30000000</v>
      </c>
      <c r="M93" s="257">
        <v>0</v>
      </c>
      <c r="N93" s="257">
        <v>0</v>
      </c>
    </row>
    <row r="94" spans="1:14" s="143" customFormat="1" x14ac:dyDescent="0.25">
      <c r="A94" s="143" t="s">
        <v>70</v>
      </c>
      <c r="B94" s="143" t="s">
        <v>264</v>
      </c>
      <c r="C94" s="143" t="s">
        <v>265</v>
      </c>
      <c r="D94" s="143" t="s">
        <v>69</v>
      </c>
      <c r="E94" s="257">
        <v>10000000</v>
      </c>
      <c r="F94" s="257">
        <v>10000000</v>
      </c>
      <c r="G94" s="257">
        <v>10000000</v>
      </c>
      <c r="H94" s="257">
        <v>0</v>
      </c>
      <c r="I94" s="257">
        <v>0</v>
      </c>
      <c r="J94" s="257">
        <v>0</v>
      </c>
      <c r="K94" s="257">
        <v>2114471</v>
      </c>
      <c r="L94" s="257">
        <v>2114471</v>
      </c>
      <c r="M94" s="257">
        <v>7885529</v>
      </c>
      <c r="N94" s="257">
        <v>7885529</v>
      </c>
    </row>
    <row r="95" spans="1:14" s="143" customFormat="1" x14ac:dyDescent="0.25">
      <c r="A95" s="143" t="s">
        <v>70</v>
      </c>
      <c r="B95" s="143" t="s">
        <v>286</v>
      </c>
      <c r="C95" s="143" t="s">
        <v>287</v>
      </c>
      <c r="D95" s="143" t="s">
        <v>69</v>
      </c>
      <c r="E95" s="257">
        <v>3000000</v>
      </c>
      <c r="F95" s="257">
        <v>0</v>
      </c>
      <c r="G95" s="257">
        <v>0</v>
      </c>
      <c r="H95" s="257">
        <v>0</v>
      </c>
      <c r="I95" s="257">
        <v>0</v>
      </c>
      <c r="J95" s="257">
        <v>0</v>
      </c>
      <c r="K95" s="257">
        <v>0</v>
      </c>
      <c r="L95" s="257">
        <v>0</v>
      </c>
      <c r="M95" s="257">
        <v>0</v>
      </c>
      <c r="N95" s="257">
        <v>0</v>
      </c>
    </row>
    <row r="96" spans="1:14" s="143" customFormat="1" x14ac:dyDescent="0.25">
      <c r="A96" s="143" t="s">
        <v>70</v>
      </c>
      <c r="B96" s="143" t="s">
        <v>288</v>
      </c>
      <c r="C96" s="143" t="s">
        <v>289</v>
      </c>
      <c r="D96" s="143" t="s">
        <v>69</v>
      </c>
      <c r="E96" s="257">
        <v>1500000</v>
      </c>
      <c r="F96" s="257">
        <v>0</v>
      </c>
      <c r="G96" s="257">
        <v>0</v>
      </c>
      <c r="H96" s="257">
        <v>0</v>
      </c>
      <c r="I96" s="257">
        <v>0</v>
      </c>
      <c r="J96" s="257">
        <v>0</v>
      </c>
      <c r="K96" s="257">
        <v>0</v>
      </c>
      <c r="L96" s="257">
        <v>0</v>
      </c>
      <c r="M96" s="257">
        <v>0</v>
      </c>
      <c r="N96" s="257">
        <v>0</v>
      </c>
    </row>
    <row r="97" spans="1:14" s="143" customFormat="1" x14ac:dyDescent="0.25">
      <c r="A97" s="143" t="s">
        <v>70</v>
      </c>
      <c r="B97" s="143" t="s">
        <v>370</v>
      </c>
      <c r="C97" s="143" t="s">
        <v>371</v>
      </c>
      <c r="D97" s="143" t="s">
        <v>69</v>
      </c>
      <c r="E97" s="257">
        <v>1500000</v>
      </c>
      <c r="F97" s="257">
        <v>0</v>
      </c>
      <c r="G97" s="257">
        <v>0</v>
      </c>
      <c r="H97" s="257">
        <v>0</v>
      </c>
      <c r="I97" s="257">
        <v>0</v>
      </c>
      <c r="J97" s="257">
        <v>0</v>
      </c>
      <c r="K97" s="257">
        <v>0</v>
      </c>
      <c r="L97" s="257">
        <v>0</v>
      </c>
      <c r="M97" s="257">
        <v>0</v>
      </c>
      <c r="N97" s="257">
        <v>0</v>
      </c>
    </row>
    <row r="98" spans="1:14" s="143" customFormat="1" x14ac:dyDescent="0.25">
      <c r="A98" s="143" t="s">
        <v>70</v>
      </c>
      <c r="B98" s="143" t="s">
        <v>266</v>
      </c>
      <c r="C98" s="143" t="s">
        <v>267</v>
      </c>
      <c r="D98" s="143" t="s">
        <v>69</v>
      </c>
      <c r="E98" s="257">
        <v>401507000</v>
      </c>
      <c r="F98" s="257">
        <v>407413000</v>
      </c>
      <c r="G98" s="257">
        <v>407413000</v>
      </c>
      <c r="H98" s="257">
        <v>0</v>
      </c>
      <c r="I98" s="257">
        <v>0</v>
      </c>
      <c r="J98" s="257">
        <v>0</v>
      </c>
      <c r="K98" s="257">
        <v>405253936.58999997</v>
      </c>
      <c r="L98" s="257">
        <v>405253936.58999997</v>
      </c>
      <c r="M98" s="257">
        <v>2159063.41</v>
      </c>
      <c r="N98" s="257">
        <v>2159063.41</v>
      </c>
    </row>
    <row r="99" spans="1:14" s="143" customFormat="1" x14ac:dyDescent="0.25">
      <c r="A99" s="143" t="s">
        <v>70</v>
      </c>
      <c r="B99" s="143" t="s">
        <v>268</v>
      </c>
      <c r="C99" s="143" t="s">
        <v>269</v>
      </c>
      <c r="D99" s="143" t="s">
        <v>69</v>
      </c>
      <c r="E99" s="257">
        <v>389032000</v>
      </c>
      <c r="F99" s="257">
        <v>389032000</v>
      </c>
      <c r="G99" s="257">
        <v>389032000</v>
      </c>
      <c r="H99" s="257">
        <v>0</v>
      </c>
      <c r="I99" s="257">
        <v>0</v>
      </c>
      <c r="J99" s="257">
        <v>0</v>
      </c>
      <c r="K99" s="257">
        <v>389032000</v>
      </c>
      <c r="L99" s="257">
        <v>389032000</v>
      </c>
      <c r="M99" s="257">
        <v>0</v>
      </c>
      <c r="N99" s="257">
        <v>0</v>
      </c>
    </row>
    <row r="100" spans="1:14" s="143" customFormat="1" x14ac:dyDescent="0.25">
      <c r="A100" s="143" t="s">
        <v>70</v>
      </c>
      <c r="B100" s="143" t="s">
        <v>270</v>
      </c>
      <c r="C100" s="143" t="s">
        <v>271</v>
      </c>
      <c r="D100" s="143" t="s">
        <v>69</v>
      </c>
      <c r="E100" s="257">
        <v>8975000</v>
      </c>
      <c r="F100" s="257">
        <v>15000918</v>
      </c>
      <c r="G100" s="257">
        <v>15000918</v>
      </c>
      <c r="H100" s="257">
        <v>0</v>
      </c>
      <c r="I100" s="257">
        <v>0</v>
      </c>
      <c r="J100" s="257">
        <v>0</v>
      </c>
      <c r="K100" s="257">
        <v>12841855.289999999</v>
      </c>
      <c r="L100" s="257">
        <v>12841855.289999999</v>
      </c>
      <c r="M100" s="257">
        <v>2159062.71</v>
      </c>
      <c r="N100" s="257">
        <v>2159062.71</v>
      </c>
    </row>
    <row r="101" spans="1:14" s="143" customFormat="1" x14ac:dyDescent="0.25">
      <c r="A101" s="143" t="s">
        <v>70</v>
      </c>
      <c r="B101" s="143" t="s">
        <v>272</v>
      </c>
      <c r="C101" s="143" t="s">
        <v>273</v>
      </c>
      <c r="D101" s="143" t="s">
        <v>69</v>
      </c>
      <c r="E101" s="257">
        <v>3500000</v>
      </c>
      <c r="F101" s="257">
        <v>3380082</v>
      </c>
      <c r="G101" s="257">
        <v>3380082</v>
      </c>
      <c r="H101" s="257">
        <v>0</v>
      </c>
      <c r="I101" s="257">
        <v>0</v>
      </c>
      <c r="J101" s="257">
        <v>0</v>
      </c>
      <c r="K101" s="257">
        <v>3380081.3</v>
      </c>
      <c r="L101" s="257">
        <v>3380081.3</v>
      </c>
      <c r="M101" s="257">
        <v>0.7</v>
      </c>
      <c r="N101" s="257">
        <v>0.7</v>
      </c>
    </row>
    <row r="102" spans="1:14" s="143" customFormat="1" x14ac:dyDescent="0.25">
      <c r="A102" s="143" t="s">
        <v>70</v>
      </c>
      <c r="B102" s="143" t="s">
        <v>678</v>
      </c>
      <c r="C102" s="143" t="s">
        <v>679</v>
      </c>
      <c r="D102" s="143" t="s">
        <v>69</v>
      </c>
      <c r="E102" s="257">
        <v>0</v>
      </c>
      <c r="F102" s="257">
        <v>17560000</v>
      </c>
      <c r="G102" s="257">
        <v>17560000</v>
      </c>
      <c r="H102" s="257">
        <v>0</v>
      </c>
      <c r="I102" s="257">
        <v>0</v>
      </c>
      <c r="J102" s="257">
        <v>0</v>
      </c>
      <c r="K102" s="257">
        <v>0</v>
      </c>
      <c r="L102" s="257">
        <v>0</v>
      </c>
      <c r="M102" s="257">
        <v>17560000</v>
      </c>
      <c r="N102" s="257">
        <v>17560000</v>
      </c>
    </row>
    <row r="103" spans="1:14" s="143" customFormat="1" x14ac:dyDescent="0.25">
      <c r="A103" s="143" t="s">
        <v>70</v>
      </c>
      <c r="B103" s="143" t="s">
        <v>680</v>
      </c>
      <c r="C103" s="143" t="s">
        <v>681</v>
      </c>
      <c r="D103" s="143" t="s">
        <v>69</v>
      </c>
      <c r="E103" s="257">
        <v>0</v>
      </c>
      <c r="F103" s="257">
        <v>17560000</v>
      </c>
      <c r="G103" s="257">
        <v>17560000</v>
      </c>
      <c r="H103" s="257">
        <v>0</v>
      </c>
      <c r="I103" s="257">
        <v>0</v>
      </c>
      <c r="J103" s="257">
        <v>0</v>
      </c>
      <c r="K103" s="257">
        <v>0</v>
      </c>
      <c r="L103" s="257">
        <v>0</v>
      </c>
      <c r="M103" s="257">
        <v>17560000</v>
      </c>
      <c r="N103" s="257">
        <v>17560000</v>
      </c>
    </row>
    <row r="104" spans="1:14" s="143" customFormat="1" x14ac:dyDescent="0.25">
      <c r="A104" s="143" t="s">
        <v>70</v>
      </c>
      <c r="B104" s="143" t="s">
        <v>682</v>
      </c>
      <c r="C104" s="143" t="s">
        <v>683</v>
      </c>
      <c r="D104" s="143" t="s">
        <v>69</v>
      </c>
      <c r="E104" s="257">
        <v>0</v>
      </c>
      <c r="F104" s="257">
        <v>17560000</v>
      </c>
      <c r="G104" s="257">
        <v>17560000</v>
      </c>
      <c r="H104" s="257">
        <v>0</v>
      </c>
      <c r="I104" s="257">
        <v>0</v>
      </c>
      <c r="J104" s="257">
        <v>0</v>
      </c>
      <c r="K104" s="257">
        <v>0</v>
      </c>
      <c r="L104" s="257">
        <v>0</v>
      </c>
      <c r="M104" s="257">
        <v>17560000</v>
      </c>
      <c r="N104" s="257">
        <v>17560000</v>
      </c>
    </row>
    <row r="105" spans="1:14" s="143" customFormat="1" x14ac:dyDescent="0.25">
      <c r="A105" s="143">
        <v>214780</v>
      </c>
      <c r="D105" s="143" t="s">
        <v>69</v>
      </c>
      <c r="E105" s="257">
        <v>1255933000</v>
      </c>
      <c r="F105" s="257">
        <v>1034622551</v>
      </c>
      <c r="G105" s="257">
        <v>1034622550</v>
      </c>
      <c r="H105" s="257">
        <v>0</v>
      </c>
      <c r="I105" s="257">
        <v>7452690.6399999997</v>
      </c>
      <c r="J105" s="257">
        <v>0</v>
      </c>
      <c r="K105" s="257">
        <v>937922572.63</v>
      </c>
      <c r="L105" s="257">
        <v>920858300.59000003</v>
      </c>
      <c r="M105" s="257">
        <v>89247287.730000004</v>
      </c>
      <c r="N105" s="257">
        <v>89247286.730000004</v>
      </c>
    </row>
    <row r="106" spans="1:14" s="143" customFormat="1" x14ac:dyDescent="0.25">
      <c r="A106" s="143" t="s">
        <v>274</v>
      </c>
      <c r="B106" s="143" t="s">
        <v>71</v>
      </c>
      <c r="C106" s="143" t="s">
        <v>72</v>
      </c>
      <c r="D106" s="143" t="s">
        <v>69</v>
      </c>
      <c r="E106" s="257">
        <v>1043285000</v>
      </c>
      <c r="F106" s="257">
        <v>820497351</v>
      </c>
      <c r="G106" s="257">
        <v>820497350</v>
      </c>
      <c r="H106" s="257">
        <v>0</v>
      </c>
      <c r="I106" s="257">
        <v>0</v>
      </c>
      <c r="J106" s="257">
        <v>0</v>
      </c>
      <c r="K106" s="257">
        <v>759561758.28999996</v>
      </c>
      <c r="L106" s="257">
        <v>759561758.28999996</v>
      </c>
      <c r="M106" s="257">
        <v>60935592.710000001</v>
      </c>
      <c r="N106" s="257">
        <v>60935591.710000001</v>
      </c>
    </row>
    <row r="107" spans="1:14" s="143" customFormat="1" x14ac:dyDescent="0.25">
      <c r="A107" s="143" t="s">
        <v>274</v>
      </c>
      <c r="B107" s="143" t="s">
        <v>73</v>
      </c>
      <c r="C107" s="143" t="s">
        <v>74</v>
      </c>
      <c r="D107" s="143" t="s">
        <v>69</v>
      </c>
      <c r="E107" s="257">
        <v>415877000</v>
      </c>
      <c r="F107" s="257">
        <v>344741351</v>
      </c>
      <c r="G107" s="257">
        <v>344741350</v>
      </c>
      <c r="H107" s="257">
        <v>0</v>
      </c>
      <c r="I107" s="257">
        <v>0</v>
      </c>
      <c r="J107" s="257">
        <v>0</v>
      </c>
      <c r="K107" s="257">
        <v>296355496.54000002</v>
      </c>
      <c r="L107" s="257">
        <v>296355496.54000002</v>
      </c>
      <c r="M107" s="257">
        <v>48385854.460000001</v>
      </c>
      <c r="N107" s="257">
        <v>48385853.460000001</v>
      </c>
    </row>
    <row r="108" spans="1:14" s="143" customFormat="1" x14ac:dyDescent="0.25">
      <c r="A108" s="143" t="s">
        <v>274</v>
      </c>
      <c r="B108" s="143" t="s">
        <v>75</v>
      </c>
      <c r="C108" s="143" t="s">
        <v>76</v>
      </c>
      <c r="D108" s="143" t="s">
        <v>69</v>
      </c>
      <c r="E108" s="257">
        <v>415877000</v>
      </c>
      <c r="F108" s="257">
        <v>344741351</v>
      </c>
      <c r="G108" s="257">
        <v>344741350</v>
      </c>
      <c r="H108" s="257">
        <v>0</v>
      </c>
      <c r="I108" s="257">
        <v>0</v>
      </c>
      <c r="J108" s="257">
        <v>0</v>
      </c>
      <c r="K108" s="257">
        <v>296355496.54000002</v>
      </c>
      <c r="L108" s="257">
        <v>296355496.54000002</v>
      </c>
      <c r="M108" s="257">
        <v>48385854.460000001</v>
      </c>
      <c r="N108" s="257">
        <v>48385853.460000001</v>
      </c>
    </row>
    <row r="109" spans="1:14" s="143" customFormat="1" x14ac:dyDescent="0.25">
      <c r="A109" s="143" t="s">
        <v>274</v>
      </c>
      <c r="B109" s="143" t="s">
        <v>77</v>
      </c>
      <c r="C109" s="143" t="s">
        <v>78</v>
      </c>
      <c r="D109" s="143" t="s">
        <v>69</v>
      </c>
      <c r="E109" s="257">
        <v>468875000</v>
      </c>
      <c r="F109" s="257">
        <v>341625000</v>
      </c>
      <c r="G109" s="257">
        <v>341625000</v>
      </c>
      <c r="H109" s="257">
        <v>0</v>
      </c>
      <c r="I109" s="257">
        <v>0</v>
      </c>
      <c r="J109" s="257">
        <v>0</v>
      </c>
      <c r="K109" s="257">
        <v>329507786.75</v>
      </c>
      <c r="L109" s="257">
        <v>329507786.75</v>
      </c>
      <c r="M109" s="257">
        <v>12117213.25</v>
      </c>
      <c r="N109" s="257">
        <v>12117213.25</v>
      </c>
    </row>
    <row r="110" spans="1:14" s="143" customFormat="1" x14ac:dyDescent="0.25">
      <c r="A110" s="143" t="s">
        <v>274</v>
      </c>
      <c r="B110" s="143" t="s">
        <v>79</v>
      </c>
      <c r="C110" s="143" t="s">
        <v>80</v>
      </c>
      <c r="D110" s="143" t="s">
        <v>69</v>
      </c>
      <c r="E110" s="257">
        <v>79992000</v>
      </c>
      <c r="F110" s="257">
        <v>64192000</v>
      </c>
      <c r="G110" s="257">
        <v>64192000</v>
      </c>
      <c r="H110" s="257">
        <v>0</v>
      </c>
      <c r="I110" s="257">
        <v>0</v>
      </c>
      <c r="J110" s="257">
        <v>0</v>
      </c>
      <c r="K110" s="257">
        <v>60873696.969999999</v>
      </c>
      <c r="L110" s="257">
        <v>60873696.969999999</v>
      </c>
      <c r="M110" s="257">
        <v>3318303.03</v>
      </c>
      <c r="N110" s="257">
        <v>3318303.03</v>
      </c>
    </row>
    <row r="111" spans="1:14" s="143" customFormat="1" x14ac:dyDescent="0.25">
      <c r="A111" s="143" t="s">
        <v>274</v>
      </c>
      <c r="B111" s="143" t="s">
        <v>81</v>
      </c>
      <c r="C111" s="143" t="s">
        <v>82</v>
      </c>
      <c r="D111" s="143" t="s">
        <v>69</v>
      </c>
      <c r="E111" s="257">
        <v>248697000</v>
      </c>
      <c r="F111" s="257">
        <v>153947000</v>
      </c>
      <c r="G111" s="257">
        <v>153947000</v>
      </c>
      <c r="H111" s="257">
        <v>0</v>
      </c>
      <c r="I111" s="257">
        <v>0</v>
      </c>
      <c r="J111" s="257">
        <v>0</v>
      </c>
      <c r="K111" s="257">
        <v>148639198.22999999</v>
      </c>
      <c r="L111" s="257">
        <v>148639198.22999999</v>
      </c>
      <c r="M111" s="257">
        <v>5307801.7699999996</v>
      </c>
      <c r="N111" s="257">
        <v>5307801.7699999996</v>
      </c>
    </row>
    <row r="112" spans="1:14" s="143" customFormat="1" x14ac:dyDescent="0.25">
      <c r="A112" s="143" t="s">
        <v>274</v>
      </c>
      <c r="B112" s="143" t="s">
        <v>86</v>
      </c>
      <c r="C112" s="143" t="s">
        <v>87</v>
      </c>
      <c r="D112" s="143" t="s">
        <v>69</v>
      </c>
      <c r="E112" s="257">
        <v>43990000</v>
      </c>
      <c r="F112" s="257">
        <v>44290000</v>
      </c>
      <c r="G112" s="257">
        <v>44290000</v>
      </c>
      <c r="H112" s="257">
        <v>0</v>
      </c>
      <c r="I112" s="257">
        <v>0</v>
      </c>
      <c r="J112" s="257">
        <v>0</v>
      </c>
      <c r="K112" s="257">
        <v>43877811.079999998</v>
      </c>
      <c r="L112" s="257">
        <v>43877811.079999998</v>
      </c>
      <c r="M112" s="257">
        <v>412188.92</v>
      </c>
      <c r="N112" s="257">
        <v>412188.92</v>
      </c>
    </row>
    <row r="113" spans="1:14" s="143" customFormat="1" x14ac:dyDescent="0.25">
      <c r="A113" s="143" t="s">
        <v>274</v>
      </c>
      <c r="B113" s="143" t="s">
        <v>88</v>
      </c>
      <c r="C113" s="143" t="s">
        <v>89</v>
      </c>
      <c r="D113" s="143" t="s">
        <v>69</v>
      </c>
      <c r="E113" s="257">
        <v>31572000</v>
      </c>
      <c r="F113" s="257">
        <v>28572000</v>
      </c>
      <c r="G113" s="257">
        <v>28572000</v>
      </c>
      <c r="H113" s="257">
        <v>0</v>
      </c>
      <c r="I113" s="257">
        <v>0</v>
      </c>
      <c r="J113" s="257">
        <v>0</v>
      </c>
      <c r="K113" s="257">
        <v>28300605.809999999</v>
      </c>
      <c r="L113" s="257">
        <v>28300605.809999999</v>
      </c>
      <c r="M113" s="257">
        <v>271394.19</v>
      </c>
      <c r="N113" s="257">
        <v>271394.19</v>
      </c>
    </row>
    <row r="114" spans="1:14" s="143" customFormat="1" x14ac:dyDescent="0.25">
      <c r="A114" s="143" t="s">
        <v>274</v>
      </c>
      <c r="B114" s="143" t="s">
        <v>83</v>
      </c>
      <c r="C114" s="143" t="s">
        <v>84</v>
      </c>
      <c r="D114" s="143" t="s">
        <v>85</v>
      </c>
      <c r="E114" s="257">
        <v>64624000</v>
      </c>
      <c r="F114" s="257">
        <v>50624000</v>
      </c>
      <c r="G114" s="257">
        <v>50624000</v>
      </c>
      <c r="H114" s="257">
        <v>0</v>
      </c>
      <c r="I114" s="257">
        <v>0</v>
      </c>
      <c r="J114" s="257">
        <v>0</v>
      </c>
      <c r="K114" s="257">
        <v>47816474.659999996</v>
      </c>
      <c r="L114" s="257">
        <v>47816474.659999996</v>
      </c>
      <c r="M114" s="257">
        <v>2807525.34</v>
      </c>
      <c r="N114" s="257">
        <v>2807525.34</v>
      </c>
    </row>
    <row r="115" spans="1:14" s="143" customFormat="1" x14ac:dyDescent="0.25">
      <c r="A115" s="143" t="s">
        <v>274</v>
      </c>
      <c r="B115" s="143" t="s">
        <v>90</v>
      </c>
      <c r="C115" s="143" t="s">
        <v>91</v>
      </c>
      <c r="D115" s="143" t="s">
        <v>69</v>
      </c>
      <c r="E115" s="257">
        <v>79963000</v>
      </c>
      <c r="F115" s="257">
        <v>67011000</v>
      </c>
      <c r="G115" s="257">
        <v>67011000</v>
      </c>
      <c r="H115" s="257">
        <v>0</v>
      </c>
      <c r="I115" s="257">
        <v>0</v>
      </c>
      <c r="J115" s="257">
        <v>0</v>
      </c>
      <c r="K115" s="257">
        <v>66887467</v>
      </c>
      <c r="L115" s="257">
        <v>66887467</v>
      </c>
      <c r="M115" s="257">
        <v>123533</v>
      </c>
      <c r="N115" s="257">
        <v>123533</v>
      </c>
    </row>
    <row r="116" spans="1:14" s="143" customFormat="1" x14ac:dyDescent="0.25">
      <c r="A116" s="143" t="s">
        <v>274</v>
      </c>
      <c r="B116" s="143" t="s">
        <v>275</v>
      </c>
      <c r="C116" s="143" t="s">
        <v>827</v>
      </c>
      <c r="D116" s="143" t="s">
        <v>69</v>
      </c>
      <c r="E116" s="257">
        <v>75862000</v>
      </c>
      <c r="F116" s="257">
        <v>63432000</v>
      </c>
      <c r="G116" s="257">
        <v>63432000</v>
      </c>
      <c r="H116" s="257">
        <v>0</v>
      </c>
      <c r="I116" s="257">
        <v>0</v>
      </c>
      <c r="J116" s="257">
        <v>0</v>
      </c>
      <c r="K116" s="257">
        <v>63429826</v>
      </c>
      <c r="L116" s="257">
        <v>63429826</v>
      </c>
      <c r="M116" s="257">
        <v>2174</v>
      </c>
      <c r="N116" s="257">
        <v>2174</v>
      </c>
    </row>
    <row r="117" spans="1:14" s="143" customFormat="1" x14ac:dyDescent="0.25">
      <c r="A117" s="143" t="s">
        <v>274</v>
      </c>
      <c r="B117" s="143" t="s">
        <v>276</v>
      </c>
      <c r="C117" s="143" t="s">
        <v>95</v>
      </c>
      <c r="D117" s="143" t="s">
        <v>69</v>
      </c>
      <c r="E117" s="257">
        <v>4101000</v>
      </c>
      <c r="F117" s="257">
        <v>3579000</v>
      </c>
      <c r="G117" s="257">
        <v>3579000</v>
      </c>
      <c r="H117" s="257">
        <v>0</v>
      </c>
      <c r="I117" s="257">
        <v>0</v>
      </c>
      <c r="J117" s="257">
        <v>0</v>
      </c>
      <c r="K117" s="257">
        <v>3457641</v>
      </c>
      <c r="L117" s="257">
        <v>3457641</v>
      </c>
      <c r="M117" s="257">
        <v>121359</v>
      </c>
      <c r="N117" s="257">
        <v>121359</v>
      </c>
    </row>
    <row r="118" spans="1:14" s="143" customFormat="1" x14ac:dyDescent="0.25">
      <c r="A118" s="143" t="s">
        <v>274</v>
      </c>
      <c r="B118" s="143" t="s">
        <v>96</v>
      </c>
      <c r="C118" s="143" t="s">
        <v>97</v>
      </c>
      <c r="D118" s="143" t="s">
        <v>69</v>
      </c>
      <c r="E118" s="257">
        <v>78570000</v>
      </c>
      <c r="F118" s="257">
        <v>67120000</v>
      </c>
      <c r="G118" s="257">
        <v>67120000</v>
      </c>
      <c r="H118" s="257">
        <v>0</v>
      </c>
      <c r="I118" s="257">
        <v>0</v>
      </c>
      <c r="J118" s="257">
        <v>0</v>
      </c>
      <c r="K118" s="257">
        <v>66811008</v>
      </c>
      <c r="L118" s="257">
        <v>66811008</v>
      </c>
      <c r="M118" s="257">
        <v>308992</v>
      </c>
      <c r="N118" s="257">
        <v>308992</v>
      </c>
    </row>
    <row r="119" spans="1:14" s="143" customFormat="1" x14ac:dyDescent="0.25">
      <c r="A119" s="143" t="s">
        <v>274</v>
      </c>
      <c r="B119" s="143" t="s">
        <v>277</v>
      </c>
      <c r="C119" s="143" t="s">
        <v>828</v>
      </c>
      <c r="D119" s="143" t="s">
        <v>69</v>
      </c>
      <c r="E119" s="257">
        <v>41663000</v>
      </c>
      <c r="F119" s="257">
        <v>35423000</v>
      </c>
      <c r="G119" s="257">
        <v>35423000</v>
      </c>
      <c r="H119" s="257">
        <v>0</v>
      </c>
      <c r="I119" s="257">
        <v>0</v>
      </c>
      <c r="J119" s="257">
        <v>0</v>
      </c>
      <c r="K119" s="257">
        <v>35398367</v>
      </c>
      <c r="L119" s="257">
        <v>35398367</v>
      </c>
      <c r="M119" s="257">
        <v>24633</v>
      </c>
      <c r="N119" s="257">
        <v>24633</v>
      </c>
    </row>
    <row r="120" spans="1:14" s="143" customFormat="1" x14ac:dyDescent="0.25">
      <c r="A120" s="143" t="s">
        <v>274</v>
      </c>
      <c r="B120" s="143" t="s">
        <v>278</v>
      </c>
      <c r="C120" s="143" t="s">
        <v>829</v>
      </c>
      <c r="D120" s="143" t="s">
        <v>69</v>
      </c>
      <c r="E120" s="257">
        <v>12303000</v>
      </c>
      <c r="F120" s="257">
        <v>10733000</v>
      </c>
      <c r="G120" s="257">
        <v>10733000</v>
      </c>
      <c r="H120" s="257">
        <v>0</v>
      </c>
      <c r="I120" s="257">
        <v>0</v>
      </c>
      <c r="J120" s="257">
        <v>0</v>
      </c>
      <c r="K120" s="257">
        <v>10666866</v>
      </c>
      <c r="L120" s="257">
        <v>10666866</v>
      </c>
      <c r="M120" s="257">
        <v>66134</v>
      </c>
      <c r="N120" s="257">
        <v>66134</v>
      </c>
    </row>
    <row r="121" spans="1:14" s="143" customFormat="1" x14ac:dyDescent="0.25">
      <c r="A121" s="143" t="s">
        <v>274</v>
      </c>
      <c r="B121" s="143" t="s">
        <v>279</v>
      </c>
      <c r="C121" s="143" t="s">
        <v>830</v>
      </c>
      <c r="D121" s="143" t="s">
        <v>69</v>
      </c>
      <c r="E121" s="257">
        <v>24604000</v>
      </c>
      <c r="F121" s="257">
        <v>20964000</v>
      </c>
      <c r="G121" s="257">
        <v>20964000</v>
      </c>
      <c r="H121" s="257">
        <v>0</v>
      </c>
      <c r="I121" s="257">
        <v>0</v>
      </c>
      <c r="J121" s="257">
        <v>0</v>
      </c>
      <c r="K121" s="257">
        <v>20745775</v>
      </c>
      <c r="L121" s="257">
        <v>20745775</v>
      </c>
      <c r="M121" s="257">
        <v>218225</v>
      </c>
      <c r="N121" s="257">
        <v>218225</v>
      </c>
    </row>
    <row r="122" spans="1:14" s="143" customFormat="1" x14ac:dyDescent="0.25">
      <c r="A122" s="143" t="s">
        <v>274</v>
      </c>
      <c r="B122" s="143" t="s">
        <v>104</v>
      </c>
      <c r="C122" s="143" t="s">
        <v>105</v>
      </c>
      <c r="D122" s="143" t="s">
        <v>69</v>
      </c>
      <c r="E122" s="257">
        <v>154113000</v>
      </c>
      <c r="F122" s="257">
        <v>145152200</v>
      </c>
      <c r="G122" s="257">
        <v>145152200</v>
      </c>
      <c r="H122" s="257">
        <v>0</v>
      </c>
      <c r="I122" s="257">
        <v>5902488.6399999997</v>
      </c>
      <c r="J122" s="257">
        <v>0</v>
      </c>
      <c r="K122" s="257">
        <v>126991884.34999999</v>
      </c>
      <c r="L122" s="257">
        <v>112669517.31</v>
      </c>
      <c r="M122" s="257">
        <v>12257827.01</v>
      </c>
      <c r="N122" s="257">
        <v>12257827.01</v>
      </c>
    </row>
    <row r="123" spans="1:14" s="143" customFormat="1" x14ac:dyDescent="0.25">
      <c r="A123" s="143" t="s">
        <v>274</v>
      </c>
      <c r="B123" s="143" t="s">
        <v>106</v>
      </c>
      <c r="C123" s="143" t="s">
        <v>107</v>
      </c>
      <c r="D123" s="143" t="s">
        <v>69</v>
      </c>
      <c r="E123" s="257">
        <v>92041000</v>
      </c>
      <c r="F123" s="257">
        <v>85078040</v>
      </c>
      <c r="G123" s="257">
        <v>85078040</v>
      </c>
      <c r="H123" s="257">
        <v>0</v>
      </c>
      <c r="I123" s="257">
        <v>395502.84</v>
      </c>
      <c r="J123" s="257">
        <v>0</v>
      </c>
      <c r="K123" s="257">
        <v>81829340.569999993</v>
      </c>
      <c r="L123" s="257">
        <v>72517952.530000001</v>
      </c>
      <c r="M123" s="257">
        <v>2853196.59</v>
      </c>
      <c r="N123" s="257">
        <v>2853196.59</v>
      </c>
    </row>
    <row r="124" spans="1:14" s="143" customFormat="1" x14ac:dyDescent="0.25">
      <c r="A124" s="143" t="s">
        <v>274</v>
      </c>
      <c r="B124" s="143" t="s">
        <v>280</v>
      </c>
      <c r="C124" s="143" t="s">
        <v>281</v>
      </c>
      <c r="D124" s="143" t="s">
        <v>69</v>
      </c>
      <c r="E124" s="257">
        <v>76041000</v>
      </c>
      <c r="F124" s="257">
        <v>67968040</v>
      </c>
      <c r="G124" s="257">
        <v>67968040</v>
      </c>
      <c r="H124" s="257">
        <v>0</v>
      </c>
      <c r="I124" s="257">
        <v>0</v>
      </c>
      <c r="J124" s="257">
        <v>0</v>
      </c>
      <c r="K124" s="257">
        <v>65715392.200000003</v>
      </c>
      <c r="L124" s="257">
        <v>60042006.530000001</v>
      </c>
      <c r="M124" s="257">
        <v>2252647.7999999998</v>
      </c>
      <c r="N124" s="257">
        <v>2252647.7999999998</v>
      </c>
    </row>
    <row r="125" spans="1:14" s="143" customFormat="1" x14ac:dyDescent="0.25">
      <c r="A125" s="143" t="s">
        <v>274</v>
      </c>
      <c r="B125" s="143" t="s">
        <v>108</v>
      </c>
      <c r="C125" s="143" t="s">
        <v>109</v>
      </c>
      <c r="D125" s="143" t="s">
        <v>69</v>
      </c>
      <c r="E125" s="257">
        <v>16000000</v>
      </c>
      <c r="F125" s="257">
        <v>17110000</v>
      </c>
      <c r="G125" s="257">
        <v>17110000</v>
      </c>
      <c r="H125" s="257">
        <v>0</v>
      </c>
      <c r="I125" s="257">
        <v>395502.84</v>
      </c>
      <c r="J125" s="257">
        <v>0</v>
      </c>
      <c r="K125" s="257">
        <v>16113948.369999999</v>
      </c>
      <c r="L125" s="257">
        <v>12475946</v>
      </c>
      <c r="M125" s="257">
        <v>600548.79</v>
      </c>
      <c r="N125" s="257">
        <v>600548.79</v>
      </c>
    </row>
    <row r="126" spans="1:14" s="143" customFormat="1" x14ac:dyDescent="0.25">
      <c r="A126" s="143" t="s">
        <v>274</v>
      </c>
      <c r="B126" s="143" t="s">
        <v>112</v>
      </c>
      <c r="C126" s="143" t="s">
        <v>113</v>
      </c>
      <c r="D126" s="143" t="s">
        <v>69</v>
      </c>
      <c r="E126" s="257">
        <v>22562000</v>
      </c>
      <c r="F126" s="257">
        <v>22538700</v>
      </c>
      <c r="G126" s="257">
        <v>22538700</v>
      </c>
      <c r="H126" s="257">
        <v>0</v>
      </c>
      <c r="I126" s="257">
        <v>3095768</v>
      </c>
      <c r="J126" s="257">
        <v>0</v>
      </c>
      <c r="K126" s="257">
        <v>14444976</v>
      </c>
      <c r="L126" s="257">
        <v>13127477</v>
      </c>
      <c r="M126" s="257">
        <v>4997956</v>
      </c>
      <c r="N126" s="257">
        <v>4997956</v>
      </c>
    </row>
    <row r="127" spans="1:14" s="143" customFormat="1" x14ac:dyDescent="0.25">
      <c r="A127" s="143" t="s">
        <v>274</v>
      </c>
      <c r="B127" s="143" t="s">
        <v>114</v>
      </c>
      <c r="C127" s="143" t="s">
        <v>115</v>
      </c>
      <c r="D127" s="143" t="s">
        <v>69</v>
      </c>
      <c r="E127" s="257">
        <v>2000000</v>
      </c>
      <c r="F127" s="257">
        <v>1976700</v>
      </c>
      <c r="G127" s="257">
        <v>1976700</v>
      </c>
      <c r="H127" s="257">
        <v>0</v>
      </c>
      <c r="I127" s="257">
        <v>90000</v>
      </c>
      <c r="J127" s="257">
        <v>0</v>
      </c>
      <c r="K127" s="257">
        <v>971065</v>
      </c>
      <c r="L127" s="257">
        <v>971065</v>
      </c>
      <c r="M127" s="257">
        <v>915635</v>
      </c>
      <c r="N127" s="257">
        <v>915635</v>
      </c>
    </row>
    <row r="128" spans="1:14" s="143" customFormat="1" x14ac:dyDescent="0.25">
      <c r="A128" s="143" t="s">
        <v>274</v>
      </c>
      <c r="B128" s="143" t="s">
        <v>116</v>
      </c>
      <c r="C128" s="143" t="s">
        <v>117</v>
      </c>
      <c r="D128" s="143" t="s">
        <v>69</v>
      </c>
      <c r="E128" s="257">
        <v>6000000</v>
      </c>
      <c r="F128" s="257">
        <v>6000000</v>
      </c>
      <c r="G128" s="257">
        <v>6000000</v>
      </c>
      <c r="H128" s="257">
        <v>0</v>
      </c>
      <c r="I128" s="257">
        <v>831990</v>
      </c>
      <c r="J128" s="257">
        <v>0</v>
      </c>
      <c r="K128" s="257">
        <v>3154992</v>
      </c>
      <c r="L128" s="257">
        <v>2877171</v>
      </c>
      <c r="M128" s="257">
        <v>2013018</v>
      </c>
      <c r="N128" s="257">
        <v>2013018</v>
      </c>
    </row>
    <row r="129" spans="1:14" s="143" customFormat="1" x14ac:dyDescent="0.25">
      <c r="A129" s="143" t="s">
        <v>274</v>
      </c>
      <c r="B129" s="143" t="s">
        <v>118</v>
      </c>
      <c r="C129" s="143" t="s">
        <v>119</v>
      </c>
      <c r="D129" s="143" t="s">
        <v>69</v>
      </c>
      <c r="E129" s="257">
        <v>500000</v>
      </c>
      <c r="F129" s="257">
        <v>500000</v>
      </c>
      <c r="G129" s="257">
        <v>500000</v>
      </c>
      <c r="H129" s="257">
        <v>0</v>
      </c>
      <c r="I129" s="257">
        <v>0</v>
      </c>
      <c r="J129" s="257">
        <v>0</v>
      </c>
      <c r="K129" s="257">
        <v>0</v>
      </c>
      <c r="L129" s="257">
        <v>0</v>
      </c>
      <c r="M129" s="257">
        <v>500000</v>
      </c>
      <c r="N129" s="257">
        <v>500000</v>
      </c>
    </row>
    <row r="130" spans="1:14" s="143" customFormat="1" x14ac:dyDescent="0.25">
      <c r="A130" s="143" t="s">
        <v>274</v>
      </c>
      <c r="B130" s="143" t="s">
        <v>120</v>
      </c>
      <c r="C130" s="143" t="s">
        <v>121</v>
      </c>
      <c r="D130" s="143" t="s">
        <v>69</v>
      </c>
      <c r="E130" s="257">
        <v>14062000</v>
      </c>
      <c r="F130" s="257">
        <v>14062000</v>
      </c>
      <c r="G130" s="257">
        <v>14062000</v>
      </c>
      <c r="H130" s="257">
        <v>0</v>
      </c>
      <c r="I130" s="257">
        <v>2173778</v>
      </c>
      <c r="J130" s="257">
        <v>0</v>
      </c>
      <c r="K130" s="257">
        <v>10318919</v>
      </c>
      <c r="L130" s="257">
        <v>9279241</v>
      </c>
      <c r="M130" s="257">
        <v>1569303</v>
      </c>
      <c r="N130" s="257">
        <v>1569303</v>
      </c>
    </row>
    <row r="131" spans="1:14" s="143" customFormat="1" x14ac:dyDescent="0.25">
      <c r="A131" s="143" t="s">
        <v>274</v>
      </c>
      <c r="B131" s="143" t="s">
        <v>124</v>
      </c>
      <c r="C131" s="143" t="s">
        <v>125</v>
      </c>
      <c r="D131" s="143" t="s">
        <v>69</v>
      </c>
      <c r="E131" s="257">
        <v>3169500</v>
      </c>
      <c r="F131" s="257">
        <v>3352960</v>
      </c>
      <c r="G131" s="257">
        <v>3352960</v>
      </c>
      <c r="H131" s="257">
        <v>0</v>
      </c>
      <c r="I131" s="257">
        <v>0</v>
      </c>
      <c r="J131" s="257">
        <v>0</v>
      </c>
      <c r="K131" s="257">
        <v>3168060</v>
      </c>
      <c r="L131" s="257">
        <v>3168060</v>
      </c>
      <c r="M131" s="257">
        <v>184900</v>
      </c>
      <c r="N131" s="257">
        <v>184900</v>
      </c>
    </row>
    <row r="132" spans="1:14" s="143" customFormat="1" x14ac:dyDescent="0.25">
      <c r="A132" s="143" t="s">
        <v>274</v>
      </c>
      <c r="B132" s="143" t="s">
        <v>126</v>
      </c>
      <c r="C132" s="143" t="s">
        <v>127</v>
      </c>
      <c r="D132" s="143" t="s">
        <v>69</v>
      </c>
      <c r="E132" s="257">
        <v>1000000</v>
      </c>
      <c r="F132" s="257">
        <v>250000</v>
      </c>
      <c r="G132" s="257">
        <v>250000</v>
      </c>
      <c r="H132" s="257">
        <v>0</v>
      </c>
      <c r="I132" s="257">
        <v>0</v>
      </c>
      <c r="J132" s="257">
        <v>0</v>
      </c>
      <c r="K132" s="257">
        <v>66810</v>
      </c>
      <c r="L132" s="257">
        <v>66810</v>
      </c>
      <c r="M132" s="257">
        <v>183190</v>
      </c>
      <c r="N132" s="257">
        <v>183190</v>
      </c>
    </row>
    <row r="133" spans="1:14" s="143" customFormat="1" x14ac:dyDescent="0.25">
      <c r="A133" s="143" t="s">
        <v>274</v>
      </c>
      <c r="B133" s="143" t="s">
        <v>532</v>
      </c>
      <c r="C133" s="143" t="s">
        <v>718</v>
      </c>
      <c r="D133" s="143" t="s">
        <v>69</v>
      </c>
      <c r="E133" s="257">
        <v>169500</v>
      </c>
      <c r="F133" s="257">
        <v>97250</v>
      </c>
      <c r="G133" s="257">
        <v>97250</v>
      </c>
      <c r="H133" s="257">
        <v>0</v>
      </c>
      <c r="I133" s="257">
        <v>0</v>
      </c>
      <c r="J133" s="257">
        <v>0</v>
      </c>
      <c r="K133" s="257">
        <v>97250</v>
      </c>
      <c r="L133" s="257">
        <v>97250</v>
      </c>
      <c r="M133" s="257">
        <v>0</v>
      </c>
      <c r="N133" s="257">
        <v>0</v>
      </c>
    </row>
    <row r="134" spans="1:14" s="143" customFormat="1" x14ac:dyDescent="0.25">
      <c r="A134" s="143" t="s">
        <v>274</v>
      </c>
      <c r="B134" s="143" t="s">
        <v>128</v>
      </c>
      <c r="C134" s="143" t="s">
        <v>129</v>
      </c>
      <c r="D134" s="143" t="s">
        <v>69</v>
      </c>
      <c r="E134" s="257">
        <v>2000000</v>
      </c>
      <c r="F134" s="257">
        <v>3005710</v>
      </c>
      <c r="G134" s="257">
        <v>3005710</v>
      </c>
      <c r="H134" s="257">
        <v>0</v>
      </c>
      <c r="I134" s="257">
        <v>0</v>
      </c>
      <c r="J134" s="257">
        <v>0</v>
      </c>
      <c r="K134" s="257">
        <v>3004000</v>
      </c>
      <c r="L134" s="257">
        <v>3004000</v>
      </c>
      <c r="M134" s="257">
        <v>1710</v>
      </c>
      <c r="N134" s="257">
        <v>1710</v>
      </c>
    </row>
    <row r="135" spans="1:14" s="143" customFormat="1" x14ac:dyDescent="0.25">
      <c r="A135" s="143" t="s">
        <v>274</v>
      </c>
      <c r="B135" s="143" t="s">
        <v>134</v>
      </c>
      <c r="C135" s="143" t="s">
        <v>135</v>
      </c>
      <c r="D135" s="143" t="s">
        <v>69</v>
      </c>
      <c r="E135" s="257">
        <v>4800000</v>
      </c>
      <c r="F135" s="257">
        <v>3440000</v>
      </c>
      <c r="G135" s="257">
        <v>3440000</v>
      </c>
      <c r="H135" s="257">
        <v>0</v>
      </c>
      <c r="I135" s="257">
        <v>1017240</v>
      </c>
      <c r="J135" s="257">
        <v>0</v>
      </c>
      <c r="K135" s="257">
        <v>1486000</v>
      </c>
      <c r="L135" s="257">
        <v>450000</v>
      </c>
      <c r="M135" s="257">
        <v>936760</v>
      </c>
      <c r="N135" s="257">
        <v>936760</v>
      </c>
    </row>
    <row r="136" spans="1:14" s="143" customFormat="1" x14ac:dyDescent="0.25">
      <c r="A136" s="143" t="s">
        <v>274</v>
      </c>
      <c r="B136" s="143" t="s">
        <v>136</v>
      </c>
      <c r="C136" s="143" t="s">
        <v>137</v>
      </c>
      <c r="D136" s="143" t="s">
        <v>69</v>
      </c>
      <c r="E136" s="257">
        <v>3300000</v>
      </c>
      <c r="F136" s="257">
        <v>2850000</v>
      </c>
      <c r="G136" s="257">
        <v>2850000</v>
      </c>
      <c r="H136" s="257">
        <v>0</v>
      </c>
      <c r="I136" s="257">
        <v>1017240</v>
      </c>
      <c r="J136" s="257">
        <v>0</v>
      </c>
      <c r="K136" s="257">
        <v>986000</v>
      </c>
      <c r="L136" s="257">
        <v>0</v>
      </c>
      <c r="M136" s="257">
        <v>846760</v>
      </c>
      <c r="N136" s="257">
        <v>846760</v>
      </c>
    </row>
    <row r="137" spans="1:14" s="143" customFormat="1" x14ac:dyDescent="0.25">
      <c r="A137" s="143" t="s">
        <v>274</v>
      </c>
      <c r="B137" s="143" t="s">
        <v>138</v>
      </c>
      <c r="C137" s="143" t="s">
        <v>139</v>
      </c>
      <c r="D137" s="143" t="s">
        <v>69</v>
      </c>
      <c r="E137" s="257">
        <v>1500000</v>
      </c>
      <c r="F137" s="257">
        <v>590000</v>
      </c>
      <c r="G137" s="257">
        <v>590000</v>
      </c>
      <c r="H137" s="257">
        <v>0</v>
      </c>
      <c r="I137" s="257">
        <v>0</v>
      </c>
      <c r="J137" s="257">
        <v>0</v>
      </c>
      <c r="K137" s="257">
        <v>500000</v>
      </c>
      <c r="L137" s="257">
        <v>450000</v>
      </c>
      <c r="M137" s="257">
        <v>90000</v>
      </c>
      <c r="N137" s="257">
        <v>90000</v>
      </c>
    </row>
    <row r="138" spans="1:14" s="143" customFormat="1" x14ac:dyDescent="0.25">
      <c r="A138" s="143" t="s">
        <v>274</v>
      </c>
      <c r="B138" s="143" t="s">
        <v>140</v>
      </c>
      <c r="C138" s="143" t="s">
        <v>141</v>
      </c>
      <c r="D138" s="143" t="s">
        <v>69</v>
      </c>
      <c r="E138" s="257">
        <v>9234500</v>
      </c>
      <c r="F138" s="257">
        <v>9838500</v>
      </c>
      <c r="G138" s="257">
        <v>9838500</v>
      </c>
      <c r="H138" s="257">
        <v>0</v>
      </c>
      <c r="I138" s="257">
        <v>1305640</v>
      </c>
      <c r="J138" s="257">
        <v>0</v>
      </c>
      <c r="K138" s="257">
        <v>7731160</v>
      </c>
      <c r="L138" s="257">
        <v>7731160</v>
      </c>
      <c r="M138" s="257">
        <v>801700</v>
      </c>
      <c r="N138" s="257">
        <v>801700</v>
      </c>
    </row>
    <row r="139" spans="1:14" s="143" customFormat="1" x14ac:dyDescent="0.25">
      <c r="A139" s="143" t="s">
        <v>274</v>
      </c>
      <c r="B139" s="143" t="s">
        <v>142</v>
      </c>
      <c r="C139" s="143" t="s">
        <v>143</v>
      </c>
      <c r="D139" s="143" t="s">
        <v>69</v>
      </c>
      <c r="E139" s="257">
        <v>700000</v>
      </c>
      <c r="F139" s="257">
        <v>804000</v>
      </c>
      <c r="G139" s="257">
        <v>804000</v>
      </c>
      <c r="H139" s="257">
        <v>0</v>
      </c>
      <c r="I139" s="257">
        <v>285890</v>
      </c>
      <c r="J139" s="257">
        <v>0</v>
      </c>
      <c r="K139" s="257">
        <v>518110</v>
      </c>
      <c r="L139" s="257">
        <v>518110</v>
      </c>
      <c r="M139" s="257">
        <v>0</v>
      </c>
      <c r="N139" s="257">
        <v>0</v>
      </c>
    </row>
    <row r="140" spans="1:14" s="143" customFormat="1" x14ac:dyDescent="0.25">
      <c r="A140" s="143" t="s">
        <v>274</v>
      </c>
      <c r="B140" s="143" t="s">
        <v>144</v>
      </c>
      <c r="C140" s="143" t="s">
        <v>145</v>
      </c>
      <c r="D140" s="143" t="s">
        <v>69</v>
      </c>
      <c r="E140" s="257">
        <v>8534500</v>
      </c>
      <c r="F140" s="257">
        <v>9034500</v>
      </c>
      <c r="G140" s="257">
        <v>9034500</v>
      </c>
      <c r="H140" s="257">
        <v>0</v>
      </c>
      <c r="I140" s="257">
        <v>1019750</v>
      </c>
      <c r="J140" s="257">
        <v>0</v>
      </c>
      <c r="K140" s="257">
        <v>7213050</v>
      </c>
      <c r="L140" s="257">
        <v>7213050</v>
      </c>
      <c r="M140" s="257">
        <v>801700</v>
      </c>
      <c r="N140" s="257">
        <v>801700</v>
      </c>
    </row>
    <row r="141" spans="1:14" s="143" customFormat="1" x14ac:dyDescent="0.25">
      <c r="A141" s="143" t="s">
        <v>274</v>
      </c>
      <c r="B141" s="143" t="s">
        <v>150</v>
      </c>
      <c r="C141" s="143" t="s">
        <v>151</v>
      </c>
      <c r="D141" s="143" t="s">
        <v>69</v>
      </c>
      <c r="E141" s="257">
        <v>4500000</v>
      </c>
      <c r="F141" s="257">
        <v>4453000</v>
      </c>
      <c r="G141" s="257">
        <v>4453000</v>
      </c>
      <c r="H141" s="257">
        <v>0</v>
      </c>
      <c r="I141" s="257">
        <v>0</v>
      </c>
      <c r="J141" s="257">
        <v>0</v>
      </c>
      <c r="K141" s="257">
        <v>3814274</v>
      </c>
      <c r="L141" s="257">
        <v>3814274</v>
      </c>
      <c r="M141" s="257">
        <v>638726</v>
      </c>
      <c r="N141" s="257">
        <v>638726</v>
      </c>
    </row>
    <row r="142" spans="1:14" s="143" customFormat="1" x14ac:dyDescent="0.25">
      <c r="A142" s="143" t="s">
        <v>274</v>
      </c>
      <c r="B142" s="143" t="s">
        <v>152</v>
      </c>
      <c r="C142" s="143" t="s">
        <v>153</v>
      </c>
      <c r="D142" s="143" t="s">
        <v>69</v>
      </c>
      <c r="E142" s="257">
        <v>4500000</v>
      </c>
      <c r="F142" s="257">
        <v>4453000</v>
      </c>
      <c r="G142" s="257">
        <v>4453000</v>
      </c>
      <c r="H142" s="257">
        <v>0</v>
      </c>
      <c r="I142" s="257">
        <v>0</v>
      </c>
      <c r="J142" s="257">
        <v>0</v>
      </c>
      <c r="K142" s="257">
        <v>3814274</v>
      </c>
      <c r="L142" s="257">
        <v>3814274</v>
      </c>
      <c r="M142" s="257">
        <v>638726</v>
      </c>
      <c r="N142" s="257">
        <v>638726</v>
      </c>
    </row>
    <row r="143" spans="1:14" s="143" customFormat="1" x14ac:dyDescent="0.25">
      <c r="A143" s="143" t="s">
        <v>274</v>
      </c>
      <c r="B143" s="143" t="s">
        <v>154</v>
      </c>
      <c r="C143" s="143" t="s">
        <v>155</v>
      </c>
      <c r="D143" s="143" t="s">
        <v>69</v>
      </c>
      <c r="E143" s="257">
        <v>12506000</v>
      </c>
      <c r="F143" s="257">
        <v>12506000</v>
      </c>
      <c r="G143" s="257">
        <v>12506000</v>
      </c>
      <c r="H143" s="257">
        <v>0</v>
      </c>
      <c r="I143" s="257">
        <v>52162.8</v>
      </c>
      <c r="J143" s="257">
        <v>0</v>
      </c>
      <c r="K143" s="257">
        <v>12451600</v>
      </c>
      <c r="L143" s="257">
        <v>10377900</v>
      </c>
      <c r="M143" s="257">
        <v>2237.1999999999998</v>
      </c>
      <c r="N143" s="257">
        <v>2237.1999999999998</v>
      </c>
    </row>
    <row r="144" spans="1:14" s="143" customFormat="1" x14ac:dyDescent="0.25">
      <c r="A144" s="143" t="s">
        <v>274</v>
      </c>
      <c r="B144" s="143" t="s">
        <v>156</v>
      </c>
      <c r="C144" s="143" t="s">
        <v>157</v>
      </c>
      <c r="D144" s="143" t="s">
        <v>69</v>
      </c>
      <c r="E144" s="257">
        <v>12506000</v>
      </c>
      <c r="F144" s="257">
        <v>12506000</v>
      </c>
      <c r="G144" s="257">
        <v>12506000</v>
      </c>
      <c r="H144" s="257">
        <v>0</v>
      </c>
      <c r="I144" s="257">
        <v>52162.8</v>
      </c>
      <c r="J144" s="257">
        <v>0</v>
      </c>
      <c r="K144" s="257">
        <v>12451600</v>
      </c>
      <c r="L144" s="257">
        <v>10377900</v>
      </c>
      <c r="M144" s="257">
        <v>2237.1999999999998</v>
      </c>
      <c r="N144" s="257">
        <v>2237.1999999999998</v>
      </c>
    </row>
    <row r="145" spans="1:14" s="143" customFormat="1" x14ac:dyDescent="0.25">
      <c r="A145" s="143" t="s">
        <v>274</v>
      </c>
      <c r="B145" s="143" t="s">
        <v>162</v>
      </c>
      <c r="C145" s="143" t="s">
        <v>163</v>
      </c>
      <c r="D145" s="143" t="s">
        <v>69</v>
      </c>
      <c r="E145" s="257">
        <v>4600000</v>
      </c>
      <c r="F145" s="257">
        <v>3600000</v>
      </c>
      <c r="G145" s="257">
        <v>3600000</v>
      </c>
      <c r="H145" s="257">
        <v>0</v>
      </c>
      <c r="I145" s="257">
        <v>0</v>
      </c>
      <c r="J145" s="257">
        <v>0</v>
      </c>
      <c r="K145" s="257">
        <v>1982648.78</v>
      </c>
      <c r="L145" s="257">
        <v>1482693.78</v>
      </c>
      <c r="M145" s="257">
        <v>1617351.22</v>
      </c>
      <c r="N145" s="257">
        <v>1617351.22</v>
      </c>
    </row>
    <row r="146" spans="1:14" s="143" customFormat="1" x14ac:dyDescent="0.25">
      <c r="A146" s="143" t="s">
        <v>274</v>
      </c>
      <c r="B146" s="143" t="s">
        <v>166</v>
      </c>
      <c r="C146" s="143" t="s">
        <v>167</v>
      </c>
      <c r="D146" s="143" t="s">
        <v>69</v>
      </c>
      <c r="E146" s="257">
        <v>600000</v>
      </c>
      <c r="F146" s="257">
        <v>600000</v>
      </c>
      <c r="G146" s="257">
        <v>600000</v>
      </c>
      <c r="H146" s="257">
        <v>0</v>
      </c>
      <c r="I146" s="257">
        <v>0</v>
      </c>
      <c r="J146" s="257">
        <v>0</v>
      </c>
      <c r="K146" s="257">
        <v>502455</v>
      </c>
      <c r="L146" s="257">
        <v>2500</v>
      </c>
      <c r="M146" s="257">
        <v>97545</v>
      </c>
      <c r="N146" s="257">
        <v>97545</v>
      </c>
    </row>
    <row r="147" spans="1:14" s="143" customFormat="1" x14ac:dyDescent="0.25">
      <c r="A147" s="143" t="s">
        <v>274</v>
      </c>
      <c r="B147" s="143" t="s">
        <v>168</v>
      </c>
      <c r="C147" s="143" t="s">
        <v>169</v>
      </c>
      <c r="D147" s="143" t="s">
        <v>69</v>
      </c>
      <c r="E147" s="257">
        <v>1500000</v>
      </c>
      <c r="F147" s="257">
        <v>1000000</v>
      </c>
      <c r="G147" s="257">
        <v>1000000</v>
      </c>
      <c r="H147" s="257">
        <v>0</v>
      </c>
      <c r="I147" s="257">
        <v>0</v>
      </c>
      <c r="J147" s="257">
        <v>0</v>
      </c>
      <c r="K147" s="257">
        <v>0</v>
      </c>
      <c r="L147" s="257">
        <v>0</v>
      </c>
      <c r="M147" s="257">
        <v>1000000</v>
      </c>
      <c r="N147" s="257">
        <v>1000000</v>
      </c>
    </row>
    <row r="148" spans="1:14" s="143" customFormat="1" x14ac:dyDescent="0.25">
      <c r="A148" s="143" t="s">
        <v>274</v>
      </c>
      <c r="B148" s="143" t="s">
        <v>170</v>
      </c>
      <c r="C148" s="143" t="s">
        <v>171</v>
      </c>
      <c r="D148" s="143" t="s">
        <v>69</v>
      </c>
      <c r="E148" s="257">
        <v>1500000</v>
      </c>
      <c r="F148" s="257">
        <v>1500000</v>
      </c>
      <c r="G148" s="257">
        <v>1500000</v>
      </c>
      <c r="H148" s="257">
        <v>0</v>
      </c>
      <c r="I148" s="257">
        <v>0</v>
      </c>
      <c r="J148" s="257">
        <v>0</v>
      </c>
      <c r="K148" s="257">
        <v>1480193.78</v>
      </c>
      <c r="L148" s="257">
        <v>1480193.78</v>
      </c>
      <c r="M148" s="257">
        <v>19806.22</v>
      </c>
      <c r="N148" s="257">
        <v>19806.22</v>
      </c>
    </row>
    <row r="149" spans="1:14" s="143" customFormat="1" x14ac:dyDescent="0.25">
      <c r="A149" s="143" t="s">
        <v>274</v>
      </c>
      <c r="B149" s="143" t="s">
        <v>172</v>
      </c>
      <c r="C149" s="143" t="s">
        <v>173</v>
      </c>
      <c r="D149" s="143" t="s">
        <v>69</v>
      </c>
      <c r="E149" s="257">
        <v>1000000</v>
      </c>
      <c r="F149" s="257">
        <v>500000</v>
      </c>
      <c r="G149" s="257">
        <v>500000</v>
      </c>
      <c r="H149" s="257">
        <v>0</v>
      </c>
      <c r="I149" s="257">
        <v>0</v>
      </c>
      <c r="J149" s="257">
        <v>0</v>
      </c>
      <c r="K149" s="257">
        <v>0</v>
      </c>
      <c r="L149" s="257">
        <v>0</v>
      </c>
      <c r="M149" s="257">
        <v>500000</v>
      </c>
      <c r="N149" s="257">
        <v>500000</v>
      </c>
    </row>
    <row r="150" spans="1:14" s="143" customFormat="1" x14ac:dyDescent="0.25">
      <c r="A150" s="143" t="s">
        <v>274</v>
      </c>
      <c r="B150" s="143" t="s">
        <v>174</v>
      </c>
      <c r="C150" s="143" t="s">
        <v>175</v>
      </c>
      <c r="D150" s="143" t="s">
        <v>69</v>
      </c>
      <c r="E150" s="257">
        <v>200000</v>
      </c>
      <c r="F150" s="257">
        <v>120000</v>
      </c>
      <c r="G150" s="257">
        <v>120000</v>
      </c>
      <c r="H150" s="257">
        <v>0</v>
      </c>
      <c r="I150" s="257">
        <v>36175</v>
      </c>
      <c r="J150" s="257">
        <v>0</v>
      </c>
      <c r="K150" s="257">
        <v>83825</v>
      </c>
      <c r="L150" s="257">
        <v>0</v>
      </c>
      <c r="M150" s="257">
        <v>0</v>
      </c>
      <c r="N150" s="257">
        <v>0</v>
      </c>
    </row>
    <row r="151" spans="1:14" s="143" customFormat="1" x14ac:dyDescent="0.25">
      <c r="A151" s="143" t="s">
        <v>274</v>
      </c>
      <c r="B151" s="143" t="s">
        <v>176</v>
      </c>
      <c r="C151" s="143" t="s">
        <v>177</v>
      </c>
      <c r="D151" s="143" t="s">
        <v>69</v>
      </c>
      <c r="E151" s="257">
        <v>200000</v>
      </c>
      <c r="F151" s="257">
        <v>120000</v>
      </c>
      <c r="G151" s="257">
        <v>120000</v>
      </c>
      <c r="H151" s="257">
        <v>0</v>
      </c>
      <c r="I151" s="257">
        <v>36175</v>
      </c>
      <c r="J151" s="257">
        <v>0</v>
      </c>
      <c r="K151" s="257">
        <v>83825</v>
      </c>
      <c r="L151" s="257">
        <v>0</v>
      </c>
      <c r="M151" s="257">
        <v>0</v>
      </c>
      <c r="N151" s="257">
        <v>0</v>
      </c>
    </row>
    <row r="152" spans="1:14" s="143" customFormat="1" x14ac:dyDescent="0.25">
      <c r="A152" s="143" t="s">
        <v>274</v>
      </c>
      <c r="B152" s="143" t="s">
        <v>178</v>
      </c>
      <c r="C152" s="143" t="s">
        <v>179</v>
      </c>
      <c r="D152" s="143" t="s">
        <v>69</v>
      </c>
      <c r="E152" s="257">
        <v>500000</v>
      </c>
      <c r="F152" s="257">
        <v>225000</v>
      </c>
      <c r="G152" s="257">
        <v>225000</v>
      </c>
      <c r="H152" s="257">
        <v>0</v>
      </c>
      <c r="I152" s="257">
        <v>0</v>
      </c>
      <c r="J152" s="257">
        <v>0</v>
      </c>
      <c r="K152" s="257">
        <v>0</v>
      </c>
      <c r="L152" s="257">
        <v>0</v>
      </c>
      <c r="M152" s="257">
        <v>225000</v>
      </c>
      <c r="N152" s="257">
        <v>225000</v>
      </c>
    </row>
    <row r="153" spans="1:14" s="143" customFormat="1" x14ac:dyDescent="0.25">
      <c r="A153" s="143" t="s">
        <v>274</v>
      </c>
      <c r="B153" s="143" t="s">
        <v>182</v>
      </c>
      <c r="C153" s="143" t="s">
        <v>183</v>
      </c>
      <c r="D153" s="143" t="s">
        <v>69</v>
      </c>
      <c r="E153" s="257">
        <v>500000</v>
      </c>
      <c r="F153" s="257">
        <v>225000</v>
      </c>
      <c r="G153" s="257">
        <v>225000</v>
      </c>
      <c r="H153" s="257">
        <v>0</v>
      </c>
      <c r="I153" s="257">
        <v>0</v>
      </c>
      <c r="J153" s="257">
        <v>0</v>
      </c>
      <c r="K153" s="257">
        <v>0</v>
      </c>
      <c r="L153" s="257">
        <v>0</v>
      </c>
      <c r="M153" s="257">
        <v>225000</v>
      </c>
      <c r="N153" s="257">
        <v>225000</v>
      </c>
    </row>
    <row r="154" spans="1:14" s="143" customFormat="1" x14ac:dyDescent="0.25">
      <c r="A154" s="143" t="s">
        <v>274</v>
      </c>
      <c r="B154" s="143" t="s">
        <v>184</v>
      </c>
      <c r="C154" s="143" t="s">
        <v>185</v>
      </c>
      <c r="D154" s="143" t="s">
        <v>69</v>
      </c>
      <c r="E154" s="257">
        <v>26927000</v>
      </c>
      <c r="F154" s="257">
        <v>26981000</v>
      </c>
      <c r="G154" s="257">
        <v>26981000</v>
      </c>
      <c r="H154" s="257">
        <v>0</v>
      </c>
      <c r="I154" s="257">
        <v>1550202</v>
      </c>
      <c r="J154" s="257">
        <v>0</v>
      </c>
      <c r="K154" s="257">
        <v>22840295.760000002</v>
      </c>
      <c r="L154" s="257">
        <v>20098390.760000002</v>
      </c>
      <c r="M154" s="257">
        <v>2590502.2400000002</v>
      </c>
      <c r="N154" s="257">
        <v>2590502.2400000002</v>
      </c>
    </row>
    <row r="155" spans="1:14" s="143" customFormat="1" x14ac:dyDescent="0.25">
      <c r="A155" s="143" t="s">
        <v>274</v>
      </c>
      <c r="B155" s="143" t="s">
        <v>186</v>
      </c>
      <c r="C155" s="143" t="s">
        <v>187</v>
      </c>
      <c r="D155" s="143" t="s">
        <v>69</v>
      </c>
      <c r="E155" s="257">
        <v>15000000</v>
      </c>
      <c r="F155" s="257">
        <v>14483000</v>
      </c>
      <c r="G155" s="257">
        <v>14483000</v>
      </c>
      <c r="H155" s="257">
        <v>0</v>
      </c>
      <c r="I155" s="257">
        <v>978430</v>
      </c>
      <c r="J155" s="257">
        <v>0</v>
      </c>
      <c r="K155" s="257">
        <v>12004509.5</v>
      </c>
      <c r="L155" s="257">
        <v>10828049.5</v>
      </c>
      <c r="M155" s="257">
        <v>1500060.5</v>
      </c>
      <c r="N155" s="257">
        <v>1500060.5</v>
      </c>
    </row>
    <row r="156" spans="1:14" s="143" customFormat="1" x14ac:dyDescent="0.25">
      <c r="A156" s="143" t="s">
        <v>274</v>
      </c>
      <c r="B156" s="143" t="s">
        <v>188</v>
      </c>
      <c r="C156" s="143" t="s">
        <v>189</v>
      </c>
      <c r="D156" s="143" t="s">
        <v>69</v>
      </c>
      <c r="E156" s="257">
        <v>5000000</v>
      </c>
      <c r="F156" s="257">
        <v>4492000</v>
      </c>
      <c r="G156" s="257">
        <v>4492000</v>
      </c>
      <c r="H156" s="257">
        <v>0</v>
      </c>
      <c r="I156" s="257">
        <v>357700</v>
      </c>
      <c r="J156" s="257">
        <v>0</v>
      </c>
      <c r="K156" s="257">
        <v>2959079</v>
      </c>
      <c r="L156" s="257">
        <v>2866779</v>
      </c>
      <c r="M156" s="257">
        <v>1175221</v>
      </c>
      <c r="N156" s="257">
        <v>1175221</v>
      </c>
    </row>
    <row r="157" spans="1:14" s="143" customFormat="1" x14ac:dyDescent="0.25">
      <c r="A157" s="143" t="s">
        <v>274</v>
      </c>
      <c r="B157" s="143" t="s">
        <v>192</v>
      </c>
      <c r="C157" s="143" t="s">
        <v>193</v>
      </c>
      <c r="D157" s="143" t="s">
        <v>69</v>
      </c>
      <c r="E157" s="257">
        <v>10000000</v>
      </c>
      <c r="F157" s="257">
        <v>9991000</v>
      </c>
      <c r="G157" s="257">
        <v>9991000</v>
      </c>
      <c r="H157" s="257">
        <v>0</v>
      </c>
      <c r="I157" s="257">
        <v>620730</v>
      </c>
      <c r="J157" s="257">
        <v>0</v>
      </c>
      <c r="K157" s="257">
        <v>9045430.5</v>
      </c>
      <c r="L157" s="257">
        <v>7961270.5</v>
      </c>
      <c r="M157" s="257">
        <v>324839.5</v>
      </c>
      <c r="N157" s="257">
        <v>324839.5</v>
      </c>
    </row>
    <row r="158" spans="1:14" s="143" customFormat="1" x14ac:dyDescent="0.25">
      <c r="A158" s="143" t="s">
        <v>274</v>
      </c>
      <c r="B158" s="143" t="s">
        <v>196</v>
      </c>
      <c r="C158" s="143" t="s">
        <v>197</v>
      </c>
      <c r="D158" s="143" t="s">
        <v>69</v>
      </c>
      <c r="E158" s="257">
        <v>3000000</v>
      </c>
      <c r="F158" s="257">
        <v>3600000</v>
      </c>
      <c r="G158" s="257">
        <v>3600000</v>
      </c>
      <c r="H158" s="257">
        <v>0</v>
      </c>
      <c r="I158" s="257">
        <v>96000</v>
      </c>
      <c r="J158" s="257">
        <v>0</v>
      </c>
      <c r="K158" s="257">
        <v>3413165</v>
      </c>
      <c r="L158" s="257">
        <v>2913485</v>
      </c>
      <c r="M158" s="257">
        <v>90835</v>
      </c>
      <c r="N158" s="257">
        <v>90835</v>
      </c>
    </row>
    <row r="159" spans="1:14" s="143" customFormat="1" x14ac:dyDescent="0.25">
      <c r="A159" s="143" t="s">
        <v>274</v>
      </c>
      <c r="B159" s="143" t="s">
        <v>198</v>
      </c>
      <c r="C159" s="143" t="s">
        <v>199</v>
      </c>
      <c r="D159" s="143" t="s">
        <v>69</v>
      </c>
      <c r="E159" s="257">
        <v>3000000</v>
      </c>
      <c r="F159" s="257">
        <v>3600000</v>
      </c>
      <c r="G159" s="257">
        <v>3600000</v>
      </c>
      <c r="H159" s="257">
        <v>0</v>
      </c>
      <c r="I159" s="257">
        <v>96000</v>
      </c>
      <c r="J159" s="257">
        <v>0</v>
      </c>
      <c r="K159" s="257">
        <v>3413165</v>
      </c>
      <c r="L159" s="257">
        <v>2913485</v>
      </c>
      <c r="M159" s="257">
        <v>90835</v>
      </c>
      <c r="N159" s="257">
        <v>90835</v>
      </c>
    </row>
    <row r="160" spans="1:14" s="143" customFormat="1" x14ac:dyDescent="0.25">
      <c r="A160" s="143" t="s">
        <v>274</v>
      </c>
      <c r="B160" s="143" t="s">
        <v>200</v>
      </c>
      <c r="C160" s="143" t="s">
        <v>201</v>
      </c>
      <c r="D160" s="143" t="s">
        <v>69</v>
      </c>
      <c r="E160" s="257">
        <v>827000</v>
      </c>
      <c r="F160" s="257">
        <v>811000</v>
      </c>
      <c r="G160" s="257">
        <v>811000</v>
      </c>
      <c r="H160" s="257">
        <v>0</v>
      </c>
      <c r="I160" s="257">
        <v>105430</v>
      </c>
      <c r="J160" s="257">
        <v>0</v>
      </c>
      <c r="K160" s="257">
        <v>662490.84</v>
      </c>
      <c r="L160" s="257">
        <v>662490.84</v>
      </c>
      <c r="M160" s="257">
        <v>43079.16</v>
      </c>
      <c r="N160" s="257">
        <v>43079.16</v>
      </c>
    </row>
    <row r="161" spans="1:14" s="143" customFormat="1" x14ac:dyDescent="0.25">
      <c r="A161" s="143" t="s">
        <v>274</v>
      </c>
      <c r="B161" s="143" t="s">
        <v>202</v>
      </c>
      <c r="C161" s="143" t="s">
        <v>203</v>
      </c>
      <c r="D161" s="143" t="s">
        <v>69</v>
      </c>
      <c r="E161" s="257">
        <v>811000</v>
      </c>
      <c r="F161" s="257">
        <v>811000</v>
      </c>
      <c r="G161" s="257">
        <v>811000</v>
      </c>
      <c r="H161" s="257">
        <v>0</v>
      </c>
      <c r="I161" s="257">
        <v>105430</v>
      </c>
      <c r="J161" s="257">
        <v>0</v>
      </c>
      <c r="K161" s="257">
        <v>662490.84</v>
      </c>
      <c r="L161" s="257">
        <v>662490.84</v>
      </c>
      <c r="M161" s="257">
        <v>43079.16</v>
      </c>
      <c r="N161" s="257">
        <v>43079.16</v>
      </c>
    </row>
    <row r="162" spans="1:14" s="143" customFormat="1" x14ac:dyDescent="0.25">
      <c r="A162" s="143" t="s">
        <v>274</v>
      </c>
      <c r="B162" s="143" t="s">
        <v>204</v>
      </c>
      <c r="C162" s="143" t="s">
        <v>205</v>
      </c>
      <c r="D162" s="143" t="s">
        <v>69</v>
      </c>
      <c r="E162" s="257">
        <v>16000</v>
      </c>
      <c r="F162" s="257">
        <v>0</v>
      </c>
      <c r="G162" s="257">
        <v>0</v>
      </c>
      <c r="H162" s="257">
        <v>0</v>
      </c>
      <c r="I162" s="257">
        <v>0</v>
      </c>
      <c r="J162" s="257">
        <v>0</v>
      </c>
      <c r="K162" s="257">
        <v>0</v>
      </c>
      <c r="L162" s="257">
        <v>0</v>
      </c>
      <c r="M162" s="257">
        <v>0</v>
      </c>
      <c r="N162" s="257">
        <v>0</v>
      </c>
    </row>
    <row r="163" spans="1:14" s="143" customFormat="1" x14ac:dyDescent="0.25">
      <c r="A163" s="143" t="s">
        <v>274</v>
      </c>
      <c r="B163" s="143" t="s">
        <v>206</v>
      </c>
      <c r="C163" s="143" t="s">
        <v>207</v>
      </c>
      <c r="D163" s="143" t="s">
        <v>69</v>
      </c>
      <c r="E163" s="257">
        <v>3000000</v>
      </c>
      <c r="F163" s="257">
        <v>2987000</v>
      </c>
      <c r="G163" s="257">
        <v>2987000</v>
      </c>
      <c r="H163" s="257">
        <v>0</v>
      </c>
      <c r="I163" s="257">
        <v>0</v>
      </c>
      <c r="J163" s="257">
        <v>0</v>
      </c>
      <c r="K163" s="257">
        <v>2600665.38</v>
      </c>
      <c r="L163" s="257">
        <v>1606540.38</v>
      </c>
      <c r="M163" s="257">
        <v>386334.62</v>
      </c>
      <c r="N163" s="257">
        <v>386334.62</v>
      </c>
    </row>
    <row r="164" spans="1:14" s="143" customFormat="1" x14ac:dyDescent="0.25">
      <c r="A164" s="143" t="s">
        <v>274</v>
      </c>
      <c r="B164" s="143" t="s">
        <v>208</v>
      </c>
      <c r="C164" s="143" t="s">
        <v>209</v>
      </c>
      <c r="D164" s="143" t="s">
        <v>69</v>
      </c>
      <c r="E164" s="257">
        <v>2000000</v>
      </c>
      <c r="F164" s="257">
        <v>1987000</v>
      </c>
      <c r="G164" s="257">
        <v>1987000</v>
      </c>
      <c r="H164" s="257">
        <v>0</v>
      </c>
      <c r="I164" s="257">
        <v>0</v>
      </c>
      <c r="J164" s="257">
        <v>0</v>
      </c>
      <c r="K164" s="257">
        <v>1606540.38</v>
      </c>
      <c r="L164" s="257">
        <v>1606540.38</v>
      </c>
      <c r="M164" s="257">
        <v>380459.62</v>
      </c>
      <c r="N164" s="257">
        <v>380459.62</v>
      </c>
    </row>
    <row r="165" spans="1:14" s="143" customFormat="1" x14ac:dyDescent="0.25">
      <c r="A165" s="143" t="s">
        <v>274</v>
      </c>
      <c r="B165" s="143" t="s">
        <v>210</v>
      </c>
      <c r="C165" s="143" t="s">
        <v>211</v>
      </c>
      <c r="D165" s="143" t="s">
        <v>69</v>
      </c>
      <c r="E165" s="257">
        <v>1000000</v>
      </c>
      <c r="F165" s="257">
        <v>1000000</v>
      </c>
      <c r="G165" s="257">
        <v>1000000</v>
      </c>
      <c r="H165" s="257">
        <v>0</v>
      </c>
      <c r="I165" s="257">
        <v>0</v>
      </c>
      <c r="J165" s="257">
        <v>0</v>
      </c>
      <c r="K165" s="257">
        <v>994125</v>
      </c>
      <c r="L165" s="257">
        <v>0</v>
      </c>
      <c r="M165" s="257">
        <v>5875</v>
      </c>
      <c r="N165" s="257">
        <v>5875</v>
      </c>
    </row>
    <row r="166" spans="1:14" s="143" customFormat="1" x14ac:dyDescent="0.25">
      <c r="A166" s="143" t="s">
        <v>274</v>
      </c>
      <c r="B166" s="143" t="s">
        <v>212</v>
      </c>
      <c r="C166" s="143" t="s">
        <v>831</v>
      </c>
      <c r="D166" s="143" t="s">
        <v>69</v>
      </c>
      <c r="E166" s="257">
        <v>5100000</v>
      </c>
      <c r="F166" s="257">
        <v>5100000</v>
      </c>
      <c r="G166" s="257">
        <v>5100000</v>
      </c>
      <c r="H166" s="257">
        <v>0</v>
      </c>
      <c r="I166" s="257">
        <v>370342</v>
      </c>
      <c r="J166" s="257">
        <v>0</v>
      </c>
      <c r="K166" s="257">
        <v>4159465.04</v>
      </c>
      <c r="L166" s="257">
        <v>4087825.04</v>
      </c>
      <c r="M166" s="257">
        <v>570192.96</v>
      </c>
      <c r="N166" s="257">
        <v>570192.96</v>
      </c>
    </row>
    <row r="167" spans="1:14" s="143" customFormat="1" x14ac:dyDescent="0.25">
      <c r="A167" s="143" t="s">
        <v>274</v>
      </c>
      <c r="B167" s="143" t="s">
        <v>214</v>
      </c>
      <c r="C167" s="143" t="s">
        <v>215</v>
      </c>
      <c r="D167" s="143" t="s">
        <v>69</v>
      </c>
      <c r="E167" s="257">
        <v>2000000</v>
      </c>
      <c r="F167" s="257">
        <v>2000000</v>
      </c>
      <c r="G167" s="257">
        <v>2000000</v>
      </c>
      <c r="H167" s="257">
        <v>0</v>
      </c>
      <c r="I167" s="257">
        <v>0</v>
      </c>
      <c r="J167" s="257">
        <v>0</v>
      </c>
      <c r="K167" s="257">
        <v>1853270.45</v>
      </c>
      <c r="L167" s="257">
        <v>1853270.45</v>
      </c>
      <c r="M167" s="257">
        <v>146729.54999999999</v>
      </c>
      <c r="N167" s="257">
        <v>146729.54999999999</v>
      </c>
    </row>
    <row r="168" spans="1:14" s="143" customFormat="1" x14ac:dyDescent="0.25">
      <c r="A168" s="143" t="s">
        <v>274</v>
      </c>
      <c r="B168" s="143" t="s">
        <v>218</v>
      </c>
      <c r="C168" s="143" t="s">
        <v>219</v>
      </c>
      <c r="D168" s="143" t="s">
        <v>69</v>
      </c>
      <c r="E168" s="257">
        <v>2300000</v>
      </c>
      <c r="F168" s="257">
        <v>2300000</v>
      </c>
      <c r="G168" s="257">
        <v>2300000</v>
      </c>
      <c r="H168" s="257">
        <v>0</v>
      </c>
      <c r="I168" s="257">
        <v>125100</v>
      </c>
      <c r="J168" s="257">
        <v>0</v>
      </c>
      <c r="K168" s="257">
        <v>2162754.59</v>
      </c>
      <c r="L168" s="257">
        <v>2162754.59</v>
      </c>
      <c r="M168" s="257">
        <v>12145.41</v>
      </c>
      <c r="N168" s="257">
        <v>12145.41</v>
      </c>
    </row>
    <row r="169" spans="1:14" s="143" customFormat="1" x14ac:dyDescent="0.25">
      <c r="A169" s="143" t="s">
        <v>274</v>
      </c>
      <c r="B169" s="143" t="s">
        <v>222</v>
      </c>
      <c r="C169" s="143" t="s">
        <v>223</v>
      </c>
      <c r="D169" s="143" t="s">
        <v>69</v>
      </c>
      <c r="E169" s="257">
        <v>700000</v>
      </c>
      <c r="F169" s="257">
        <v>700000</v>
      </c>
      <c r="G169" s="257">
        <v>700000</v>
      </c>
      <c r="H169" s="257">
        <v>0</v>
      </c>
      <c r="I169" s="257">
        <v>245242</v>
      </c>
      <c r="J169" s="257">
        <v>0</v>
      </c>
      <c r="K169" s="257">
        <v>143440</v>
      </c>
      <c r="L169" s="257">
        <v>71800</v>
      </c>
      <c r="M169" s="257">
        <v>311318</v>
      </c>
      <c r="N169" s="257">
        <v>311318</v>
      </c>
    </row>
    <row r="170" spans="1:14" s="143" customFormat="1" x14ac:dyDescent="0.25">
      <c r="A170" s="143" t="s">
        <v>274</v>
      </c>
      <c r="B170" s="143" t="s">
        <v>228</v>
      </c>
      <c r="C170" s="143" t="s">
        <v>229</v>
      </c>
      <c r="D170" s="143" t="s">
        <v>69</v>
      </c>
      <c r="E170" s="257">
        <v>100000</v>
      </c>
      <c r="F170" s="257">
        <v>100000</v>
      </c>
      <c r="G170" s="257">
        <v>100000</v>
      </c>
      <c r="H170" s="257">
        <v>0</v>
      </c>
      <c r="I170" s="257">
        <v>0</v>
      </c>
      <c r="J170" s="257">
        <v>0</v>
      </c>
      <c r="K170" s="257">
        <v>0</v>
      </c>
      <c r="L170" s="257">
        <v>0</v>
      </c>
      <c r="M170" s="257">
        <v>100000</v>
      </c>
      <c r="N170" s="257">
        <v>100000</v>
      </c>
    </row>
    <row r="171" spans="1:14" s="143" customFormat="1" x14ac:dyDescent="0.25">
      <c r="A171" s="143" t="s">
        <v>274</v>
      </c>
      <c r="B171" s="143" t="s">
        <v>248</v>
      </c>
      <c r="C171" s="143" t="s">
        <v>249</v>
      </c>
      <c r="D171" s="143" t="s">
        <v>69</v>
      </c>
      <c r="E171" s="257">
        <v>27808000</v>
      </c>
      <c r="F171" s="257">
        <v>32548000</v>
      </c>
      <c r="G171" s="257">
        <v>32548000</v>
      </c>
      <c r="H171" s="257">
        <v>0</v>
      </c>
      <c r="I171" s="257">
        <v>0</v>
      </c>
      <c r="J171" s="257">
        <v>0</v>
      </c>
      <c r="K171" s="257">
        <v>24840365.010000002</v>
      </c>
      <c r="L171" s="257">
        <v>24840365.010000002</v>
      </c>
      <c r="M171" s="257">
        <v>7707634.9900000002</v>
      </c>
      <c r="N171" s="257">
        <v>7707634.9900000002</v>
      </c>
    </row>
    <row r="172" spans="1:14" s="143" customFormat="1" x14ac:dyDescent="0.25">
      <c r="A172" s="143" t="s">
        <v>274</v>
      </c>
      <c r="B172" s="143" t="s">
        <v>250</v>
      </c>
      <c r="C172" s="143" t="s">
        <v>251</v>
      </c>
      <c r="D172" s="143" t="s">
        <v>69</v>
      </c>
      <c r="E172" s="257">
        <v>6808000</v>
      </c>
      <c r="F172" s="257">
        <v>6808000</v>
      </c>
      <c r="G172" s="257">
        <v>6808000</v>
      </c>
      <c r="H172" s="257">
        <v>0</v>
      </c>
      <c r="I172" s="257">
        <v>0</v>
      </c>
      <c r="J172" s="257">
        <v>0</v>
      </c>
      <c r="K172" s="257">
        <v>6104717</v>
      </c>
      <c r="L172" s="257">
        <v>6104717</v>
      </c>
      <c r="M172" s="257">
        <v>703283</v>
      </c>
      <c r="N172" s="257">
        <v>703283</v>
      </c>
    </row>
    <row r="173" spans="1:14" s="143" customFormat="1" x14ac:dyDescent="0.25">
      <c r="A173" s="143" t="s">
        <v>274</v>
      </c>
      <c r="B173" s="143" t="s">
        <v>284</v>
      </c>
      <c r="C173" s="143" t="s">
        <v>832</v>
      </c>
      <c r="D173" s="143" t="s">
        <v>69</v>
      </c>
      <c r="E173" s="257">
        <v>4757000</v>
      </c>
      <c r="F173" s="257">
        <v>4757000</v>
      </c>
      <c r="G173" s="257">
        <v>4757000</v>
      </c>
      <c r="H173" s="257">
        <v>0</v>
      </c>
      <c r="I173" s="257">
        <v>0</v>
      </c>
      <c r="J173" s="257">
        <v>0</v>
      </c>
      <c r="K173" s="257">
        <v>4498635</v>
      </c>
      <c r="L173" s="257">
        <v>4498635</v>
      </c>
      <c r="M173" s="257">
        <v>258365</v>
      </c>
      <c r="N173" s="257">
        <v>258365</v>
      </c>
    </row>
    <row r="174" spans="1:14" s="143" customFormat="1" x14ac:dyDescent="0.25">
      <c r="A174" s="143" t="s">
        <v>274</v>
      </c>
      <c r="B174" s="143" t="s">
        <v>285</v>
      </c>
      <c r="C174" s="143" t="s">
        <v>833</v>
      </c>
      <c r="D174" s="143" t="s">
        <v>69</v>
      </c>
      <c r="E174" s="257">
        <v>2051000</v>
      </c>
      <c r="F174" s="257">
        <v>2051000</v>
      </c>
      <c r="G174" s="257">
        <v>2051000</v>
      </c>
      <c r="H174" s="257">
        <v>0</v>
      </c>
      <c r="I174" s="257">
        <v>0</v>
      </c>
      <c r="J174" s="257">
        <v>0</v>
      </c>
      <c r="K174" s="257">
        <v>1606082</v>
      </c>
      <c r="L174" s="257">
        <v>1606082</v>
      </c>
      <c r="M174" s="257">
        <v>444918</v>
      </c>
      <c r="N174" s="257">
        <v>444918</v>
      </c>
    </row>
    <row r="175" spans="1:14" s="143" customFormat="1" x14ac:dyDescent="0.25">
      <c r="A175" s="143" t="s">
        <v>274</v>
      </c>
      <c r="B175" s="143" t="s">
        <v>260</v>
      </c>
      <c r="C175" s="143" t="s">
        <v>261</v>
      </c>
      <c r="D175" s="143" t="s">
        <v>69</v>
      </c>
      <c r="E175" s="257">
        <v>18000000</v>
      </c>
      <c r="F175" s="257">
        <v>22740000</v>
      </c>
      <c r="G175" s="257">
        <v>22740000</v>
      </c>
      <c r="H175" s="257">
        <v>0</v>
      </c>
      <c r="I175" s="257">
        <v>0</v>
      </c>
      <c r="J175" s="257">
        <v>0</v>
      </c>
      <c r="K175" s="257">
        <v>16760108.890000001</v>
      </c>
      <c r="L175" s="257">
        <v>16760108.890000001</v>
      </c>
      <c r="M175" s="257">
        <v>5979891.1100000003</v>
      </c>
      <c r="N175" s="257">
        <v>5979891.1100000003</v>
      </c>
    </row>
    <row r="176" spans="1:14" s="143" customFormat="1" x14ac:dyDescent="0.25">
      <c r="A176" s="143" t="s">
        <v>274</v>
      </c>
      <c r="B176" s="143" t="s">
        <v>262</v>
      </c>
      <c r="C176" s="143" t="s">
        <v>263</v>
      </c>
      <c r="D176" s="143" t="s">
        <v>69</v>
      </c>
      <c r="E176" s="257">
        <v>11000000</v>
      </c>
      <c r="F176" s="257">
        <v>15740000</v>
      </c>
      <c r="G176" s="257">
        <v>15740000</v>
      </c>
      <c r="H176" s="257">
        <v>0</v>
      </c>
      <c r="I176" s="257">
        <v>0</v>
      </c>
      <c r="J176" s="257">
        <v>0</v>
      </c>
      <c r="K176" s="257">
        <v>15738128.390000001</v>
      </c>
      <c r="L176" s="257">
        <v>15738128.390000001</v>
      </c>
      <c r="M176" s="257">
        <v>1871.61</v>
      </c>
      <c r="N176" s="257">
        <v>1871.61</v>
      </c>
    </row>
    <row r="177" spans="1:14" s="143" customFormat="1" x14ac:dyDescent="0.25">
      <c r="A177" s="143" t="s">
        <v>274</v>
      </c>
      <c r="B177" s="143" t="s">
        <v>264</v>
      </c>
      <c r="C177" s="143" t="s">
        <v>265</v>
      </c>
      <c r="D177" s="143" t="s">
        <v>69</v>
      </c>
      <c r="E177" s="257">
        <v>7000000</v>
      </c>
      <c r="F177" s="257">
        <v>7000000</v>
      </c>
      <c r="G177" s="257">
        <v>7000000</v>
      </c>
      <c r="H177" s="257">
        <v>0</v>
      </c>
      <c r="I177" s="257">
        <v>0</v>
      </c>
      <c r="J177" s="257">
        <v>0</v>
      </c>
      <c r="K177" s="257">
        <v>1021980.5</v>
      </c>
      <c r="L177" s="257">
        <v>1021980.5</v>
      </c>
      <c r="M177" s="257">
        <v>5978019.5</v>
      </c>
      <c r="N177" s="257">
        <v>5978019.5</v>
      </c>
    </row>
    <row r="178" spans="1:14" s="143" customFormat="1" x14ac:dyDescent="0.25">
      <c r="A178" s="143" t="s">
        <v>274</v>
      </c>
      <c r="B178" s="143" t="s">
        <v>286</v>
      </c>
      <c r="C178" s="143" t="s">
        <v>287</v>
      </c>
      <c r="D178" s="143" t="s">
        <v>69</v>
      </c>
      <c r="E178" s="257">
        <v>3000000</v>
      </c>
      <c r="F178" s="257">
        <v>3000000</v>
      </c>
      <c r="G178" s="257">
        <v>3000000</v>
      </c>
      <c r="H178" s="257">
        <v>0</v>
      </c>
      <c r="I178" s="257">
        <v>0</v>
      </c>
      <c r="J178" s="257">
        <v>0</v>
      </c>
      <c r="K178" s="257">
        <v>1975539.12</v>
      </c>
      <c r="L178" s="257">
        <v>1975539.12</v>
      </c>
      <c r="M178" s="257">
        <v>1024460.88</v>
      </c>
      <c r="N178" s="257">
        <v>1024460.88</v>
      </c>
    </row>
    <row r="179" spans="1:14" s="143" customFormat="1" x14ac:dyDescent="0.25">
      <c r="A179" s="143" t="s">
        <v>274</v>
      </c>
      <c r="B179" s="143" t="s">
        <v>288</v>
      </c>
      <c r="C179" s="143" t="s">
        <v>289</v>
      </c>
      <c r="D179" s="143" t="s">
        <v>69</v>
      </c>
      <c r="E179" s="257">
        <v>3000000</v>
      </c>
      <c r="F179" s="257">
        <v>3000000</v>
      </c>
      <c r="G179" s="257">
        <v>3000000</v>
      </c>
      <c r="H179" s="257">
        <v>0</v>
      </c>
      <c r="I179" s="257">
        <v>0</v>
      </c>
      <c r="J179" s="257">
        <v>0</v>
      </c>
      <c r="K179" s="257">
        <v>1975539.12</v>
      </c>
      <c r="L179" s="257">
        <v>1975539.12</v>
      </c>
      <c r="M179" s="257">
        <v>1024460.88</v>
      </c>
      <c r="N179" s="257">
        <v>1024460.88</v>
      </c>
    </row>
    <row r="180" spans="1:14" s="143" customFormat="1" x14ac:dyDescent="0.25">
      <c r="A180" s="143" t="s">
        <v>274</v>
      </c>
      <c r="B180" s="143" t="s">
        <v>678</v>
      </c>
      <c r="C180" s="143" t="s">
        <v>679</v>
      </c>
      <c r="D180" s="143" t="s">
        <v>69</v>
      </c>
      <c r="E180" s="257">
        <v>0</v>
      </c>
      <c r="F180" s="257">
        <v>5652000</v>
      </c>
      <c r="G180" s="257">
        <v>5652000</v>
      </c>
      <c r="H180" s="257">
        <v>0</v>
      </c>
      <c r="I180" s="257">
        <v>0</v>
      </c>
      <c r="J180" s="257">
        <v>0</v>
      </c>
      <c r="K180" s="257">
        <v>0</v>
      </c>
      <c r="L180" s="257">
        <v>0</v>
      </c>
      <c r="M180" s="257">
        <v>5652000</v>
      </c>
      <c r="N180" s="257">
        <v>5652000</v>
      </c>
    </row>
    <row r="181" spans="1:14" s="143" customFormat="1" x14ac:dyDescent="0.25">
      <c r="A181" s="143" t="s">
        <v>274</v>
      </c>
      <c r="B181" s="143" t="s">
        <v>680</v>
      </c>
      <c r="C181" s="143" t="s">
        <v>681</v>
      </c>
      <c r="D181" s="143" t="s">
        <v>69</v>
      </c>
      <c r="E181" s="257">
        <v>0</v>
      </c>
      <c r="F181" s="257">
        <v>5652000</v>
      </c>
      <c r="G181" s="257">
        <v>5652000</v>
      </c>
      <c r="H181" s="257">
        <v>0</v>
      </c>
      <c r="I181" s="257">
        <v>0</v>
      </c>
      <c r="J181" s="257">
        <v>0</v>
      </c>
      <c r="K181" s="257">
        <v>0</v>
      </c>
      <c r="L181" s="257">
        <v>0</v>
      </c>
      <c r="M181" s="257">
        <v>5652000</v>
      </c>
      <c r="N181" s="257">
        <v>5652000</v>
      </c>
    </row>
    <row r="182" spans="1:14" s="143" customFormat="1" x14ac:dyDescent="0.25">
      <c r="A182" s="143" t="s">
        <v>274</v>
      </c>
      <c r="B182" s="143" t="s">
        <v>682</v>
      </c>
      <c r="C182" s="143" t="s">
        <v>683</v>
      </c>
      <c r="D182" s="143" t="s">
        <v>69</v>
      </c>
      <c r="E182" s="257">
        <v>0</v>
      </c>
      <c r="F182" s="257">
        <v>5652000</v>
      </c>
      <c r="G182" s="257">
        <v>5652000</v>
      </c>
      <c r="H182" s="257">
        <v>0</v>
      </c>
      <c r="I182" s="257">
        <v>0</v>
      </c>
      <c r="J182" s="257">
        <v>0</v>
      </c>
      <c r="K182" s="257">
        <v>0</v>
      </c>
      <c r="L182" s="257">
        <v>0</v>
      </c>
      <c r="M182" s="257">
        <v>5652000</v>
      </c>
      <c r="N182" s="257">
        <v>5652000</v>
      </c>
    </row>
    <row r="183" spans="1:14" s="143" customFormat="1" x14ac:dyDescent="0.25">
      <c r="A183" s="143" t="s">
        <v>274</v>
      </c>
      <c r="B183" s="143" t="s">
        <v>230</v>
      </c>
      <c r="C183" s="143" t="s">
        <v>231</v>
      </c>
      <c r="D183" s="143" t="s">
        <v>85</v>
      </c>
      <c r="E183" s="257">
        <v>3800000</v>
      </c>
      <c r="F183" s="257">
        <v>3792000</v>
      </c>
      <c r="G183" s="257">
        <v>3792000</v>
      </c>
      <c r="H183" s="257">
        <v>0</v>
      </c>
      <c r="I183" s="257">
        <v>0</v>
      </c>
      <c r="J183" s="257">
        <v>0</v>
      </c>
      <c r="K183" s="257">
        <v>3688269.22</v>
      </c>
      <c r="L183" s="257">
        <v>3688269.22</v>
      </c>
      <c r="M183" s="257">
        <v>103730.78</v>
      </c>
      <c r="N183" s="257">
        <v>103730.78</v>
      </c>
    </row>
    <row r="184" spans="1:14" s="143" customFormat="1" x14ac:dyDescent="0.25">
      <c r="A184" s="143" t="s">
        <v>274</v>
      </c>
      <c r="B184" s="143" t="s">
        <v>232</v>
      </c>
      <c r="C184" s="143" t="s">
        <v>233</v>
      </c>
      <c r="D184" s="143" t="s">
        <v>85</v>
      </c>
      <c r="E184" s="257">
        <v>3800000</v>
      </c>
      <c r="F184" s="257">
        <v>3792000</v>
      </c>
      <c r="G184" s="257">
        <v>3792000</v>
      </c>
      <c r="H184" s="257">
        <v>0</v>
      </c>
      <c r="I184" s="257">
        <v>0</v>
      </c>
      <c r="J184" s="257">
        <v>0</v>
      </c>
      <c r="K184" s="257">
        <v>3688269.22</v>
      </c>
      <c r="L184" s="257">
        <v>3688269.22</v>
      </c>
      <c r="M184" s="257">
        <v>103730.78</v>
      </c>
      <c r="N184" s="257">
        <v>103730.78</v>
      </c>
    </row>
    <row r="185" spans="1:14" s="143" customFormat="1" x14ac:dyDescent="0.25">
      <c r="A185" s="143" t="s">
        <v>274</v>
      </c>
      <c r="B185" s="143" t="s">
        <v>236</v>
      </c>
      <c r="C185" s="143" t="s">
        <v>237</v>
      </c>
      <c r="D185" s="143" t="s">
        <v>85</v>
      </c>
      <c r="E185" s="257">
        <v>1000000</v>
      </c>
      <c r="F185" s="257">
        <v>1016000</v>
      </c>
      <c r="G185" s="257">
        <v>1016000</v>
      </c>
      <c r="H185" s="257">
        <v>0</v>
      </c>
      <c r="I185" s="257">
        <v>0</v>
      </c>
      <c r="J185" s="257">
        <v>0</v>
      </c>
      <c r="K185" s="257">
        <v>1015139.92</v>
      </c>
      <c r="L185" s="257">
        <v>1015139.92</v>
      </c>
      <c r="M185" s="257">
        <v>860.08</v>
      </c>
      <c r="N185" s="257">
        <v>860.08</v>
      </c>
    </row>
    <row r="186" spans="1:14" s="143" customFormat="1" x14ac:dyDescent="0.25">
      <c r="A186" s="143" t="s">
        <v>274</v>
      </c>
      <c r="B186" s="143" t="s">
        <v>238</v>
      </c>
      <c r="C186" s="143" t="s">
        <v>239</v>
      </c>
      <c r="D186" s="143" t="s">
        <v>85</v>
      </c>
      <c r="E186" s="257">
        <v>2000000</v>
      </c>
      <c r="F186" s="257">
        <v>1980000</v>
      </c>
      <c r="G186" s="257">
        <v>1980000</v>
      </c>
      <c r="H186" s="257">
        <v>0</v>
      </c>
      <c r="I186" s="257">
        <v>0</v>
      </c>
      <c r="J186" s="257">
        <v>0</v>
      </c>
      <c r="K186" s="257">
        <v>1961465.3</v>
      </c>
      <c r="L186" s="257">
        <v>1961465.3</v>
      </c>
      <c r="M186" s="257">
        <v>18534.7</v>
      </c>
      <c r="N186" s="257">
        <v>18534.7</v>
      </c>
    </row>
    <row r="187" spans="1:14" s="143" customFormat="1" x14ac:dyDescent="0.25">
      <c r="A187" s="143" t="s">
        <v>274</v>
      </c>
      <c r="B187" s="143" t="s">
        <v>240</v>
      </c>
      <c r="C187" s="143" t="s">
        <v>241</v>
      </c>
      <c r="D187" s="143" t="s">
        <v>85</v>
      </c>
      <c r="E187" s="257">
        <v>300000</v>
      </c>
      <c r="F187" s="257">
        <v>296000</v>
      </c>
      <c r="G187" s="257">
        <v>296000</v>
      </c>
      <c r="H187" s="257">
        <v>0</v>
      </c>
      <c r="I187" s="257">
        <v>0</v>
      </c>
      <c r="J187" s="257">
        <v>0</v>
      </c>
      <c r="K187" s="257">
        <v>295119</v>
      </c>
      <c r="L187" s="257">
        <v>295119</v>
      </c>
      <c r="M187" s="257">
        <v>881</v>
      </c>
      <c r="N187" s="257">
        <v>881</v>
      </c>
    </row>
    <row r="188" spans="1:14" s="143" customFormat="1" x14ac:dyDescent="0.25">
      <c r="A188" s="143" t="s">
        <v>274</v>
      </c>
      <c r="B188" s="143" t="s">
        <v>242</v>
      </c>
      <c r="C188" s="143" t="s">
        <v>243</v>
      </c>
      <c r="D188" s="143" t="s">
        <v>85</v>
      </c>
      <c r="E188" s="257">
        <v>500000</v>
      </c>
      <c r="F188" s="257">
        <v>500000</v>
      </c>
      <c r="G188" s="257">
        <v>500000</v>
      </c>
      <c r="H188" s="257">
        <v>0</v>
      </c>
      <c r="I188" s="257">
        <v>0</v>
      </c>
      <c r="J188" s="257">
        <v>0</v>
      </c>
      <c r="K188" s="257">
        <v>416545</v>
      </c>
      <c r="L188" s="257">
        <v>416545</v>
      </c>
      <c r="M188" s="257">
        <v>83455</v>
      </c>
      <c r="N188" s="257">
        <v>83455</v>
      </c>
    </row>
    <row r="189" spans="1:14" s="143" customFormat="1" x14ac:dyDescent="0.25">
      <c r="A189" s="143">
        <v>214781</v>
      </c>
      <c r="D189" s="143" t="s">
        <v>69</v>
      </c>
      <c r="E189" s="257">
        <v>11471881000</v>
      </c>
      <c r="F189" s="257">
        <v>10740968852</v>
      </c>
      <c r="G189" s="257">
        <v>10740968852</v>
      </c>
      <c r="H189" s="257">
        <v>0</v>
      </c>
      <c r="I189" s="257">
        <v>92419661.390000001</v>
      </c>
      <c r="J189" s="257">
        <v>0</v>
      </c>
      <c r="K189" s="257">
        <v>9843333943.6599998</v>
      </c>
      <c r="L189" s="257">
        <v>9320170378.5400009</v>
      </c>
      <c r="M189" s="257">
        <v>805215246.95000005</v>
      </c>
      <c r="N189" s="257">
        <v>805215246.95000005</v>
      </c>
    </row>
    <row r="190" spans="1:14" s="143" customFormat="1" x14ac:dyDescent="0.25">
      <c r="A190" s="143" t="s">
        <v>290</v>
      </c>
      <c r="B190" s="143" t="s">
        <v>71</v>
      </c>
      <c r="C190" s="143" t="s">
        <v>72</v>
      </c>
      <c r="D190" s="143" t="s">
        <v>69</v>
      </c>
      <c r="E190" s="257">
        <v>9297872000</v>
      </c>
      <c r="F190" s="257">
        <v>8579375411</v>
      </c>
      <c r="G190" s="257">
        <v>8579375411</v>
      </c>
      <c r="H190" s="257">
        <v>0</v>
      </c>
      <c r="I190" s="257">
        <v>0</v>
      </c>
      <c r="J190" s="257">
        <v>0</v>
      </c>
      <c r="K190" s="257">
        <v>8092653556.1000004</v>
      </c>
      <c r="L190" s="257">
        <v>8092653556.1000004</v>
      </c>
      <c r="M190" s="257">
        <v>486721854.89999998</v>
      </c>
      <c r="N190" s="257">
        <v>486721854.89999998</v>
      </c>
    </row>
    <row r="191" spans="1:14" s="143" customFormat="1" x14ac:dyDescent="0.25">
      <c r="A191" s="143" t="s">
        <v>290</v>
      </c>
      <c r="B191" s="143" t="s">
        <v>73</v>
      </c>
      <c r="C191" s="143" t="s">
        <v>74</v>
      </c>
      <c r="D191" s="143" t="s">
        <v>69</v>
      </c>
      <c r="E191" s="257">
        <v>3269433000</v>
      </c>
      <c r="F191" s="257">
        <v>2952648960</v>
      </c>
      <c r="G191" s="257">
        <v>2952648960</v>
      </c>
      <c r="H191" s="257">
        <v>0</v>
      </c>
      <c r="I191" s="257">
        <v>0</v>
      </c>
      <c r="J191" s="257">
        <v>0</v>
      </c>
      <c r="K191" s="257">
        <v>2798626505.3899999</v>
      </c>
      <c r="L191" s="257">
        <v>2798626505.3899999</v>
      </c>
      <c r="M191" s="257">
        <v>154022454.61000001</v>
      </c>
      <c r="N191" s="257">
        <v>154022454.61000001</v>
      </c>
    </row>
    <row r="192" spans="1:14" s="143" customFormat="1" x14ac:dyDescent="0.25">
      <c r="A192" s="143" t="s">
        <v>290</v>
      </c>
      <c r="B192" s="143" t="s">
        <v>75</v>
      </c>
      <c r="C192" s="143" t="s">
        <v>76</v>
      </c>
      <c r="D192" s="143" t="s">
        <v>69</v>
      </c>
      <c r="E192" s="257">
        <v>3264433000</v>
      </c>
      <c r="F192" s="257">
        <v>2950148960</v>
      </c>
      <c r="G192" s="257">
        <v>2950148960</v>
      </c>
      <c r="H192" s="257">
        <v>0</v>
      </c>
      <c r="I192" s="257">
        <v>0</v>
      </c>
      <c r="J192" s="257">
        <v>0</v>
      </c>
      <c r="K192" s="257">
        <v>2798626505.3899999</v>
      </c>
      <c r="L192" s="257">
        <v>2798626505.3899999</v>
      </c>
      <c r="M192" s="257">
        <v>151522454.61000001</v>
      </c>
      <c r="N192" s="257">
        <v>151522454.61000001</v>
      </c>
    </row>
    <row r="193" spans="1:14" s="143" customFormat="1" x14ac:dyDescent="0.25">
      <c r="A193" s="143" t="s">
        <v>290</v>
      </c>
      <c r="B193" s="143" t="s">
        <v>291</v>
      </c>
      <c r="C193" s="143" t="s">
        <v>292</v>
      </c>
      <c r="D193" s="143" t="s">
        <v>69</v>
      </c>
      <c r="E193" s="257">
        <v>5000000</v>
      </c>
      <c r="F193" s="257">
        <v>2500000</v>
      </c>
      <c r="G193" s="257">
        <v>2500000</v>
      </c>
      <c r="H193" s="257">
        <v>0</v>
      </c>
      <c r="I193" s="257">
        <v>0</v>
      </c>
      <c r="J193" s="257">
        <v>0</v>
      </c>
      <c r="K193" s="257">
        <v>0</v>
      </c>
      <c r="L193" s="257">
        <v>0</v>
      </c>
      <c r="M193" s="257">
        <v>2500000</v>
      </c>
      <c r="N193" s="257">
        <v>2500000</v>
      </c>
    </row>
    <row r="194" spans="1:14" s="143" customFormat="1" x14ac:dyDescent="0.25">
      <c r="A194" s="143" t="s">
        <v>290</v>
      </c>
      <c r="B194" s="143" t="s">
        <v>293</v>
      </c>
      <c r="C194" s="143" t="s">
        <v>294</v>
      </c>
      <c r="D194" s="143" t="s">
        <v>69</v>
      </c>
      <c r="E194" s="257">
        <v>14000000</v>
      </c>
      <c r="F194" s="257">
        <v>11084920</v>
      </c>
      <c r="G194" s="257">
        <v>11084920</v>
      </c>
      <c r="H194" s="257">
        <v>0</v>
      </c>
      <c r="I194" s="257">
        <v>0</v>
      </c>
      <c r="J194" s="257">
        <v>0</v>
      </c>
      <c r="K194" s="257">
        <v>8979369.4000000004</v>
      </c>
      <c r="L194" s="257">
        <v>8979369.4000000004</v>
      </c>
      <c r="M194" s="257">
        <v>2105550.6</v>
      </c>
      <c r="N194" s="257">
        <v>2105550.6</v>
      </c>
    </row>
    <row r="195" spans="1:14" s="143" customFormat="1" x14ac:dyDescent="0.25">
      <c r="A195" s="143" t="s">
        <v>290</v>
      </c>
      <c r="B195" s="143" t="s">
        <v>295</v>
      </c>
      <c r="C195" s="143" t="s">
        <v>296</v>
      </c>
      <c r="D195" s="143" t="s">
        <v>69</v>
      </c>
      <c r="E195" s="257">
        <v>14000000</v>
      </c>
      <c r="F195" s="257">
        <v>11084920</v>
      </c>
      <c r="G195" s="257">
        <v>11084920</v>
      </c>
      <c r="H195" s="257">
        <v>0</v>
      </c>
      <c r="I195" s="257">
        <v>0</v>
      </c>
      <c r="J195" s="257">
        <v>0</v>
      </c>
      <c r="K195" s="257">
        <v>8979369.4000000004</v>
      </c>
      <c r="L195" s="257">
        <v>8979369.4000000004</v>
      </c>
      <c r="M195" s="257">
        <v>2105550.6</v>
      </c>
      <c r="N195" s="257">
        <v>2105550.6</v>
      </c>
    </row>
    <row r="196" spans="1:14" s="143" customFormat="1" x14ac:dyDescent="0.25">
      <c r="A196" s="143" t="s">
        <v>290</v>
      </c>
      <c r="B196" s="143" t="s">
        <v>77</v>
      </c>
      <c r="C196" s="143" t="s">
        <v>78</v>
      </c>
      <c r="D196" s="143" t="s">
        <v>69</v>
      </c>
      <c r="E196" s="257">
        <v>4603320000</v>
      </c>
      <c r="F196" s="257">
        <v>4303943922</v>
      </c>
      <c r="G196" s="257">
        <v>4303943922</v>
      </c>
      <c r="H196" s="257">
        <v>0</v>
      </c>
      <c r="I196" s="257">
        <v>0</v>
      </c>
      <c r="J196" s="257">
        <v>0</v>
      </c>
      <c r="K196" s="257">
        <v>4079579807.3099999</v>
      </c>
      <c r="L196" s="257">
        <v>4079579807.3099999</v>
      </c>
      <c r="M196" s="257">
        <v>224364114.69</v>
      </c>
      <c r="N196" s="257">
        <v>224364114.69</v>
      </c>
    </row>
    <row r="197" spans="1:14" s="143" customFormat="1" x14ac:dyDescent="0.25">
      <c r="A197" s="143" t="s">
        <v>290</v>
      </c>
      <c r="B197" s="143" t="s">
        <v>79</v>
      </c>
      <c r="C197" s="143" t="s">
        <v>80</v>
      </c>
      <c r="D197" s="143" t="s">
        <v>69</v>
      </c>
      <c r="E197" s="257">
        <v>848164000</v>
      </c>
      <c r="F197" s="257">
        <v>793278678</v>
      </c>
      <c r="G197" s="257">
        <v>793278678</v>
      </c>
      <c r="H197" s="257">
        <v>0</v>
      </c>
      <c r="I197" s="257">
        <v>0</v>
      </c>
      <c r="J197" s="257">
        <v>0</v>
      </c>
      <c r="K197" s="257">
        <v>733021615.07000005</v>
      </c>
      <c r="L197" s="257">
        <v>733021615.07000005</v>
      </c>
      <c r="M197" s="257">
        <v>60257062.93</v>
      </c>
      <c r="N197" s="257">
        <v>60257062.93</v>
      </c>
    </row>
    <row r="198" spans="1:14" s="143" customFormat="1" x14ac:dyDescent="0.25">
      <c r="A198" s="143" t="s">
        <v>290</v>
      </c>
      <c r="B198" s="143" t="s">
        <v>81</v>
      </c>
      <c r="C198" s="143" t="s">
        <v>82</v>
      </c>
      <c r="D198" s="143" t="s">
        <v>69</v>
      </c>
      <c r="E198" s="257">
        <v>2130281000</v>
      </c>
      <c r="F198" s="257">
        <v>1961959267</v>
      </c>
      <c r="G198" s="257">
        <v>1961959267</v>
      </c>
      <c r="H198" s="257">
        <v>0</v>
      </c>
      <c r="I198" s="257">
        <v>0</v>
      </c>
      <c r="J198" s="257">
        <v>0</v>
      </c>
      <c r="K198" s="257">
        <v>1840569063.1099999</v>
      </c>
      <c r="L198" s="257">
        <v>1840569063.1099999</v>
      </c>
      <c r="M198" s="257">
        <v>121390203.89</v>
      </c>
      <c r="N198" s="257">
        <v>121390203.89</v>
      </c>
    </row>
    <row r="199" spans="1:14" s="143" customFormat="1" x14ac:dyDescent="0.25">
      <c r="A199" s="143" t="s">
        <v>290</v>
      </c>
      <c r="B199" s="143" t="s">
        <v>86</v>
      </c>
      <c r="C199" s="143" t="s">
        <v>87</v>
      </c>
      <c r="D199" s="143" t="s">
        <v>69</v>
      </c>
      <c r="E199" s="257">
        <v>446946000</v>
      </c>
      <c r="F199" s="257">
        <v>455146000</v>
      </c>
      <c r="G199" s="257">
        <v>455146000</v>
      </c>
      <c r="H199" s="257">
        <v>0</v>
      </c>
      <c r="I199" s="257">
        <v>0</v>
      </c>
      <c r="J199" s="257">
        <v>0</v>
      </c>
      <c r="K199" s="257">
        <v>453774704.60000002</v>
      </c>
      <c r="L199" s="257">
        <v>453774704.60000002</v>
      </c>
      <c r="M199" s="257">
        <v>1371295.4</v>
      </c>
      <c r="N199" s="257">
        <v>1371295.4</v>
      </c>
    </row>
    <row r="200" spans="1:14" s="143" customFormat="1" x14ac:dyDescent="0.25">
      <c r="A200" s="143" t="s">
        <v>290</v>
      </c>
      <c r="B200" s="143" t="s">
        <v>88</v>
      </c>
      <c r="C200" s="143" t="s">
        <v>89</v>
      </c>
      <c r="D200" s="143" t="s">
        <v>69</v>
      </c>
      <c r="E200" s="257">
        <v>591313000</v>
      </c>
      <c r="F200" s="257">
        <v>554097888</v>
      </c>
      <c r="G200" s="257">
        <v>554097888</v>
      </c>
      <c r="H200" s="257">
        <v>0</v>
      </c>
      <c r="I200" s="257">
        <v>0</v>
      </c>
      <c r="J200" s="257">
        <v>0</v>
      </c>
      <c r="K200" s="257">
        <v>523987194.23000002</v>
      </c>
      <c r="L200" s="257">
        <v>523987194.23000002</v>
      </c>
      <c r="M200" s="257">
        <v>30110693.77</v>
      </c>
      <c r="N200" s="257">
        <v>30110693.77</v>
      </c>
    </row>
    <row r="201" spans="1:14" s="143" customFormat="1" x14ac:dyDescent="0.25">
      <c r="A201" s="143" t="s">
        <v>290</v>
      </c>
      <c r="B201" s="143" t="s">
        <v>83</v>
      </c>
      <c r="C201" s="143" t="s">
        <v>84</v>
      </c>
      <c r="D201" s="143" t="s">
        <v>85</v>
      </c>
      <c r="E201" s="257">
        <v>586616000</v>
      </c>
      <c r="F201" s="257">
        <v>539462089</v>
      </c>
      <c r="G201" s="257">
        <v>539462089</v>
      </c>
      <c r="H201" s="257">
        <v>0</v>
      </c>
      <c r="I201" s="257">
        <v>0</v>
      </c>
      <c r="J201" s="257">
        <v>0</v>
      </c>
      <c r="K201" s="257">
        <v>528227230.30000001</v>
      </c>
      <c r="L201" s="257">
        <v>528227230.30000001</v>
      </c>
      <c r="M201" s="257">
        <v>11234858.699999999</v>
      </c>
      <c r="N201" s="257">
        <v>11234858.699999999</v>
      </c>
    </row>
    <row r="202" spans="1:14" s="143" customFormat="1" x14ac:dyDescent="0.25">
      <c r="A202" s="143" t="s">
        <v>290</v>
      </c>
      <c r="B202" s="143" t="s">
        <v>90</v>
      </c>
      <c r="C202" s="143" t="s">
        <v>91</v>
      </c>
      <c r="D202" s="143" t="s">
        <v>69</v>
      </c>
      <c r="E202" s="257">
        <v>711764000</v>
      </c>
      <c r="F202" s="257">
        <v>666572146</v>
      </c>
      <c r="G202" s="257">
        <v>666572146</v>
      </c>
      <c r="H202" s="257">
        <v>0</v>
      </c>
      <c r="I202" s="257">
        <v>0</v>
      </c>
      <c r="J202" s="257">
        <v>0</v>
      </c>
      <c r="K202" s="257">
        <v>615797648</v>
      </c>
      <c r="L202" s="257">
        <v>615797648</v>
      </c>
      <c r="M202" s="257">
        <v>50774498</v>
      </c>
      <c r="N202" s="257">
        <v>50774498</v>
      </c>
    </row>
    <row r="203" spans="1:14" s="143" customFormat="1" x14ac:dyDescent="0.25">
      <c r="A203" s="143" t="s">
        <v>290</v>
      </c>
      <c r="B203" s="143" t="s">
        <v>297</v>
      </c>
      <c r="C203" s="143" t="s">
        <v>827</v>
      </c>
      <c r="D203" s="143" t="s">
        <v>69</v>
      </c>
      <c r="E203" s="257">
        <v>675263000</v>
      </c>
      <c r="F203" s="257">
        <v>632901476</v>
      </c>
      <c r="G203" s="257">
        <v>632901476</v>
      </c>
      <c r="H203" s="257">
        <v>0</v>
      </c>
      <c r="I203" s="257">
        <v>0</v>
      </c>
      <c r="J203" s="257">
        <v>0</v>
      </c>
      <c r="K203" s="257">
        <v>584226534</v>
      </c>
      <c r="L203" s="257">
        <v>584226534</v>
      </c>
      <c r="M203" s="257">
        <v>48674942</v>
      </c>
      <c r="N203" s="257">
        <v>48674942</v>
      </c>
    </row>
    <row r="204" spans="1:14" s="143" customFormat="1" x14ac:dyDescent="0.25">
      <c r="A204" s="143" t="s">
        <v>290</v>
      </c>
      <c r="B204" s="143" t="s">
        <v>298</v>
      </c>
      <c r="C204" s="143" t="s">
        <v>95</v>
      </c>
      <c r="D204" s="143" t="s">
        <v>69</v>
      </c>
      <c r="E204" s="257">
        <v>36501000</v>
      </c>
      <c r="F204" s="257">
        <v>33670670</v>
      </c>
      <c r="G204" s="257">
        <v>33670670</v>
      </c>
      <c r="H204" s="257">
        <v>0</v>
      </c>
      <c r="I204" s="257">
        <v>0</v>
      </c>
      <c r="J204" s="257">
        <v>0</v>
      </c>
      <c r="K204" s="257">
        <v>31571114</v>
      </c>
      <c r="L204" s="257">
        <v>31571114</v>
      </c>
      <c r="M204" s="257">
        <v>2099556</v>
      </c>
      <c r="N204" s="257">
        <v>2099556</v>
      </c>
    </row>
    <row r="205" spans="1:14" s="143" customFormat="1" x14ac:dyDescent="0.25">
      <c r="A205" s="143" t="s">
        <v>290</v>
      </c>
      <c r="B205" s="143" t="s">
        <v>96</v>
      </c>
      <c r="C205" s="143" t="s">
        <v>97</v>
      </c>
      <c r="D205" s="143" t="s">
        <v>69</v>
      </c>
      <c r="E205" s="257">
        <v>699355000</v>
      </c>
      <c r="F205" s="257">
        <v>645125463</v>
      </c>
      <c r="G205" s="257">
        <v>645125463</v>
      </c>
      <c r="H205" s="257">
        <v>0</v>
      </c>
      <c r="I205" s="257">
        <v>0</v>
      </c>
      <c r="J205" s="257">
        <v>0</v>
      </c>
      <c r="K205" s="257">
        <v>589670226</v>
      </c>
      <c r="L205" s="257">
        <v>589670226</v>
      </c>
      <c r="M205" s="257">
        <v>55455237</v>
      </c>
      <c r="N205" s="257">
        <v>55455237</v>
      </c>
    </row>
    <row r="206" spans="1:14" s="143" customFormat="1" x14ac:dyDescent="0.25">
      <c r="A206" s="143" t="s">
        <v>290</v>
      </c>
      <c r="B206" s="143" t="s">
        <v>299</v>
      </c>
      <c r="C206" s="143" t="s">
        <v>828</v>
      </c>
      <c r="D206" s="143" t="s">
        <v>69</v>
      </c>
      <c r="E206" s="257">
        <v>370847000</v>
      </c>
      <c r="F206" s="257">
        <v>342090641</v>
      </c>
      <c r="G206" s="257">
        <v>342090641</v>
      </c>
      <c r="H206" s="257">
        <v>0</v>
      </c>
      <c r="I206" s="257">
        <v>0</v>
      </c>
      <c r="J206" s="257">
        <v>0</v>
      </c>
      <c r="K206" s="257">
        <v>305530257</v>
      </c>
      <c r="L206" s="257">
        <v>305530257</v>
      </c>
      <c r="M206" s="257">
        <v>36560384</v>
      </c>
      <c r="N206" s="257">
        <v>36560384</v>
      </c>
    </row>
    <row r="207" spans="1:14" s="143" customFormat="1" x14ac:dyDescent="0.25">
      <c r="A207" s="143" t="s">
        <v>290</v>
      </c>
      <c r="B207" s="143" t="s">
        <v>300</v>
      </c>
      <c r="C207" s="143" t="s">
        <v>829</v>
      </c>
      <c r="D207" s="143" t="s">
        <v>69</v>
      </c>
      <c r="E207" s="257">
        <v>109503000</v>
      </c>
      <c r="F207" s="257">
        <v>101011907</v>
      </c>
      <c r="G207" s="257">
        <v>101011907</v>
      </c>
      <c r="H207" s="257">
        <v>0</v>
      </c>
      <c r="I207" s="257">
        <v>0</v>
      </c>
      <c r="J207" s="257">
        <v>0</v>
      </c>
      <c r="K207" s="257">
        <v>94713323</v>
      </c>
      <c r="L207" s="257">
        <v>94713323</v>
      </c>
      <c r="M207" s="257">
        <v>6298584</v>
      </c>
      <c r="N207" s="257">
        <v>6298584</v>
      </c>
    </row>
    <row r="208" spans="1:14" s="143" customFormat="1" x14ac:dyDescent="0.25">
      <c r="A208" s="143" t="s">
        <v>290</v>
      </c>
      <c r="B208" s="143" t="s">
        <v>301</v>
      </c>
      <c r="C208" s="143" t="s">
        <v>830</v>
      </c>
      <c r="D208" s="143" t="s">
        <v>69</v>
      </c>
      <c r="E208" s="257">
        <v>219005000</v>
      </c>
      <c r="F208" s="257">
        <v>202022915</v>
      </c>
      <c r="G208" s="257">
        <v>202022915</v>
      </c>
      <c r="H208" s="257">
        <v>0</v>
      </c>
      <c r="I208" s="257">
        <v>0</v>
      </c>
      <c r="J208" s="257">
        <v>0</v>
      </c>
      <c r="K208" s="257">
        <v>189426646</v>
      </c>
      <c r="L208" s="257">
        <v>189426646</v>
      </c>
      <c r="M208" s="257">
        <v>12596269</v>
      </c>
      <c r="N208" s="257">
        <v>12596269</v>
      </c>
    </row>
    <row r="209" spans="1:14" s="143" customFormat="1" x14ac:dyDescent="0.25">
      <c r="A209" s="143" t="s">
        <v>290</v>
      </c>
      <c r="B209" s="143" t="s">
        <v>104</v>
      </c>
      <c r="C209" s="143" t="s">
        <v>105</v>
      </c>
      <c r="D209" s="143" t="s">
        <v>69</v>
      </c>
      <c r="E209" s="257">
        <v>1420150000</v>
      </c>
      <c r="F209" s="257">
        <v>1449321205</v>
      </c>
      <c r="G209" s="257">
        <v>1449321205</v>
      </c>
      <c r="H209" s="257">
        <v>0</v>
      </c>
      <c r="I209" s="257">
        <v>71306062.290000007</v>
      </c>
      <c r="J209" s="257">
        <v>0</v>
      </c>
      <c r="K209" s="257">
        <v>1175141868.73</v>
      </c>
      <c r="L209" s="257">
        <v>782008454.40999997</v>
      </c>
      <c r="M209" s="257">
        <v>202873273.97999999</v>
      </c>
      <c r="N209" s="257">
        <v>202873273.97999999</v>
      </c>
    </row>
    <row r="210" spans="1:14" s="143" customFormat="1" x14ac:dyDescent="0.25">
      <c r="A210" s="143" t="s">
        <v>290</v>
      </c>
      <c r="B210" s="143" t="s">
        <v>106</v>
      </c>
      <c r="C210" s="143" t="s">
        <v>107</v>
      </c>
      <c r="D210" s="143" t="s">
        <v>69</v>
      </c>
      <c r="E210" s="257">
        <v>451324000</v>
      </c>
      <c r="F210" s="257">
        <v>318174000</v>
      </c>
      <c r="G210" s="257">
        <v>318174000</v>
      </c>
      <c r="H210" s="257">
        <v>0</v>
      </c>
      <c r="I210" s="257">
        <v>3649587.71</v>
      </c>
      <c r="J210" s="257">
        <v>0</v>
      </c>
      <c r="K210" s="257">
        <v>279886763.86000001</v>
      </c>
      <c r="L210" s="257">
        <v>236365672.13999999</v>
      </c>
      <c r="M210" s="257">
        <v>34637648.43</v>
      </c>
      <c r="N210" s="257">
        <v>34637648.43</v>
      </c>
    </row>
    <row r="211" spans="1:14" s="143" customFormat="1" x14ac:dyDescent="0.25">
      <c r="A211" s="143" t="s">
        <v>290</v>
      </c>
      <c r="B211" s="143" t="s">
        <v>280</v>
      </c>
      <c r="C211" s="143" t="s">
        <v>281</v>
      </c>
      <c r="D211" s="143" t="s">
        <v>69</v>
      </c>
      <c r="E211" s="257">
        <v>292666000</v>
      </c>
      <c r="F211" s="257">
        <v>167666000</v>
      </c>
      <c r="G211" s="257">
        <v>167666000</v>
      </c>
      <c r="H211" s="257">
        <v>0</v>
      </c>
      <c r="I211" s="257">
        <v>27000</v>
      </c>
      <c r="J211" s="257">
        <v>0</v>
      </c>
      <c r="K211" s="257">
        <v>138395771.97</v>
      </c>
      <c r="L211" s="257">
        <v>127684686.97</v>
      </c>
      <c r="M211" s="257">
        <v>29243228.030000001</v>
      </c>
      <c r="N211" s="257">
        <v>29243228.030000001</v>
      </c>
    </row>
    <row r="212" spans="1:14" s="143" customFormat="1" x14ac:dyDescent="0.25">
      <c r="A212" s="143" t="s">
        <v>290</v>
      </c>
      <c r="B212" s="143" t="s">
        <v>302</v>
      </c>
      <c r="C212" s="143" t="s">
        <v>303</v>
      </c>
      <c r="D212" s="143" t="s">
        <v>69</v>
      </c>
      <c r="E212" s="257">
        <v>6984000</v>
      </c>
      <c r="F212" s="257">
        <v>4984000</v>
      </c>
      <c r="G212" s="257">
        <v>4984000</v>
      </c>
      <c r="H212" s="257">
        <v>0</v>
      </c>
      <c r="I212" s="257">
        <v>40226.65</v>
      </c>
      <c r="J212" s="257">
        <v>0</v>
      </c>
      <c r="K212" s="257">
        <v>2809201.69</v>
      </c>
      <c r="L212" s="257">
        <v>1887552.01</v>
      </c>
      <c r="M212" s="257">
        <v>2134571.66</v>
      </c>
      <c r="N212" s="257">
        <v>2134571.66</v>
      </c>
    </row>
    <row r="213" spans="1:14" s="143" customFormat="1" x14ac:dyDescent="0.25">
      <c r="A213" s="143" t="s">
        <v>290</v>
      </c>
      <c r="B213" s="143" t="s">
        <v>108</v>
      </c>
      <c r="C213" s="143" t="s">
        <v>109</v>
      </c>
      <c r="D213" s="143" t="s">
        <v>69</v>
      </c>
      <c r="E213" s="257">
        <v>115000000</v>
      </c>
      <c r="F213" s="257">
        <v>105750000</v>
      </c>
      <c r="G213" s="257">
        <v>105750000</v>
      </c>
      <c r="H213" s="257">
        <v>0</v>
      </c>
      <c r="I213" s="257">
        <v>3036299.31</v>
      </c>
      <c r="J213" s="257">
        <v>0</v>
      </c>
      <c r="K213" s="257">
        <v>100813913.08</v>
      </c>
      <c r="L213" s="257">
        <v>76051963</v>
      </c>
      <c r="M213" s="257">
        <v>1899787.61</v>
      </c>
      <c r="N213" s="257">
        <v>1899787.61</v>
      </c>
    </row>
    <row r="214" spans="1:14" s="143" customFormat="1" x14ac:dyDescent="0.25">
      <c r="A214" s="143" t="s">
        <v>290</v>
      </c>
      <c r="B214" s="143" t="s">
        <v>304</v>
      </c>
      <c r="C214" s="143" t="s">
        <v>305</v>
      </c>
      <c r="D214" s="143" t="s">
        <v>69</v>
      </c>
      <c r="E214" s="257">
        <v>1571000</v>
      </c>
      <c r="F214" s="257">
        <v>2071000</v>
      </c>
      <c r="G214" s="257">
        <v>2071000</v>
      </c>
      <c r="H214" s="257">
        <v>0</v>
      </c>
      <c r="I214" s="257">
        <v>162259.43</v>
      </c>
      <c r="J214" s="257">
        <v>0</v>
      </c>
      <c r="K214" s="257">
        <v>1435367.25</v>
      </c>
      <c r="L214" s="257">
        <v>1299456</v>
      </c>
      <c r="M214" s="257">
        <v>473373.32</v>
      </c>
      <c r="N214" s="257">
        <v>473373.32</v>
      </c>
    </row>
    <row r="215" spans="1:14" s="143" customFormat="1" x14ac:dyDescent="0.25">
      <c r="A215" s="143" t="s">
        <v>290</v>
      </c>
      <c r="B215" s="143" t="s">
        <v>110</v>
      </c>
      <c r="C215" s="143" t="s">
        <v>111</v>
      </c>
      <c r="D215" s="143" t="s">
        <v>69</v>
      </c>
      <c r="E215" s="257">
        <v>35103000</v>
      </c>
      <c r="F215" s="257">
        <v>37703000</v>
      </c>
      <c r="G215" s="257">
        <v>37703000</v>
      </c>
      <c r="H215" s="257">
        <v>0</v>
      </c>
      <c r="I215" s="257">
        <v>383802.32</v>
      </c>
      <c r="J215" s="257">
        <v>0</v>
      </c>
      <c r="K215" s="257">
        <v>36432509.869999997</v>
      </c>
      <c r="L215" s="257">
        <v>29442014.16</v>
      </c>
      <c r="M215" s="257">
        <v>886687.81</v>
      </c>
      <c r="N215" s="257">
        <v>886687.81</v>
      </c>
    </row>
    <row r="216" spans="1:14" s="143" customFormat="1" x14ac:dyDescent="0.25">
      <c r="A216" s="143" t="s">
        <v>290</v>
      </c>
      <c r="B216" s="143" t="s">
        <v>112</v>
      </c>
      <c r="C216" s="143" t="s">
        <v>113</v>
      </c>
      <c r="D216" s="143" t="s">
        <v>69</v>
      </c>
      <c r="E216" s="257">
        <v>152420000</v>
      </c>
      <c r="F216" s="257">
        <v>131420000</v>
      </c>
      <c r="G216" s="257">
        <v>131420000</v>
      </c>
      <c r="H216" s="257">
        <v>0</v>
      </c>
      <c r="I216" s="257">
        <v>21544085.219999999</v>
      </c>
      <c r="J216" s="257">
        <v>0</v>
      </c>
      <c r="K216" s="257">
        <v>94799089.810000002</v>
      </c>
      <c r="L216" s="257">
        <v>90937662.370000005</v>
      </c>
      <c r="M216" s="257">
        <v>15076824.970000001</v>
      </c>
      <c r="N216" s="257">
        <v>15076824.970000001</v>
      </c>
    </row>
    <row r="217" spans="1:14" s="143" customFormat="1" x14ac:dyDescent="0.25">
      <c r="A217" s="143" t="s">
        <v>290</v>
      </c>
      <c r="B217" s="143" t="s">
        <v>114</v>
      </c>
      <c r="C217" s="143" t="s">
        <v>115</v>
      </c>
      <c r="D217" s="143" t="s">
        <v>69</v>
      </c>
      <c r="E217" s="257">
        <v>20500000</v>
      </c>
      <c r="F217" s="257">
        <v>20500000</v>
      </c>
      <c r="G217" s="257">
        <v>20500000</v>
      </c>
      <c r="H217" s="257">
        <v>0</v>
      </c>
      <c r="I217" s="257">
        <v>4191169</v>
      </c>
      <c r="J217" s="257">
        <v>0</v>
      </c>
      <c r="K217" s="257">
        <v>16308129</v>
      </c>
      <c r="L217" s="257">
        <v>16308129</v>
      </c>
      <c r="M217" s="257">
        <v>702</v>
      </c>
      <c r="N217" s="257">
        <v>702</v>
      </c>
    </row>
    <row r="218" spans="1:14" s="143" customFormat="1" x14ac:dyDescent="0.25">
      <c r="A218" s="143" t="s">
        <v>290</v>
      </c>
      <c r="B218" s="143" t="s">
        <v>116</v>
      </c>
      <c r="C218" s="143" t="s">
        <v>117</v>
      </c>
      <c r="D218" s="143" t="s">
        <v>69</v>
      </c>
      <c r="E218" s="257">
        <v>54000000</v>
      </c>
      <c r="F218" s="257">
        <v>49000000</v>
      </c>
      <c r="G218" s="257">
        <v>49000000</v>
      </c>
      <c r="H218" s="257">
        <v>0</v>
      </c>
      <c r="I218" s="257">
        <v>9000000</v>
      </c>
      <c r="J218" s="257">
        <v>0</v>
      </c>
      <c r="K218" s="257">
        <v>36699720</v>
      </c>
      <c r="L218" s="257">
        <v>36699720</v>
      </c>
      <c r="M218" s="257">
        <v>3300280</v>
      </c>
      <c r="N218" s="257">
        <v>3300280</v>
      </c>
    </row>
    <row r="219" spans="1:14" s="143" customFormat="1" x14ac:dyDescent="0.25">
      <c r="A219" s="143" t="s">
        <v>290</v>
      </c>
      <c r="B219" s="143" t="s">
        <v>118</v>
      </c>
      <c r="C219" s="143" t="s">
        <v>119</v>
      </c>
      <c r="D219" s="143" t="s">
        <v>69</v>
      </c>
      <c r="E219" s="257">
        <v>16400000</v>
      </c>
      <c r="F219" s="257">
        <v>10400000</v>
      </c>
      <c r="G219" s="257">
        <v>10400000</v>
      </c>
      <c r="H219" s="257">
        <v>0</v>
      </c>
      <c r="I219" s="257">
        <v>475290</v>
      </c>
      <c r="J219" s="257">
        <v>0</v>
      </c>
      <c r="K219" s="257">
        <v>2821155</v>
      </c>
      <c r="L219" s="257">
        <v>2554085</v>
      </c>
      <c r="M219" s="257">
        <v>7103555</v>
      </c>
      <c r="N219" s="257">
        <v>7103555</v>
      </c>
    </row>
    <row r="220" spans="1:14" s="143" customFormat="1" x14ac:dyDescent="0.25">
      <c r="A220" s="143" t="s">
        <v>290</v>
      </c>
      <c r="B220" s="143" t="s">
        <v>120</v>
      </c>
      <c r="C220" s="143" t="s">
        <v>121</v>
      </c>
      <c r="D220" s="143" t="s">
        <v>69</v>
      </c>
      <c r="E220" s="257">
        <v>56520000</v>
      </c>
      <c r="F220" s="257">
        <v>46520000</v>
      </c>
      <c r="G220" s="257">
        <v>46520000</v>
      </c>
      <c r="H220" s="257">
        <v>0</v>
      </c>
      <c r="I220" s="257">
        <v>7796626.2199999997</v>
      </c>
      <c r="J220" s="257">
        <v>0</v>
      </c>
      <c r="K220" s="257">
        <v>34052106.609999999</v>
      </c>
      <c r="L220" s="257">
        <v>30457749.170000002</v>
      </c>
      <c r="M220" s="257">
        <v>4671267.17</v>
      </c>
      <c r="N220" s="257">
        <v>4671267.17</v>
      </c>
    </row>
    <row r="221" spans="1:14" s="143" customFormat="1" x14ac:dyDescent="0.25">
      <c r="A221" s="143" t="s">
        <v>290</v>
      </c>
      <c r="B221" s="143" t="s">
        <v>122</v>
      </c>
      <c r="C221" s="143" t="s">
        <v>123</v>
      </c>
      <c r="D221" s="143" t="s">
        <v>69</v>
      </c>
      <c r="E221" s="257">
        <v>5000000</v>
      </c>
      <c r="F221" s="257">
        <v>5000000</v>
      </c>
      <c r="G221" s="257">
        <v>5000000</v>
      </c>
      <c r="H221" s="257">
        <v>0</v>
      </c>
      <c r="I221" s="257">
        <v>81000</v>
      </c>
      <c r="J221" s="257">
        <v>0</v>
      </c>
      <c r="K221" s="257">
        <v>4917979.2</v>
      </c>
      <c r="L221" s="257">
        <v>4917979.2</v>
      </c>
      <c r="M221" s="257">
        <v>1020.8</v>
      </c>
      <c r="N221" s="257">
        <v>1020.8</v>
      </c>
    </row>
    <row r="222" spans="1:14" s="143" customFormat="1" x14ac:dyDescent="0.25">
      <c r="A222" s="143" t="s">
        <v>290</v>
      </c>
      <c r="B222" s="143" t="s">
        <v>124</v>
      </c>
      <c r="C222" s="143" t="s">
        <v>125</v>
      </c>
      <c r="D222" s="143" t="s">
        <v>69</v>
      </c>
      <c r="E222" s="257">
        <v>49449000</v>
      </c>
      <c r="F222" s="257">
        <v>9449000</v>
      </c>
      <c r="G222" s="257">
        <v>9449000</v>
      </c>
      <c r="H222" s="257">
        <v>0</v>
      </c>
      <c r="I222" s="257">
        <v>633644.31999999995</v>
      </c>
      <c r="J222" s="257">
        <v>0</v>
      </c>
      <c r="K222" s="257">
        <v>1831767.78</v>
      </c>
      <c r="L222" s="257">
        <v>1382111.88</v>
      </c>
      <c r="M222" s="257">
        <v>6983587.9000000004</v>
      </c>
      <c r="N222" s="257">
        <v>6983587.9000000004</v>
      </c>
    </row>
    <row r="223" spans="1:14" s="143" customFormat="1" x14ac:dyDescent="0.25">
      <c r="A223" s="143" t="s">
        <v>290</v>
      </c>
      <c r="B223" s="143" t="s">
        <v>126</v>
      </c>
      <c r="C223" s="143" t="s">
        <v>127</v>
      </c>
      <c r="D223" s="143" t="s">
        <v>69</v>
      </c>
      <c r="E223" s="257">
        <v>1000000</v>
      </c>
      <c r="F223" s="257">
        <v>1000000</v>
      </c>
      <c r="G223" s="257">
        <v>1000000</v>
      </c>
      <c r="H223" s="257">
        <v>0</v>
      </c>
      <c r="I223" s="257">
        <v>205700</v>
      </c>
      <c r="J223" s="257">
        <v>0</v>
      </c>
      <c r="K223" s="257">
        <v>289360</v>
      </c>
      <c r="L223" s="257">
        <v>195060</v>
      </c>
      <c r="M223" s="257">
        <v>504940</v>
      </c>
      <c r="N223" s="257">
        <v>504940</v>
      </c>
    </row>
    <row r="224" spans="1:14" s="143" customFormat="1" x14ac:dyDescent="0.25">
      <c r="A224" s="143" t="s">
        <v>290</v>
      </c>
      <c r="B224" s="143" t="s">
        <v>128</v>
      </c>
      <c r="C224" s="143" t="s">
        <v>129</v>
      </c>
      <c r="D224" s="143" t="s">
        <v>69</v>
      </c>
      <c r="E224" s="257">
        <v>3100000</v>
      </c>
      <c r="F224" s="257">
        <v>3100000</v>
      </c>
      <c r="G224" s="257">
        <v>3100000</v>
      </c>
      <c r="H224" s="257">
        <v>0</v>
      </c>
      <c r="I224" s="257">
        <v>102277</v>
      </c>
      <c r="J224" s="257">
        <v>0</v>
      </c>
      <c r="K224" s="257">
        <v>322143</v>
      </c>
      <c r="L224" s="257">
        <v>322143</v>
      </c>
      <c r="M224" s="257">
        <v>2675580</v>
      </c>
      <c r="N224" s="257">
        <v>2675580</v>
      </c>
    </row>
    <row r="225" spans="1:14" s="143" customFormat="1" x14ac:dyDescent="0.25">
      <c r="A225" s="143" t="s">
        <v>290</v>
      </c>
      <c r="B225" s="143" t="s">
        <v>535</v>
      </c>
      <c r="C225" s="143" t="s">
        <v>536</v>
      </c>
      <c r="D225" s="143" t="s">
        <v>69</v>
      </c>
      <c r="E225" s="257">
        <v>600000</v>
      </c>
      <c r="F225" s="257">
        <v>600000</v>
      </c>
      <c r="G225" s="257">
        <v>600000</v>
      </c>
      <c r="H225" s="257">
        <v>0</v>
      </c>
      <c r="I225" s="257">
        <v>0</v>
      </c>
      <c r="J225" s="257">
        <v>0</v>
      </c>
      <c r="K225" s="257">
        <v>0</v>
      </c>
      <c r="L225" s="257">
        <v>0</v>
      </c>
      <c r="M225" s="257">
        <v>600000</v>
      </c>
      <c r="N225" s="257">
        <v>600000</v>
      </c>
    </row>
    <row r="226" spans="1:14" s="143" customFormat="1" x14ac:dyDescent="0.25">
      <c r="A226" s="143" t="s">
        <v>290</v>
      </c>
      <c r="B226" s="143" t="s">
        <v>130</v>
      </c>
      <c r="C226" s="143" t="s">
        <v>131</v>
      </c>
      <c r="D226" s="143" t="s">
        <v>69</v>
      </c>
      <c r="E226" s="257">
        <v>200000</v>
      </c>
      <c r="F226" s="257">
        <v>200000</v>
      </c>
      <c r="G226" s="257">
        <v>200000</v>
      </c>
      <c r="H226" s="257">
        <v>0</v>
      </c>
      <c r="I226" s="257">
        <v>67024.5</v>
      </c>
      <c r="J226" s="257">
        <v>0</v>
      </c>
      <c r="K226" s="257">
        <v>82975.5</v>
      </c>
      <c r="L226" s="257">
        <v>82975.5</v>
      </c>
      <c r="M226" s="257">
        <v>50000</v>
      </c>
      <c r="N226" s="257">
        <v>50000</v>
      </c>
    </row>
    <row r="227" spans="1:14" s="143" customFormat="1" x14ac:dyDescent="0.25">
      <c r="A227" s="143" t="s">
        <v>290</v>
      </c>
      <c r="B227" s="143" t="s">
        <v>132</v>
      </c>
      <c r="C227" s="143" t="s">
        <v>133</v>
      </c>
      <c r="D227" s="143" t="s">
        <v>69</v>
      </c>
      <c r="E227" s="257">
        <v>44549000</v>
      </c>
      <c r="F227" s="257">
        <v>4549000</v>
      </c>
      <c r="G227" s="257">
        <v>4549000</v>
      </c>
      <c r="H227" s="257">
        <v>0</v>
      </c>
      <c r="I227" s="257">
        <v>258642.82</v>
      </c>
      <c r="J227" s="257">
        <v>0</v>
      </c>
      <c r="K227" s="257">
        <v>1137289.28</v>
      </c>
      <c r="L227" s="257">
        <v>781933.38</v>
      </c>
      <c r="M227" s="257">
        <v>3153067.9</v>
      </c>
      <c r="N227" s="257">
        <v>3153067.9</v>
      </c>
    </row>
    <row r="228" spans="1:14" s="143" customFormat="1" x14ac:dyDescent="0.25">
      <c r="A228" s="143" t="s">
        <v>290</v>
      </c>
      <c r="B228" s="143" t="s">
        <v>134</v>
      </c>
      <c r="C228" s="143" t="s">
        <v>135</v>
      </c>
      <c r="D228" s="143" t="s">
        <v>69</v>
      </c>
      <c r="E228" s="257">
        <v>508035000</v>
      </c>
      <c r="F228" s="257">
        <v>747035000</v>
      </c>
      <c r="G228" s="257">
        <v>747035000</v>
      </c>
      <c r="H228" s="257">
        <v>0</v>
      </c>
      <c r="I228" s="257">
        <v>17836221.260000002</v>
      </c>
      <c r="J228" s="257">
        <v>0</v>
      </c>
      <c r="K228" s="257">
        <v>623502609.25999999</v>
      </c>
      <c r="L228" s="257">
        <v>330874971.31</v>
      </c>
      <c r="M228" s="257">
        <v>105696169.48</v>
      </c>
      <c r="N228" s="257">
        <v>105696169.48</v>
      </c>
    </row>
    <row r="229" spans="1:14" s="143" customFormat="1" x14ac:dyDescent="0.25">
      <c r="A229" s="143" t="s">
        <v>290</v>
      </c>
      <c r="B229" s="143" t="s">
        <v>306</v>
      </c>
      <c r="C229" s="143" t="s">
        <v>307</v>
      </c>
      <c r="D229" s="143" t="s">
        <v>69</v>
      </c>
      <c r="E229" s="257">
        <v>2000000</v>
      </c>
      <c r="F229" s="257">
        <v>1000000</v>
      </c>
      <c r="G229" s="257">
        <v>1000000</v>
      </c>
      <c r="H229" s="257">
        <v>0</v>
      </c>
      <c r="I229" s="257">
        <v>0</v>
      </c>
      <c r="J229" s="257">
        <v>0</v>
      </c>
      <c r="K229" s="257">
        <v>18275</v>
      </c>
      <c r="L229" s="257">
        <v>18275</v>
      </c>
      <c r="M229" s="257">
        <v>981725</v>
      </c>
      <c r="N229" s="257">
        <v>981725</v>
      </c>
    </row>
    <row r="230" spans="1:14" s="143" customFormat="1" x14ac:dyDescent="0.25">
      <c r="A230" s="143" t="s">
        <v>290</v>
      </c>
      <c r="B230" s="143" t="s">
        <v>308</v>
      </c>
      <c r="C230" s="143" t="s">
        <v>834</v>
      </c>
      <c r="D230" s="143" t="s">
        <v>69</v>
      </c>
      <c r="E230" s="257">
        <v>141090000</v>
      </c>
      <c r="F230" s="257">
        <v>384090000</v>
      </c>
      <c r="G230" s="257">
        <v>384090000</v>
      </c>
      <c r="H230" s="257">
        <v>0</v>
      </c>
      <c r="I230" s="257">
        <v>4556956</v>
      </c>
      <c r="J230" s="257">
        <v>0</v>
      </c>
      <c r="K230" s="257">
        <v>318942321.89999998</v>
      </c>
      <c r="L230" s="257">
        <v>75393837.510000005</v>
      </c>
      <c r="M230" s="257">
        <v>60590722.100000001</v>
      </c>
      <c r="N230" s="257">
        <v>60590722.100000001</v>
      </c>
    </row>
    <row r="231" spans="1:14" s="143" customFormat="1" x14ac:dyDescent="0.25">
      <c r="A231" s="143" t="s">
        <v>290</v>
      </c>
      <c r="B231" s="143" t="s">
        <v>545</v>
      </c>
      <c r="C231" s="143" t="s">
        <v>835</v>
      </c>
      <c r="D231" s="143" t="s">
        <v>69</v>
      </c>
      <c r="E231" s="257">
        <v>3000000</v>
      </c>
      <c r="F231" s="257">
        <v>0</v>
      </c>
      <c r="G231" s="257">
        <v>0</v>
      </c>
      <c r="H231" s="257">
        <v>0</v>
      </c>
      <c r="I231" s="257">
        <v>0</v>
      </c>
      <c r="J231" s="257">
        <v>0</v>
      </c>
      <c r="K231" s="257">
        <v>0</v>
      </c>
      <c r="L231" s="257">
        <v>0</v>
      </c>
      <c r="M231" s="257">
        <v>0</v>
      </c>
      <c r="N231" s="257">
        <v>0</v>
      </c>
    </row>
    <row r="232" spans="1:14" s="143" customFormat="1" x14ac:dyDescent="0.25">
      <c r="A232" s="143" t="s">
        <v>290</v>
      </c>
      <c r="B232" s="143" t="s">
        <v>136</v>
      </c>
      <c r="C232" s="143" t="s">
        <v>137</v>
      </c>
      <c r="D232" s="143" t="s">
        <v>69</v>
      </c>
      <c r="E232" s="257">
        <v>347095000</v>
      </c>
      <c r="F232" s="257">
        <v>347095000</v>
      </c>
      <c r="G232" s="257">
        <v>347095000</v>
      </c>
      <c r="H232" s="257">
        <v>0</v>
      </c>
      <c r="I232" s="257">
        <v>10000000</v>
      </c>
      <c r="J232" s="257">
        <v>0</v>
      </c>
      <c r="K232" s="257">
        <v>298532902.56</v>
      </c>
      <c r="L232" s="257">
        <v>249646223</v>
      </c>
      <c r="M232" s="257">
        <v>38562097.439999998</v>
      </c>
      <c r="N232" s="257">
        <v>38562097.439999998</v>
      </c>
    </row>
    <row r="233" spans="1:14" s="143" customFormat="1" x14ac:dyDescent="0.25">
      <c r="A233" s="143" t="s">
        <v>290</v>
      </c>
      <c r="B233" s="143" t="s">
        <v>138</v>
      </c>
      <c r="C233" s="143" t="s">
        <v>139</v>
      </c>
      <c r="D233" s="143" t="s">
        <v>69</v>
      </c>
      <c r="E233" s="257">
        <v>14850000</v>
      </c>
      <c r="F233" s="257">
        <v>14850000</v>
      </c>
      <c r="G233" s="257">
        <v>14850000</v>
      </c>
      <c r="H233" s="257">
        <v>0</v>
      </c>
      <c r="I233" s="257">
        <v>3279265.26</v>
      </c>
      <c r="J233" s="257">
        <v>0</v>
      </c>
      <c r="K233" s="257">
        <v>6009109.7999999998</v>
      </c>
      <c r="L233" s="257">
        <v>5816635.7999999998</v>
      </c>
      <c r="M233" s="257">
        <v>5561624.9400000004</v>
      </c>
      <c r="N233" s="257">
        <v>5561624.9400000004</v>
      </c>
    </row>
    <row r="234" spans="1:14" s="143" customFormat="1" x14ac:dyDescent="0.25">
      <c r="A234" s="143" t="s">
        <v>290</v>
      </c>
      <c r="B234" s="143" t="s">
        <v>140</v>
      </c>
      <c r="C234" s="143" t="s">
        <v>141</v>
      </c>
      <c r="D234" s="143" t="s">
        <v>69</v>
      </c>
      <c r="E234" s="257">
        <v>44950000</v>
      </c>
      <c r="F234" s="257">
        <v>44271205</v>
      </c>
      <c r="G234" s="257">
        <v>44271205</v>
      </c>
      <c r="H234" s="257">
        <v>0</v>
      </c>
      <c r="I234" s="257">
        <v>1755810</v>
      </c>
      <c r="J234" s="257">
        <v>0</v>
      </c>
      <c r="K234" s="257">
        <v>34378868.579999998</v>
      </c>
      <c r="L234" s="257">
        <v>34368948.579999998</v>
      </c>
      <c r="M234" s="257">
        <v>8136526.4199999999</v>
      </c>
      <c r="N234" s="257">
        <v>8136526.4199999999</v>
      </c>
    </row>
    <row r="235" spans="1:14" s="143" customFormat="1" x14ac:dyDescent="0.25">
      <c r="A235" s="143" t="s">
        <v>290</v>
      </c>
      <c r="B235" s="143" t="s">
        <v>142</v>
      </c>
      <c r="C235" s="143" t="s">
        <v>143</v>
      </c>
      <c r="D235" s="143" t="s">
        <v>69</v>
      </c>
      <c r="E235" s="257">
        <v>450000</v>
      </c>
      <c r="F235" s="257">
        <v>1600000</v>
      </c>
      <c r="G235" s="257">
        <v>1600000</v>
      </c>
      <c r="H235" s="257">
        <v>0</v>
      </c>
      <c r="I235" s="257">
        <v>225610</v>
      </c>
      <c r="J235" s="257">
        <v>0</v>
      </c>
      <c r="K235" s="257">
        <v>925765</v>
      </c>
      <c r="L235" s="257">
        <v>915845</v>
      </c>
      <c r="M235" s="257">
        <v>448625</v>
      </c>
      <c r="N235" s="257">
        <v>448625</v>
      </c>
    </row>
    <row r="236" spans="1:14" s="143" customFormat="1" x14ac:dyDescent="0.25">
      <c r="A236" s="143" t="s">
        <v>290</v>
      </c>
      <c r="B236" s="143" t="s">
        <v>144</v>
      </c>
      <c r="C236" s="143" t="s">
        <v>145</v>
      </c>
      <c r="D236" s="143" t="s">
        <v>69</v>
      </c>
      <c r="E236" s="257">
        <v>34000000</v>
      </c>
      <c r="F236" s="257">
        <v>34000000</v>
      </c>
      <c r="G236" s="257">
        <v>34000000</v>
      </c>
      <c r="H236" s="257">
        <v>0</v>
      </c>
      <c r="I236" s="257">
        <v>1530200</v>
      </c>
      <c r="J236" s="257">
        <v>0</v>
      </c>
      <c r="K236" s="257">
        <v>26794450</v>
      </c>
      <c r="L236" s="257">
        <v>26794450</v>
      </c>
      <c r="M236" s="257">
        <v>5675350</v>
      </c>
      <c r="N236" s="257">
        <v>5675350</v>
      </c>
    </row>
    <row r="237" spans="1:14" s="143" customFormat="1" x14ac:dyDescent="0.25">
      <c r="A237" s="143" t="s">
        <v>290</v>
      </c>
      <c r="B237" s="143" t="s">
        <v>146</v>
      </c>
      <c r="C237" s="143" t="s">
        <v>147</v>
      </c>
      <c r="D237" s="143" t="s">
        <v>69</v>
      </c>
      <c r="E237" s="257">
        <v>3000000</v>
      </c>
      <c r="F237" s="257">
        <v>2550000</v>
      </c>
      <c r="G237" s="257">
        <v>2550000</v>
      </c>
      <c r="H237" s="257">
        <v>0</v>
      </c>
      <c r="I237" s="257">
        <v>0</v>
      </c>
      <c r="J237" s="257">
        <v>0</v>
      </c>
      <c r="K237" s="257">
        <v>1986202.24</v>
      </c>
      <c r="L237" s="257">
        <v>1986202.24</v>
      </c>
      <c r="M237" s="257">
        <v>563797.76000000001</v>
      </c>
      <c r="N237" s="257">
        <v>563797.76000000001</v>
      </c>
    </row>
    <row r="238" spans="1:14" s="143" customFormat="1" x14ac:dyDescent="0.25">
      <c r="A238" s="143" t="s">
        <v>290</v>
      </c>
      <c r="B238" s="143" t="s">
        <v>148</v>
      </c>
      <c r="C238" s="143" t="s">
        <v>149</v>
      </c>
      <c r="D238" s="143" t="s">
        <v>69</v>
      </c>
      <c r="E238" s="257">
        <v>7500000</v>
      </c>
      <c r="F238" s="257">
        <v>6121205</v>
      </c>
      <c r="G238" s="257">
        <v>6121205</v>
      </c>
      <c r="H238" s="257">
        <v>0</v>
      </c>
      <c r="I238" s="257">
        <v>0</v>
      </c>
      <c r="J238" s="257">
        <v>0</v>
      </c>
      <c r="K238" s="257">
        <v>4672451.34</v>
      </c>
      <c r="L238" s="257">
        <v>4672451.34</v>
      </c>
      <c r="M238" s="257">
        <v>1448753.66</v>
      </c>
      <c r="N238" s="257">
        <v>1448753.66</v>
      </c>
    </row>
    <row r="239" spans="1:14" s="143" customFormat="1" x14ac:dyDescent="0.25">
      <c r="A239" s="143" t="s">
        <v>290</v>
      </c>
      <c r="B239" s="143" t="s">
        <v>150</v>
      </c>
      <c r="C239" s="143" t="s">
        <v>151</v>
      </c>
      <c r="D239" s="143" t="s">
        <v>69</v>
      </c>
      <c r="E239" s="257">
        <v>91000000</v>
      </c>
      <c r="F239" s="257">
        <v>91000000</v>
      </c>
      <c r="G239" s="257">
        <v>91000000</v>
      </c>
      <c r="H239" s="257">
        <v>0</v>
      </c>
      <c r="I239" s="257">
        <v>15042546</v>
      </c>
      <c r="J239" s="257">
        <v>0</v>
      </c>
      <c r="K239" s="257">
        <v>75076900</v>
      </c>
      <c r="L239" s="257">
        <v>49119446</v>
      </c>
      <c r="M239" s="257">
        <v>880554</v>
      </c>
      <c r="N239" s="257">
        <v>880554</v>
      </c>
    </row>
    <row r="240" spans="1:14" s="143" customFormat="1" x14ac:dyDescent="0.25">
      <c r="A240" s="143" t="s">
        <v>290</v>
      </c>
      <c r="B240" s="143" t="s">
        <v>152</v>
      </c>
      <c r="C240" s="143" t="s">
        <v>153</v>
      </c>
      <c r="D240" s="143" t="s">
        <v>69</v>
      </c>
      <c r="E240" s="257">
        <v>91000000</v>
      </c>
      <c r="F240" s="257">
        <v>91000000</v>
      </c>
      <c r="G240" s="257">
        <v>91000000</v>
      </c>
      <c r="H240" s="257">
        <v>0</v>
      </c>
      <c r="I240" s="257">
        <v>15042546</v>
      </c>
      <c r="J240" s="257">
        <v>0</v>
      </c>
      <c r="K240" s="257">
        <v>75076900</v>
      </c>
      <c r="L240" s="257">
        <v>49119446</v>
      </c>
      <c r="M240" s="257">
        <v>880554</v>
      </c>
      <c r="N240" s="257">
        <v>880554</v>
      </c>
    </row>
    <row r="241" spans="1:14" s="143" customFormat="1" x14ac:dyDescent="0.25">
      <c r="A241" s="143" t="s">
        <v>290</v>
      </c>
      <c r="B241" s="143" t="s">
        <v>154</v>
      </c>
      <c r="C241" s="143" t="s">
        <v>155</v>
      </c>
      <c r="D241" s="143" t="s">
        <v>69</v>
      </c>
      <c r="E241" s="257">
        <v>6000000</v>
      </c>
      <c r="F241" s="257">
        <v>6000000</v>
      </c>
      <c r="G241" s="257">
        <v>6000000</v>
      </c>
      <c r="H241" s="257">
        <v>0</v>
      </c>
      <c r="I241" s="257">
        <v>0</v>
      </c>
      <c r="J241" s="257">
        <v>0</v>
      </c>
      <c r="K241" s="257">
        <v>5999561</v>
      </c>
      <c r="L241" s="257">
        <v>2224561</v>
      </c>
      <c r="M241" s="257">
        <v>439</v>
      </c>
      <c r="N241" s="257">
        <v>439</v>
      </c>
    </row>
    <row r="242" spans="1:14" s="143" customFormat="1" x14ac:dyDescent="0.25">
      <c r="A242" s="143" t="s">
        <v>290</v>
      </c>
      <c r="B242" s="143" t="s">
        <v>156</v>
      </c>
      <c r="C242" s="143" t="s">
        <v>157</v>
      </c>
      <c r="D242" s="143" t="s">
        <v>69</v>
      </c>
      <c r="E242" s="257">
        <v>6000000</v>
      </c>
      <c r="F242" s="257">
        <v>6000000</v>
      </c>
      <c r="G242" s="257">
        <v>6000000</v>
      </c>
      <c r="H242" s="257">
        <v>0</v>
      </c>
      <c r="I242" s="257">
        <v>0</v>
      </c>
      <c r="J242" s="257">
        <v>0</v>
      </c>
      <c r="K242" s="257">
        <v>5999561</v>
      </c>
      <c r="L242" s="257">
        <v>2224561</v>
      </c>
      <c r="M242" s="257">
        <v>439</v>
      </c>
      <c r="N242" s="257">
        <v>439</v>
      </c>
    </row>
    <row r="243" spans="1:14" s="143" customFormat="1" x14ac:dyDescent="0.25">
      <c r="A243" s="143" t="s">
        <v>290</v>
      </c>
      <c r="B243" s="143" t="s">
        <v>162</v>
      </c>
      <c r="C243" s="143" t="s">
        <v>163</v>
      </c>
      <c r="D243" s="143" t="s">
        <v>69</v>
      </c>
      <c r="E243" s="257">
        <v>113272000</v>
      </c>
      <c r="F243" s="257">
        <v>98272000</v>
      </c>
      <c r="G243" s="257">
        <v>98272000</v>
      </c>
      <c r="H243" s="257">
        <v>0</v>
      </c>
      <c r="I243" s="257">
        <v>9878597</v>
      </c>
      <c r="J243" s="257">
        <v>0</v>
      </c>
      <c r="K243" s="257">
        <v>58806421.439999998</v>
      </c>
      <c r="L243" s="257">
        <v>36547831.130000003</v>
      </c>
      <c r="M243" s="257">
        <v>29586981.559999999</v>
      </c>
      <c r="N243" s="257">
        <v>29586981.559999999</v>
      </c>
    </row>
    <row r="244" spans="1:14" s="143" customFormat="1" x14ac:dyDescent="0.25">
      <c r="A244" s="143" t="s">
        <v>290</v>
      </c>
      <c r="B244" s="143" t="s">
        <v>310</v>
      </c>
      <c r="C244" s="143" t="s">
        <v>311</v>
      </c>
      <c r="D244" s="143" t="s">
        <v>69</v>
      </c>
      <c r="E244" s="257">
        <v>19900000</v>
      </c>
      <c r="F244" s="257">
        <v>19900000</v>
      </c>
      <c r="G244" s="257">
        <v>19900000</v>
      </c>
      <c r="H244" s="257">
        <v>0</v>
      </c>
      <c r="I244" s="257">
        <v>3626541</v>
      </c>
      <c r="J244" s="257">
        <v>0</v>
      </c>
      <c r="K244" s="257">
        <v>11762967.75</v>
      </c>
      <c r="L244" s="257">
        <v>3085312.24</v>
      </c>
      <c r="M244" s="257">
        <v>4510491.25</v>
      </c>
      <c r="N244" s="257">
        <v>4510491.25</v>
      </c>
    </row>
    <row r="245" spans="1:14" s="143" customFormat="1" x14ac:dyDescent="0.25">
      <c r="A245" s="143" t="s">
        <v>290</v>
      </c>
      <c r="B245" s="143" t="s">
        <v>164</v>
      </c>
      <c r="C245" s="143" t="s">
        <v>165</v>
      </c>
      <c r="D245" s="143" t="s">
        <v>69</v>
      </c>
      <c r="E245" s="257">
        <v>4750000</v>
      </c>
      <c r="F245" s="257">
        <v>4750000</v>
      </c>
      <c r="G245" s="257">
        <v>4750000</v>
      </c>
      <c r="H245" s="257">
        <v>0</v>
      </c>
      <c r="I245" s="257">
        <v>0</v>
      </c>
      <c r="J245" s="257">
        <v>0</v>
      </c>
      <c r="K245" s="257">
        <v>3648037.86</v>
      </c>
      <c r="L245" s="257">
        <v>3270506.61</v>
      </c>
      <c r="M245" s="257">
        <v>1101962.1399999999</v>
      </c>
      <c r="N245" s="257">
        <v>1101962.1399999999</v>
      </c>
    </row>
    <row r="246" spans="1:14" s="143" customFormat="1" x14ac:dyDescent="0.25">
      <c r="A246" s="143" t="s">
        <v>290</v>
      </c>
      <c r="B246" s="143" t="s">
        <v>166</v>
      </c>
      <c r="C246" s="143" t="s">
        <v>167</v>
      </c>
      <c r="D246" s="143" t="s">
        <v>69</v>
      </c>
      <c r="E246" s="257">
        <v>28300000</v>
      </c>
      <c r="F246" s="257">
        <v>15300000</v>
      </c>
      <c r="G246" s="257">
        <v>15300000</v>
      </c>
      <c r="H246" s="257">
        <v>0</v>
      </c>
      <c r="I246" s="257">
        <v>5442056</v>
      </c>
      <c r="J246" s="257">
        <v>0</v>
      </c>
      <c r="K246" s="257">
        <v>9737209</v>
      </c>
      <c r="L246" s="257">
        <v>4920999</v>
      </c>
      <c r="M246" s="257">
        <v>120735</v>
      </c>
      <c r="N246" s="257">
        <v>120735</v>
      </c>
    </row>
    <row r="247" spans="1:14" s="143" customFormat="1" x14ac:dyDescent="0.25">
      <c r="A247" s="143" t="s">
        <v>290</v>
      </c>
      <c r="B247" s="143" t="s">
        <v>312</v>
      </c>
      <c r="C247" s="143" t="s">
        <v>313</v>
      </c>
      <c r="D247" s="143" t="s">
        <v>69</v>
      </c>
      <c r="E247" s="257">
        <v>8900000</v>
      </c>
      <c r="F247" s="257">
        <v>8900000</v>
      </c>
      <c r="G247" s="257">
        <v>8900000</v>
      </c>
      <c r="H247" s="257">
        <v>0</v>
      </c>
      <c r="I247" s="257">
        <v>0</v>
      </c>
      <c r="J247" s="257">
        <v>0</v>
      </c>
      <c r="K247" s="257">
        <v>7183785.3499999996</v>
      </c>
      <c r="L247" s="257">
        <v>3256329.65</v>
      </c>
      <c r="M247" s="257">
        <v>1716214.65</v>
      </c>
      <c r="N247" s="257">
        <v>1716214.65</v>
      </c>
    </row>
    <row r="248" spans="1:14" s="143" customFormat="1" x14ac:dyDescent="0.25">
      <c r="A248" s="143" t="s">
        <v>290</v>
      </c>
      <c r="B248" s="143" t="s">
        <v>168</v>
      </c>
      <c r="C248" s="143" t="s">
        <v>169</v>
      </c>
      <c r="D248" s="143" t="s">
        <v>69</v>
      </c>
      <c r="E248" s="257">
        <v>13062000</v>
      </c>
      <c r="F248" s="257">
        <v>9562000</v>
      </c>
      <c r="G248" s="257">
        <v>9562000</v>
      </c>
      <c r="H248" s="257">
        <v>0</v>
      </c>
      <c r="I248" s="257">
        <v>0</v>
      </c>
      <c r="J248" s="257">
        <v>0</v>
      </c>
      <c r="K248" s="257">
        <v>6320288.4000000004</v>
      </c>
      <c r="L248" s="257">
        <v>4418196.8</v>
      </c>
      <c r="M248" s="257">
        <v>3241711.6</v>
      </c>
      <c r="N248" s="257">
        <v>3241711.6</v>
      </c>
    </row>
    <row r="249" spans="1:14" s="143" customFormat="1" x14ac:dyDescent="0.25">
      <c r="A249" s="143" t="s">
        <v>290</v>
      </c>
      <c r="B249" s="143" t="s">
        <v>170</v>
      </c>
      <c r="C249" s="143" t="s">
        <v>171</v>
      </c>
      <c r="D249" s="143" t="s">
        <v>69</v>
      </c>
      <c r="E249" s="257">
        <v>35260000</v>
      </c>
      <c r="F249" s="257">
        <v>35260000</v>
      </c>
      <c r="G249" s="257">
        <v>35260000</v>
      </c>
      <c r="H249" s="257">
        <v>0</v>
      </c>
      <c r="I249" s="257">
        <v>810000</v>
      </c>
      <c r="J249" s="257">
        <v>0</v>
      </c>
      <c r="K249" s="257">
        <v>16744004.890000001</v>
      </c>
      <c r="L249" s="257">
        <v>14745104.890000001</v>
      </c>
      <c r="M249" s="257">
        <v>17705995.109999999</v>
      </c>
      <c r="N249" s="257">
        <v>17705995.109999999</v>
      </c>
    </row>
    <row r="250" spans="1:14" s="143" customFormat="1" x14ac:dyDescent="0.25">
      <c r="A250" s="143" t="s">
        <v>290</v>
      </c>
      <c r="B250" s="143" t="s">
        <v>172</v>
      </c>
      <c r="C250" s="143" t="s">
        <v>173</v>
      </c>
      <c r="D250" s="143" t="s">
        <v>69</v>
      </c>
      <c r="E250" s="257">
        <v>3100000</v>
      </c>
      <c r="F250" s="257">
        <v>4600000</v>
      </c>
      <c r="G250" s="257">
        <v>4600000</v>
      </c>
      <c r="H250" s="257">
        <v>0</v>
      </c>
      <c r="I250" s="257">
        <v>0</v>
      </c>
      <c r="J250" s="257">
        <v>0</v>
      </c>
      <c r="K250" s="257">
        <v>3410128.19</v>
      </c>
      <c r="L250" s="257">
        <v>2851381.94</v>
      </c>
      <c r="M250" s="257">
        <v>1189871.81</v>
      </c>
      <c r="N250" s="257">
        <v>1189871.81</v>
      </c>
    </row>
    <row r="251" spans="1:14" s="143" customFormat="1" x14ac:dyDescent="0.25">
      <c r="A251" s="143" t="s">
        <v>290</v>
      </c>
      <c r="B251" s="143" t="s">
        <v>174</v>
      </c>
      <c r="C251" s="143" t="s">
        <v>175</v>
      </c>
      <c r="D251" s="143" t="s">
        <v>69</v>
      </c>
      <c r="E251" s="257">
        <v>1550000</v>
      </c>
      <c r="F251" s="257">
        <v>1550000</v>
      </c>
      <c r="G251" s="257">
        <v>1550000</v>
      </c>
      <c r="H251" s="257">
        <v>0</v>
      </c>
      <c r="I251" s="257">
        <v>852363</v>
      </c>
      <c r="J251" s="257">
        <v>0</v>
      </c>
      <c r="K251" s="257">
        <v>673237</v>
      </c>
      <c r="L251" s="257">
        <v>600</v>
      </c>
      <c r="M251" s="257">
        <v>24400</v>
      </c>
      <c r="N251" s="257">
        <v>24400</v>
      </c>
    </row>
    <row r="252" spans="1:14" s="143" customFormat="1" x14ac:dyDescent="0.25">
      <c r="A252" s="143" t="s">
        <v>290</v>
      </c>
      <c r="B252" s="143" t="s">
        <v>176</v>
      </c>
      <c r="C252" s="143" t="s">
        <v>177</v>
      </c>
      <c r="D252" s="143" t="s">
        <v>69</v>
      </c>
      <c r="E252" s="257">
        <v>1550000</v>
      </c>
      <c r="F252" s="257">
        <v>1550000</v>
      </c>
      <c r="G252" s="257">
        <v>1550000</v>
      </c>
      <c r="H252" s="257">
        <v>0</v>
      </c>
      <c r="I252" s="257">
        <v>852363</v>
      </c>
      <c r="J252" s="257">
        <v>0</v>
      </c>
      <c r="K252" s="257">
        <v>673237</v>
      </c>
      <c r="L252" s="257">
        <v>600</v>
      </c>
      <c r="M252" s="257">
        <v>24400</v>
      </c>
      <c r="N252" s="257">
        <v>24400</v>
      </c>
    </row>
    <row r="253" spans="1:14" s="143" customFormat="1" x14ac:dyDescent="0.25">
      <c r="A253" s="143" t="s">
        <v>290</v>
      </c>
      <c r="B253" s="143" t="s">
        <v>178</v>
      </c>
      <c r="C253" s="143" t="s">
        <v>179</v>
      </c>
      <c r="D253" s="143" t="s">
        <v>69</v>
      </c>
      <c r="E253" s="257">
        <v>2150000</v>
      </c>
      <c r="F253" s="257">
        <v>2150000</v>
      </c>
      <c r="G253" s="257">
        <v>2150000</v>
      </c>
      <c r="H253" s="257">
        <v>0</v>
      </c>
      <c r="I253" s="257">
        <v>113207.78</v>
      </c>
      <c r="J253" s="257">
        <v>0</v>
      </c>
      <c r="K253" s="257">
        <v>186650</v>
      </c>
      <c r="L253" s="257">
        <v>186650</v>
      </c>
      <c r="M253" s="257">
        <v>1850142.22</v>
      </c>
      <c r="N253" s="257">
        <v>1850142.22</v>
      </c>
    </row>
    <row r="254" spans="1:14" s="143" customFormat="1" x14ac:dyDescent="0.25">
      <c r="A254" s="143" t="s">
        <v>290</v>
      </c>
      <c r="B254" s="143" t="s">
        <v>180</v>
      </c>
      <c r="C254" s="143" t="s">
        <v>181</v>
      </c>
      <c r="D254" s="143" t="s">
        <v>69</v>
      </c>
      <c r="E254" s="257">
        <v>150000</v>
      </c>
      <c r="F254" s="257">
        <v>150000</v>
      </c>
      <c r="G254" s="257">
        <v>150000</v>
      </c>
      <c r="H254" s="257">
        <v>0</v>
      </c>
      <c r="I254" s="257">
        <v>113207.78</v>
      </c>
      <c r="J254" s="257">
        <v>0</v>
      </c>
      <c r="K254" s="257">
        <v>36650</v>
      </c>
      <c r="L254" s="257">
        <v>36650</v>
      </c>
      <c r="M254" s="257">
        <v>142.22</v>
      </c>
      <c r="N254" s="257">
        <v>142.22</v>
      </c>
    </row>
    <row r="255" spans="1:14" s="143" customFormat="1" x14ac:dyDescent="0.25">
      <c r="A255" s="143" t="s">
        <v>290</v>
      </c>
      <c r="B255" s="143" t="s">
        <v>182</v>
      </c>
      <c r="C255" s="143" t="s">
        <v>183</v>
      </c>
      <c r="D255" s="143" t="s">
        <v>69</v>
      </c>
      <c r="E255" s="257">
        <v>2000000</v>
      </c>
      <c r="F255" s="257">
        <v>2000000</v>
      </c>
      <c r="G255" s="257">
        <v>2000000</v>
      </c>
      <c r="H255" s="257">
        <v>0</v>
      </c>
      <c r="I255" s="257">
        <v>0</v>
      </c>
      <c r="J255" s="257">
        <v>0</v>
      </c>
      <c r="K255" s="257">
        <v>150000</v>
      </c>
      <c r="L255" s="257">
        <v>150000</v>
      </c>
      <c r="M255" s="257">
        <v>1850000</v>
      </c>
      <c r="N255" s="257">
        <v>1850000</v>
      </c>
    </row>
    <row r="256" spans="1:14" s="143" customFormat="1" x14ac:dyDescent="0.25">
      <c r="A256" s="143" t="s">
        <v>290</v>
      </c>
      <c r="B256" s="143" t="s">
        <v>184</v>
      </c>
      <c r="C256" s="143" t="s">
        <v>185</v>
      </c>
      <c r="D256" s="143" t="s">
        <v>69</v>
      </c>
      <c r="E256" s="257">
        <v>100332000</v>
      </c>
      <c r="F256" s="257">
        <v>64025000</v>
      </c>
      <c r="G256" s="257">
        <v>64025000</v>
      </c>
      <c r="H256" s="257">
        <v>0</v>
      </c>
      <c r="I256" s="257">
        <v>5107035</v>
      </c>
      <c r="J256" s="257">
        <v>0</v>
      </c>
      <c r="K256" s="257">
        <v>44683006.229999997</v>
      </c>
      <c r="L256" s="257">
        <v>35576119.960000001</v>
      </c>
      <c r="M256" s="257">
        <v>14234958.77</v>
      </c>
      <c r="N256" s="257">
        <v>14234958.77</v>
      </c>
    </row>
    <row r="257" spans="1:14" s="143" customFormat="1" x14ac:dyDescent="0.25">
      <c r="A257" s="143" t="s">
        <v>290</v>
      </c>
      <c r="B257" s="143" t="s">
        <v>186</v>
      </c>
      <c r="C257" s="143" t="s">
        <v>187</v>
      </c>
      <c r="D257" s="143" t="s">
        <v>69</v>
      </c>
      <c r="E257" s="257">
        <v>55950000</v>
      </c>
      <c r="F257" s="257">
        <v>33743000</v>
      </c>
      <c r="G257" s="257">
        <v>33743000</v>
      </c>
      <c r="H257" s="257">
        <v>0</v>
      </c>
      <c r="I257" s="257">
        <v>4009920</v>
      </c>
      <c r="J257" s="257">
        <v>0</v>
      </c>
      <c r="K257" s="257">
        <v>20189581.5</v>
      </c>
      <c r="L257" s="257">
        <v>19042477.07</v>
      </c>
      <c r="M257" s="257">
        <v>9543498.5</v>
      </c>
      <c r="N257" s="257">
        <v>9543498.5</v>
      </c>
    </row>
    <row r="258" spans="1:14" s="143" customFormat="1" x14ac:dyDescent="0.25">
      <c r="A258" s="143" t="s">
        <v>290</v>
      </c>
      <c r="B258" s="143" t="s">
        <v>188</v>
      </c>
      <c r="C258" s="143" t="s">
        <v>189</v>
      </c>
      <c r="D258" s="143" t="s">
        <v>69</v>
      </c>
      <c r="E258" s="257">
        <v>30200000</v>
      </c>
      <c r="F258" s="257">
        <v>30200000</v>
      </c>
      <c r="G258" s="257">
        <v>30200000</v>
      </c>
      <c r="H258" s="257">
        <v>0</v>
      </c>
      <c r="I258" s="257">
        <v>4009920</v>
      </c>
      <c r="J258" s="257">
        <v>0</v>
      </c>
      <c r="K258" s="257">
        <v>18459213.84</v>
      </c>
      <c r="L258" s="257">
        <v>18092266.84</v>
      </c>
      <c r="M258" s="257">
        <v>7730866.1600000001</v>
      </c>
      <c r="N258" s="257">
        <v>7730866.1600000001</v>
      </c>
    </row>
    <row r="259" spans="1:14" s="143" customFormat="1" x14ac:dyDescent="0.25">
      <c r="A259" s="143" t="s">
        <v>290</v>
      </c>
      <c r="B259" s="143" t="s">
        <v>190</v>
      </c>
      <c r="C259" s="143" t="s">
        <v>191</v>
      </c>
      <c r="D259" s="143" t="s">
        <v>69</v>
      </c>
      <c r="E259" s="257">
        <v>7000</v>
      </c>
      <c r="F259" s="257">
        <v>0</v>
      </c>
      <c r="G259" s="257">
        <v>0</v>
      </c>
      <c r="H259" s="257">
        <v>0</v>
      </c>
      <c r="I259" s="257">
        <v>0</v>
      </c>
      <c r="J259" s="257">
        <v>0</v>
      </c>
      <c r="K259" s="257">
        <v>0</v>
      </c>
      <c r="L259" s="257">
        <v>0</v>
      </c>
      <c r="M259" s="257">
        <v>0</v>
      </c>
      <c r="N259" s="257">
        <v>0</v>
      </c>
    </row>
    <row r="260" spans="1:14" s="143" customFormat="1" x14ac:dyDescent="0.25">
      <c r="A260" s="143" t="s">
        <v>290</v>
      </c>
      <c r="B260" s="143" t="s">
        <v>192</v>
      </c>
      <c r="C260" s="143" t="s">
        <v>193</v>
      </c>
      <c r="D260" s="143" t="s">
        <v>69</v>
      </c>
      <c r="E260" s="257">
        <v>25615000</v>
      </c>
      <c r="F260" s="257">
        <v>3415000</v>
      </c>
      <c r="G260" s="257">
        <v>3415000</v>
      </c>
      <c r="H260" s="257">
        <v>0</v>
      </c>
      <c r="I260" s="257">
        <v>0</v>
      </c>
      <c r="J260" s="257">
        <v>0</v>
      </c>
      <c r="K260" s="257">
        <v>1730367.66</v>
      </c>
      <c r="L260" s="257">
        <v>950210.23</v>
      </c>
      <c r="M260" s="257">
        <v>1684632.34</v>
      </c>
      <c r="N260" s="257">
        <v>1684632.34</v>
      </c>
    </row>
    <row r="261" spans="1:14" s="143" customFormat="1" x14ac:dyDescent="0.25">
      <c r="A261" s="143" t="s">
        <v>290</v>
      </c>
      <c r="B261" s="143" t="s">
        <v>194</v>
      </c>
      <c r="C261" s="143" t="s">
        <v>195</v>
      </c>
      <c r="D261" s="143" t="s">
        <v>69</v>
      </c>
      <c r="E261" s="257">
        <v>128000</v>
      </c>
      <c r="F261" s="257">
        <v>128000</v>
      </c>
      <c r="G261" s="257">
        <v>128000</v>
      </c>
      <c r="H261" s="257">
        <v>0</v>
      </c>
      <c r="I261" s="257">
        <v>0</v>
      </c>
      <c r="J261" s="257">
        <v>0</v>
      </c>
      <c r="K261" s="257">
        <v>0</v>
      </c>
      <c r="L261" s="257">
        <v>0</v>
      </c>
      <c r="M261" s="257">
        <v>128000</v>
      </c>
      <c r="N261" s="257">
        <v>128000</v>
      </c>
    </row>
    <row r="262" spans="1:14" s="143" customFormat="1" x14ac:dyDescent="0.25">
      <c r="A262" s="143" t="s">
        <v>290</v>
      </c>
      <c r="B262" s="143" t="s">
        <v>200</v>
      </c>
      <c r="C262" s="143" t="s">
        <v>201</v>
      </c>
      <c r="D262" s="143" t="s">
        <v>69</v>
      </c>
      <c r="E262" s="257">
        <v>3275000</v>
      </c>
      <c r="F262" s="257">
        <v>3275000</v>
      </c>
      <c r="G262" s="257">
        <v>3275000</v>
      </c>
      <c r="H262" s="257">
        <v>0</v>
      </c>
      <c r="I262" s="257">
        <v>0</v>
      </c>
      <c r="J262" s="257">
        <v>0</v>
      </c>
      <c r="K262" s="257">
        <v>1699364</v>
      </c>
      <c r="L262" s="257">
        <v>25950</v>
      </c>
      <c r="M262" s="257">
        <v>1575636</v>
      </c>
      <c r="N262" s="257">
        <v>1575636</v>
      </c>
    </row>
    <row r="263" spans="1:14" s="143" customFormat="1" x14ac:dyDescent="0.25">
      <c r="A263" s="143" t="s">
        <v>290</v>
      </c>
      <c r="B263" s="143" t="s">
        <v>314</v>
      </c>
      <c r="C263" s="143" t="s">
        <v>315</v>
      </c>
      <c r="D263" s="143" t="s">
        <v>69</v>
      </c>
      <c r="E263" s="257">
        <v>437000</v>
      </c>
      <c r="F263" s="257">
        <v>437000</v>
      </c>
      <c r="G263" s="257">
        <v>437000</v>
      </c>
      <c r="H263" s="257">
        <v>0</v>
      </c>
      <c r="I263" s="257">
        <v>0</v>
      </c>
      <c r="J263" s="257">
        <v>0</v>
      </c>
      <c r="K263" s="257">
        <v>315315</v>
      </c>
      <c r="L263" s="257">
        <v>25950</v>
      </c>
      <c r="M263" s="257">
        <v>121685</v>
      </c>
      <c r="N263" s="257">
        <v>121685</v>
      </c>
    </row>
    <row r="264" spans="1:14" s="143" customFormat="1" x14ac:dyDescent="0.25">
      <c r="A264" s="143" t="s">
        <v>290</v>
      </c>
      <c r="B264" s="143" t="s">
        <v>316</v>
      </c>
      <c r="C264" s="143" t="s">
        <v>317</v>
      </c>
      <c r="D264" s="143" t="s">
        <v>69</v>
      </c>
      <c r="E264" s="257">
        <v>120000</v>
      </c>
      <c r="F264" s="257">
        <v>120000</v>
      </c>
      <c r="G264" s="257">
        <v>120000</v>
      </c>
      <c r="H264" s="257">
        <v>0</v>
      </c>
      <c r="I264" s="257">
        <v>0</v>
      </c>
      <c r="J264" s="257">
        <v>0</v>
      </c>
      <c r="K264" s="257">
        <v>75487</v>
      </c>
      <c r="L264" s="257">
        <v>0</v>
      </c>
      <c r="M264" s="257">
        <v>44513</v>
      </c>
      <c r="N264" s="257">
        <v>44513</v>
      </c>
    </row>
    <row r="265" spans="1:14" s="143" customFormat="1" x14ac:dyDescent="0.25">
      <c r="A265" s="143" t="s">
        <v>290</v>
      </c>
      <c r="B265" s="143" t="s">
        <v>318</v>
      </c>
      <c r="C265" s="143" t="s">
        <v>319</v>
      </c>
      <c r="D265" s="143" t="s">
        <v>69</v>
      </c>
      <c r="E265" s="257">
        <v>88000</v>
      </c>
      <c r="F265" s="257">
        <v>88000</v>
      </c>
      <c r="G265" s="257">
        <v>88000</v>
      </c>
      <c r="H265" s="257">
        <v>0</v>
      </c>
      <c r="I265" s="257">
        <v>0</v>
      </c>
      <c r="J265" s="257">
        <v>0</v>
      </c>
      <c r="K265" s="257">
        <v>0</v>
      </c>
      <c r="L265" s="257">
        <v>0</v>
      </c>
      <c r="M265" s="257">
        <v>88000</v>
      </c>
      <c r="N265" s="257">
        <v>88000</v>
      </c>
    </row>
    <row r="266" spans="1:14" s="143" customFormat="1" x14ac:dyDescent="0.25">
      <c r="A266" s="143" t="s">
        <v>290</v>
      </c>
      <c r="B266" s="143" t="s">
        <v>202</v>
      </c>
      <c r="C266" s="143" t="s">
        <v>203</v>
      </c>
      <c r="D266" s="143" t="s">
        <v>69</v>
      </c>
      <c r="E266" s="257">
        <v>1750000</v>
      </c>
      <c r="F266" s="257">
        <v>1750000</v>
      </c>
      <c r="G266" s="257">
        <v>1750000</v>
      </c>
      <c r="H266" s="257">
        <v>0</v>
      </c>
      <c r="I266" s="257">
        <v>0</v>
      </c>
      <c r="J266" s="257">
        <v>0</v>
      </c>
      <c r="K266" s="257">
        <v>1071598</v>
      </c>
      <c r="L266" s="257">
        <v>0</v>
      </c>
      <c r="M266" s="257">
        <v>678402</v>
      </c>
      <c r="N266" s="257">
        <v>678402</v>
      </c>
    </row>
    <row r="267" spans="1:14" s="143" customFormat="1" x14ac:dyDescent="0.25">
      <c r="A267" s="143" t="s">
        <v>290</v>
      </c>
      <c r="B267" s="143" t="s">
        <v>320</v>
      </c>
      <c r="C267" s="143" t="s">
        <v>321</v>
      </c>
      <c r="D267" s="143" t="s">
        <v>69</v>
      </c>
      <c r="E267" s="257">
        <v>70000</v>
      </c>
      <c r="F267" s="257">
        <v>70000</v>
      </c>
      <c r="G267" s="257">
        <v>70000</v>
      </c>
      <c r="H267" s="257">
        <v>0</v>
      </c>
      <c r="I267" s="257">
        <v>0</v>
      </c>
      <c r="J267" s="257">
        <v>0</v>
      </c>
      <c r="K267" s="257">
        <v>0</v>
      </c>
      <c r="L267" s="257">
        <v>0</v>
      </c>
      <c r="M267" s="257">
        <v>70000</v>
      </c>
      <c r="N267" s="257">
        <v>70000</v>
      </c>
    </row>
    <row r="268" spans="1:14" s="143" customFormat="1" x14ac:dyDescent="0.25">
      <c r="A268" s="143" t="s">
        <v>290</v>
      </c>
      <c r="B268" s="143" t="s">
        <v>204</v>
      </c>
      <c r="C268" s="143" t="s">
        <v>205</v>
      </c>
      <c r="D268" s="143" t="s">
        <v>69</v>
      </c>
      <c r="E268" s="257">
        <v>500000</v>
      </c>
      <c r="F268" s="257">
        <v>500000</v>
      </c>
      <c r="G268" s="257">
        <v>500000</v>
      </c>
      <c r="H268" s="257">
        <v>0</v>
      </c>
      <c r="I268" s="257">
        <v>0</v>
      </c>
      <c r="J268" s="257">
        <v>0</v>
      </c>
      <c r="K268" s="257">
        <v>236964</v>
      </c>
      <c r="L268" s="257">
        <v>0</v>
      </c>
      <c r="M268" s="257">
        <v>263036</v>
      </c>
      <c r="N268" s="257">
        <v>263036</v>
      </c>
    </row>
    <row r="269" spans="1:14" s="143" customFormat="1" x14ac:dyDescent="0.25">
      <c r="A269" s="143" t="s">
        <v>290</v>
      </c>
      <c r="B269" s="143" t="s">
        <v>322</v>
      </c>
      <c r="C269" s="143" t="s">
        <v>323</v>
      </c>
      <c r="D269" s="143" t="s">
        <v>69</v>
      </c>
      <c r="E269" s="257">
        <v>310000</v>
      </c>
      <c r="F269" s="257">
        <v>310000</v>
      </c>
      <c r="G269" s="257">
        <v>310000</v>
      </c>
      <c r="H269" s="257">
        <v>0</v>
      </c>
      <c r="I269" s="257">
        <v>0</v>
      </c>
      <c r="J269" s="257">
        <v>0</v>
      </c>
      <c r="K269" s="257">
        <v>0</v>
      </c>
      <c r="L269" s="257">
        <v>0</v>
      </c>
      <c r="M269" s="257">
        <v>310000</v>
      </c>
      <c r="N269" s="257">
        <v>310000</v>
      </c>
    </row>
    <row r="270" spans="1:14" s="143" customFormat="1" x14ac:dyDescent="0.25">
      <c r="A270" s="143" t="s">
        <v>290</v>
      </c>
      <c r="B270" s="143" t="s">
        <v>206</v>
      </c>
      <c r="C270" s="143" t="s">
        <v>207</v>
      </c>
      <c r="D270" s="143" t="s">
        <v>69</v>
      </c>
      <c r="E270" s="257">
        <v>956000</v>
      </c>
      <c r="F270" s="257">
        <v>1956000</v>
      </c>
      <c r="G270" s="257">
        <v>1956000</v>
      </c>
      <c r="H270" s="257">
        <v>0</v>
      </c>
      <c r="I270" s="257">
        <v>0</v>
      </c>
      <c r="J270" s="257">
        <v>0</v>
      </c>
      <c r="K270" s="257">
        <v>1436461.32</v>
      </c>
      <c r="L270" s="257">
        <v>787930.24</v>
      </c>
      <c r="M270" s="257">
        <v>519538.68</v>
      </c>
      <c r="N270" s="257">
        <v>519538.68</v>
      </c>
    </row>
    <row r="271" spans="1:14" s="143" customFormat="1" x14ac:dyDescent="0.25">
      <c r="A271" s="143" t="s">
        <v>290</v>
      </c>
      <c r="B271" s="143" t="s">
        <v>208</v>
      </c>
      <c r="C271" s="143" t="s">
        <v>209</v>
      </c>
      <c r="D271" s="143" t="s">
        <v>69</v>
      </c>
      <c r="E271" s="257">
        <v>171000</v>
      </c>
      <c r="F271" s="257">
        <v>171000</v>
      </c>
      <c r="G271" s="257">
        <v>171000</v>
      </c>
      <c r="H271" s="257">
        <v>0</v>
      </c>
      <c r="I271" s="257">
        <v>0</v>
      </c>
      <c r="J271" s="257">
        <v>0</v>
      </c>
      <c r="K271" s="257">
        <v>33289.75</v>
      </c>
      <c r="L271" s="257">
        <v>18284.75</v>
      </c>
      <c r="M271" s="257">
        <v>137710.25</v>
      </c>
      <c r="N271" s="257">
        <v>137710.25</v>
      </c>
    </row>
    <row r="272" spans="1:14" s="143" customFormat="1" x14ac:dyDescent="0.25">
      <c r="A272" s="143" t="s">
        <v>290</v>
      </c>
      <c r="B272" s="143" t="s">
        <v>210</v>
      </c>
      <c r="C272" s="143" t="s">
        <v>211</v>
      </c>
      <c r="D272" s="143" t="s">
        <v>69</v>
      </c>
      <c r="E272" s="257">
        <v>785000</v>
      </c>
      <c r="F272" s="257">
        <v>1785000</v>
      </c>
      <c r="G272" s="257">
        <v>1785000</v>
      </c>
      <c r="H272" s="257">
        <v>0</v>
      </c>
      <c r="I272" s="257">
        <v>0</v>
      </c>
      <c r="J272" s="257">
        <v>0</v>
      </c>
      <c r="K272" s="257">
        <v>1403171.57</v>
      </c>
      <c r="L272" s="257">
        <v>769645.49</v>
      </c>
      <c r="M272" s="257">
        <v>381828.43</v>
      </c>
      <c r="N272" s="257">
        <v>381828.43</v>
      </c>
    </row>
    <row r="273" spans="1:14" s="143" customFormat="1" x14ac:dyDescent="0.25">
      <c r="A273" s="143" t="s">
        <v>290</v>
      </c>
      <c r="B273" s="143" t="s">
        <v>212</v>
      </c>
      <c r="C273" s="143" t="s">
        <v>831</v>
      </c>
      <c r="D273" s="143" t="s">
        <v>69</v>
      </c>
      <c r="E273" s="257">
        <v>40151000</v>
      </c>
      <c r="F273" s="257">
        <v>25051000</v>
      </c>
      <c r="G273" s="257">
        <v>25051000</v>
      </c>
      <c r="H273" s="257">
        <v>0</v>
      </c>
      <c r="I273" s="257">
        <v>1097115</v>
      </c>
      <c r="J273" s="257">
        <v>0</v>
      </c>
      <c r="K273" s="257">
        <v>21357599.41</v>
      </c>
      <c r="L273" s="257">
        <v>15719762.65</v>
      </c>
      <c r="M273" s="257">
        <v>2596285.59</v>
      </c>
      <c r="N273" s="257">
        <v>2596285.59</v>
      </c>
    </row>
    <row r="274" spans="1:14" s="143" customFormat="1" x14ac:dyDescent="0.25">
      <c r="A274" s="143" t="s">
        <v>290</v>
      </c>
      <c r="B274" s="143" t="s">
        <v>214</v>
      </c>
      <c r="C274" s="143" t="s">
        <v>215</v>
      </c>
      <c r="D274" s="143" t="s">
        <v>69</v>
      </c>
      <c r="E274" s="257">
        <v>8270000</v>
      </c>
      <c r="F274" s="257">
        <v>4770000</v>
      </c>
      <c r="G274" s="257">
        <v>4770000</v>
      </c>
      <c r="H274" s="257">
        <v>0</v>
      </c>
      <c r="I274" s="257">
        <v>119000</v>
      </c>
      <c r="J274" s="257">
        <v>0</v>
      </c>
      <c r="K274" s="257">
        <v>3884720.95</v>
      </c>
      <c r="L274" s="257">
        <v>3182095.95</v>
      </c>
      <c r="M274" s="257">
        <v>766279.05</v>
      </c>
      <c r="N274" s="257">
        <v>766279.05</v>
      </c>
    </row>
    <row r="275" spans="1:14" s="143" customFormat="1" x14ac:dyDescent="0.25">
      <c r="A275" s="143" t="s">
        <v>290</v>
      </c>
      <c r="B275" s="143" t="s">
        <v>216</v>
      </c>
      <c r="C275" s="143" t="s">
        <v>217</v>
      </c>
      <c r="D275" s="143" t="s">
        <v>69</v>
      </c>
      <c r="E275" s="257">
        <v>21000</v>
      </c>
      <c r="F275" s="257">
        <v>21000</v>
      </c>
      <c r="G275" s="257">
        <v>21000</v>
      </c>
      <c r="H275" s="257">
        <v>0</v>
      </c>
      <c r="I275" s="257">
        <v>0</v>
      </c>
      <c r="J275" s="257">
        <v>0</v>
      </c>
      <c r="K275" s="257">
        <v>18856.259999999998</v>
      </c>
      <c r="L275" s="257">
        <v>0</v>
      </c>
      <c r="M275" s="257">
        <v>2143.7399999999998</v>
      </c>
      <c r="N275" s="257">
        <v>2143.7399999999998</v>
      </c>
    </row>
    <row r="276" spans="1:14" s="143" customFormat="1" x14ac:dyDescent="0.25">
      <c r="A276" s="143" t="s">
        <v>290</v>
      </c>
      <c r="B276" s="143" t="s">
        <v>218</v>
      </c>
      <c r="C276" s="143" t="s">
        <v>219</v>
      </c>
      <c r="D276" s="143" t="s">
        <v>69</v>
      </c>
      <c r="E276" s="257">
        <v>28400000</v>
      </c>
      <c r="F276" s="257">
        <v>17400000</v>
      </c>
      <c r="G276" s="257">
        <v>17400000</v>
      </c>
      <c r="H276" s="257">
        <v>0</v>
      </c>
      <c r="I276" s="257">
        <v>449375</v>
      </c>
      <c r="J276" s="257">
        <v>0</v>
      </c>
      <c r="K276" s="257">
        <v>15516463.199999999</v>
      </c>
      <c r="L276" s="257">
        <v>10600107.699999999</v>
      </c>
      <c r="M276" s="257">
        <v>1434161.8</v>
      </c>
      <c r="N276" s="257">
        <v>1434161.8</v>
      </c>
    </row>
    <row r="277" spans="1:14" s="143" customFormat="1" x14ac:dyDescent="0.25">
      <c r="A277" s="143" t="s">
        <v>290</v>
      </c>
      <c r="B277" s="143" t="s">
        <v>220</v>
      </c>
      <c r="C277" s="143" t="s">
        <v>221</v>
      </c>
      <c r="D277" s="143" t="s">
        <v>69</v>
      </c>
      <c r="E277" s="257">
        <v>1255000</v>
      </c>
      <c r="F277" s="257">
        <v>1255000</v>
      </c>
      <c r="G277" s="257">
        <v>1255000</v>
      </c>
      <c r="H277" s="257">
        <v>0</v>
      </c>
      <c r="I277" s="257">
        <v>0</v>
      </c>
      <c r="J277" s="257">
        <v>0</v>
      </c>
      <c r="K277" s="257">
        <v>1094570</v>
      </c>
      <c r="L277" s="257">
        <v>1094570</v>
      </c>
      <c r="M277" s="257">
        <v>160430</v>
      </c>
      <c r="N277" s="257">
        <v>160430</v>
      </c>
    </row>
    <row r="278" spans="1:14" s="143" customFormat="1" x14ac:dyDescent="0.25">
      <c r="A278" s="143" t="s">
        <v>290</v>
      </c>
      <c r="B278" s="143" t="s">
        <v>222</v>
      </c>
      <c r="C278" s="143" t="s">
        <v>223</v>
      </c>
      <c r="D278" s="143" t="s">
        <v>69</v>
      </c>
      <c r="E278" s="257">
        <v>1360000</v>
      </c>
      <c r="F278" s="257">
        <v>860000</v>
      </c>
      <c r="G278" s="257">
        <v>860000</v>
      </c>
      <c r="H278" s="257">
        <v>0</v>
      </c>
      <c r="I278" s="257">
        <v>386600</v>
      </c>
      <c r="J278" s="257">
        <v>0</v>
      </c>
      <c r="K278" s="257">
        <v>368959</v>
      </c>
      <c r="L278" s="257">
        <v>368959</v>
      </c>
      <c r="M278" s="257">
        <v>104441</v>
      </c>
      <c r="N278" s="257">
        <v>104441</v>
      </c>
    </row>
    <row r="279" spans="1:14" s="143" customFormat="1" x14ac:dyDescent="0.25">
      <c r="A279" s="143" t="s">
        <v>290</v>
      </c>
      <c r="B279" s="143" t="s">
        <v>224</v>
      </c>
      <c r="C279" s="143" t="s">
        <v>225</v>
      </c>
      <c r="D279" s="143" t="s">
        <v>69</v>
      </c>
      <c r="E279" s="257">
        <v>105000</v>
      </c>
      <c r="F279" s="257">
        <v>105000</v>
      </c>
      <c r="G279" s="257">
        <v>105000</v>
      </c>
      <c r="H279" s="257">
        <v>0</v>
      </c>
      <c r="I279" s="257">
        <v>4800</v>
      </c>
      <c r="J279" s="257">
        <v>0</v>
      </c>
      <c r="K279" s="257">
        <v>83580</v>
      </c>
      <c r="L279" s="257">
        <v>83580</v>
      </c>
      <c r="M279" s="257">
        <v>16620</v>
      </c>
      <c r="N279" s="257">
        <v>16620</v>
      </c>
    </row>
    <row r="280" spans="1:14" s="143" customFormat="1" x14ac:dyDescent="0.25">
      <c r="A280" s="143" t="s">
        <v>290</v>
      </c>
      <c r="B280" s="143" t="s">
        <v>226</v>
      </c>
      <c r="C280" s="143" t="s">
        <v>227</v>
      </c>
      <c r="D280" s="143" t="s">
        <v>69</v>
      </c>
      <c r="E280" s="257">
        <v>100000</v>
      </c>
      <c r="F280" s="257">
        <v>0</v>
      </c>
      <c r="G280" s="257">
        <v>0</v>
      </c>
      <c r="H280" s="257">
        <v>0</v>
      </c>
      <c r="I280" s="257">
        <v>0</v>
      </c>
      <c r="J280" s="257">
        <v>0</v>
      </c>
      <c r="K280" s="257">
        <v>0</v>
      </c>
      <c r="L280" s="257">
        <v>0</v>
      </c>
      <c r="M280" s="257">
        <v>0</v>
      </c>
      <c r="N280" s="257">
        <v>0</v>
      </c>
    </row>
    <row r="281" spans="1:14" s="143" customFormat="1" x14ac:dyDescent="0.25">
      <c r="A281" s="143" t="s">
        <v>290</v>
      </c>
      <c r="B281" s="143" t="s">
        <v>228</v>
      </c>
      <c r="C281" s="143" t="s">
        <v>229</v>
      </c>
      <c r="D281" s="143" t="s">
        <v>69</v>
      </c>
      <c r="E281" s="257">
        <v>640000</v>
      </c>
      <c r="F281" s="257">
        <v>640000</v>
      </c>
      <c r="G281" s="257">
        <v>640000</v>
      </c>
      <c r="H281" s="257">
        <v>0</v>
      </c>
      <c r="I281" s="257">
        <v>137340</v>
      </c>
      <c r="J281" s="257">
        <v>0</v>
      </c>
      <c r="K281" s="257">
        <v>390450</v>
      </c>
      <c r="L281" s="257">
        <v>390450</v>
      </c>
      <c r="M281" s="257">
        <v>112210</v>
      </c>
      <c r="N281" s="257">
        <v>112210</v>
      </c>
    </row>
    <row r="282" spans="1:14" s="143" customFormat="1" x14ac:dyDescent="0.25">
      <c r="A282" s="143" t="s">
        <v>290</v>
      </c>
      <c r="B282" s="143" t="s">
        <v>248</v>
      </c>
      <c r="C282" s="143" t="s">
        <v>249</v>
      </c>
      <c r="D282" s="143" t="s">
        <v>69</v>
      </c>
      <c r="E282" s="257">
        <v>212092000</v>
      </c>
      <c r="F282" s="257">
        <v>221812236</v>
      </c>
      <c r="G282" s="257">
        <v>221812236</v>
      </c>
      <c r="H282" s="257">
        <v>0</v>
      </c>
      <c r="I282" s="257">
        <v>0</v>
      </c>
      <c r="J282" s="257">
        <v>0</v>
      </c>
      <c r="K282" s="257">
        <v>210221037.65000001</v>
      </c>
      <c r="L282" s="257">
        <v>184527718.03999999</v>
      </c>
      <c r="M282" s="257">
        <v>11591198.35</v>
      </c>
      <c r="N282" s="257">
        <v>11591198.35</v>
      </c>
    </row>
    <row r="283" spans="1:14" s="143" customFormat="1" x14ac:dyDescent="0.25">
      <c r="A283" s="143" t="s">
        <v>290</v>
      </c>
      <c r="B283" s="143" t="s">
        <v>250</v>
      </c>
      <c r="C283" s="143" t="s">
        <v>251</v>
      </c>
      <c r="D283" s="143" t="s">
        <v>69</v>
      </c>
      <c r="E283" s="257">
        <v>60592000</v>
      </c>
      <c r="F283" s="257">
        <v>59176836</v>
      </c>
      <c r="G283" s="257">
        <v>59176836</v>
      </c>
      <c r="H283" s="257">
        <v>0</v>
      </c>
      <c r="I283" s="257">
        <v>0</v>
      </c>
      <c r="J283" s="257">
        <v>0</v>
      </c>
      <c r="K283" s="257">
        <v>58135697.829999998</v>
      </c>
      <c r="L283" s="257">
        <v>58135697.829999998</v>
      </c>
      <c r="M283" s="257">
        <v>1041138.17</v>
      </c>
      <c r="N283" s="257">
        <v>1041138.17</v>
      </c>
    </row>
    <row r="284" spans="1:14" s="143" customFormat="1" x14ac:dyDescent="0.25">
      <c r="A284" s="143" t="s">
        <v>290</v>
      </c>
      <c r="B284" s="143" t="s">
        <v>332</v>
      </c>
      <c r="C284" s="143" t="s">
        <v>832</v>
      </c>
      <c r="D284" s="143" t="s">
        <v>69</v>
      </c>
      <c r="E284" s="257">
        <v>42341000</v>
      </c>
      <c r="F284" s="257">
        <v>42341000</v>
      </c>
      <c r="G284" s="257">
        <v>42341000</v>
      </c>
      <c r="H284" s="257">
        <v>0</v>
      </c>
      <c r="I284" s="257">
        <v>0</v>
      </c>
      <c r="J284" s="257">
        <v>0</v>
      </c>
      <c r="K284" s="257">
        <v>42341000</v>
      </c>
      <c r="L284" s="257">
        <v>42341000</v>
      </c>
      <c r="M284" s="257">
        <v>0</v>
      </c>
      <c r="N284" s="257">
        <v>0</v>
      </c>
    </row>
    <row r="285" spans="1:14" s="143" customFormat="1" x14ac:dyDescent="0.25">
      <c r="A285" s="143" t="s">
        <v>290</v>
      </c>
      <c r="B285" s="143" t="s">
        <v>333</v>
      </c>
      <c r="C285" s="143" t="s">
        <v>833</v>
      </c>
      <c r="D285" s="143" t="s">
        <v>69</v>
      </c>
      <c r="E285" s="257">
        <v>18251000</v>
      </c>
      <c r="F285" s="257">
        <v>16835836</v>
      </c>
      <c r="G285" s="257">
        <v>16835836</v>
      </c>
      <c r="H285" s="257">
        <v>0</v>
      </c>
      <c r="I285" s="257">
        <v>0</v>
      </c>
      <c r="J285" s="257">
        <v>0</v>
      </c>
      <c r="K285" s="257">
        <v>15794697.83</v>
      </c>
      <c r="L285" s="257">
        <v>15794697.83</v>
      </c>
      <c r="M285" s="257">
        <v>1041138.17</v>
      </c>
      <c r="N285" s="257">
        <v>1041138.17</v>
      </c>
    </row>
    <row r="286" spans="1:14" s="143" customFormat="1" x14ac:dyDescent="0.25">
      <c r="A286" s="143" t="s">
        <v>290</v>
      </c>
      <c r="B286" s="143" t="s">
        <v>260</v>
      </c>
      <c r="C286" s="143" t="s">
        <v>261</v>
      </c>
      <c r="D286" s="143" t="s">
        <v>69</v>
      </c>
      <c r="E286" s="257">
        <v>148500000</v>
      </c>
      <c r="F286" s="257">
        <v>159635400</v>
      </c>
      <c r="G286" s="257">
        <v>159635400</v>
      </c>
      <c r="H286" s="257">
        <v>0</v>
      </c>
      <c r="I286" s="257">
        <v>0</v>
      </c>
      <c r="J286" s="257">
        <v>0</v>
      </c>
      <c r="K286" s="257">
        <v>151423680</v>
      </c>
      <c r="L286" s="257">
        <v>125730360.39</v>
      </c>
      <c r="M286" s="257">
        <v>8211720</v>
      </c>
      <c r="N286" s="257">
        <v>8211720</v>
      </c>
    </row>
    <row r="287" spans="1:14" s="143" customFormat="1" x14ac:dyDescent="0.25">
      <c r="A287" s="143" t="s">
        <v>290</v>
      </c>
      <c r="B287" s="143" t="s">
        <v>262</v>
      </c>
      <c r="C287" s="143" t="s">
        <v>263</v>
      </c>
      <c r="D287" s="143" t="s">
        <v>69</v>
      </c>
      <c r="E287" s="257">
        <v>118500000</v>
      </c>
      <c r="F287" s="257">
        <v>129635400</v>
      </c>
      <c r="G287" s="257">
        <v>129635400</v>
      </c>
      <c r="H287" s="257">
        <v>0</v>
      </c>
      <c r="I287" s="257">
        <v>0</v>
      </c>
      <c r="J287" s="257">
        <v>0</v>
      </c>
      <c r="K287" s="257">
        <v>129635400</v>
      </c>
      <c r="L287" s="257">
        <v>103942080.39</v>
      </c>
      <c r="M287" s="257">
        <v>0</v>
      </c>
      <c r="N287" s="257">
        <v>0</v>
      </c>
    </row>
    <row r="288" spans="1:14" s="143" customFormat="1" x14ac:dyDescent="0.25">
      <c r="A288" s="143" t="s">
        <v>290</v>
      </c>
      <c r="B288" s="143" t="s">
        <v>264</v>
      </c>
      <c r="C288" s="143" t="s">
        <v>265</v>
      </c>
      <c r="D288" s="143" t="s">
        <v>69</v>
      </c>
      <c r="E288" s="257">
        <v>30000000</v>
      </c>
      <c r="F288" s="257">
        <v>30000000</v>
      </c>
      <c r="G288" s="257">
        <v>30000000</v>
      </c>
      <c r="H288" s="257">
        <v>0</v>
      </c>
      <c r="I288" s="257">
        <v>0</v>
      </c>
      <c r="J288" s="257">
        <v>0</v>
      </c>
      <c r="K288" s="257">
        <v>21788280</v>
      </c>
      <c r="L288" s="257">
        <v>21788280</v>
      </c>
      <c r="M288" s="257">
        <v>8211720</v>
      </c>
      <c r="N288" s="257">
        <v>8211720</v>
      </c>
    </row>
    <row r="289" spans="1:14" s="143" customFormat="1" x14ac:dyDescent="0.25">
      <c r="A289" s="143" t="s">
        <v>290</v>
      </c>
      <c r="B289" s="143" t="s">
        <v>286</v>
      </c>
      <c r="C289" s="143" t="s">
        <v>287</v>
      </c>
      <c r="D289" s="143" t="s">
        <v>69</v>
      </c>
      <c r="E289" s="257">
        <v>3000000</v>
      </c>
      <c r="F289" s="257">
        <v>3000000</v>
      </c>
      <c r="G289" s="257">
        <v>3000000</v>
      </c>
      <c r="H289" s="257">
        <v>0</v>
      </c>
      <c r="I289" s="257">
        <v>0</v>
      </c>
      <c r="J289" s="257">
        <v>0</v>
      </c>
      <c r="K289" s="257">
        <v>661659.81999999995</v>
      </c>
      <c r="L289" s="257">
        <v>661659.81999999995</v>
      </c>
      <c r="M289" s="257">
        <v>2338340.1800000002</v>
      </c>
      <c r="N289" s="257">
        <v>2338340.1800000002</v>
      </c>
    </row>
    <row r="290" spans="1:14" s="143" customFormat="1" x14ac:dyDescent="0.25">
      <c r="A290" s="143" t="s">
        <v>290</v>
      </c>
      <c r="B290" s="143" t="s">
        <v>288</v>
      </c>
      <c r="C290" s="143" t="s">
        <v>289</v>
      </c>
      <c r="D290" s="143" t="s">
        <v>69</v>
      </c>
      <c r="E290" s="257">
        <v>3000000</v>
      </c>
      <c r="F290" s="257">
        <v>3000000</v>
      </c>
      <c r="G290" s="257">
        <v>3000000</v>
      </c>
      <c r="H290" s="257">
        <v>0</v>
      </c>
      <c r="I290" s="257">
        <v>0</v>
      </c>
      <c r="J290" s="257">
        <v>0</v>
      </c>
      <c r="K290" s="257">
        <v>661659.81999999995</v>
      </c>
      <c r="L290" s="257">
        <v>661659.81999999995</v>
      </c>
      <c r="M290" s="257">
        <v>2338340.1800000002</v>
      </c>
      <c r="N290" s="257">
        <v>2338340.1800000002</v>
      </c>
    </row>
    <row r="291" spans="1:14" s="143" customFormat="1" x14ac:dyDescent="0.25">
      <c r="A291" s="143" t="s">
        <v>290</v>
      </c>
      <c r="B291" s="143" t="s">
        <v>678</v>
      </c>
      <c r="C291" s="143" t="s">
        <v>679</v>
      </c>
      <c r="D291" s="143" t="s">
        <v>69</v>
      </c>
      <c r="E291" s="257">
        <v>0</v>
      </c>
      <c r="F291" s="257">
        <v>0</v>
      </c>
      <c r="G291" s="257">
        <v>0</v>
      </c>
      <c r="H291" s="257">
        <v>0</v>
      </c>
      <c r="I291" s="257">
        <v>0</v>
      </c>
      <c r="J291" s="257">
        <v>0</v>
      </c>
      <c r="K291" s="257">
        <v>0</v>
      </c>
      <c r="L291" s="257">
        <v>0</v>
      </c>
      <c r="M291" s="257">
        <v>0</v>
      </c>
      <c r="N291" s="257">
        <v>0</v>
      </c>
    </row>
    <row r="292" spans="1:14" s="143" customFormat="1" x14ac:dyDescent="0.25">
      <c r="A292" s="143" t="s">
        <v>290</v>
      </c>
      <c r="B292" s="143" t="s">
        <v>680</v>
      </c>
      <c r="C292" s="143" t="s">
        <v>681</v>
      </c>
      <c r="D292" s="143" t="s">
        <v>69</v>
      </c>
      <c r="E292" s="257">
        <v>0</v>
      </c>
      <c r="F292" s="257">
        <v>0</v>
      </c>
      <c r="G292" s="257">
        <v>0</v>
      </c>
      <c r="H292" s="257">
        <v>0</v>
      </c>
      <c r="I292" s="257">
        <v>0</v>
      </c>
      <c r="J292" s="257">
        <v>0</v>
      </c>
      <c r="K292" s="257">
        <v>0</v>
      </c>
      <c r="L292" s="257">
        <v>0</v>
      </c>
      <c r="M292" s="257">
        <v>0</v>
      </c>
      <c r="N292" s="257">
        <v>0</v>
      </c>
    </row>
    <row r="293" spans="1:14" s="143" customFormat="1" x14ac:dyDescent="0.25">
      <c r="A293" s="143" t="s">
        <v>290</v>
      </c>
      <c r="B293" s="143" t="s">
        <v>682</v>
      </c>
      <c r="C293" s="143" t="s">
        <v>683</v>
      </c>
      <c r="D293" s="143" t="s">
        <v>69</v>
      </c>
      <c r="E293" s="257">
        <v>0</v>
      </c>
      <c r="F293" s="257">
        <v>0</v>
      </c>
      <c r="G293" s="257">
        <v>0</v>
      </c>
      <c r="H293" s="257">
        <v>0</v>
      </c>
      <c r="I293" s="257">
        <v>0</v>
      </c>
      <c r="J293" s="257">
        <v>0</v>
      </c>
      <c r="K293" s="257">
        <v>0</v>
      </c>
      <c r="L293" s="257">
        <v>0</v>
      </c>
      <c r="M293" s="257">
        <v>0</v>
      </c>
      <c r="N293" s="257">
        <v>0</v>
      </c>
    </row>
    <row r="294" spans="1:14" s="143" customFormat="1" x14ac:dyDescent="0.25">
      <c r="A294" s="143" t="s">
        <v>290</v>
      </c>
      <c r="B294" s="143" t="s">
        <v>682</v>
      </c>
      <c r="C294" s="143" t="s">
        <v>683</v>
      </c>
      <c r="D294" s="143" t="s">
        <v>85</v>
      </c>
      <c r="E294" s="257">
        <v>0</v>
      </c>
      <c r="F294" s="257">
        <v>0</v>
      </c>
      <c r="G294" s="257">
        <v>0</v>
      </c>
      <c r="H294" s="257">
        <v>0</v>
      </c>
      <c r="I294" s="257">
        <v>0</v>
      </c>
      <c r="J294" s="257">
        <v>0</v>
      </c>
      <c r="K294" s="257">
        <v>0</v>
      </c>
      <c r="L294" s="257">
        <v>0</v>
      </c>
      <c r="M294" s="257">
        <v>0</v>
      </c>
      <c r="N294" s="257">
        <v>0</v>
      </c>
    </row>
    <row r="295" spans="1:14" s="143" customFormat="1" x14ac:dyDescent="0.25">
      <c r="A295" s="143" t="s">
        <v>290</v>
      </c>
      <c r="B295" s="143" t="s">
        <v>230</v>
      </c>
      <c r="C295" s="143" t="s">
        <v>231</v>
      </c>
      <c r="D295" s="143" t="s">
        <v>85</v>
      </c>
      <c r="E295" s="257">
        <v>441435000</v>
      </c>
      <c r="F295" s="257">
        <v>426435000</v>
      </c>
      <c r="G295" s="257">
        <v>426435000</v>
      </c>
      <c r="H295" s="257">
        <v>0</v>
      </c>
      <c r="I295" s="257">
        <v>16006564.1</v>
      </c>
      <c r="J295" s="257">
        <v>0</v>
      </c>
      <c r="K295" s="257">
        <v>320634474.94999999</v>
      </c>
      <c r="L295" s="257">
        <v>225404530.03</v>
      </c>
      <c r="M295" s="257">
        <v>89793960.950000003</v>
      </c>
      <c r="N295" s="257">
        <v>89793960.950000003</v>
      </c>
    </row>
    <row r="296" spans="1:14" s="143" customFormat="1" x14ac:dyDescent="0.25">
      <c r="A296" s="143" t="s">
        <v>290</v>
      </c>
      <c r="B296" s="143" t="s">
        <v>232</v>
      </c>
      <c r="C296" s="143" t="s">
        <v>233</v>
      </c>
      <c r="D296" s="143" t="s">
        <v>85</v>
      </c>
      <c r="E296" s="257">
        <v>209185000</v>
      </c>
      <c r="F296" s="257">
        <v>209185000</v>
      </c>
      <c r="G296" s="257">
        <v>209185000</v>
      </c>
      <c r="H296" s="257">
        <v>0</v>
      </c>
      <c r="I296" s="257">
        <v>14655581.91</v>
      </c>
      <c r="J296" s="257">
        <v>0</v>
      </c>
      <c r="K296" s="257">
        <v>183374709.53</v>
      </c>
      <c r="L296" s="257">
        <v>145299331.81</v>
      </c>
      <c r="M296" s="257">
        <v>11154708.560000001</v>
      </c>
      <c r="N296" s="257">
        <v>11154708.560000001</v>
      </c>
    </row>
    <row r="297" spans="1:14" s="143" customFormat="1" x14ac:dyDescent="0.25">
      <c r="A297" s="143" t="s">
        <v>290</v>
      </c>
      <c r="B297" s="143" t="s">
        <v>234</v>
      </c>
      <c r="C297" s="143" t="s">
        <v>235</v>
      </c>
      <c r="D297" s="143" t="s">
        <v>85</v>
      </c>
      <c r="E297" s="257">
        <v>75000</v>
      </c>
      <c r="F297" s="257">
        <v>75000</v>
      </c>
      <c r="G297" s="257">
        <v>75000</v>
      </c>
      <c r="H297" s="257">
        <v>0</v>
      </c>
      <c r="I297" s="257">
        <v>0</v>
      </c>
      <c r="J297" s="257">
        <v>0</v>
      </c>
      <c r="K297" s="257">
        <v>0</v>
      </c>
      <c r="L297" s="257">
        <v>0</v>
      </c>
      <c r="M297" s="257">
        <v>75000</v>
      </c>
      <c r="N297" s="257">
        <v>75000</v>
      </c>
    </row>
    <row r="298" spans="1:14" s="143" customFormat="1" x14ac:dyDescent="0.25">
      <c r="A298" s="143" t="s">
        <v>290</v>
      </c>
      <c r="B298" s="143" t="s">
        <v>324</v>
      </c>
      <c r="C298" s="143" t="s">
        <v>325</v>
      </c>
      <c r="D298" s="143" t="s">
        <v>85</v>
      </c>
      <c r="E298" s="257">
        <v>29000000</v>
      </c>
      <c r="F298" s="257">
        <v>29000000</v>
      </c>
      <c r="G298" s="257">
        <v>29000000</v>
      </c>
      <c r="H298" s="257">
        <v>0</v>
      </c>
      <c r="I298" s="257">
        <v>14655581.91</v>
      </c>
      <c r="J298" s="257">
        <v>0</v>
      </c>
      <c r="K298" s="257">
        <v>14235296.560000001</v>
      </c>
      <c r="L298" s="257">
        <v>0</v>
      </c>
      <c r="M298" s="257">
        <v>109121.53</v>
      </c>
      <c r="N298" s="257">
        <v>109121.53</v>
      </c>
    </row>
    <row r="299" spans="1:14" s="143" customFormat="1" x14ac:dyDescent="0.25">
      <c r="A299" s="143" t="s">
        <v>290</v>
      </c>
      <c r="B299" s="143" t="s">
        <v>236</v>
      </c>
      <c r="C299" s="143" t="s">
        <v>237</v>
      </c>
      <c r="D299" s="143" t="s">
        <v>85</v>
      </c>
      <c r="E299" s="257">
        <v>9900000</v>
      </c>
      <c r="F299" s="257">
        <v>9900000</v>
      </c>
      <c r="G299" s="257">
        <v>9900000</v>
      </c>
      <c r="H299" s="257">
        <v>0</v>
      </c>
      <c r="I299" s="257">
        <v>0</v>
      </c>
      <c r="J299" s="257">
        <v>0</v>
      </c>
      <c r="K299" s="257">
        <v>8696071.6099999994</v>
      </c>
      <c r="L299" s="257">
        <v>8197071.6100000003</v>
      </c>
      <c r="M299" s="257">
        <v>1203928.3899999999</v>
      </c>
      <c r="N299" s="257">
        <v>1203928.3899999999</v>
      </c>
    </row>
    <row r="300" spans="1:14" s="143" customFormat="1" x14ac:dyDescent="0.25">
      <c r="A300" s="143" t="s">
        <v>290</v>
      </c>
      <c r="B300" s="143" t="s">
        <v>238</v>
      </c>
      <c r="C300" s="143" t="s">
        <v>239</v>
      </c>
      <c r="D300" s="143" t="s">
        <v>85</v>
      </c>
      <c r="E300" s="257">
        <v>22140000</v>
      </c>
      <c r="F300" s="257">
        <v>22140000</v>
      </c>
      <c r="G300" s="257">
        <v>22140000</v>
      </c>
      <c r="H300" s="257">
        <v>0</v>
      </c>
      <c r="I300" s="257">
        <v>0</v>
      </c>
      <c r="J300" s="257">
        <v>0</v>
      </c>
      <c r="K300" s="257">
        <v>20212691.68</v>
      </c>
      <c r="L300" s="257">
        <v>10160460.880000001</v>
      </c>
      <c r="M300" s="257">
        <v>1927308.32</v>
      </c>
      <c r="N300" s="257">
        <v>1927308.32</v>
      </c>
    </row>
    <row r="301" spans="1:14" s="143" customFormat="1" x14ac:dyDescent="0.25">
      <c r="A301" s="143" t="s">
        <v>290</v>
      </c>
      <c r="B301" s="143" t="s">
        <v>282</v>
      </c>
      <c r="C301" s="143" t="s">
        <v>283</v>
      </c>
      <c r="D301" s="143" t="s">
        <v>85</v>
      </c>
      <c r="E301" s="257">
        <v>142070000</v>
      </c>
      <c r="F301" s="257">
        <v>142070000</v>
      </c>
      <c r="G301" s="257">
        <v>142070000</v>
      </c>
      <c r="H301" s="257">
        <v>0</v>
      </c>
      <c r="I301" s="257">
        <v>0</v>
      </c>
      <c r="J301" s="257">
        <v>0</v>
      </c>
      <c r="K301" s="257">
        <v>134778067.52000001</v>
      </c>
      <c r="L301" s="257">
        <v>121580417.16</v>
      </c>
      <c r="M301" s="257">
        <v>7291932.4800000004</v>
      </c>
      <c r="N301" s="257">
        <v>7291932.4800000004</v>
      </c>
    </row>
    <row r="302" spans="1:14" s="143" customFormat="1" x14ac:dyDescent="0.25">
      <c r="A302" s="143" t="s">
        <v>290</v>
      </c>
      <c r="B302" s="143" t="s">
        <v>326</v>
      </c>
      <c r="C302" s="143" t="s">
        <v>327</v>
      </c>
      <c r="D302" s="143" t="s">
        <v>85</v>
      </c>
      <c r="E302" s="257">
        <v>400000</v>
      </c>
      <c r="F302" s="257">
        <v>400000</v>
      </c>
      <c r="G302" s="257">
        <v>400000</v>
      </c>
      <c r="H302" s="257">
        <v>0</v>
      </c>
      <c r="I302" s="257">
        <v>0</v>
      </c>
      <c r="J302" s="257">
        <v>0</v>
      </c>
      <c r="K302" s="257">
        <v>369400</v>
      </c>
      <c r="L302" s="257">
        <v>278200</v>
      </c>
      <c r="M302" s="257">
        <v>30600</v>
      </c>
      <c r="N302" s="257">
        <v>30600</v>
      </c>
    </row>
    <row r="303" spans="1:14" s="143" customFormat="1" x14ac:dyDescent="0.25">
      <c r="A303" s="143" t="s">
        <v>290</v>
      </c>
      <c r="B303" s="143" t="s">
        <v>242</v>
      </c>
      <c r="C303" s="143" t="s">
        <v>243</v>
      </c>
      <c r="D303" s="143" t="s">
        <v>85</v>
      </c>
      <c r="E303" s="257">
        <v>5600000</v>
      </c>
      <c r="F303" s="257">
        <v>5600000</v>
      </c>
      <c r="G303" s="257">
        <v>5600000</v>
      </c>
      <c r="H303" s="257">
        <v>0</v>
      </c>
      <c r="I303" s="257">
        <v>0</v>
      </c>
      <c r="J303" s="257">
        <v>0</v>
      </c>
      <c r="K303" s="257">
        <v>5083182.16</v>
      </c>
      <c r="L303" s="257">
        <v>5083182.16</v>
      </c>
      <c r="M303" s="257">
        <v>516817.84</v>
      </c>
      <c r="N303" s="257">
        <v>516817.84</v>
      </c>
    </row>
    <row r="304" spans="1:14" s="143" customFormat="1" x14ac:dyDescent="0.25">
      <c r="A304" s="143" t="s">
        <v>290</v>
      </c>
      <c r="B304" s="143" t="s">
        <v>328</v>
      </c>
      <c r="C304" s="143" t="s">
        <v>329</v>
      </c>
      <c r="D304" s="143" t="s">
        <v>85</v>
      </c>
      <c r="E304" s="257">
        <v>180000000</v>
      </c>
      <c r="F304" s="257">
        <v>165000000</v>
      </c>
      <c r="G304" s="257">
        <v>165000000</v>
      </c>
      <c r="H304" s="257">
        <v>0</v>
      </c>
      <c r="I304" s="257">
        <v>1350982.19</v>
      </c>
      <c r="J304" s="257">
        <v>0</v>
      </c>
      <c r="K304" s="257">
        <v>88797396.719999999</v>
      </c>
      <c r="L304" s="257">
        <v>46031368.630000003</v>
      </c>
      <c r="M304" s="257">
        <v>74851621.090000004</v>
      </c>
      <c r="N304" s="257">
        <v>74851621.090000004</v>
      </c>
    </row>
    <row r="305" spans="1:14" s="143" customFormat="1" x14ac:dyDescent="0.25">
      <c r="A305" s="143" t="s">
        <v>290</v>
      </c>
      <c r="B305" s="143" t="s">
        <v>330</v>
      </c>
      <c r="C305" s="143" t="s">
        <v>331</v>
      </c>
      <c r="D305" s="143" t="s">
        <v>85</v>
      </c>
      <c r="E305" s="257">
        <v>180000000</v>
      </c>
      <c r="F305" s="257">
        <v>165000000</v>
      </c>
      <c r="G305" s="257">
        <v>165000000</v>
      </c>
      <c r="H305" s="257">
        <v>0</v>
      </c>
      <c r="I305" s="257">
        <v>1350982.19</v>
      </c>
      <c r="J305" s="257">
        <v>0</v>
      </c>
      <c r="K305" s="257">
        <v>88797396.719999999</v>
      </c>
      <c r="L305" s="257">
        <v>46031368.630000003</v>
      </c>
      <c r="M305" s="257">
        <v>74851621.090000004</v>
      </c>
      <c r="N305" s="257">
        <v>74851621.090000004</v>
      </c>
    </row>
    <row r="306" spans="1:14" s="143" customFormat="1" x14ac:dyDescent="0.25">
      <c r="A306" s="143" t="s">
        <v>290</v>
      </c>
      <c r="B306" s="143" t="s">
        <v>244</v>
      </c>
      <c r="C306" s="143" t="s">
        <v>245</v>
      </c>
      <c r="D306" s="143" t="s">
        <v>85</v>
      </c>
      <c r="E306" s="257">
        <v>52250000</v>
      </c>
      <c r="F306" s="257">
        <v>52250000</v>
      </c>
      <c r="G306" s="257">
        <v>52250000</v>
      </c>
      <c r="H306" s="257">
        <v>0</v>
      </c>
      <c r="I306" s="257">
        <v>0</v>
      </c>
      <c r="J306" s="257">
        <v>0</v>
      </c>
      <c r="K306" s="257">
        <v>48462368.700000003</v>
      </c>
      <c r="L306" s="257">
        <v>34073829.590000004</v>
      </c>
      <c r="M306" s="257">
        <v>3787631.3</v>
      </c>
      <c r="N306" s="257">
        <v>3787631.3</v>
      </c>
    </row>
    <row r="307" spans="1:14" s="143" customFormat="1" x14ac:dyDescent="0.25">
      <c r="A307" s="143" t="s">
        <v>290</v>
      </c>
      <c r="B307" s="143" t="s">
        <v>246</v>
      </c>
      <c r="C307" s="143" t="s">
        <v>247</v>
      </c>
      <c r="D307" s="143" t="s">
        <v>85</v>
      </c>
      <c r="E307" s="257">
        <v>52250000</v>
      </c>
      <c r="F307" s="257">
        <v>52250000</v>
      </c>
      <c r="G307" s="257">
        <v>52250000</v>
      </c>
      <c r="H307" s="257">
        <v>0</v>
      </c>
      <c r="I307" s="257">
        <v>0</v>
      </c>
      <c r="J307" s="257">
        <v>0</v>
      </c>
      <c r="K307" s="257">
        <v>48462368.700000003</v>
      </c>
      <c r="L307" s="257">
        <v>34073829.590000004</v>
      </c>
      <c r="M307" s="257">
        <v>3787631.3</v>
      </c>
      <c r="N307" s="257">
        <v>3787631.3</v>
      </c>
    </row>
    <row r="308" spans="1:14" s="143" customFormat="1" x14ac:dyDescent="0.25">
      <c r="A308" s="143">
        <v>214783</v>
      </c>
      <c r="D308" s="143" t="s">
        <v>69</v>
      </c>
      <c r="E308" s="257">
        <v>108467611690</v>
      </c>
      <c r="F308" s="257">
        <v>106772514109</v>
      </c>
      <c r="G308" s="257">
        <v>106772514109</v>
      </c>
      <c r="H308" s="257">
        <v>0</v>
      </c>
      <c r="I308" s="257">
        <v>3803484545</v>
      </c>
      <c r="J308" s="257">
        <v>0</v>
      </c>
      <c r="K308" s="257">
        <v>98043556410.990005</v>
      </c>
      <c r="L308" s="257">
        <v>93688983915.089996</v>
      </c>
      <c r="M308" s="257">
        <v>4925473153.0100002</v>
      </c>
      <c r="N308" s="257">
        <v>4925473153.0100002</v>
      </c>
    </row>
    <row r="309" spans="1:14" s="143" customFormat="1" x14ac:dyDescent="0.25">
      <c r="A309" s="143" t="s">
        <v>334</v>
      </c>
      <c r="B309" s="143" t="s">
        <v>71</v>
      </c>
      <c r="C309" s="143" t="s">
        <v>72</v>
      </c>
      <c r="D309" s="143" t="s">
        <v>69</v>
      </c>
      <c r="E309" s="257">
        <v>69280985000</v>
      </c>
      <c r="F309" s="257">
        <v>66194787471</v>
      </c>
      <c r="G309" s="257">
        <v>66194787471</v>
      </c>
      <c r="H309" s="257">
        <v>0</v>
      </c>
      <c r="I309" s="257">
        <v>0</v>
      </c>
      <c r="J309" s="257">
        <v>0</v>
      </c>
      <c r="K309" s="257">
        <v>63387066495.970001</v>
      </c>
      <c r="L309" s="257">
        <v>63387066495.970001</v>
      </c>
      <c r="M309" s="257">
        <v>2807720975.0300002</v>
      </c>
      <c r="N309" s="257">
        <v>2807720975.0300002</v>
      </c>
    </row>
    <row r="310" spans="1:14" s="143" customFormat="1" x14ac:dyDescent="0.25">
      <c r="A310" s="143" t="s">
        <v>334</v>
      </c>
      <c r="B310" s="143" t="s">
        <v>73</v>
      </c>
      <c r="C310" s="143" t="s">
        <v>74</v>
      </c>
      <c r="D310" s="143" t="s">
        <v>69</v>
      </c>
      <c r="E310" s="257">
        <v>24948626000</v>
      </c>
      <c r="F310" s="257">
        <v>24179508538</v>
      </c>
      <c r="G310" s="257">
        <v>24179508538</v>
      </c>
      <c r="H310" s="257">
        <v>0</v>
      </c>
      <c r="I310" s="257">
        <v>0</v>
      </c>
      <c r="J310" s="257">
        <v>0</v>
      </c>
      <c r="K310" s="257">
        <v>22804921617.889999</v>
      </c>
      <c r="L310" s="257">
        <v>22804921617.889999</v>
      </c>
      <c r="M310" s="257">
        <v>1374586920.1099999</v>
      </c>
      <c r="N310" s="257">
        <v>1374586920.1099999</v>
      </c>
    </row>
    <row r="311" spans="1:14" s="143" customFormat="1" x14ac:dyDescent="0.25">
      <c r="A311" s="143" t="s">
        <v>334</v>
      </c>
      <c r="B311" s="143" t="s">
        <v>75</v>
      </c>
      <c r="C311" s="143" t="s">
        <v>76</v>
      </c>
      <c r="D311" s="143" t="s">
        <v>69</v>
      </c>
      <c r="E311" s="257">
        <v>24786984000</v>
      </c>
      <c r="F311" s="257">
        <v>23966347328</v>
      </c>
      <c r="G311" s="257">
        <v>23966347328</v>
      </c>
      <c r="H311" s="257">
        <v>0</v>
      </c>
      <c r="I311" s="257">
        <v>0</v>
      </c>
      <c r="J311" s="257">
        <v>0</v>
      </c>
      <c r="K311" s="257">
        <v>22638359622.889999</v>
      </c>
      <c r="L311" s="257">
        <v>22638359622.889999</v>
      </c>
      <c r="M311" s="257">
        <v>1327987705.1099999</v>
      </c>
      <c r="N311" s="257">
        <v>1327987705.1099999</v>
      </c>
    </row>
    <row r="312" spans="1:14" s="143" customFormat="1" x14ac:dyDescent="0.25">
      <c r="A312" s="143" t="s">
        <v>334</v>
      </c>
      <c r="B312" s="143" t="s">
        <v>335</v>
      </c>
      <c r="C312" s="143" t="s">
        <v>336</v>
      </c>
      <c r="D312" s="143" t="s">
        <v>69</v>
      </c>
      <c r="E312" s="257">
        <v>161642000</v>
      </c>
      <c r="F312" s="257">
        <v>213161210</v>
      </c>
      <c r="G312" s="257">
        <v>213161210</v>
      </c>
      <c r="H312" s="257">
        <v>0</v>
      </c>
      <c r="I312" s="257">
        <v>0</v>
      </c>
      <c r="J312" s="257">
        <v>0</v>
      </c>
      <c r="K312" s="257">
        <v>166561995</v>
      </c>
      <c r="L312" s="257">
        <v>166561995</v>
      </c>
      <c r="M312" s="257">
        <v>46599215</v>
      </c>
      <c r="N312" s="257">
        <v>46599215</v>
      </c>
    </row>
    <row r="313" spans="1:14" s="143" customFormat="1" x14ac:dyDescent="0.25">
      <c r="A313" s="143" t="s">
        <v>334</v>
      </c>
      <c r="B313" s="143" t="s">
        <v>293</v>
      </c>
      <c r="C313" s="143" t="s">
        <v>294</v>
      </c>
      <c r="D313" s="143" t="s">
        <v>69</v>
      </c>
      <c r="E313" s="257">
        <v>3816434000</v>
      </c>
      <c r="F313" s="257">
        <v>3634302747</v>
      </c>
      <c r="G313" s="257">
        <v>3634302747</v>
      </c>
      <c r="H313" s="257">
        <v>0</v>
      </c>
      <c r="I313" s="257">
        <v>0</v>
      </c>
      <c r="J313" s="257">
        <v>0</v>
      </c>
      <c r="K313" s="257">
        <v>3557718703.1300001</v>
      </c>
      <c r="L313" s="257">
        <v>3557718703.1300001</v>
      </c>
      <c r="M313" s="257">
        <v>76584043.870000005</v>
      </c>
      <c r="N313" s="257">
        <v>76584043.870000005</v>
      </c>
    </row>
    <row r="314" spans="1:14" s="143" customFormat="1" x14ac:dyDescent="0.25">
      <c r="A314" s="143" t="s">
        <v>334</v>
      </c>
      <c r="B314" s="143" t="s">
        <v>295</v>
      </c>
      <c r="C314" s="143" t="s">
        <v>296</v>
      </c>
      <c r="D314" s="143" t="s">
        <v>69</v>
      </c>
      <c r="E314" s="257">
        <v>10000000</v>
      </c>
      <c r="F314" s="257">
        <v>7868747</v>
      </c>
      <c r="G314" s="257">
        <v>7868747</v>
      </c>
      <c r="H314" s="257">
        <v>0</v>
      </c>
      <c r="I314" s="257">
        <v>0</v>
      </c>
      <c r="J314" s="257">
        <v>0</v>
      </c>
      <c r="K314" s="257">
        <v>7868623</v>
      </c>
      <c r="L314" s="257">
        <v>7868623</v>
      </c>
      <c r="M314" s="257">
        <v>124</v>
      </c>
      <c r="N314" s="257">
        <v>124</v>
      </c>
    </row>
    <row r="315" spans="1:14" s="143" customFormat="1" x14ac:dyDescent="0.25">
      <c r="A315" s="143" t="s">
        <v>334</v>
      </c>
      <c r="B315" s="143" t="s">
        <v>337</v>
      </c>
      <c r="C315" s="143" t="s">
        <v>338</v>
      </c>
      <c r="D315" s="143" t="s">
        <v>69</v>
      </c>
      <c r="E315" s="257">
        <v>25000000</v>
      </c>
      <c r="F315" s="257">
        <v>15000000</v>
      </c>
      <c r="G315" s="257">
        <v>15000000</v>
      </c>
      <c r="H315" s="257">
        <v>0</v>
      </c>
      <c r="I315" s="257">
        <v>0</v>
      </c>
      <c r="J315" s="257">
        <v>0</v>
      </c>
      <c r="K315" s="257">
        <v>12613806.5</v>
      </c>
      <c r="L315" s="257">
        <v>12613806.5</v>
      </c>
      <c r="M315" s="257">
        <v>2386193.5</v>
      </c>
      <c r="N315" s="257">
        <v>2386193.5</v>
      </c>
    </row>
    <row r="316" spans="1:14" s="143" customFormat="1" x14ac:dyDescent="0.25">
      <c r="A316" s="143" t="s">
        <v>334</v>
      </c>
      <c r="B316" s="143" t="s">
        <v>339</v>
      </c>
      <c r="C316" s="143" t="s">
        <v>340</v>
      </c>
      <c r="D316" s="143" t="s">
        <v>69</v>
      </c>
      <c r="E316" s="257">
        <v>3781434000</v>
      </c>
      <c r="F316" s="257">
        <v>3611434000</v>
      </c>
      <c r="G316" s="257">
        <v>3611434000</v>
      </c>
      <c r="H316" s="257">
        <v>0</v>
      </c>
      <c r="I316" s="257">
        <v>0</v>
      </c>
      <c r="J316" s="257">
        <v>0</v>
      </c>
      <c r="K316" s="257">
        <v>3537236273.6300001</v>
      </c>
      <c r="L316" s="257">
        <v>3537236273.6300001</v>
      </c>
      <c r="M316" s="257">
        <v>74197726.370000005</v>
      </c>
      <c r="N316" s="257">
        <v>74197726.370000005</v>
      </c>
    </row>
    <row r="317" spans="1:14" s="143" customFormat="1" x14ac:dyDescent="0.25">
      <c r="A317" s="143" t="s">
        <v>334</v>
      </c>
      <c r="B317" s="143" t="s">
        <v>77</v>
      </c>
      <c r="C317" s="143" t="s">
        <v>78</v>
      </c>
      <c r="D317" s="143" t="s">
        <v>69</v>
      </c>
      <c r="E317" s="257">
        <v>30011202000</v>
      </c>
      <c r="F317" s="257">
        <v>28308861097</v>
      </c>
      <c r="G317" s="257">
        <v>28308861097</v>
      </c>
      <c r="H317" s="257">
        <v>0</v>
      </c>
      <c r="I317" s="257">
        <v>0</v>
      </c>
      <c r="J317" s="257">
        <v>0</v>
      </c>
      <c r="K317" s="257">
        <v>27459326944.950001</v>
      </c>
      <c r="L317" s="257">
        <v>27459326944.950001</v>
      </c>
      <c r="M317" s="257">
        <v>849534152.04999995</v>
      </c>
      <c r="N317" s="257">
        <v>849534152.04999995</v>
      </c>
    </row>
    <row r="318" spans="1:14" s="143" customFormat="1" x14ac:dyDescent="0.25">
      <c r="A318" s="143" t="s">
        <v>334</v>
      </c>
      <c r="B318" s="143" t="s">
        <v>79</v>
      </c>
      <c r="C318" s="143" t="s">
        <v>80</v>
      </c>
      <c r="D318" s="143" t="s">
        <v>69</v>
      </c>
      <c r="E318" s="257">
        <v>9975766000</v>
      </c>
      <c r="F318" s="257">
        <v>9366425097</v>
      </c>
      <c r="G318" s="257">
        <v>9366425097</v>
      </c>
      <c r="H318" s="257">
        <v>0</v>
      </c>
      <c r="I318" s="257">
        <v>0</v>
      </c>
      <c r="J318" s="257">
        <v>0</v>
      </c>
      <c r="K318" s="257">
        <v>9030866061.3400002</v>
      </c>
      <c r="L318" s="257">
        <v>9030866061.3400002</v>
      </c>
      <c r="M318" s="257">
        <v>335559035.66000003</v>
      </c>
      <c r="N318" s="257">
        <v>335559035.66000003</v>
      </c>
    </row>
    <row r="319" spans="1:14" s="143" customFormat="1" x14ac:dyDescent="0.25">
      <c r="A319" s="143" t="s">
        <v>334</v>
      </c>
      <c r="B319" s="143" t="s">
        <v>81</v>
      </c>
      <c r="C319" s="143" t="s">
        <v>82</v>
      </c>
      <c r="D319" s="143" t="s">
        <v>69</v>
      </c>
      <c r="E319" s="257">
        <v>3798397000</v>
      </c>
      <c r="F319" s="257">
        <v>3316397000</v>
      </c>
      <c r="G319" s="257">
        <v>3316397000</v>
      </c>
      <c r="H319" s="257">
        <v>0</v>
      </c>
      <c r="I319" s="257">
        <v>0</v>
      </c>
      <c r="J319" s="257">
        <v>0</v>
      </c>
      <c r="K319" s="257">
        <v>3189306021.4899998</v>
      </c>
      <c r="L319" s="257">
        <v>3189306021.4899998</v>
      </c>
      <c r="M319" s="257">
        <v>127090978.51000001</v>
      </c>
      <c r="N319" s="257">
        <v>127090978.51000001</v>
      </c>
    </row>
    <row r="320" spans="1:14" s="143" customFormat="1" x14ac:dyDescent="0.25">
      <c r="A320" s="143" t="s">
        <v>334</v>
      </c>
      <c r="B320" s="143" t="s">
        <v>86</v>
      </c>
      <c r="C320" s="143" t="s">
        <v>87</v>
      </c>
      <c r="D320" s="143" t="s">
        <v>69</v>
      </c>
      <c r="E320" s="257">
        <v>3597134000</v>
      </c>
      <c r="F320" s="257">
        <v>3637134000</v>
      </c>
      <c r="G320" s="257">
        <v>3637134000</v>
      </c>
      <c r="H320" s="257">
        <v>0</v>
      </c>
      <c r="I320" s="257">
        <v>0</v>
      </c>
      <c r="J320" s="257">
        <v>0</v>
      </c>
      <c r="K320" s="257">
        <v>3633952854.2199998</v>
      </c>
      <c r="L320" s="257">
        <v>3633952854.2199998</v>
      </c>
      <c r="M320" s="257">
        <v>3181145.78</v>
      </c>
      <c r="N320" s="257">
        <v>3181145.78</v>
      </c>
    </row>
    <row r="321" spans="1:14" s="143" customFormat="1" x14ac:dyDescent="0.25">
      <c r="A321" s="143" t="s">
        <v>334</v>
      </c>
      <c r="B321" s="143" t="s">
        <v>88</v>
      </c>
      <c r="C321" s="143" t="s">
        <v>89</v>
      </c>
      <c r="D321" s="143" t="s">
        <v>69</v>
      </c>
      <c r="E321" s="257">
        <v>8205917000</v>
      </c>
      <c r="F321" s="257">
        <v>7762917000</v>
      </c>
      <c r="G321" s="257">
        <v>7762917000</v>
      </c>
      <c r="H321" s="257">
        <v>0</v>
      </c>
      <c r="I321" s="257">
        <v>0</v>
      </c>
      <c r="J321" s="257">
        <v>0</v>
      </c>
      <c r="K321" s="257">
        <v>7453151390.7299995</v>
      </c>
      <c r="L321" s="257">
        <v>7453151390.7299995</v>
      </c>
      <c r="M321" s="257">
        <v>309765609.26999998</v>
      </c>
      <c r="N321" s="257">
        <v>309765609.26999998</v>
      </c>
    </row>
    <row r="322" spans="1:14" s="143" customFormat="1" x14ac:dyDescent="0.25">
      <c r="A322" s="143" t="s">
        <v>334</v>
      </c>
      <c r="B322" s="143" t="s">
        <v>83</v>
      </c>
      <c r="C322" s="143" t="s">
        <v>84</v>
      </c>
      <c r="D322" s="143" t="s">
        <v>85</v>
      </c>
      <c r="E322" s="257">
        <v>4433988000</v>
      </c>
      <c r="F322" s="257">
        <v>4225988000</v>
      </c>
      <c r="G322" s="257">
        <v>4225988000</v>
      </c>
      <c r="H322" s="257">
        <v>0</v>
      </c>
      <c r="I322" s="257">
        <v>0</v>
      </c>
      <c r="J322" s="257">
        <v>0</v>
      </c>
      <c r="K322" s="257">
        <v>4152050617.1700001</v>
      </c>
      <c r="L322" s="257">
        <v>4152050617.1700001</v>
      </c>
      <c r="M322" s="257">
        <v>73937382.829999998</v>
      </c>
      <c r="N322" s="257">
        <v>73937382.829999998</v>
      </c>
    </row>
    <row r="323" spans="1:14" s="143" customFormat="1" x14ac:dyDescent="0.25">
      <c r="A323" s="143" t="s">
        <v>334</v>
      </c>
      <c r="B323" s="143" t="s">
        <v>90</v>
      </c>
      <c r="C323" s="143" t="s">
        <v>91</v>
      </c>
      <c r="D323" s="143" t="s">
        <v>69</v>
      </c>
      <c r="E323" s="257">
        <v>5298403000</v>
      </c>
      <c r="F323" s="257">
        <v>5081180800</v>
      </c>
      <c r="G323" s="257">
        <v>5081180800</v>
      </c>
      <c r="H323" s="257">
        <v>0</v>
      </c>
      <c r="I323" s="257">
        <v>0</v>
      </c>
      <c r="J323" s="257">
        <v>0</v>
      </c>
      <c r="K323" s="257">
        <v>4827245159</v>
      </c>
      <c r="L323" s="257">
        <v>4827245159</v>
      </c>
      <c r="M323" s="257">
        <v>253935641</v>
      </c>
      <c r="N323" s="257">
        <v>253935641</v>
      </c>
    </row>
    <row r="324" spans="1:14" s="143" customFormat="1" x14ac:dyDescent="0.25">
      <c r="A324" s="143" t="s">
        <v>334</v>
      </c>
      <c r="B324" s="143" t="s">
        <v>341</v>
      </c>
      <c r="C324" s="143" t="s">
        <v>827</v>
      </c>
      <c r="D324" s="143" t="s">
        <v>69</v>
      </c>
      <c r="E324" s="257">
        <v>5026689000</v>
      </c>
      <c r="F324" s="257">
        <v>4820585887</v>
      </c>
      <c r="G324" s="257">
        <v>4820585887</v>
      </c>
      <c r="H324" s="257">
        <v>0</v>
      </c>
      <c r="I324" s="257">
        <v>0</v>
      </c>
      <c r="J324" s="257">
        <v>0</v>
      </c>
      <c r="K324" s="257">
        <v>4579731453</v>
      </c>
      <c r="L324" s="257">
        <v>4579731453</v>
      </c>
      <c r="M324" s="257">
        <v>240854434</v>
      </c>
      <c r="N324" s="257">
        <v>240854434</v>
      </c>
    </row>
    <row r="325" spans="1:14" s="143" customFormat="1" x14ac:dyDescent="0.25">
      <c r="A325" s="143" t="s">
        <v>334</v>
      </c>
      <c r="B325" s="143" t="s">
        <v>342</v>
      </c>
      <c r="C325" s="143" t="s">
        <v>95</v>
      </c>
      <c r="D325" s="143" t="s">
        <v>69</v>
      </c>
      <c r="E325" s="257">
        <v>271714000</v>
      </c>
      <c r="F325" s="257">
        <v>260594913</v>
      </c>
      <c r="G325" s="257">
        <v>260594913</v>
      </c>
      <c r="H325" s="257">
        <v>0</v>
      </c>
      <c r="I325" s="257">
        <v>0</v>
      </c>
      <c r="J325" s="257">
        <v>0</v>
      </c>
      <c r="K325" s="257">
        <v>247513706</v>
      </c>
      <c r="L325" s="257">
        <v>247513706</v>
      </c>
      <c r="M325" s="257">
        <v>13081207</v>
      </c>
      <c r="N325" s="257">
        <v>13081207</v>
      </c>
    </row>
    <row r="326" spans="1:14" s="143" customFormat="1" x14ac:dyDescent="0.25">
      <c r="A326" s="143" t="s">
        <v>334</v>
      </c>
      <c r="B326" s="143" t="s">
        <v>96</v>
      </c>
      <c r="C326" s="143" t="s">
        <v>97</v>
      </c>
      <c r="D326" s="143" t="s">
        <v>69</v>
      </c>
      <c r="E326" s="257">
        <v>5206020000</v>
      </c>
      <c r="F326" s="257">
        <v>4990934289</v>
      </c>
      <c r="G326" s="257">
        <v>4990934289</v>
      </c>
      <c r="H326" s="257">
        <v>0</v>
      </c>
      <c r="I326" s="257">
        <v>0</v>
      </c>
      <c r="J326" s="257">
        <v>0</v>
      </c>
      <c r="K326" s="257">
        <v>4737854071</v>
      </c>
      <c r="L326" s="257">
        <v>4737854071</v>
      </c>
      <c r="M326" s="257">
        <v>253080218</v>
      </c>
      <c r="N326" s="257">
        <v>253080218</v>
      </c>
    </row>
    <row r="327" spans="1:14" s="143" customFormat="1" x14ac:dyDescent="0.25">
      <c r="A327" s="143" t="s">
        <v>334</v>
      </c>
      <c r="B327" s="143" t="s">
        <v>343</v>
      </c>
      <c r="C327" s="143" t="s">
        <v>828</v>
      </c>
      <c r="D327" s="143" t="s">
        <v>69</v>
      </c>
      <c r="E327" s="257">
        <v>2760603000</v>
      </c>
      <c r="F327" s="257">
        <v>2646889074</v>
      </c>
      <c r="G327" s="257">
        <v>2646889074</v>
      </c>
      <c r="H327" s="257">
        <v>0</v>
      </c>
      <c r="I327" s="257">
        <v>0</v>
      </c>
      <c r="J327" s="257">
        <v>0</v>
      </c>
      <c r="K327" s="257">
        <v>2510231685</v>
      </c>
      <c r="L327" s="257">
        <v>2510231685</v>
      </c>
      <c r="M327" s="257">
        <v>136657389</v>
      </c>
      <c r="N327" s="257">
        <v>136657389</v>
      </c>
    </row>
    <row r="328" spans="1:14" s="143" customFormat="1" x14ac:dyDescent="0.25">
      <c r="A328" s="143" t="s">
        <v>334</v>
      </c>
      <c r="B328" s="143" t="s">
        <v>344</v>
      </c>
      <c r="C328" s="143" t="s">
        <v>829</v>
      </c>
      <c r="D328" s="143" t="s">
        <v>69</v>
      </c>
      <c r="E328" s="257">
        <v>815139000</v>
      </c>
      <c r="F328" s="257">
        <v>781381738</v>
      </c>
      <c r="G328" s="257">
        <v>781381738</v>
      </c>
      <c r="H328" s="257">
        <v>0</v>
      </c>
      <c r="I328" s="257">
        <v>0</v>
      </c>
      <c r="J328" s="257">
        <v>0</v>
      </c>
      <c r="K328" s="257">
        <v>742540274</v>
      </c>
      <c r="L328" s="257">
        <v>742540274</v>
      </c>
      <c r="M328" s="257">
        <v>38841464</v>
      </c>
      <c r="N328" s="257">
        <v>38841464</v>
      </c>
    </row>
    <row r="329" spans="1:14" s="143" customFormat="1" x14ac:dyDescent="0.25">
      <c r="A329" s="143" t="s">
        <v>334</v>
      </c>
      <c r="B329" s="143" t="s">
        <v>345</v>
      </c>
      <c r="C329" s="143" t="s">
        <v>830</v>
      </c>
      <c r="D329" s="143" t="s">
        <v>69</v>
      </c>
      <c r="E329" s="257">
        <v>1630278000</v>
      </c>
      <c r="F329" s="257">
        <v>1562663477</v>
      </c>
      <c r="G329" s="257">
        <v>1562663477</v>
      </c>
      <c r="H329" s="257">
        <v>0</v>
      </c>
      <c r="I329" s="257">
        <v>0</v>
      </c>
      <c r="J329" s="257">
        <v>0</v>
      </c>
      <c r="K329" s="257">
        <v>1485082112</v>
      </c>
      <c r="L329" s="257">
        <v>1485082112</v>
      </c>
      <c r="M329" s="257">
        <v>77581365</v>
      </c>
      <c r="N329" s="257">
        <v>77581365</v>
      </c>
    </row>
    <row r="330" spans="1:14" s="143" customFormat="1" x14ac:dyDescent="0.25">
      <c r="A330" s="143" t="s">
        <v>334</v>
      </c>
      <c r="B330" s="143" t="s">
        <v>517</v>
      </c>
      <c r="C330" s="143" t="s">
        <v>836</v>
      </c>
      <c r="D330" s="143" t="s">
        <v>69</v>
      </c>
      <c r="E330" s="257">
        <v>300000</v>
      </c>
      <c r="F330" s="257">
        <v>0</v>
      </c>
      <c r="G330" s="257">
        <v>0</v>
      </c>
      <c r="H330" s="257">
        <v>0</v>
      </c>
      <c r="I330" s="257">
        <v>0</v>
      </c>
      <c r="J330" s="257">
        <v>0</v>
      </c>
      <c r="K330" s="257">
        <v>0</v>
      </c>
      <c r="L330" s="257">
        <v>0</v>
      </c>
      <c r="M330" s="257">
        <v>0</v>
      </c>
      <c r="N330" s="257">
        <v>0</v>
      </c>
    </row>
    <row r="331" spans="1:14" s="143" customFormat="1" x14ac:dyDescent="0.25">
      <c r="A331" s="143" t="s">
        <v>334</v>
      </c>
      <c r="B331" s="143" t="s">
        <v>519</v>
      </c>
      <c r="C331" s="143" t="s">
        <v>837</v>
      </c>
      <c r="D331" s="143" t="s">
        <v>69</v>
      </c>
      <c r="E331" s="257">
        <v>300000</v>
      </c>
      <c r="F331" s="257">
        <v>0</v>
      </c>
      <c r="G331" s="257">
        <v>0</v>
      </c>
      <c r="H331" s="257">
        <v>0</v>
      </c>
      <c r="I331" s="257">
        <v>0</v>
      </c>
      <c r="J331" s="257">
        <v>0</v>
      </c>
      <c r="K331" s="257">
        <v>0</v>
      </c>
      <c r="L331" s="257">
        <v>0</v>
      </c>
      <c r="M331" s="257">
        <v>0</v>
      </c>
      <c r="N331" s="257">
        <v>0</v>
      </c>
    </row>
    <row r="332" spans="1:14" s="143" customFormat="1" x14ac:dyDescent="0.25">
      <c r="A332" s="143" t="s">
        <v>334</v>
      </c>
      <c r="B332" s="143" t="s">
        <v>104</v>
      </c>
      <c r="C332" s="143" t="s">
        <v>105</v>
      </c>
      <c r="D332" s="143" t="s">
        <v>69</v>
      </c>
      <c r="E332" s="257">
        <v>15290060000</v>
      </c>
      <c r="F332" s="257">
        <v>14187171121.32</v>
      </c>
      <c r="G332" s="257">
        <v>14187171121.32</v>
      </c>
      <c r="H332" s="257">
        <v>0</v>
      </c>
      <c r="I332" s="257">
        <v>1757730370.1300001</v>
      </c>
      <c r="J332" s="257">
        <v>0</v>
      </c>
      <c r="K332" s="257">
        <v>11417901790.5</v>
      </c>
      <c r="L332" s="257">
        <v>9719253239.9699993</v>
      </c>
      <c r="M332" s="257">
        <v>1011538960.6900001</v>
      </c>
      <c r="N332" s="257">
        <v>1011538960.6900001</v>
      </c>
    </row>
    <row r="333" spans="1:14" s="143" customFormat="1" x14ac:dyDescent="0.25">
      <c r="A333" s="143" t="s">
        <v>334</v>
      </c>
      <c r="B333" s="143" t="s">
        <v>106</v>
      </c>
      <c r="C333" s="143" t="s">
        <v>107</v>
      </c>
      <c r="D333" s="143" t="s">
        <v>69</v>
      </c>
      <c r="E333" s="257">
        <v>7388276000</v>
      </c>
      <c r="F333" s="257">
        <v>5941867616</v>
      </c>
      <c r="G333" s="257">
        <v>5941867616</v>
      </c>
      <c r="H333" s="257">
        <v>0</v>
      </c>
      <c r="I333" s="257">
        <v>423315318.86000001</v>
      </c>
      <c r="J333" s="257">
        <v>0</v>
      </c>
      <c r="K333" s="257">
        <v>5073188535.4200001</v>
      </c>
      <c r="L333" s="257">
        <v>3814945872.0100002</v>
      </c>
      <c r="M333" s="257">
        <v>445363761.72000003</v>
      </c>
      <c r="N333" s="257">
        <v>445363761.72000003</v>
      </c>
    </row>
    <row r="334" spans="1:14" s="143" customFormat="1" x14ac:dyDescent="0.25">
      <c r="A334" s="143" t="s">
        <v>334</v>
      </c>
      <c r="B334" s="143" t="s">
        <v>280</v>
      </c>
      <c r="C334" s="143" t="s">
        <v>281</v>
      </c>
      <c r="D334" s="143" t="s">
        <v>69</v>
      </c>
      <c r="E334" s="257">
        <v>447714000</v>
      </c>
      <c r="F334" s="257">
        <v>447714000</v>
      </c>
      <c r="G334" s="257">
        <v>447714000</v>
      </c>
      <c r="H334" s="257">
        <v>0</v>
      </c>
      <c r="I334" s="257">
        <v>6646419.6900000004</v>
      </c>
      <c r="J334" s="257">
        <v>0</v>
      </c>
      <c r="K334" s="257">
        <v>423331283.33999997</v>
      </c>
      <c r="L334" s="257">
        <v>390534515.54000002</v>
      </c>
      <c r="M334" s="257">
        <v>17736296.969999999</v>
      </c>
      <c r="N334" s="257">
        <v>17736296.969999999</v>
      </c>
    </row>
    <row r="335" spans="1:14" s="143" customFormat="1" x14ac:dyDescent="0.25">
      <c r="A335" s="143" t="s">
        <v>334</v>
      </c>
      <c r="B335" s="143" t="s">
        <v>302</v>
      </c>
      <c r="C335" s="143" t="s">
        <v>303</v>
      </c>
      <c r="D335" s="143" t="s">
        <v>69</v>
      </c>
      <c r="E335" s="257">
        <v>1150000</v>
      </c>
      <c r="F335" s="257">
        <v>1150000</v>
      </c>
      <c r="G335" s="257">
        <v>1150000</v>
      </c>
      <c r="H335" s="257">
        <v>0</v>
      </c>
      <c r="I335" s="257">
        <v>0</v>
      </c>
      <c r="J335" s="257">
        <v>0</v>
      </c>
      <c r="K335" s="257">
        <v>0</v>
      </c>
      <c r="L335" s="257">
        <v>0</v>
      </c>
      <c r="M335" s="257">
        <v>1150000</v>
      </c>
      <c r="N335" s="257">
        <v>1150000</v>
      </c>
    </row>
    <row r="336" spans="1:14" s="143" customFormat="1" x14ac:dyDescent="0.25">
      <c r="A336" s="143" t="s">
        <v>334</v>
      </c>
      <c r="B336" s="143" t="s">
        <v>108</v>
      </c>
      <c r="C336" s="143" t="s">
        <v>109</v>
      </c>
      <c r="D336" s="143" t="s">
        <v>69</v>
      </c>
      <c r="E336" s="257">
        <v>897159000</v>
      </c>
      <c r="F336" s="257">
        <v>897159000</v>
      </c>
      <c r="G336" s="257">
        <v>897159000</v>
      </c>
      <c r="H336" s="257">
        <v>0</v>
      </c>
      <c r="I336" s="257">
        <v>91179751.939999998</v>
      </c>
      <c r="J336" s="257">
        <v>0</v>
      </c>
      <c r="K336" s="257">
        <v>704810041.44000006</v>
      </c>
      <c r="L336" s="257">
        <v>583197042.64999998</v>
      </c>
      <c r="M336" s="257">
        <v>101169206.62</v>
      </c>
      <c r="N336" s="257">
        <v>101169206.62</v>
      </c>
    </row>
    <row r="337" spans="1:14" s="143" customFormat="1" x14ac:dyDescent="0.25">
      <c r="A337" s="143" t="s">
        <v>334</v>
      </c>
      <c r="B337" s="143" t="s">
        <v>304</v>
      </c>
      <c r="C337" s="143" t="s">
        <v>305</v>
      </c>
      <c r="D337" s="143" t="s">
        <v>69</v>
      </c>
      <c r="E337" s="257">
        <v>42253000</v>
      </c>
      <c r="F337" s="257">
        <v>19062488</v>
      </c>
      <c r="G337" s="257">
        <v>19062488</v>
      </c>
      <c r="H337" s="257">
        <v>0</v>
      </c>
      <c r="I337" s="257">
        <v>3666276.17</v>
      </c>
      <c r="J337" s="257">
        <v>0</v>
      </c>
      <c r="K337" s="257">
        <v>15396211.83</v>
      </c>
      <c r="L337" s="257">
        <v>12192973.99</v>
      </c>
      <c r="M337" s="257">
        <v>0</v>
      </c>
      <c r="N337" s="257">
        <v>0</v>
      </c>
    </row>
    <row r="338" spans="1:14" s="143" customFormat="1" x14ac:dyDescent="0.25">
      <c r="A338" s="143" t="s">
        <v>334</v>
      </c>
      <c r="B338" s="143" t="s">
        <v>110</v>
      </c>
      <c r="C338" s="143" t="s">
        <v>111</v>
      </c>
      <c r="D338" s="143" t="s">
        <v>69</v>
      </c>
      <c r="E338" s="257">
        <v>6000000000</v>
      </c>
      <c r="F338" s="257">
        <v>4576782128</v>
      </c>
      <c r="G338" s="257">
        <v>4576782128</v>
      </c>
      <c r="H338" s="257">
        <v>0</v>
      </c>
      <c r="I338" s="257">
        <v>321822871.06</v>
      </c>
      <c r="J338" s="257">
        <v>0</v>
      </c>
      <c r="K338" s="257">
        <v>3929650998.8099999</v>
      </c>
      <c r="L338" s="257">
        <v>2829021339.8299999</v>
      </c>
      <c r="M338" s="257">
        <v>325308258.13</v>
      </c>
      <c r="N338" s="257">
        <v>325308258.13</v>
      </c>
    </row>
    <row r="339" spans="1:14" s="143" customFormat="1" x14ac:dyDescent="0.25">
      <c r="A339" s="143" t="s">
        <v>334</v>
      </c>
      <c r="B339" s="143" t="s">
        <v>112</v>
      </c>
      <c r="C339" s="143" t="s">
        <v>113</v>
      </c>
      <c r="D339" s="143" t="s">
        <v>69</v>
      </c>
      <c r="E339" s="257">
        <v>4954374000</v>
      </c>
      <c r="F339" s="257">
        <v>5424244314</v>
      </c>
      <c r="G339" s="257">
        <v>5424244314</v>
      </c>
      <c r="H339" s="257">
        <v>0</v>
      </c>
      <c r="I339" s="257">
        <v>781398130.53999996</v>
      </c>
      <c r="J339" s="257">
        <v>0</v>
      </c>
      <c r="K339" s="257">
        <v>4521804969.4300003</v>
      </c>
      <c r="L339" s="257">
        <v>4316506631.3699999</v>
      </c>
      <c r="M339" s="257">
        <v>121041214.03</v>
      </c>
      <c r="N339" s="257">
        <v>121041214.03</v>
      </c>
    </row>
    <row r="340" spans="1:14" s="143" customFormat="1" x14ac:dyDescent="0.25">
      <c r="A340" s="143" t="s">
        <v>334</v>
      </c>
      <c r="B340" s="143" t="s">
        <v>114</v>
      </c>
      <c r="C340" s="143" t="s">
        <v>115</v>
      </c>
      <c r="D340" s="143" t="s">
        <v>69</v>
      </c>
      <c r="E340" s="257">
        <v>2372291000</v>
      </c>
      <c r="F340" s="257">
        <v>3072291000</v>
      </c>
      <c r="G340" s="257">
        <v>3072291000</v>
      </c>
      <c r="H340" s="257">
        <v>0</v>
      </c>
      <c r="I340" s="257">
        <v>472003074.39999998</v>
      </c>
      <c r="J340" s="257">
        <v>0</v>
      </c>
      <c r="K340" s="257">
        <v>2600257897.5999999</v>
      </c>
      <c r="L340" s="257">
        <v>2599063654.5999999</v>
      </c>
      <c r="M340" s="257">
        <v>30028</v>
      </c>
      <c r="N340" s="257">
        <v>30028</v>
      </c>
    </row>
    <row r="341" spans="1:14" s="143" customFormat="1" x14ac:dyDescent="0.25">
      <c r="A341" s="143" t="s">
        <v>334</v>
      </c>
      <c r="B341" s="143" t="s">
        <v>116</v>
      </c>
      <c r="C341" s="143" t="s">
        <v>117</v>
      </c>
      <c r="D341" s="143" t="s">
        <v>69</v>
      </c>
      <c r="E341" s="257">
        <v>1100946000</v>
      </c>
      <c r="F341" s="257">
        <v>1423946000</v>
      </c>
      <c r="G341" s="257">
        <v>1423946000</v>
      </c>
      <c r="H341" s="257">
        <v>0</v>
      </c>
      <c r="I341" s="257">
        <v>91167221.849999994</v>
      </c>
      <c r="J341" s="257">
        <v>0</v>
      </c>
      <c r="K341" s="257">
        <v>1332648296.1500001</v>
      </c>
      <c r="L341" s="257">
        <v>1218888435.46</v>
      </c>
      <c r="M341" s="257">
        <v>130482</v>
      </c>
      <c r="N341" s="257">
        <v>130482</v>
      </c>
    </row>
    <row r="342" spans="1:14" s="143" customFormat="1" x14ac:dyDescent="0.25">
      <c r="A342" s="143" t="s">
        <v>334</v>
      </c>
      <c r="B342" s="143" t="s">
        <v>118</v>
      </c>
      <c r="C342" s="143" t="s">
        <v>119</v>
      </c>
      <c r="D342" s="143" t="s">
        <v>69</v>
      </c>
      <c r="E342" s="257">
        <v>6000000</v>
      </c>
      <c r="F342" s="257">
        <v>6000000</v>
      </c>
      <c r="G342" s="257">
        <v>6000000</v>
      </c>
      <c r="H342" s="257">
        <v>0</v>
      </c>
      <c r="I342" s="257">
        <v>607275</v>
      </c>
      <c r="J342" s="257">
        <v>0</v>
      </c>
      <c r="K342" s="257">
        <v>2599840</v>
      </c>
      <c r="L342" s="257">
        <v>2352630</v>
      </c>
      <c r="M342" s="257">
        <v>2792885</v>
      </c>
      <c r="N342" s="257">
        <v>2792885</v>
      </c>
    </row>
    <row r="343" spans="1:14" s="143" customFormat="1" x14ac:dyDescent="0.25">
      <c r="A343" s="143" t="s">
        <v>334</v>
      </c>
      <c r="B343" s="143" t="s">
        <v>120</v>
      </c>
      <c r="C343" s="143" t="s">
        <v>121</v>
      </c>
      <c r="D343" s="143" t="s">
        <v>69</v>
      </c>
      <c r="E343" s="257">
        <v>1381495000</v>
      </c>
      <c r="F343" s="257">
        <v>765215316</v>
      </c>
      <c r="G343" s="257">
        <v>765215316</v>
      </c>
      <c r="H343" s="257">
        <v>0</v>
      </c>
      <c r="I343" s="257">
        <v>140261132.28</v>
      </c>
      <c r="J343" s="257">
        <v>0</v>
      </c>
      <c r="K343" s="257">
        <v>507895714.69</v>
      </c>
      <c r="L343" s="257">
        <v>425831715.20999998</v>
      </c>
      <c r="M343" s="257">
        <v>117058469.03</v>
      </c>
      <c r="N343" s="257">
        <v>117058469.03</v>
      </c>
    </row>
    <row r="344" spans="1:14" s="143" customFormat="1" x14ac:dyDescent="0.25">
      <c r="A344" s="143" t="s">
        <v>334</v>
      </c>
      <c r="B344" s="143" t="s">
        <v>122</v>
      </c>
      <c r="C344" s="143" t="s">
        <v>123</v>
      </c>
      <c r="D344" s="143" t="s">
        <v>69</v>
      </c>
      <c r="E344" s="257">
        <v>93642000</v>
      </c>
      <c r="F344" s="257">
        <v>156791998</v>
      </c>
      <c r="G344" s="257">
        <v>156791998</v>
      </c>
      <c r="H344" s="257">
        <v>0</v>
      </c>
      <c r="I344" s="257">
        <v>77359427.010000005</v>
      </c>
      <c r="J344" s="257">
        <v>0</v>
      </c>
      <c r="K344" s="257">
        <v>78403220.989999995</v>
      </c>
      <c r="L344" s="257">
        <v>70370196.099999994</v>
      </c>
      <c r="M344" s="257">
        <v>1029350</v>
      </c>
      <c r="N344" s="257">
        <v>1029350</v>
      </c>
    </row>
    <row r="345" spans="1:14" s="143" customFormat="1" x14ac:dyDescent="0.25">
      <c r="A345" s="143" t="s">
        <v>334</v>
      </c>
      <c r="B345" s="143" t="s">
        <v>124</v>
      </c>
      <c r="C345" s="143" t="s">
        <v>125</v>
      </c>
      <c r="D345" s="143" t="s">
        <v>69</v>
      </c>
      <c r="E345" s="257">
        <v>5449000</v>
      </c>
      <c r="F345" s="257">
        <v>8557560</v>
      </c>
      <c r="G345" s="257">
        <v>8557560</v>
      </c>
      <c r="H345" s="257">
        <v>0</v>
      </c>
      <c r="I345" s="257">
        <v>2525180</v>
      </c>
      <c r="J345" s="257">
        <v>0</v>
      </c>
      <c r="K345" s="257">
        <v>5757380</v>
      </c>
      <c r="L345" s="257">
        <v>3444700</v>
      </c>
      <c r="M345" s="257">
        <v>275000</v>
      </c>
      <c r="N345" s="257">
        <v>275000</v>
      </c>
    </row>
    <row r="346" spans="1:14" s="143" customFormat="1" x14ac:dyDescent="0.25">
      <c r="A346" s="143" t="s">
        <v>334</v>
      </c>
      <c r="B346" s="143" t="s">
        <v>126</v>
      </c>
      <c r="C346" s="143" t="s">
        <v>127</v>
      </c>
      <c r="D346" s="143" t="s">
        <v>69</v>
      </c>
      <c r="E346" s="257">
        <v>1149000</v>
      </c>
      <c r="F346" s="257">
        <v>4257560</v>
      </c>
      <c r="G346" s="257">
        <v>4257560</v>
      </c>
      <c r="H346" s="257">
        <v>0</v>
      </c>
      <c r="I346" s="257">
        <v>1482540</v>
      </c>
      <c r="J346" s="257">
        <v>0</v>
      </c>
      <c r="K346" s="257">
        <v>2775020</v>
      </c>
      <c r="L346" s="257">
        <v>462340</v>
      </c>
      <c r="M346" s="257">
        <v>0</v>
      </c>
      <c r="N346" s="257">
        <v>0</v>
      </c>
    </row>
    <row r="347" spans="1:14" s="143" customFormat="1" x14ac:dyDescent="0.25">
      <c r="A347" s="143" t="s">
        <v>334</v>
      </c>
      <c r="B347" s="143" t="s">
        <v>128</v>
      </c>
      <c r="C347" s="143" t="s">
        <v>129</v>
      </c>
      <c r="D347" s="143" t="s">
        <v>69</v>
      </c>
      <c r="E347" s="257">
        <v>4300000</v>
      </c>
      <c r="F347" s="257">
        <v>4300000</v>
      </c>
      <c r="G347" s="257">
        <v>4300000</v>
      </c>
      <c r="H347" s="257">
        <v>0</v>
      </c>
      <c r="I347" s="257">
        <v>1042640</v>
      </c>
      <c r="J347" s="257">
        <v>0</v>
      </c>
      <c r="K347" s="257">
        <v>2982360</v>
      </c>
      <c r="L347" s="257">
        <v>2982360</v>
      </c>
      <c r="M347" s="257">
        <v>275000</v>
      </c>
      <c r="N347" s="257">
        <v>275000</v>
      </c>
    </row>
    <row r="348" spans="1:14" s="143" customFormat="1" x14ac:dyDescent="0.25">
      <c r="A348" s="143" t="s">
        <v>334</v>
      </c>
      <c r="B348" s="143" t="s">
        <v>134</v>
      </c>
      <c r="C348" s="143" t="s">
        <v>135</v>
      </c>
      <c r="D348" s="143" t="s">
        <v>69</v>
      </c>
      <c r="E348" s="257">
        <v>232183000</v>
      </c>
      <c r="F348" s="257">
        <v>328109093</v>
      </c>
      <c r="G348" s="257">
        <v>328109093</v>
      </c>
      <c r="H348" s="257">
        <v>0</v>
      </c>
      <c r="I348" s="257">
        <v>43241010.710000001</v>
      </c>
      <c r="J348" s="257">
        <v>0</v>
      </c>
      <c r="K348" s="257">
        <v>217803085.81999999</v>
      </c>
      <c r="L348" s="257">
        <v>146881863.78999999</v>
      </c>
      <c r="M348" s="257">
        <v>67064996.469999999</v>
      </c>
      <c r="N348" s="257">
        <v>67064996.469999999</v>
      </c>
    </row>
    <row r="349" spans="1:14" s="143" customFormat="1" x14ac:dyDescent="0.25">
      <c r="A349" s="143" t="s">
        <v>334</v>
      </c>
      <c r="B349" s="143" t="s">
        <v>346</v>
      </c>
      <c r="C349" s="143" t="s">
        <v>838</v>
      </c>
      <c r="D349" s="143" t="s">
        <v>69</v>
      </c>
      <c r="E349" s="257">
        <v>24045000</v>
      </c>
      <c r="F349" s="257">
        <v>24045000</v>
      </c>
      <c r="G349" s="257">
        <v>24045000</v>
      </c>
      <c r="H349" s="257">
        <v>0</v>
      </c>
      <c r="I349" s="257">
        <v>190000</v>
      </c>
      <c r="J349" s="257">
        <v>0</v>
      </c>
      <c r="K349" s="257">
        <v>21771056</v>
      </c>
      <c r="L349" s="257">
        <v>1811000</v>
      </c>
      <c r="M349" s="257">
        <v>2083944</v>
      </c>
      <c r="N349" s="257">
        <v>2083944</v>
      </c>
    </row>
    <row r="350" spans="1:14" s="143" customFormat="1" x14ac:dyDescent="0.25">
      <c r="A350" s="143" t="s">
        <v>334</v>
      </c>
      <c r="B350" s="143" t="s">
        <v>308</v>
      </c>
      <c r="C350" s="143" t="s">
        <v>834</v>
      </c>
      <c r="D350" s="143" t="s">
        <v>69</v>
      </c>
      <c r="E350" s="257">
        <v>36500000</v>
      </c>
      <c r="F350" s="257">
        <v>86966885</v>
      </c>
      <c r="G350" s="257">
        <v>86966885</v>
      </c>
      <c r="H350" s="257">
        <v>0</v>
      </c>
      <c r="I350" s="257">
        <v>24917663.219999999</v>
      </c>
      <c r="J350" s="257">
        <v>0</v>
      </c>
      <c r="K350" s="257">
        <v>58096631.350000001</v>
      </c>
      <c r="L350" s="257">
        <v>34435628.340000004</v>
      </c>
      <c r="M350" s="257">
        <v>3952590.43</v>
      </c>
      <c r="N350" s="257">
        <v>3952590.43</v>
      </c>
    </row>
    <row r="351" spans="1:14" s="143" customFormat="1" x14ac:dyDescent="0.25">
      <c r="A351" s="143" t="s">
        <v>334</v>
      </c>
      <c r="B351" s="143" t="s">
        <v>136</v>
      </c>
      <c r="C351" s="143" t="s">
        <v>137</v>
      </c>
      <c r="D351" s="143" t="s">
        <v>69</v>
      </c>
      <c r="E351" s="257">
        <v>142000000</v>
      </c>
      <c r="F351" s="257">
        <v>133851875</v>
      </c>
      <c r="G351" s="257">
        <v>133851875</v>
      </c>
      <c r="H351" s="257">
        <v>0</v>
      </c>
      <c r="I351" s="257">
        <v>12755027.810000001</v>
      </c>
      <c r="J351" s="257">
        <v>0</v>
      </c>
      <c r="K351" s="257">
        <v>105114269.17</v>
      </c>
      <c r="L351" s="257">
        <v>81792487.079999998</v>
      </c>
      <c r="M351" s="257">
        <v>15982578.02</v>
      </c>
      <c r="N351" s="257">
        <v>15982578.02</v>
      </c>
    </row>
    <row r="352" spans="1:14" s="143" customFormat="1" x14ac:dyDescent="0.25">
      <c r="A352" s="143" t="s">
        <v>334</v>
      </c>
      <c r="B352" s="143" t="s">
        <v>138</v>
      </c>
      <c r="C352" s="143" t="s">
        <v>139</v>
      </c>
      <c r="D352" s="143" t="s">
        <v>69</v>
      </c>
      <c r="E352" s="257">
        <v>29638000</v>
      </c>
      <c r="F352" s="257">
        <v>83245333</v>
      </c>
      <c r="G352" s="257">
        <v>83245333</v>
      </c>
      <c r="H352" s="257">
        <v>0</v>
      </c>
      <c r="I352" s="257">
        <v>5378319.6799999997</v>
      </c>
      <c r="J352" s="257">
        <v>0</v>
      </c>
      <c r="K352" s="257">
        <v>32821129.300000001</v>
      </c>
      <c r="L352" s="257">
        <v>28842748.370000001</v>
      </c>
      <c r="M352" s="257">
        <v>45045884.020000003</v>
      </c>
      <c r="N352" s="257">
        <v>45045884.020000003</v>
      </c>
    </row>
    <row r="353" spans="1:14" s="143" customFormat="1" x14ac:dyDescent="0.25">
      <c r="A353" s="143" t="s">
        <v>334</v>
      </c>
      <c r="B353" s="143" t="s">
        <v>140</v>
      </c>
      <c r="C353" s="143" t="s">
        <v>141</v>
      </c>
      <c r="D353" s="143" t="s">
        <v>69</v>
      </c>
      <c r="E353" s="257">
        <v>158364000</v>
      </c>
      <c r="F353" s="257">
        <v>159170448.31999999</v>
      </c>
      <c r="G353" s="257">
        <v>159170448.31999999</v>
      </c>
      <c r="H353" s="257">
        <v>0</v>
      </c>
      <c r="I353" s="257">
        <v>48928240</v>
      </c>
      <c r="J353" s="257">
        <v>0</v>
      </c>
      <c r="K353" s="257">
        <v>103877715</v>
      </c>
      <c r="L353" s="257">
        <v>103825915</v>
      </c>
      <c r="M353" s="257">
        <v>6364493.3200000003</v>
      </c>
      <c r="N353" s="257">
        <v>6364493.3200000003</v>
      </c>
    </row>
    <row r="354" spans="1:14" s="143" customFormat="1" x14ac:dyDescent="0.25">
      <c r="A354" s="143" t="s">
        <v>334</v>
      </c>
      <c r="B354" s="143" t="s">
        <v>142</v>
      </c>
      <c r="C354" s="143" t="s">
        <v>143</v>
      </c>
      <c r="D354" s="143" t="s">
        <v>69</v>
      </c>
      <c r="E354" s="257">
        <v>8364000</v>
      </c>
      <c r="F354" s="257">
        <v>8364000</v>
      </c>
      <c r="G354" s="257">
        <v>8364000</v>
      </c>
      <c r="H354" s="257">
        <v>0</v>
      </c>
      <c r="I354" s="257">
        <v>2514210</v>
      </c>
      <c r="J354" s="257">
        <v>0</v>
      </c>
      <c r="K354" s="257">
        <v>5614570</v>
      </c>
      <c r="L354" s="257">
        <v>5614570</v>
      </c>
      <c r="M354" s="257">
        <v>235220</v>
      </c>
      <c r="N354" s="257">
        <v>235220</v>
      </c>
    </row>
    <row r="355" spans="1:14" s="143" customFormat="1" x14ac:dyDescent="0.25">
      <c r="A355" s="143" t="s">
        <v>334</v>
      </c>
      <c r="B355" s="143" t="s">
        <v>144</v>
      </c>
      <c r="C355" s="143" t="s">
        <v>145</v>
      </c>
      <c r="D355" s="143" t="s">
        <v>69</v>
      </c>
      <c r="E355" s="257">
        <v>150000000</v>
      </c>
      <c r="F355" s="257">
        <v>150000000</v>
      </c>
      <c r="G355" s="257">
        <v>150000000</v>
      </c>
      <c r="H355" s="257">
        <v>0</v>
      </c>
      <c r="I355" s="257">
        <v>46414030</v>
      </c>
      <c r="J355" s="257">
        <v>0</v>
      </c>
      <c r="K355" s="257">
        <v>98263145</v>
      </c>
      <c r="L355" s="257">
        <v>98211345</v>
      </c>
      <c r="M355" s="257">
        <v>5322825</v>
      </c>
      <c r="N355" s="257">
        <v>5322825</v>
      </c>
    </row>
    <row r="356" spans="1:14" s="143" customFormat="1" x14ac:dyDescent="0.25">
      <c r="A356" s="143" t="s">
        <v>334</v>
      </c>
      <c r="B356" s="143" t="s">
        <v>146</v>
      </c>
      <c r="C356" s="143" t="s">
        <v>147</v>
      </c>
      <c r="D356" s="143" t="s">
        <v>69</v>
      </c>
      <c r="E356" s="257">
        <v>0</v>
      </c>
      <c r="F356" s="257">
        <v>271810.02</v>
      </c>
      <c r="G356" s="257">
        <v>271810.02</v>
      </c>
      <c r="H356" s="257">
        <v>0</v>
      </c>
      <c r="I356" s="257">
        <v>0</v>
      </c>
      <c r="J356" s="257">
        <v>0</v>
      </c>
      <c r="K356" s="257">
        <v>0</v>
      </c>
      <c r="L356" s="257">
        <v>0</v>
      </c>
      <c r="M356" s="257">
        <v>271810.02</v>
      </c>
      <c r="N356" s="257">
        <v>271810.02</v>
      </c>
    </row>
    <row r="357" spans="1:14" s="143" customFormat="1" x14ac:dyDescent="0.25">
      <c r="A357" s="143" t="s">
        <v>334</v>
      </c>
      <c r="B357" s="143" t="s">
        <v>148</v>
      </c>
      <c r="C357" s="143" t="s">
        <v>149</v>
      </c>
      <c r="D357" s="143" t="s">
        <v>69</v>
      </c>
      <c r="E357" s="257">
        <v>0</v>
      </c>
      <c r="F357" s="257">
        <v>534638.30000000005</v>
      </c>
      <c r="G357" s="257">
        <v>534638.30000000005</v>
      </c>
      <c r="H357" s="257">
        <v>0</v>
      </c>
      <c r="I357" s="257">
        <v>0</v>
      </c>
      <c r="J357" s="257">
        <v>0</v>
      </c>
      <c r="K357" s="257">
        <v>0</v>
      </c>
      <c r="L357" s="257">
        <v>0</v>
      </c>
      <c r="M357" s="257">
        <v>534638.30000000005</v>
      </c>
      <c r="N357" s="257">
        <v>534638.30000000005</v>
      </c>
    </row>
    <row r="358" spans="1:14" s="143" customFormat="1" x14ac:dyDescent="0.25">
      <c r="A358" s="143" t="s">
        <v>334</v>
      </c>
      <c r="B358" s="143" t="s">
        <v>150</v>
      </c>
      <c r="C358" s="143" t="s">
        <v>151</v>
      </c>
      <c r="D358" s="143" t="s">
        <v>69</v>
      </c>
      <c r="E358" s="257">
        <v>1404477000</v>
      </c>
      <c r="F358" s="257">
        <v>1404477000</v>
      </c>
      <c r="G358" s="257">
        <v>1404477000</v>
      </c>
      <c r="H358" s="257">
        <v>0</v>
      </c>
      <c r="I358" s="257">
        <v>148734876</v>
      </c>
      <c r="J358" s="257">
        <v>0</v>
      </c>
      <c r="K358" s="257">
        <v>1036740286</v>
      </c>
      <c r="L358" s="257">
        <v>996217321</v>
      </c>
      <c r="M358" s="257">
        <v>219001838</v>
      </c>
      <c r="N358" s="257">
        <v>219001838</v>
      </c>
    </row>
    <row r="359" spans="1:14" s="143" customFormat="1" x14ac:dyDescent="0.25">
      <c r="A359" s="143" t="s">
        <v>334</v>
      </c>
      <c r="B359" s="143" t="s">
        <v>152</v>
      </c>
      <c r="C359" s="143" t="s">
        <v>153</v>
      </c>
      <c r="D359" s="143" t="s">
        <v>69</v>
      </c>
      <c r="E359" s="257">
        <v>1404477000</v>
      </c>
      <c r="F359" s="257">
        <v>1404477000</v>
      </c>
      <c r="G359" s="257">
        <v>1404477000</v>
      </c>
      <c r="H359" s="257">
        <v>0</v>
      </c>
      <c r="I359" s="257">
        <v>148734876</v>
      </c>
      <c r="J359" s="257">
        <v>0</v>
      </c>
      <c r="K359" s="257">
        <v>1036740286</v>
      </c>
      <c r="L359" s="257">
        <v>996217321</v>
      </c>
      <c r="M359" s="257">
        <v>219001838</v>
      </c>
      <c r="N359" s="257">
        <v>219001838</v>
      </c>
    </row>
    <row r="360" spans="1:14" s="143" customFormat="1" x14ac:dyDescent="0.25">
      <c r="A360" s="143" t="s">
        <v>334</v>
      </c>
      <c r="B360" s="143" t="s">
        <v>154</v>
      </c>
      <c r="C360" s="143" t="s">
        <v>155</v>
      </c>
      <c r="D360" s="143" t="s">
        <v>69</v>
      </c>
      <c r="E360" s="257">
        <v>1000000</v>
      </c>
      <c r="F360" s="257">
        <v>860000</v>
      </c>
      <c r="G360" s="257">
        <v>860000</v>
      </c>
      <c r="H360" s="257">
        <v>0</v>
      </c>
      <c r="I360" s="257">
        <v>0</v>
      </c>
      <c r="J360" s="257">
        <v>0</v>
      </c>
      <c r="K360" s="257">
        <v>860000</v>
      </c>
      <c r="L360" s="257">
        <v>860000</v>
      </c>
      <c r="M360" s="257">
        <v>0</v>
      </c>
      <c r="N360" s="257">
        <v>0</v>
      </c>
    </row>
    <row r="361" spans="1:14" s="143" customFormat="1" x14ac:dyDescent="0.25">
      <c r="A361" s="143" t="s">
        <v>334</v>
      </c>
      <c r="B361" s="143" t="s">
        <v>156</v>
      </c>
      <c r="C361" s="143" t="s">
        <v>157</v>
      </c>
      <c r="D361" s="143" t="s">
        <v>69</v>
      </c>
      <c r="E361" s="257">
        <v>1000000</v>
      </c>
      <c r="F361" s="257">
        <v>860000</v>
      </c>
      <c r="G361" s="257">
        <v>860000</v>
      </c>
      <c r="H361" s="257">
        <v>0</v>
      </c>
      <c r="I361" s="257">
        <v>0</v>
      </c>
      <c r="J361" s="257">
        <v>0</v>
      </c>
      <c r="K361" s="257">
        <v>860000</v>
      </c>
      <c r="L361" s="257">
        <v>860000</v>
      </c>
      <c r="M361" s="257">
        <v>0</v>
      </c>
      <c r="N361" s="257">
        <v>0</v>
      </c>
    </row>
    <row r="362" spans="1:14" s="143" customFormat="1" x14ac:dyDescent="0.25">
      <c r="A362" s="143" t="s">
        <v>334</v>
      </c>
      <c r="B362" s="143" t="s">
        <v>162</v>
      </c>
      <c r="C362" s="143" t="s">
        <v>163</v>
      </c>
      <c r="D362" s="143" t="s">
        <v>69</v>
      </c>
      <c r="E362" s="257">
        <v>1092012000</v>
      </c>
      <c r="F362" s="257">
        <v>817691575</v>
      </c>
      <c r="G362" s="257">
        <v>817691575</v>
      </c>
      <c r="H362" s="257">
        <v>0</v>
      </c>
      <c r="I362" s="257">
        <v>245106148.31</v>
      </c>
      <c r="J362" s="257">
        <v>0</v>
      </c>
      <c r="K362" s="257">
        <v>428940646.92000002</v>
      </c>
      <c r="L362" s="257">
        <v>326706003.31999999</v>
      </c>
      <c r="M362" s="257">
        <v>143644779.77000001</v>
      </c>
      <c r="N362" s="257">
        <v>143644779.77000001</v>
      </c>
    </row>
    <row r="363" spans="1:14" s="143" customFormat="1" x14ac:dyDescent="0.25">
      <c r="A363" s="143" t="s">
        <v>334</v>
      </c>
      <c r="B363" s="143" t="s">
        <v>310</v>
      </c>
      <c r="C363" s="143" t="s">
        <v>311</v>
      </c>
      <c r="D363" s="143" t="s">
        <v>69</v>
      </c>
      <c r="E363" s="257">
        <v>40000000</v>
      </c>
      <c r="F363" s="257">
        <v>108187087</v>
      </c>
      <c r="G363" s="257">
        <v>108187087</v>
      </c>
      <c r="H363" s="257">
        <v>0</v>
      </c>
      <c r="I363" s="257">
        <v>23008.85</v>
      </c>
      <c r="J363" s="257">
        <v>0</v>
      </c>
      <c r="K363" s="257">
        <v>76991.149999999994</v>
      </c>
      <c r="L363" s="257">
        <v>76991.149999999994</v>
      </c>
      <c r="M363" s="257">
        <v>108087087</v>
      </c>
      <c r="N363" s="257">
        <v>108087087</v>
      </c>
    </row>
    <row r="364" spans="1:14" s="143" customFormat="1" x14ac:dyDescent="0.25">
      <c r="A364" s="143" t="s">
        <v>334</v>
      </c>
      <c r="B364" s="143" t="s">
        <v>164</v>
      </c>
      <c r="C364" s="143" t="s">
        <v>165</v>
      </c>
      <c r="D364" s="143" t="s">
        <v>69</v>
      </c>
      <c r="E364" s="257">
        <v>550000000</v>
      </c>
      <c r="F364" s="257">
        <v>327160642</v>
      </c>
      <c r="G364" s="257">
        <v>327160642</v>
      </c>
      <c r="H364" s="257">
        <v>0</v>
      </c>
      <c r="I364" s="257">
        <v>135135532.81</v>
      </c>
      <c r="J364" s="257">
        <v>0</v>
      </c>
      <c r="K364" s="257">
        <v>191994376.80000001</v>
      </c>
      <c r="L364" s="257">
        <v>139521845.13999999</v>
      </c>
      <c r="M364" s="257">
        <v>30732.39</v>
      </c>
      <c r="N364" s="257">
        <v>30732.39</v>
      </c>
    </row>
    <row r="365" spans="1:14" s="143" customFormat="1" x14ac:dyDescent="0.25">
      <c r="A365" s="143" t="s">
        <v>334</v>
      </c>
      <c r="B365" s="143" t="s">
        <v>166</v>
      </c>
      <c r="C365" s="143" t="s">
        <v>167</v>
      </c>
      <c r="D365" s="143" t="s">
        <v>69</v>
      </c>
      <c r="E365" s="257">
        <v>165180000</v>
      </c>
      <c r="F365" s="257">
        <v>165180000</v>
      </c>
      <c r="G365" s="257">
        <v>165180000</v>
      </c>
      <c r="H365" s="257">
        <v>0</v>
      </c>
      <c r="I365" s="257">
        <v>57170253.380000003</v>
      </c>
      <c r="J365" s="257">
        <v>0</v>
      </c>
      <c r="K365" s="257">
        <v>97258989.400000006</v>
      </c>
      <c r="L365" s="257">
        <v>82912770.980000004</v>
      </c>
      <c r="M365" s="257">
        <v>10750757.220000001</v>
      </c>
      <c r="N365" s="257">
        <v>10750757.220000001</v>
      </c>
    </row>
    <row r="366" spans="1:14" s="143" customFormat="1" x14ac:dyDescent="0.25">
      <c r="A366" s="143" t="s">
        <v>334</v>
      </c>
      <c r="B366" s="143" t="s">
        <v>312</v>
      </c>
      <c r="C366" s="143" t="s">
        <v>313</v>
      </c>
      <c r="D366" s="143" t="s">
        <v>69</v>
      </c>
      <c r="E366" s="257">
        <v>6623000</v>
      </c>
      <c r="F366" s="257">
        <v>413000</v>
      </c>
      <c r="G366" s="257">
        <v>413000</v>
      </c>
      <c r="H366" s="257">
        <v>0</v>
      </c>
      <c r="I366" s="257">
        <v>0</v>
      </c>
      <c r="J366" s="257">
        <v>0</v>
      </c>
      <c r="K366" s="257">
        <v>380855</v>
      </c>
      <c r="L366" s="257">
        <v>380855</v>
      </c>
      <c r="M366" s="257">
        <v>32145</v>
      </c>
      <c r="N366" s="257">
        <v>32145</v>
      </c>
    </row>
    <row r="367" spans="1:14" s="143" customFormat="1" x14ac:dyDescent="0.25">
      <c r="A367" s="143" t="s">
        <v>334</v>
      </c>
      <c r="B367" s="143" t="s">
        <v>168</v>
      </c>
      <c r="C367" s="143" t="s">
        <v>169</v>
      </c>
      <c r="D367" s="143" t="s">
        <v>69</v>
      </c>
      <c r="E367" s="257">
        <v>24424000</v>
      </c>
      <c r="F367" s="257">
        <v>20018759</v>
      </c>
      <c r="G367" s="257">
        <v>20018759</v>
      </c>
      <c r="H367" s="257">
        <v>0</v>
      </c>
      <c r="I367" s="257">
        <v>9223000</v>
      </c>
      <c r="J367" s="257">
        <v>0</v>
      </c>
      <c r="K367" s="257">
        <v>9346092</v>
      </c>
      <c r="L367" s="257">
        <v>5659092</v>
      </c>
      <c r="M367" s="257">
        <v>1449667</v>
      </c>
      <c r="N367" s="257">
        <v>1449667</v>
      </c>
    </row>
    <row r="368" spans="1:14" s="143" customFormat="1" x14ac:dyDescent="0.25">
      <c r="A368" s="143" t="s">
        <v>334</v>
      </c>
      <c r="B368" s="143" t="s">
        <v>170</v>
      </c>
      <c r="C368" s="143" t="s">
        <v>171</v>
      </c>
      <c r="D368" s="143" t="s">
        <v>69</v>
      </c>
      <c r="E368" s="257">
        <v>80000000</v>
      </c>
      <c r="F368" s="257">
        <v>37495119</v>
      </c>
      <c r="G368" s="257">
        <v>37495119</v>
      </c>
      <c r="H368" s="257">
        <v>0</v>
      </c>
      <c r="I368" s="257">
        <v>11286474.789999999</v>
      </c>
      <c r="J368" s="257">
        <v>0</v>
      </c>
      <c r="K368" s="257">
        <v>10621057.369999999</v>
      </c>
      <c r="L368" s="257">
        <v>9616975.2599999998</v>
      </c>
      <c r="M368" s="257">
        <v>15587586.84</v>
      </c>
      <c r="N368" s="257">
        <v>15587586.84</v>
      </c>
    </row>
    <row r="369" spans="1:14" s="143" customFormat="1" x14ac:dyDescent="0.25">
      <c r="A369" s="143" t="s">
        <v>334</v>
      </c>
      <c r="B369" s="143" t="s">
        <v>172</v>
      </c>
      <c r="C369" s="143" t="s">
        <v>173</v>
      </c>
      <c r="D369" s="143" t="s">
        <v>69</v>
      </c>
      <c r="E369" s="257">
        <v>225785000</v>
      </c>
      <c r="F369" s="257">
        <v>159236968</v>
      </c>
      <c r="G369" s="257">
        <v>159236968</v>
      </c>
      <c r="H369" s="257">
        <v>0</v>
      </c>
      <c r="I369" s="257">
        <v>32267878.48</v>
      </c>
      <c r="J369" s="257">
        <v>0</v>
      </c>
      <c r="K369" s="257">
        <v>119262285.2</v>
      </c>
      <c r="L369" s="257">
        <v>88537473.790000007</v>
      </c>
      <c r="M369" s="257">
        <v>7706804.3200000003</v>
      </c>
      <c r="N369" s="257">
        <v>7706804.3200000003</v>
      </c>
    </row>
    <row r="370" spans="1:14" s="143" customFormat="1" x14ac:dyDescent="0.25">
      <c r="A370" s="143" t="s">
        <v>334</v>
      </c>
      <c r="B370" s="143" t="s">
        <v>174</v>
      </c>
      <c r="C370" s="143" t="s">
        <v>175</v>
      </c>
      <c r="D370" s="143" t="s">
        <v>69</v>
      </c>
      <c r="E370" s="257">
        <v>16000000</v>
      </c>
      <c r="F370" s="257">
        <v>16000000</v>
      </c>
      <c r="G370" s="257">
        <v>16000000</v>
      </c>
      <c r="H370" s="257">
        <v>0</v>
      </c>
      <c r="I370" s="257">
        <v>1811101</v>
      </c>
      <c r="J370" s="257">
        <v>0</v>
      </c>
      <c r="K370" s="257">
        <v>9505113</v>
      </c>
      <c r="L370" s="257">
        <v>135141</v>
      </c>
      <c r="M370" s="257">
        <v>4683786</v>
      </c>
      <c r="N370" s="257">
        <v>4683786</v>
      </c>
    </row>
    <row r="371" spans="1:14" s="143" customFormat="1" x14ac:dyDescent="0.25">
      <c r="A371" s="143" t="s">
        <v>334</v>
      </c>
      <c r="B371" s="143" t="s">
        <v>176</v>
      </c>
      <c r="C371" s="143" t="s">
        <v>177</v>
      </c>
      <c r="D371" s="143" t="s">
        <v>69</v>
      </c>
      <c r="E371" s="257">
        <v>16000000</v>
      </c>
      <c r="F371" s="257">
        <v>16000000</v>
      </c>
      <c r="G371" s="257">
        <v>16000000</v>
      </c>
      <c r="H371" s="257">
        <v>0</v>
      </c>
      <c r="I371" s="257">
        <v>1811101</v>
      </c>
      <c r="J371" s="257">
        <v>0</v>
      </c>
      <c r="K371" s="257">
        <v>9505113</v>
      </c>
      <c r="L371" s="257">
        <v>135141</v>
      </c>
      <c r="M371" s="257">
        <v>4683786</v>
      </c>
      <c r="N371" s="257">
        <v>4683786</v>
      </c>
    </row>
    <row r="372" spans="1:14" s="143" customFormat="1" x14ac:dyDescent="0.25">
      <c r="A372" s="143" t="s">
        <v>334</v>
      </c>
      <c r="B372" s="143" t="s">
        <v>178</v>
      </c>
      <c r="C372" s="143" t="s">
        <v>179</v>
      </c>
      <c r="D372" s="143" t="s">
        <v>69</v>
      </c>
      <c r="E372" s="257">
        <v>37925000</v>
      </c>
      <c r="F372" s="257">
        <v>86193515</v>
      </c>
      <c r="G372" s="257">
        <v>86193515</v>
      </c>
      <c r="H372" s="257">
        <v>0</v>
      </c>
      <c r="I372" s="257">
        <v>62670364.710000001</v>
      </c>
      <c r="J372" s="257">
        <v>0</v>
      </c>
      <c r="K372" s="257">
        <v>19424058.91</v>
      </c>
      <c r="L372" s="257">
        <v>9729792.4800000004</v>
      </c>
      <c r="M372" s="257">
        <v>4099091.38</v>
      </c>
      <c r="N372" s="257">
        <v>4099091.38</v>
      </c>
    </row>
    <row r="373" spans="1:14" s="143" customFormat="1" x14ac:dyDescent="0.25">
      <c r="A373" s="143" t="s">
        <v>334</v>
      </c>
      <c r="B373" s="143" t="s">
        <v>348</v>
      </c>
      <c r="C373" s="143" t="s">
        <v>349</v>
      </c>
      <c r="D373" s="143" t="s">
        <v>69</v>
      </c>
      <c r="E373" s="257">
        <v>4000000</v>
      </c>
      <c r="F373" s="257">
        <v>2268515</v>
      </c>
      <c r="G373" s="257">
        <v>2268515</v>
      </c>
      <c r="H373" s="257">
        <v>0</v>
      </c>
      <c r="I373" s="257">
        <v>466174</v>
      </c>
      <c r="J373" s="257">
        <v>0</v>
      </c>
      <c r="K373" s="257">
        <v>1801841.57</v>
      </c>
      <c r="L373" s="257">
        <v>624543.59</v>
      </c>
      <c r="M373" s="257">
        <v>499.43</v>
      </c>
      <c r="N373" s="257">
        <v>499.43</v>
      </c>
    </row>
    <row r="374" spans="1:14" s="143" customFormat="1" x14ac:dyDescent="0.25">
      <c r="A374" s="143" t="s">
        <v>334</v>
      </c>
      <c r="B374" s="143" t="s">
        <v>180</v>
      </c>
      <c r="C374" s="143" t="s">
        <v>181</v>
      </c>
      <c r="D374" s="143" t="s">
        <v>69</v>
      </c>
      <c r="E374" s="257">
        <v>3925000</v>
      </c>
      <c r="F374" s="257">
        <v>53925000</v>
      </c>
      <c r="G374" s="257">
        <v>53925000</v>
      </c>
      <c r="H374" s="257">
        <v>0</v>
      </c>
      <c r="I374" s="257">
        <v>47166460.710000001</v>
      </c>
      <c r="J374" s="257">
        <v>0</v>
      </c>
      <c r="K374" s="257">
        <v>6712217.3399999999</v>
      </c>
      <c r="L374" s="257">
        <v>6495248.8899999997</v>
      </c>
      <c r="M374" s="257">
        <v>46321.95</v>
      </c>
      <c r="N374" s="257">
        <v>46321.95</v>
      </c>
    </row>
    <row r="375" spans="1:14" s="143" customFormat="1" x14ac:dyDescent="0.25">
      <c r="A375" s="143" t="s">
        <v>334</v>
      </c>
      <c r="B375" s="143" t="s">
        <v>182</v>
      </c>
      <c r="C375" s="143" t="s">
        <v>183</v>
      </c>
      <c r="D375" s="143" t="s">
        <v>69</v>
      </c>
      <c r="E375" s="257">
        <v>30000000</v>
      </c>
      <c r="F375" s="257">
        <v>30000000</v>
      </c>
      <c r="G375" s="257">
        <v>30000000</v>
      </c>
      <c r="H375" s="257">
        <v>0</v>
      </c>
      <c r="I375" s="257">
        <v>15037730</v>
      </c>
      <c r="J375" s="257">
        <v>0</v>
      </c>
      <c r="K375" s="257">
        <v>10910000</v>
      </c>
      <c r="L375" s="257">
        <v>2610000</v>
      </c>
      <c r="M375" s="257">
        <v>4052270</v>
      </c>
      <c r="N375" s="257">
        <v>4052270</v>
      </c>
    </row>
    <row r="376" spans="1:14" s="143" customFormat="1" x14ac:dyDescent="0.25">
      <c r="A376" s="143" t="s">
        <v>334</v>
      </c>
      <c r="B376" s="143" t="s">
        <v>184</v>
      </c>
      <c r="C376" s="143" t="s">
        <v>185</v>
      </c>
      <c r="D376" s="143" t="s">
        <v>69</v>
      </c>
      <c r="E376" s="257">
        <v>16405848690</v>
      </c>
      <c r="F376" s="257">
        <v>15290513781.51</v>
      </c>
      <c r="G376" s="257">
        <v>15290513781.51</v>
      </c>
      <c r="H376" s="257">
        <v>0</v>
      </c>
      <c r="I376" s="257">
        <v>1195643706.96</v>
      </c>
      <c r="J376" s="257">
        <v>0</v>
      </c>
      <c r="K376" s="257">
        <v>13594442327.48</v>
      </c>
      <c r="L376" s="257">
        <v>11684495951</v>
      </c>
      <c r="M376" s="257">
        <v>500427747.06999999</v>
      </c>
      <c r="N376" s="257">
        <v>500427747.06999999</v>
      </c>
    </row>
    <row r="377" spans="1:14" s="143" customFormat="1" x14ac:dyDescent="0.25">
      <c r="A377" s="143" t="s">
        <v>334</v>
      </c>
      <c r="B377" s="143" t="s">
        <v>186</v>
      </c>
      <c r="C377" s="143" t="s">
        <v>187</v>
      </c>
      <c r="D377" s="143" t="s">
        <v>69</v>
      </c>
      <c r="E377" s="257">
        <v>917065000</v>
      </c>
      <c r="F377" s="257">
        <v>893159475</v>
      </c>
      <c r="G377" s="257">
        <v>893159475</v>
      </c>
      <c r="H377" s="257">
        <v>0</v>
      </c>
      <c r="I377" s="257">
        <v>58339744</v>
      </c>
      <c r="J377" s="257">
        <v>0</v>
      </c>
      <c r="K377" s="257">
        <v>824850672.11000001</v>
      </c>
      <c r="L377" s="257">
        <v>642699910.99000001</v>
      </c>
      <c r="M377" s="257">
        <v>9969058.8900000006</v>
      </c>
      <c r="N377" s="257">
        <v>9969058.8900000006</v>
      </c>
    </row>
    <row r="378" spans="1:14" s="143" customFormat="1" x14ac:dyDescent="0.25">
      <c r="A378" s="143" t="s">
        <v>334</v>
      </c>
      <c r="B378" s="143" t="s">
        <v>188</v>
      </c>
      <c r="C378" s="143" t="s">
        <v>189</v>
      </c>
      <c r="D378" s="143" t="s">
        <v>69</v>
      </c>
      <c r="E378" s="257">
        <v>633445000</v>
      </c>
      <c r="F378" s="257">
        <v>623445000</v>
      </c>
      <c r="G378" s="257">
        <v>623445000</v>
      </c>
      <c r="H378" s="257">
        <v>0</v>
      </c>
      <c r="I378" s="257">
        <v>57498373</v>
      </c>
      <c r="J378" s="257">
        <v>0</v>
      </c>
      <c r="K378" s="257">
        <v>564684834.11000001</v>
      </c>
      <c r="L378" s="257">
        <v>520726172.99000001</v>
      </c>
      <c r="M378" s="257">
        <v>1261792.8899999999</v>
      </c>
      <c r="N378" s="257">
        <v>1261792.8899999999</v>
      </c>
    </row>
    <row r="379" spans="1:14" s="143" customFormat="1" x14ac:dyDescent="0.25">
      <c r="A379" s="143" t="s">
        <v>334</v>
      </c>
      <c r="B379" s="143" t="s">
        <v>190</v>
      </c>
      <c r="C379" s="143" t="s">
        <v>191</v>
      </c>
      <c r="D379" s="143" t="s">
        <v>69</v>
      </c>
      <c r="E379" s="257">
        <v>216657000</v>
      </c>
      <c r="F379" s="257">
        <v>204939180</v>
      </c>
      <c r="G379" s="257">
        <v>204939180</v>
      </c>
      <c r="H379" s="257">
        <v>0</v>
      </c>
      <c r="I379" s="257">
        <v>820600</v>
      </c>
      <c r="J379" s="257">
        <v>0</v>
      </c>
      <c r="K379" s="257">
        <v>202850750</v>
      </c>
      <c r="L379" s="257">
        <v>67203150</v>
      </c>
      <c r="M379" s="257">
        <v>1267830</v>
      </c>
      <c r="N379" s="257">
        <v>1267830</v>
      </c>
    </row>
    <row r="380" spans="1:14" s="143" customFormat="1" x14ac:dyDescent="0.25">
      <c r="A380" s="143" t="s">
        <v>334</v>
      </c>
      <c r="B380" s="143" t="s">
        <v>350</v>
      </c>
      <c r="C380" s="143" t="s">
        <v>351</v>
      </c>
      <c r="D380" s="143" t="s">
        <v>69</v>
      </c>
      <c r="E380" s="257">
        <v>5824000</v>
      </c>
      <c r="F380" s="257">
        <v>5824000</v>
      </c>
      <c r="G380" s="257">
        <v>5824000</v>
      </c>
      <c r="H380" s="257">
        <v>0</v>
      </c>
      <c r="I380" s="257">
        <v>20771</v>
      </c>
      <c r="J380" s="257">
        <v>0</v>
      </c>
      <c r="K380" s="257">
        <v>279229</v>
      </c>
      <c r="L380" s="257">
        <v>279229</v>
      </c>
      <c r="M380" s="257">
        <v>5524000</v>
      </c>
      <c r="N380" s="257">
        <v>5524000</v>
      </c>
    </row>
    <row r="381" spans="1:14" s="143" customFormat="1" x14ac:dyDescent="0.25">
      <c r="A381" s="143" t="s">
        <v>334</v>
      </c>
      <c r="B381" s="143" t="s">
        <v>192</v>
      </c>
      <c r="C381" s="143" t="s">
        <v>193</v>
      </c>
      <c r="D381" s="143" t="s">
        <v>69</v>
      </c>
      <c r="E381" s="257">
        <v>53735000</v>
      </c>
      <c r="F381" s="257">
        <v>45909400</v>
      </c>
      <c r="G381" s="257">
        <v>45909400</v>
      </c>
      <c r="H381" s="257">
        <v>0</v>
      </c>
      <c r="I381" s="257">
        <v>0</v>
      </c>
      <c r="J381" s="257">
        <v>0</v>
      </c>
      <c r="K381" s="257">
        <v>45526119</v>
      </c>
      <c r="L381" s="257">
        <v>45526119</v>
      </c>
      <c r="M381" s="257">
        <v>383281</v>
      </c>
      <c r="N381" s="257">
        <v>383281</v>
      </c>
    </row>
    <row r="382" spans="1:14" s="143" customFormat="1" x14ac:dyDescent="0.25">
      <c r="A382" s="143" t="s">
        <v>334</v>
      </c>
      <c r="B382" s="143" t="s">
        <v>194</v>
      </c>
      <c r="C382" s="143" t="s">
        <v>195</v>
      </c>
      <c r="D382" s="143" t="s">
        <v>69</v>
      </c>
      <c r="E382" s="257">
        <v>7404000</v>
      </c>
      <c r="F382" s="257">
        <v>13041895</v>
      </c>
      <c r="G382" s="257">
        <v>13041895</v>
      </c>
      <c r="H382" s="257">
        <v>0</v>
      </c>
      <c r="I382" s="257">
        <v>0</v>
      </c>
      <c r="J382" s="257">
        <v>0</v>
      </c>
      <c r="K382" s="257">
        <v>11509740</v>
      </c>
      <c r="L382" s="257">
        <v>8965240</v>
      </c>
      <c r="M382" s="257">
        <v>1532155</v>
      </c>
      <c r="N382" s="257">
        <v>1532155</v>
      </c>
    </row>
    <row r="383" spans="1:14" s="143" customFormat="1" x14ac:dyDescent="0.25">
      <c r="A383" s="143" t="s">
        <v>334</v>
      </c>
      <c r="B383" s="143" t="s">
        <v>196</v>
      </c>
      <c r="C383" s="143" t="s">
        <v>197</v>
      </c>
      <c r="D383" s="143" t="s">
        <v>69</v>
      </c>
      <c r="E383" s="257">
        <v>11011103690</v>
      </c>
      <c r="F383" s="257">
        <v>10517884481.51</v>
      </c>
      <c r="G383" s="257">
        <v>10517884481.51</v>
      </c>
      <c r="H383" s="257">
        <v>0</v>
      </c>
      <c r="I383" s="257">
        <v>643622931.84000003</v>
      </c>
      <c r="J383" s="257">
        <v>0</v>
      </c>
      <c r="K383" s="257">
        <v>9833342319.7000008</v>
      </c>
      <c r="L383" s="257">
        <v>9023570120.7399998</v>
      </c>
      <c r="M383" s="257">
        <v>40919229.969999999</v>
      </c>
      <c r="N383" s="257">
        <v>40919229.969999999</v>
      </c>
    </row>
    <row r="384" spans="1:14" s="143" customFormat="1" x14ac:dyDescent="0.25">
      <c r="A384" s="143" t="s">
        <v>334</v>
      </c>
      <c r="B384" s="143" t="s">
        <v>198</v>
      </c>
      <c r="C384" s="143" t="s">
        <v>199</v>
      </c>
      <c r="D384" s="143" t="s">
        <v>69</v>
      </c>
      <c r="E384" s="257">
        <v>10999103690</v>
      </c>
      <c r="F384" s="257">
        <v>10505884481.51</v>
      </c>
      <c r="G384" s="257">
        <v>10505884481.51</v>
      </c>
      <c r="H384" s="257">
        <v>0</v>
      </c>
      <c r="I384" s="257">
        <v>643622931.84000003</v>
      </c>
      <c r="J384" s="257">
        <v>0</v>
      </c>
      <c r="K384" s="257">
        <v>9821355344.7000008</v>
      </c>
      <c r="L384" s="257">
        <v>9016650965.7399998</v>
      </c>
      <c r="M384" s="257">
        <v>40906204.969999999</v>
      </c>
      <c r="N384" s="257">
        <v>40906204.969999999</v>
      </c>
    </row>
    <row r="385" spans="1:14" s="143" customFormat="1" x14ac:dyDescent="0.25">
      <c r="A385" s="143" t="s">
        <v>334</v>
      </c>
      <c r="B385" s="143" t="s">
        <v>352</v>
      </c>
      <c r="C385" s="143" t="s">
        <v>353</v>
      </c>
      <c r="D385" s="143" t="s">
        <v>69</v>
      </c>
      <c r="E385" s="257">
        <v>12000000</v>
      </c>
      <c r="F385" s="257">
        <v>12000000</v>
      </c>
      <c r="G385" s="257">
        <v>12000000</v>
      </c>
      <c r="H385" s="257">
        <v>0</v>
      </c>
      <c r="I385" s="257">
        <v>0</v>
      </c>
      <c r="J385" s="257">
        <v>0</v>
      </c>
      <c r="K385" s="257">
        <v>11986975</v>
      </c>
      <c r="L385" s="257">
        <v>6919155</v>
      </c>
      <c r="M385" s="257">
        <v>13025</v>
      </c>
      <c r="N385" s="257">
        <v>13025</v>
      </c>
    </row>
    <row r="386" spans="1:14" s="143" customFormat="1" x14ac:dyDescent="0.25">
      <c r="A386" s="143" t="s">
        <v>334</v>
      </c>
      <c r="B386" s="143" t="s">
        <v>200</v>
      </c>
      <c r="C386" s="143" t="s">
        <v>201</v>
      </c>
      <c r="D386" s="143" t="s">
        <v>69</v>
      </c>
      <c r="E386" s="257">
        <v>1141773000</v>
      </c>
      <c r="F386" s="257">
        <v>727388654</v>
      </c>
      <c r="G386" s="257">
        <v>727388654</v>
      </c>
      <c r="H386" s="257">
        <v>0</v>
      </c>
      <c r="I386" s="257">
        <v>49176245.18</v>
      </c>
      <c r="J386" s="257">
        <v>0</v>
      </c>
      <c r="K386" s="257">
        <v>502694606.77999997</v>
      </c>
      <c r="L386" s="257">
        <v>330075174.08999997</v>
      </c>
      <c r="M386" s="257">
        <v>175517802.03999999</v>
      </c>
      <c r="N386" s="257">
        <v>175517802.03999999</v>
      </c>
    </row>
    <row r="387" spans="1:14" s="143" customFormat="1" x14ac:dyDescent="0.25">
      <c r="A387" s="143" t="s">
        <v>334</v>
      </c>
      <c r="B387" s="143" t="s">
        <v>314</v>
      </c>
      <c r="C387" s="143" t="s">
        <v>315</v>
      </c>
      <c r="D387" s="143" t="s">
        <v>69</v>
      </c>
      <c r="E387" s="257">
        <v>433000000</v>
      </c>
      <c r="F387" s="257">
        <v>294279374</v>
      </c>
      <c r="G387" s="257">
        <v>294279374</v>
      </c>
      <c r="H387" s="257">
        <v>0</v>
      </c>
      <c r="I387" s="257">
        <v>6019035</v>
      </c>
      <c r="J387" s="257">
        <v>0</v>
      </c>
      <c r="K387" s="257">
        <v>247173408.13</v>
      </c>
      <c r="L387" s="257">
        <v>164768893.28999999</v>
      </c>
      <c r="M387" s="257">
        <v>41086930.869999997</v>
      </c>
      <c r="N387" s="257">
        <v>41086930.869999997</v>
      </c>
    </row>
    <row r="388" spans="1:14" s="143" customFormat="1" x14ac:dyDescent="0.25">
      <c r="A388" s="143" t="s">
        <v>334</v>
      </c>
      <c r="B388" s="143" t="s">
        <v>316</v>
      </c>
      <c r="C388" s="143" t="s">
        <v>317</v>
      </c>
      <c r="D388" s="143" t="s">
        <v>69</v>
      </c>
      <c r="E388" s="257">
        <v>69048000</v>
      </c>
      <c r="F388" s="257">
        <v>69048000</v>
      </c>
      <c r="G388" s="257">
        <v>69048000</v>
      </c>
      <c r="H388" s="257">
        <v>0</v>
      </c>
      <c r="I388" s="257">
        <v>3935643</v>
      </c>
      <c r="J388" s="257">
        <v>0</v>
      </c>
      <c r="K388" s="257">
        <v>65109866.920000002</v>
      </c>
      <c r="L388" s="257">
        <v>34614699.920000002</v>
      </c>
      <c r="M388" s="257">
        <v>2490.08</v>
      </c>
      <c r="N388" s="257">
        <v>2490.08</v>
      </c>
    </row>
    <row r="389" spans="1:14" s="143" customFormat="1" x14ac:dyDescent="0.25">
      <c r="A389" s="143" t="s">
        <v>334</v>
      </c>
      <c r="B389" s="143" t="s">
        <v>318</v>
      </c>
      <c r="C389" s="143" t="s">
        <v>319</v>
      </c>
      <c r="D389" s="143" t="s">
        <v>69</v>
      </c>
      <c r="E389" s="257">
        <v>116458000</v>
      </c>
      <c r="F389" s="257">
        <v>97606469</v>
      </c>
      <c r="G389" s="257">
        <v>97606469</v>
      </c>
      <c r="H389" s="257">
        <v>0</v>
      </c>
      <c r="I389" s="257">
        <v>39170598</v>
      </c>
      <c r="J389" s="257">
        <v>0</v>
      </c>
      <c r="K389" s="257">
        <v>58406417.5</v>
      </c>
      <c r="L389" s="257">
        <v>34681337.5</v>
      </c>
      <c r="M389" s="257">
        <v>29453.5</v>
      </c>
      <c r="N389" s="257">
        <v>29453.5</v>
      </c>
    </row>
    <row r="390" spans="1:14" s="143" customFormat="1" x14ac:dyDescent="0.25">
      <c r="A390" s="143" t="s">
        <v>334</v>
      </c>
      <c r="B390" s="143" t="s">
        <v>202</v>
      </c>
      <c r="C390" s="143" t="s">
        <v>203</v>
      </c>
      <c r="D390" s="143" t="s">
        <v>69</v>
      </c>
      <c r="E390" s="257">
        <v>330000000</v>
      </c>
      <c r="F390" s="257">
        <v>148640637</v>
      </c>
      <c r="G390" s="257">
        <v>148640637</v>
      </c>
      <c r="H390" s="257">
        <v>0</v>
      </c>
      <c r="I390" s="257">
        <v>10000</v>
      </c>
      <c r="J390" s="257">
        <v>0</v>
      </c>
      <c r="K390" s="257">
        <v>36891896.770000003</v>
      </c>
      <c r="L390" s="257">
        <v>36891896.770000003</v>
      </c>
      <c r="M390" s="257">
        <v>111738740.23</v>
      </c>
      <c r="N390" s="257">
        <v>111738740.23</v>
      </c>
    </row>
    <row r="391" spans="1:14" s="143" customFormat="1" x14ac:dyDescent="0.25">
      <c r="A391" s="143" t="s">
        <v>334</v>
      </c>
      <c r="B391" s="143" t="s">
        <v>320</v>
      </c>
      <c r="C391" s="143" t="s">
        <v>321</v>
      </c>
      <c r="D391" s="143" t="s">
        <v>69</v>
      </c>
      <c r="E391" s="257">
        <v>7059000</v>
      </c>
      <c r="F391" s="257">
        <v>7059000</v>
      </c>
      <c r="G391" s="257">
        <v>7059000</v>
      </c>
      <c r="H391" s="257">
        <v>0</v>
      </c>
      <c r="I391" s="257">
        <v>0</v>
      </c>
      <c r="J391" s="257">
        <v>0</v>
      </c>
      <c r="K391" s="257">
        <v>7043000</v>
      </c>
      <c r="L391" s="257">
        <v>7043000</v>
      </c>
      <c r="M391" s="257">
        <v>16000</v>
      </c>
      <c r="N391" s="257">
        <v>16000</v>
      </c>
    </row>
    <row r="392" spans="1:14" s="143" customFormat="1" x14ac:dyDescent="0.25">
      <c r="A392" s="143" t="s">
        <v>334</v>
      </c>
      <c r="B392" s="143" t="s">
        <v>204</v>
      </c>
      <c r="C392" s="143" t="s">
        <v>205</v>
      </c>
      <c r="D392" s="143" t="s">
        <v>69</v>
      </c>
      <c r="E392" s="257">
        <v>151074000</v>
      </c>
      <c r="F392" s="257">
        <v>85190514</v>
      </c>
      <c r="G392" s="257">
        <v>85190514</v>
      </c>
      <c r="H392" s="257">
        <v>0</v>
      </c>
      <c r="I392" s="257">
        <v>40969.18</v>
      </c>
      <c r="J392" s="257">
        <v>0</v>
      </c>
      <c r="K392" s="257">
        <v>65623461.460000001</v>
      </c>
      <c r="L392" s="257">
        <v>40983036.609999999</v>
      </c>
      <c r="M392" s="257">
        <v>19526083.359999999</v>
      </c>
      <c r="N392" s="257">
        <v>19526083.359999999</v>
      </c>
    </row>
    <row r="393" spans="1:14" s="143" customFormat="1" x14ac:dyDescent="0.25">
      <c r="A393" s="143" t="s">
        <v>334</v>
      </c>
      <c r="B393" s="143" t="s">
        <v>322</v>
      </c>
      <c r="C393" s="143" t="s">
        <v>323</v>
      </c>
      <c r="D393" s="143" t="s">
        <v>69</v>
      </c>
      <c r="E393" s="257">
        <v>35134000</v>
      </c>
      <c r="F393" s="257">
        <v>25564660</v>
      </c>
      <c r="G393" s="257">
        <v>25564660</v>
      </c>
      <c r="H393" s="257">
        <v>0</v>
      </c>
      <c r="I393" s="257">
        <v>0</v>
      </c>
      <c r="J393" s="257">
        <v>0</v>
      </c>
      <c r="K393" s="257">
        <v>22446556</v>
      </c>
      <c r="L393" s="257">
        <v>11092310</v>
      </c>
      <c r="M393" s="257">
        <v>3118104</v>
      </c>
      <c r="N393" s="257">
        <v>3118104</v>
      </c>
    </row>
    <row r="394" spans="1:14" s="143" customFormat="1" x14ac:dyDescent="0.25">
      <c r="A394" s="143" t="s">
        <v>334</v>
      </c>
      <c r="B394" s="143" t="s">
        <v>206</v>
      </c>
      <c r="C394" s="143" t="s">
        <v>207</v>
      </c>
      <c r="D394" s="143" t="s">
        <v>69</v>
      </c>
      <c r="E394" s="257">
        <v>289044000</v>
      </c>
      <c r="F394" s="257">
        <v>241220514</v>
      </c>
      <c r="G394" s="257">
        <v>241220514</v>
      </c>
      <c r="H394" s="257">
        <v>0</v>
      </c>
      <c r="I394" s="257">
        <v>29697133.329999998</v>
      </c>
      <c r="J394" s="257">
        <v>0</v>
      </c>
      <c r="K394" s="257">
        <v>158530159.46000001</v>
      </c>
      <c r="L394" s="257">
        <v>78957855.879999995</v>
      </c>
      <c r="M394" s="257">
        <v>52993221.210000001</v>
      </c>
      <c r="N394" s="257">
        <v>52993221.210000001</v>
      </c>
    </row>
    <row r="395" spans="1:14" s="143" customFormat="1" x14ac:dyDescent="0.25">
      <c r="A395" s="143" t="s">
        <v>334</v>
      </c>
      <c r="B395" s="143" t="s">
        <v>208</v>
      </c>
      <c r="C395" s="143" t="s">
        <v>209</v>
      </c>
      <c r="D395" s="143" t="s">
        <v>69</v>
      </c>
      <c r="E395" s="257">
        <v>74595000</v>
      </c>
      <c r="F395" s="257">
        <v>48605013</v>
      </c>
      <c r="G395" s="257">
        <v>48605013</v>
      </c>
      <c r="H395" s="257">
        <v>0</v>
      </c>
      <c r="I395" s="257">
        <v>16855580</v>
      </c>
      <c r="J395" s="257">
        <v>0</v>
      </c>
      <c r="K395" s="257">
        <v>22385891.039999999</v>
      </c>
      <c r="L395" s="257">
        <v>11647541.800000001</v>
      </c>
      <c r="M395" s="257">
        <v>9363541.9600000009</v>
      </c>
      <c r="N395" s="257">
        <v>9363541.9600000009</v>
      </c>
    </row>
    <row r="396" spans="1:14" s="143" customFormat="1" x14ac:dyDescent="0.25">
      <c r="A396" s="143" t="s">
        <v>334</v>
      </c>
      <c r="B396" s="143" t="s">
        <v>210</v>
      </c>
      <c r="C396" s="143" t="s">
        <v>211</v>
      </c>
      <c r="D396" s="143" t="s">
        <v>69</v>
      </c>
      <c r="E396" s="257">
        <v>214449000</v>
      </c>
      <c r="F396" s="257">
        <v>192615501</v>
      </c>
      <c r="G396" s="257">
        <v>192615501</v>
      </c>
      <c r="H396" s="257">
        <v>0</v>
      </c>
      <c r="I396" s="257">
        <v>12841553.33</v>
      </c>
      <c r="J396" s="257">
        <v>0</v>
      </c>
      <c r="K396" s="257">
        <v>136144268.41999999</v>
      </c>
      <c r="L396" s="257">
        <v>67310314.079999998</v>
      </c>
      <c r="M396" s="257">
        <v>43629679.25</v>
      </c>
      <c r="N396" s="257">
        <v>43629679.25</v>
      </c>
    </row>
    <row r="397" spans="1:14" s="143" customFormat="1" x14ac:dyDescent="0.25">
      <c r="A397" s="143" t="s">
        <v>334</v>
      </c>
      <c r="B397" s="143" t="s">
        <v>212</v>
      </c>
      <c r="C397" s="143" t="s">
        <v>831</v>
      </c>
      <c r="D397" s="143" t="s">
        <v>69</v>
      </c>
      <c r="E397" s="257">
        <v>3046863000</v>
      </c>
      <c r="F397" s="257">
        <v>2910860657</v>
      </c>
      <c r="G397" s="257">
        <v>2910860657</v>
      </c>
      <c r="H397" s="257">
        <v>0</v>
      </c>
      <c r="I397" s="257">
        <v>414807652.61000001</v>
      </c>
      <c r="J397" s="257">
        <v>0</v>
      </c>
      <c r="K397" s="257">
        <v>2275024569.4299998</v>
      </c>
      <c r="L397" s="257">
        <v>1609192889.3</v>
      </c>
      <c r="M397" s="257">
        <v>221028434.96000001</v>
      </c>
      <c r="N397" s="257">
        <v>221028434.96000001</v>
      </c>
    </row>
    <row r="398" spans="1:14" s="143" customFormat="1" x14ac:dyDescent="0.25">
      <c r="A398" s="143" t="s">
        <v>334</v>
      </c>
      <c r="B398" s="143" t="s">
        <v>214</v>
      </c>
      <c r="C398" s="143" t="s">
        <v>215</v>
      </c>
      <c r="D398" s="143" t="s">
        <v>69</v>
      </c>
      <c r="E398" s="257">
        <v>39631000</v>
      </c>
      <c r="F398" s="257">
        <v>11406366</v>
      </c>
      <c r="G398" s="257">
        <v>11406366</v>
      </c>
      <c r="H398" s="257">
        <v>0</v>
      </c>
      <c r="I398" s="257">
        <v>0</v>
      </c>
      <c r="J398" s="257">
        <v>0</v>
      </c>
      <c r="K398" s="257">
        <v>3940645.06</v>
      </c>
      <c r="L398" s="257">
        <v>3702445.06</v>
      </c>
      <c r="M398" s="257">
        <v>7465720.9400000004</v>
      </c>
      <c r="N398" s="257">
        <v>7465720.9400000004</v>
      </c>
    </row>
    <row r="399" spans="1:14" s="143" customFormat="1" x14ac:dyDescent="0.25">
      <c r="A399" s="143" t="s">
        <v>334</v>
      </c>
      <c r="B399" s="143" t="s">
        <v>216</v>
      </c>
      <c r="C399" s="143" t="s">
        <v>217</v>
      </c>
      <c r="D399" s="143" t="s">
        <v>69</v>
      </c>
      <c r="E399" s="257">
        <v>24278000</v>
      </c>
      <c r="F399" s="257">
        <v>23924268</v>
      </c>
      <c r="G399" s="257">
        <v>23924268</v>
      </c>
      <c r="H399" s="257">
        <v>0</v>
      </c>
      <c r="I399" s="257">
        <v>5406256.1900000004</v>
      </c>
      <c r="J399" s="257">
        <v>0</v>
      </c>
      <c r="K399" s="257">
        <v>13571361.869999999</v>
      </c>
      <c r="L399" s="257">
        <v>12149443.52</v>
      </c>
      <c r="M399" s="257">
        <v>4946649.9400000004</v>
      </c>
      <c r="N399" s="257">
        <v>4946649.9400000004</v>
      </c>
    </row>
    <row r="400" spans="1:14" s="143" customFormat="1" x14ac:dyDescent="0.25">
      <c r="A400" s="143" t="s">
        <v>334</v>
      </c>
      <c r="B400" s="143" t="s">
        <v>218</v>
      </c>
      <c r="C400" s="143" t="s">
        <v>219</v>
      </c>
      <c r="D400" s="143" t="s">
        <v>69</v>
      </c>
      <c r="E400" s="257">
        <v>259995000</v>
      </c>
      <c r="F400" s="257">
        <v>221306747</v>
      </c>
      <c r="G400" s="257">
        <v>221306747</v>
      </c>
      <c r="H400" s="257">
        <v>0</v>
      </c>
      <c r="I400" s="257">
        <v>20176205.940000001</v>
      </c>
      <c r="J400" s="257">
        <v>0</v>
      </c>
      <c r="K400" s="257">
        <v>121273573.92</v>
      </c>
      <c r="L400" s="257">
        <v>92679873.920000002</v>
      </c>
      <c r="M400" s="257">
        <v>79856967.140000001</v>
      </c>
      <c r="N400" s="257">
        <v>79856967.140000001</v>
      </c>
    </row>
    <row r="401" spans="1:14" s="143" customFormat="1" x14ac:dyDescent="0.25">
      <c r="A401" s="143" t="s">
        <v>334</v>
      </c>
      <c r="B401" s="143" t="s">
        <v>220</v>
      </c>
      <c r="C401" s="143" t="s">
        <v>221</v>
      </c>
      <c r="D401" s="143" t="s">
        <v>69</v>
      </c>
      <c r="E401" s="257">
        <v>1200000000</v>
      </c>
      <c r="F401" s="257">
        <v>1198984641</v>
      </c>
      <c r="G401" s="257">
        <v>1198984641</v>
      </c>
      <c r="H401" s="257">
        <v>0</v>
      </c>
      <c r="I401" s="257">
        <v>293236817</v>
      </c>
      <c r="J401" s="257">
        <v>0</v>
      </c>
      <c r="K401" s="257">
        <v>858280831.88999999</v>
      </c>
      <c r="L401" s="257">
        <v>297905321.88999999</v>
      </c>
      <c r="M401" s="257">
        <v>47466992.109999999</v>
      </c>
      <c r="N401" s="257">
        <v>47466992.109999999</v>
      </c>
    </row>
    <row r="402" spans="1:14" s="143" customFormat="1" x14ac:dyDescent="0.25">
      <c r="A402" s="143" t="s">
        <v>334</v>
      </c>
      <c r="B402" s="143" t="s">
        <v>222</v>
      </c>
      <c r="C402" s="143" t="s">
        <v>223</v>
      </c>
      <c r="D402" s="143" t="s">
        <v>69</v>
      </c>
      <c r="E402" s="257">
        <v>381516000</v>
      </c>
      <c r="F402" s="257">
        <v>329376981</v>
      </c>
      <c r="G402" s="257">
        <v>329376981</v>
      </c>
      <c r="H402" s="257">
        <v>0</v>
      </c>
      <c r="I402" s="257">
        <v>34293672.210000001</v>
      </c>
      <c r="J402" s="257">
        <v>0</v>
      </c>
      <c r="K402" s="257">
        <v>279917637.05000001</v>
      </c>
      <c r="L402" s="257">
        <v>257460857.13999999</v>
      </c>
      <c r="M402" s="257">
        <v>15165671.74</v>
      </c>
      <c r="N402" s="257">
        <v>15165671.74</v>
      </c>
    </row>
    <row r="403" spans="1:14" s="143" customFormat="1" x14ac:dyDescent="0.25">
      <c r="A403" s="143" t="s">
        <v>334</v>
      </c>
      <c r="B403" s="143" t="s">
        <v>224</v>
      </c>
      <c r="C403" s="143" t="s">
        <v>225</v>
      </c>
      <c r="D403" s="143" t="s">
        <v>69</v>
      </c>
      <c r="E403" s="257">
        <v>800000000</v>
      </c>
      <c r="F403" s="257">
        <v>784512967</v>
      </c>
      <c r="G403" s="257">
        <v>784512967</v>
      </c>
      <c r="H403" s="257">
        <v>0</v>
      </c>
      <c r="I403" s="257">
        <v>420493.25</v>
      </c>
      <c r="J403" s="257">
        <v>0</v>
      </c>
      <c r="K403" s="257">
        <v>776873272.45000005</v>
      </c>
      <c r="L403" s="257">
        <v>767623820.99000001</v>
      </c>
      <c r="M403" s="257">
        <v>7219201.2999999998</v>
      </c>
      <c r="N403" s="257">
        <v>7219201.2999999998</v>
      </c>
    </row>
    <row r="404" spans="1:14" s="143" customFormat="1" x14ac:dyDescent="0.25">
      <c r="A404" s="143" t="s">
        <v>334</v>
      </c>
      <c r="B404" s="143" t="s">
        <v>226</v>
      </c>
      <c r="C404" s="143" t="s">
        <v>227</v>
      </c>
      <c r="D404" s="143" t="s">
        <v>69</v>
      </c>
      <c r="E404" s="257">
        <v>112559000</v>
      </c>
      <c r="F404" s="257">
        <v>112559000</v>
      </c>
      <c r="G404" s="257">
        <v>112559000</v>
      </c>
      <c r="H404" s="257">
        <v>0</v>
      </c>
      <c r="I404" s="257">
        <v>34005576.770000003</v>
      </c>
      <c r="J404" s="257">
        <v>0</v>
      </c>
      <c r="K404" s="257">
        <v>63023805.880000003</v>
      </c>
      <c r="L404" s="257">
        <v>52439805.880000003</v>
      </c>
      <c r="M404" s="257">
        <v>15529617.35</v>
      </c>
      <c r="N404" s="257">
        <v>15529617.35</v>
      </c>
    </row>
    <row r="405" spans="1:14" s="143" customFormat="1" x14ac:dyDescent="0.25">
      <c r="A405" s="143" t="s">
        <v>334</v>
      </c>
      <c r="B405" s="143" t="s">
        <v>228</v>
      </c>
      <c r="C405" s="143" t="s">
        <v>229</v>
      </c>
      <c r="D405" s="143" t="s">
        <v>69</v>
      </c>
      <c r="E405" s="257">
        <v>228884000</v>
      </c>
      <c r="F405" s="257">
        <v>228789687</v>
      </c>
      <c r="G405" s="257">
        <v>228789687</v>
      </c>
      <c r="H405" s="257">
        <v>0</v>
      </c>
      <c r="I405" s="257">
        <v>27268631.25</v>
      </c>
      <c r="J405" s="257">
        <v>0</v>
      </c>
      <c r="K405" s="257">
        <v>158143441.31</v>
      </c>
      <c r="L405" s="257">
        <v>125231320.90000001</v>
      </c>
      <c r="M405" s="257">
        <v>43377614.439999998</v>
      </c>
      <c r="N405" s="257">
        <v>43377614.439999998</v>
      </c>
    </row>
    <row r="406" spans="1:14" s="143" customFormat="1" x14ac:dyDescent="0.25">
      <c r="A406" s="143" t="s">
        <v>334</v>
      </c>
      <c r="B406" s="143" t="s">
        <v>230</v>
      </c>
      <c r="C406" s="143" t="s">
        <v>231</v>
      </c>
      <c r="D406" s="143" t="s">
        <v>69</v>
      </c>
      <c r="E406" s="257">
        <v>3776821000</v>
      </c>
      <c r="F406" s="257">
        <v>3504078444</v>
      </c>
      <c r="G406" s="257">
        <v>3504078444</v>
      </c>
      <c r="H406" s="257">
        <v>0</v>
      </c>
      <c r="I406" s="257">
        <v>772237673.52999997</v>
      </c>
      <c r="J406" s="257">
        <v>0</v>
      </c>
      <c r="K406" s="257">
        <v>2457127272.3200002</v>
      </c>
      <c r="L406" s="257">
        <v>1735270701.0899999</v>
      </c>
      <c r="M406" s="257">
        <v>274713498.14999998</v>
      </c>
      <c r="N406" s="257">
        <v>274713498.14999998</v>
      </c>
    </row>
    <row r="407" spans="1:14" s="143" customFormat="1" x14ac:dyDescent="0.25">
      <c r="A407" s="143" t="s">
        <v>334</v>
      </c>
      <c r="B407" s="143" t="s">
        <v>232</v>
      </c>
      <c r="C407" s="143" t="s">
        <v>233</v>
      </c>
      <c r="D407" s="143" t="s">
        <v>69</v>
      </c>
      <c r="E407" s="257">
        <v>1343483000</v>
      </c>
      <c r="F407" s="257">
        <v>1443057663</v>
      </c>
      <c r="G407" s="257">
        <v>1443057663</v>
      </c>
      <c r="H407" s="257">
        <v>0</v>
      </c>
      <c r="I407" s="257">
        <v>128173154.40000001</v>
      </c>
      <c r="J407" s="257">
        <v>0</v>
      </c>
      <c r="K407" s="257">
        <v>1204278171.5799999</v>
      </c>
      <c r="L407" s="257">
        <v>801956463.50999999</v>
      </c>
      <c r="M407" s="257">
        <v>110606337.02</v>
      </c>
      <c r="N407" s="257">
        <v>110606337.02</v>
      </c>
    </row>
    <row r="408" spans="1:14" s="143" customFormat="1" x14ac:dyDescent="0.25">
      <c r="A408" s="143" t="s">
        <v>334</v>
      </c>
      <c r="B408" s="143" t="s">
        <v>324</v>
      </c>
      <c r="C408" s="143" t="s">
        <v>325</v>
      </c>
      <c r="D408" s="143" t="s">
        <v>69</v>
      </c>
      <c r="E408" s="257">
        <v>0</v>
      </c>
      <c r="F408" s="257">
        <v>2815000</v>
      </c>
      <c r="G408" s="257">
        <v>2815000</v>
      </c>
      <c r="H408" s="257">
        <v>0</v>
      </c>
      <c r="I408" s="257">
        <v>0</v>
      </c>
      <c r="J408" s="257">
        <v>0</v>
      </c>
      <c r="K408" s="257">
        <v>0</v>
      </c>
      <c r="L408" s="257">
        <v>0</v>
      </c>
      <c r="M408" s="257">
        <v>2815000</v>
      </c>
      <c r="N408" s="257">
        <v>2815000</v>
      </c>
    </row>
    <row r="409" spans="1:14" s="143" customFormat="1" x14ac:dyDescent="0.25">
      <c r="A409" s="143" t="s">
        <v>334</v>
      </c>
      <c r="B409" s="143" t="s">
        <v>236</v>
      </c>
      <c r="C409" s="143" t="s">
        <v>237</v>
      </c>
      <c r="D409" s="143" t="s">
        <v>69</v>
      </c>
      <c r="E409" s="257">
        <v>0</v>
      </c>
      <c r="F409" s="257">
        <v>79288653</v>
      </c>
      <c r="G409" s="257">
        <v>79288653</v>
      </c>
      <c r="H409" s="257">
        <v>0</v>
      </c>
      <c r="I409" s="257">
        <v>16197.33</v>
      </c>
      <c r="J409" s="257">
        <v>0</v>
      </c>
      <c r="K409" s="257">
        <v>63611738.490000002</v>
      </c>
      <c r="L409" s="257">
        <v>155307.09</v>
      </c>
      <c r="M409" s="257">
        <v>15660717.18</v>
      </c>
      <c r="N409" s="257">
        <v>15660717.18</v>
      </c>
    </row>
    <row r="410" spans="1:14" s="143" customFormat="1" x14ac:dyDescent="0.25">
      <c r="A410" s="143" t="s">
        <v>334</v>
      </c>
      <c r="B410" s="143" t="s">
        <v>238</v>
      </c>
      <c r="C410" s="143" t="s">
        <v>239</v>
      </c>
      <c r="D410" s="143" t="s">
        <v>69</v>
      </c>
      <c r="E410" s="257">
        <v>0</v>
      </c>
      <c r="F410" s="257">
        <v>21473410</v>
      </c>
      <c r="G410" s="257">
        <v>21473410</v>
      </c>
      <c r="H410" s="257">
        <v>0</v>
      </c>
      <c r="I410" s="257">
        <v>10755004</v>
      </c>
      <c r="J410" s="257">
        <v>0</v>
      </c>
      <c r="K410" s="257">
        <v>10710770</v>
      </c>
      <c r="L410" s="257">
        <v>0</v>
      </c>
      <c r="M410" s="257">
        <v>7636</v>
      </c>
      <c r="N410" s="257">
        <v>7636</v>
      </c>
    </row>
    <row r="411" spans="1:14" s="143" customFormat="1" x14ac:dyDescent="0.25">
      <c r="A411" s="143" t="s">
        <v>334</v>
      </c>
      <c r="B411" s="143" t="s">
        <v>234</v>
      </c>
      <c r="C411" s="143" t="s">
        <v>235</v>
      </c>
      <c r="D411" s="143" t="s">
        <v>85</v>
      </c>
      <c r="E411" s="257">
        <v>70000000</v>
      </c>
      <c r="F411" s="257">
        <v>59380528</v>
      </c>
      <c r="G411" s="257">
        <v>59380528</v>
      </c>
      <c r="H411" s="257">
        <v>0</v>
      </c>
      <c r="I411" s="257">
        <v>0</v>
      </c>
      <c r="J411" s="257">
        <v>0</v>
      </c>
      <c r="K411" s="257">
        <v>55229745.359999999</v>
      </c>
      <c r="L411" s="257">
        <v>50529745.359999999</v>
      </c>
      <c r="M411" s="257">
        <v>4150782.64</v>
      </c>
      <c r="N411" s="257">
        <v>4150782.64</v>
      </c>
    </row>
    <row r="412" spans="1:14" s="143" customFormat="1" x14ac:dyDescent="0.25">
      <c r="A412" s="143" t="s">
        <v>334</v>
      </c>
      <c r="B412" s="143" t="s">
        <v>324</v>
      </c>
      <c r="C412" s="143" t="s">
        <v>325</v>
      </c>
      <c r="D412" s="143" t="s">
        <v>85</v>
      </c>
      <c r="E412" s="257">
        <v>100000000</v>
      </c>
      <c r="F412" s="257">
        <v>155300000</v>
      </c>
      <c r="G412" s="257">
        <v>155300000</v>
      </c>
      <c r="H412" s="257">
        <v>0</v>
      </c>
      <c r="I412" s="257">
        <v>16883370</v>
      </c>
      <c r="J412" s="257">
        <v>0</v>
      </c>
      <c r="K412" s="257">
        <v>135673064</v>
      </c>
      <c r="L412" s="257">
        <v>98650000</v>
      </c>
      <c r="M412" s="257">
        <v>2743566</v>
      </c>
      <c r="N412" s="257">
        <v>2743566</v>
      </c>
    </row>
    <row r="413" spans="1:14" s="143" customFormat="1" x14ac:dyDescent="0.25">
      <c r="A413" s="143" t="s">
        <v>334</v>
      </c>
      <c r="B413" s="143" t="s">
        <v>236</v>
      </c>
      <c r="C413" s="143" t="s">
        <v>237</v>
      </c>
      <c r="D413" s="143" t="s">
        <v>85</v>
      </c>
      <c r="E413" s="257">
        <v>200000000</v>
      </c>
      <c r="F413" s="257">
        <v>213856672</v>
      </c>
      <c r="G413" s="257">
        <v>213856672</v>
      </c>
      <c r="H413" s="257">
        <v>0</v>
      </c>
      <c r="I413" s="257">
        <v>0</v>
      </c>
      <c r="J413" s="257">
        <v>0</v>
      </c>
      <c r="K413" s="257">
        <v>202182643.18000001</v>
      </c>
      <c r="L413" s="257">
        <v>33274975</v>
      </c>
      <c r="M413" s="257">
        <v>11674028.82</v>
      </c>
      <c r="N413" s="257">
        <v>11674028.82</v>
      </c>
    </row>
    <row r="414" spans="1:14" s="143" customFormat="1" x14ac:dyDescent="0.25">
      <c r="A414" s="143" t="s">
        <v>334</v>
      </c>
      <c r="B414" s="143" t="s">
        <v>238</v>
      </c>
      <c r="C414" s="143" t="s">
        <v>239</v>
      </c>
      <c r="D414" s="143" t="s">
        <v>85</v>
      </c>
      <c r="E414" s="257">
        <v>90000000</v>
      </c>
      <c r="F414" s="257">
        <v>90000000</v>
      </c>
      <c r="G414" s="257">
        <v>90000000</v>
      </c>
      <c r="H414" s="257">
        <v>0</v>
      </c>
      <c r="I414" s="257">
        <v>0</v>
      </c>
      <c r="J414" s="257">
        <v>0</v>
      </c>
      <c r="K414" s="257">
        <v>65544888.5</v>
      </c>
      <c r="L414" s="257">
        <v>62664888.5</v>
      </c>
      <c r="M414" s="257">
        <v>24455111.5</v>
      </c>
      <c r="N414" s="257">
        <v>24455111.5</v>
      </c>
    </row>
    <row r="415" spans="1:14" s="143" customFormat="1" x14ac:dyDescent="0.25">
      <c r="A415" s="143" t="s">
        <v>334</v>
      </c>
      <c r="B415" s="143" t="s">
        <v>282</v>
      </c>
      <c r="C415" s="143" t="s">
        <v>283</v>
      </c>
      <c r="D415" s="143" t="s">
        <v>85</v>
      </c>
      <c r="E415" s="257">
        <v>86000000</v>
      </c>
      <c r="F415" s="257">
        <v>73460400</v>
      </c>
      <c r="G415" s="257">
        <v>73460400</v>
      </c>
      <c r="H415" s="257">
        <v>0</v>
      </c>
      <c r="I415" s="257">
        <v>15613250.310000001</v>
      </c>
      <c r="J415" s="257">
        <v>0</v>
      </c>
      <c r="K415" s="257">
        <v>53165201.950000003</v>
      </c>
      <c r="L415" s="257">
        <v>34646648.640000001</v>
      </c>
      <c r="M415" s="257">
        <v>4681947.74</v>
      </c>
      <c r="N415" s="257">
        <v>4681947.74</v>
      </c>
    </row>
    <row r="416" spans="1:14" s="143" customFormat="1" x14ac:dyDescent="0.25">
      <c r="A416" s="143" t="s">
        <v>334</v>
      </c>
      <c r="B416" s="143" t="s">
        <v>326</v>
      </c>
      <c r="C416" s="143" t="s">
        <v>327</v>
      </c>
      <c r="D416" s="143" t="s">
        <v>85</v>
      </c>
      <c r="E416" s="257">
        <v>57905000</v>
      </c>
      <c r="F416" s="257">
        <v>57905000</v>
      </c>
      <c r="G416" s="257">
        <v>57905000</v>
      </c>
      <c r="H416" s="257">
        <v>0</v>
      </c>
      <c r="I416" s="257">
        <v>16335295.529999999</v>
      </c>
      <c r="J416" s="257">
        <v>0</v>
      </c>
      <c r="K416" s="257">
        <v>40436535.530000001</v>
      </c>
      <c r="L416" s="257">
        <v>20140162.710000001</v>
      </c>
      <c r="M416" s="257">
        <v>1133168.94</v>
      </c>
      <c r="N416" s="257">
        <v>1133168.94</v>
      </c>
    </row>
    <row r="417" spans="1:14" s="143" customFormat="1" x14ac:dyDescent="0.25">
      <c r="A417" s="143" t="s">
        <v>334</v>
      </c>
      <c r="B417" s="143" t="s">
        <v>240</v>
      </c>
      <c r="C417" s="143" t="s">
        <v>241</v>
      </c>
      <c r="D417" s="143" t="s">
        <v>85</v>
      </c>
      <c r="E417" s="257">
        <v>7780000</v>
      </c>
      <c r="F417" s="257">
        <v>7780000</v>
      </c>
      <c r="G417" s="257">
        <v>7780000</v>
      </c>
      <c r="H417" s="257">
        <v>0</v>
      </c>
      <c r="I417" s="257">
        <v>3981450</v>
      </c>
      <c r="J417" s="257">
        <v>0</v>
      </c>
      <c r="K417" s="257">
        <v>3084170</v>
      </c>
      <c r="L417" s="257">
        <v>0</v>
      </c>
      <c r="M417" s="257">
        <v>714380</v>
      </c>
      <c r="N417" s="257">
        <v>714380</v>
      </c>
    </row>
    <row r="418" spans="1:14" s="143" customFormat="1" x14ac:dyDescent="0.25">
      <c r="A418" s="143" t="s">
        <v>334</v>
      </c>
      <c r="B418" s="143" t="s">
        <v>242</v>
      </c>
      <c r="C418" s="143" t="s">
        <v>243</v>
      </c>
      <c r="D418" s="143" t="s">
        <v>85</v>
      </c>
      <c r="E418" s="257">
        <v>731798000</v>
      </c>
      <c r="F418" s="257">
        <v>681798000</v>
      </c>
      <c r="G418" s="257">
        <v>681798000</v>
      </c>
      <c r="H418" s="257">
        <v>0</v>
      </c>
      <c r="I418" s="257">
        <v>64588587.229999997</v>
      </c>
      <c r="J418" s="257">
        <v>0</v>
      </c>
      <c r="K418" s="257">
        <v>574639414.57000005</v>
      </c>
      <c r="L418" s="257">
        <v>501894736.20999998</v>
      </c>
      <c r="M418" s="257">
        <v>42569998.200000003</v>
      </c>
      <c r="N418" s="257">
        <v>42569998.200000003</v>
      </c>
    </row>
    <row r="419" spans="1:14" s="143" customFormat="1" x14ac:dyDescent="0.25">
      <c r="A419" s="143" t="s">
        <v>334</v>
      </c>
      <c r="B419" s="143" t="s">
        <v>328</v>
      </c>
      <c r="C419" s="143" t="s">
        <v>329</v>
      </c>
      <c r="D419" s="143" t="s">
        <v>85</v>
      </c>
      <c r="E419" s="257">
        <v>2093838000</v>
      </c>
      <c r="F419" s="257">
        <v>1728431799</v>
      </c>
      <c r="G419" s="257">
        <v>1728431799</v>
      </c>
      <c r="H419" s="257">
        <v>0</v>
      </c>
      <c r="I419" s="257">
        <v>641287016.71000004</v>
      </c>
      <c r="J419" s="257">
        <v>0</v>
      </c>
      <c r="K419" s="257">
        <v>944354234.41999996</v>
      </c>
      <c r="L419" s="257">
        <v>875653083.84000003</v>
      </c>
      <c r="M419" s="257">
        <v>142790547.87</v>
      </c>
      <c r="N419" s="257">
        <v>142790547.87</v>
      </c>
    </row>
    <row r="420" spans="1:14" s="143" customFormat="1" x14ac:dyDescent="0.25">
      <c r="A420" s="143" t="s">
        <v>334</v>
      </c>
      <c r="B420" s="143" t="s">
        <v>330</v>
      </c>
      <c r="C420" s="143" t="s">
        <v>331</v>
      </c>
      <c r="D420" s="143" t="s">
        <v>85</v>
      </c>
      <c r="E420" s="257">
        <v>1743750000</v>
      </c>
      <c r="F420" s="257">
        <v>1719669800</v>
      </c>
      <c r="G420" s="257">
        <v>1719669800</v>
      </c>
      <c r="H420" s="257">
        <v>0</v>
      </c>
      <c r="I420" s="257">
        <v>640613017.71000004</v>
      </c>
      <c r="J420" s="257">
        <v>0</v>
      </c>
      <c r="K420" s="257">
        <v>936266234.46000004</v>
      </c>
      <c r="L420" s="257">
        <v>868239083.88</v>
      </c>
      <c r="M420" s="257">
        <v>142790547.83000001</v>
      </c>
      <c r="N420" s="257">
        <v>142790547.83000001</v>
      </c>
    </row>
    <row r="421" spans="1:14" s="143" customFormat="1" x14ac:dyDescent="0.25">
      <c r="A421" s="143" t="s">
        <v>334</v>
      </c>
      <c r="B421" s="143" t="s">
        <v>358</v>
      </c>
      <c r="C421" s="143" t="s">
        <v>359</v>
      </c>
      <c r="D421" s="143" t="s">
        <v>85</v>
      </c>
      <c r="E421" s="257">
        <v>350088000</v>
      </c>
      <c r="F421" s="257">
        <v>8761999</v>
      </c>
      <c r="G421" s="257">
        <v>8761999</v>
      </c>
      <c r="H421" s="257">
        <v>0</v>
      </c>
      <c r="I421" s="257">
        <v>673999</v>
      </c>
      <c r="J421" s="257">
        <v>0</v>
      </c>
      <c r="K421" s="257">
        <v>8087999.96</v>
      </c>
      <c r="L421" s="257">
        <v>7413999.96</v>
      </c>
      <c r="M421" s="257">
        <v>0.04</v>
      </c>
      <c r="N421" s="257">
        <v>0.04</v>
      </c>
    </row>
    <row r="422" spans="1:14" s="143" customFormat="1" x14ac:dyDescent="0.25">
      <c r="A422" s="143" t="s">
        <v>334</v>
      </c>
      <c r="B422" s="143" t="s">
        <v>244</v>
      </c>
      <c r="C422" s="143" t="s">
        <v>245</v>
      </c>
      <c r="D422" s="143" t="s">
        <v>85</v>
      </c>
      <c r="E422" s="257">
        <v>339500000</v>
      </c>
      <c r="F422" s="257">
        <v>332588982</v>
      </c>
      <c r="G422" s="257">
        <v>332588982</v>
      </c>
      <c r="H422" s="257">
        <v>0</v>
      </c>
      <c r="I422" s="257">
        <v>2777502.42</v>
      </c>
      <c r="J422" s="257">
        <v>0</v>
      </c>
      <c r="K422" s="257">
        <v>308494866.31999999</v>
      </c>
      <c r="L422" s="257">
        <v>57661153.740000002</v>
      </c>
      <c r="M422" s="257">
        <v>21316613.260000002</v>
      </c>
      <c r="N422" s="257">
        <v>21316613.260000002</v>
      </c>
    </row>
    <row r="423" spans="1:14" s="143" customFormat="1" x14ac:dyDescent="0.25">
      <c r="A423" s="143" t="s">
        <v>334</v>
      </c>
      <c r="B423" s="143" t="s">
        <v>246</v>
      </c>
      <c r="C423" s="143" t="s">
        <v>247</v>
      </c>
      <c r="D423" s="143" t="s">
        <v>85</v>
      </c>
      <c r="E423" s="257">
        <v>339500000</v>
      </c>
      <c r="F423" s="257">
        <v>332588982</v>
      </c>
      <c r="G423" s="257">
        <v>332588982</v>
      </c>
      <c r="H423" s="257">
        <v>0</v>
      </c>
      <c r="I423" s="257">
        <v>2777502.42</v>
      </c>
      <c r="J423" s="257">
        <v>0</v>
      </c>
      <c r="K423" s="257">
        <v>308494866.31999999</v>
      </c>
      <c r="L423" s="257">
        <v>57661153.740000002</v>
      </c>
      <c r="M423" s="257">
        <v>21316613.260000002</v>
      </c>
      <c r="N423" s="257">
        <v>21316613.260000002</v>
      </c>
    </row>
    <row r="424" spans="1:14" s="143" customFormat="1" x14ac:dyDescent="0.25">
      <c r="A424" s="143" t="s">
        <v>334</v>
      </c>
      <c r="B424" s="143" t="s">
        <v>248</v>
      </c>
      <c r="C424" s="143" t="s">
        <v>249</v>
      </c>
      <c r="D424" s="143" t="s">
        <v>69</v>
      </c>
      <c r="E424" s="257">
        <v>1881997000</v>
      </c>
      <c r="F424" s="257">
        <v>2703563291.1700001</v>
      </c>
      <c r="G424" s="257">
        <v>2703563291.1700001</v>
      </c>
      <c r="H424" s="257">
        <v>0</v>
      </c>
      <c r="I424" s="257">
        <v>77872794.379999995</v>
      </c>
      <c r="J424" s="257">
        <v>0</v>
      </c>
      <c r="K424" s="257">
        <v>2444618524.7199998</v>
      </c>
      <c r="L424" s="257">
        <v>2420497527.0599999</v>
      </c>
      <c r="M424" s="257">
        <v>181071972.06999999</v>
      </c>
      <c r="N424" s="257">
        <v>181071972.06999999</v>
      </c>
    </row>
    <row r="425" spans="1:14" s="143" customFormat="1" x14ac:dyDescent="0.25">
      <c r="A425" s="143" t="s">
        <v>334</v>
      </c>
      <c r="B425" s="143" t="s">
        <v>250</v>
      </c>
      <c r="C425" s="143" t="s">
        <v>251</v>
      </c>
      <c r="D425" s="143" t="s">
        <v>69</v>
      </c>
      <c r="E425" s="257">
        <v>630544000</v>
      </c>
      <c r="F425" s="257">
        <v>625784456</v>
      </c>
      <c r="G425" s="257">
        <v>625784456</v>
      </c>
      <c r="H425" s="257">
        <v>0</v>
      </c>
      <c r="I425" s="257">
        <v>0</v>
      </c>
      <c r="J425" s="257">
        <v>0</v>
      </c>
      <c r="K425" s="257">
        <v>570899685.5</v>
      </c>
      <c r="L425" s="257">
        <v>570899685.5</v>
      </c>
      <c r="M425" s="257">
        <v>54884770.5</v>
      </c>
      <c r="N425" s="257">
        <v>54884770.5</v>
      </c>
    </row>
    <row r="426" spans="1:14" s="143" customFormat="1" x14ac:dyDescent="0.25">
      <c r="A426" s="143" t="s">
        <v>334</v>
      </c>
      <c r="B426" s="143" t="s">
        <v>360</v>
      </c>
      <c r="C426" s="143" t="s">
        <v>361</v>
      </c>
      <c r="D426" s="143" t="s">
        <v>69</v>
      </c>
      <c r="E426" s="257">
        <v>179500000</v>
      </c>
      <c r="F426" s="257">
        <v>179500000</v>
      </c>
      <c r="G426" s="257">
        <v>179500000</v>
      </c>
      <c r="H426" s="257">
        <v>0</v>
      </c>
      <c r="I426" s="257">
        <v>0</v>
      </c>
      <c r="J426" s="257">
        <v>0</v>
      </c>
      <c r="K426" s="257">
        <v>131960000</v>
      </c>
      <c r="L426" s="257">
        <v>131960000</v>
      </c>
      <c r="M426" s="257">
        <v>47540000</v>
      </c>
      <c r="N426" s="257">
        <v>47540000</v>
      </c>
    </row>
    <row r="427" spans="1:14" s="143" customFormat="1" x14ac:dyDescent="0.25">
      <c r="A427" s="143" t="s">
        <v>334</v>
      </c>
      <c r="B427" s="143" t="s">
        <v>362</v>
      </c>
      <c r="C427" s="143" t="s">
        <v>832</v>
      </c>
      <c r="D427" s="143" t="s">
        <v>69</v>
      </c>
      <c r="E427" s="257">
        <v>315187000</v>
      </c>
      <c r="F427" s="257">
        <v>315187000</v>
      </c>
      <c r="G427" s="257">
        <v>315187000</v>
      </c>
      <c r="H427" s="257">
        <v>0</v>
      </c>
      <c r="I427" s="257">
        <v>0</v>
      </c>
      <c r="J427" s="257">
        <v>0</v>
      </c>
      <c r="K427" s="257">
        <v>315186998.5</v>
      </c>
      <c r="L427" s="257">
        <v>315186998.5</v>
      </c>
      <c r="M427" s="257">
        <v>1.5</v>
      </c>
      <c r="N427" s="257">
        <v>1.5</v>
      </c>
    </row>
    <row r="428" spans="1:14" s="143" customFormat="1" x14ac:dyDescent="0.25">
      <c r="A428" s="143" t="s">
        <v>334</v>
      </c>
      <c r="B428" s="143" t="s">
        <v>363</v>
      </c>
      <c r="C428" s="143" t="s">
        <v>833</v>
      </c>
      <c r="D428" s="143" t="s">
        <v>69</v>
      </c>
      <c r="E428" s="257">
        <v>135857000</v>
      </c>
      <c r="F428" s="257">
        <v>131097456</v>
      </c>
      <c r="G428" s="257">
        <v>131097456</v>
      </c>
      <c r="H428" s="257">
        <v>0</v>
      </c>
      <c r="I428" s="257">
        <v>0</v>
      </c>
      <c r="J428" s="257">
        <v>0</v>
      </c>
      <c r="K428" s="257">
        <v>123752687</v>
      </c>
      <c r="L428" s="257">
        <v>123752687</v>
      </c>
      <c r="M428" s="257">
        <v>7344769</v>
      </c>
      <c r="N428" s="257">
        <v>7344769</v>
      </c>
    </row>
    <row r="429" spans="1:14" s="143" customFormat="1" x14ac:dyDescent="0.25">
      <c r="A429" s="143" t="s">
        <v>334</v>
      </c>
      <c r="B429" s="143" t="s">
        <v>366</v>
      </c>
      <c r="C429" s="143" t="s">
        <v>367</v>
      </c>
      <c r="D429" s="143" t="s">
        <v>69</v>
      </c>
      <c r="E429" s="257">
        <v>450000000</v>
      </c>
      <c r="F429" s="257">
        <v>450000000</v>
      </c>
      <c r="G429" s="257">
        <v>450000000</v>
      </c>
      <c r="H429" s="257">
        <v>0</v>
      </c>
      <c r="I429" s="257">
        <v>32500000</v>
      </c>
      <c r="J429" s="257">
        <v>0</v>
      </c>
      <c r="K429" s="257">
        <v>417500000</v>
      </c>
      <c r="L429" s="257">
        <v>417500000</v>
      </c>
      <c r="M429" s="257">
        <v>0</v>
      </c>
      <c r="N429" s="257">
        <v>0</v>
      </c>
    </row>
    <row r="430" spans="1:14" s="143" customFormat="1" x14ac:dyDescent="0.25">
      <c r="A430" s="143" t="s">
        <v>334</v>
      </c>
      <c r="B430" s="143" t="s">
        <v>368</v>
      </c>
      <c r="C430" s="143" t="s">
        <v>369</v>
      </c>
      <c r="D430" s="143" t="s">
        <v>69</v>
      </c>
      <c r="E430" s="257">
        <v>450000000</v>
      </c>
      <c r="F430" s="257">
        <v>450000000</v>
      </c>
      <c r="G430" s="257">
        <v>450000000</v>
      </c>
      <c r="H430" s="257">
        <v>0</v>
      </c>
      <c r="I430" s="257">
        <v>32500000</v>
      </c>
      <c r="J430" s="257">
        <v>0</v>
      </c>
      <c r="K430" s="257">
        <v>417500000</v>
      </c>
      <c r="L430" s="257">
        <v>417500000</v>
      </c>
      <c r="M430" s="257">
        <v>0</v>
      </c>
      <c r="N430" s="257">
        <v>0</v>
      </c>
    </row>
    <row r="431" spans="1:14" s="143" customFormat="1" x14ac:dyDescent="0.25">
      <c r="A431" s="143" t="s">
        <v>334</v>
      </c>
      <c r="B431" s="143" t="s">
        <v>260</v>
      </c>
      <c r="C431" s="143" t="s">
        <v>261</v>
      </c>
      <c r="D431" s="143" t="s">
        <v>69</v>
      </c>
      <c r="E431" s="257">
        <v>697525000</v>
      </c>
      <c r="F431" s="257">
        <v>1408228414</v>
      </c>
      <c r="G431" s="257">
        <v>1408228414</v>
      </c>
      <c r="H431" s="257">
        <v>0</v>
      </c>
      <c r="I431" s="257">
        <v>2294107.35</v>
      </c>
      <c r="J431" s="257">
        <v>0</v>
      </c>
      <c r="K431" s="257">
        <v>1400943922.79</v>
      </c>
      <c r="L431" s="257">
        <v>1376935881.4400001</v>
      </c>
      <c r="M431" s="257">
        <v>4990383.8600000003</v>
      </c>
      <c r="N431" s="257">
        <v>4990383.8600000003</v>
      </c>
    </row>
    <row r="432" spans="1:14" s="143" customFormat="1" x14ac:dyDescent="0.25">
      <c r="A432" s="143" t="s">
        <v>334</v>
      </c>
      <c r="B432" s="143" t="s">
        <v>262</v>
      </c>
      <c r="C432" s="143" t="s">
        <v>263</v>
      </c>
      <c r="D432" s="143" t="s">
        <v>69</v>
      </c>
      <c r="E432" s="257">
        <v>350000000</v>
      </c>
      <c r="F432" s="257">
        <v>1060703414</v>
      </c>
      <c r="G432" s="257">
        <v>1060703414</v>
      </c>
      <c r="H432" s="257">
        <v>0</v>
      </c>
      <c r="I432" s="257">
        <v>2294107.35</v>
      </c>
      <c r="J432" s="257">
        <v>0</v>
      </c>
      <c r="K432" s="257">
        <v>1058409306.65</v>
      </c>
      <c r="L432" s="257">
        <v>1034401265.3</v>
      </c>
      <c r="M432" s="257">
        <v>0</v>
      </c>
      <c r="N432" s="257">
        <v>0</v>
      </c>
    </row>
    <row r="433" spans="1:14" s="143" customFormat="1" x14ac:dyDescent="0.25">
      <c r="A433" s="143" t="s">
        <v>334</v>
      </c>
      <c r="B433" s="143" t="s">
        <v>264</v>
      </c>
      <c r="C433" s="143" t="s">
        <v>265</v>
      </c>
      <c r="D433" s="143" t="s">
        <v>69</v>
      </c>
      <c r="E433" s="257">
        <v>347525000</v>
      </c>
      <c r="F433" s="257">
        <v>347525000</v>
      </c>
      <c r="G433" s="257">
        <v>347525000</v>
      </c>
      <c r="H433" s="257">
        <v>0</v>
      </c>
      <c r="I433" s="257">
        <v>0</v>
      </c>
      <c r="J433" s="257">
        <v>0</v>
      </c>
      <c r="K433" s="257">
        <v>342534616.13999999</v>
      </c>
      <c r="L433" s="257">
        <v>342534616.13999999</v>
      </c>
      <c r="M433" s="257">
        <v>4990383.8600000003</v>
      </c>
      <c r="N433" s="257">
        <v>4990383.8600000003</v>
      </c>
    </row>
    <row r="434" spans="1:14" s="143" customFormat="1" x14ac:dyDescent="0.25">
      <c r="A434" s="143" t="s">
        <v>334</v>
      </c>
      <c r="B434" s="143" t="s">
        <v>286</v>
      </c>
      <c r="C434" s="143" t="s">
        <v>287</v>
      </c>
      <c r="D434" s="143" t="s">
        <v>69</v>
      </c>
      <c r="E434" s="257">
        <v>103928000</v>
      </c>
      <c r="F434" s="257">
        <v>219550421.16999999</v>
      </c>
      <c r="G434" s="257">
        <v>219550421.16999999</v>
      </c>
      <c r="H434" s="257">
        <v>0</v>
      </c>
      <c r="I434" s="257">
        <v>43078687.030000001</v>
      </c>
      <c r="J434" s="257">
        <v>0</v>
      </c>
      <c r="K434" s="257">
        <v>55274916.43</v>
      </c>
      <c r="L434" s="257">
        <v>55161960.119999997</v>
      </c>
      <c r="M434" s="257">
        <v>121196817.70999999</v>
      </c>
      <c r="N434" s="257">
        <v>121196817.70999999</v>
      </c>
    </row>
    <row r="435" spans="1:14" s="143" customFormat="1" x14ac:dyDescent="0.25">
      <c r="A435" s="143" t="s">
        <v>334</v>
      </c>
      <c r="B435" s="143" t="s">
        <v>288</v>
      </c>
      <c r="C435" s="143" t="s">
        <v>289</v>
      </c>
      <c r="D435" s="143" t="s">
        <v>69</v>
      </c>
      <c r="E435" s="257">
        <v>98928000</v>
      </c>
      <c r="F435" s="257">
        <v>172708817.71000001</v>
      </c>
      <c r="G435" s="257">
        <v>172708817.71000001</v>
      </c>
      <c r="H435" s="257">
        <v>0</v>
      </c>
      <c r="I435" s="257">
        <v>29897166.530000001</v>
      </c>
      <c r="J435" s="257">
        <v>0</v>
      </c>
      <c r="K435" s="257">
        <v>21614833.469999999</v>
      </c>
      <c r="L435" s="257">
        <v>21614833.469999999</v>
      </c>
      <c r="M435" s="257">
        <v>121196817.70999999</v>
      </c>
      <c r="N435" s="257">
        <v>121196817.70999999</v>
      </c>
    </row>
    <row r="436" spans="1:14" s="143" customFormat="1" x14ac:dyDescent="0.25">
      <c r="A436" s="143" t="s">
        <v>334</v>
      </c>
      <c r="B436" s="143" t="s">
        <v>370</v>
      </c>
      <c r="C436" s="143" t="s">
        <v>371</v>
      </c>
      <c r="D436" s="143" t="s">
        <v>69</v>
      </c>
      <c r="E436" s="257">
        <v>5000000</v>
      </c>
      <c r="F436" s="257">
        <v>46841603.460000001</v>
      </c>
      <c r="G436" s="257">
        <v>46841603.460000001</v>
      </c>
      <c r="H436" s="257">
        <v>0</v>
      </c>
      <c r="I436" s="257">
        <v>13181520.5</v>
      </c>
      <c r="J436" s="257">
        <v>0</v>
      </c>
      <c r="K436" s="257">
        <v>33660082.960000001</v>
      </c>
      <c r="L436" s="257">
        <v>33547126.649999999</v>
      </c>
      <c r="M436" s="257">
        <v>0</v>
      </c>
      <c r="N436" s="257">
        <v>0</v>
      </c>
    </row>
    <row r="437" spans="1:14" s="143" customFormat="1" x14ac:dyDescent="0.25">
      <c r="A437" s="143" t="s">
        <v>334</v>
      </c>
      <c r="B437" s="143" t="s">
        <v>372</v>
      </c>
      <c r="C437" s="143" t="s">
        <v>373</v>
      </c>
      <c r="D437" s="143" t="s">
        <v>69</v>
      </c>
      <c r="E437" s="257">
        <v>1831900000</v>
      </c>
      <c r="F437" s="257">
        <v>4742400000</v>
      </c>
      <c r="G437" s="257">
        <v>4742400000</v>
      </c>
      <c r="H437" s="257">
        <v>0</v>
      </c>
      <c r="I437" s="257">
        <v>0</v>
      </c>
      <c r="J437" s="257">
        <v>0</v>
      </c>
      <c r="K437" s="257">
        <v>4742400000</v>
      </c>
      <c r="L437" s="257">
        <v>4742400000</v>
      </c>
      <c r="M437" s="257">
        <v>0</v>
      </c>
      <c r="N437" s="257">
        <v>0</v>
      </c>
    </row>
    <row r="438" spans="1:14" s="143" customFormat="1" x14ac:dyDescent="0.25">
      <c r="A438" s="143" t="s">
        <v>334</v>
      </c>
      <c r="B438" s="143" t="s">
        <v>374</v>
      </c>
      <c r="C438" s="143" t="s">
        <v>375</v>
      </c>
      <c r="D438" s="143" t="s">
        <v>69</v>
      </c>
      <c r="E438" s="257">
        <v>1831900000</v>
      </c>
      <c r="F438" s="257">
        <v>4742400000</v>
      </c>
      <c r="G438" s="257">
        <v>4742400000</v>
      </c>
      <c r="H438" s="257">
        <v>0</v>
      </c>
      <c r="I438" s="257">
        <v>0</v>
      </c>
      <c r="J438" s="257">
        <v>0</v>
      </c>
      <c r="K438" s="257">
        <v>4742400000</v>
      </c>
      <c r="L438" s="257">
        <v>4742400000</v>
      </c>
      <c r="M438" s="257">
        <v>0</v>
      </c>
      <c r="N438" s="257">
        <v>0</v>
      </c>
    </row>
    <row r="439" spans="1:14" s="143" customFormat="1" x14ac:dyDescent="0.25">
      <c r="A439" s="143" t="s">
        <v>334</v>
      </c>
      <c r="B439" s="143" t="s">
        <v>376</v>
      </c>
      <c r="C439" s="143" t="s">
        <v>377</v>
      </c>
      <c r="D439" s="143" t="s">
        <v>69</v>
      </c>
      <c r="E439" s="257">
        <v>0</v>
      </c>
      <c r="F439" s="257">
        <v>3200000000</v>
      </c>
      <c r="G439" s="257">
        <v>3200000000</v>
      </c>
      <c r="H439" s="257">
        <v>0</v>
      </c>
      <c r="I439" s="257">
        <v>0</v>
      </c>
      <c r="J439" s="257">
        <v>0</v>
      </c>
      <c r="K439" s="257">
        <v>3200000000</v>
      </c>
      <c r="L439" s="257">
        <v>3200000000</v>
      </c>
      <c r="M439" s="257">
        <v>0</v>
      </c>
      <c r="N439" s="257">
        <v>0</v>
      </c>
    </row>
    <row r="440" spans="1:14" s="143" customFormat="1" x14ac:dyDescent="0.25">
      <c r="A440" s="143" t="s">
        <v>334</v>
      </c>
      <c r="B440" s="143" t="s">
        <v>376</v>
      </c>
      <c r="C440" s="143" t="s">
        <v>377</v>
      </c>
      <c r="D440" s="143" t="s">
        <v>85</v>
      </c>
      <c r="E440" s="257">
        <v>1831900000</v>
      </c>
      <c r="F440" s="257">
        <v>1542400000</v>
      </c>
      <c r="G440" s="257">
        <v>1542400000</v>
      </c>
      <c r="H440" s="257">
        <v>0</v>
      </c>
      <c r="I440" s="257">
        <v>0</v>
      </c>
      <c r="J440" s="257">
        <v>0</v>
      </c>
      <c r="K440" s="257">
        <v>1542400000</v>
      </c>
      <c r="L440" s="257">
        <v>1542400000</v>
      </c>
      <c r="M440" s="257">
        <v>0</v>
      </c>
      <c r="N440" s="257">
        <v>0</v>
      </c>
    </row>
    <row r="441" spans="1:14" s="143" customFormat="1" x14ac:dyDescent="0.25">
      <c r="A441" s="143" t="s">
        <v>334</v>
      </c>
      <c r="B441" s="143" t="s">
        <v>678</v>
      </c>
      <c r="C441" s="143" t="s">
        <v>679</v>
      </c>
      <c r="D441" s="143" t="s">
        <v>69</v>
      </c>
      <c r="E441" s="257">
        <v>0</v>
      </c>
      <c r="F441" s="257">
        <v>150000000</v>
      </c>
      <c r="G441" s="257">
        <v>150000000</v>
      </c>
      <c r="H441" s="257">
        <v>0</v>
      </c>
      <c r="I441" s="257">
        <v>0</v>
      </c>
      <c r="J441" s="257">
        <v>0</v>
      </c>
      <c r="K441" s="257">
        <v>0</v>
      </c>
      <c r="L441" s="257">
        <v>0</v>
      </c>
      <c r="M441" s="257">
        <v>150000000</v>
      </c>
      <c r="N441" s="257">
        <v>150000000</v>
      </c>
    </row>
    <row r="442" spans="1:14" s="143" customFormat="1" x14ac:dyDescent="0.25">
      <c r="A442" s="143" t="s">
        <v>334</v>
      </c>
      <c r="B442" s="143" t="s">
        <v>680</v>
      </c>
      <c r="C442" s="143" t="s">
        <v>681</v>
      </c>
      <c r="D442" s="143" t="s">
        <v>69</v>
      </c>
      <c r="E442" s="257">
        <v>0</v>
      </c>
      <c r="F442" s="257">
        <v>150000000</v>
      </c>
      <c r="G442" s="257">
        <v>150000000</v>
      </c>
      <c r="H442" s="257">
        <v>0</v>
      </c>
      <c r="I442" s="257">
        <v>0</v>
      </c>
      <c r="J442" s="257">
        <v>0</v>
      </c>
      <c r="K442" s="257">
        <v>0</v>
      </c>
      <c r="L442" s="257">
        <v>0</v>
      </c>
      <c r="M442" s="257">
        <v>150000000</v>
      </c>
      <c r="N442" s="257">
        <v>150000000</v>
      </c>
    </row>
    <row r="443" spans="1:14" s="143" customFormat="1" x14ac:dyDescent="0.25">
      <c r="A443" s="143" t="s">
        <v>334</v>
      </c>
      <c r="B443" s="143" t="s">
        <v>682</v>
      </c>
      <c r="C443" s="143" t="s">
        <v>683</v>
      </c>
      <c r="D443" s="143" t="s">
        <v>69</v>
      </c>
      <c r="E443" s="257">
        <v>0</v>
      </c>
      <c r="F443" s="257">
        <v>150000000</v>
      </c>
      <c r="G443" s="257">
        <v>150000000</v>
      </c>
      <c r="H443" s="257">
        <v>0</v>
      </c>
      <c r="I443" s="257">
        <v>0</v>
      </c>
      <c r="J443" s="257">
        <v>0</v>
      </c>
      <c r="K443" s="257">
        <v>0</v>
      </c>
      <c r="L443" s="257">
        <v>0</v>
      </c>
      <c r="M443" s="257">
        <v>150000000</v>
      </c>
      <c r="N443" s="257">
        <v>150000000</v>
      </c>
    </row>
    <row r="444" spans="1:14" s="143" customFormat="1" x14ac:dyDescent="0.25">
      <c r="A444" s="143">
        <v>214784</v>
      </c>
      <c r="D444" s="143" t="s">
        <v>69</v>
      </c>
      <c r="E444" s="257">
        <v>14250716000</v>
      </c>
      <c r="F444" s="257">
        <v>13145300255</v>
      </c>
      <c r="G444" s="257">
        <v>13139325755</v>
      </c>
      <c r="H444" s="257">
        <v>0</v>
      </c>
      <c r="I444" s="257">
        <v>410517</v>
      </c>
      <c r="J444" s="257">
        <v>0</v>
      </c>
      <c r="K444" s="257">
        <v>12682816792.959999</v>
      </c>
      <c r="L444" s="257">
        <v>12641664266.43</v>
      </c>
      <c r="M444" s="257">
        <v>462072945.04000002</v>
      </c>
      <c r="N444" s="257">
        <v>456098445.04000002</v>
      </c>
    </row>
    <row r="445" spans="1:14" s="143" customFormat="1" x14ac:dyDescent="0.25">
      <c r="A445" s="143" t="s">
        <v>378</v>
      </c>
      <c r="B445" s="143" t="s">
        <v>71</v>
      </c>
      <c r="C445" s="143" t="s">
        <v>72</v>
      </c>
      <c r="D445" s="143" t="s">
        <v>69</v>
      </c>
      <c r="E445" s="257">
        <v>13872978000</v>
      </c>
      <c r="F445" s="257">
        <v>12670588605</v>
      </c>
      <c r="G445" s="257">
        <v>12664614105</v>
      </c>
      <c r="H445" s="257">
        <v>0</v>
      </c>
      <c r="I445" s="257">
        <v>0</v>
      </c>
      <c r="J445" s="257">
        <v>0</v>
      </c>
      <c r="K445" s="257">
        <v>12234522739.940001</v>
      </c>
      <c r="L445" s="257">
        <v>12234522739.940001</v>
      </c>
      <c r="M445" s="257">
        <v>436065865.06</v>
      </c>
      <c r="N445" s="257">
        <v>430091365.06</v>
      </c>
    </row>
    <row r="446" spans="1:14" s="143" customFormat="1" x14ac:dyDescent="0.25">
      <c r="A446" s="143" t="s">
        <v>378</v>
      </c>
      <c r="B446" s="143" t="s">
        <v>73</v>
      </c>
      <c r="C446" s="143" t="s">
        <v>74</v>
      </c>
      <c r="D446" s="143" t="s">
        <v>69</v>
      </c>
      <c r="E446" s="257">
        <v>4465420000</v>
      </c>
      <c r="F446" s="257">
        <v>4242755975</v>
      </c>
      <c r="G446" s="257">
        <v>4236781475</v>
      </c>
      <c r="H446" s="257">
        <v>0</v>
      </c>
      <c r="I446" s="257">
        <v>0</v>
      </c>
      <c r="J446" s="257">
        <v>0</v>
      </c>
      <c r="K446" s="257">
        <v>4031678545.79</v>
      </c>
      <c r="L446" s="257">
        <v>4031678545.79</v>
      </c>
      <c r="M446" s="257">
        <v>211077429.21000001</v>
      </c>
      <c r="N446" s="257">
        <v>205102929.21000001</v>
      </c>
    </row>
    <row r="447" spans="1:14" s="143" customFormat="1" x14ac:dyDescent="0.25">
      <c r="A447" s="143" t="s">
        <v>378</v>
      </c>
      <c r="B447" s="143" t="s">
        <v>75</v>
      </c>
      <c r="C447" s="143" t="s">
        <v>76</v>
      </c>
      <c r="D447" s="143" t="s">
        <v>69</v>
      </c>
      <c r="E447" s="257">
        <v>4465420000</v>
      </c>
      <c r="F447" s="257">
        <v>4242755975</v>
      </c>
      <c r="G447" s="257">
        <v>4236781475</v>
      </c>
      <c r="H447" s="257">
        <v>0</v>
      </c>
      <c r="I447" s="257">
        <v>0</v>
      </c>
      <c r="J447" s="257">
        <v>0</v>
      </c>
      <c r="K447" s="257">
        <v>4031678545.79</v>
      </c>
      <c r="L447" s="257">
        <v>4031678545.79</v>
      </c>
      <c r="M447" s="257">
        <v>211077429.21000001</v>
      </c>
      <c r="N447" s="257">
        <v>205102929.21000001</v>
      </c>
    </row>
    <row r="448" spans="1:14" s="143" customFormat="1" x14ac:dyDescent="0.25">
      <c r="A448" s="143" t="s">
        <v>378</v>
      </c>
      <c r="B448" s="143" t="s">
        <v>77</v>
      </c>
      <c r="C448" s="143" t="s">
        <v>78</v>
      </c>
      <c r="D448" s="143" t="s">
        <v>69</v>
      </c>
      <c r="E448" s="257">
        <v>7227654000</v>
      </c>
      <c r="F448" s="257">
        <v>6509654000</v>
      </c>
      <c r="G448" s="257">
        <v>6509654000</v>
      </c>
      <c r="H448" s="257">
        <v>0</v>
      </c>
      <c r="I448" s="257">
        <v>0</v>
      </c>
      <c r="J448" s="257">
        <v>0</v>
      </c>
      <c r="K448" s="257">
        <v>6345000769.3100004</v>
      </c>
      <c r="L448" s="257">
        <v>6345000769.3100004</v>
      </c>
      <c r="M448" s="257">
        <v>164653230.69</v>
      </c>
      <c r="N448" s="257">
        <v>164653230.69</v>
      </c>
    </row>
    <row r="449" spans="1:14" s="143" customFormat="1" x14ac:dyDescent="0.25">
      <c r="A449" s="143" t="s">
        <v>378</v>
      </c>
      <c r="B449" s="143" t="s">
        <v>79</v>
      </c>
      <c r="C449" s="143" t="s">
        <v>80</v>
      </c>
      <c r="D449" s="143" t="s">
        <v>69</v>
      </c>
      <c r="E449" s="257">
        <v>1545488000</v>
      </c>
      <c r="F449" s="257">
        <v>1352488000</v>
      </c>
      <c r="G449" s="257">
        <v>1352488000</v>
      </c>
      <c r="H449" s="257">
        <v>0</v>
      </c>
      <c r="I449" s="257">
        <v>0</v>
      </c>
      <c r="J449" s="257">
        <v>0</v>
      </c>
      <c r="K449" s="257">
        <v>1342596364.6600001</v>
      </c>
      <c r="L449" s="257">
        <v>1342596364.6600001</v>
      </c>
      <c r="M449" s="257">
        <v>9891635.3399999999</v>
      </c>
      <c r="N449" s="257">
        <v>9891635.3399999999</v>
      </c>
    </row>
    <row r="450" spans="1:14" s="143" customFormat="1" x14ac:dyDescent="0.25">
      <c r="A450" s="143" t="s">
        <v>378</v>
      </c>
      <c r="B450" s="143" t="s">
        <v>81</v>
      </c>
      <c r="C450" s="143" t="s">
        <v>82</v>
      </c>
      <c r="D450" s="143" t="s">
        <v>69</v>
      </c>
      <c r="E450" s="257">
        <v>2806395000</v>
      </c>
      <c r="F450" s="257">
        <v>2380895000</v>
      </c>
      <c r="G450" s="257">
        <v>2380895000</v>
      </c>
      <c r="H450" s="257">
        <v>0</v>
      </c>
      <c r="I450" s="257">
        <v>0</v>
      </c>
      <c r="J450" s="257">
        <v>0</v>
      </c>
      <c r="K450" s="257">
        <v>2345568227.0900002</v>
      </c>
      <c r="L450" s="257">
        <v>2345568227.0900002</v>
      </c>
      <c r="M450" s="257">
        <v>35326772.909999996</v>
      </c>
      <c r="N450" s="257">
        <v>35326772.909999996</v>
      </c>
    </row>
    <row r="451" spans="1:14" s="143" customFormat="1" x14ac:dyDescent="0.25">
      <c r="A451" s="143" t="s">
        <v>378</v>
      </c>
      <c r="B451" s="143" t="s">
        <v>86</v>
      </c>
      <c r="C451" s="143" t="s">
        <v>87</v>
      </c>
      <c r="D451" s="143" t="s">
        <v>69</v>
      </c>
      <c r="E451" s="257">
        <v>713716000</v>
      </c>
      <c r="F451" s="257">
        <v>721716000</v>
      </c>
      <c r="G451" s="257">
        <v>721716000</v>
      </c>
      <c r="H451" s="257">
        <v>0</v>
      </c>
      <c r="I451" s="257">
        <v>0</v>
      </c>
      <c r="J451" s="257">
        <v>0</v>
      </c>
      <c r="K451" s="257">
        <v>718026069.89999998</v>
      </c>
      <c r="L451" s="257">
        <v>718026069.89999998</v>
      </c>
      <c r="M451" s="257">
        <v>3689930.1</v>
      </c>
      <c r="N451" s="257">
        <v>3689930.1</v>
      </c>
    </row>
    <row r="452" spans="1:14" s="143" customFormat="1" x14ac:dyDescent="0.25">
      <c r="A452" s="143" t="s">
        <v>378</v>
      </c>
      <c r="B452" s="143" t="s">
        <v>88</v>
      </c>
      <c r="C452" s="143" t="s">
        <v>89</v>
      </c>
      <c r="D452" s="143" t="s">
        <v>69</v>
      </c>
      <c r="E452" s="257">
        <v>1280679000</v>
      </c>
      <c r="F452" s="257">
        <v>1173179000</v>
      </c>
      <c r="G452" s="257">
        <v>1173179000</v>
      </c>
      <c r="H452" s="257">
        <v>0</v>
      </c>
      <c r="I452" s="257">
        <v>0</v>
      </c>
      <c r="J452" s="257">
        <v>0</v>
      </c>
      <c r="K452" s="257">
        <v>1131713811.5</v>
      </c>
      <c r="L452" s="257">
        <v>1131713811.5</v>
      </c>
      <c r="M452" s="257">
        <v>41465188.5</v>
      </c>
      <c r="N452" s="257">
        <v>41465188.5</v>
      </c>
    </row>
    <row r="453" spans="1:14" s="143" customFormat="1" x14ac:dyDescent="0.25">
      <c r="A453" s="143" t="s">
        <v>378</v>
      </c>
      <c r="B453" s="143" t="s">
        <v>83</v>
      </c>
      <c r="C453" s="143" t="s">
        <v>84</v>
      </c>
      <c r="D453" s="143" t="s">
        <v>85</v>
      </c>
      <c r="E453" s="257">
        <v>881376000</v>
      </c>
      <c r="F453" s="257">
        <v>881376000</v>
      </c>
      <c r="G453" s="257">
        <v>881376000</v>
      </c>
      <c r="H453" s="257">
        <v>0</v>
      </c>
      <c r="I453" s="257">
        <v>0</v>
      </c>
      <c r="J453" s="257">
        <v>0</v>
      </c>
      <c r="K453" s="257">
        <v>807096296.15999997</v>
      </c>
      <c r="L453" s="257">
        <v>807096296.15999997</v>
      </c>
      <c r="M453" s="257">
        <v>74279703.840000004</v>
      </c>
      <c r="N453" s="257">
        <v>74279703.840000004</v>
      </c>
    </row>
    <row r="454" spans="1:14" s="143" customFormat="1" x14ac:dyDescent="0.25">
      <c r="A454" s="143" t="s">
        <v>378</v>
      </c>
      <c r="B454" s="143" t="s">
        <v>90</v>
      </c>
      <c r="C454" s="143" t="s">
        <v>91</v>
      </c>
      <c r="D454" s="143" t="s">
        <v>69</v>
      </c>
      <c r="E454" s="257">
        <v>1054142000</v>
      </c>
      <c r="F454" s="257">
        <v>964497800</v>
      </c>
      <c r="G454" s="257">
        <v>964497800</v>
      </c>
      <c r="H454" s="257">
        <v>0</v>
      </c>
      <c r="I454" s="257">
        <v>0</v>
      </c>
      <c r="J454" s="257">
        <v>0</v>
      </c>
      <c r="K454" s="257">
        <v>931408728</v>
      </c>
      <c r="L454" s="257">
        <v>931408728</v>
      </c>
      <c r="M454" s="257">
        <v>33089072</v>
      </c>
      <c r="N454" s="257">
        <v>33089072</v>
      </c>
    </row>
    <row r="455" spans="1:14" s="143" customFormat="1" x14ac:dyDescent="0.25">
      <c r="A455" s="143" t="s">
        <v>378</v>
      </c>
      <c r="B455" s="143" t="s">
        <v>379</v>
      </c>
      <c r="C455" s="143" t="s">
        <v>827</v>
      </c>
      <c r="D455" s="143" t="s">
        <v>69</v>
      </c>
      <c r="E455" s="257">
        <v>1000083000</v>
      </c>
      <c r="F455" s="257">
        <v>915035940</v>
      </c>
      <c r="G455" s="257">
        <v>915035940</v>
      </c>
      <c r="H455" s="257">
        <v>0</v>
      </c>
      <c r="I455" s="257">
        <v>0</v>
      </c>
      <c r="J455" s="257">
        <v>0</v>
      </c>
      <c r="K455" s="257">
        <v>883646633</v>
      </c>
      <c r="L455" s="257">
        <v>883646633</v>
      </c>
      <c r="M455" s="257">
        <v>31389307</v>
      </c>
      <c r="N455" s="257">
        <v>31389307</v>
      </c>
    </row>
    <row r="456" spans="1:14" s="143" customFormat="1" x14ac:dyDescent="0.25">
      <c r="A456" s="143" t="s">
        <v>378</v>
      </c>
      <c r="B456" s="143" t="s">
        <v>380</v>
      </c>
      <c r="C456" s="143" t="s">
        <v>95</v>
      </c>
      <c r="D456" s="143" t="s">
        <v>69</v>
      </c>
      <c r="E456" s="257">
        <v>54059000</v>
      </c>
      <c r="F456" s="257">
        <v>49461860</v>
      </c>
      <c r="G456" s="257">
        <v>49461860</v>
      </c>
      <c r="H456" s="257">
        <v>0</v>
      </c>
      <c r="I456" s="257">
        <v>0</v>
      </c>
      <c r="J456" s="257">
        <v>0</v>
      </c>
      <c r="K456" s="257">
        <v>47762095</v>
      </c>
      <c r="L456" s="257">
        <v>47762095</v>
      </c>
      <c r="M456" s="257">
        <v>1699765</v>
      </c>
      <c r="N456" s="257">
        <v>1699765</v>
      </c>
    </row>
    <row r="457" spans="1:14" s="143" customFormat="1" x14ac:dyDescent="0.25">
      <c r="A457" s="143" t="s">
        <v>378</v>
      </c>
      <c r="B457" s="143" t="s">
        <v>96</v>
      </c>
      <c r="C457" s="143" t="s">
        <v>97</v>
      </c>
      <c r="D457" s="143" t="s">
        <v>69</v>
      </c>
      <c r="E457" s="257">
        <v>1125762000</v>
      </c>
      <c r="F457" s="257">
        <v>953680830</v>
      </c>
      <c r="G457" s="257">
        <v>953680830</v>
      </c>
      <c r="H457" s="257">
        <v>0</v>
      </c>
      <c r="I457" s="257">
        <v>0</v>
      </c>
      <c r="J457" s="257">
        <v>0</v>
      </c>
      <c r="K457" s="257">
        <v>926434696.84000003</v>
      </c>
      <c r="L457" s="257">
        <v>926434696.84000003</v>
      </c>
      <c r="M457" s="257">
        <v>27246133.16</v>
      </c>
      <c r="N457" s="257">
        <v>27246133.16</v>
      </c>
    </row>
    <row r="458" spans="1:14" s="143" customFormat="1" x14ac:dyDescent="0.25">
      <c r="A458" s="143" t="s">
        <v>378</v>
      </c>
      <c r="B458" s="143" t="s">
        <v>381</v>
      </c>
      <c r="C458" s="143" t="s">
        <v>828</v>
      </c>
      <c r="D458" s="143" t="s">
        <v>69</v>
      </c>
      <c r="E458" s="257">
        <v>549235000</v>
      </c>
      <c r="F458" s="257">
        <v>417528070</v>
      </c>
      <c r="G458" s="257">
        <v>417528070</v>
      </c>
      <c r="H458" s="257">
        <v>0</v>
      </c>
      <c r="I458" s="257">
        <v>0</v>
      </c>
      <c r="J458" s="257">
        <v>0</v>
      </c>
      <c r="K458" s="257">
        <v>406365038</v>
      </c>
      <c r="L458" s="257">
        <v>406365038</v>
      </c>
      <c r="M458" s="257">
        <v>11163032</v>
      </c>
      <c r="N458" s="257">
        <v>11163032</v>
      </c>
    </row>
    <row r="459" spans="1:14" s="143" customFormat="1" x14ac:dyDescent="0.25">
      <c r="A459" s="143" t="s">
        <v>378</v>
      </c>
      <c r="B459" s="143" t="s">
        <v>382</v>
      </c>
      <c r="C459" s="143" t="s">
        <v>829</v>
      </c>
      <c r="D459" s="143" t="s">
        <v>69</v>
      </c>
      <c r="E459" s="257">
        <v>162176000</v>
      </c>
      <c r="F459" s="257">
        <v>148384590</v>
      </c>
      <c r="G459" s="257">
        <v>148384590</v>
      </c>
      <c r="H459" s="257">
        <v>0</v>
      </c>
      <c r="I459" s="257">
        <v>0</v>
      </c>
      <c r="J459" s="257">
        <v>0</v>
      </c>
      <c r="K459" s="257">
        <v>143286324</v>
      </c>
      <c r="L459" s="257">
        <v>143286324</v>
      </c>
      <c r="M459" s="257">
        <v>5098266</v>
      </c>
      <c r="N459" s="257">
        <v>5098266</v>
      </c>
    </row>
    <row r="460" spans="1:14" x14ac:dyDescent="0.25">
      <c r="A460" s="143" t="s">
        <v>378</v>
      </c>
      <c r="B460" s="143" t="s">
        <v>383</v>
      </c>
      <c r="C460" s="143" t="s">
        <v>830</v>
      </c>
      <c r="D460" s="143" t="s">
        <v>69</v>
      </c>
      <c r="E460" s="257">
        <v>324351000</v>
      </c>
      <c r="F460" s="257">
        <v>296768170</v>
      </c>
      <c r="G460" s="257">
        <v>296768170</v>
      </c>
      <c r="H460" s="257">
        <v>0</v>
      </c>
      <c r="I460" s="257">
        <v>0</v>
      </c>
      <c r="J460" s="257">
        <v>0</v>
      </c>
      <c r="K460" s="257">
        <v>286572616</v>
      </c>
      <c r="L460" s="257">
        <v>286572616</v>
      </c>
      <c r="M460" s="257">
        <v>10195554</v>
      </c>
      <c r="N460" s="257">
        <v>10195554</v>
      </c>
    </row>
    <row r="461" spans="1:14" x14ac:dyDescent="0.25">
      <c r="A461" s="143" t="s">
        <v>378</v>
      </c>
      <c r="B461" s="143" t="s">
        <v>384</v>
      </c>
      <c r="C461" s="143" t="s">
        <v>385</v>
      </c>
      <c r="D461" s="143" t="s">
        <v>69</v>
      </c>
      <c r="E461" s="257">
        <v>90000000</v>
      </c>
      <c r="F461" s="257">
        <v>91000000</v>
      </c>
      <c r="G461" s="257">
        <v>91000000</v>
      </c>
      <c r="H461" s="257">
        <v>0</v>
      </c>
      <c r="I461" s="257">
        <v>0</v>
      </c>
      <c r="J461" s="257">
        <v>0</v>
      </c>
      <c r="K461" s="257">
        <v>90210718.840000004</v>
      </c>
      <c r="L461" s="257">
        <v>90210718.840000004</v>
      </c>
      <c r="M461" s="257">
        <v>789281.16</v>
      </c>
      <c r="N461" s="257">
        <v>789281.16</v>
      </c>
    </row>
    <row r="462" spans="1:14" x14ac:dyDescent="0.25">
      <c r="A462" s="143" t="s">
        <v>378</v>
      </c>
      <c r="B462" s="143" t="s">
        <v>104</v>
      </c>
      <c r="C462" s="143" t="s">
        <v>105</v>
      </c>
      <c r="D462" s="143" t="s">
        <v>69</v>
      </c>
      <c r="E462" s="257">
        <v>37000000</v>
      </c>
      <c r="F462" s="257">
        <v>39000000</v>
      </c>
      <c r="G462" s="257">
        <v>39000000</v>
      </c>
      <c r="H462" s="257">
        <v>0</v>
      </c>
      <c r="I462" s="257">
        <v>410517</v>
      </c>
      <c r="J462" s="257">
        <v>0</v>
      </c>
      <c r="K462" s="257">
        <v>38589483</v>
      </c>
      <c r="L462" s="257">
        <v>38589483</v>
      </c>
      <c r="M462" s="257">
        <v>0</v>
      </c>
      <c r="N462" s="257">
        <v>0</v>
      </c>
    </row>
    <row r="463" spans="1:14" x14ac:dyDescent="0.25">
      <c r="A463" s="143" t="s">
        <v>378</v>
      </c>
      <c r="B463" s="143" t="s">
        <v>150</v>
      </c>
      <c r="C463" s="143" t="s">
        <v>151</v>
      </c>
      <c r="D463" s="143" t="s">
        <v>69</v>
      </c>
      <c r="E463" s="257">
        <v>37000000</v>
      </c>
      <c r="F463" s="257">
        <v>39000000</v>
      </c>
      <c r="G463" s="257">
        <v>39000000</v>
      </c>
      <c r="H463" s="257">
        <v>0</v>
      </c>
      <c r="I463" s="257">
        <v>410517</v>
      </c>
      <c r="J463" s="257">
        <v>0</v>
      </c>
      <c r="K463" s="257">
        <v>38589483</v>
      </c>
      <c r="L463" s="257">
        <v>38589483</v>
      </c>
      <c r="M463" s="257">
        <v>0</v>
      </c>
      <c r="N463" s="257">
        <v>0</v>
      </c>
    </row>
    <row r="464" spans="1:14" x14ac:dyDescent="0.25">
      <c r="A464" s="143" t="s">
        <v>378</v>
      </c>
      <c r="B464" s="143" t="s">
        <v>152</v>
      </c>
      <c r="C464" s="143" t="s">
        <v>153</v>
      </c>
      <c r="D464" s="143" t="s">
        <v>69</v>
      </c>
      <c r="E464" s="257">
        <v>37000000</v>
      </c>
      <c r="F464" s="257">
        <v>39000000</v>
      </c>
      <c r="G464" s="257">
        <v>39000000</v>
      </c>
      <c r="H464" s="257">
        <v>0</v>
      </c>
      <c r="I464" s="257">
        <v>410517</v>
      </c>
      <c r="J464" s="257">
        <v>0</v>
      </c>
      <c r="K464" s="257">
        <v>38589483</v>
      </c>
      <c r="L464" s="257">
        <v>38589483</v>
      </c>
      <c r="M464" s="257">
        <v>0</v>
      </c>
      <c r="N464" s="257">
        <v>0</v>
      </c>
    </row>
    <row r="465" spans="1:14" x14ac:dyDescent="0.25">
      <c r="A465" s="143" t="s">
        <v>378</v>
      </c>
      <c r="B465" s="143" t="s">
        <v>248</v>
      </c>
      <c r="C465" s="143" t="s">
        <v>249</v>
      </c>
      <c r="D465" s="143" t="s">
        <v>69</v>
      </c>
      <c r="E465" s="257">
        <v>340738000</v>
      </c>
      <c r="F465" s="257">
        <v>435711650</v>
      </c>
      <c r="G465" s="257">
        <v>435711650</v>
      </c>
      <c r="H465" s="257">
        <v>0</v>
      </c>
      <c r="I465" s="257">
        <v>0</v>
      </c>
      <c r="J465" s="257">
        <v>0</v>
      </c>
      <c r="K465" s="257">
        <v>409704570.01999998</v>
      </c>
      <c r="L465" s="257">
        <v>368552043.49000001</v>
      </c>
      <c r="M465" s="257">
        <v>26007079.98</v>
      </c>
      <c r="N465" s="257">
        <v>26007079.98</v>
      </c>
    </row>
    <row r="466" spans="1:14" x14ac:dyDescent="0.25">
      <c r="A466" s="143" t="s">
        <v>378</v>
      </c>
      <c r="B466" s="143" t="s">
        <v>250</v>
      </c>
      <c r="C466" s="143" t="s">
        <v>251</v>
      </c>
      <c r="D466" s="143" t="s">
        <v>69</v>
      </c>
      <c r="E466" s="257">
        <v>89738000</v>
      </c>
      <c r="F466" s="257">
        <v>82106750</v>
      </c>
      <c r="G466" s="257">
        <v>82106750</v>
      </c>
      <c r="H466" s="257">
        <v>0</v>
      </c>
      <c r="I466" s="257">
        <v>0</v>
      </c>
      <c r="J466" s="257">
        <v>0</v>
      </c>
      <c r="K466" s="257">
        <v>79285067.909999996</v>
      </c>
      <c r="L466" s="257">
        <v>79285067.909999996</v>
      </c>
      <c r="M466" s="257">
        <v>2821682.09</v>
      </c>
      <c r="N466" s="257">
        <v>2821682.09</v>
      </c>
    </row>
    <row r="467" spans="1:14" x14ac:dyDescent="0.25">
      <c r="A467" s="143" t="s">
        <v>378</v>
      </c>
      <c r="B467" s="143" t="s">
        <v>386</v>
      </c>
      <c r="C467" s="143" t="s">
        <v>832</v>
      </c>
      <c r="D467" s="143" t="s">
        <v>69</v>
      </c>
      <c r="E467" s="257">
        <v>62708000</v>
      </c>
      <c r="F467" s="257">
        <v>57375320</v>
      </c>
      <c r="G467" s="257">
        <v>57375320</v>
      </c>
      <c r="H467" s="257">
        <v>0</v>
      </c>
      <c r="I467" s="257">
        <v>0</v>
      </c>
      <c r="J467" s="257">
        <v>0</v>
      </c>
      <c r="K467" s="257">
        <v>55404023.350000001</v>
      </c>
      <c r="L467" s="257">
        <v>55404023.350000001</v>
      </c>
      <c r="M467" s="257">
        <v>1971296.65</v>
      </c>
      <c r="N467" s="257">
        <v>1971296.65</v>
      </c>
    </row>
    <row r="468" spans="1:14" x14ac:dyDescent="0.25">
      <c r="A468" s="143" t="s">
        <v>378</v>
      </c>
      <c r="B468" s="143" t="s">
        <v>387</v>
      </c>
      <c r="C468" s="143" t="s">
        <v>833</v>
      </c>
      <c r="D468" s="143" t="s">
        <v>69</v>
      </c>
      <c r="E468" s="257">
        <v>27030000</v>
      </c>
      <c r="F468" s="257">
        <v>24731430</v>
      </c>
      <c r="G468" s="257">
        <v>24731430</v>
      </c>
      <c r="H468" s="257">
        <v>0</v>
      </c>
      <c r="I468" s="257">
        <v>0</v>
      </c>
      <c r="J468" s="257">
        <v>0</v>
      </c>
      <c r="K468" s="257">
        <v>23881044.559999999</v>
      </c>
      <c r="L468" s="257">
        <v>23881044.559999999</v>
      </c>
      <c r="M468" s="257">
        <v>850385.44</v>
      </c>
      <c r="N468" s="257">
        <v>850385.44</v>
      </c>
    </row>
    <row r="469" spans="1:14" x14ac:dyDescent="0.25">
      <c r="A469" s="143" t="s">
        <v>378</v>
      </c>
      <c r="B469" s="143" t="s">
        <v>260</v>
      </c>
      <c r="C469" s="143" t="s">
        <v>261</v>
      </c>
      <c r="D469" s="143" t="s">
        <v>69</v>
      </c>
      <c r="E469" s="257">
        <v>235000000</v>
      </c>
      <c r="F469" s="257">
        <v>311293800</v>
      </c>
      <c r="G469" s="257">
        <v>311293800</v>
      </c>
      <c r="H469" s="257">
        <v>0</v>
      </c>
      <c r="I469" s="257">
        <v>0</v>
      </c>
      <c r="J469" s="257">
        <v>0</v>
      </c>
      <c r="K469" s="257">
        <v>307535579.14999998</v>
      </c>
      <c r="L469" s="257">
        <v>266383052.62</v>
      </c>
      <c r="M469" s="257">
        <v>3758220.85</v>
      </c>
      <c r="N469" s="257">
        <v>3758220.85</v>
      </c>
    </row>
    <row r="470" spans="1:14" x14ac:dyDescent="0.25">
      <c r="A470" s="143" t="s">
        <v>378</v>
      </c>
      <c r="B470" s="143" t="s">
        <v>262</v>
      </c>
      <c r="C470" s="143" t="s">
        <v>263</v>
      </c>
      <c r="D470" s="143" t="s">
        <v>69</v>
      </c>
      <c r="E470" s="257">
        <v>170000000</v>
      </c>
      <c r="F470" s="257">
        <v>255025500</v>
      </c>
      <c r="G470" s="257">
        <v>255025500</v>
      </c>
      <c r="H470" s="257">
        <v>0</v>
      </c>
      <c r="I470" s="257">
        <v>0</v>
      </c>
      <c r="J470" s="257">
        <v>0</v>
      </c>
      <c r="K470" s="257">
        <v>251928569.37</v>
      </c>
      <c r="L470" s="257">
        <v>210776042.84</v>
      </c>
      <c r="M470" s="257">
        <v>3096930.63</v>
      </c>
      <c r="N470" s="257">
        <v>3096930.63</v>
      </c>
    </row>
    <row r="471" spans="1:14" x14ac:dyDescent="0.25">
      <c r="A471" s="143" t="s">
        <v>378</v>
      </c>
      <c r="B471" s="143" t="s">
        <v>264</v>
      </c>
      <c r="C471" s="143" t="s">
        <v>265</v>
      </c>
      <c r="D471" s="143" t="s">
        <v>69</v>
      </c>
      <c r="E471" s="257">
        <v>65000000</v>
      </c>
      <c r="F471" s="257">
        <v>56268300</v>
      </c>
      <c r="G471" s="257">
        <v>56268300</v>
      </c>
      <c r="H471" s="257">
        <v>0</v>
      </c>
      <c r="I471" s="257">
        <v>0</v>
      </c>
      <c r="J471" s="257">
        <v>0</v>
      </c>
      <c r="K471" s="257">
        <v>55607009.780000001</v>
      </c>
      <c r="L471" s="257">
        <v>55607009.780000001</v>
      </c>
      <c r="M471" s="257">
        <v>661290.22</v>
      </c>
      <c r="N471" s="257">
        <v>661290.22</v>
      </c>
    </row>
    <row r="472" spans="1:14" x14ac:dyDescent="0.25">
      <c r="A472" s="143" t="s">
        <v>378</v>
      </c>
      <c r="B472" s="143" t="s">
        <v>286</v>
      </c>
      <c r="C472" s="143" t="s">
        <v>287</v>
      </c>
      <c r="D472" s="143" t="s">
        <v>69</v>
      </c>
      <c r="E472" s="257">
        <v>16000000</v>
      </c>
      <c r="F472" s="257">
        <v>42311100</v>
      </c>
      <c r="G472" s="257">
        <v>42311100</v>
      </c>
      <c r="H472" s="257">
        <v>0</v>
      </c>
      <c r="I472" s="257">
        <v>0</v>
      </c>
      <c r="J472" s="257">
        <v>0</v>
      </c>
      <c r="K472" s="257">
        <v>22883922.960000001</v>
      </c>
      <c r="L472" s="257">
        <v>22883922.960000001</v>
      </c>
      <c r="M472" s="257">
        <v>19427177.039999999</v>
      </c>
      <c r="N472" s="257">
        <v>19427177.039999999</v>
      </c>
    </row>
    <row r="473" spans="1:14" x14ac:dyDescent="0.25">
      <c r="A473" s="143" t="s">
        <v>378</v>
      </c>
      <c r="B473" s="143" t="s">
        <v>288</v>
      </c>
      <c r="C473" s="143" t="s">
        <v>289</v>
      </c>
      <c r="D473" s="143" t="s">
        <v>69</v>
      </c>
      <c r="E473" s="257">
        <v>7000000</v>
      </c>
      <c r="F473" s="257">
        <v>16561100</v>
      </c>
      <c r="G473" s="257">
        <v>16561100</v>
      </c>
      <c r="H473" s="257">
        <v>0</v>
      </c>
      <c r="I473" s="257">
        <v>0</v>
      </c>
      <c r="J473" s="257">
        <v>0</v>
      </c>
      <c r="K473" s="257">
        <v>6680937.0700000003</v>
      </c>
      <c r="L473" s="257">
        <v>6680937.0700000003</v>
      </c>
      <c r="M473" s="257">
        <v>9880162.9299999997</v>
      </c>
      <c r="N473" s="257">
        <v>9880162.9299999997</v>
      </c>
    </row>
    <row r="474" spans="1:14" x14ac:dyDescent="0.25">
      <c r="A474" s="143" t="s">
        <v>378</v>
      </c>
      <c r="B474" s="143" t="s">
        <v>370</v>
      </c>
      <c r="C474" s="143" t="s">
        <v>371</v>
      </c>
      <c r="D474" s="143" t="s">
        <v>69</v>
      </c>
      <c r="E474" s="257">
        <v>9000000</v>
      </c>
      <c r="F474" s="257">
        <v>25750000</v>
      </c>
      <c r="G474" s="257">
        <v>25750000</v>
      </c>
      <c r="H474" s="257">
        <v>0</v>
      </c>
      <c r="I474" s="257">
        <v>0</v>
      </c>
      <c r="J474" s="257">
        <v>0</v>
      </c>
      <c r="K474" s="257">
        <v>16202985.890000001</v>
      </c>
      <c r="L474" s="257">
        <v>16202985.890000001</v>
      </c>
      <c r="M474" s="257">
        <v>9547014.1099999994</v>
      </c>
      <c r="N474" s="257">
        <v>9547014.1099999994</v>
      </c>
    </row>
    <row r="475" spans="1:14" x14ac:dyDescent="0.25">
      <c r="A475" s="53"/>
      <c r="B475" s="53"/>
      <c r="C475" s="53"/>
      <c r="D475" s="53"/>
      <c r="E475" s="54">
        <v>691419513450</v>
      </c>
      <c r="F475" s="54">
        <v>671511094915</v>
      </c>
      <c r="G475" s="54">
        <v>671481222410</v>
      </c>
      <c r="H475" s="54">
        <v>0</v>
      </c>
      <c r="I475" s="54">
        <v>19700146288.599998</v>
      </c>
      <c r="J475" s="54">
        <v>0</v>
      </c>
      <c r="K475" s="54">
        <v>619212582828.34998</v>
      </c>
      <c r="L475" s="54">
        <v>594284734335.09998</v>
      </c>
      <c r="M475" s="54">
        <v>32598365798.049999</v>
      </c>
      <c r="N475" s="54">
        <v>32568493293.049999</v>
      </c>
    </row>
  </sheetData>
  <sheetProtection selectLockedCells="1" selectUnlockedCells="1"/>
  <conditionalFormatting sqref="K2:K480">
    <cfRule type="cellIs" dxfId="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5"/>
  <sheetViews>
    <sheetView zoomScaleNormal="100" workbookViewId="0"/>
  </sheetViews>
  <sheetFormatPr baseColWidth="10" defaultColWidth="36.28515625" defaultRowHeight="15" x14ac:dyDescent="0.25"/>
  <cols>
    <col min="1" max="1" width="13" customWidth="1"/>
    <col min="2" max="2" width="18.140625" customWidth="1"/>
    <col min="3" max="3" width="27" customWidth="1"/>
    <col min="4" max="4" width="6.5703125" customWidth="1"/>
    <col min="5" max="5" width="18.7109375" customWidth="1"/>
    <col min="6" max="7" width="18.5703125" customWidth="1"/>
    <col min="8" max="8" width="17.42578125" customWidth="1"/>
    <col min="9" max="9" width="18.5703125" customWidth="1"/>
    <col min="10" max="10" width="20" customWidth="1"/>
    <col min="11" max="12" width="18.5703125" customWidth="1"/>
    <col min="13" max="13" width="21.5703125" customWidth="1"/>
    <col min="14" max="14" width="18.5703125" customWidth="1"/>
  </cols>
  <sheetData>
    <row r="1" spans="1:14" x14ac:dyDescent="0.25">
      <c r="A1" s="144" t="s">
        <v>52</v>
      </c>
      <c r="B1" s="144" t="s">
        <v>53</v>
      </c>
      <c r="C1" s="144" t="s">
        <v>54</v>
      </c>
      <c r="D1" s="144" t="s">
        <v>55</v>
      </c>
      <c r="E1" s="144" t="s">
        <v>56</v>
      </c>
      <c r="F1" s="144" t="s">
        <v>57</v>
      </c>
      <c r="G1" s="144" t="s">
        <v>58</v>
      </c>
      <c r="H1" s="144" t="s">
        <v>59</v>
      </c>
      <c r="I1" s="144" t="s">
        <v>60</v>
      </c>
      <c r="J1" s="144" t="s">
        <v>61</v>
      </c>
      <c r="K1" s="144" t="s">
        <v>12</v>
      </c>
      <c r="L1" s="144" t="s">
        <v>63</v>
      </c>
      <c r="M1" s="144" t="s">
        <v>65</v>
      </c>
      <c r="N1" s="144" t="s">
        <v>67</v>
      </c>
    </row>
    <row r="2" spans="1:14" s="143" customFormat="1" x14ac:dyDescent="0.25">
      <c r="A2" s="143" t="s">
        <v>68</v>
      </c>
      <c r="D2" s="143" t="s">
        <v>69</v>
      </c>
      <c r="E2" s="257">
        <v>138283902690</v>
      </c>
      <c r="F2" s="257">
        <v>134302218983</v>
      </c>
      <c r="G2" s="257">
        <v>134296244482</v>
      </c>
      <c r="H2" s="257">
        <v>149586829.28999999</v>
      </c>
      <c r="I2" s="257">
        <v>10411486751.93</v>
      </c>
      <c r="J2" s="257">
        <v>582090454.92999995</v>
      </c>
      <c r="K2" s="257">
        <v>100055772288.44</v>
      </c>
      <c r="L2" s="257">
        <v>96339145286.529999</v>
      </c>
      <c r="M2" s="257">
        <v>23103282658.41</v>
      </c>
      <c r="N2" s="257">
        <v>23097308157.41</v>
      </c>
    </row>
    <row r="3" spans="1:14" s="143" customFormat="1" x14ac:dyDescent="0.25">
      <c r="A3" s="143" t="s">
        <v>70</v>
      </c>
      <c r="B3" s="143" t="s">
        <v>75</v>
      </c>
      <c r="C3" s="143" t="s">
        <v>76</v>
      </c>
      <c r="D3" s="143" t="s">
        <v>69</v>
      </c>
      <c r="E3" s="257">
        <v>611601000</v>
      </c>
      <c r="F3" s="257">
        <v>561866650</v>
      </c>
      <c r="G3" s="257">
        <v>561866650</v>
      </c>
      <c r="H3" s="257">
        <v>0</v>
      </c>
      <c r="I3" s="257">
        <v>0</v>
      </c>
      <c r="J3" s="257">
        <v>0</v>
      </c>
      <c r="K3" s="257">
        <v>449761334.54000002</v>
      </c>
      <c r="L3" s="257">
        <v>449761334.54000002</v>
      </c>
      <c r="M3" s="257">
        <v>112105315.45999999</v>
      </c>
      <c r="N3" s="257">
        <v>112105315.45999999</v>
      </c>
    </row>
    <row r="4" spans="1:14" s="143" customFormat="1" x14ac:dyDescent="0.25">
      <c r="A4" s="143" t="s">
        <v>70</v>
      </c>
      <c r="B4" s="143" t="s">
        <v>79</v>
      </c>
      <c r="C4" s="143" t="s">
        <v>80</v>
      </c>
      <c r="D4" s="143" t="s">
        <v>69</v>
      </c>
      <c r="E4" s="257">
        <v>167585000</v>
      </c>
      <c r="F4" s="257">
        <v>123085000</v>
      </c>
      <c r="G4" s="257">
        <v>123085000</v>
      </c>
      <c r="H4" s="257">
        <v>0</v>
      </c>
      <c r="I4" s="257">
        <v>0</v>
      </c>
      <c r="J4" s="257">
        <v>0</v>
      </c>
      <c r="K4" s="257">
        <v>104929338.81</v>
      </c>
      <c r="L4" s="257">
        <v>104929338.81</v>
      </c>
      <c r="M4" s="257">
        <v>18155661.190000001</v>
      </c>
      <c r="N4" s="257">
        <v>18155661.190000001</v>
      </c>
    </row>
    <row r="5" spans="1:14" s="143" customFormat="1" x14ac:dyDescent="0.25">
      <c r="A5" s="143" t="s">
        <v>70</v>
      </c>
      <c r="B5" s="143" t="s">
        <v>81</v>
      </c>
      <c r="C5" s="143" t="s">
        <v>82</v>
      </c>
      <c r="D5" s="143" t="s">
        <v>69</v>
      </c>
      <c r="E5" s="257">
        <v>320119000</v>
      </c>
      <c r="F5" s="257">
        <v>264319000</v>
      </c>
      <c r="G5" s="257">
        <v>264319000</v>
      </c>
      <c r="H5" s="257">
        <v>0</v>
      </c>
      <c r="I5" s="257">
        <v>0</v>
      </c>
      <c r="J5" s="257">
        <v>0</v>
      </c>
      <c r="K5" s="257">
        <v>226577616.63999999</v>
      </c>
      <c r="L5" s="257">
        <v>226577616.63999999</v>
      </c>
      <c r="M5" s="257">
        <v>37741383.359999999</v>
      </c>
      <c r="N5" s="257">
        <v>37741383.359999999</v>
      </c>
    </row>
    <row r="6" spans="1:14" s="143" customFormat="1" x14ac:dyDescent="0.25">
      <c r="A6" s="143" t="s">
        <v>70</v>
      </c>
      <c r="B6" s="143" t="s">
        <v>86</v>
      </c>
      <c r="C6" s="143" t="s">
        <v>87</v>
      </c>
      <c r="D6" s="143" t="s">
        <v>69</v>
      </c>
      <c r="E6" s="257">
        <v>83553000</v>
      </c>
      <c r="F6" s="257">
        <v>85053000</v>
      </c>
      <c r="G6" s="257">
        <v>85053000</v>
      </c>
      <c r="H6" s="257">
        <v>0</v>
      </c>
      <c r="I6" s="257">
        <v>0</v>
      </c>
      <c r="J6" s="257">
        <v>0</v>
      </c>
      <c r="K6" s="257">
        <v>84044163.719999999</v>
      </c>
      <c r="L6" s="257">
        <v>84044163.719999999</v>
      </c>
      <c r="M6" s="257">
        <v>1008836.28</v>
      </c>
      <c r="N6" s="257">
        <v>1008836.28</v>
      </c>
    </row>
    <row r="7" spans="1:14" s="143" customFormat="1" x14ac:dyDescent="0.25">
      <c r="A7" s="143" t="s">
        <v>70</v>
      </c>
      <c r="B7" s="143" t="s">
        <v>88</v>
      </c>
      <c r="C7" s="143" t="s">
        <v>89</v>
      </c>
      <c r="D7" s="143" t="s">
        <v>69</v>
      </c>
      <c r="E7" s="257">
        <v>53833000</v>
      </c>
      <c r="F7" s="257">
        <v>44833000</v>
      </c>
      <c r="G7" s="257">
        <v>44833000</v>
      </c>
      <c r="H7" s="257">
        <v>0</v>
      </c>
      <c r="I7" s="257">
        <v>0</v>
      </c>
      <c r="J7" s="257">
        <v>0</v>
      </c>
      <c r="K7" s="257">
        <v>37971062.170000002</v>
      </c>
      <c r="L7" s="257">
        <v>37971062.170000002</v>
      </c>
      <c r="M7" s="257">
        <v>6861937.8300000001</v>
      </c>
      <c r="N7" s="257">
        <v>6861937.8300000001</v>
      </c>
    </row>
    <row r="8" spans="1:14" s="143" customFormat="1" x14ac:dyDescent="0.25">
      <c r="A8" s="143" t="s">
        <v>70</v>
      </c>
      <c r="B8" s="143" t="s">
        <v>83</v>
      </c>
      <c r="C8" s="143" t="s">
        <v>84</v>
      </c>
      <c r="D8" s="143" t="s">
        <v>85</v>
      </c>
      <c r="E8" s="257">
        <v>101212000</v>
      </c>
      <c r="F8" s="257">
        <v>87572000</v>
      </c>
      <c r="G8" s="257">
        <v>87572000</v>
      </c>
      <c r="H8" s="257">
        <v>0</v>
      </c>
      <c r="I8" s="257">
        <v>0</v>
      </c>
      <c r="J8" s="257">
        <v>0</v>
      </c>
      <c r="K8" s="257">
        <v>155414.39999999999</v>
      </c>
      <c r="L8" s="257">
        <v>155414.39999999999</v>
      </c>
      <c r="M8" s="257">
        <v>87416585.599999994</v>
      </c>
      <c r="N8" s="257">
        <v>87416585.599999994</v>
      </c>
    </row>
    <row r="9" spans="1:14" s="143" customFormat="1" x14ac:dyDescent="0.25">
      <c r="A9" s="143" t="s">
        <v>70</v>
      </c>
      <c r="B9" s="143" t="s">
        <v>92</v>
      </c>
      <c r="C9" s="143" t="s">
        <v>827</v>
      </c>
      <c r="D9" s="143" t="s">
        <v>69</v>
      </c>
      <c r="E9" s="257">
        <v>114394000</v>
      </c>
      <c r="F9" s="257">
        <v>102394000</v>
      </c>
      <c r="G9" s="257">
        <v>102394000</v>
      </c>
      <c r="H9" s="257">
        <v>0</v>
      </c>
      <c r="I9" s="257">
        <v>13648514</v>
      </c>
      <c r="J9" s="257">
        <v>0</v>
      </c>
      <c r="K9" s="257">
        <v>84745486</v>
      </c>
      <c r="L9" s="257">
        <v>84745486</v>
      </c>
      <c r="M9" s="257">
        <v>4000000</v>
      </c>
      <c r="N9" s="257">
        <v>4000000</v>
      </c>
    </row>
    <row r="10" spans="1:14" s="143" customFormat="1" x14ac:dyDescent="0.25">
      <c r="A10" s="143" t="s">
        <v>70</v>
      </c>
      <c r="B10" s="143" t="s">
        <v>94</v>
      </c>
      <c r="C10" s="143" t="s">
        <v>95</v>
      </c>
      <c r="D10" s="143" t="s">
        <v>69</v>
      </c>
      <c r="E10" s="257">
        <v>6184000</v>
      </c>
      <c r="F10" s="257">
        <v>5536000</v>
      </c>
      <c r="G10" s="257">
        <v>5536000</v>
      </c>
      <c r="H10" s="257">
        <v>0</v>
      </c>
      <c r="I10" s="257">
        <v>955174</v>
      </c>
      <c r="J10" s="257">
        <v>0</v>
      </c>
      <c r="K10" s="257">
        <v>4580826</v>
      </c>
      <c r="L10" s="257">
        <v>4580826</v>
      </c>
      <c r="M10" s="257">
        <v>0</v>
      </c>
      <c r="N10" s="257">
        <v>0</v>
      </c>
    </row>
    <row r="11" spans="1:14" s="143" customFormat="1" x14ac:dyDescent="0.25">
      <c r="A11" s="143" t="s">
        <v>70</v>
      </c>
      <c r="B11" s="143" t="s">
        <v>98</v>
      </c>
      <c r="C11" s="143" t="s">
        <v>828</v>
      </c>
      <c r="D11" s="143" t="s">
        <v>69</v>
      </c>
      <c r="E11" s="257">
        <v>62824000</v>
      </c>
      <c r="F11" s="257">
        <v>56274000</v>
      </c>
      <c r="G11" s="257">
        <v>56274000</v>
      </c>
      <c r="H11" s="257">
        <v>0</v>
      </c>
      <c r="I11" s="257">
        <v>9732694</v>
      </c>
      <c r="J11" s="257">
        <v>0</v>
      </c>
      <c r="K11" s="257">
        <v>46541306</v>
      </c>
      <c r="L11" s="257">
        <v>46541306</v>
      </c>
      <c r="M11" s="257">
        <v>0</v>
      </c>
      <c r="N11" s="257">
        <v>0</v>
      </c>
    </row>
    <row r="12" spans="1:14" s="143" customFormat="1" x14ac:dyDescent="0.25">
      <c r="A12" s="143" t="s">
        <v>70</v>
      </c>
      <c r="B12" s="143" t="s">
        <v>100</v>
      </c>
      <c r="C12" s="143" t="s">
        <v>829</v>
      </c>
      <c r="D12" s="143" t="s">
        <v>69</v>
      </c>
      <c r="E12" s="257">
        <v>18551000</v>
      </c>
      <c r="F12" s="257">
        <v>16641000</v>
      </c>
      <c r="G12" s="257">
        <v>16641000</v>
      </c>
      <c r="H12" s="257">
        <v>0</v>
      </c>
      <c r="I12" s="257">
        <v>2898463</v>
      </c>
      <c r="J12" s="257">
        <v>0</v>
      </c>
      <c r="K12" s="257">
        <v>13742537</v>
      </c>
      <c r="L12" s="257">
        <v>13742537</v>
      </c>
      <c r="M12" s="257">
        <v>0</v>
      </c>
      <c r="N12" s="257">
        <v>0</v>
      </c>
    </row>
    <row r="13" spans="1:14" s="143" customFormat="1" x14ac:dyDescent="0.25">
      <c r="A13" s="143" t="s">
        <v>70</v>
      </c>
      <c r="B13" s="143" t="s">
        <v>102</v>
      </c>
      <c r="C13" s="143" t="s">
        <v>830</v>
      </c>
      <c r="D13" s="143" t="s">
        <v>69</v>
      </c>
      <c r="E13" s="257">
        <v>37101000</v>
      </c>
      <c r="F13" s="257">
        <v>33271000</v>
      </c>
      <c r="G13" s="257">
        <v>33271000</v>
      </c>
      <c r="H13" s="257">
        <v>0</v>
      </c>
      <c r="I13" s="257">
        <v>5785977</v>
      </c>
      <c r="J13" s="257">
        <v>0</v>
      </c>
      <c r="K13" s="257">
        <v>27485023</v>
      </c>
      <c r="L13" s="257">
        <v>27485023</v>
      </c>
      <c r="M13" s="257">
        <v>0</v>
      </c>
      <c r="N13" s="257">
        <v>0</v>
      </c>
    </row>
    <row r="14" spans="1:14" s="143" customFormat="1" x14ac:dyDescent="0.25">
      <c r="A14" s="143" t="s">
        <v>70</v>
      </c>
      <c r="B14" s="143" t="s">
        <v>108</v>
      </c>
      <c r="C14" s="143" t="s">
        <v>109</v>
      </c>
      <c r="D14" s="143" t="s">
        <v>69</v>
      </c>
      <c r="E14" s="257">
        <v>155000000</v>
      </c>
      <c r="F14" s="257">
        <v>148715000</v>
      </c>
      <c r="G14" s="257">
        <v>148715000</v>
      </c>
      <c r="H14" s="257">
        <v>0</v>
      </c>
      <c r="I14" s="257">
        <v>45611976.619999997</v>
      </c>
      <c r="J14" s="257">
        <v>0</v>
      </c>
      <c r="K14" s="257">
        <v>97107804.579999998</v>
      </c>
      <c r="L14" s="257">
        <v>84790330.25</v>
      </c>
      <c r="M14" s="257">
        <v>5995218.7999999998</v>
      </c>
      <c r="N14" s="257">
        <v>5995218.7999999998</v>
      </c>
    </row>
    <row r="15" spans="1:14" s="143" customFormat="1" x14ac:dyDescent="0.25">
      <c r="A15" s="143" t="s">
        <v>70</v>
      </c>
      <c r="B15" s="143" t="s">
        <v>110</v>
      </c>
      <c r="C15" s="143" t="s">
        <v>111</v>
      </c>
      <c r="D15" s="143" t="s">
        <v>69</v>
      </c>
      <c r="E15" s="257">
        <v>80000</v>
      </c>
      <c r="F15" s="257">
        <v>71375</v>
      </c>
      <c r="G15" s="257">
        <v>71375</v>
      </c>
      <c r="H15" s="257">
        <v>0</v>
      </c>
      <c r="I15" s="257">
        <v>0</v>
      </c>
      <c r="J15" s="257">
        <v>0</v>
      </c>
      <c r="K15" s="257">
        <v>71375</v>
      </c>
      <c r="L15" s="257">
        <v>71375</v>
      </c>
      <c r="M15" s="257">
        <v>0</v>
      </c>
      <c r="N15" s="257">
        <v>0</v>
      </c>
    </row>
    <row r="16" spans="1:14" s="143" customFormat="1" x14ac:dyDescent="0.25">
      <c r="A16" s="143" t="s">
        <v>70</v>
      </c>
      <c r="B16" s="143" t="s">
        <v>114</v>
      </c>
      <c r="C16" s="143" t="s">
        <v>115</v>
      </c>
      <c r="D16" s="143" t="s">
        <v>69</v>
      </c>
      <c r="E16" s="257">
        <v>6000000</v>
      </c>
      <c r="F16" s="257">
        <v>6000000</v>
      </c>
      <c r="G16" s="257">
        <v>6000000</v>
      </c>
      <c r="H16" s="257">
        <v>0</v>
      </c>
      <c r="I16" s="257">
        <v>1232077</v>
      </c>
      <c r="J16" s="257">
        <v>0</v>
      </c>
      <c r="K16" s="257">
        <v>4767923</v>
      </c>
      <c r="L16" s="257">
        <v>4298613</v>
      </c>
      <c r="M16" s="257">
        <v>0</v>
      </c>
      <c r="N16" s="257">
        <v>0</v>
      </c>
    </row>
    <row r="17" spans="1:14" s="143" customFormat="1" x14ac:dyDescent="0.25">
      <c r="A17" s="143" t="s">
        <v>70</v>
      </c>
      <c r="B17" s="143" t="s">
        <v>116</v>
      </c>
      <c r="C17" s="143" t="s">
        <v>117</v>
      </c>
      <c r="D17" s="143" t="s">
        <v>69</v>
      </c>
      <c r="E17" s="257">
        <v>62000000</v>
      </c>
      <c r="F17" s="257">
        <v>62000000</v>
      </c>
      <c r="G17" s="257">
        <v>62000000</v>
      </c>
      <c r="H17" s="257">
        <v>0</v>
      </c>
      <c r="I17" s="257">
        <v>10166455</v>
      </c>
      <c r="J17" s="257">
        <v>0</v>
      </c>
      <c r="K17" s="257">
        <v>45333545</v>
      </c>
      <c r="L17" s="257">
        <v>40969370</v>
      </c>
      <c r="M17" s="257">
        <v>6500000</v>
      </c>
      <c r="N17" s="257">
        <v>6500000</v>
      </c>
    </row>
    <row r="18" spans="1:14" s="143" customFormat="1" x14ac:dyDescent="0.25">
      <c r="A18" s="143" t="s">
        <v>70</v>
      </c>
      <c r="B18" s="143" t="s">
        <v>118</v>
      </c>
      <c r="C18" s="143" t="s">
        <v>119</v>
      </c>
      <c r="D18" s="143" t="s">
        <v>69</v>
      </c>
      <c r="E18" s="257">
        <v>25000</v>
      </c>
      <c r="F18" s="257">
        <v>25000</v>
      </c>
      <c r="G18" s="257">
        <v>25000</v>
      </c>
      <c r="H18" s="257">
        <v>0</v>
      </c>
      <c r="I18" s="257">
        <v>0</v>
      </c>
      <c r="J18" s="257">
        <v>0</v>
      </c>
      <c r="K18" s="257">
        <v>16000</v>
      </c>
      <c r="L18" s="257">
        <v>16000</v>
      </c>
      <c r="M18" s="257">
        <v>9000</v>
      </c>
      <c r="N18" s="257">
        <v>9000</v>
      </c>
    </row>
    <row r="19" spans="1:14" s="143" customFormat="1" x14ac:dyDescent="0.25">
      <c r="A19" s="143" t="s">
        <v>70</v>
      </c>
      <c r="B19" s="143" t="s">
        <v>120</v>
      </c>
      <c r="C19" s="143" t="s">
        <v>121</v>
      </c>
      <c r="D19" s="143" t="s">
        <v>69</v>
      </c>
      <c r="E19" s="257">
        <v>80000000</v>
      </c>
      <c r="F19" s="257">
        <v>80000000</v>
      </c>
      <c r="G19" s="257">
        <v>80000000</v>
      </c>
      <c r="H19" s="257">
        <v>0</v>
      </c>
      <c r="I19" s="257">
        <v>21573577</v>
      </c>
      <c r="J19" s="257">
        <v>0</v>
      </c>
      <c r="K19" s="257">
        <v>51779423</v>
      </c>
      <c r="L19" s="257">
        <v>46551265</v>
      </c>
      <c r="M19" s="257">
        <v>6647000</v>
      </c>
      <c r="N19" s="257">
        <v>6647000</v>
      </c>
    </row>
    <row r="20" spans="1:14" s="143" customFormat="1" x14ac:dyDescent="0.25">
      <c r="A20" s="143" t="s">
        <v>70</v>
      </c>
      <c r="B20" s="143" t="s">
        <v>122</v>
      </c>
      <c r="C20" s="143" t="s">
        <v>123</v>
      </c>
      <c r="D20" s="143" t="s">
        <v>69</v>
      </c>
      <c r="E20" s="257">
        <v>600000</v>
      </c>
      <c r="F20" s="257">
        <v>350200</v>
      </c>
      <c r="G20" s="257">
        <v>350200</v>
      </c>
      <c r="H20" s="257">
        <v>0</v>
      </c>
      <c r="I20" s="257">
        <v>100000</v>
      </c>
      <c r="J20" s="257">
        <v>0</v>
      </c>
      <c r="K20" s="257">
        <v>55600</v>
      </c>
      <c r="L20" s="257">
        <v>27800</v>
      </c>
      <c r="M20" s="257">
        <v>194600</v>
      </c>
      <c r="N20" s="257">
        <v>194600</v>
      </c>
    </row>
    <row r="21" spans="1:14" s="143" customFormat="1" x14ac:dyDescent="0.25">
      <c r="A21" s="143" t="s">
        <v>70</v>
      </c>
      <c r="B21" s="143" t="s">
        <v>126</v>
      </c>
      <c r="C21" s="143" t="s">
        <v>127</v>
      </c>
      <c r="D21" s="143" t="s">
        <v>69</v>
      </c>
      <c r="E21" s="257">
        <v>8000000</v>
      </c>
      <c r="F21" s="257">
        <v>10444120</v>
      </c>
      <c r="G21" s="257">
        <v>10444120</v>
      </c>
      <c r="H21" s="257">
        <v>0</v>
      </c>
      <c r="I21" s="257">
        <v>700331</v>
      </c>
      <c r="J21" s="257">
        <v>0</v>
      </c>
      <c r="K21" s="257">
        <v>9610820</v>
      </c>
      <c r="L21" s="257">
        <v>9272430</v>
      </c>
      <c r="M21" s="257">
        <v>132969</v>
      </c>
      <c r="N21" s="257">
        <v>132969</v>
      </c>
    </row>
    <row r="22" spans="1:14" s="143" customFormat="1" x14ac:dyDescent="0.25">
      <c r="A22" s="143" t="s">
        <v>70</v>
      </c>
      <c r="B22" s="143" t="s">
        <v>128</v>
      </c>
      <c r="C22" s="143" t="s">
        <v>129</v>
      </c>
      <c r="D22" s="143" t="s">
        <v>69</v>
      </c>
      <c r="E22" s="257">
        <v>2500000</v>
      </c>
      <c r="F22" s="257">
        <v>2500000</v>
      </c>
      <c r="G22" s="257">
        <v>2500000</v>
      </c>
      <c r="H22" s="257">
        <v>0</v>
      </c>
      <c r="I22" s="257">
        <v>1178000</v>
      </c>
      <c r="J22" s="257">
        <v>0</v>
      </c>
      <c r="K22" s="257">
        <v>1281000</v>
      </c>
      <c r="L22" s="257">
        <v>1281000</v>
      </c>
      <c r="M22" s="257">
        <v>41000</v>
      </c>
      <c r="N22" s="257">
        <v>41000</v>
      </c>
    </row>
    <row r="23" spans="1:14" s="143" customFormat="1" x14ac:dyDescent="0.25">
      <c r="A23" s="143" t="s">
        <v>70</v>
      </c>
      <c r="B23" s="143" t="s">
        <v>130</v>
      </c>
      <c r="C23" s="143" t="s">
        <v>131</v>
      </c>
      <c r="D23" s="143" t="s">
        <v>69</v>
      </c>
      <c r="E23" s="257">
        <v>50000</v>
      </c>
      <c r="F23" s="257">
        <v>50000</v>
      </c>
      <c r="G23" s="257">
        <v>50000</v>
      </c>
      <c r="H23" s="257">
        <v>0</v>
      </c>
      <c r="I23" s="257">
        <v>0</v>
      </c>
      <c r="J23" s="257">
        <v>0</v>
      </c>
      <c r="K23" s="257">
        <v>7994</v>
      </c>
      <c r="L23" s="257">
        <v>7994</v>
      </c>
      <c r="M23" s="257">
        <v>42006</v>
      </c>
      <c r="N23" s="257">
        <v>42006</v>
      </c>
    </row>
    <row r="24" spans="1:14" s="143" customFormat="1" x14ac:dyDescent="0.25">
      <c r="A24" s="143" t="s">
        <v>70</v>
      </c>
      <c r="B24" s="143" t="s">
        <v>136</v>
      </c>
      <c r="C24" s="143" t="s">
        <v>137</v>
      </c>
      <c r="D24" s="143" t="s">
        <v>69</v>
      </c>
      <c r="E24" s="257">
        <v>1000000</v>
      </c>
      <c r="F24" s="257">
        <v>1000000</v>
      </c>
      <c r="G24" s="257">
        <v>1000000</v>
      </c>
      <c r="H24" s="257">
        <v>0</v>
      </c>
      <c r="I24" s="257">
        <v>50000</v>
      </c>
      <c r="J24" s="257">
        <v>0</v>
      </c>
      <c r="K24" s="257">
        <v>0</v>
      </c>
      <c r="L24" s="257">
        <v>0</v>
      </c>
      <c r="M24" s="257">
        <v>950000</v>
      </c>
      <c r="N24" s="257">
        <v>950000</v>
      </c>
    </row>
    <row r="25" spans="1:14" s="143" customFormat="1" x14ac:dyDescent="0.25">
      <c r="A25" s="143" t="s">
        <v>70</v>
      </c>
      <c r="B25" s="143" t="s">
        <v>138</v>
      </c>
      <c r="C25" s="143" t="s">
        <v>139</v>
      </c>
      <c r="D25" s="143" t="s">
        <v>69</v>
      </c>
      <c r="E25" s="257">
        <v>7740000</v>
      </c>
      <c r="F25" s="257">
        <v>3240000</v>
      </c>
      <c r="G25" s="257">
        <v>3240000</v>
      </c>
      <c r="H25" s="257">
        <v>0</v>
      </c>
      <c r="I25" s="257">
        <v>1518950</v>
      </c>
      <c r="J25" s="257">
        <v>282009</v>
      </c>
      <c r="K25" s="257">
        <v>1026937</v>
      </c>
      <c r="L25" s="257">
        <v>1026937</v>
      </c>
      <c r="M25" s="257">
        <v>412104</v>
      </c>
      <c r="N25" s="257">
        <v>412104</v>
      </c>
    </row>
    <row r="26" spans="1:14" s="143" customFormat="1" x14ac:dyDescent="0.25">
      <c r="A26" s="143" t="s">
        <v>70</v>
      </c>
      <c r="B26" s="143" t="s">
        <v>142</v>
      </c>
      <c r="C26" s="143" t="s">
        <v>143</v>
      </c>
      <c r="D26" s="143" t="s">
        <v>69</v>
      </c>
      <c r="E26" s="257">
        <v>100000</v>
      </c>
      <c r="F26" s="257">
        <v>100000</v>
      </c>
      <c r="G26" s="257">
        <v>100000</v>
      </c>
      <c r="H26" s="257">
        <v>0</v>
      </c>
      <c r="I26" s="257">
        <v>0</v>
      </c>
      <c r="J26" s="257">
        <v>0</v>
      </c>
      <c r="K26" s="257">
        <v>44110</v>
      </c>
      <c r="L26" s="257">
        <v>44110</v>
      </c>
      <c r="M26" s="257">
        <v>55890</v>
      </c>
      <c r="N26" s="257">
        <v>55890</v>
      </c>
    </row>
    <row r="27" spans="1:14" s="143" customFormat="1" x14ac:dyDescent="0.25">
      <c r="A27" s="143" t="s">
        <v>70</v>
      </c>
      <c r="B27" s="143" t="s">
        <v>144</v>
      </c>
      <c r="C27" s="143" t="s">
        <v>145</v>
      </c>
      <c r="D27" s="143" t="s">
        <v>69</v>
      </c>
      <c r="E27" s="257">
        <v>10000000</v>
      </c>
      <c r="F27" s="257">
        <v>7454100</v>
      </c>
      <c r="G27" s="257">
        <v>7454100</v>
      </c>
      <c r="H27" s="257">
        <v>16700</v>
      </c>
      <c r="I27" s="257">
        <v>1085400</v>
      </c>
      <c r="J27" s="257">
        <v>0</v>
      </c>
      <c r="K27" s="257">
        <v>5807450</v>
      </c>
      <c r="L27" s="257">
        <v>5807450</v>
      </c>
      <c r="M27" s="257">
        <v>544550</v>
      </c>
      <c r="N27" s="257">
        <v>544550</v>
      </c>
    </row>
    <row r="28" spans="1:14" s="143" customFormat="1" x14ac:dyDescent="0.25">
      <c r="A28" s="143" t="s">
        <v>70</v>
      </c>
      <c r="B28" s="143" t="s">
        <v>146</v>
      </c>
      <c r="C28" s="143" t="s">
        <v>147</v>
      </c>
      <c r="D28" s="143" t="s">
        <v>69</v>
      </c>
      <c r="E28" s="257">
        <v>7000000</v>
      </c>
      <c r="F28" s="257">
        <v>6248313</v>
      </c>
      <c r="G28" s="257">
        <v>6248313</v>
      </c>
      <c r="H28" s="257">
        <v>0</v>
      </c>
      <c r="I28" s="257">
        <v>1124251.1000000001</v>
      </c>
      <c r="J28" s="257">
        <v>0</v>
      </c>
      <c r="K28" s="257">
        <v>3370126.14</v>
      </c>
      <c r="L28" s="257">
        <v>3370126.14</v>
      </c>
      <c r="M28" s="257">
        <v>1753935.76</v>
      </c>
      <c r="N28" s="257">
        <v>1753935.76</v>
      </c>
    </row>
    <row r="29" spans="1:14" s="143" customFormat="1" x14ac:dyDescent="0.25">
      <c r="A29" s="143" t="s">
        <v>70</v>
      </c>
      <c r="B29" s="143" t="s">
        <v>148</v>
      </c>
      <c r="C29" s="143" t="s">
        <v>149</v>
      </c>
      <c r="D29" s="143" t="s">
        <v>69</v>
      </c>
      <c r="E29" s="257">
        <v>8000000</v>
      </c>
      <c r="F29" s="257">
        <v>7538472</v>
      </c>
      <c r="G29" s="257">
        <v>7538472</v>
      </c>
      <c r="H29" s="257">
        <v>0</v>
      </c>
      <c r="I29" s="257">
        <v>773263.17</v>
      </c>
      <c r="J29" s="257">
        <v>0</v>
      </c>
      <c r="K29" s="257">
        <v>3613088.5</v>
      </c>
      <c r="L29" s="257">
        <v>3613088.5</v>
      </c>
      <c r="M29" s="257">
        <v>3152120.33</v>
      </c>
      <c r="N29" s="257">
        <v>3152120.33</v>
      </c>
    </row>
    <row r="30" spans="1:14" s="143" customFormat="1" x14ac:dyDescent="0.25">
      <c r="A30" s="143" t="s">
        <v>70</v>
      </c>
      <c r="B30" s="143" t="s">
        <v>152</v>
      </c>
      <c r="C30" s="143" t="s">
        <v>153</v>
      </c>
      <c r="D30" s="143" t="s">
        <v>69</v>
      </c>
      <c r="E30" s="257">
        <v>48000000</v>
      </c>
      <c r="F30" s="257">
        <v>28000000</v>
      </c>
      <c r="G30" s="257">
        <v>28000000</v>
      </c>
      <c r="H30" s="257">
        <v>0</v>
      </c>
      <c r="I30" s="257">
        <v>2302637</v>
      </c>
      <c r="J30" s="257">
        <v>0</v>
      </c>
      <c r="K30" s="257">
        <v>17694456.600000001</v>
      </c>
      <c r="L30" s="257">
        <v>12033832.6</v>
      </c>
      <c r="M30" s="257">
        <v>8002906.4000000004</v>
      </c>
      <c r="N30" s="257">
        <v>8002906.4000000004</v>
      </c>
    </row>
    <row r="31" spans="1:14" s="143" customFormat="1" x14ac:dyDescent="0.25">
      <c r="A31" s="143" t="s">
        <v>70</v>
      </c>
      <c r="B31" s="143" t="s">
        <v>156</v>
      </c>
      <c r="C31" s="143" t="s">
        <v>157</v>
      </c>
      <c r="D31" s="143" t="s">
        <v>69</v>
      </c>
      <c r="E31" s="257">
        <v>5000000</v>
      </c>
      <c r="F31" s="257">
        <v>5000000</v>
      </c>
      <c r="G31" s="257">
        <v>5000000</v>
      </c>
      <c r="H31" s="257">
        <v>0</v>
      </c>
      <c r="I31" s="257">
        <v>175000</v>
      </c>
      <c r="J31" s="257">
        <v>1315000</v>
      </c>
      <c r="K31" s="257">
        <v>3420000</v>
      </c>
      <c r="L31" s="257">
        <v>3110000</v>
      </c>
      <c r="M31" s="257">
        <v>90000</v>
      </c>
      <c r="N31" s="257">
        <v>90000</v>
      </c>
    </row>
    <row r="32" spans="1:14" s="143" customFormat="1" x14ac:dyDescent="0.25">
      <c r="A32" s="143" t="s">
        <v>70</v>
      </c>
      <c r="B32" s="143" t="s">
        <v>158</v>
      </c>
      <c r="C32" s="143" t="s">
        <v>159</v>
      </c>
      <c r="D32" s="143" t="s">
        <v>69</v>
      </c>
      <c r="E32" s="257">
        <v>1797000</v>
      </c>
      <c r="F32" s="257">
        <v>1872000</v>
      </c>
      <c r="G32" s="257">
        <v>1872000</v>
      </c>
      <c r="H32" s="257">
        <v>0</v>
      </c>
      <c r="I32" s="257">
        <v>0</v>
      </c>
      <c r="J32" s="257">
        <v>0</v>
      </c>
      <c r="K32" s="257">
        <v>599040</v>
      </c>
      <c r="L32" s="257">
        <v>599040</v>
      </c>
      <c r="M32" s="257">
        <v>1272960</v>
      </c>
      <c r="N32" s="257">
        <v>1272960</v>
      </c>
    </row>
    <row r="33" spans="1:14" s="143" customFormat="1" x14ac:dyDescent="0.25">
      <c r="A33" s="143" t="s">
        <v>70</v>
      </c>
      <c r="B33" s="143" t="s">
        <v>160</v>
      </c>
      <c r="C33" s="143" t="s">
        <v>161</v>
      </c>
      <c r="D33" s="143" t="s">
        <v>69</v>
      </c>
      <c r="E33" s="257">
        <v>600000</v>
      </c>
      <c r="F33" s="257">
        <v>600000</v>
      </c>
      <c r="G33" s="257">
        <v>600000</v>
      </c>
      <c r="H33" s="257">
        <v>0</v>
      </c>
      <c r="I33" s="257">
        <v>300000</v>
      </c>
      <c r="J33" s="257">
        <v>0</v>
      </c>
      <c r="K33" s="257">
        <v>184864.97</v>
      </c>
      <c r="L33" s="257">
        <v>184864.97</v>
      </c>
      <c r="M33" s="257">
        <v>115135.03</v>
      </c>
      <c r="N33" s="257">
        <v>115135.03</v>
      </c>
    </row>
    <row r="34" spans="1:14" s="143" customFormat="1" x14ac:dyDescent="0.25">
      <c r="A34" s="143" t="s">
        <v>70</v>
      </c>
      <c r="B34" s="143" t="s">
        <v>166</v>
      </c>
      <c r="C34" s="143" t="s">
        <v>167</v>
      </c>
      <c r="D34" s="143" t="s">
        <v>69</v>
      </c>
      <c r="E34" s="257">
        <v>16000000</v>
      </c>
      <c r="F34" s="257">
        <v>15250000</v>
      </c>
      <c r="G34" s="257">
        <v>15250000</v>
      </c>
      <c r="H34" s="257">
        <v>0</v>
      </c>
      <c r="I34" s="257">
        <v>6075334</v>
      </c>
      <c r="J34" s="257">
        <v>0</v>
      </c>
      <c r="K34" s="257">
        <v>8916886</v>
      </c>
      <c r="L34" s="257">
        <v>6086321</v>
      </c>
      <c r="M34" s="257">
        <v>257780</v>
      </c>
      <c r="N34" s="257">
        <v>257780</v>
      </c>
    </row>
    <row r="35" spans="1:14" s="143" customFormat="1" x14ac:dyDescent="0.25">
      <c r="A35" s="143" t="s">
        <v>70</v>
      </c>
      <c r="B35" s="143" t="s">
        <v>312</v>
      </c>
      <c r="C35" s="143" t="s">
        <v>313</v>
      </c>
      <c r="D35" s="143" t="s">
        <v>69</v>
      </c>
      <c r="E35" s="257">
        <v>0</v>
      </c>
      <c r="F35" s="257">
        <v>150000</v>
      </c>
      <c r="G35" s="257">
        <v>150000</v>
      </c>
      <c r="H35" s="257">
        <v>0</v>
      </c>
      <c r="I35" s="257">
        <v>0</v>
      </c>
      <c r="J35" s="257">
        <v>0</v>
      </c>
      <c r="K35" s="257">
        <v>0</v>
      </c>
      <c r="L35" s="257">
        <v>0</v>
      </c>
      <c r="M35" s="257">
        <v>150000</v>
      </c>
      <c r="N35" s="257">
        <v>150000</v>
      </c>
    </row>
    <row r="36" spans="1:14" s="143" customFormat="1" x14ac:dyDescent="0.25">
      <c r="A36" s="143" t="s">
        <v>70</v>
      </c>
      <c r="B36" s="143" t="s">
        <v>168</v>
      </c>
      <c r="C36" s="143" t="s">
        <v>169</v>
      </c>
      <c r="D36" s="143" t="s">
        <v>69</v>
      </c>
      <c r="E36" s="257">
        <v>4000000</v>
      </c>
      <c r="F36" s="257">
        <v>3850000</v>
      </c>
      <c r="G36" s="257">
        <v>3850000</v>
      </c>
      <c r="H36" s="257">
        <v>0</v>
      </c>
      <c r="I36" s="257">
        <v>1010050</v>
      </c>
      <c r="J36" s="257">
        <v>486000</v>
      </c>
      <c r="K36" s="257">
        <v>2254200</v>
      </c>
      <c r="L36" s="257">
        <v>2219200</v>
      </c>
      <c r="M36" s="257">
        <v>99750</v>
      </c>
      <c r="N36" s="257">
        <v>99750</v>
      </c>
    </row>
    <row r="37" spans="1:14" s="143" customFormat="1" x14ac:dyDescent="0.25">
      <c r="A37" s="143" t="s">
        <v>70</v>
      </c>
      <c r="B37" s="143" t="s">
        <v>170</v>
      </c>
      <c r="C37" s="143" t="s">
        <v>171</v>
      </c>
      <c r="D37" s="143" t="s">
        <v>69</v>
      </c>
      <c r="E37" s="257">
        <v>290000</v>
      </c>
      <c r="F37" s="257">
        <v>337000</v>
      </c>
      <c r="G37" s="257">
        <v>337000</v>
      </c>
      <c r="H37" s="257">
        <v>0</v>
      </c>
      <c r="I37" s="257">
        <v>322575</v>
      </c>
      <c r="J37" s="257">
        <v>0</v>
      </c>
      <c r="K37" s="257">
        <v>0</v>
      </c>
      <c r="L37" s="257">
        <v>0</v>
      </c>
      <c r="M37" s="257">
        <v>14425</v>
      </c>
      <c r="N37" s="257">
        <v>14425</v>
      </c>
    </row>
    <row r="38" spans="1:14" s="143" customFormat="1" x14ac:dyDescent="0.25">
      <c r="A38" s="143" t="s">
        <v>70</v>
      </c>
      <c r="B38" s="143" t="s">
        <v>172</v>
      </c>
      <c r="C38" s="143" t="s">
        <v>173</v>
      </c>
      <c r="D38" s="143" t="s">
        <v>69</v>
      </c>
      <c r="E38" s="257">
        <v>2700000</v>
      </c>
      <c r="F38" s="257">
        <v>2700000</v>
      </c>
      <c r="G38" s="257">
        <v>2700000</v>
      </c>
      <c r="H38" s="257">
        <v>0</v>
      </c>
      <c r="I38" s="257">
        <v>600000</v>
      </c>
      <c r="J38" s="257">
        <v>0</v>
      </c>
      <c r="K38" s="257">
        <v>0</v>
      </c>
      <c r="L38" s="257">
        <v>0</v>
      </c>
      <c r="M38" s="257">
        <v>2100000</v>
      </c>
      <c r="N38" s="257">
        <v>2100000</v>
      </c>
    </row>
    <row r="39" spans="1:14" s="143" customFormat="1" x14ac:dyDescent="0.25">
      <c r="A39" s="143" t="s">
        <v>70</v>
      </c>
      <c r="B39" s="143" t="s">
        <v>176</v>
      </c>
      <c r="C39" s="143" t="s">
        <v>177</v>
      </c>
      <c r="D39" s="143" t="s">
        <v>69</v>
      </c>
      <c r="E39" s="257">
        <v>1500000</v>
      </c>
      <c r="F39" s="257">
        <v>1500000</v>
      </c>
      <c r="G39" s="257">
        <v>1500000</v>
      </c>
      <c r="H39" s="257">
        <v>0</v>
      </c>
      <c r="I39" s="257">
        <v>0</v>
      </c>
      <c r="J39" s="257">
        <v>0</v>
      </c>
      <c r="K39" s="257">
        <v>0</v>
      </c>
      <c r="L39" s="257">
        <v>0</v>
      </c>
      <c r="M39" s="257">
        <v>1500000</v>
      </c>
      <c r="N39" s="257">
        <v>1500000</v>
      </c>
    </row>
    <row r="40" spans="1:14" s="143" customFormat="1" x14ac:dyDescent="0.25">
      <c r="A40" s="143" t="s">
        <v>70</v>
      </c>
      <c r="B40" s="143" t="s">
        <v>182</v>
      </c>
      <c r="C40" s="143" t="s">
        <v>183</v>
      </c>
      <c r="D40" s="143" t="s">
        <v>69</v>
      </c>
      <c r="E40" s="257">
        <v>1000000</v>
      </c>
      <c r="F40" s="257">
        <v>1000000</v>
      </c>
      <c r="G40" s="257">
        <v>1000000</v>
      </c>
      <c r="H40" s="257">
        <v>0</v>
      </c>
      <c r="I40" s="257">
        <v>0</v>
      </c>
      <c r="J40" s="257">
        <v>0</v>
      </c>
      <c r="K40" s="257">
        <v>200000</v>
      </c>
      <c r="L40" s="257">
        <v>200000</v>
      </c>
      <c r="M40" s="257">
        <v>800000</v>
      </c>
      <c r="N40" s="257">
        <v>800000</v>
      </c>
    </row>
    <row r="41" spans="1:14" s="143" customFormat="1" x14ac:dyDescent="0.25">
      <c r="A41" s="143" t="s">
        <v>70</v>
      </c>
      <c r="B41" s="143" t="s">
        <v>188</v>
      </c>
      <c r="C41" s="143" t="s">
        <v>189</v>
      </c>
      <c r="D41" s="143" t="s">
        <v>69</v>
      </c>
      <c r="E41" s="257">
        <v>17000000</v>
      </c>
      <c r="F41" s="257">
        <v>8500000</v>
      </c>
      <c r="G41" s="257">
        <v>8500000</v>
      </c>
      <c r="H41" s="257">
        <v>0</v>
      </c>
      <c r="I41" s="257">
        <v>2343718.5</v>
      </c>
      <c r="J41" s="257">
        <v>0</v>
      </c>
      <c r="K41" s="257">
        <v>5807293.2699999996</v>
      </c>
      <c r="L41" s="257">
        <v>5807293.2699999996</v>
      </c>
      <c r="M41" s="257">
        <v>348988.23</v>
      </c>
      <c r="N41" s="257">
        <v>348988.23</v>
      </c>
    </row>
    <row r="42" spans="1:14" s="143" customFormat="1" x14ac:dyDescent="0.25">
      <c r="A42" s="143" t="s">
        <v>70</v>
      </c>
      <c r="B42" s="143" t="s">
        <v>190</v>
      </c>
      <c r="C42" s="143" t="s">
        <v>191</v>
      </c>
      <c r="D42" s="143" t="s">
        <v>69</v>
      </c>
      <c r="E42" s="257">
        <v>8000000</v>
      </c>
      <c r="F42" s="257">
        <v>5952000</v>
      </c>
      <c r="G42" s="257">
        <v>5952000</v>
      </c>
      <c r="H42" s="257">
        <v>0</v>
      </c>
      <c r="I42" s="257">
        <v>0</v>
      </c>
      <c r="J42" s="257">
        <v>5467500</v>
      </c>
      <c r="K42" s="257">
        <v>484235</v>
      </c>
      <c r="L42" s="257">
        <v>484235</v>
      </c>
      <c r="M42" s="257">
        <v>265</v>
      </c>
      <c r="N42" s="257">
        <v>265</v>
      </c>
    </row>
    <row r="43" spans="1:14" s="143" customFormat="1" x14ac:dyDescent="0.25">
      <c r="A43" s="143" t="s">
        <v>70</v>
      </c>
      <c r="B43" s="143" t="s">
        <v>192</v>
      </c>
      <c r="C43" s="143" t="s">
        <v>193</v>
      </c>
      <c r="D43" s="143" t="s">
        <v>69</v>
      </c>
      <c r="E43" s="257">
        <v>500000</v>
      </c>
      <c r="F43" s="257">
        <v>100000</v>
      </c>
      <c r="G43" s="257">
        <v>100000</v>
      </c>
      <c r="H43" s="257">
        <v>0</v>
      </c>
      <c r="I43" s="257">
        <v>0</v>
      </c>
      <c r="J43" s="257">
        <v>0</v>
      </c>
      <c r="K43" s="257">
        <v>9270</v>
      </c>
      <c r="L43" s="257">
        <v>9270</v>
      </c>
      <c r="M43" s="257">
        <v>90730</v>
      </c>
      <c r="N43" s="257">
        <v>90730</v>
      </c>
    </row>
    <row r="44" spans="1:14" s="143" customFormat="1" x14ac:dyDescent="0.25">
      <c r="A44" s="143" t="s">
        <v>70</v>
      </c>
      <c r="B44" s="143" t="s">
        <v>194</v>
      </c>
      <c r="C44" s="143" t="s">
        <v>195</v>
      </c>
      <c r="D44" s="143" t="s">
        <v>69</v>
      </c>
      <c r="E44" s="257">
        <v>425000</v>
      </c>
      <c r="F44" s="257">
        <v>425000</v>
      </c>
      <c r="G44" s="257">
        <v>425000</v>
      </c>
      <c r="H44" s="257">
        <v>0</v>
      </c>
      <c r="I44" s="257">
        <v>0</v>
      </c>
      <c r="J44" s="257">
        <v>0</v>
      </c>
      <c r="K44" s="257">
        <v>0</v>
      </c>
      <c r="L44" s="257">
        <v>0</v>
      </c>
      <c r="M44" s="257">
        <v>425000</v>
      </c>
      <c r="N44" s="257">
        <v>425000</v>
      </c>
    </row>
    <row r="45" spans="1:14" s="143" customFormat="1" x14ac:dyDescent="0.25">
      <c r="A45" s="143" t="s">
        <v>70</v>
      </c>
      <c r="B45" s="143" t="s">
        <v>198</v>
      </c>
      <c r="C45" s="143" t="s">
        <v>199</v>
      </c>
      <c r="D45" s="143" t="s">
        <v>69</v>
      </c>
      <c r="E45" s="257">
        <v>3500000</v>
      </c>
      <c r="F45" s="257">
        <v>3500000</v>
      </c>
      <c r="G45" s="257">
        <v>3500000</v>
      </c>
      <c r="H45" s="257">
        <v>0</v>
      </c>
      <c r="I45" s="257">
        <v>0</v>
      </c>
      <c r="J45" s="257">
        <v>0</v>
      </c>
      <c r="K45" s="257">
        <v>3429858</v>
      </c>
      <c r="L45" s="257">
        <v>3429858</v>
      </c>
      <c r="M45" s="257">
        <v>70142</v>
      </c>
      <c r="N45" s="257">
        <v>70142</v>
      </c>
    </row>
    <row r="46" spans="1:14" s="143" customFormat="1" x14ac:dyDescent="0.25">
      <c r="A46" s="143" t="s">
        <v>70</v>
      </c>
      <c r="B46" s="143" t="s">
        <v>202</v>
      </c>
      <c r="C46" s="143" t="s">
        <v>203</v>
      </c>
      <c r="D46" s="143" t="s">
        <v>69</v>
      </c>
      <c r="E46" s="257">
        <v>2000000</v>
      </c>
      <c r="F46" s="257">
        <v>2000000</v>
      </c>
      <c r="G46" s="257">
        <v>2000000</v>
      </c>
      <c r="H46" s="257">
        <v>0</v>
      </c>
      <c r="I46" s="257">
        <v>0</v>
      </c>
      <c r="J46" s="257">
        <v>0</v>
      </c>
      <c r="K46" s="257">
        <v>1971225.15</v>
      </c>
      <c r="L46" s="257">
        <v>956923</v>
      </c>
      <c r="M46" s="257">
        <v>28774.85</v>
      </c>
      <c r="N46" s="257">
        <v>28774.85</v>
      </c>
    </row>
    <row r="47" spans="1:14" s="143" customFormat="1" x14ac:dyDescent="0.25">
      <c r="A47" s="143" t="s">
        <v>70</v>
      </c>
      <c r="B47" s="143" t="s">
        <v>208</v>
      </c>
      <c r="C47" s="143" t="s">
        <v>209</v>
      </c>
      <c r="D47" s="143" t="s">
        <v>69</v>
      </c>
      <c r="E47" s="257">
        <v>3580000</v>
      </c>
      <c r="F47" s="257">
        <v>758986</v>
      </c>
      <c r="G47" s="257">
        <v>758986</v>
      </c>
      <c r="H47" s="257">
        <v>0</v>
      </c>
      <c r="I47" s="257">
        <v>0</v>
      </c>
      <c r="J47" s="257">
        <v>0</v>
      </c>
      <c r="K47" s="257">
        <v>758985.85</v>
      </c>
      <c r="L47" s="257">
        <v>758985.85</v>
      </c>
      <c r="M47" s="257">
        <v>0.15</v>
      </c>
      <c r="N47" s="257">
        <v>0.15</v>
      </c>
    </row>
    <row r="48" spans="1:14" s="143" customFormat="1" x14ac:dyDescent="0.25">
      <c r="A48" s="143" t="s">
        <v>70</v>
      </c>
      <c r="B48" s="143" t="s">
        <v>210</v>
      </c>
      <c r="C48" s="143" t="s">
        <v>211</v>
      </c>
      <c r="D48" s="143" t="s">
        <v>69</v>
      </c>
      <c r="E48" s="257">
        <v>820000</v>
      </c>
      <c r="F48" s="257">
        <v>820000</v>
      </c>
      <c r="G48" s="257">
        <v>820000</v>
      </c>
      <c r="H48" s="257">
        <v>0</v>
      </c>
      <c r="I48" s="257">
        <v>0</v>
      </c>
      <c r="J48" s="257">
        <v>0</v>
      </c>
      <c r="K48" s="257">
        <v>810000</v>
      </c>
      <c r="L48" s="257">
        <v>810000</v>
      </c>
      <c r="M48" s="257">
        <v>10000</v>
      </c>
      <c r="N48" s="257">
        <v>10000</v>
      </c>
    </row>
    <row r="49" spans="1:14" s="143" customFormat="1" x14ac:dyDescent="0.25">
      <c r="A49" s="143" t="s">
        <v>70</v>
      </c>
      <c r="B49" s="143" t="s">
        <v>214</v>
      </c>
      <c r="C49" s="143" t="s">
        <v>215</v>
      </c>
      <c r="D49" s="143" t="s">
        <v>69</v>
      </c>
      <c r="E49" s="257">
        <v>4500000</v>
      </c>
      <c r="F49" s="257">
        <v>3500000</v>
      </c>
      <c r="G49" s="257">
        <v>3500000</v>
      </c>
      <c r="H49" s="257">
        <v>0</v>
      </c>
      <c r="I49" s="257">
        <v>830664.94</v>
      </c>
      <c r="J49" s="257">
        <v>0</v>
      </c>
      <c r="K49" s="257">
        <v>2486232.2799999998</v>
      </c>
      <c r="L49" s="257">
        <v>679935.64</v>
      </c>
      <c r="M49" s="257">
        <v>183102.78</v>
      </c>
      <c r="N49" s="257">
        <v>183102.78</v>
      </c>
    </row>
    <row r="50" spans="1:14" s="143" customFormat="1" x14ac:dyDescent="0.25">
      <c r="A50" s="143" t="s">
        <v>70</v>
      </c>
      <c r="B50" s="143" t="s">
        <v>216</v>
      </c>
      <c r="C50" s="143" t="s">
        <v>217</v>
      </c>
      <c r="D50" s="143" t="s">
        <v>69</v>
      </c>
      <c r="E50" s="257">
        <v>4000000</v>
      </c>
      <c r="F50" s="257">
        <v>2000000</v>
      </c>
      <c r="G50" s="257">
        <v>2000000</v>
      </c>
      <c r="H50" s="257">
        <v>0</v>
      </c>
      <c r="I50" s="257">
        <v>0</v>
      </c>
      <c r="J50" s="257">
        <v>0</v>
      </c>
      <c r="K50" s="257">
        <v>1125000</v>
      </c>
      <c r="L50" s="257">
        <v>1125000</v>
      </c>
      <c r="M50" s="257">
        <v>875000</v>
      </c>
      <c r="N50" s="257">
        <v>875000</v>
      </c>
    </row>
    <row r="51" spans="1:14" s="143" customFormat="1" x14ac:dyDescent="0.25">
      <c r="A51" s="143" t="s">
        <v>70</v>
      </c>
      <c r="B51" s="143" t="s">
        <v>218</v>
      </c>
      <c r="C51" s="143" t="s">
        <v>219</v>
      </c>
      <c r="D51" s="143" t="s">
        <v>69</v>
      </c>
      <c r="E51" s="257">
        <v>22000000</v>
      </c>
      <c r="F51" s="257">
        <v>19800000</v>
      </c>
      <c r="G51" s="257">
        <v>19800000</v>
      </c>
      <c r="H51" s="257">
        <v>0</v>
      </c>
      <c r="I51" s="257">
        <v>80805</v>
      </c>
      <c r="J51" s="257">
        <v>0</v>
      </c>
      <c r="K51" s="257">
        <v>19355010.199999999</v>
      </c>
      <c r="L51" s="257">
        <v>19342160.199999999</v>
      </c>
      <c r="M51" s="257">
        <v>364184.8</v>
      </c>
      <c r="N51" s="257">
        <v>364184.8</v>
      </c>
    </row>
    <row r="52" spans="1:14" s="143" customFormat="1" x14ac:dyDescent="0.25">
      <c r="A52" s="143" t="s">
        <v>70</v>
      </c>
      <c r="B52" s="143" t="s">
        <v>222</v>
      </c>
      <c r="C52" s="143" t="s">
        <v>223</v>
      </c>
      <c r="D52" s="143" t="s">
        <v>69</v>
      </c>
      <c r="E52" s="257">
        <v>3575000</v>
      </c>
      <c r="F52" s="257">
        <v>1285000</v>
      </c>
      <c r="G52" s="257">
        <v>1285000</v>
      </c>
      <c r="H52" s="257">
        <v>0</v>
      </c>
      <c r="I52" s="257">
        <v>0</v>
      </c>
      <c r="J52" s="257">
        <v>0</v>
      </c>
      <c r="K52" s="257">
        <v>1284531.1100000001</v>
      </c>
      <c r="L52" s="257">
        <v>1284531.1100000001</v>
      </c>
      <c r="M52" s="257">
        <v>468.89</v>
      </c>
      <c r="N52" s="257">
        <v>468.89</v>
      </c>
    </row>
    <row r="53" spans="1:14" s="143" customFormat="1" x14ac:dyDescent="0.25">
      <c r="A53" s="143" t="s">
        <v>70</v>
      </c>
      <c r="B53" s="143" t="s">
        <v>228</v>
      </c>
      <c r="C53" s="143" t="s">
        <v>229</v>
      </c>
      <c r="D53" s="143" t="s">
        <v>69</v>
      </c>
      <c r="E53" s="257">
        <v>1000000</v>
      </c>
      <c r="F53" s="257">
        <v>1000000</v>
      </c>
      <c r="G53" s="257">
        <v>1000000</v>
      </c>
      <c r="H53" s="257">
        <v>0</v>
      </c>
      <c r="I53" s="257">
        <v>0</v>
      </c>
      <c r="J53" s="257">
        <v>0</v>
      </c>
      <c r="K53" s="257">
        <v>943500</v>
      </c>
      <c r="L53" s="257">
        <v>943500</v>
      </c>
      <c r="M53" s="257">
        <v>56500</v>
      </c>
      <c r="N53" s="257">
        <v>56500</v>
      </c>
    </row>
    <row r="54" spans="1:14" s="143" customFormat="1" x14ac:dyDescent="0.25">
      <c r="A54" s="143" t="s">
        <v>70</v>
      </c>
      <c r="B54" s="143" t="s">
        <v>238</v>
      </c>
      <c r="C54" s="143" t="s">
        <v>239</v>
      </c>
      <c r="D54" s="143" t="s">
        <v>69</v>
      </c>
      <c r="E54" s="257">
        <v>0</v>
      </c>
      <c r="F54" s="257">
        <v>500000</v>
      </c>
      <c r="G54" s="257">
        <v>500000</v>
      </c>
      <c r="H54" s="257">
        <v>0</v>
      </c>
      <c r="I54" s="257">
        <v>0</v>
      </c>
      <c r="J54" s="257">
        <v>0</v>
      </c>
      <c r="K54" s="257">
        <v>310171.78999999998</v>
      </c>
      <c r="L54" s="257">
        <v>310171.78999999998</v>
      </c>
      <c r="M54" s="257">
        <v>189828.21</v>
      </c>
      <c r="N54" s="257">
        <v>189828.21</v>
      </c>
    </row>
    <row r="55" spans="1:14" s="143" customFormat="1" x14ac:dyDescent="0.25">
      <c r="A55" s="143" t="s">
        <v>70</v>
      </c>
      <c r="B55" s="143" t="s">
        <v>234</v>
      </c>
      <c r="C55" s="143" t="s">
        <v>235</v>
      </c>
      <c r="D55" s="143" t="s">
        <v>85</v>
      </c>
      <c r="E55" s="257">
        <v>450000</v>
      </c>
      <c r="F55" s="257">
        <v>0</v>
      </c>
      <c r="G55" s="257">
        <v>0</v>
      </c>
      <c r="H55" s="257">
        <v>0</v>
      </c>
      <c r="I55" s="257">
        <v>0</v>
      </c>
      <c r="J55" s="257">
        <v>0</v>
      </c>
      <c r="K55" s="257">
        <v>0</v>
      </c>
      <c r="L55" s="257">
        <v>0</v>
      </c>
      <c r="M55" s="257">
        <v>0</v>
      </c>
      <c r="N55" s="257">
        <v>0</v>
      </c>
    </row>
    <row r="56" spans="1:14" s="143" customFormat="1" x14ac:dyDescent="0.25">
      <c r="A56" s="143" t="s">
        <v>70</v>
      </c>
      <c r="B56" s="143" t="s">
        <v>236</v>
      </c>
      <c r="C56" s="143" t="s">
        <v>237</v>
      </c>
      <c r="D56" s="143" t="s">
        <v>85</v>
      </c>
      <c r="E56" s="257">
        <v>500000</v>
      </c>
      <c r="F56" s="257">
        <v>800000</v>
      </c>
      <c r="G56" s="257">
        <v>800000</v>
      </c>
      <c r="H56" s="257">
        <v>0</v>
      </c>
      <c r="I56" s="257">
        <v>0</v>
      </c>
      <c r="J56" s="257">
        <v>0</v>
      </c>
      <c r="K56" s="257">
        <v>780000</v>
      </c>
      <c r="L56" s="257">
        <v>780000</v>
      </c>
      <c r="M56" s="257">
        <v>20000</v>
      </c>
      <c r="N56" s="257">
        <v>20000</v>
      </c>
    </row>
    <row r="57" spans="1:14" s="143" customFormat="1" x14ac:dyDescent="0.25">
      <c r="A57" s="143" t="s">
        <v>70</v>
      </c>
      <c r="B57" s="143" t="s">
        <v>238</v>
      </c>
      <c r="C57" s="143" t="s">
        <v>239</v>
      </c>
      <c r="D57" s="143" t="s">
        <v>85</v>
      </c>
      <c r="E57" s="257">
        <v>3000000</v>
      </c>
      <c r="F57" s="257">
        <v>3000000</v>
      </c>
      <c r="G57" s="257">
        <v>3000000</v>
      </c>
      <c r="H57" s="257">
        <v>0</v>
      </c>
      <c r="I57" s="257">
        <v>0</v>
      </c>
      <c r="J57" s="257">
        <v>545150.28</v>
      </c>
      <c r="K57" s="257">
        <v>1937000</v>
      </c>
      <c r="L57" s="257">
        <v>1937000</v>
      </c>
      <c r="M57" s="257">
        <v>517849.72</v>
      </c>
      <c r="N57" s="257">
        <v>517849.72</v>
      </c>
    </row>
    <row r="58" spans="1:14" s="143" customFormat="1" x14ac:dyDescent="0.25">
      <c r="A58" s="143" t="s">
        <v>70</v>
      </c>
      <c r="B58" s="143" t="s">
        <v>242</v>
      </c>
      <c r="C58" s="143" t="s">
        <v>243</v>
      </c>
      <c r="D58" s="143" t="s">
        <v>85</v>
      </c>
      <c r="E58" s="257">
        <v>200000</v>
      </c>
      <c r="F58" s="257">
        <v>200000</v>
      </c>
      <c r="G58" s="257">
        <v>200000</v>
      </c>
      <c r="H58" s="257">
        <v>0</v>
      </c>
      <c r="I58" s="257">
        <v>0</v>
      </c>
      <c r="J58" s="257">
        <v>0</v>
      </c>
      <c r="K58" s="257">
        <v>200000</v>
      </c>
      <c r="L58" s="257">
        <v>0</v>
      </c>
      <c r="M58" s="257">
        <v>0</v>
      </c>
      <c r="N58" s="257">
        <v>0</v>
      </c>
    </row>
    <row r="59" spans="1:14" s="143" customFormat="1" x14ac:dyDescent="0.25">
      <c r="A59" s="143" t="s">
        <v>70</v>
      </c>
      <c r="B59" s="143" t="s">
        <v>246</v>
      </c>
      <c r="C59" s="143" t="s">
        <v>247</v>
      </c>
      <c r="D59" s="143" t="s">
        <v>69</v>
      </c>
      <c r="E59" s="257">
        <v>0</v>
      </c>
      <c r="F59" s="257">
        <v>594000</v>
      </c>
      <c r="G59" s="257">
        <v>594000</v>
      </c>
      <c r="H59" s="257">
        <v>0</v>
      </c>
      <c r="I59" s="257">
        <v>0</v>
      </c>
      <c r="J59" s="257">
        <v>565181</v>
      </c>
      <c r="K59" s="257">
        <v>0</v>
      </c>
      <c r="L59" s="257">
        <v>0</v>
      </c>
      <c r="M59" s="257">
        <v>28819</v>
      </c>
      <c r="N59" s="257">
        <v>28819</v>
      </c>
    </row>
    <row r="60" spans="1:14" s="143" customFormat="1" x14ac:dyDescent="0.25">
      <c r="A60" s="143" t="s">
        <v>70</v>
      </c>
      <c r="B60" s="143" t="s">
        <v>252</v>
      </c>
      <c r="C60" s="143" t="s">
        <v>253</v>
      </c>
      <c r="D60" s="143" t="s">
        <v>69</v>
      </c>
      <c r="E60" s="257">
        <v>2000000</v>
      </c>
      <c r="F60" s="257">
        <v>2000000</v>
      </c>
      <c r="G60" s="257">
        <v>2000000</v>
      </c>
      <c r="H60" s="257">
        <v>0</v>
      </c>
      <c r="I60" s="257">
        <v>0</v>
      </c>
      <c r="J60" s="257">
        <v>0</v>
      </c>
      <c r="K60" s="257">
        <v>2000000</v>
      </c>
      <c r="L60" s="257">
        <v>2000000</v>
      </c>
      <c r="M60" s="257">
        <v>0</v>
      </c>
      <c r="N60" s="257">
        <v>0</v>
      </c>
    </row>
    <row r="61" spans="1:14" s="143" customFormat="1" x14ac:dyDescent="0.25">
      <c r="A61" s="143" t="s">
        <v>70</v>
      </c>
      <c r="B61" s="143" t="s">
        <v>254</v>
      </c>
      <c r="C61" s="143" t="s">
        <v>255</v>
      </c>
      <c r="D61" s="143" t="s">
        <v>69</v>
      </c>
      <c r="E61" s="257">
        <v>300000000</v>
      </c>
      <c r="F61" s="257">
        <v>300000000</v>
      </c>
      <c r="G61" s="257">
        <v>300000000</v>
      </c>
      <c r="H61" s="257">
        <v>0</v>
      </c>
      <c r="I61" s="257">
        <v>78257000</v>
      </c>
      <c r="J61" s="257">
        <v>0</v>
      </c>
      <c r="K61" s="257">
        <v>221743000</v>
      </c>
      <c r="L61" s="257">
        <v>221743000</v>
      </c>
      <c r="M61" s="257">
        <v>0</v>
      </c>
      <c r="N61" s="257">
        <v>0</v>
      </c>
    </row>
    <row r="62" spans="1:14" s="143" customFormat="1" x14ac:dyDescent="0.25">
      <c r="A62" s="143" t="s">
        <v>70</v>
      </c>
      <c r="B62" s="143" t="s">
        <v>256</v>
      </c>
      <c r="C62" s="143" t="s">
        <v>832</v>
      </c>
      <c r="D62" s="143" t="s">
        <v>69</v>
      </c>
      <c r="E62" s="257">
        <v>7173000</v>
      </c>
      <c r="F62" s="257">
        <v>7173000</v>
      </c>
      <c r="G62" s="257">
        <v>7173000</v>
      </c>
      <c r="H62" s="257">
        <v>0</v>
      </c>
      <c r="I62" s="257">
        <v>591677</v>
      </c>
      <c r="J62" s="257">
        <v>0</v>
      </c>
      <c r="K62" s="257">
        <v>6581323</v>
      </c>
      <c r="L62" s="257">
        <v>6581323</v>
      </c>
      <c r="M62" s="257">
        <v>0</v>
      </c>
      <c r="N62" s="257">
        <v>0</v>
      </c>
    </row>
    <row r="63" spans="1:14" s="143" customFormat="1" x14ac:dyDescent="0.25">
      <c r="A63" s="143" t="s">
        <v>70</v>
      </c>
      <c r="B63" s="143" t="s">
        <v>258</v>
      </c>
      <c r="C63" s="143" t="s">
        <v>833</v>
      </c>
      <c r="D63" s="143" t="s">
        <v>69</v>
      </c>
      <c r="E63" s="257">
        <v>3092000</v>
      </c>
      <c r="F63" s="257">
        <v>3092000</v>
      </c>
      <c r="G63" s="257">
        <v>3092000</v>
      </c>
      <c r="H63" s="257">
        <v>0</v>
      </c>
      <c r="I63" s="257">
        <v>801586.98</v>
      </c>
      <c r="J63" s="257">
        <v>0</v>
      </c>
      <c r="K63" s="257">
        <v>2290413.02</v>
      </c>
      <c r="L63" s="257">
        <v>2290413.02</v>
      </c>
      <c r="M63" s="257">
        <v>0</v>
      </c>
      <c r="N63" s="257">
        <v>0</v>
      </c>
    </row>
    <row r="64" spans="1:14" s="143" customFormat="1" x14ac:dyDescent="0.25">
      <c r="A64" s="143" t="s">
        <v>70</v>
      </c>
      <c r="B64" s="143" t="s">
        <v>262</v>
      </c>
      <c r="C64" s="143" t="s">
        <v>263</v>
      </c>
      <c r="D64" s="143" t="s">
        <v>69</v>
      </c>
      <c r="E64" s="257">
        <v>30000000</v>
      </c>
      <c r="F64" s="257">
        <v>30000000</v>
      </c>
      <c r="G64" s="257">
        <v>30000000</v>
      </c>
      <c r="H64" s="257">
        <v>0</v>
      </c>
      <c r="I64" s="257">
        <v>2301822.64</v>
      </c>
      <c r="J64" s="257">
        <v>0</v>
      </c>
      <c r="K64" s="257">
        <v>20198177.359999999</v>
      </c>
      <c r="L64" s="257">
        <v>20198177.359999999</v>
      </c>
      <c r="M64" s="257">
        <v>7500000</v>
      </c>
      <c r="N64" s="257">
        <v>7500000</v>
      </c>
    </row>
    <row r="65" spans="1:14" s="143" customFormat="1" x14ac:dyDescent="0.25">
      <c r="A65" s="143" t="s">
        <v>70</v>
      </c>
      <c r="B65" s="143" t="s">
        <v>264</v>
      </c>
      <c r="C65" s="143" t="s">
        <v>265</v>
      </c>
      <c r="D65" s="143" t="s">
        <v>69</v>
      </c>
      <c r="E65" s="257">
        <v>10000000</v>
      </c>
      <c r="F65" s="257">
        <v>10000000</v>
      </c>
      <c r="G65" s="257">
        <v>10000000</v>
      </c>
      <c r="H65" s="257">
        <v>0</v>
      </c>
      <c r="I65" s="257">
        <v>0</v>
      </c>
      <c r="J65" s="257">
        <v>0</v>
      </c>
      <c r="K65" s="257">
        <v>2114471</v>
      </c>
      <c r="L65" s="257">
        <v>2114471</v>
      </c>
      <c r="M65" s="257">
        <v>7885529</v>
      </c>
      <c r="N65" s="257">
        <v>7885529</v>
      </c>
    </row>
    <row r="66" spans="1:14" s="143" customFormat="1" x14ac:dyDescent="0.25">
      <c r="A66" s="143" t="s">
        <v>70</v>
      </c>
      <c r="B66" s="143" t="s">
        <v>288</v>
      </c>
      <c r="C66" s="143" t="s">
        <v>289</v>
      </c>
      <c r="D66" s="143" t="s">
        <v>69</v>
      </c>
      <c r="E66" s="257">
        <v>1500000</v>
      </c>
      <c r="F66" s="257">
        <v>0</v>
      </c>
      <c r="G66" s="257">
        <v>0</v>
      </c>
      <c r="H66" s="257">
        <v>0</v>
      </c>
      <c r="I66" s="257">
        <v>0</v>
      </c>
      <c r="J66" s="257">
        <v>0</v>
      </c>
      <c r="K66" s="257">
        <v>0</v>
      </c>
      <c r="L66" s="257">
        <v>0</v>
      </c>
      <c r="M66" s="257">
        <v>0</v>
      </c>
      <c r="N66" s="257">
        <v>0</v>
      </c>
    </row>
    <row r="67" spans="1:14" s="143" customFormat="1" x14ac:dyDescent="0.25">
      <c r="A67" s="143" t="s">
        <v>70</v>
      </c>
      <c r="B67" s="143" t="s">
        <v>370</v>
      </c>
      <c r="C67" s="143" t="s">
        <v>371</v>
      </c>
      <c r="D67" s="143" t="s">
        <v>69</v>
      </c>
      <c r="E67" s="257">
        <v>1500000</v>
      </c>
      <c r="F67" s="257">
        <v>0</v>
      </c>
      <c r="G67" s="257">
        <v>0</v>
      </c>
      <c r="H67" s="257">
        <v>0</v>
      </c>
      <c r="I67" s="257">
        <v>0</v>
      </c>
      <c r="J67" s="257">
        <v>0</v>
      </c>
      <c r="K67" s="257">
        <v>0</v>
      </c>
      <c r="L67" s="257">
        <v>0</v>
      </c>
      <c r="M67" s="257">
        <v>0</v>
      </c>
      <c r="N67" s="257">
        <v>0</v>
      </c>
    </row>
    <row r="68" spans="1:14" s="143" customFormat="1" x14ac:dyDescent="0.25">
      <c r="A68" s="143" t="s">
        <v>70</v>
      </c>
      <c r="B68" s="143" t="s">
        <v>268</v>
      </c>
      <c r="C68" s="143" t="s">
        <v>269</v>
      </c>
      <c r="D68" s="143" t="s">
        <v>69</v>
      </c>
      <c r="E68" s="257">
        <v>389032000</v>
      </c>
      <c r="F68" s="257">
        <v>389032000</v>
      </c>
      <c r="G68" s="257">
        <v>389032000</v>
      </c>
      <c r="H68" s="257">
        <v>0</v>
      </c>
      <c r="I68" s="257">
        <v>30376750</v>
      </c>
      <c r="J68" s="257">
        <v>0</v>
      </c>
      <c r="K68" s="257">
        <v>358655250</v>
      </c>
      <c r="L68" s="257">
        <v>328655250</v>
      </c>
      <c r="M68" s="257">
        <v>0</v>
      </c>
      <c r="N68" s="257">
        <v>0</v>
      </c>
    </row>
    <row r="69" spans="1:14" s="143" customFormat="1" x14ac:dyDescent="0.25">
      <c r="A69" s="143" t="s">
        <v>70</v>
      </c>
      <c r="B69" s="143" t="s">
        <v>270</v>
      </c>
      <c r="C69" s="143" t="s">
        <v>271</v>
      </c>
      <c r="D69" s="143" t="s">
        <v>69</v>
      </c>
      <c r="E69" s="257">
        <v>8975000</v>
      </c>
      <c r="F69" s="257">
        <v>15000918</v>
      </c>
      <c r="G69" s="257">
        <v>15000918</v>
      </c>
      <c r="H69" s="257">
        <v>0</v>
      </c>
      <c r="I69" s="257">
        <v>0</v>
      </c>
      <c r="J69" s="257">
        <v>0</v>
      </c>
      <c r="K69" s="257">
        <v>12841855.289999999</v>
      </c>
      <c r="L69" s="257">
        <v>12841855.289999999</v>
      </c>
      <c r="M69" s="257">
        <v>2159062.71</v>
      </c>
      <c r="N69" s="257">
        <v>2159062.71</v>
      </c>
    </row>
    <row r="70" spans="1:14" s="143" customFormat="1" x14ac:dyDescent="0.25">
      <c r="A70" s="143" t="s">
        <v>70</v>
      </c>
      <c r="B70" s="143" t="s">
        <v>272</v>
      </c>
      <c r="C70" s="143" t="s">
        <v>273</v>
      </c>
      <c r="D70" s="143" t="s">
        <v>69</v>
      </c>
      <c r="E70" s="257">
        <v>3500000</v>
      </c>
      <c r="F70" s="257">
        <v>3380082</v>
      </c>
      <c r="G70" s="257">
        <v>3380082</v>
      </c>
      <c r="H70" s="257">
        <v>0</v>
      </c>
      <c r="I70" s="257">
        <v>0</v>
      </c>
      <c r="J70" s="257">
        <v>0</v>
      </c>
      <c r="K70" s="257">
        <v>3380081.3</v>
      </c>
      <c r="L70" s="257">
        <v>3380081.3</v>
      </c>
      <c r="M70" s="257">
        <v>0.7</v>
      </c>
      <c r="N70" s="257">
        <v>0.7</v>
      </c>
    </row>
    <row r="71" spans="1:14" s="143" customFormat="1" x14ac:dyDescent="0.25">
      <c r="A71" s="143" t="s">
        <v>70</v>
      </c>
      <c r="B71" s="143" t="s">
        <v>682</v>
      </c>
      <c r="C71" s="143" t="s">
        <v>683</v>
      </c>
      <c r="D71" s="143" t="s">
        <v>69</v>
      </c>
      <c r="E71" s="257">
        <v>0</v>
      </c>
      <c r="F71" s="257">
        <v>17560000</v>
      </c>
      <c r="G71" s="257">
        <v>17560000</v>
      </c>
      <c r="H71" s="257">
        <v>0</v>
      </c>
      <c r="I71" s="257">
        <v>0</v>
      </c>
      <c r="J71" s="257">
        <v>0</v>
      </c>
      <c r="K71" s="257">
        <v>0</v>
      </c>
      <c r="L71" s="257">
        <v>0</v>
      </c>
      <c r="M71" s="257">
        <v>17560000</v>
      </c>
      <c r="N71" s="257">
        <v>17560000</v>
      </c>
    </row>
    <row r="72" spans="1:14" s="143" customFormat="1" x14ac:dyDescent="0.25">
      <c r="A72" s="143" t="s">
        <v>70</v>
      </c>
      <c r="B72" s="143" t="s">
        <v>73</v>
      </c>
      <c r="C72" s="143" t="s">
        <v>74</v>
      </c>
      <c r="D72" s="143" t="s">
        <v>69</v>
      </c>
      <c r="E72" s="257">
        <v>611601000</v>
      </c>
      <c r="F72" s="257">
        <v>561866650</v>
      </c>
      <c r="G72" s="257">
        <v>561866650</v>
      </c>
      <c r="H72" s="257">
        <v>0</v>
      </c>
      <c r="I72" s="257">
        <v>0</v>
      </c>
      <c r="J72" s="257">
        <v>0</v>
      </c>
      <c r="K72" s="257">
        <v>449761334.54000002</v>
      </c>
      <c r="L72" s="257">
        <v>449761334.54000002</v>
      </c>
      <c r="M72" s="257">
        <v>112105315.45999999</v>
      </c>
      <c r="N72" s="257">
        <v>112105315.45999999</v>
      </c>
    </row>
    <row r="73" spans="1:14" s="143" customFormat="1" x14ac:dyDescent="0.25">
      <c r="A73" s="143" t="s">
        <v>70</v>
      </c>
      <c r="B73" s="143" t="s">
        <v>77</v>
      </c>
      <c r="C73" s="143" t="s">
        <v>78</v>
      </c>
      <c r="D73" s="143" t="s">
        <v>69</v>
      </c>
      <c r="E73" s="257">
        <v>726302000</v>
      </c>
      <c r="F73" s="257">
        <v>604862000</v>
      </c>
      <c r="G73" s="257">
        <v>604862000</v>
      </c>
      <c r="H73" s="257">
        <v>0</v>
      </c>
      <c r="I73" s="257">
        <v>0</v>
      </c>
      <c r="J73" s="257">
        <v>0</v>
      </c>
      <c r="K73" s="257">
        <v>453677595.74000001</v>
      </c>
      <c r="L73" s="257">
        <v>453677595.74000001</v>
      </c>
      <c r="M73" s="257">
        <v>151184404.25999999</v>
      </c>
      <c r="N73" s="257">
        <v>151184404.25999999</v>
      </c>
    </row>
    <row r="74" spans="1:14" s="143" customFormat="1" x14ac:dyDescent="0.25">
      <c r="A74" s="143" t="s">
        <v>70</v>
      </c>
      <c r="B74" s="143" t="s">
        <v>90</v>
      </c>
      <c r="C74" s="143" t="s">
        <v>91</v>
      </c>
      <c r="D74" s="143" t="s">
        <v>69</v>
      </c>
      <c r="E74" s="257">
        <v>120578000</v>
      </c>
      <c r="F74" s="257">
        <v>107930000</v>
      </c>
      <c r="G74" s="257">
        <v>107930000</v>
      </c>
      <c r="H74" s="257">
        <v>0</v>
      </c>
      <c r="I74" s="257">
        <v>14603688</v>
      </c>
      <c r="J74" s="257">
        <v>0</v>
      </c>
      <c r="K74" s="257">
        <v>89326312</v>
      </c>
      <c r="L74" s="257">
        <v>89326312</v>
      </c>
      <c r="M74" s="257">
        <v>4000000</v>
      </c>
      <c r="N74" s="257">
        <v>4000000</v>
      </c>
    </row>
    <row r="75" spans="1:14" s="143" customFormat="1" x14ac:dyDescent="0.25">
      <c r="A75" s="143" t="s">
        <v>70</v>
      </c>
      <c r="B75" s="143" t="s">
        <v>96</v>
      </c>
      <c r="C75" s="143" t="s">
        <v>97</v>
      </c>
      <c r="D75" s="143" t="s">
        <v>69</v>
      </c>
      <c r="E75" s="257">
        <v>118476000</v>
      </c>
      <c r="F75" s="257">
        <v>106186000</v>
      </c>
      <c r="G75" s="257">
        <v>106186000</v>
      </c>
      <c r="H75" s="257">
        <v>0</v>
      </c>
      <c r="I75" s="257">
        <v>18417134</v>
      </c>
      <c r="J75" s="257">
        <v>0</v>
      </c>
      <c r="K75" s="257">
        <v>87768866</v>
      </c>
      <c r="L75" s="257">
        <v>87768866</v>
      </c>
      <c r="M75" s="257">
        <v>0</v>
      </c>
      <c r="N75" s="257">
        <v>0</v>
      </c>
    </row>
    <row r="76" spans="1:14" s="143" customFormat="1" x14ac:dyDescent="0.25">
      <c r="A76" s="143" t="s">
        <v>70</v>
      </c>
      <c r="B76" s="143" t="s">
        <v>106</v>
      </c>
      <c r="C76" s="143" t="s">
        <v>107</v>
      </c>
      <c r="D76" s="143" t="s">
        <v>69</v>
      </c>
      <c r="E76" s="257">
        <v>155080000</v>
      </c>
      <c r="F76" s="257">
        <v>148786375</v>
      </c>
      <c r="G76" s="257">
        <v>148786375</v>
      </c>
      <c r="H76" s="257">
        <v>0</v>
      </c>
      <c r="I76" s="257">
        <v>45611976.619999997</v>
      </c>
      <c r="J76" s="257">
        <v>0</v>
      </c>
      <c r="K76" s="257">
        <v>97179179.579999998</v>
      </c>
      <c r="L76" s="257">
        <v>84861705.25</v>
      </c>
      <c r="M76" s="257">
        <v>5995218.7999999998</v>
      </c>
      <c r="N76" s="257">
        <v>5995218.7999999998</v>
      </c>
    </row>
    <row r="77" spans="1:14" s="143" customFormat="1" x14ac:dyDescent="0.25">
      <c r="A77" s="143" t="s">
        <v>70</v>
      </c>
      <c r="B77" s="143" t="s">
        <v>112</v>
      </c>
      <c r="C77" s="143" t="s">
        <v>113</v>
      </c>
      <c r="D77" s="143" t="s">
        <v>69</v>
      </c>
      <c r="E77" s="257">
        <v>148625000</v>
      </c>
      <c r="F77" s="257">
        <v>148375200</v>
      </c>
      <c r="G77" s="257">
        <v>148375200</v>
      </c>
      <c r="H77" s="257">
        <v>0</v>
      </c>
      <c r="I77" s="257">
        <v>33072109</v>
      </c>
      <c r="J77" s="257">
        <v>0</v>
      </c>
      <c r="K77" s="257">
        <v>101952491</v>
      </c>
      <c r="L77" s="257">
        <v>91863048</v>
      </c>
      <c r="M77" s="257">
        <v>13350600</v>
      </c>
      <c r="N77" s="257">
        <v>13350600</v>
      </c>
    </row>
    <row r="78" spans="1:14" s="143" customFormat="1" x14ac:dyDescent="0.25">
      <c r="A78" s="143" t="s">
        <v>70</v>
      </c>
      <c r="B78" s="143" t="s">
        <v>124</v>
      </c>
      <c r="C78" s="143" t="s">
        <v>125</v>
      </c>
      <c r="D78" s="143" t="s">
        <v>69</v>
      </c>
      <c r="E78" s="257">
        <v>10550000</v>
      </c>
      <c r="F78" s="257">
        <v>12994120</v>
      </c>
      <c r="G78" s="257">
        <v>12994120</v>
      </c>
      <c r="H78" s="257">
        <v>0</v>
      </c>
      <c r="I78" s="257">
        <v>1878331</v>
      </c>
      <c r="J78" s="257">
        <v>0</v>
      </c>
      <c r="K78" s="257">
        <v>10899814</v>
      </c>
      <c r="L78" s="257">
        <v>10561424</v>
      </c>
      <c r="M78" s="257">
        <v>215975</v>
      </c>
      <c r="N78" s="257">
        <v>215975</v>
      </c>
    </row>
    <row r="79" spans="1:14" s="143" customFormat="1" x14ac:dyDescent="0.25">
      <c r="A79" s="143" t="s">
        <v>70</v>
      </c>
      <c r="B79" s="143" t="s">
        <v>134</v>
      </c>
      <c r="C79" s="143" t="s">
        <v>135</v>
      </c>
      <c r="D79" s="143" t="s">
        <v>69</v>
      </c>
      <c r="E79" s="257">
        <v>8740000</v>
      </c>
      <c r="F79" s="257">
        <v>4240000</v>
      </c>
      <c r="G79" s="257">
        <v>4240000</v>
      </c>
      <c r="H79" s="257">
        <v>0</v>
      </c>
      <c r="I79" s="257">
        <v>1568950</v>
      </c>
      <c r="J79" s="257">
        <v>282009</v>
      </c>
      <c r="K79" s="257">
        <v>1026937</v>
      </c>
      <c r="L79" s="257">
        <v>1026937</v>
      </c>
      <c r="M79" s="257">
        <v>1362104</v>
      </c>
      <c r="N79" s="257">
        <v>1362104</v>
      </c>
    </row>
    <row r="80" spans="1:14" s="143" customFormat="1" x14ac:dyDescent="0.25">
      <c r="A80" s="143" t="s">
        <v>70</v>
      </c>
      <c r="B80" s="143" t="s">
        <v>140</v>
      </c>
      <c r="C80" s="143" t="s">
        <v>141</v>
      </c>
      <c r="D80" s="143" t="s">
        <v>69</v>
      </c>
      <c r="E80" s="257">
        <v>25100000</v>
      </c>
      <c r="F80" s="257">
        <v>21340885</v>
      </c>
      <c r="G80" s="257">
        <v>21340885</v>
      </c>
      <c r="H80" s="257">
        <v>16700</v>
      </c>
      <c r="I80" s="257">
        <v>2982914.27</v>
      </c>
      <c r="J80" s="257">
        <v>0</v>
      </c>
      <c r="K80" s="257">
        <v>12834774.640000001</v>
      </c>
      <c r="L80" s="257">
        <v>12834774.640000001</v>
      </c>
      <c r="M80" s="257">
        <v>5506496.0899999999</v>
      </c>
      <c r="N80" s="257">
        <v>5506496.0899999999</v>
      </c>
    </row>
    <row r="81" spans="1:14" s="143" customFormat="1" x14ac:dyDescent="0.25">
      <c r="A81" s="143" t="s">
        <v>70</v>
      </c>
      <c r="B81" s="143" t="s">
        <v>150</v>
      </c>
      <c r="C81" s="143" t="s">
        <v>151</v>
      </c>
      <c r="D81" s="143" t="s">
        <v>69</v>
      </c>
      <c r="E81" s="257">
        <v>48000000</v>
      </c>
      <c r="F81" s="257">
        <v>28000000</v>
      </c>
      <c r="G81" s="257">
        <v>28000000</v>
      </c>
      <c r="H81" s="257">
        <v>0</v>
      </c>
      <c r="I81" s="257">
        <v>2302637</v>
      </c>
      <c r="J81" s="257">
        <v>0</v>
      </c>
      <c r="K81" s="257">
        <v>17694456.600000001</v>
      </c>
      <c r="L81" s="257">
        <v>12033832.6</v>
      </c>
      <c r="M81" s="257">
        <v>8002906.4000000004</v>
      </c>
      <c r="N81" s="257">
        <v>8002906.4000000004</v>
      </c>
    </row>
    <row r="82" spans="1:14" s="143" customFormat="1" x14ac:dyDescent="0.25">
      <c r="A82" s="143" t="s">
        <v>70</v>
      </c>
      <c r="B82" s="143" t="s">
        <v>154</v>
      </c>
      <c r="C82" s="143" t="s">
        <v>155</v>
      </c>
      <c r="D82" s="143" t="s">
        <v>69</v>
      </c>
      <c r="E82" s="257">
        <v>7397000</v>
      </c>
      <c r="F82" s="257">
        <v>7472000</v>
      </c>
      <c r="G82" s="257">
        <v>7472000</v>
      </c>
      <c r="H82" s="257">
        <v>0</v>
      </c>
      <c r="I82" s="257">
        <v>475000</v>
      </c>
      <c r="J82" s="257">
        <v>1315000</v>
      </c>
      <c r="K82" s="257">
        <v>4203904.97</v>
      </c>
      <c r="L82" s="257">
        <v>3893904.97</v>
      </c>
      <c r="M82" s="257">
        <v>1478095.03</v>
      </c>
      <c r="N82" s="257">
        <v>1478095.03</v>
      </c>
    </row>
    <row r="83" spans="1:14" s="143" customFormat="1" x14ac:dyDescent="0.25">
      <c r="A83" s="143" t="s">
        <v>70</v>
      </c>
      <c r="B83" s="143" t="s">
        <v>162</v>
      </c>
      <c r="C83" s="143" t="s">
        <v>163</v>
      </c>
      <c r="D83" s="143" t="s">
        <v>69</v>
      </c>
      <c r="E83" s="257">
        <v>22990000</v>
      </c>
      <c r="F83" s="257">
        <v>22287000</v>
      </c>
      <c r="G83" s="257">
        <v>22287000</v>
      </c>
      <c r="H83" s="257">
        <v>0</v>
      </c>
      <c r="I83" s="257">
        <v>8007959</v>
      </c>
      <c r="J83" s="257">
        <v>486000</v>
      </c>
      <c r="K83" s="257">
        <v>11171086</v>
      </c>
      <c r="L83" s="257">
        <v>8305521</v>
      </c>
      <c r="M83" s="257">
        <v>2621955</v>
      </c>
      <c r="N83" s="257">
        <v>2621955</v>
      </c>
    </row>
    <row r="84" spans="1:14" s="143" customFormat="1" x14ac:dyDescent="0.25">
      <c r="A84" s="143" t="s">
        <v>70</v>
      </c>
      <c r="B84" s="143" t="s">
        <v>174</v>
      </c>
      <c r="C84" s="143" t="s">
        <v>175</v>
      </c>
      <c r="D84" s="143" t="s">
        <v>69</v>
      </c>
      <c r="E84" s="257">
        <v>1500000</v>
      </c>
      <c r="F84" s="257">
        <v>1500000</v>
      </c>
      <c r="G84" s="257">
        <v>1500000</v>
      </c>
      <c r="H84" s="257">
        <v>0</v>
      </c>
      <c r="I84" s="257">
        <v>0</v>
      </c>
      <c r="J84" s="257">
        <v>0</v>
      </c>
      <c r="K84" s="257">
        <v>0</v>
      </c>
      <c r="L84" s="257">
        <v>0</v>
      </c>
      <c r="M84" s="257">
        <v>1500000</v>
      </c>
      <c r="N84" s="257">
        <v>1500000</v>
      </c>
    </row>
    <row r="85" spans="1:14" s="143" customFormat="1" x14ac:dyDescent="0.25">
      <c r="A85" s="143" t="s">
        <v>70</v>
      </c>
      <c r="B85" s="143" t="s">
        <v>178</v>
      </c>
      <c r="C85" s="143" t="s">
        <v>179</v>
      </c>
      <c r="D85" s="143" t="s">
        <v>69</v>
      </c>
      <c r="E85" s="257">
        <v>1000000</v>
      </c>
      <c r="F85" s="257">
        <v>1000000</v>
      </c>
      <c r="G85" s="257">
        <v>1000000</v>
      </c>
      <c r="H85" s="257">
        <v>0</v>
      </c>
      <c r="I85" s="257">
        <v>0</v>
      </c>
      <c r="J85" s="257">
        <v>0</v>
      </c>
      <c r="K85" s="257">
        <v>200000</v>
      </c>
      <c r="L85" s="257">
        <v>200000</v>
      </c>
      <c r="M85" s="257">
        <v>800000</v>
      </c>
      <c r="N85" s="257">
        <v>800000</v>
      </c>
    </row>
    <row r="86" spans="1:14" s="143" customFormat="1" x14ac:dyDescent="0.25">
      <c r="A86" s="143" t="s">
        <v>70</v>
      </c>
      <c r="B86" s="143" t="s">
        <v>186</v>
      </c>
      <c r="C86" s="143" t="s">
        <v>187</v>
      </c>
      <c r="D86" s="143" t="s">
        <v>69</v>
      </c>
      <c r="E86" s="257">
        <v>25925000</v>
      </c>
      <c r="F86" s="257">
        <v>14977000</v>
      </c>
      <c r="G86" s="257">
        <v>14977000</v>
      </c>
      <c r="H86" s="257">
        <v>0</v>
      </c>
      <c r="I86" s="257">
        <v>2343718.5</v>
      </c>
      <c r="J86" s="257">
        <v>5467500</v>
      </c>
      <c r="K86" s="257">
        <v>6300798.2699999996</v>
      </c>
      <c r="L86" s="257">
        <v>6300798.2699999996</v>
      </c>
      <c r="M86" s="257">
        <v>864983.23</v>
      </c>
      <c r="N86" s="257">
        <v>864983.23</v>
      </c>
    </row>
    <row r="87" spans="1:14" s="143" customFormat="1" x14ac:dyDescent="0.25">
      <c r="A87" s="143" t="s">
        <v>70</v>
      </c>
      <c r="B87" s="143" t="s">
        <v>196</v>
      </c>
      <c r="C87" s="143" t="s">
        <v>197</v>
      </c>
      <c r="D87" s="143" t="s">
        <v>69</v>
      </c>
      <c r="E87" s="257">
        <v>3500000</v>
      </c>
      <c r="F87" s="257">
        <v>3500000</v>
      </c>
      <c r="G87" s="257">
        <v>3500000</v>
      </c>
      <c r="H87" s="257">
        <v>0</v>
      </c>
      <c r="I87" s="257">
        <v>0</v>
      </c>
      <c r="J87" s="257">
        <v>0</v>
      </c>
      <c r="K87" s="257">
        <v>3429858</v>
      </c>
      <c r="L87" s="257">
        <v>3429858</v>
      </c>
      <c r="M87" s="257">
        <v>70142</v>
      </c>
      <c r="N87" s="257">
        <v>70142</v>
      </c>
    </row>
    <row r="88" spans="1:14" s="143" customFormat="1" x14ac:dyDescent="0.25">
      <c r="A88" s="143" t="s">
        <v>70</v>
      </c>
      <c r="B88" s="143" t="s">
        <v>200</v>
      </c>
      <c r="C88" s="143" t="s">
        <v>201</v>
      </c>
      <c r="D88" s="143" t="s">
        <v>69</v>
      </c>
      <c r="E88" s="257">
        <v>2000000</v>
      </c>
      <c r="F88" s="257">
        <v>2000000</v>
      </c>
      <c r="G88" s="257">
        <v>2000000</v>
      </c>
      <c r="H88" s="257">
        <v>0</v>
      </c>
      <c r="I88" s="257">
        <v>0</v>
      </c>
      <c r="J88" s="257">
        <v>0</v>
      </c>
      <c r="K88" s="257">
        <v>1971225.15</v>
      </c>
      <c r="L88" s="257">
        <v>956923</v>
      </c>
      <c r="M88" s="257">
        <v>28774.85</v>
      </c>
      <c r="N88" s="257">
        <v>28774.85</v>
      </c>
    </row>
    <row r="89" spans="1:14" s="143" customFormat="1" x14ac:dyDescent="0.25">
      <c r="A89" s="143" t="s">
        <v>70</v>
      </c>
      <c r="B89" s="143" t="s">
        <v>206</v>
      </c>
      <c r="C89" s="143" t="s">
        <v>207</v>
      </c>
      <c r="D89" s="143" t="s">
        <v>69</v>
      </c>
      <c r="E89" s="257">
        <v>4400000</v>
      </c>
      <c r="F89" s="257">
        <v>1578986</v>
      </c>
      <c r="G89" s="257">
        <v>1578986</v>
      </c>
      <c r="H89" s="257">
        <v>0</v>
      </c>
      <c r="I89" s="257">
        <v>0</v>
      </c>
      <c r="J89" s="257">
        <v>0</v>
      </c>
      <c r="K89" s="257">
        <v>1568985.85</v>
      </c>
      <c r="L89" s="257">
        <v>1568985.85</v>
      </c>
      <c r="M89" s="257">
        <v>10000.15</v>
      </c>
      <c r="N89" s="257">
        <v>10000.15</v>
      </c>
    </row>
    <row r="90" spans="1:14" s="143" customFormat="1" x14ac:dyDescent="0.25">
      <c r="A90" s="143" t="s">
        <v>70</v>
      </c>
      <c r="B90" s="143" t="s">
        <v>212</v>
      </c>
      <c r="C90" s="143" t="s">
        <v>831</v>
      </c>
      <c r="D90" s="143" t="s">
        <v>69</v>
      </c>
      <c r="E90" s="257">
        <v>35075000</v>
      </c>
      <c r="F90" s="257">
        <v>27585000</v>
      </c>
      <c r="G90" s="257">
        <v>27585000</v>
      </c>
      <c r="H90" s="257">
        <v>0</v>
      </c>
      <c r="I90" s="257">
        <v>911469.94</v>
      </c>
      <c r="J90" s="257">
        <v>0</v>
      </c>
      <c r="K90" s="257">
        <v>25194273.59</v>
      </c>
      <c r="L90" s="257">
        <v>23375126.949999999</v>
      </c>
      <c r="M90" s="257">
        <v>1479256.47</v>
      </c>
      <c r="N90" s="257">
        <v>1479256.47</v>
      </c>
    </row>
    <row r="91" spans="1:14" s="143" customFormat="1" x14ac:dyDescent="0.25">
      <c r="A91" s="143" t="s">
        <v>70</v>
      </c>
      <c r="B91" s="143" t="s">
        <v>232</v>
      </c>
      <c r="C91" s="143" t="s">
        <v>233</v>
      </c>
      <c r="D91" s="143" t="s">
        <v>69</v>
      </c>
      <c r="E91" s="257">
        <v>4150000</v>
      </c>
      <c r="F91" s="257">
        <v>4500000</v>
      </c>
      <c r="G91" s="257">
        <v>4500000</v>
      </c>
      <c r="H91" s="257">
        <v>0</v>
      </c>
      <c r="I91" s="257">
        <v>0</v>
      </c>
      <c r="J91" s="257">
        <v>545150.28</v>
      </c>
      <c r="K91" s="257">
        <v>3227171.79</v>
      </c>
      <c r="L91" s="257">
        <v>3027171.79</v>
      </c>
      <c r="M91" s="257">
        <v>727677.93</v>
      </c>
      <c r="N91" s="257">
        <v>727677.93</v>
      </c>
    </row>
    <row r="92" spans="1:14" s="143" customFormat="1" x14ac:dyDescent="0.25">
      <c r="A92" s="143" t="s">
        <v>70</v>
      </c>
      <c r="B92" s="143" t="s">
        <v>244</v>
      </c>
      <c r="C92" s="143" t="s">
        <v>245</v>
      </c>
      <c r="D92" s="143" t="s">
        <v>69</v>
      </c>
      <c r="E92" s="257">
        <v>0</v>
      </c>
      <c r="F92" s="257">
        <v>594000</v>
      </c>
      <c r="G92" s="257">
        <v>594000</v>
      </c>
      <c r="H92" s="257">
        <v>0</v>
      </c>
      <c r="I92" s="257">
        <v>0</v>
      </c>
      <c r="J92" s="257">
        <v>565181</v>
      </c>
      <c r="K92" s="257">
        <v>0</v>
      </c>
      <c r="L92" s="257">
        <v>0</v>
      </c>
      <c r="M92" s="257">
        <v>28819</v>
      </c>
      <c r="N92" s="257">
        <v>28819</v>
      </c>
    </row>
    <row r="93" spans="1:14" s="143" customFormat="1" x14ac:dyDescent="0.25">
      <c r="A93" s="143" t="s">
        <v>70</v>
      </c>
      <c r="B93" s="143" t="s">
        <v>250</v>
      </c>
      <c r="C93" s="143" t="s">
        <v>251</v>
      </c>
      <c r="D93" s="143" t="s">
        <v>69</v>
      </c>
      <c r="E93" s="257">
        <v>312265000</v>
      </c>
      <c r="F93" s="257">
        <v>312265000</v>
      </c>
      <c r="G93" s="257">
        <v>312265000</v>
      </c>
      <c r="H93" s="257">
        <v>0</v>
      </c>
      <c r="I93" s="257">
        <v>79650263.980000004</v>
      </c>
      <c r="J93" s="257">
        <v>0</v>
      </c>
      <c r="K93" s="257">
        <v>232614736.02000001</v>
      </c>
      <c r="L93" s="257">
        <v>232614736.02000001</v>
      </c>
      <c r="M93" s="257">
        <v>0</v>
      </c>
      <c r="N93" s="257">
        <v>0</v>
      </c>
    </row>
    <row r="94" spans="1:14" s="143" customFormat="1" x14ac:dyDescent="0.25">
      <c r="A94" s="143" t="s">
        <v>70</v>
      </c>
      <c r="B94" s="143" t="s">
        <v>260</v>
      </c>
      <c r="C94" s="143" t="s">
        <v>261</v>
      </c>
      <c r="D94" s="143" t="s">
        <v>69</v>
      </c>
      <c r="E94" s="257">
        <v>40000000</v>
      </c>
      <c r="F94" s="257">
        <v>40000000</v>
      </c>
      <c r="G94" s="257">
        <v>40000000</v>
      </c>
      <c r="H94" s="257">
        <v>0</v>
      </c>
      <c r="I94" s="257">
        <v>2301822.64</v>
      </c>
      <c r="J94" s="257">
        <v>0</v>
      </c>
      <c r="K94" s="257">
        <v>22312648.359999999</v>
      </c>
      <c r="L94" s="257">
        <v>22312648.359999999</v>
      </c>
      <c r="M94" s="257">
        <v>15385529</v>
      </c>
      <c r="N94" s="257">
        <v>15385529</v>
      </c>
    </row>
    <row r="95" spans="1:14" s="143" customFormat="1" x14ac:dyDescent="0.25">
      <c r="A95" s="143" t="s">
        <v>70</v>
      </c>
      <c r="B95" s="143" t="s">
        <v>286</v>
      </c>
      <c r="C95" s="143" t="s">
        <v>287</v>
      </c>
      <c r="D95" s="143" t="s">
        <v>69</v>
      </c>
      <c r="E95" s="257">
        <v>3000000</v>
      </c>
      <c r="F95" s="257">
        <v>0</v>
      </c>
      <c r="G95" s="257">
        <v>0</v>
      </c>
      <c r="H95" s="257">
        <v>0</v>
      </c>
      <c r="I95" s="257">
        <v>0</v>
      </c>
      <c r="J95" s="257">
        <v>0</v>
      </c>
      <c r="K95" s="257">
        <v>0</v>
      </c>
      <c r="L95" s="257">
        <v>0</v>
      </c>
      <c r="M95" s="257">
        <v>0</v>
      </c>
      <c r="N95" s="257">
        <v>0</v>
      </c>
    </row>
    <row r="96" spans="1:14" s="143" customFormat="1" x14ac:dyDescent="0.25">
      <c r="A96" s="143" t="s">
        <v>70</v>
      </c>
      <c r="B96" s="143" t="s">
        <v>266</v>
      </c>
      <c r="C96" s="143" t="s">
        <v>267</v>
      </c>
      <c r="D96" s="143" t="s">
        <v>69</v>
      </c>
      <c r="E96" s="257">
        <v>401507000</v>
      </c>
      <c r="F96" s="257">
        <v>407413000</v>
      </c>
      <c r="G96" s="257">
        <v>407413000</v>
      </c>
      <c r="H96" s="257">
        <v>0</v>
      </c>
      <c r="I96" s="257">
        <v>30376750</v>
      </c>
      <c r="J96" s="257">
        <v>0</v>
      </c>
      <c r="K96" s="257">
        <v>374877186.58999997</v>
      </c>
      <c r="L96" s="257">
        <v>344877186.58999997</v>
      </c>
      <c r="M96" s="257">
        <v>2159063.41</v>
      </c>
      <c r="N96" s="257">
        <v>2159063.41</v>
      </c>
    </row>
    <row r="97" spans="1:14" s="143" customFormat="1" x14ac:dyDescent="0.25">
      <c r="A97" s="143" t="s">
        <v>70</v>
      </c>
      <c r="B97" s="143" t="s">
        <v>680</v>
      </c>
      <c r="C97" s="143" t="s">
        <v>681</v>
      </c>
      <c r="D97" s="143" t="s">
        <v>69</v>
      </c>
      <c r="E97" s="257">
        <v>0</v>
      </c>
      <c r="F97" s="257">
        <v>17560000</v>
      </c>
      <c r="G97" s="257">
        <v>17560000</v>
      </c>
      <c r="H97" s="257">
        <v>0</v>
      </c>
      <c r="I97" s="257">
        <v>0</v>
      </c>
      <c r="J97" s="257">
        <v>0</v>
      </c>
      <c r="K97" s="257">
        <v>0</v>
      </c>
      <c r="L97" s="257">
        <v>0</v>
      </c>
      <c r="M97" s="257">
        <v>17560000</v>
      </c>
      <c r="N97" s="257">
        <v>17560000</v>
      </c>
    </row>
    <row r="98" spans="1:14" s="143" customFormat="1" x14ac:dyDescent="0.25">
      <c r="A98" s="143" t="s">
        <v>70</v>
      </c>
      <c r="B98" s="143" t="s">
        <v>71</v>
      </c>
      <c r="C98" s="143" t="s">
        <v>72</v>
      </c>
      <c r="D98" s="143" t="s">
        <v>69</v>
      </c>
      <c r="E98" s="257">
        <v>1576957000</v>
      </c>
      <c r="F98" s="257">
        <v>1380844650</v>
      </c>
      <c r="G98" s="257">
        <v>1380844650</v>
      </c>
      <c r="H98" s="257">
        <v>0</v>
      </c>
      <c r="I98" s="257">
        <v>33020822</v>
      </c>
      <c r="J98" s="257">
        <v>0</v>
      </c>
      <c r="K98" s="257">
        <v>1080534108.28</v>
      </c>
      <c r="L98" s="257">
        <v>1080534108.28</v>
      </c>
      <c r="M98" s="257">
        <v>267289719.72</v>
      </c>
      <c r="N98" s="257">
        <v>267289719.72</v>
      </c>
    </row>
    <row r="99" spans="1:14" s="143" customFormat="1" x14ac:dyDescent="0.25">
      <c r="A99" s="143" t="s">
        <v>70</v>
      </c>
      <c r="B99" s="143" t="s">
        <v>104</v>
      </c>
      <c r="C99" s="143" t="s">
        <v>105</v>
      </c>
      <c r="D99" s="143" t="s">
        <v>69</v>
      </c>
      <c r="E99" s="257">
        <v>428982000</v>
      </c>
      <c r="F99" s="257">
        <v>395995580</v>
      </c>
      <c r="G99" s="257">
        <v>395995580</v>
      </c>
      <c r="H99" s="257">
        <v>16700</v>
      </c>
      <c r="I99" s="257">
        <v>95899876.890000001</v>
      </c>
      <c r="J99" s="257">
        <v>2083009</v>
      </c>
      <c r="K99" s="257">
        <v>257162643.78999999</v>
      </c>
      <c r="L99" s="257">
        <v>225581147.46000001</v>
      </c>
      <c r="M99" s="257">
        <v>40833350.32</v>
      </c>
      <c r="N99" s="257">
        <v>40833350.32</v>
      </c>
    </row>
    <row r="100" spans="1:14" s="143" customFormat="1" x14ac:dyDescent="0.25">
      <c r="A100" s="143" t="s">
        <v>70</v>
      </c>
      <c r="B100" s="143" t="s">
        <v>184</v>
      </c>
      <c r="C100" s="143" t="s">
        <v>185</v>
      </c>
      <c r="D100" s="143" t="s">
        <v>69</v>
      </c>
      <c r="E100" s="257">
        <v>70900000</v>
      </c>
      <c r="F100" s="257">
        <v>49640986</v>
      </c>
      <c r="G100" s="257">
        <v>49640986</v>
      </c>
      <c r="H100" s="257">
        <v>0</v>
      </c>
      <c r="I100" s="257">
        <v>3255188.44</v>
      </c>
      <c r="J100" s="257">
        <v>5467500</v>
      </c>
      <c r="K100" s="257">
        <v>38465140.859999999</v>
      </c>
      <c r="L100" s="257">
        <v>35631692.07</v>
      </c>
      <c r="M100" s="257">
        <v>2453156.7000000002</v>
      </c>
      <c r="N100" s="257">
        <v>2453156.7000000002</v>
      </c>
    </row>
    <row r="101" spans="1:14" s="143" customFormat="1" x14ac:dyDescent="0.25">
      <c r="A101" s="143" t="s">
        <v>70</v>
      </c>
      <c r="B101" s="143" t="s">
        <v>230</v>
      </c>
      <c r="C101" s="143" t="s">
        <v>231</v>
      </c>
      <c r="D101" s="143" t="s">
        <v>69</v>
      </c>
      <c r="E101" s="257">
        <v>4150000</v>
      </c>
      <c r="F101" s="257">
        <v>5094000</v>
      </c>
      <c r="G101" s="257">
        <v>5094000</v>
      </c>
      <c r="H101" s="257">
        <v>0</v>
      </c>
      <c r="I101" s="257">
        <v>0</v>
      </c>
      <c r="J101" s="257">
        <v>1110331.28</v>
      </c>
      <c r="K101" s="257">
        <v>3227171.79</v>
      </c>
      <c r="L101" s="257">
        <v>3027171.79</v>
      </c>
      <c r="M101" s="257">
        <v>756496.93</v>
      </c>
      <c r="N101" s="257">
        <v>756496.93</v>
      </c>
    </row>
    <row r="102" spans="1:14" s="143" customFormat="1" x14ac:dyDescent="0.25">
      <c r="A102" s="143" t="s">
        <v>70</v>
      </c>
      <c r="B102" s="143" t="s">
        <v>248</v>
      </c>
      <c r="C102" s="143" t="s">
        <v>249</v>
      </c>
      <c r="D102" s="143" t="s">
        <v>69</v>
      </c>
      <c r="E102" s="257">
        <v>756772000</v>
      </c>
      <c r="F102" s="257">
        <v>759678000</v>
      </c>
      <c r="G102" s="257">
        <v>759678000</v>
      </c>
      <c r="H102" s="257">
        <v>0</v>
      </c>
      <c r="I102" s="257">
        <v>112328836.62</v>
      </c>
      <c r="J102" s="257">
        <v>0</v>
      </c>
      <c r="K102" s="257">
        <v>629804570.97000003</v>
      </c>
      <c r="L102" s="257">
        <v>599804570.97000003</v>
      </c>
      <c r="M102" s="257">
        <v>17544592.41</v>
      </c>
      <c r="N102" s="257">
        <v>17544592.41</v>
      </c>
    </row>
    <row r="103" spans="1:14" s="143" customFormat="1" x14ac:dyDescent="0.25">
      <c r="A103" s="143" t="s">
        <v>70</v>
      </c>
      <c r="B103" s="143" t="s">
        <v>678</v>
      </c>
      <c r="C103" s="143" t="s">
        <v>679</v>
      </c>
      <c r="D103" s="143" t="s">
        <v>69</v>
      </c>
      <c r="E103" s="257">
        <v>0</v>
      </c>
      <c r="F103" s="257">
        <v>17560000</v>
      </c>
      <c r="G103" s="257">
        <v>17560000</v>
      </c>
      <c r="H103" s="257">
        <v>0</v>
      </c>
      <c r="I103" s="257">
        <v>0</v>
      </c>
      <c r="J103" s="257">
        <v>0</v>
      </c>
      <c r="K103" s="257">
        <v>0</v>
      </c>
      <c r="L103" s="257">
        <v>0</v>
      </c>
      <c r="M103" s="257">
        <v>17560000</v>
      </c>
      <c r="N103" s="257">
        <v>17560000</v>
      </c>
    </row>
    <row r="104" spans="1:14" s="143" customFormat="1" x14ac:dyDescent="0.25">
      <c r="A104" s="143">
        <v>214779</v>
      </c>
      <c r="D104" s="143" t="s">
        <v>69</v>
      </c>
      <c r="E104" s="257">
        <v>2837761000</v>
      </c>
      <c r="F104" s="257">
        <v>2608813216</v>
      </c>
      <c r="G104" s="257">
        <v>2608813216</v>
      </c>
      <c r="H104" s="257">
        <v>16700</v>
      </c>
      <c r="I104" s="257">
        <v>244504723.94999999</v>
      </c>
      <c r="J104" s="257">
        <v>8660840.2799999993</v>
      </c>
      <c r="K104" s="257">
        <v>2009193635.6900001</v>
      </c>
      <c r="L104" s="257">
        <v>1944578690.5699999</v>
      </c>
      <c r="M104" s="257">
        <v>346437316.07999998</v>
      </c>
      <c r="N104" s="257">
        <v>346437316.07999998</v>
      </c>
    </row>
    <row r="105" spans="1:14" s="143" customFormat="1" x14ac:dyDescent="0.25">
      <c r="A105" s="143" t="s">
        <v>274</v>
      </c>
      <c r="B105" s="143" t="s">
        <v>75</v>
      </c>
      <c r="C105" s="143" t="s">
        <v>76</v>
      </c>
      <c r="D105" s="143" t="s">
        <v>69</v>
      </c>
      <c r="E105" s="257">
        <v>415877000</v>
      </c>
      <c r="F105" s="257">
        <v>344741351</v>
      </c>
      <c r="G105" s="257">
        <v>344741350</v>
      </c>
      <c r="H105" s="257">
        <v>0</v>
      </c>
      <c r="I105" s="257">
        <v>0</v>
      </c>
      <c r="J105" s="257">
        <v>0</v>
      </c>
      <c r="K105" s="257">
        <v>268218737.28999999</v>
      </c>
      <c r="L105" s="257">
        <v>268218737.28999999</v>
      </c>
      <c r="M105" s="257">
        <v>76522613.709999993</v>
      </c>
      <c r="N105" s="257">
        <v>76522612.709999993</v>
      </c>
    </row>
    <row r="106" spans="1:14" s="143" customFormat="1" x14ac:dyDescent="0.25">
      <c r="A106" s="143" t="s">
        <v>274</v>
      </c>
      <c r="B106" s="143" t="s">
        <v>79</v>
      </c>
      <c r="C106" s="143" t="s">
        <v>80</v>
      </c>
      <c r="D106" s="143" t="s">
        <v>69</v>
      </c>
      <c r="E106" s="257">
        <v>79992000</v>
      </c>
      <c r="F106" s="257">
        <v>64192000</v>
      </c>
      <c r="G106" s="257">
        <v>64192000</v>
      </c>
      <c r="H106" s="257">
        <v>0</v>
      </c>
      <c r="I106" s="257">
        <v>0</v>
      </c>
      <c r="J106" s="257">
        <v>0</v>
      </c>
      <c r="K106" s="257">
        <v>55888848.409999996</v>
      </c>
      <c r="L106" s="257">
        <v>55888848.409999996</v>
      </c>
      <c r="M106" s="257">
        <v>8303151.5899999999</v>
      </c>
      <c r="N106" s="257">
        <v>8303151.5899999999</v>
      </c>
    </row>
    <row r="107" spans="1:14" s="143" customFormat="1" x14ac:dyDescent="0.25">
      <c r="A107" s="143" t="s">
        <v>274</v>
      </c>
      <c r="B107" s="143" t="s">
        <v>81</v>
      </c>
      <c r="C107" s="143" t="s">
        <v>82</v>
      </c>
      <c r="D107" s="143" t="s">
        <v>69</v>
      </c>
      <c r="E107" s="257">
        <v>248697000</v>
      </c>
      <c r="F107" s="257">
        <v>153947000</v>
      </c>
      <c r="G107" s="257">
        <v>153947000</v>
      </c>
      <c r="H107" s="257">
        <v>0</v>
      </c>
      <c r="I107" s="257">
        <v>0</v>
      </c>
      <c r="J107" s="257">
        <v>0</v>
      </c>
      <c r="K107" s="257">
        <v>134083002.81</v>
      </c>
      <c r="L107" s="257">
        <v>134083002.81</v>
      </c>
      <c r="M107" s="257">
        <v>19863997.190000001</v>
      </c>
      <c r="N107" s="257">
        <v>19863997.190000001</v>
      </c>
    </row>
    <row r="108" spans="1:14" s="143" customFormat="1" x14ac:dyDescent="0.25">
      <c r="A108" s="143" t="s">
        <v>274</v>
      </c>
      <c r="B108" s="143" t="s">
        <v>86</v>
      </c>
      <c r="C108" s="143" t="s">
        <v>87</v>
      </c>
      <c r="D108" s="143" t="s">
        <v>69</v>
      </c>
      <c r="E108" s="257">
        <v>43990000</v>
      </c>
      <c r="F108" s="257">
        <v>44290000</v>
      </c>
      <c r="G108" s="257">
        <v>44290000</v>
      </c>
      <c r="H108" s="257">
        <v>0</v>
      </c>
      <c r="I108" s="257">
        <v>0</v>
      </c>
      <c r="J108" s="257">
        <v>0</v>
      </c>
      <c r="K108" s="257">
        <v>43877811.079999998</v>
      </c>
      <c r="L108" s="257">
        <v>43877811.079999998</v>
      </c>
      <c r="M108" s="257">
        <v>412188.92</v>
      </c>
      <c r="N108" s="257">
        <v>412188.92</v>
      </c>
    </row>
    <row r="109" spans="1:14" s="143" customFormat="1" x14ac:dyDescent="0.25">
      <c r="A109" s="143" t="s">
        <v>274</v>
      </c>
      <c r="B109" s="143" t="s">
        <v>88</v>
      </c>
      <c r="C109" s="143" t="s">
        <v>89</v>
      </c>
      <c r="D109" s="143" t="s">
        <v>69</v>
      </c>
      <c r="E109" s="257">
        <v>31572000</v>
      </c>
      <c r="F109" s="257">
        <v>28572000</v>
      </c>
      <c r="G109" s="257">
        <v>28572000</v>
      </c>
      <c r="H109" s="257">
        <v>0</v>
      </c>
      <c r="I109" s="257">
        <v>0</v>
      </c>
      <c r="J109" s="257">
        <v>0</v>
      </c>
      <c r="K109" s="257">
        <v>25676435.059999999</v>
      </c>
      <c r="L109" s="257">
        <v>25676435.059999999</v>
      </c>
      <c r="M109" s="257">
        <v>2895564.94</v>
      </c>
      <c r="N109" s="257">
        <v>2895564.94</v>
      </c>
    </row>
    <row r="110" spans="1:14" s="143" customFormat="1" x14ac:dyDescent="0.25">
      <c r="A110" s="143" t="s">
        <v>274</v>
      </c>
      <c r="B110" s="143" t="s">
        <v>83</v>
      </c>
      <c r="C110" s="143" t="s">
        <v>84</v>
      </c>
      <c r="D110" s="143" t="s">
        <v>85</v>
      </c>
      <c r="E110" s="257">
        <v>64624000</v>
      </c>
      <c r="F110" s="257">
        <v>50624000</v>
      </c>
      <c r="G110" s="257">
        <v>50624000</v>
      </c>
      <c r="H110" s="257">
        <v>0</v>
      </c>
      <c r="I110" s="257">
        <v>0</v>
      </c>
      <c r="J110" s="257">
        <v>0</v>
      </c>
      <c r="K110" s="257">
        <v>0</v>
      </c>
      <c r="L110" s="257">
        <v>0</v>
      </c>
      <c r="M110" s="257">
        <v>50624000</v>
      </c>
      <c r="N110" s="257">
        <v>50624000</v>
      </c>
    </row>
    <row r="111" spans="1:14" s="143" customFormat="1" x14ac:dyDescent="0.25">
      <c r="A111" s="143" t="s">
        <v>274</v>
      </c>
      <c r="B111" s="143" t="s">
        <v>275</v>
      </c>
      <c r="C111" s="143" t="s">
        <v>827</v>
      </c>
      <c r="D111" s="143" t="s">
        <v>69</v>
      </c>
      <c r="E111" s="257">
        <v>75862000</v>
      </c>
      <c r="F111" s="257">
        <v>63432000</v>
      </c>
      <c r="G111" s="257">
        <v>63432000</v>
      </c>
      <c r="H111" s="257">
        <v>0</v>
      </c>
      <c r="I111" s="257">
        <v>3822174</v>
      </c>
      <c r="J111" s="257">
        <v>0</v>
      </c>
      <c r="K111" s="257">
        <v>59609826</v>
      </c>
      <c r="L111" s="257">
        <v>59609826</v>
      </c>
      <c r="M111" s="257">
        <v>0</v>
      </c>
      <c r="N111" s="257">
        <v>0</v>
      </c>
    </row>
    <row r="112" spans="1:14" s="143" customFormat="1" x14ac:dyDescent="0.25">
      <c r="A112" s="143" t="s">
        <v>274</v>
      </c>
      <c r="B112" s="143" t="s">
        <v>276</v>
      </c>
      <c r="C112" s="143" t="s">
        <v>95</v>
      </c>
      <c r="D112" s="143" t="s">
        <v>69</v>
      </c>
      <c r="E112" s="257">
        <v>4101000</v>
      </c>
      <c r="F112" s="257">
        <v>3579000</v>
      </c>
      <c r="G112" s="257">
        <v>3579000</v>
      </c>
      <c r="H112" s="257">
        <v>0</v>
      </c>
      <c r="I112" s="257">
        <v>357748</v>
      </c>
      <c r="J112" s="257">
        <v>0</v>
      </c>
      <c r="K112" s="257">
        <v>3221252</v>
      </c>
      <c r="L112" s="257">
        <v>3221252</v>
      </c>
      <c r="M112" s="257">
        <v>0</v>
      </c>
      <c r="N112" s="257">
        <v>0</v>
      </c>
    </row>
    <row r="113" spans="1:14" s="143" customFormat="1" x14ac:dyDescent="0.25">
      <c r="A113" s="143" t="s">
        <v>274</v>
      </c>
      <c r="B113" s="143" t="s">
        <v>277</v>
      </c>
      <c r="C113" s="143" t="s">
        <v>828</v>
      </c>
      <c r="D113" s="143" t="s">
        <v>69</v>
      </c>
      <c r="E113" s="257">
        <v>41663000</v>
      </c>
      <c r="F113" s="257">
        <v>35423000</v>
      </c>
      <c r="G113" s="257">
        <v>35423000</v>
      </c>
      <c r="H113" s="257">
        <v>0</v>
      </c>
      <c r="I113" s="257">
        <v>2686348</v>
      </c>
      <c r="J113" s="257">
        <v>0</v>
      </c>
      <c r="K113" s="257">
        <v>32736652</v>
      </c>
      <c r="L113" s="257">
        <v>32736652</v>
      </c>
      <c r="M113" s="257">
        <v>0</v>
      </c>
      <c r="N113" s="257">
        <v>0</v>
      </c>
    </row>
    <row r="114" spans="1:14" s="143" customFormat="1" x14ac:dyDescent="0.25">
      <c r="A114" s="143" t="s">
        <v>274</v>
      </c>
      <c r="B114" s="143" t="s">
        <v>278</v>
      </c>
      <c r="C114" s="143" t="s">
        <v>829</v>
      </c>
      <c r="D114" s="143" t="s">
        <v>69</v>
      </c>
      <c r="E114" s="257">
        <v>12303000</v>
      </c>
      <c r="F114" s="257">
        <v>10733000</v>
      </c>
      <c r="G114" s="257">
        <v>10733000</v>
      </c>
      <c r="H114" s="257">
        <v>0</v>
      </c>
      <c r="I114" s="257">
        <v>1069278</v>
      </c>
      <c r="J114" s="257">
        <v>0</v>
      </c>
      <c r="K114" s="257">
        <v>9663722</v>
      </c>
      <c r="L114" s="257">
        <v>9663722</v>
      </c>
      <c r="M114" s="257">
        <v>0</v>
      </c>
      <c r="N114" s="257">
        <v>0</v>
      </c>
    </row>
    <row r="115" spans="1:14" s="143" customFormat="1" x14ac:dyDescent="0.25">
      <c r="A115" s="143" t="s">
        <v>274</v>
      </c>
      <c r="B115" s="143" t="s">
        <v>279</v>
      </c>
      <c r="C115" s="143" t="s">
        <v>830</v>
      </c>
      <c r="D115" s="143" t="s">
        <v>69</v>
      </c>
      <c r="E115" s="257">
        <v>24604000</v>
      </c>
      <c r="F115" s="257">
        <v>20964000</v>
      </c>
      <c r="G115" s="257">
        <v>20964000</v>
      </c>
      <c r="H115" s="257">
        <v>0</v>
      </c>
      <c r="I115" s="257">
        <v>1636560</v>
      </c>
      <c r="J115" s="257">
        <v>0</v>
      </c>
      <c r="K115" s="257">
        <v>19327440</v>
      </c>
      <c r="L115" s="257">
        <v>19327440</v>
      </c>
      <c r="M115" s="257">
        <v>0</v>
      </c>
      <c r="N115" s="257">
        <v>0</v>
      </c>
    </row>
    <row r="116" spans="1:14" s="143" customFormat="1" x14ac:dyDescent="0.25">
      <c r="A116" s="143" t="s">
        <v>274</v>
      </c>
      <c r="B116" s="143" t="s">
        <v>280</v>
      </c>
      <c r="C116" s="143" t="s">
        <v>281</v>
      </c>
      <c r="D116" s="143" t="s">
        <v>69</v>
      </c>
      <c r="E116" s="257">
        <v>76041000</v>
      </c>
      <c r="F116" s="257">
        <v>67968040</v>
      </c>
      <c r="G116" s="257">
        <v>67968040</v>
      </c>
      <c r="H116" s="257">
        <v>0</v>
      </c>
      <c r="I116" s="257">
        <v>12294515.65</v>
      </c>
      <c r="J116" s="257">
        <v>0</v>
      </c>
      <c r="K116" s="257">
        <v>54368620.859999999</v>
      </c>
      <c r="L116" s="257">
        <v>54368620.859999999</v>
      </c>
      <c r="M116" s="257">
        <v>1304903.49</v>
      </c>
      <c r="N116" s="257">
        <v>1304903.49</v>
      </c>
    </row>
    <row r="117" spans="1:14" s="143" customFormat="1" x14ac:dyDescent="0.25">
      <c r="A117" s="143" t="s">
        <v>274</v>
      </c>
      <c r="B117" s="143" t="s">
        <v>108</v>
      </c>
      <c r="C117" s="143" t="s">
        <v>109</v>
      </c>
      <c r="D117" s="143" t="s">
        <v>69</v>
      </c>
      <c r="E117" s="257">
        <v>16000000</v>
      </c>
      <c r="F117" s="257">
        <v>17110000</v>
      </c>
      <c r="G117" s="257">
        <v>17110000</v>
      </c>
      <c r="H117" s="257">
        <v>0</v>
      </c>
      <c r="I117" s="257">
        <v>4632373.7699999996</v>
      </c>
      <c r="J117" s="257">
        <v>0</v>
      </c>
      <c r="K117" s="257">
        <v>12475946</v>
      </c>
      <c r="L117" s="257">
        <v>9724236.1500000004</v>
      </c>
      <c r="M117" s="257">
        <v>1680.23</v>
      </c>
      <c r="N117" s="257">
        <v>1680.23</v>
      </c>
    </row>
    <row r="118" spans="1:14" s="143" customFormat="1" x14ac:dyDescent="0.25">
      <c r="A118" s="143" t="s">
        <v>274</v>
      </c>
      <c r="B118" s="143" t="s">
        <v>114</v>
      </c>
      <c r="C118" s="143" t="s">
        <v>115</v>
      </c>
      <c r="D118" s="143" t="s">
        <v>69</v>
      </c>
      <c r="E118" s="257">
        <v>2000000</v>
      </c>
      <c r="F118" s="257">
        <v>1976700</v>
      </c>
      <c r="G118" s="257">
        <v>1976700</v>
      </c>
      <c r="H118" s="257">
        <v>0</v>
      </c>
      <c r="I118" s="257">
        <v>320095</v>
      </c>
      <c r="J118" s="257">
        <v>0</v>
      </c>
      <c r="K118" s="257">
        <v>906515</v>
      </c>
      <c r="L118" s="257">
        <v>839450</v>
      </c>
      <c r="M118" s="257">
        <v>750090</v>
      </c>
      <c r="N118" s="257">
        <v>750090</v>
      </c>
    </row>
    <row r="119" spans="1:14" s="143" customFormat="1" x14ac:dyDescent="0.25">
      <c r="A119" s="143" t="s">
        <v>274</v>
      </c>
      <c r="B119" s="143" t="s">
        <v>116</v>
      </c>
      <c r="C119" s="143" t="s">
        <v>117</v>
      </c>
      <c r="D119" s="143" t="s">
        <v>69</v>
      </c>
      <c r="E119" s="257">
        <v>6000000</v>
      </c>
      <c r="F119" s="257">
        <v>6000000</v>
      </c>
      <c r="G119" s="257">
        <v>6000000</v>
      </c>
      <c r="H119" s="257">
        <v>0</v>
      </c>
      <c r="I119" s="257">
        <v>1109811</v>
      </c>
      <c r="J119" s="257">
        <v>0</v>
      </c>
      <c r="K119" s="257">
        <v>2877171</v>
      </c>
      <c r="L119" s="257">
        <v>2616320</v>
      </c>
      <c r="M119" s="257">
        <v>2013018</v>
      </c>
      <c r="N119" s="257">
        <v>2013018</v>
      </c>
    </row>
    <row r="120" spans="1:14" s="143" customFormat="1" x14ac:dyDescent="0.25">
      <c r="A120" s="143" t="s">
        <v>274</v>
      </c>
      <c r="B120" s="143" t="s">
        <v>118</v>
      </c>
      <c r="C120" s="143" t="s">
        <v>119</v>
      </c>
      <c r="D120" s="143" t="s">
        <v>69</v>
      </c>
      <c r="E120" s="257">
        <v>500000</v>
      </c>
      <c r="F120" s="257">
        <v>500000</v>
      </c>
      <c r="G120" s="257">
        <v>500000</v>
      </c>
      <c r="H120" s="257">
        <v>0</v>
      </c>
      <c r="I120" s="257">
        <v>0</v>
      </c>
      <c r="J120" s="257">
        <v>0</v>
      </c>
      <c r="K120" s="257">
        <v>0</v>
      </c>
      <c r="L120" s="257">
        <v>0</v>
      </c>
      <c r="M120" s="257">
        <v>500000</v>
      </c>
      <c r="N120" s="257">
        <v>500000</v>
      </c>
    </row>
    <row r="121" spans="1:14" s="143" customFormat="1" x14ac:dyDescent="0.25">
      <c r="A121" s="143" t="s">
        <v>274</v>
      </c>
      <c r="B121" s="143" t="s">
        <v>120</v>
      </c>
      <c r="C121" s="143" t="s">
        <v>121</v>
      </c>
      <c r="D121" s="143" t="s">
        <v>69</v>
      </c>
      <c r="E121" s="257">
        <v>14062000</v>
      </c>
      <c r="F121" s="257">
        <v>14062000</v>
      </c>
      <c r="G121" s="257">
        <v>14062000</v>
      </c>
      <c r="H121" s="257">
        <v>0</v>
      </c>
      <c r="I121" s="257">
        <v>3588157</v>
      </c>
      <c r="J121" s="257">
        <v>0</v>
      </c>
      <c r="K121" s="257">
        <v>8304540</v>
      </c>
      <c r="L121" s="257">
        <v>7515341</v>
      </c>
      <c r="M121" s="257">
        <v>2169303</v>
      </c>
      <c r="N121" s="257">
        <v>2169303</v>
      </c>
    </row>
    <row r="122" spans="1:14" s="143" customFormat="1" x14ac:dyDescent="0.25">
      <c r="A122" s="143" t="s">
        <v>274</v>
      </c>
      <c r="B122" s="143" t="s">
        <v>126</v>
      </c>
      <c r="C122" s="143" t="s">
        <v>127</v>
      </c>
      <c r="D122" s="143" t="s">
        <v>69</v>
      </c>
      <c r="E122" s="257">
        <v>1000000</v>
      </c>
      <c r="F122" s="257">
        <v>250000</v>
      </c>
      <c r="G122" s="257">
        <v>250000</v>
      </c>
      <c r="H122" s="257">
        <v>0</v>
      </c>
      <c r="I122" s="257">
        <v>225500</v>
      </c>
      <c r="J122" s="257">
        <v>0</v>
      </c>
      <c r="K122" s="257">
        <v>24500</v>
      </c>
      <c r="L122" s="257">
        <v>24500</v>
      </c>
      <c r="M122" s="257">
        <v>0</v>
      </c>
      <c r="N122" s="257">
        <v>0</v>
      </c>
    </row>
    <row r="123" spans="1:14" s="143" customFormat="1" x14ac:dyDescent="0.25">
      <c r="A123" s="143" t="s">
        <v>274</v>
      </c>
      <c r="B123" s="143" t="s">
        <v>532</v>
      </c>
      <c r="C123" s="143" t="s">
        <v>718</v>
      </c>
      <c r="D123" s="143" t="s">
        <v>69</v>
      </c>
      <c r="E123" s="257">
        <v>169500</v>
      </c>
      <c r="F123" s="257">
        <v>97250</v>
      </c>
      <c r="G123" s="257">
        <v>97250</v>
      </c>
      <c r="H123" s="257">
        <v>0</v>
      </c>
      <c r="I123" s="257">
        <v>0</v>
      </c>
      <c r="J123" s="257">
        <v>0</v>
      </c>
      <c r="K123" s="257">
        <v>97250</v>
      </c>
      <c r="L123" s="257">
        <v>97250</v>
      </c>
      <c r="M123" s="257">
        <v>0</v>
      </c>
      <c r="N123" s="257">
        <v>0</v>
      </c>
    </row>
    <row r="124" spans="1:14" s="143" customFormat="1" x14ac:dyDescent="0.25">
      <c r="A124" s="143" t="s">
        <v>274</v>
      </c>
      <c r="B124" s="143" t="s">
        <v>128</v>
      </c>
      <c r="C124" s="143" t="s">
        <v>129</v>
      </c>
      <c r="D124" s="143" t="s">
        <v>69</v>
      </c>
      <c r="E124" s="257">
        <v>2000000</v>
      </c>
      <c r="F124" s="257">
        <v>3005710</v>
      </c>
      <c r="G124" s="257">
        <v>3005710</v>
      </c>
      <c r="H124" s="257">
        <v>0</v>
      </c>
      <c r="I124" s="257">
        <v>0</v>
      </c>
      <c r="J124" s="257">
        <v>15000</v>
      </c>
      <c r="K124" s="257">
        <v>2989000</v>
      </c>
      <c r="L124" s="257">
        <v>2989000</v>
      </c>
      <c r="M124" s="257">
        <v>1710</v>
      </c>
      <c r="N124" s="257">
        <v>1710</v>
      </c>
    </row>
    <row r="125" spans="1:14" s="143" customFormat="1" x14ac:dyDescent="0.25">
      <c r="A125" s="143" t="s">
        <v>274</v>
      </c>
      <c r="B125" s="143" t="s">
        <v>136</v>
      </c>
      <c r="C125" s="143" t="s">
        <v>137</v>
      </c>
      <c r="D125" s="143" t="s">
        <v>69</v>
      </c>
      <c r="E125" s="257">
        <v>3300000</v>
      </c>
      <c r="F125" s="257">
        <v>2850000</v>
      </c>
      <c r="G125" s="257">
        <v>2850000</v>
      </c>
      <c r="H125" s="257">
        <v>0</v>
      </c>
      <c r="I125" s="257">
        <v>1017240</v>
      </c>
      <c r="J125" s="257">
        <v>986000</v>
      </c>
      <c r="K125" s="257">
        <v>0</v>
      </c>
      <c r="L125" s="257">
        <v>0</v>
      </c>
      <c r="M125" s="257">
        <v>846760</v>
      </c>
      <c r="N125" s="257">
        <v>846760</v>
      </c>
    </row>
    <row r="126" spans="1:14" s="143" customFormat="1" x14ac:dyDescent="0.25">
      <c r="A126" s="143" t="s">
        <v>274</v>
      </c>
      <c r="B126" s="143" t="s">
        <v>138</v>
      </c>
      <c r="C126" s="143" t="s">
        <v>139</v>
      </c>
      <c r="D126" s="143" t="s">
        <v>69</v>
      </c>
      <c r="E126" s="257">
        <v>1500000</v>
      </c>
      <c r="F126" s="257">
        <v>590000</v>
      </c>
      <c r="G126" s="257">
        <v>590000</v>
      </c>
      <c r="H126" s="257">
        <v>0</v>
      </c>
      <c r="I126" s="257">
        <v>190000</v>
      </c>
      <c r="J126" s="257">
        <v>0</v>
      </c>
      <c r="K126" s="257">
        <v>400000</v>
      </c>
      <c r="L126" s="257">
        <v>350000</v>
      </c>
      <c r="M126" s="257">
        <v>0</v>
      </c>
      <c r="N126" s="257">
        <v>0</v>
      </c>
    </row>
    <row r="127" spans="1:14" s="143" customFormat="1" x14ac:dyDescent="0.25">
      <c r="A127" s="143" t="s">
        <v>274</v>
      </c>
      <c r="B127" s="143" t="s">
        <v>142</v>
      </c>
      <c r="C127" s="143" t="s">
        <v>143</v>
      </c>
      <c r="D127" s="143" t="s">
        <v>69</v>
      </c>
      <c r="E127" s="257">
        <v>700000</v>
      </c>
      <c r="F127" s="257">
        <v>804000</v>
      </c>
      <c r="G127" s="257">
        <v>804000</v>
      </c>
      <c r="H127" s="257">
        <v>0</v>
      </c>
      <c r="I127" s="257">
        <v>402880</v>
      </c>
      <c r="J127" s="257">
        <v>0</v>
      </c>
      <c r="K127" s="257">
        <v>401120</v>
      </c>
      <c r="L127" s="257">
        <v>401120</v>
      </c>
      <c r="M127" s="257">
        <v>0</v>
      </c>
      <c r="N127" s="257">
        <v>0</v>
      </c>
    </row>
    <row r="128" spans="1:14" s="143" customFormat="1" x14ac:dyDescent="0.25">
      <c r="A128" s="143" t="s">
        <v>274</v>
      </c>
      <c r="B128" s="143" t="s">
        <v>144</v>
      </c>
      <c r="C128" s="143" t="s">
        <v>145</v>
      </c>
      <c r="D128" s="143" t="s">
        <v>69</v>
      </c>
      <c r="E128" s="257">
        <v>8534500</v>
      </c>
      <c r="F128" s="257">
        <v>9034500</v>
      </c>
      <c r="G128" s="257">
        <v>9034500</v>
      </c>
      <c r="H128" s="257">
        <v>129900</v>
      </c>
      <c r="I128" s="257">
        <v>2805850</v>
      </c>
      <c r="J128" s="257">
        <v>0</v>
      </c>
      <c r="K128" s="257">
        <v>5748000</v>
      </c>
      <c r="L128" s="257">
        <v>5737700</v>
      </c>
      <c r="M128" s="257">
        <v>350750</v>
      </c>
      <c r="N128" s="257">
        <v>350750</v>
      </c>
    </row>
    <row r="129" spans="1:14" s="143" customFormat="1" x14ac:dyDescent="0.25">
      <c r="A129" s="143" t="s">
        <v>274</v>
      </c>
      <c r="B129" s="143" t="s">
        <v>152</v>
      </c>
      <c r="C129" s="143" t="s">
        <v>153</v>
      </c>
      <c r="D129" s="143" t="s">
        <v>69</v>
      </c>
      <c r="E129" s="257">
        <v>4500000</v>
      </c>
      <c r="F129" s="257">
        <v>4453000</v>
      </c>
      <c r="G129" s="257">
        <v>4453000</v>
      </c>
      <c r="H129" s="257">
        <v>0</v>
      </c>
      <c r="I129" s="257">
        <v>172995</v>
      </c>
      <c r="J129" s="257">
        <v>0</v>
      </c>
      <c r="K129" s="257">
        <v>3814274</v>
      </c>
      <c r="L129" s="257">
        <v>2901150</v>
      </c>
      <c r="M129" s="257">
        <v>465731</v>
      </c>
      <c r="N129" s="257">
        <v>465731</v>
      </c>
    </row>
    <row r="130" spans="1:14" s="143" customFormat="1" x14ac:dyDescent="0.25">
      <c r="A130" s="143" t="s">
        <v>274</v>
      </c>
      <c r="B130" s="143" t="s">
        <v>156</v>
      </c>
      <c r="C130" s="143" t="s">
        <v>157</v>
      </c>
      <c r="D130" s="143" t="s">
        <v>69</v>
      </c>
      <c r="E130" s="257">
        <v>12506000</v>
      </c>
      <c r="F130" s="257">
        <v>12506000</v>
      </c>
      <c r="G130" s="257">
        <v>12506000</v>
      </c>
      <c r="H130" s="257">
        <v>0</v>
      </c>
      <c r="I130" s="257">
        <v>3145762.8</v>
      </c>
      <c r="J130" s="257">
        <v>0</v>
      </c>
      <c r="K130" s="257">
        <v>9358000</v>
      </c>
      <c r="L130" s="257">
        <v>7112400</v>
      </c>
      <c r="M130" s="257">
        <v>2237.1999999999998</v>
      </c>
      <c r="N130" s="257">
        <v>2237.1999999999998</v>
      </c>
    </row>
    <row r="131" spans="1:14" s="143" customFormat="1" x14ac:dyDescent="0.25">
      <c r="A131" s="143" t="s">
        <v>274</v>
      </c>
      <c r="B131" s="143" t="s">
        <v>166</v>
      </c>
      <c r="C131" s="143" t="s">
        <v>167</v>
      </c>
      <c r="D131" s="143" t="s">
        <v>69</v>
      </c>
      <c r="E131" s="257">
        <v>600000</v>
      </c>
      <c r="F131" s="257">
        <v>600000</v>
      </c>
      <c r="G131" s="257">
        <v>600000</v>
      </c>
      <c r="H131" s="257">
        <v>0</v>
      </c>
      <c r="I131" s="257">
        <v>597500</v>
      </c>
      <c r="J131" s="257">
        <v>0</v>
      </c>
      <c r="K131" s="257">
        <v>2500</v>
      </c>
      <c r="L131" s="257">
        <v>2500</v>
      </c>
      <c r="M131" s="257">
        <v>0</v>
      </c>
      <c r="N131" s="257">
        <v>0</v>
      </c>
    </row>
    <row r="132" spans="1:14" s="143" customFormat="1" x14ac:dyDescent="0.25">
      <c r="A132" s="143" t="s">
        <v>274</v>
      </c>
      <c r="B132" s="143" t="s">
        <v>168</v>
      </c>
      <c r="C132" s="143" t="s">
        <v>169</v>
      </c>
      <c r="D132" s="143" t="s">
        <v>69</v>
      </c>
      <c r="E132" s="257">
        <v>1500000</v>
      </c>
      <c r="F132" s="257">
        <v>1000000</v>
      </c>
      <c r="G132" s="257">
        <v>1000000</v>
      </c>
      <c r="H132" s="257">
        <v>0</v>
      </c>
      <c r="I132" s="257">
        <v>0</v>
      </c>
      <c r="J132" s="257">
        <v>0</v>
      </c>
      <c r="K132" s="257">
        <v>0</v>
      </c>
      <c r="L132" s="257">
        <v>0</v>
      </c>
      <c r="M132" s="257">
        <v>1000000</v>
      </c>
      <c r="N132" s="257">
        <v>1000000</v>
      </c>
    </row>
    <row r="133" spans="1:14" s="143" customFormat="1" x14ac:dyDescent="0.25">
      <c r="A133" s="143" t="s">
        <v>274</v>
      </c>
      <c r="B133" s="143" t="s">
        <v>170</v>
      </c>
      <c r="C133" s="143" t="s">
        <v>171</v>
      </c>
      <c r="D133" s="143" t="s">
        <v>69</v>
      </c>
      <c r="E133" s="257">
        <v>1500000</v>
      </c>
      <c r="F133" s="257">
        <v>1500000</v>
      </c>
      <c r="G133" s="257">
        <v>1500000</v>
      </c>
      <c r="H133" s="257">
        <v>0</v>
      </c>
      <c r="I133" s="257">
        <v>0</v>
      </c>
      <c r="J133" s="257">
        <v>0</v>
      </c>
      <c r="K133" s="257">
        <v>1480193.78</v>
      </c>
      <c r="L133" s="257">
        <v>0</v>
      </c>
      <c r="M133" s="257">
        <v>19806.22</v>
      </c>
      <c r="N133" s="257">
        <v>19806.22</v>
      </c>
    </row>
    <row r="134" spans="1:14" s="143" customFormat="1" x14ac:dyDescent="0.25">
      <c r="A134" s="143" t="s">
        <v>274</v>
      </c>
      <c r="B134" s="143" t="s">
        <v>172</v>
      </c>
      <c r="C134" s="143" t="s">
        <v>173</v>
      </c>
      <c r="D134" s="143" t="s">
        <v>69</v>
      </c>
      <c r="E134" s="257">
        <v>1000000</v>
      </c>
      <c r="F134" s="257">
        <v>500000</v>
      </c>
      <c r="G134" s="257">
        <v>500000</v>
      </c>
      <c r="H134" s="257">
        <v>0</v>
      </c>
      <c r="I134" s="257">
        <v>0</v>
      </c>
      <c r="J134" s="257">
        <v>0</v>
      </c>
      <c r="K134" s="257">
        <v>0</v>
      </c>
      <c r="L134" s="257">
        <v>0</v>
      </c>
      <c r="M134" s="257">
        <v>500000</v>
      </c>
      <c r="N134" s="257">
        <v>500000</v>
      </c>
    </row>
    <row r="135" spans="1:14" s="143" customFormat="1" x14ac:dyDescent="0.25">
      <c r="A135" s="143" t="s">
        <v>274</v>
      </c>
      <c r="B135" s="143" t="s">
        <v>176</v>
      </c>
      <c r="C135" s="143" t="s">
        <v>177</v>
      </c>
      <c r="D135" s="143" t="s">
        <v>69</v>
      </c>
      <c r="E135" s="257">
        <v>200000</v>
      </c>
      <c r="F135" s="257">
        <v>120000</v>
      </c>
      <c r="G135" s="257">
        <v>120000</v>
      </c>
      <c r="H135" s="257">
        <v>0</v>
      </c>
      <c r="I135" s="257">
        <v>120000</v>
      </c>
      <c r="J135" s="257">
        <v>0</v>
      </c>
      <c r="K135" s="257">
        <v>0</v>
      </c>
      <c r="L135" s="257">
        <v>0</v>
      </c>
      <c r="M135" s="257">
        <v>0</v>
      </c>
      <c r="N135" s="257">
        <v>0</v>
      </c>
    </row>
    <row r="136" spans="1:14" s="143" customFormat="1" x14ac:dyDescent="0.25">
      <c r="A136" s="143" t="s">
        <v>274</v>
      </c>
      <c r="B136" s="143" t="s">
        <v>182</v>
      </c>
      <c r="C136" s="143" t="s">
        <v>183</v>
      </c>
      <c r="D136" s="143" t="s">
        <v>69</v>
      </c>
      <c r="E136" s="257">
        <v>500000</v>
      </c>
      <c r="F136" s="257">
        <v>225000</v>
      </c>
      <c r="G136" s="257">
        <v>225000</v>
      </c>
      <c r="H136" s="257">
        <v>0</v>
      </c>
      <c r="I136" s="257">
        <v>225000</v>
      </c>
      <c r="J136" s="257">
        <v>0</v>
      </c>
      <c r="K136" s="257">
        <v>0</v>
      </c>
      <c r="L136" s="257">
        <v>0</v>
      </c>
      <c r="M136" s="257">
        <v>0</v>
      </c>
      <c r="N136" s="257">
        <v>0</v>
      </c>
    </row>
    <row r="137" spans="1:14" s="143" customFormat="1" x14ac:dyDescent="0.25">
      <c r="A137" s="143" t="s">
        <v>274</v>
      </c>
      <c r="B137" s="143" t="s">
        <v>188</v>
      </c>
      <c r="C137" s="143" t="s">
        <v>189</v>
      </c>
      <c r="D137" s="143" t="s">
        <v>69</v>
      </c>
      <c r="E137" s="257">
        <v>5000000</v>
      </c>
      <c r="F137" s="257">
        <v>4492000</v>
      </c>
      <c r="G137" s="257">
        <v>4492000</v>
      </c>
      <c r="H137" s="257">
        <v>0</v>
      </c>
      <c r="I137" s="257">
        <v>1590688</v>
      </c>
      <c r="J137" s="257">
        <v>0</v>
      </c>
      <c r="K137" s="257">
        <v>2473584</v>
      </c>
      <c r="L137" s="257">
        <v>2473584</v>
      </c>
      <c r="M137" s="257">
        <v>427728</v>
      </c>
      <c r="N137" s="257">
        <v>427728</v>
      </c>
    </row>
    <row r="138" spans="1:14" s="143" customFormat="1" x14ac:dyDescent="0.25">
      <c r="A138" s="143" t="s">
        <v>274</v>
      </c>
      <c r="B138" s="143" t="s">
        <v>192</v>
      </c>
      <c r="C138" s="143" t="s">
        <v>193</v>
      </c>
      <c r="D138" s="143" t="s">
        <v>69</v>
      </c>
      <c r="E138" s="257">
        <v>10000000</v>
      </c>
      <c r="F138" s="257">
        <v>9991000</v>
      </c>
      <c r="G138" s="257">
        <v>9991000</v>
      </c>
      <c r="H138" s="257">
        <v>0</v>
      </c>
      <c r="I138" s="257">
        <v>1704890</v>
      </c>
      <c r="J138" s="257">
        <v>0</v>
      </c>
      <c r="K138" s="257">
        <v>7961270.5</v>
      </c>
      <c r="L138" s="257">
        <v>765582.3</v>
      </c>
      <c r="M138" s="257">
        <v>324839.5</v>
      </c>
      <c r="N138" s="257">
        <v>324839.5</v>
      </c>
    </row>
    <row r="139" spans="1:14" s="143" customFormat="1" x14ac:dyDescent="0.25">
      <c r="A139" s="143" t="s">
        <v>274</v>
      </c>
      <c r="B139" s="143" t="s">
        <v>198</v>
      </c>
      <c r="C139" s="143" t="s">
        <v>199</v>
      </c>
      <c r="D139" s="143" t="s">
        <v>69</v>
      </c>
      <c r="E139" s="257">
        <v>3000000</v>
      </c>
      <c r="F139" s="257">
        <v>3600000</v>
      </c>
      <c r="G139" s="257">
        <v>3600000</v>
      </c>
      <c r="H139" s="257">
        <v>0</v>
      </c>
      <c r="I139" s="257">
        <v>824642</v>
      </c>
      <c r="J139" s="257">
        <v>0</v>
      </c>
      <c r="K139" s="257">
        <v>2774742</v>
      </c>
      <c r="L139" s="257">
        <v>2774742</v>
      </c>
      <c r="M139" s="257">
        <v>616</v>
      </c>
      <c r="N139" s="257">
        <v>616</v>
      </c>
    </row>
    <row r="140" spans="1:14" s="143" customFormat="1" x14ac:dyDescent="0.25">
      <c r="A140" s="143" t="s">
        <v>274</v>
      </c>
      <c r="B140" s="143" t="s">
        <v>202</v>
      </c>
      <c r="C140" s="143" t="s">
        <v>203</v>
      </c>
      <c r="D140" s="143" t="s">
        <v>69</v>
      </c>
      <c r="E140" s="257">
        <v>811000</v>
      </c>
      <c r="F140" s="257">
        <v>811000</v>
      </c>
      <c r="G140" s="257">
        <v>811000</v>
      </c>
      <c r="H140" s="257">
        <v>0</v>
      </c>
      <c r="I140" s="257">
        <v>105430</v>
      </c>
      <c r="J140" s="257">
        <v>0</v>
      </c>
      <c r="K140" s="257">
        <v>662490.84</v>
      </c>
      <c r="L140" s="257">
        <v>49500</v>
      </c>
      <c r="M140" s="257">
        <v>43079.16</v>
      </c>
      <c r="N140" s="257">
        <v>43079.16</v>
      </c>
    </row>
    <row r="141" spans="1:14" s="143" customFormat="1" x14ac:dyDescent="0.25">
      <c r="A141" s="143" t="s">
        <v>274</v>
      </c>
      <c r="B141" s="143" t="s">
        <v>204</v>
      </c>
      <c r="C141" s="143" t="s">
        <v>205</v>
      </c>
      <c r="D141" s="143" t="s">
        <v>69</v>
      </c>
      <c r="E141" s="257">
        <v>16000</v>
      </c>
      <c r="F141" s="257">
        <v>0</v>
      </c>
      <c r="G141" s="257">
        <v>0</v>
      </c>
      <c r="H141" s="257">
        <v>0</v>
      </c>
      <c r="I141" s="257">
        <v>0</v>
      </c>
      <c r="J141" s="257">
        <v>0</v>
      </c>
      <c r="K141" s="257">
        <v>0</v>
      </c>
      <c r="L141" s="257">
        <v>0</v>
      </c>
      <c r="M141" s="257">
        <v>0</v>
      </c>
      <c r="N141" s="257">
        <v>0</v>
      </c>
    </row>
    <row r="142" spans="1:14" s="143" customFormat="1" x14ac:dyDescent="0.25">
      <c r="A142" s="143" t="s">
        <v>274</v>
      </c>
      <c r="B142" s="143" t="s">
        <v>208</v>
      </c>
      <c r="C142" s="143" t="s">
        <v>209</v>
      </c>
      <c r="D142" s="143" t="s">
        <v>69</v>
      </c>
      <c r="E142" s="257">
        <v>2000000</v>
      </c>
      <c r="F142" s="257">
        <v>1987000</v>
      </c>
      <c r="G142" s="257">
        <v>1987000</v>
      </c>
      <c r="H142" s="257">
        <v>0</v>
      </c>
      <c r="I142" s="257">
        <v>364550</v>
      </c>
      <c r="J142" s="257">
        <v>0</v>
      </c>
      <c r="K142" s="257">
        <v>1241990.3799999999</v>
      </c>
      <c r="L142" s="257">
        <v>1241990.3799999999</v>
      </c>
      <c r="M142" s="257">
        <v>380459.62</v>
      </c>
      <c r="N142" s="257">
        <v>380459.62</v>
      </c>
    </row>
    <row r="143" spans="1:14" s="143" customFormat="1" x14ac:dyDescent="0.25">
      <c r="A143" s="143" t="s">
        <v>274</v>
      </c>
      <c r="B143" s="143" t="s">
        <v>210</v>
      </c>
      <c r="C143" s="143" t="s">
        <v>211</v>
      </c>
      <c r="D143" s="143" t="s">
        <v>69</v>
      </c>
      <c r="E143" s="257">
        <v>1000000</v>
      </c>
      <c r="F143" s="257">
        <v>1000000</v>
      </c>
      <c r="G143" s="257">
        <v>1000000</v>
      </c>
      <c r="H143" s="257">
        <v>0</v>
      </c>
      <c r="I143" s="257">
        <v>994125</v>
      </c>
      <c r="J143" s="257">
        <v>0</v>
      </c>
      <c r="K143" s="257">
        <v>0</v>
      </c>
      <c r="L143" s="257">
        <v>0</v>
      </c>
      <c r="M143" s="257">
        <v>5875</v>
      </c>
      <c r="N143" s="257">
        <v>5875</v>
      </c>
    </row>
    <row r="144" spans="1:14" s="143" customFormat="1" x14ac:dyDescent="0.25">
      <c r="A144" s="143" t="s">
        <v>274</v>
      </c>
      <c r="B144" s="143" t="s">
        <v>214</v>
      </c>
      <c r="C144" s="143" t="s">
        <v>215</v>
      </c>
      <c r="D144" s="143" t="s">
        <v>69</v>
      </c>
      <c r="E144" s="257">
        <v>2000000</v>
      </c>
      <c r="F144" s="257">
        <v>2000000</v>
      </c>
      <c r="G144" s="257">
        <v>2000000</v>
      </c>
      <c r="H144" s="257">
        <v>0</v>
      </c>
      <c r="I144" s="257">
        <v>0</v>
      </c>
      <c r="J144" s="257">
        <v>396419.15</v>
      </c>
      <c r="K144" s="257">
        <v>1456851.3</v>
      </c>
      <c r="L144" s="257">
        <v>1416867.3</v>
      </c>
      <c r="M144" s="257">
        <v>146729.54999999999</v>
      </c>
      <c r="N144" s="257">
        <v>146729.54999999999</v>
      </c>
    </row>
    <row r="145" spans="1:14" s="143" customFormat="1" x14ac:dyDescent="0.25">
      <c r="A145" s="143" t="s">
        <v>274</v>
      </c>
      <c r="B145" s="143" t="s">
        <v>218</v>
      </c>
      <c r="C145" s="143" t="s">
        <v>219</v>
      </c>
      <c r="D145" s="143" t="s">
        <v>69</v>
      </c>
      <c r="E145" s="257">
        <v>2300000</v>
      </c>
      <c r="F145" s="257">
        <v>2300000</v>
      </c>
      <c r="G145" s="257">
        <v>2300000</v>
      </c>
      <c r="H145" s="257">
        <v>0</v>
      </c>
      <c r="I145" s="257">
        <v>125100</v>
      </c>
      <c r="J145" s="257">
        <v>224472.09</v>
      </c>
      <c r="K145" s="257">
        <v>1938282.5</v>
      </c>
      <c r="L145" s="257">
        <v>1726987</v>
      </c>
      <c r="M145" s="257">
        <v>12145.41</v>
      </c>
      <c r="N145" s="257">
        <v>12145.41</v>
      </c>
    </row>
    <row r="146" spans="1:14" s="143" customFormat="1" x14ac:dyDescent="0.25">
      <c r="A146" s="143" t="s">
        <v>274</v>
      </c>
      <c r="B146" s="143" t="s">
        <v>222</v>
      </c>
      <c r="C146" s="143" t="s">
        <v>223</v>
      </c>
      <c r="D146" s="143" t="s">
        <v>69</v>
      </c>
      <c r="E146" s="257">
        <v>700000</v>
      </c>
      <c r="F146" s="257">
        <v>700000</v>
      </c>
      <c r="G146" s="257">
        <v>700000</v>
      </c>
      <c r="H146" s="257">
        <v>0</v>
      </c>
      <c r="I146" s="257">
        <v>316882</v>
      </c>
      <c r="J146" s="257">
        <v>0</v>
      </c>
      <c r="K146" s="257">
        <v>71800</v>
      </c>
      <c r="L146" s="257">
        <v>0</v>
      </c>
      <c r="M146" s="257">
        <v>311318</v>
      </c>
      <c r="N146" s="257">
        <v>311318</v>
      </c>
    </row>
    <row r="147" spans="1:14" s="143" customFormat="1" x14ac:dyDescent="0.25">
      <c r="A147" s="143" t="s">
        <v>274</v>
      </c>
      <c r="B147" s="143" t="s">
        <v>228</v>
      </c>
      <c r="C147" s="143" t="s">
        <v>229</v>
      </c>
      <c r="D147" s="143" t="s">
        <v>69</v>
      </c>
      <c r="E147" s="257">
        <v>100000</v>
      </c>
      <c r="F147" s="257">
        <v>100000</v>
      </c>
      <c r="G147" s="257">
        <v>100000</v>
      </c>
      <c r="H147" s="257">
        <v>0</v>
      </c>
      <c r="I147" s="257">
        <v>0</v>
      </c>
      <c r="J147" s="257">
        <v>0</v>
      </c>
      <c r="K147" s="257">
        <v>0</v>
      </c>
      <c r="L147" s="257">
        <v>0</v>
      </c>
      <c r="M147" s="257">
        <v>100000</v>
      </c>
      <c r="N147" s="257">
        <v>100000</v>
      </c>
    </row>
    <row r="148" spans="1:14" s="143" customFormat="1" x14ac:dyDescent="0.25">
      <c r="A148" s="143" t="s">
        <v>274</v>
      </c>
      <c r="B148" s="143" t="s">
        <v>284</v>
      </c>
      <c r="C148" s="143" t="s">
        <v>832</v>
      </c>
      <c r="D148" s="143" t="s">
        <v>69</v>
      </c>
      <c r="E148" s="257">
        <v>4757000</v>
      </c>
      <c r="F148" s="257">
        <v>4757000</v>
      </c>
      <c r="G148" s="257">
        <v>4757000</v>
      </c>
      <c r="H148" s="257">
        <v>0</v>
      </c>
      <c r="I148" s="257">
        <v>258365</v>
      </c>
      <c r="J148" s="257">
        <v>0</v>
      </c>
      <c r="K148" s="257">
        <v>4498635</v>
      </c>
      <c r="L148" s="257">
        <v>4498635</v>
      </c>
      <c r="M148" s="257">
        <v>0</v>
      </c>
      <c r="N148" s="257">
        <v>0</v>
      </c>
    </row>
    <row r="149" spans="1:14" s="143" customFormat="1" x14ac:dyDescent="0.25">
      <c r="A149" s="143" t="s">
        <v>274</v>
      </c>
      <c r="B149" s="143" t="s">
        <v>285</v>
      </c>
      <c r="C149" s="143" t="s">
        <v>833</v>
      </c>
      <c r="D149" s="143" t="s">
        <v>69</v>
      </c>
      <c r="E149" s="257">
        <v>2051000</v>
      </c>
      <c r="F149" s="257">
        <v>2051000</v>
      </c>
      <c r="G149" s="257">
        <v>2051000</v>
      </c>
      <c r="H149" s="257">
        <v>0</v>
      </c>
      <c r="I149" s="257">
        <v>563113</v>
      </c>
      <c r="J149" s="257">
        <v>0</v>
      </c>
      <c r="K149" s="257">
        <v>1487887</v>
      </c>
      <c r="L149" s="257">
        <v>1487887</v>
      </c>
      <c r="M149" s="257">
        <v>0</v>
      </c>
      <c r="N149" s="257">
        <v>0</v>
      </c>
    </row>
    <row r="150" spans="1:14" s="143" customFormat="1" x14ac:dyDescent="0.25">
      <c r="A150" s="143" t="s">
        <v>274</v>
      </c>
      <c r="B150" s="143" t="s">
        <v>262</v>
      </c>
      <c r="C150" s="143" t="s">
        <v>263</v>
      </c>
      <c r="D150" s="143" t="s">
        <v>69</v>
      </c>
      <c r="E150" s="257">
        <v>11000000</v>
      </c>
      <c r="F150" s="257">
        <v>15740000</v>
      </c>
      <c r="G150" s="257">
        <v>15740000</v>
      </c>
      <c r="H150" s="257">
        <v>0</v>
      </c>
      <c r="I150" s="257">
        <v>1451.38</v>
      </c>
      <c r="J150" s="257">
        <v>0</v>
      </c>
      <c r="K150" s="257">
        <v>15738128.390000001</v>
      </c>
      <c r="L150" s="257">
        <v>15738128.390000001</v>
      </c>
      <c r="M150" s="257">
        <v>420.23</v>
      </c>
      <c r="N150" s="257">
        <v>420.23</v>
      </c>
    </row>
    <row r="151" spans="1:14" s="143" customFormat="1" x14ac:dyDescent="0.25">
      <c r="A151" s="143" t="s">
        <v>274</v>
      </c>
      <c r="B151" s="143" t="s">
        <v>264</v>
      </c>
      <c r="C151" s="143" t="s">
        <v>265</v>
      </c>
      <c r="D151" s="143" t="s">
        <v>69</v>
      </c>
      <c r="E151" s="257">
        <v>7000000</v>
      </c>
      <c r="F151" s="257">
        <v>7000000</v>
      </c>
      <c r="G151" s="257">
        <v>7000000</v>
      </c>
      <c r="H151" s="257">
        <v>0</v>
      </c>
      <c r="I151" s="257">
        <v>0</v>
      </c>
      <c r="J151" s="257">
        <v>0</v>
      </c>
      <c r="K151" s="257">
        <v>1016555.5</v>
      </c>
      <c r="L151" s="257">
        <v>1016555.5</v>
      </c>
      <c r="M151" s="257">
        <v>5983444.5</v>
      </c>
      <c r="N151" s="257">
        <v>5983444.5</v>
      </c>
    </row>
    <row r="152" spans="1:14" s="143" customFormat="1" x14ac:dyDescent="0.25">
      <c r="A152" s="143" t="s">
        <v>274</v>
      </c>
      <c r="B152" s="143" t="s">
        <v>288</v>
      </c>
      <c r="C152" s="143" t="s">
        <v>289</v>
      </c>
      <c r="D152" s="143" t="s">
        <v>69</v>
      </c>
      <c r="E152" s="257">
        <v>3000000</v>
      </c>
      <c r="F152" s="257">
        <v>3000000</v>
      </c>
      <c r="G152" s="257">
        <v>3000000</v>
      </c>
      <c r="H152" s="257">
        <v>0</v>
      </c>
      <c r="I152" s="257">
        <v>600000</v>
      </c>
      <c r="J152" s="257">
        <v>0</v>
      </c>
      <c r="K152" s="257">
        <v>1975539.12</v>
      </c>
      <c r="L152" s="257">
        <v>1975539.12</v>
      </c>
      <c r="M152" s="257">
        <v>424460.88</v>
      </c>
      <c r="N152" s="257">
        <v>424460.88</v>
      </c>
    </row>
    <row r="153" spans="1:14" s="143" customFormat="1" x14ac:dyDescent="0.25">
      <c r="A153" s="143" t="s">
        <v>274</v>
      </c>
      <c r="B153" s="143" t="s">
        <v>682</v>
      </c>
      <c r="C153" s="143" t="s">
        <v>683</v>
      </c>
      <c r="D153" s="143" t="s">
        <v>69</v>
      </c>
      <c r="E153" s="257">
        <v>0</v>
      </c>
      <c r="F153" s="257">
        <v>5652000</v>
      </c>
      <c r="G153" s="257">
        <v>5652000</v>
      </c>
      <c r="H153" s="257">
        <v>0</v>
      </c>
      <c r="I153" s="257">
        <v>0</v>
      </c>
      <c r="J153" s="257">
        <v>0</v>
      </c>
      <c r="K153" s="257">
        <v>0</v>
      </c>
      <c r="L153" s="257">
        <v>0</v>
      </c>
      <c r="M153" s="257">
        <v>5652000</v>
      </c>
      <c r="N153" s="257">
        <v>5652000</v>
      </c>
    </row>
    <row r="154" spans="1:14" s="143" customFormat="1" x14ac:dyDescent="0.25">
      <c r="A154" s="143" t="s">
        <v>274</v>
      </c>
      <c r="B154" s="143" t="s">
        <v>236</v>
      </c>
      <c r="C154" s="143" t="s">
        <v>237</v>
      </c>
      <c r="D154" s="143" t="s">
        <v>85</v>
      </c>
      <c r="E154" s="257">
        <v>1000000</v>
      </c>
      <c r="F154" s="257">
        <v>1016000</v>
      </c>
      <c r="G154" s="257">
        <v>1016000</v>
      </c>
      <c r="H154" s="257">
        <v>0</v>
      </c>
      <c r="I154" s="257">
        <v>0</v>
      </c>
      <c r="J154" s="257">
        <v>0</v>
      </c>
      <c r="K154" s="257">
        <v>1015139.92</v>
      </c>
      <c r="L154" s="257">
        <v>1015139.92</v>
      </c>
      <c r="M154" s="257">
        <v>860.08</v>
      </c>
      <c r="N154" s="257">
        <v>860.08</v>
      </c>
    </row>
    <row r="155" spans="1:14" s="143" customFormat="1" x14ac:dyDescent="0.25">
      <c r="A155" s="143" t="s">
        <v>274</v>
      </c>
      <c r="B155" s="143" t="s">
        <v>238</v>
      </c>
      <c r="C155" s="143" t="s">
        <v>239</v>
      </c>
      <c r="D155" s="143" t="s">
        <v>85</v>
      </c>
      <c r="E155" s="257">
        <v>2000000</v>
      </c>
      <c r="F155" s="257">
        <v>1980000</v>
      </c>
      <c r="G155" s="257">
        <v>1980000</v>
      </c>
      <c r="H155" s="257">
        <v>0</v>
      </c>
      <c r="I155" s="257">
        <v>0</v>
      </c>
      <c r="J155" s="257">
        <v>0</v>
      </c>
      <c r="K155" s="257">
        <v>1961465.3</v>
      </c>
      <c r="L155" s="257">
        <v>442425.3</v>
      </c>
      <c r="M155" s="257">
        <v>18534.7</v>
      </c>
      <c r="N155" s="257">
        <v>18534.7</v>
      </c>
    </row>
    <row r="156" spans="1:14" s="143" customFormat="1" x14ac:dyDescent="0.25">
      <c r="A156" s="143" t="s">
        <v>274</v>
      </c>
      <c r="B156" s="143" t="s">
        <v>240</v>
      </c>
      <c r="C156" s="143" t="s">
        <v>241</v>
      </c>
      <c r="D156" s="143" t="s">
        <v>85</v>
      </c>
      <c r="E156" s="257">
        <v>300000</v>
      </c>
      <c r="F156" s="257">
        <v>296000</v>
      </c>
      <c r="G156" s="257">
        <v>296000</v>
      </c>
      <c r="H156" s="257">
        <v>0</v>
      </c>
      <c r="I156" s="257">
        <v>0</v>
      </c>
      <c r="J156" s="257">
        <v>0</v>
      </c>
      <c r="K156" s="257">
        <v>295119</v>
      </c>
      <c r="L156" s="257">
        <v>295119</v>
      </c>
      <c r="M156" s="257">
        <v>881</v>
      </c>
      <c r="N156" s="257">
        <v>881</v>
      </c>
    </row>
    <row r="157" spans="1:14" s="143" customFormat="1" x14ac:dyDescent="0.25">
      <c r="A157" s="143" t="s">
        <v>274</v>
      </c>
      <c r="B157" s="143" t="s">
        <v>242</v>
      </c>
      <c r="C157" s="143" t="s">
        <v>243</v>
      </c>
      <c r="D157" s="143" t="s">
        <v>85</v>
      </c>
      <c r="E157" s="257">
        <v>500000</v>
      </c>
      <c r="F157" s="257">
        <v>500000</v>
      </c>
      <c r="G157" s="257">
        <v>500000</v>
      </c>
      <c r="H157" s="257">
        <v>0</v>
      </c>
      <c r="I157" s="257">
        <v>0</v>
      </c>
      <c r="J157" s="257">
        <v>0</v>
      </c>
      <c r="K157" s="257">
        <v>416545</v>
      </c>
      <c r="L157" s="257">
        <v>76138</v>
      </c>
      <c r="M157" s="257">
        <v>83455</v>
      </c>
      <c r="N157" s="257">
        <v>83455</v>
      </c>
    </row>
    <row r="158" spans="1:14" s="143" customFormat="1" x14ac:dyDescent="0.25">
      <c r="A158" s="143" t="s">
        <v>274</v>
      </c>
      <c r="B158" s="143" t="s">
        <v>73</v>
      </c>
      <c r="C158" s="143" t="s">
        <v>74</v>
      </c>
      <c r="D158" s="143" t="s">
        <v>69</v>
      </c>
      <c r="E158" s="257">
        <v>415877000</v>
      </c>
      <c r="F158" s="257">
        <v>344741351</v>
      </c>
      <c r="G158" s="257">
        <v>344741350</v>
      </c>
      <c r="H158" s="257">
        <v>0</v>
      </c>
      <c r="I158" s="257">
        <v>0</v>
      </c>
      <c r="J158" s="257">
        <v>0</v>
      </c>
      <c r="K158" s="257">
        <v>268218737.28999999</v>
      </c>
      <c r="L158" s="257">
        <v>268218737.28999999</v>
      </c>
      <c r="M158" s="257">
        <v>76522613.709999993</v>
      </c>
      <c r="N158" s="257">
        <v>76522612.709999993</v>
      </c>
    </row>
    <row r="159" spans="1:14" s="143" customFormat="1" x14ac:dyDescent="0.25">
      <c r="A159" s="143" t="s">
        <v>274</v>
      </c>
      <c r="B159" s="143" t="s">
        <v>77</v>
      </c>
      <c r="C159" s="143" t="s">
        <v>78</v>
      </c>
      <c r="D159" s="143" t="s">
        <v>69</v>
      </c>
      <c r="E159" s="257">
        <v>468875000</v>
      </c>
      <c r="F159" s="257">
        <v>341625000</v>
      </c>
      <c r="G159" s="257">
        <v>341625000</v>
      </c>
      <c r="H159" s="257">
        <v>0</v>
      </c>
      <c r="I159" s="257">
        <v>0</v>
      </c>
      <c r="J159" s="257">
        <v>0</v>
      </c>
      <c r="K159" s="257">
        <v>259526097.36000001</v>
      </c>
      <c r="L159" s="257">
        <v>259526097.36000001</v>
      </c>
      <c r="M159" s="257">
        <v>82098902.640000001</v>
      </c>
      <c r="N159" s="257">
        <v>82098902.640000001</v>
      </c>
    </row>
    <row r="160" spans="1:14" s="143" customFormat="1" x14ac:dyDescent="0.25">
      <c r="A160" s="143" t="s">
        <v>274</v>
      </c>
      <c r="B160" s="143" t="s">
        <v>90</v>
      </c>
      <c r="C160" s="143" t="s">
        <v>91</v>
      </c>
      <c r="D160" s="143" t="s">
        <v>69</v>
      </c>
      <c r="E160" s="257">
        <v>79963000</v>
      </c>
      <c r="F160" s="257">
        <v>67011000</v>
      </c>
      <c r="G160" s="257">
        <v>67011000</v>
      </c>
      <c r="H160" s="257">
        <v>0</v>
      </c>
      <c r="I160" s="257">
        <v>4179922</v>
      </c>
      <c r="J160" s="257">
        <v>0</v>
      </c>
      <c r="K160" s="257">
        <v>62831078</v>
      </c>
      <c r="L160" s="257">
        <v>62831078</v>
      </c>
      <c r="M160" s="257">
        <v>0</v>
      </c>
      <c r="N160" s="257">
        <v>0</v>
      </c>
    </row>
    <row r="161" spans="1:14" s="143" customFormat="1" x14ac:dyDescent="0.25">
      <c r="A161" s="143" t="s">
        <v>274</v>
      </c>
      <c r="B161" s="143" t="s">
        <v>96</v>
      </c>
      <c r="C161" s="143" t="s">
        <v>97</v>
      </c>
      <c r="D161" s="143" t="s">
        <v>69</v>
      </c>
      <c r="E161" s="257">
        <v>78570000</v>
      </c>
      <c r="F161" s="257">
        <v>67120000</v>
      </c>
      <c r="G161" s="257">
        <v>67120000</v>
      </c>
      <c r="H161" s="257">
        <v>0</v>
      </c>
      <c r="I161" s="257">
        <v>5392186</v>
      </c>
      <c r="J161" s="257">
        <v>0</v>
      </c>
      <c r="K161" s="257">
        <v>61727814</v>
      </c>
      <c r="L161" s="257">
        <v>61727814</v>
      </c>
      <c r="M161" s="257">
        <v>0</v>
      </c>
      <c r="N161" s="257">
        <v>0</v>
      </c>
    </row>
    <row r="162" spans="1:14" s="143" customFormat="1" x14ac:dyDescent="0.25">
      <c r="A162" s="143" t="s">
        <v>274</v>
      </c>
      <c r="B162" s="143" t="s">
        <v>106</v>
      </c>
      <c r="C162" s="143" t="s">
        <v>107</v>
      </c>
      <c r="D162" s="143" t="s">
        <v>69</v>
      </c>
      <c r="E162" s="257">
        <v>92041000</v>
      </c>
      <c r="F162" s="257">
        <v>85078040</v>
      </c>
      <c r="G162" s="257">
        <v>85078040</v>
      </c>
      <c r="H162" s="257">
        <v>0</v>
      </c>
      <c r="I162" s="257">
        <v>16926889.420000002</v>
      </c>
      <c r="J162" s="257">
        <v>0</v>
      </c>
      <c r="K162" s="257">
        <v>66844566.859999999</v>
      </c>
      <c r="L162" s="257">
        <v>64092857.009999998</v>
      </c>
      <c r="M162" s="257">
        <v>1306583.72</v>
      </c>
      <c r="N162" s="257">
        <v>1306583.72</v>
      </c>
    </row>
    <row r="163" spans="1:14" s="143" customFormat="1" x14ac:dyDescent="0.25">
      <c r="A163" s="143" t="s">
        <v>274</v>
      </c>
      <c r="B163" s="143" t="s">
        <v>112</v>
      </c>
      <c r="C163" s="143" t="s">
        <v>113</v>
      </c>
      <c r="D163" s="143" t="s">
        <v>69</v>
      </c>
      <c r="E163" s="257">
        <v>22562000</v>
      </c>
      <c r="F163" s="257">
        <v>22538700</v>
      </c>
      <c r="G163" s="257">
        <v>22538700</v>
      </c>
      <c r="H163" s="257">
        <v>0</v>
      </c>
      <c r="I163" s="257">
        <v>5018063</v>
      </c>
      <c r="J163" s="257">
        <v>0</v>
      </c>
      <c r="K163" s="257">
        <v>12088226</v>
      </c>
      <c r="L163" s="257">
        <v>10971111</v>
      </c>
      <c r="M163" s="257">
        <v>5432411</v>
      </c>
      <c r="N163" s="257">
        <v>5432411</v>
      </c>
    </row>
    <row r="164" spans="1:14" s="143" customFormat="1" x14ac:dyDescent="0.25">
      <c r="A164" s="143" t="s">
        <v>274</v>
      </c>
      <c r="B164" s="143" t="s">
        <v>124</v>
      </c>
      <c r="C164" s="143" t="s">
        <v>125</v>
      </c>
      <c r="D164" s="143" t="s">
        <v>69</v>
      </c>
      <c r="E164" s="257">
        <v>3169500</v>
      </c>
      <c r="F164" s="257">
        <v>3352960</v>
      </c>
      <c r="G164" s="257">
        <v>3352960</v>
      </c>
      <c r="H164" s="257">
        <v>0</v>
      </c>
      <c r="I164" s="257">
        <v>225500</v>
      </c>
      <c r="J164" s="257">
        <v>15000</v>
      </c>
      <c r="K164" s="257">
        <v>3110750</v>
      </c>
      <c r="L164" s="257">
        <v>3110750</v>
      </c>
      <c r="M164" s="257">
        <v>1710</v>
      </c>
      <c r="N164" s="257">
        <v>1710</v>
      </c>
    </row>
    <row r="165" spans="1:14" s="143" customFormat="1" x14ac:dyDescent="0.25">
      <c r="A165" s="143" t="s">
        <v>274</v>
      </c>
      <c r="B165" s="143" t="s">
        <v>134</v>
      </c>
      <c r="C165" s="143" t="s">
        <v>135</v>
      </c>
      <c r="D165" s="143" t="s">
        <v>69</v>
      </c>
      <c r="E165" s="257">
        <v>4800000</v>
      </c>
      <c r="F165" s="257">
        <v>3440000</v>
      </c>
      <c r="G165" s="257">
        <v>3440000</v>
      </c>
      <c r="H165" s="257">
        <v>0</v>
      </c>
      <c r="I165" s="257">
        <v>1207240</v>
      </c>
      <c r="J165" s="257">
        <v>986000</v>
      </c>
      <c r="K165" s="257">
        <v>400000</v>
      </c>
      <c r="L165" s="257">
        <v>350000</v>
      </c>
      <c r="M165" s="257">
        <v>846760</v>
      </c>
      <c r="N165" s="257">
        <v>846760</v>
      </c>
    </row>
    <row r="166" spans="1:14" s="143" customFormat="1" x14ac:dyDescent="0.25">
      <c r="A166" s="143" t="s">
        <v>274</v>
      </c>
      <c r="B166" s="143" t="s">
        <v>140</v>
      </c>
      <c r="C166" s="143" t="s">
        <v>141</v>
      </c>
      <c r="D166" s="143" t="s">
        <v>69</v>
      </c>
      <c r="E166" s="257">
        <v>9234500</v>
      </c>
      <c r="F166" s="257">
        <v>9838500</v>
      </c>
      <c r="G166" s="257">
        <v>9838500</v>
      </c>
      <c r="H166" s="257">
        <v>129900</v>
      </c>
      <c r="I166" s="257">
        <v>3208730</v>
      </c>
      <c r="J166" s="257">
        <v>0</v>
      </c>
      <c r="K166" s="257">
        <v>6149120</v>
      </c>
      <c r="L166" s="257">
        <v>6138820</v>
      </c>
      <c r="M166" s="257">
        <v>350750</v>
      </c>
      <c r="N166" s="257">
        <v>350750</v>
      </c>
    </row>
    <row r="167" spans="1:14" s="143" customFormat="1" x14ac:dyDescent="0.25">
      <c r="A167" s="143" t="s">
        <v>274</v>
      </c>
      <c r="B167" s="143" t="s">
        <v>150</v>
      </c>
      <c r="C167" s="143" t="s">
        <v>151</v>
      </c>
      <c r="D167" s="143" t="s">
        <v>69</v>
      </c>
      <c r="E167" s="257">
        <v>4500000</v>
      </c>
      <c r="F167" s="257">
        <v>4453000</v>
      </c>
      <c r="G167" s="257">
        <v>4453000</v>
      </c>
      <c r="H167" s="257">
        <v>0</v>
      </c>
      <c r="I167" s="257">
        <v>172995</v>
      </c>
      <c r="J167" s="257">
        <v>0</v>
      </c>
      <c r="K167" s="257">
        <v>3814274</v>
      </c>
      <c r="L167" s="257">
        <v>2901150</v>
      </c>
      <c r="M167" s="257">
        <v>465731</v>
      </c>
      <c r="N167" s="257">
        <v>465731</v>
      </c>
    </row>
    <row r="168" spans="1:14" s="143" customFormat="1" x14ac:dyDescent="0.25">
      <c r="A168" s="143" t="s">
        <v>274</v>
      </c>
      <c r="B168" s="143" t="s">
        <v>154</v>
      </c>
      <c r="C168" s="143" t="s">
        <v>155</v>
      </c>
      <c r="D168" s="143" t="s">
        <v>69</v>
      </c>
      <c r="E168" s="257">
        <v>12506000</v>
      </c>
      <c r="F168" s="257">
        <v>12506000</v>
      </c>
      <c r="G168" s="257">
        <v>12506000</v>
      </c>
      <c r="H168" s="257">
        <v>0</v>
      </c>
      <c r="I168" s="257">
        <v>3145762.8</v>
      </c>
      <c r="J168" s="257">
        <v>0</v>
      </c>
      <c r="K168" s="257">
        <v>9358000</v>
      </c>
      <c r="L168" s="257">
        <v>7112400</v>
      </c>
      <c r="M168" s="257">
        <v>2237.1999999999998</v>
      </c>
      <c r="N168" s="257">
        <v>2237.1999999999998</v>
      </c>
    </row>
    <row r="169" spans="1:14" s="143" customFormat="1" x14ac:dyDescent="0.25">
      <c r="A169" s="143" t="s">
        <v>274</v>
      </c>
      <c r="B169" s="143" t="s">
        <v>162</v>
      </c>
      <c r="C169" s="143" t="s">
        <v>163</v>
      </c>
      <c r="D169" s="143" t="s">
        <v>69</v>
      </c>
      <c r="E169" s="257">
        <v>4600000</v>
      </c>
      <c r="F169" s="257">
        <v>3600000</v>
      </c>
      <c r="G169" s="257">
        <v>3600000</v>
      </c>
      <c r="H169" s="257">
        <v>0</v>
      </c>
      <c r="I169" s="257">
        <v>597500</v>
      </c>
      <c r="J169" s="257">
        <v>0</v>
      </c>
      <c r="K169" s="257">
        <v>1482693.78</v>
      </c>
      <c r="L169" s="257">
        <v>2500</v>
      </c>
      <c r="M169" s="257">
        <v>1519806.22</v>
      </c>
      <c r="N169" s="257">
        <v>1519806.22</v>
      </c>
    </row>
    <row r="170" spans="1:14" s="143" customFormat="1" x14ac:dyDescent="0.25">
      <c r="A170" s="143" t="s">
        <v>274</v>
      </c>
      <c r="B170" s="143" t="s">
        <v>174</v>
      </c>
      <c r="C170" s="143" t="s">
        <v>175</v>
      </c>
      <c r="D170" s="143" t="s">
        <v>69</v>
      </c>
      <c r="E170" s="257">
        <v>200000</v>
      </c>
      <c r="F170" s="257">
        <v>120000</v>
      </c>
      <c r="G170" s="257">
        <v>120000</v>
      </c>
      <c r="H170" s="257">
        <v>0</v>
      </c>
      <c r="I170" s="257">
        <v>120000</v>
      </c>
      <c r="J170" s="257">
        <v>0</v>
      </c>
      <c r="K170" s="257">
        <v>0</v>
      </c>
      <c r="L170" s="257">
        <v>0</v>
      </c>
      <c r="M170" s="257">
        <v>0</v>
      </c>
      <c r="N170" s="257">
        <v>0</v>
      </c>
    </row>
    <row r="171" spans="1:14" s="143" customFormat="1" x14ac:dyDescent="0.25">
      <c r="A171" s="143" t="s">
        <v>274</v>
      </c>
      <c r="B171" s="143" t="s">
        <v>178</v>
      </c>
      <c r="C171" s="143" t="s">
        <v>179</v>
      </c>
      <c r="D171" s="143" t="s">
        <v>69</v>
      </c>
      <c r="E171" s="257">
        <v>500000</v>
      </c>
      <c r="F171" s="257">
        <v>225000</v>
      </c>
      <c r="G171" s="257">
        <v>225000</v>
      </c>
      <c r="H171" s="257">
        <v>0</v>
      </c>
      <c r="I171" s="257">
        <v>225000</v>
      </c>
      <c r="J171" s="257">
        <v>0</v>
      </c>
      <c r="K171" s="257">
        <v>0</v>
      </c>
      <c r="L171" s="257">
        <v>0</v>
      </c>
      <c r="M171" s="257">
        <v>0</v>
      </c>
      <c r="N171" s="257">
        <v>0</v>
      </c>
    </row>
    <row r="172" spans="1:14" s="143" customFormat="1" x14ac:dyDescent="0.25">
      <c r="A172" s="143" t="s">
        <v>274</v>
      </c>
      <c r="B172" s="143" t="s">
        <v>186</v>
      </c>
      <c r="C172" s="143" t="s">
        <v>187</v>
      </c>
      <c r="D172" s="143" t="s">
        <v>69</v>
      </c>
      <c r="E172" s="257">
        <v>15000000</v>
      </c>
      <c r="F172" s="257">
        <v>14483000</v>
      </c>
      <c r="G172" s="257">
        <v>14483000</v>
      </c>
      <c r="H172" s="257">
        <v>0</v>
      </c>
      <c r="I172" s="257">
        <v>3295578</v>
      </c>
      <c r="J172" s="257">
        <v>0</v>
      </c>
      <c r="K172" s="257">
        <v>10434854.5</v>
      </c>
      <c r="L172" s="257">
        <v>3239166.3</v>
      </c>
      <c r="M172" s="257">
        <v>752567.5</v>
      </c>
      <c r="N172" s="257">
        <v>752567.5</v>
      </c>
    </row>
    <row r="173" spans="1:14" s="143" customFormat="1" x14ac:dyDescent="0.25">
      <c r="A173" s="143" t="s">
        <v>274</v>
      </c>
      <c r="B173" s="143" t="s">
        <v>196</v>
      </c>
      <c r="C173" s="143" t="s">
        <v>197</v>
      </c>
      <c r="D173" s="143" t="s">
        <v>69</v>
      </c>
      <c r="E173" s="257">
        <v>3000000</v>
      </c>
      <c r="F173" s="257">
        <v>3600000</v>
      </c>
      <c r="G173" s="257">
        <v>3600000</v>
      </c>
      <c r="H173" s="257">
        <v>0</v>
      </c>
      <c r="I173" s="257">
        <v>824642</v>
      </c>
      <c r="J173" s="257">
        <v>0</v>
      </c>
      <c r="K173" s="257">
        <v>2774742</v>
      </c>
      <c r="L173" s="257">
        <v>2774742</v>
      </c>
      <c r="M173" s="257">
        <v>616</v>
      </c>
      <c r="N173" s="257">
        <v>616</v>
      </c>
    </row>
    <row r="174" spans="1:14" s="143" customFormat="1" x14ac:dyDescent="0.25">
      <c r="A174" s="143" t="s">
        <v>274</v>
      </c>
      <c r="B174" s="143" t="s">
        <v>200</v>
      </c>
      <c r="C174" s="143" t="s">
        <v>201</v>
      </c>
      <c r="D174" s="143" t="s">
        <v>69</v>
      </c>
      <c r="E174" s="257">
        <v>827000</v>
      </c>
      <c r="F174" s="257">
        <v>811000</v>
      </c>
      <c r="G174" s="257">
        <v>811000</v>
      </c>
      <c r="H174" s="257">
        <v>0</v>
      </c>
      <c r="I174" s="257">
        <v>105430</v>
      </c>
      <c r="J174" s="257">
        <v>0</v>
      </c>
      <c r="K174" s="257">
        <v>662490.84</v>
      </c>
      <c r="L174" s="257">
        <v>49500</v>
      </c>
      <c r="M174" s="257">
        <v>43079.16</v>
      </c>
      <c r="N174" s="257">
        <v>43079.16</v>
      </c>
    </row>
    <row r="175" spans="1:14" s="143" customFormat="1" x14ac:dyDescent="0.25">
      <c r="A175" s="143" t="s">
        <v>274</v>
      </c>
      <c r="B175" s="143" t="s">
        <v>206</v>
      </c>
      <c r="C175" s="143" t="s">
        <v>207</v>
      </c>
      <c r="D175" s="143" t="s">
        <v>69</v>
      </c>
      <c r="E175" s="257">
        <v>3000000</v>
      </c>
      <c r="F175" s="257">
        <v>2987000</v>
      </c>
      <c r="G175" s="257">
        <v>2987000</v>
      </c>
      <c r="H175" s="257">
        <v>0</v>
      </c>
      <c r="I175" s="257">
        <v>1358675</v>
      </c>
      <c r="J175" s="257">
        <v>0</v>
      </c>
      <c r="K175" s="257">
        <v>1241990.3799999999</v>
      </c>
      <c r="L175" s="257">
        <v>1241990.3799999999</v>
      </c>
      <c r="M175" s="257">
        <v>386334.62</v>
      </c>
      <c r="N175" s="257">
        <v>386334.62</v>
      </c>
    </row>
    <row r="176" spans="1:14" s="143" customFormat="1" x14ac:dyDescent="0.25">
      <c r="A176" s="143" t="s">
        <v>274</v>
      </c>
      <c r="B176" s="143" t="s">
        <v>212</v>
      </c>
      <c r="C176" s="143" t="s">
        <v>831</v>
      </c>
      <c r="D176" s="143" t="s">
        <v>69</v>
      </c>
      <c r="E176" s="257">
        <v>5100000</v>
      </c>
      <c r="F176" s="257">
        <v>5100000</v>
      </c>
      <c r="G176" s="257">
        <v>5100000</v>
      </c>
      <c r="H176" s="257">
        <v>0</v>
      </c>
      <c r="I176" s="257">
        <v>441982</v>
      </c>
      <c r="J176" s="257">
        <v>620891.24</v>
      </c>
      <c r="K176" s="257">
        <v>3466933.8</v>
      </c>
      <c r="L176" s="257">
        <v>3143854.3</v>
      </c>
      <c r="M176" s="257">
        <v>570192.96</v>
      </c>
      <c r="N176" s="257">
        <v>570192.96</v>
      </c>
    </row>
    <row r="177" spans="1:14" s="143" customFormat="1" x14ac:dyDescent="0.25">
      <c r="A177" s="143" t="s">
        <v>274</v>
      </c>
      <c r="B177" s="143" t="s">
        <v>250</v>
      </c>
      <c r="C177" s="143" t="s">
        <v>251</v>
      </c>
      <c r="D177" s="143" t="s">
        <v>69</v>
      </c>
      <c r="E177" s="257">
        <v>6808000</v>
      </c>
      <c r="F177" s="257">
        <v>6808000</v>
      </c>
      <c r="G177" s="257">
        <v>6808000</v>
      </c>
      <c r="H177" s="257">
        <v>0</v>
      </c>
      <c r="I177" s="257">
        <v>821478</v>
      </c>
      <c r="J177" s="257">
        <v>0</v>
      </c>
      <c r="K177" s="257">
        <v>5986522</v>
      </c>
      <c r="L177" s="257">
        <v>5986522</v>
      </c>
      <c r="M177" s="257">
        <v>0</v>
      </c>
      <c r="N177" s="257">
        <v>0</v>
      </c>
    </row>
    <row r="178" spans="1:14" s="143" customFormat="1" x14ac:dyDescent="0.25">
      <c r="A178" s="143" t="s">
        <v>274</v>
      </c>
      <c r="B178" s="143" t="s">
        <v>260</v>
      </c>
      <c r="C178" s="143" t="s">
        <v>261</v>
      </c>
      <c r="D178" s="143" t="s">
        <v>69</v>
      </c>
      <c r="E178" s="257">
        <v>18000000</v>
      </c>
      <c r="F178" s="257">
        <v>22740000</v>
      </c>
      <c r="G178" s="257">
        <v>22740000</v>
      </c>
      <c r="H178" s="257">
        <v>0</v>
      </c>
      <c r="I178" s="257">
        <v>1451.38</v>
      </c>
      <c r="J178" s="257">
        <v>0</v>
      </c>
      <c r="K178" s="257">
        <v>16754683.890000001</v>
      </c>
      <c r="L178" s="257">
        <v>16754683.890000001</v>
      </c>
      <c r="M178" s="257">
        <v>5983864.7300000004</v>
      </c>
      <c r="N178" s="257">
        <v>5983864.7300000004</v>
      </c>
    </row>
    <row r="179" spans="1:14" s="143" customFormat="1" x14ac:dyDescent="0.25">
      <c r="A179" s="143" t="s">
        <v>274</v>
      </c>
      <c r="B179" s="143" t="s">
        <v>286</v>
      </c>
      <c r="C179" s="143" t="s">
        <v>287</v>
      </c>
      <c r="D179" s="143" t="s">
        <v>69</v>
      </c>
      <c r="E179" s="257">
        <v>3000000</v>
      </c>
      <c r="F179" s="257">
        <v>3000000</v>
      </c>
      <c r="G179" s="257">
        <v>3000000</v>
      </c>
      <c r="H179" s="257">
        <v>0</v>
      </c>
      <c r="I179" s="257">
        <v>600000</v>
      </c>
      <c r="J179" s="257">
        <v>0</v>
      </c>
      <c r="K179" s="257">
        <v>1975539.12</v>
      </c>
      <c r="L179" s="257">
        <v>1975539.12</v>
      </c>
      <c r="M179" s="257">
        <v>424460.88</v>
      </c>
      <c r="N179" s="257">
        <v>424460.88</v>
      </c>
    </row>
    <row r="180" spans="1:14" s="143" customFormat="1" x14ac:dyDescent="0.25">
      <c r="A180" s="143" t="s">
        <v>274</v>
      </c>
      <c r="B180" s="143" t="s">
        <v>680</v>
      </c>
      <c r="C180" s="143" t="s">
        <v>681</v>
      </c>
      <c r="D180" s="143" t="s">
        <v>69</v>
      </c>
      <c r="E180" s="257">
        <v>0</v>
      </c>
      <c r="F180" s="257">
        <v>5652000</v>
      </c>
      <c r="G180" s="257">
        <v>5652000</v>
      </c>
      <c r="H180" s="257">
        <v>0</v>
      </c>
      <c r="I180" s="257">
        <v>0</v>
      </c>
      <c r="J180" s="257">
        <v>0</v>
      </c>
      <c r="K180" s="257">
        <v>0</v>
      </c>
      <c r="L180" s="257">
        <v>0</v>
      </c>
      <c r="M180" s="257">
        <v>5652000</v>
      </c>
      <c r="N180" s="257">
        <v>5652000</v>
      </c>
    </row>
    <row r="181" spans="1:14" s="143" customFormat="1" x14ac:dyDescent="0.25">
      <c r="A181" s="143" t="s">
        <v>274</v>
      </c>
      <c r="B181" s="143" t="s">
        <v>232</v>
      </c>
      <c r="C181" s="143" t="s">
        <v>233</v>
      </c>
      <c r="D181" s="143" t="s">
        <v>85</v>
      </c>
      <c r="E181" s="257">
        <v>3800000</v>
      </c>
      <c r="F181" s="257">
        <v>3792000</v>
      </c>
      <c r="G181" s="257">
        <v>3792000</v>
      </c>
      <c r="H181" s="257">
        <v>0</v>
      </c>
      <c r="I181" s="257">
        <v>0</v>
      </c>
      <c r="J181" s="257">
        <v>0</v>
      </c>
      <c r="K181" s="257">
        <v>3688269.22</v>
      </c>
      <c r="L181" s="257">
        <v>1828822.22</v>
      </c>
      <c r="M181" s="257">
        <v>103730.78</v>
      </c>
      <c r="N181" s="257">
        <v>103730.78</v>
      </c>
    </row>
    <row r="182" spans="1:14" s="143" customFormat="1" x14ac:dyDescent="0.25">
      <c r="A182" s="143" t="s">
        <v>274</v>
      </c>
      <c r="B182" s="143" t="s">
        <v>71</v>
      </c>
      <c r="C182" s="143" t="s">
        <v>72</v>
      </c>
      <c r="D182" s="143" t="s">
        <v>69</v>
      </c>
      <c r="E182" s="257">
        <v>1043285000</v>
      </c>
      <c r="F182" s="257">
        <v>820497351</v>
      </c>
      <c r="G182" s="257">
        <v>820497350</v>
      </c>
      <c r="H182" s="257">
        <v>0</v>
      </c>
      <c r="I182" s="257">
        <v>9572108</v>
      </c>
      <c r="J182" s="257">
        <v>0</v>
      </c>
      <c r="K182" s="257">
        <v>652303726.64999998</v>
      </c>
      <c r="L182" s="257">
        <v>652303726.64999998</v>
      </c>
      <c r="M182" s="257">
        <v>158621516.34999999</v>
      </c>
      <c r="N182" s="257">
        <v>158621515.34999999</v>
      </c>
    </row>
    <row r="183" spans="1:14" s="143" customFormat="1" x14ac:dyDescent="0.25">
      <c r="A183" s="143" t="s">
        <v>274</v>
      </c>
      <c r="B183" s="143" t="s">
        <v>104</v>
      </c>
      <c r="C183" s="143" t="s">
        <v>105</v>
      </c>
      <c r="D183" s="143" t="s">
        <v>69</v>
      </c>
      <c r="E183" s="257">
        <v>154113000</v>
      </c>
      <c r="F183" s="257">
        <v>145152200</v>
      </c>
      <c r="G183" s="257">
        <v>145152200</v>
      </c>
      <c r="H183" s="257">
        <v>129900</v>
      </c>
      <c r="I183" s="257">
        <v>30847680.219999999</v>
      </c>
      <c r="J183" s="257">
        <v>1001000</v>
      </c>
      <c r="K183" s="257">
        <v>103247630.64</v>
      </c>
      <c r="L183" s="257">
        <v>94679588.010000005</v>
      </c>
      <c r="M183" s="257">
        <v>9925989.1400000006</v>
      </c>
      <c r="N183" s="257">
        <v>9925989.1400000006</v>
      </c>
    </row>
    <row r="184" spans="1:14" s="143" customFormat="1" x14ac:dyDescent="0.25">
      <c r="A184" s="143" t="s">
        <v>274</v>
      </c>
      <c r="B184" s="143" t="s">
        <v>184</v>
      </c>
      <c r="C184" s="143" t="s">
        <v>185</v>
      </c>
      <c r="D184" s="143" t="s">
        <v>69</v>
      </c>
      <c r="E184" s="257">
        <v>26927000</v>
      </c>
      <c r="F184" s="257">
        <v>26981000</v>
      </c>
      <c r="G184" s="257">
        <v>26981000</v>
      </c>
      <c r="H184" s="257">
        <v>0</v>
      </c>
      <c r="I184" s="257">
        <v>6026307</v>
      </c>
      <c r="J184" s="257">
        <v>620891.24</v>
      </c>
      <c r="K184" s="257">
        <v>18581011.52</v>
      </c>
      <c r="L184" s="257">
        <v>10449252.98</v>
      </c>
      <c r="M184" s="257">
        <v>1752790.24</v>
      </c>
      <c r="N184" s="257">
        <v>1752790.24</v>
      </c>
    </row>
    <row r="185" spans="1:14" s="143" customFormat="1" x14ac:dyDescent="0.25">
      <c r="A185" s="143" t="s">
        <v>274</v>
      </c>
      <c r="B185" s="143" t="s">
        <v>248</v>
      </c>
      <c r="C185" s="143" t="s">
        <v>249</v>
      </c>
      <c r="D185" s="143" t="s">
        <v>69</v>
      </c>
      <c r="E185" s="257">
        <v>27808000</v>
      </c>
      <c r="F185" s="257">
        <v>32548000</v>
      </c>
      <c r="G185" s="257">
        <v>32548000</v>
      </c>
      <c r="H185" s="257">
        <v>0</v>
      </c>
      <c r="I185" s="257">
        <v>1422929.38</v>
      </c>
      <c r="J185" s="257">
        <v>0</v>
      </c>
      <c r="K185" s="257">
        <v>24716745.010000002</v>
      </c>
      <c r="L185" s="257">
        <v>24716745.010000002</v>
      </c>
      <c r="M185" s="257">
        <v>6408325.6100000003</v>
      </c>
      <c r="N185" s="257">
        <v>6408325.6100000003</v>
      </c>
    </row>
    <row r="186" spans="1:14" s="143" customFormat="1" x14ac:dyDescent="0.25">
      <c r="A186" s="143" t="s">
        <v>274</v>
      </c>
      <c r="B186" s="143" t="s">
        <v>678</v>
      </c>
      <c r="C186" s="143" t="s">
        <v>679</v>
      </c>
      <c r="D186" s="143" t="s">
        <v>69</v>
      </c>
      <c r="E186" s="257">
        <v>0</v>
      </c>
      <c r="F186" s="257">
        <v>5652000</v>
      </c>
      <c r="G186" s="257">
        <v>5652000</v>
      </c>
      <c r="H186" s="257">
        <v>0</v>
      </c>
      <c r="I186" s="257">
        <v>0</v>
      </c>
      <c r="J186" s="257">
        <v>0</v>
      </c>
      <c r="K186" s="257">
        <v>0</v>
      </c>
      <c r="L186" s="257">
        <v>0</v>
      </c>
      <c r="M186" s="257">
        <v>5652000</v>
      </c>
      <c r="N186" s="257">
        <v>5652000</v>
      </c>
    </row>
    <row r="187" spans="1:14" s="143" customFormat="1" x14ac:dyDescent="0.25">
      <c r="A187" s="143" t="s">
        <v>274</v>
      </c>
      <c r="B187" s="143" t="s">
        <v>230</v>
      </c>
      <c r="C187" s="143" t="s">
        <v>231</v>
      </c>
      <c r="D187" s="143" t="s">
        <v>85</v>
      </c>
      <c r="E187" s="257">
        <v>3800000</v>
      </c>
      <c r="F187" s="257">
        <v>3792000</v>
      </c>
      <c r="G187" s="257">
        <v>3792000</v>
      </c>
      <c r="H187" s="257">
        <v>0</v>
      </c>
      <c r="I187" s="257">
        <v>0</v>
      </c>
      <c r="J187" s="257">
        <v>0</v>
      </c>
      <c r="K187" s="257">
        <v>3688269.22</v>
      </c>
      <c r="L187" s="257">
        <v>1828822.22</v>
      </c>
      <c r="M187" s="257">
        <v>103730.78</v>
      </c>
      <c r="N187" s="257">
        <v>103730.78</v>
      </c>
    </row>
    <row r="188" spans="1:14" s="143" customFormat="1" x14ac:dyDescent="0.25">
      <c r="A188" s="143">
        <v>214780</v>
      </c>
      <c r="D188" s="143" t="s">
        <v>69</v>
      </c>
      <c r="E188" s="257">
        <v>1255933000</v>
      </c>
      <c r="F188" s="257">
        <v>1034622551</v>
      </c>
      <c r="G188" s="257">
        <v>1034622550</v>
      </c>
      <c r="H188" s="257">
        <v>129900</v>
      </c>
      <c r="I188" s="257">
        <v>47869024.600000001</v>
      </c>
      <c r="J188" s="257">
        <v>1621891.24</v>
      </c>
      <c r="K188" s="257">
        <v>802537383.03999996</v>
      </c>
      <c r="L188" s="257">
        <v>783978134.87</v>
      </c>
      <c r="M188" s="257">
        <v>182464352.12</v>
      </c>
      <c r="N188" s="257">
        <v>182464351.12</v>
      </c>
    </row>
    <row r="189" spans="1:14" s="143" customFormat="1" x14ac:dyDescent="0.25">
      <c r="A189" s="143" t="s">
        <v>290</v>
      </c>
      <c r="B189" s="143" t="s">
        <v>75</v>
      </c>
      <c r="C189" s="143" t="s">
        <v>76</v>
      </c>
      <c r="D189" s="143" t="s">
        <v>69</v>
      </c>
      <c r="E189" s="257">
        <v>3264433000</v>
      </c>
      <c r="F189" s="257">
        <v>2950148960</v>
      </c>
      <c r="G189" s="257">
        <v>2950148960</v>
      </c>
      <c r="H189" s="257">
        <v>0</v>
      </c>
      <c r="I189" s="257">
        <v>0</v>
      </c>
      <c r="J189" s="257">
        <v>0</v>
      </c>
      <c r="K189" s="257">
        <v>2551959085.29</v>
      </c>
      <c r="L189" s="257">
        <v>2551959085.29</v>
      </c>
      <c r="M189" s="257">
        <v>398189874.70999998</v>
      </c>
      <c r="N189" s="257">
        <v>398189874.70999998</v>
      </c>
    </row>
    <row r="190" spans="1:14" s="143" customFormat="1" x14ac:dyDescent="0.25">
      <c r="A190" s="143" t="s">
        <v>290</v>
      </c>
      <c r="B190" s="143" t="s">
        <v>291</v>
      </c>
      <c r="C190" s="143" t="s">
        <v>292</v>
      </c>
      <c r="D190" s="143" t="s">
        <v>69</v>
      </c>
      <c r="E190" s="257">
        <v>5000000</v>
      </c>
      <c r="F190" s="257">
        <v>2500000</v>
      </c>
      <c r="G190" s="257">
        <v>2500000</v>
      </c>
      <c r="H190" s="257">
        <v>0</v>
      </c>
      <c r="I190" s="257">
        <v>0</v>
      </c>
      <c r="J190" s="257">
        <v>0</v>
      </c>
      <c r="K190" s="257">
        <v>0</v>
      </c>
      <c r="L190" s="257">
        <v>0</v>
      </c>
      <c r="M190" s="257">
        <v>2500000</v>
      </c>
      <c r="N190" s="257">
        <v>2500000</v>
      </c>
    </row>
    <row r="191" spans="1:14" s="143" customFormat="1" x14ac:dyDescent="0.25">
      <c r="A191" s="143" t="s">
        <v>290</v>
      </c>
      <c r="B191" s="143" t="s">
        <v>295</v>
      </c>
      <c r="C191" s="143" t="s">
        <v>296</v>
      </c>
      <c r="D191" s="143" t="s">
        <v>69</v>
      </c>
      <c r="E191" s="257">
        <v>14000000</v>
      </c>
      <c r="F191" s="257">
        <v>11084920</v>
      </c>
      <c r="G191" s="257">
        <v>11084920</v>
      </c>
      <c r="H191" s="257">
        <v>0</v>
      </c>
      <c r="I191" s="257">
        <v>0</v>
      </c>
      <c r="J191" s="257">
        <v>0</v>
      </c>
      <c r="K191" s="257">
        <v>8332416.8700000001</v>
      </c>
      <c r="L191" s="257">
        <v>8332416.8700000001</v>
      </c>
      <c r="M191" s="257">
        <v>2752503.13</v>
      </c>
      <c r="N191" s="257">
        <v>2752503.13</v>
      </c>
    </row>
    <row r="192" spans="1:14" s="143" customFormat="1" x14ac:dyDescent="0.25">
      <c r="A192" s="143" t="s">
        <v>290</v>
      </c>
      <c r="B192" s="143" t="s">
        <v>79</v>
      </c>
      <c r="C192" s="143" t="s">
        <v>80</v>
      </c>
      <c r="D192" s="143" t="s">
        <v>69</v>
      </c>
      <c r="E192" s="257">
        <v>848164000</v>
      </c>
      <c r="F192" s="257">
        <v>793278678</v>
      </c>
      <c r="G192" s="257">
        <v>793278678</v>
      </c>
      <c r="H192" s="257">
        <v>0</v>
      </c>
      <c r="I192" s="257">
        <v>0</v>
      </c>
      <c r="J192" s="257">
        <v>0</v>
      </c>
      <c r="K192" s="257">
        <v>670337022.60000002</v>
      </c>
      <c r="L192" s="257">
        <v>670337022.60000002</v>
      </c>
      <c r="M192" s="257">
        <v>122941655.40000001</v>
      </c>
      <c r="N192" s="257">
        <v>122941655.40000001</v>
      </c>
    </row>
    <row r="193" spans="1:14" s="143" customFormat="1" x14ac:dyDescent="0.25">
      <c r="A193" s="143" t="s">
        <v>290</v>
      </c>
      <c r="B193" s="143" t="s">
        <v>81</v>
      </c>
      <c r="C193" s="143" t="s">
        <v>82</v>
      </c>
      <c r="D193" s="143" t="s">
        <v>69</v>
      </c>
      <c r="E193" s="257">
        <v>2130281000</v>
      </c>
      <c r="F193" s="257">
        <v>1961959267</v>
      </c>
      <c r="G193" s="257">
        <v>1961959267</v>
      </c>
      <c r="H193" s="257">
        <v>0</v>
      </c>
      <c r="I193" s="257">
        <v>0</v>
      </c>
      <c r="J193" s="257">
        <v>0</v>
      </c>
      <c r="K193" s="257">
        <v>1678193424.21</v>
      </c>
      <c r="L193" s="257">
        <v>1678193424.21</v>
      </c>
      <c r="M193" s="257">
        <v>283765842.79000002</v>
      </c>
      <c r="N193" s="257">
        <v>283765842.79000002</v>
      </c>
    </row>
    <row r="194" spans="1:14" s="143" customFormat="1" x14ac:dyDescent="0.25">
      <c r="A194" s="143" t="s">
        <v>290</v>
      </c>
      <c r="B194" s="143" t="s">
        <v>86</v>
      </c>
      <c r="C194" s="143" t="s">
        <v>87</v>
      </c>
      <c r="D194" s="143" t="s">
        <v>69</v>
      </c>
      <c r="E194" s="257">
        <v>446946000</v>
      </c>
      <c r="F194" s="257">
        <v>455146000</v>
      </c>
      <c r="G194" s="257">
        <v>455146000</v>
      </c>
      <c r="H194" s="257">
        <v>0</v>
      </c>
      <c r="I194" s="257">
        <v>0</v>
      </c>
      <c r="J194" s="257">
        <v>0</v>
      </c>
      <c r="K194" s="257">
        <v>453709879.5</v>
      </c>
      <c r="L194" s="257">
        <v>453709879.5</v>
      </c>
      <c r="M194" s="257">
        <v>1436120.5</v>
      </c>
      <c r="N194" s="257">
        <v>1436120.5</v>
      </c>
    </row>
    <row r="195" spans="1:14" s="143" customFormat="1" x14ac:dyDescent="0.25">
      <c r="A195" s="143" t="s">
        <v>290</v>
      </c>
      <c r="B195" s="143" t="s">
        <v>88</v>
      </c>
      <c r="C195" s="143" t="s">
        <v>89</v>
      </c>
      <c r="D195" s="143" t="s">
        <v>69</v>
      </c>
      <c r="E195" s="257">
        <v>591313000</v>
      </c>
      <c r="F195" s="257">
        <v>554097888</v>
      </c>
      <c r="G195" s="257">
        <v>554097888</v>
      </c>
      <c r="H195" s="257">
        <v>0</v>
      </c>
      <c r="I195" s="257">
        <v>0</v>
      </c>
      <c r="J195" s="257">
        <v>0</v>
      </c>
      <c r="K195" s="257">
        <v>477909720.63999999</v>
      </c>
      <c r="L195" s="257">
        <v>477909720.63999999</v>
      </c>
      <c r="M195" s="257">
        <v>76188167.359999999</v>
      </c>
      <c r="N195" s="257">
        <v>76188167.359999999</v>
      </c>
    </row>
    <row r="196" spans="1:14" s="143" customFormat="1" x14ac:dyDescent="0.25">
      <c r="A196" s="143" t="s">
        <v>290</v>
      </c>
      <c r="B196" s="143" t="s">
        <v>83</v>
      </c>
      <c r="C196" s="143" t="s">
        <v>84</v>
      </c>
      <c r="D196" s="143" t="s">
        <v>85</v>
      </c>
      <c r="E196" s="257">
        <v>586616000</v>
      </c>
      <c r="F196" s="257">
        <v>539462089</v>
      </c>
      <c r="G196" s="257">
        <v>539462089</v>
      </c>
      <c r="H196" s="257">
        <v>0</v>
      </c>
      <c r="I196" s="257">
        <v>0</v>
      </c>
      <c r="J196" s="257">
        <v>0</v>
      </c>
      <c r="K196" s="257">
        <v>230516.94</v>
      </c>
      <c r="L196" s="257">
        <v>230516.94</v>
      </c>
      <c r="M196" s="257">
        <v>539231572.05999994</v>
      </c>
      <c r="N196" s="257">
        <v>539231572.05999994</v>
      </c>
    </row>
    <row r="197" spans="1:14" s="143" customFormat="1" x14ac:dyDescent="0.25">
      <c r="A197" s="143" t="s">
        <v>290</v>
      </c>
      <c r="B197" s="143" t="s">
        <v>297</v>
      </c>
      <c r="C197" s="143" t="s">
        <v>827</v>
      </c>
      <c r="D197" s="143" t="s">
        <v>69</v>
      </c>
      <c r="E197" s="257">
        <v>675263000</v>
      </c>
      <c r="F197" s="257">
        <v>632901476</v>
      </c>
      <c r="G197" s="257">
        <v>632901476</v>
      </c>
      <c r="H197" s="257">
        <v>0</v>
      </c>
      <c r="I197" s="257">
        <v>96256041</v>
      </c>
      <c r="J197" s="257">
        <v>0</v>
      </c>
      <c r="K197" s="257">
        <v>536645435</v>
      </c>
      <c r="L197" s="257">
        <v>536645435</v>
      </c>
      <c r="M197" s="257">
        <v>0</v>
      </c>
      <c r="N197" s="257">
        <v>0</v>
      </c>
    </row>
    <row r="198" spans="1:14" s="143" customFormat="1" x14ac:dyDescent="0.25">
      <c r="A198" s="143" t="s">
        <v>290</v>
      </c>
      <c r="B198" s="143" t="s">
        <v>298</v>
      </c>
      <c r="C198" s="143" t="s">
        <v>95</v>
      </c>
      <c r="D198" s="143" t="s">
        <v>69</v>
      </c>
      <c r="E198" s="257">
        <v>36501000</v>
      </c>
      <c r="F198" s="257">
        <v>33670670</v>
      </c>
      <c r="G198" s="257">
        <v>33670670</v>
      </c>
      <c r="H198" s="257">
        <v>0</v>
      </c>
      <c r="I198" s="257">
        <v>4663221</v>
      </c>
      <c r="J198" s="257">
        <v>0</v>
      </c>
      <c r="K198" s="257">
        <v>29007449</v>
      </c>
      <c r="L198" s="257">
        <v>29007449</v>
      </c>
      <c r="M198" s="257">
        <v>0</v>
      </c>
      <c r="N198" s="257">
        <v>0</v>
      </c>
    </row>
    <row r="199" spans="1:14" s="143" customFormat="1" x14ac:dyDescent="0.25">
      <c r="A199" s="143" t="s">
        <v>290</v>
      </c>
      <c r="B199" s="143" t="s">
        <v>299</v>
      </c>
      <c r="C199" s="143" t="s">
        <v>828</v>
      </c>
      <c r="D199" s="143" t="s">
        <v>69</v>
      </c>
      <c r="E199" s="257">
        <v>370847000</v>
      </c>
      <c r="F199" s="257">
        <v>342090641</v>
      </c>
      <c r="G199" s="257">
        <v>342090641</v>
      </c>
      <c r="H199" s="257">
        <v>0</v>
      </c>
      <c r="I199" s="257">
        <v>61958784</v>
      </c>
      <c r="J199" s="257">
        <v>0</v>
      </c>
      <c r="K199" s="257">
        <v>280131857</v>
      </c>
      <c r="L199" s="257">
        <v>280131857</v>
      </c>
      <c r="M199" s="257">
        <v>0</v>
      </c>
      <c r="N199" s="257">
        <v>0</v>
      </c>
    </row>
    <row r="200" spans="1:14" s="143" customFormat="1" x14ac:dyDescent="0.25">
      <c r="A200" s="143" t="s">
        <v>290</v>
      </c>
      <c r="B200" s="143" t="s">
        <v>300</v>
      </c>
      <c r="C200" s="143" t="s">
        <v>829</v>
      </c>
      <c r="D200" s="143" t="s">
        <v>69</v>
      </c>
      <c r="E200" s="257">
        <v>109503000</v>
      </c>
      <c r="F200" s="257">
        <v>101011907</v>
      </c>
      <c r="G200" s="257">
        <v>101011907</v>
      </c>
      <c r="H200" s="257">
        <v>0</v>
      </c>
      <c r="I200" s="257">
        <v>13989559</v>
      </c>
      <c r="J200" s="257">
        <v>0</v>
      </c>
      <c r="K200" s="257">
        <v>87022348</v>
      </c>
      <c r="L200" s="257">
        <v>87022348</v>
      </c>
      <c r="M200" s="257">
        <v>0</v>
      </c>
      <c r="N200" s="257">
        <v>0</v>
      </c>
    </row>
    <row r="201" spans="1:14" s="143" customFormat="1" x14ac:dyDescent="0.25">
      <c r="A201" s="143" t="s">
        <v>290</v>
      </c>
      <c r="B201" s="143" t="s">
        <v>301</v>
      </c>
      <c r="C201" s="143" t="s">
        <v>830</v>
      </c>
      <c r="D201" s="143" t="s">
        <v>69</v>
      </c>
      <c r="E201" s="257">
        <v>219005000</v>
      </c>
      <c r="F201" s="257">
        <v>202022915</v>
      </c>
      <c r="G201" s="257">
        <v>202022915</v>
      </c>
      <c r="H201" s="257">
        <v>0</v>
      </c>
      <c r="I201" s="257">
        <v>27978223</v>
      </c>
      <c r="J201" s="257">
        <v>0</v>
      </c>
      <c r="K201" s="257">
        <v>174044692</v>
      </c>
      <c r="L201" s="257">
        <v>174044692</v>
      </c>
      <c r="M201" s="257">
        <v>0</v>
      </c>
      <c r="N201" s="257">
        <v>0</v>
      </c>
    </row>
    <row r="202" spans="1:14" s="143" customFormat="1" x14ac:dyDescent="0.25">
      <c r="A202" s="143" t="s">
        <v>290</v>
      </c>
      <c r="B202" s="143" t="s">
        <v>280</v>
      </c>
      <c r="C202" s="143" t="s">
        <v>281</v>
      </c>
      <c r="D202" s="143" t="s">
        <v>69</v>
      </c>
      <c r="E202" s="257">
        <v>292666000</v>
      </c>
      <c r="F202" s="257">
        <v>167666000</v>
      </c>
      <c r="G202" s="257">
        <v>167666000</v>
      </c>
      <c r="H202" s="257">
        <v>0</v>
      </c>
      <c r="I202" s="257">
        <v>15996291.199999999</v>
      </c>
      <c r="J202" s="257">
        <v>0</v>
      </c>
      <c r="K202" s="257">
        <v>122426481.97</v>
      </c>
      <c r="L202" s="257">
        <v>114938801.97</v>
      </c>
      <c r="M202" s="257">
        <v>29243226.829999998</v>
      </c>
      <c r="N202" s="257">
        <v>29243226.829999998</v>
      </c>
    </row>
    <row r="203" spans="1:14" s="143" customFormat="1" x14ac:dyDescent="0.25">
      <c r="A203" s="143" t="s">
        <v>290</v>
      </c>
      <c r="B203" s="143" t="s">
        <v>302</v>
      </c>
      <c r="C203" s="143" t="s">
        <v>303</v>
      </c>
      <c r="D203" s="143" t="s">
        <v>69</v>
      </c>
      <c r="E203" s="257">
        <v>6984000</v>
      </c>
      <c r="F203" s="257">
        <v>4984000</v>
      </c>
      <c r="G203" s="257">
        <v>4984000</v>
      </c>
      <c r="H203" s="257">
        <v>0</v>
      </c>
      <c r="I203" s="257">
        <v>822174.71999999997</v>
      </c>
      <c r="J203" s="257">
        <v>0</v>
      </c>
      <c r="K203" s="257">
        <v>1887552.01</v>
      </c>
      <c r="L203" s="257">
        <v>1887552.01</v>
      </c>
      <c r="M203" s="257">
        <v>2274273.27</v>
      </c>
      <c r="N203" s="257">
        <v>2274273.27</v>
      </c>
    </row>
    <row r="204" spans="1:14" s="143" customFormat="1" x14ac:dyDescent="0.25">
      <c r="A204" s="143" t="s">
        <v>290</v>
      </c>
      <c r="B204" s="143" t="s">
        <v>108</v>
      </c>
      <c r="C204" s="143" t="s">
        <v>109</v>
      </c>
      <c r="D204" s="143" t="s">
        <v>69</v>
      </c>
      <c r="E204" s="257">
        <v>115000000</v>
      </c>
      <c r="F204" s="257">
        <v>105750000</v>
      </c>
      <c r="G204" s="257">
        <v>105750000</v>
      </c>
      <c r="H204" s="257">
        <v>0</v>
      </c>
      <c r="I204" s="257">
        <v>15649460.92</v>
      </c>
      <c r="J204" s="257">
        <v>0</v>
      </c>
      <c r="K204" s="257">
        <v>76051963</v>
      </c>
      <c r="L204" s="257">
        <v>65788488.789999999</v>
      </c>
      <c r="M204" s="257">
        <v>14048576.08</v>
      </c>
      <c r="N204" s="257">
        <v>14048576.08</v>
      </c>
    </row>
    <row r="205" spans="1:14" s="143" customFormat="1" x14ac:dyDescent="0.25">
      <c r="A205" s="143" t="s">
        <v>290</v>
      </c>
      <c r="B205" s="143" t="s">
        <v>304</v>
      </c>
      <c r="C205" s="143" t="s">
        <v>305</v>
      </c>
      <c r="D205" s="143" t="s">
        <v>69</v>
      </c>
      <c r="E205" s="257">
        <v>1571000</v>
      </c>
      <c r="F205" s="257">
        <v>2071000</v>
      </c>
      <c r="G205" s="257">
        <v>2071000</v>
      </c>
      <c r="H205" s="257">
        <v>0</v>
      </c>
      <c r="I205" s="257">
        <v>300941</v>
      </c>
      <c r="J205" s="257">
        <v>0</v>
      </c>
      <c r="K205" s="257">
        <v>1299456</v>
      </c>
      <c r="L205" s="257">
        <v>1163061</v>
      </c>
      <c r="M205" s="257">
        <v>470603</v>
      </c>
      <c r="N205" s="257">
        <v>470603</v>
      </c>
    </row>
    <row r="206" spans="1:14" s="143" customFormat="1" x14ac:dyDescent="0.25">
      <c r="A206" s="143" t="s">
        <v>290</v>
      </c>
      <c r="B206" s="143" t="s">
        <v>110</v>
      </c>
      <c r="C206" s="143" t="s">
        <v>111</v>
      </c>
      <c r="D206" s="143" t="s">
        <v>69</v>
      </c>
      <c r="E206" s="257">
        <v>35103000</v>
      </c>
      <c r="F206" s="257">
        <v>37703000</v>
      </c>
      <c r="G206" s="257">
        <v>37703000</v>
      </c>
      <c r="H206" s="257">
        <v>0</v>
      </c>
      <c r="I206" s="257">
        <v>102949.66</v>
      </c>
      <c r="J206" s="257">
        <v>0</v>
      </c>
      <c r="K206" s="257">
        <v>29442014.16</v>
      </c>
      <c r="L206" s="257">
        <v>17490358.82</v>
      </c>
      <c r="M206" s="257">
        <v>8158036.1799999997</v>
      </c>
      <c r="N206" s="257">
        <v>8158036.1799999997</v>
      </c>
    </row>
    <row r="207" spans="1:14" s="143" customFormat="1" x14ac:dyDescent="0.25">
      <c r="A207" s="143" t="s">
        <v>290</v>
      </c>
      <c r="B207" s="143" t="s">
        <v>114</v>
      </c>
      <c r="C207" s="143" t="s">
        <v>115</v>
      </c>
      <c r="D207" s="143" t="s">
        <v>69</v>
      </c>
      <c r="E207" s="257">
        <v>20500000</v>
      </c>
      <c r="F207" s="257">
        <v>20500000</v>
      </c>
      <c r="G207" s="257">
        <v>20500000</v>
      </c>
      <c r="H207" s="257">
        <v>0</v>
      </c>
      <c r="I207" s="257">
        <v>5175414</v>
      </c>
      <c r="J207" s="257">
        <v>0</v>
      </c>
      <c r="K207" s="257">
        <v>15323884</v>
      </c>
      <c r="L207" s="257">
        <v>11564876</v>
      </c>
      <c r="M207" s="257">
        <v>702</v>
      </c>
      <c r="N207" s="257">
        <v>702</v>
      </c>
    </row>
    <row r="208" spans="1:14" s="143" customFormat="1" x14ac:dyDescent="0.25">
      <c r="A208" s="143" t="s">
        <v>290</v>
      </c>
      <c r="B208" s="143" t="s">
        <v>116</v>
      </c>
      <c r="C208" s="143" t="s">
        <v>117</v>
      </c>
      <c r="D208" s="143" t="s">
        <v>69</v>
      </c>
      <c r="E208" s="257">
        <v>54000000</v>
      </c>
      <c r="F208" s="257">
        <v>49000000</v>
      </c>
      <c r="G208" s="257">
        <v>49000000</v>
      </c>
      <c r="H208" s="257">
        <v>0</v>
      </c>
      <c r="I208" s="257">
        <v>12300280</v>
      </c>
      <c r="J208" s="257">
        <v>0</v>
      </c>
      <c r="K208" s="257">
        <v>36699720</v>
      </c>
      <c r="L208" s="257">
        <v>33062040</v>
      </c>
      <c r="M208" s="257">
        <v>0</v>
      </c>
      <c r="N208" s="257">
        <v>0</v>
      </c>
    </row>
    <row r="209" spans="1:14" s="143" customFormat="1" x14ac:dyDescent="0.25">
      <c r="A209" s="143" t="s">
        <v>290</v>
      </c>
      <c r="B209" s="143" t="s">
        <v>118</v>
      </c>
      <c r="C209" s="143" t="s">
        <v>119</v>
      </c>
      <c r="D209" s="143" t="s">
        <v>69</v>
      </c>
      <c r="E209" s="257">
        <v>16400000</v>
      </c>
      <c r="F209" s="257">
        <v>10400000</v>
      </c>
      <c r="G209" s="257">
        <v>10400000</v>
      </c>
      <c r="H209" s="257">
        <v>0</v>
      </c>
      <c r="I209" s="257">
        <v>1058050</v>
      </c>
      <c r="J209" s="257">
        <v>0</v>
      </c>
      <c r="K209" s="257">
        <v>2554085</v>
      </c>
      <c r="L209" s="257">
        <v>2182755</v>
      </c>
      <c r="M209" s="257">
        <v>6787865</v>
      </c>
      <c r="N209" s="257">
        <v>6787865</v>
      </c>
    </row>
    <row r="210" spans="1:14" s="143" customFormat="1" x14ac:dyDescent="0.25">
      <c r="A210" s="143" t="s">
        <v>290</v>
      </c>
      <c r="B210" s="143" t="s">
        <v>120</v>
      </c>
      <c r="C210" s="143" t="s">
        <v>121</v>
      </c>
      <c r="D210" s="143" t="s">
        <v>69</v>
      </c>
      <c r="E210" s="257">
        <v>56520000</v>
      </c>
      <c r="F210" s="257">
        <v>46520000</v>
      </c>
      <c r="G210" s="257">
        <v>46520000</v>
      </c>
      <c r="H210" s="257">
        <v>0</v>
      </c>
      <c r="I210" s="257">
        <v>9272404.2799999993</v>
      </c>
      <c r="J210" s="257">
        <v>0</v>
      </c>
      <c r="K210" s="257">
        <v>28650368.739999998</v>
      </c>
      <c r="L210" s="257">
        <v>23771002.719999999</v>
      </c>
      <c r="M210" s="257">
        <v>8597226.9800000004</v>
      </c>
      <c r="N210" s="257">
        <v>8597226.9800000004</v>
      </c>
    </row>
    <row r="211" spans="1:14" s="143" customFormat="1" x14ac:dyDescent="0.25">
      <c r="A211" s="143" t="s">
        <v>290</v>
      </c>
      <c r="B211" s="143" t="s">
        <v>122</v>
      </c>
      <c r="C211" s="143" t="s">
        <v>123</v>
      </c>
      <c r="D211" s="143" t="s">
        <v>69</v>
      </c>
      <c r="E211" s="257">
        <v>5000000</v>
      </c>
      <c r="F211" s="257">
        <v>5000000</v>
      </c>
      <c r="G211" s="257">
        <v>5000000</v>
      </c>
      <c r="H211" s="257">
        <v>0</v>
      </c>
      <c r="I211" s="257">
        <v>505.2</v>
      </c>
      <c r="J211" s="257">
        <v>0</v>
      </c>
      <c r="K211" s="257">
        <v>4917979.2</v>
      </c>
      <c r="L211" s="257">
        <v>3688484.4</v>
      </c>
      <c r="M211" s="257">
        <v>81515.600000000006</v>
      </c>
      <c r="N211" s="257">
        <v>81515.600000000006</v>
      </c>
    </row>
    <row r="212" spans="1:14" s="143" customFormat="1" x14ac:dyDescent="0.25">
      <c r="A212" s="143" t="s">
        <v>290</v>
      </c>
      <c r="B212" s="143" t="s">
        <v>126</v>
      </c>
      <c r="C212" s="143" t="s">
        <v>127</v>
      </c>
      <c r="D212" s="143" t="s">
        <v>69</v>
      </c>
      <c r="E212" s="257">
        <v>1000000</v>
      </c>
      <c r="F212" s="257">
        <v>1000000</v>
      </c>
      <c r="G212" s="257">
        <v>1000000</v>
      </c>
      <c r="H212" s="257">
        <v>0</v>
      </c>
      <c r="I212" s="257">
        <v>354940</v>
      </c>
      <c r="J212" s="257">
        <v>0</v>
      </c>
      <c r="K212" s="257">
        <v>195060</v>
      </c>
      <c r="L212" s="257">
        <v>195060</v>
      </c>
      <c r="M212" s="257">
        <v>450000</v>
      </c>
      <c r="N212" s="257">
        <v>450000</v>
      </c>
    </row>
    <row r="213" spans="1:14" s="143" customFormat="1" x14ac:dyDescent="0.25">
      <c r="A213" s="143" t="s">
        <v>290</v>
      </c>
      <c r="B213" s="143" t="s">
        <v>128</v>
      </c>
      <c r="C213" s="143" t="s">
        <v>129</v>
      </c>
      <c r="D213" s="143" t="s">
        <v>69</v>
      </c>
      <c r="E213" s="257">
        <v>3100000</v>
      </c>
      <c r="F213" s="257">
        <v>3100000</v>
      </c>
      <c r="G213" s="257">
        <v>3100000</v>
      </c>
      <c r="H213" s="257">
        <v>0</v>
      </c>
      <c r="I213" s="257">
        <v>147712</v>
      </c>
      <c r="J213" s="257">
        <v>0</v>
      </c>
      <c r="K213" s="257">
        <v>276708</v>
      </c>
      <c r="L213" s="257">
        <v>276708</v>
      </c>
      <c r="M213" s="257">
        <v>2675580</v>
      </c>
      <c r="N213" s="257">
        <v>2675580</v>
      </c>
    </row>
    <row r="214" spans="1:14" s="143" customFormat="1" x14ac:dyDescent="0.25">
      <c r="A214" s="143" t="s">
        <v>290</v>
      </c>
      <c r="B214" s="143" t="s">
        <v>535</v>
      </c>
      <c r="C214" s="143" t="s">
        <v>536</v>
      </c>
      <c r="D214" s="143" t="s">
        <v>69</v>
      </c>
      <c r="E214" s="257">
        <v>600000</v>
      </c>
      <c r="F214" s="257">
        <v>600000</v>
      </c>
      <c r="G214" s="257">
        <v>600000</v>
      </c>
      <c r="H214" s="257">
        <v>0</v>
      </c>
      <c r="I214" s="257">
        <v>0</v>
      </c>
      <c r="J214" s="257">
        <v>0</v>
      </c>
      <c r="K214" s="257">
        <v>0</v>
      </c>
      <c r="L214" s="257">
        <v>0</v>
      </c>
      <c r="M214" s="257">
        <v>600000</v>
      </c>
      <c r="N214" s="257">
        <v>600000</v>
      </c>
    </row>
    <row r="215" spans="1:14" s="143" customFormat="1" x14ac:dyDescent="0.25">
      <c r="A215" s="143" t="s">
        <v>290</v>
      </c>
      <c r="B215" s="143" t="s">
        <v>130</v>
      </c>
      <c r="C215" s="143" t="s">
        <v>131</v>
      </c>
      <c r="D215" s="143" t="s">
        <v>69</v>
      </c>
      <c r="E215" s="257">
        <v>200000</v>
      </c>
      <c r="F215" s="257">
        <v>200000</v>
      </c>
      <c r="G215" s="257">
        <v>200000</v>
      </c>
      <c r="H215" s="257">
        <v>0</v>
      </c>
      <c r="I215" s="257">
        <v>25030.5</v>
      </c>
      <c r="J215" s="257">
        <v>0</v>
      </c>
      <c r="K215" s="257">
        <v>74969.5</v>
      </c>
      <c r="L215" s="257">
        <v>74969.5</v>
      </c>
      <c r="M215" s="257">
        <v>100000</v>
      </c>
      <c r="N215" s="257">
        <v>100000</v>
      </c>
    </row>
    <row r="216" spans="1:14" s="143" customFormat="1" x14ac:dyDescent="0.25">
      <c r="A216" s="143" t="s">
        <v>290</v>
      </c>
      <c r="B216" s="143" t="s">
        <v>132</v>
      </c>
      <c r="C216" s="143" t="s">
        <v>133</v>
      </c>
      <c r="D216" s="143" t="s">
        <v>69</v>
      </c>
      <c r="E216" s="257">
        <v>44549000</v>
      </c>
      <c r="F216" s="257">
        <v>4549000</v>
      </c>
      <c r="G216" s="257">
        <v>4549000</v>
      </c>
      <c r="H216" s="257">
        <v>0</v>
      </c>
      <c r="I216" s="257">
        <v>3723008.42</v>
      </c>
      <c r="J216" s="257">
        <v>0</v>
      </c>
      <c r="K216" s="257">
        <v>766664.88</v>
      </c>
      <c r="L216" s="257">
        <v>749383.78</v>
      </c>
      <c r="M216" s="257">
        <v>59326.7</v>
      </c>
      <c r="N216" s="257">
        <v>59326.7</v>
      </c>
    </row>
    <row r="217" spans="1:14" s="143" customFormat="1" x14ac:dyDescent="0.25">
      <c r="A217" s="143" t="s">
        <v>290</v>
      </c>
      <c r="B217" s="143" t="s">
        <v>306</v>
      </c>
      <c r="C217" s="143" t="s">
        <v>307</v>
      </c>
      <c r="D217" s="143" t="s">
        <v>69</v>
      </c>
      <c r="E217" s="257">
        <v>2000000</v>
      </c>
      <c r="F217" s="257">
        <v>1000000</v>
      </c>
      <c r="G217" s="257">
        <v>1000000</v>
      </c>
      <c r="H217" s="257">
        <v>0</v>
      </c>
      <c r="I217" s="257">
        <v>6725</v>
      </c>
      <c r="J217" s="257">
        <v>0</v>
      </c>
      <c r="K217" s="257">
        <v>18275</v>
      </c>
      <c r="L217" s="257">
        <v>18275</v>
      </c>
      <c r="M217" s="257">
        <v>975000</v>
      </c>
      <c r="N217" s="257">
        <v>975000</v>
      </c>
    </row>
    <row r="218" spans="1:14" s="143" customFormat="1" x14ac:dyDescent="0.25">
      <c r="A218" s="143" t="s">
        <v>290</v>
      </c>
      <c r="B218" s="143" t="s">
        <v>308</v>
      </c>
      <c r="C218" s="143" t="s">
        <v>834</v>
      </c>
      <c r="D218" s="143" t="s">
        <v>69</v>
      </c>
      <c r="E218" s="257">
        <v>141090000</v>
      </c>
      <c r="F218" s="257">
        <v>384090000</v>
      </c>
      <c r="G218" s="257">
        <v>384090000</v>
      </c>
      <c r="H218" s="257">
        <v>0</v>
      </c>
      <c r="I218" s="257">
        <v>0</v>
      </c>
      <c r="J218" s="257">
        <v>0</v>
      </c>
      <c r="K218" s="257">
        <v>75393837.510000005</v>
      </c>
      <c r="L218" s="257">
        <v>25136837.510000002</v>
      </c>
      <c r="M218" s="257">
        <v>308696162.49000001</v>
      </c>
      <c r="N218" s="257">
        <v>308696162.49000001</v>
      </c>
    </row>
    <row r="219" spans="1:14" s="143" customFormat="1" x14ac:dyDescent="0.25">
      <c r="A219" s="143" t="s">
        <v>290</v>
      </c>
      <c r="B219" s="143" t="s">
        <v>545</v>
      </c>
      <c r="C219" s="143" t="s">
        <v>835</v>
      </c>
      <c r="D219" s="143" t="s">
        <v>69</v>
      </c>
      <c r="E219" s="257">
        <v>3000000</v>
      </c>
      <c r="F219" s="257">
        <v>0</v>
      </c>
      <c r="G219" s="257">
        <v>0</v>
      </c>
      <c r="H219" s="257">
        <v>0</v>
      </c>
      <c r="I219" s="257">
        <v>0</v>
      </c>
      <c r="J219" s="257">
        <v>0</v>
      </c>
      <c r="K219" s="257">
        <v>0</v>
      </c>
      <c r="L219" s="257">
        <v>0</v>
      </c>
      <c r="M219" s="257">
        <v>0</v>
      </c>
      <c r="N219" s="257">
        <v>0</v>
      </c>
    </row>
    <row r="220" spans="1:14" s="143" customFormat="1" x14ac:dyDescent="0.25">
      <c r="A220" s="143" t="s">
        <v>290</v>
      </c>
      <c r="B220" s="143" t="s">
        <v>136</v>
      </c>
      <c r="C220" s="143" t="s">
        <v>137</v>
      </c>
      <c r="D220" s="143" t="s">
        <v>69</v>
      </c>
      <c r="E220" s="257">
        <v>347095000</v>
      </c>
      <c r="F220" s="257">
        <v>347095000</v>
      </c>
      <c r="G220" s="257">
        <v>347095000</v>
      </c>
      <c r="H220" s="257">
        <v>0</v>
      </c>
      <c r="I220" s="257">
        <v>66920379.75</v>
      </c>
      <c r="J220" s="257">
        <v>7355430.0499999998</v>
      </c>
      <c r="K220" s="257">
        <v>242291090.94999999</v>
      </c>
      <c r="L220" s="257">
        <v>211500356.40000001</v>
      </c>
      <c r="M220" s="257">
        <v>30528099.25</v>
      </c>
      <c r="N220" s="257">
        <v>30528099.25</v>
      </c>
    </row>
    <row r="221" spans="1:14" s="143" customFormat="1" x14ac:dyDescent="0.25">
      <c r="A221" s="143" t="s">
        <v>290</v>
      </c>
      <c r="B221" s="143" t="s">
        <v>138</v>
      </c>
      <c r="C221" s="143" t="s">
        <v>139</v>
      </c>
      <c r="D221" s="143" t="s">
        <v>69</v>
      </c>
      <c r="E221" s="257">
        <v>14850000</v>
      </c>
      <c r="F221" s="257">
        <v>14850000</v>
      </c>
      <c r="G221" s="257">
        <v>14850000</v>
      </c>
      <c r="H221" s="257">
        <v>0</v>
      </c>
      <c r="I221" s="257">
        <v>2216881.61</v>
      </c>
      <c r="J221" s="257">
        <v>0</v>
      </c>
      <c r="K221" s="257">
        <v>5789825.7999999998</v>
      </c>
      <c r="L221" s="257">
        <v>5763015.7999999998</v>
      </c>
      <c r="M221" s="257">
        <v>6843292.5899999999</v>
      </c>
      <c r="N221" s="257">
        <v>6843292.5899999999</v>
      </c>
    </row>
    <row r="222" spans="1:14" s="143" customFormat="1" x14ac:dyDescent="0.25">
      <c r="A222" s="143" t="s">
        <v>290</v>
      </c>
      <c r="B222" s="143" t="s">
        <v>142</v>
      </c>
      <c r="C222" s="143" t="s">
        <v>143</v>
      </c>
      <c r="D222" s="143" t="s">
        <v>69</v>
      </c>
      <c r="E222" s="257">
        <v>450000</v>
      </c>
      <c r="F222" s="257">
        <v>1600000</v>
      </c>
      <c r="G222" s="257">
        <v>1600000</v>
      </c>
      <c r="H222" s="257">
        <v>0</v>
      </c>
      <c r="I222" s="257">
        <v>91390</v>
      </c>
      <c r="J222" s="257">
        <v>0</v>
      </c>
      <c r="K222" s="257">
        <v>882275</v>
      </c>
      <c r="L222" s="257">
        <v>882275</v>
      </c>
      <c r="M222" s="257">
        <v>626335</v>
      </c>
      <c r="N222" s="257">
        <v>626335</v>
      </c>
    </row>
    <row r="223" spans="1:14" s="143" customFormat="1" x14ac:dyDescent="0.25">
      <c r="A223" s="143" t="s">
        <v>290</v>
      </c>
      <c r="B223" s="143" t="s">
        <v>144</v>
      </c>
      <c r="C223" s="143" t="s">
        <v>145</v>
      </c>
      <c r="D223" s="143" t="s">
        <v>69</v>
      </c>
      <c r="E223" s="257">
        <v>34000000</v>
      </c>
      <c r="F223" s="257">
        <v>34000000</v>
      </c>
      <c r="G223" s="257">
        <v>34000000</v>
      </c>
      <c r="H223" s="257">
        <v>0</v>
      </c>
      <c r="I223" s="257">
        <v>8630500</v>
      </c>
      <c r="J223" s="257">
        <v>0</v>
      </c>
      <c r="K223" s="257">
        <v>23637600</v>
      </c>
      <c r="L223" s="257">
        <v>23411500</v>
      </c>
      <c r="M223" s="257">
        <v>1731900</v>
      </c>
      <c r="N223" s="257">
        <v>1731900</v>
      </c>
    </row>
    <row r="224" spans="1:14" s="143" customFormat="1" x14ac:dyDescent="0.25">
      <c r="A224" s="143" t="s">
        <v>290</v>
      </c>
      <c r="B224" s="143" t="s">
        <v>146</v>
      </c>
      <c r="C224" s="143" t="s">
        <v>147</v>
      </c>
      <c r="D224" s="143" t="s">
        <v>69</v>
      </c>
      <c r="E224" s="257">
        <v>3000000</v>
      </c>
      <c r="F224" s="257">
        <v>2550000</v>
      </c>
      <c r="G224" s="257">
        <v>2550000</v>
      </c>
      <c r="H224" s="257">
        <v>0</v>
      </c>
      <c r="I224" s="257">
        <v>11309.46</v>
      </c>
      <c r="J224" s="257">
        <v>0</v>
      </c>
      <c r="K224" s="257">
        <v>1986202.24</v>
      </c>
      <c r="L224" s="257">
        <v>1986202.24</v>
      </c>
      <c r="M224" s="257">
        <v>552488.30000000005</v>
      </c>
      <c r="N224" s="257">
        <v>552488.30000000005</v>
      </c>
    </row>
    <row r="225" spans="1:14" s="143" customFormat="1" x14ac:dyDescent="0.25">
      <c r="A225" s="143" t="s">
        <v>290</v>
      </c>
      <c r="B225" s="143" t="s">
        <v>148</v>
      </c>
      <c r="C225" s="143" t="s">
        <v>149</v>
      </c>
      <c r="D225" s="143" t="s">
        <v>69</v>
      </c>
      <c r="E225" s="257">
        <v>7500000</v>
      </c>
      <c r="F225" s="257">
        <v>6121205</v>
      </c>
      <c r="G225" s="257">
        <v>6121205</v>
      </c>
      <c r="H225" s="257">
        <v>0</v>
      </c>
      <c r="I225" s="257">
        <v>0</v>
      </c>
      <c r="J225" s="257">
        <v>0</v>
      </c>
      <c r="K225" s="257">
        <v>4700562.32</v>
      </c>
      <c r="L225" s="257">
        <v>4700562.32</v>
      </c>
      <c r="M225" s="257">
        <v>1420642.68</v>
      </c>
      <c r="N225" s="257">
        <v>1420642.68</v>
      </c>
    </row>
    <row r="226" spans="1:14" s="143" customFormat="1" x14ac:dyDescent="0.25">
      <c r="A226" s="143" t="s">
        <v>290</v>
      </c>
      <c r="B226" s="143" t="s">
        <v>152</v>
      </c>
      <c r="C226" s="143" t="s">
        <v>153</v>
      </c>
      <c r="D226" s="143" t="s">
        <v>69</v>
      </c>
      <c r="E226" s="257">
        <v>91000000</v>
      </c>
      <c r="F226" s="257">
        <v>91000000</v>
      </c>
      <c r="G226" s="257">
        <v>91000000</v>
      </c>
      <c r="H226" s="257">
        <v>0</v>
      </c>
      <c r="I226" s="257">
        <v>627083</v>
      </c>
      <c r="J226" s="257">
        <v>0</v>
      </c>
      <c r="K226" s="257">
        <v>49119446</v>
      </c>
      <c r="L226" s="257">
        <v>26866432</v>
      </c>
      <c r="M226" s="257">
        <v>41253471</v>
      </c>
      <c r="N226" s="257">
        <v>41253471</v>
      </c>
    </row>
    <row r="227" spans="1:14" s="143" customFormat="1" x14ac:dyDescent="0.25">
      <c r="A227" s="143" t="s">
        <v>290</v>
      </c>
      <c r="B227" s="143" t="s">
        <v>156</v>
      </c>
      <c r="C227" s="143" t="s">
        <v>157</v>
      </c>
      <c r="D227" s="143" t="s">
        <v>69</v>
      </c>
      <c r="E227" s="257">
        <v>6000000</v>
      </c>
      <c r="F227" s="257">
        <v>6000000</v>
      </c>
      <c r="G227" s="257">
        <v>6000000</v>
      </c>
      <c r="H227" s="257">
        <v>0</v>
      </c>
      <c r="I227" s="257">
        <v>3775000</v>
      </c>
      <c r="J227" s="257">
        <v>0</v>
      </c>
      <c r="K227" s="257">
        <v>2224561</v>
      </c>
      <c r="L227" s="257">
        <v>954561</v>
      </c>
      <c r="M227" s="257">
        <v>439</v>
      </c>
      <c r="N227" s="257">
        <v>439</v>
      </c>
    </row>
    <row r="228" spans="1:14" s="143" customFormat="1" x14ac:dyDescent="0.25">
      <c r="A228" s="143" t="s">
        <v>290</v>
      </c>
      <c r="B228" s="143" t="s">
        <v>310</v>
      </c>
      <c r="C228" s="143" t="s">
        <v>311</v>
      </c>
      <c r="D228" s="143" t="s">
        <v>69</v>
      </c>
      <c r="E228" s="257">
        <v>19900000</v>
      </c>
      <c r="F228" s="257">
        <v>19900000</v>
      </c>
      <c r="G228" s="257">
        <v>19900000</v>
      </c>
      <c r="H228" s="257">
        <v>8000000</v>
      </c>
      <c r="I228" s="257">
        <v>4744714.87</v>
      </c>
      <c r="J228" s="257">
        <v>155500</v>
      </c>
      <c r="K228" s="257">
        <v>2929812.24</v>
      </c>
      <c r="L228" s="257">
        <v>2618812.2400000002</v>
      </c>
      <c r="M228" s="257">
        <v>4069972.89</v>
      </c>
      <c r="N228" s="257">
        <v>4069972.89</v>
      </c>
    </row>
    <row r="229" spans="1:14" s="143" customFormat="1" x14ac:dyDescent="0.25">
      <c r="A229" s="143" t="s">
        <v>290</v>
      </c>
      <c r="B229" s="143" t="s">
        <v>164</v>
      </c>
      <c r="C229" s="143" t="s">
        <v>165</v>
      </c>
      <c r="D229" s="143" t="s">
        <v>69</v>
      </c>
      <c r="E229" s="257">
        <v>4750000</v>
      </c>
      <c r="F229" s="257">
        <v>4750000</v>
      </c>
      <c r="G229" s="257">
        <v>4750000</v>
      </c>
      <c r="H229" s="257">
        <v>0</v>
      </c>
      <c r="I229" s="257">
        <v>840593.75</v>
      </c>
      <c r="J229" s="257">
        <v>0</v>
      </c>
      <c r="K229" s="257">
        <v>3270506.61</v>
      </c>
      <c r="L229" s="257">
        <v>3270506.61</v>
      </c>
      <c r="M229" s="257">
        <v>638899.64</v>
      </c>
      <c r="N229" s="257">
        <v>638899.64</v>
      </c>
    </row>
    <row r="230" spans="1:14" s="143" customFormat="1" x14ac:dyDescent="0.25">
      <c r="A230" s="143" t="s">
        <v>290</v>
      </c>
      <c r="B230" s="143" t="s">
        <v>166</v>
      </c>
      <c r="C230" s="143" t="s">
        <v>167</v>
      </c>
      <c r="D230" s="143" t="s">
        <v>69</v>
      </c>
      <c r="E230" s="257">
        <v>28300000</v>
      </c>
      <c r="F230" s="257">
        <v>15300000</v>
      </c>
      <c r="G230" s="257">
        <v>15300000</v>
      </c>
      <c r="H230" s="257">
        <v>0</v>
      </c>
      <c r="I230" s="257">
        <v>10328738</v>
      </c>
      <c r="J230" s="257">
        <v>0</v>
      </c>
      <c r="K230" s="257">
        <v>4920999</v>
      </c>
      <c r="L230" s="257">
        <v>4920999</v>
      </c>
      <c r="M230" s="257">
        <v>50263</v>
      </c>
      <c r="N230" s="257">
        <v>50263</v>
      </c>
    </row>
    <row r="231" spans="1:14" s="143" customFormat="1" x14ac:dyDescent="0.25">
      <c r="A231" s="143" t="s">
        <v>290</v>
      </c>
      <c r="B231" s="143" t="s">
        <v>312</v>
      </c>
      <c r="C231" s="143" t="s">
        <v>313</v>
      </c>
      <c r="D231" s="143" t="s">
        <v>69</v>
      </c>
      <c r="E231" s="257">
        <v>8900000</v>
      </c>
      <c r="F231" s="257">
        <v>8900000</v>
      </c>
      <c r="G231" s="257">
        <v>8900000</v>
      </c>
      <c r="H231" s="257">
        <v>0</v>
      </c>
      <c r="I231" s="257">
        <v>615568.80000000005</v>
      </c>
      <c r="J231" s="257">
        <v>0</v>
      </c>
      <c r="K231" s="257">
        <v>3256329.65</v>
      </c>
      <c r="L231" s="257">
        <v>2344658.9</v>
      </c>
      <c r="M231" s="257">
        <v>5028101.55</v>
      </c>
      <c r="N231" s="257">
        <v>5028101.55</v>
      </c>
    </row>
    <row r="232" spans="1:14" s="143" customFormat="1" x14ac:dyDescent="0.25">
      <c r="A232" s="143" t="s">
        <v>290</v>
      </c>
      <c r="B232" s="143" t="s">
        <v>168</v>
      </c>
      <c r="C232" s="143" t="s">
        <v>169</v>
      </c>
      <c r="D232" s="143" t="s">
        <v>69</v>
      </c>
      <c r="E232" s="257">
        <v>13062000</v>
      </c>
      <c r="F232" s="257">
        <v>9562000</v>
      </c>
      <c r="G232" s="257">
        <v>9562000</v>
      </c>
      <c r="H232" s="257">
        <v>0</v>
      </c>
      <c r="I232" s="257">
        <v>1034310.4</v>
      </c>
      <c r="J232" s="257">
        <v>416000</v>
      </c>
      <c r="K232" s="257">
        <v>4002196.8</v>
      </c>
      <c r="L232" s="257">
        <v>3882196.8</v>
      </c>
      <c r="M232" s="257">
        <v>4109492.8</v>
      </c>
      <c r="N232" s="257">
        <v>4109492.8</v>
      </c>
    </row>
    <row r="233" spans="1:14" s="143" customFormat="1" x14ac:dyDescent="0.25">
      <c r="A233" s="143" t="s">
        <v>290</v>
      </c>
      <c r="B233" s="143" t="s">
        <v>170</v>
      </c>
      <c r="C233" s="143" t="s">
        <v>171</v>
      </c>
      <c r="D233" s="143" t="s">
        <v>69</v>
      </c>
      <c r="E233" s="257">
        <v>35260000</v>
      </c>
      <c r="F233" s="257">
        <v>35260000</v>
      </c>
      <c r="G233" s="257">
        <v>35260000</v>
      </c>
      <c r="H233" s="257">
        <v>0</v>
      </c>
      <c r="I233" s="257">
        <v>2454520</v>
      </c>
      <c r="J233" s="257">
        <v>847050</v>
      </c>
      <c r="K233" s="257">
        <v>13898054.890000001</v>
      </c>
      <c r="L233" s="257">
        <v>12548054.890000001</v>
      </c>
      <c r="M233" s="257">
        <v>18060375.109999999</v>
      </c>
      <c r="N233" s="257">
        <v>18060375.109999999</v>
      </c>
    </row>
    <row r="234" spans="1:14" s="143" customFormat="1" x14ac:dyDescent="0.25">
      <c r="A234" s="143" t="s">
        <v>290</v>
      </c>
      <c r="B234" s="143" t="s">
        <v>172</v>
      </c>
      <c r="C234" s="143" t="s">
        <v>173</v>
      </c>
      <c r="D234" s="143" t="s">
        <v>69</v>
      </c>
      <c r="E234" s="257">
        <v>3100000</v>
      </c>
      <c r="F234" s="257">
        <v>4600000</v>
      </c>
      <c r="G234" s="257">
        <v>4600000</v>
      </c>
      <c r="H234" s="257">
        <v>0</v>
      </c>
      <c r="I234" s="257">
        <v>0</v>
      </c>
      <c r="J234" s="257">
        <v>580320.94999999995</v>
      </c>
      <c r="K234" s="257">
        <v>2296446.69</v>
      </c>
      <c r="L234" s="257">
        <v>1054148.5</v>
      </c>
      <c r="M234" s="257">
        <v>1723232.36</v>
      </c>
      <c r="N234" s="257">
        <v>1723232.36</v>
      </c>
    </row>
    <row r="235" spans="1:14" s="143" customFormat="1" x14ac:dyDescent="0.25">
      <c r="A235" s="143" t="s">
        <v>290</v>
      </c>
      <c r="B235" s="143" t="s">
        <v>176</v>
      </c>
      <c r="C235" s="143" t="s">
        <v>177</v>
      </c>
      <c r="D235" s="143" t="s">
        <v>69</v>
      </c>
      <c r="E235" s="257">
        <v>1550000</v>
      </c>
      <c r="F235" s="257">
        <v>1550000</v>
      </c>
      <c r="G235" s="257">
        <v>1550000</v>
      </c>
      <c r="H235" s="257">
        <v>0</v>
      </c>
      <c r="I235" s="257">
        <v>24400</v>
      </c>
      <c r="J235" s="257">
        <v>0</v>
      </c>
      <c r="K235" s="257">
        <v>600</v>
      </c>
      <c r="L235" s="257">
        <v>600</v>
      </c>
      <c r="M235" s="257">
        <v>1525000</v>
      </c>
      <c r="N235" s="257">
        <v>1525000</v>
      </c>
    </row>
    <row r="236" spans="1:14" s="143" customFormat="1" x14ac:dyDescent="0.25">
      <c r="A236" s="143" t="s">
        <v>290</v>
      </c>
      <c r="B236" s="143" t="s">
        <v>180</v>
      </c>
      <c r="C236" s="143" t="s">
        <v>181</v>
      </c>
      <c r="D236" s="143" t="s">
        <v>69</v>
      </c>
      <c r="E236" s="257">
        <v>150000</v>
      </c>
      <c r="F236" s="257">
        <v>150000</v>
      </c>
      <c r="G236" s="257">
        <v>150000</v>
      </c>
      <c r="H236" s="257">
        <v>0</v>
      </c>
      <c r="I236" s="257">
        <v>33857.78</v>
      </c>
      <c r="J236" s="257">
        <v>0</v>
      </c>
      <c r="K236" s="257">
        <v>0</v>
      </c>
      <c r="L236" s="257">
        <v>0</v>
      </c>
      <c r="M236" s="257">
        <v>116142.22</v>
      </c>
      <c r="N236" s="257">
        <v>116142.22</v>
      </c>
    </row>
    <row r="237" spans="1:14" s="143" customFormat="1" x14ac:dyDescent="0.25">
      <c r="A237" s="143" t="s">
        <v>290</v>
      </c>
      <c r="B237" s="143" t="s">
        <v>182</v>
      </c>
      <c r="C237" s="143" t="s">
        <v>183</v>
      </c>
      <c r="D237" s="143" t="s">
        <v>69</v>
      </c>
      <c r="E237" s="257">
        <v>2000000</v>
      </c>
      <c r="F237" s="257">
        <v>2000000</v>
      </c>
      <c r="G237" s="257">
        <v>2000000</v>
      </c>
      <c r="H237" s="257">
        <v>0</v>
      </c>
      <c r="I237" s="257">
        <v>0</v>
      </c>
      <c r="J237" s="257">
        <v>0</v>
      </c>
      <c r="K237" s="257">
        <v>150000</v>
      </c>
      <c r="L237" s="257">
        <v>150000</v>
      </c>
      <c r="M237" s="257">
        <v>1850000</v>
      </c>
      <c r="N237" s="257">
        <v>1850000</v>
      </c>
    </row>
    <row r="238" spans="1:14" s="143" customFormat="1" x14ac:dyDescent="0.25">
      <c r="A238" s="143" t="s">
        <v>290</v>
      </c>
      <c r="B238" s="143" t="s">
        <v>188</v>
      </c>
      <c r="C238" s="143" t="s">
        <v>189</v>
      </c>
      <c r="D238" s="143" t="s">
        <v>69</v>
      </c>
      <c r="E238" s="257">
        <v>30200000</v>
      </c>
      <c r="F238" s="257">
        <v>30200000</v>
      </c>
      <c r="G238" s="257">
        <v>30200000</v>
      </c>
      <c r="H238" s="257">
        <v>0</v>
      </c>
      <c r="I238" s="257">
        <v>1705886.16</v>
      </c>
      <c r="J238" s="257">
        <v>0</v>
      </c>
      <c r="K238" s="257">
        <v>16836254.84</v>
      </c>
      <c r="L238" s="257">
        <v>16836254.84</v>
      </c>
      <c r="M238" s="257">
        <v>11657859</v>
      </c>
      <c r="N238" s="257">
        <v>11657859</v>
      </c>
    </row>
    <row r="239" spans="1:14" s="143" customFormat="1" x14ac:dyDescent="0.25">
      <c r="A239" s="143" t="s">
        <v>290</v>
      </c>
      <c r="B239" s="143" t="s">
        <v>190</v>
      </c>
      <c r="C239" s="143" t="s">
        <v>191</v>
      </c>
      <c r="D239" s="143" t="s">
        <v>69</v>
      </c>
      <c r="E239" s="257">
        <v>7000</v>
      </c>
      <c r="F239" s="257">
        <v>0</v>
      </c>
      <c r="G239" s="257">
        <v>0</v>
      </c>
      <c r="H239" s="257">
        <v>0</v>
      </c>
      <c r="I239" s="257">
        <v>0</v>
      </c>
      <c r="J239" s="257">
        <v>0</v>
      </c>
      <c r="K239" s="257">
        <v>0</v>
      </c>
      <c r="L239" s="257">
        <v>0</v>
      </c>
      <c r="M239" s="257">
        <v>0</v>
      </c>
      <c r="N239" s="257">
        <v>0</v>
      </c>
    </row>
    <row r="240" spans="1:14" s="143" customFormat="1" x14ac:dyDescent="0.25">
      <c r="A240" s="143" t="s">
        <v>290</v>
      </c>
      <c r="B240" s="143" t="s">
        <v>192</v>
      </c>
      <c r="C240" s="143" t="s">
        <v>193</v>
      </c>
      <c r="D240" s="143" t="s">
        <v>69</v>
      </c>
      <c r="E240" s="257">
        <v>25615000</v>
      </c>
      <c r="F240" s="257">
        <v>3415000</v>
      </c>
      <c r="G240" s="257">
        <v>3415000</v>
      </c>
      <c r="H240" s="257">
        <v>0</v>
      </c>
      <c r="I240" s="257">
        <v>829288.59</v>
      </c>
      <c r="J240" s="257">
        <v>0</v>
      </c>
      <c r="K240" s="257">
        <v>950210.23</v>
      </c>
      <c r="L240" s="257">
        <v>950210.23</v>
      </c>
      <c r="M240" s="257">
        <v>1635501.18</v>
      </c>
      <c r="N240" s="257">
        <v>1635501.18</v>
      </c>
    </row>
    <row r="241" spans="1:14" s="143" customFormat="1" x14ac:dyDescent="0.25">
      <c r="A241" s="143" t="s">
        <v>290</v>
      </c>
      <c r="B241" s="143" t="s">
        <v>194</v>
      </c>
      <c r="C241" s="143" t="s">
        <v>195</v>
      </c>
      <c r="D241" s="143" t="s">
        <v>69</v>
      </c>
      <c r="E241" s="257">
        <v>128000</v>
      </c>
      <c r="F241" s="257">
        <v>128000</v>
      </c>
      <c r="G241" s="257">
        <v>128000</v>
      </c>
      <c r="H241" s="257">
        <v>0</v>
      </c>
      <c r="I241" s="257">
        <v>0</v>
      </c>
      <c r="J241" s="257">
        <v>0</v>
      </c>
      <c r="K241" s="257">
        <v>0</v>
      </c>
      <c r="L241" s="257">
        <v>0</v>
      </c>
      <c r="M241" s="257">
        <v>128000</v>
      </c>
      <c r="N241" s="257">
        <v>128000</v>
      </c>
    </row>
    <row r="242" spans="1:14" s="143" customFormat="1" x14ac:dyDescent="0.25">
      <c r="A242" s="143" t="s">
        <v>290</v>
      </c>
      <c r="B242" s="143" t="s">
        <v>314</v>
      </c>
      <c r="C242" s="143" t="s">
        <v>315</v>
      </c>
      <c r="D242" s="143" t="s">
        <v>69</v>
      </c>
      <c r="E242" s="257">
        <v>437000</v>
      </c>
      <c r="F242" s="257">
        <v>437000</v>
      </c>
      <c r="G242" s="257">
        <v>437000</v>
      </c>
      <c r="H242" s="257">
        <v>11750</v>
      </c>
      <c r="I242" s="257">
        <v>289365</v>
      </c>
      <c r="J242" s="257">
        <v>0</v>
      </c>
      <c r="K242" s="257">
        <v>25950</v>
      </c>
      <c r="L242" s="257">
        <v>25950</v>
      </c>
      <c r="M242" s="257">
        <v>109935</v>
      </c>
      <c r="N242" s="257">
        <v>109935</v>
      </c>
    </row>
    <row r="243" spans="1:14" s="143" customFormat="1" x14ac:dyDescent="0.25">
      <c r="A243" s="143" t="s">
        <v>290</v>
      </c>
      <c r="B243" s="143" t="s">
        <v>316</v>
      </c>
      <c r="C243" s="143" t="s">
        <v>317</v>
      </c>
      <c r="D243" s="143" t="s">
        <v>69</v>
      </c>
      <c r="E243" s="257">
        <v>120000</v>
      </c>
      <c r="F243" s="257">
        <v>120000</v>
      </c>
      <c r="G243" s="257">
        <v>120000</v>
      </c>
      <c r="H243" s="257">
        <v>0</v>
      </c>
      <c r="I243" s="257">
        <v>0</v>
      </c>
      <c r="J243" s="257">
        <v>75487</v>
      </c>
      <c r="K243" s="257">
        <v>0</v>
      </c>
      <c r="L243" s="257">
        <v>0</v>
      </c>
      <c r="M243" s="257">
        <v>44513</v>
      </c>
      <c r="N243" s="257">
        <v>44513</v>
      </c>
    </row>
    <row r="244" spans="1:14" s="143" customFormat="1" x14ac:dyDescent="0.25">
      <c r="A244" s="143" t="s">
        <v>290</v>
      </c>
      <c r="B244" s="143" t="s">
        <v>318</v>
      </c>
      <c r="C244" s="143" t="s">
        <v>319</v>
      </c>
      <c r="D244" s="143" t="s">
        <v>69</v>
      </c>
      <c r="E244" s="257">
        <v>88000</v>
      </c>
      <c r="F244" s="257">
        <v>88000</v>
      </c>
      <c r="G244" s="257">
        <v>88000</v>
      </c>
      <c r="H244" s="257">
        <v>0</v>
      </c>
      <c r="I244" s="257">
        <v>0</v>
      </c>
      <c r="J244" s="257">
        <v>0</v>
      </c>
      <c r="K244" s="257">
        <v>0</v>
      </c>
      <c r="L244" s="257">
        <v>0</v>
      </c>
      <c r="M244" s="257">
        <v>88000</v>
      </c>
      <c r="N244" s="257">
        <v>88000</v>
      </c>
    </row>
    <row r="245" spans="1:14" s="143" customFormat="1" x14ac:dyDescent="0.25">
      <c r="A245" s="143" t="s">
        <v>290</v>
      </c>
      <c r="B245" s="143" t="s">
        <v>202</v>
      </c>
      <c r="C245" s="143" t="s">
        <v>203</v>
      </c>
      <c r="D245" s="143" t="s">
        <v>69</v>
      </c>
      <c r="E245" s="257">
        <v>1750000</v>
      </c>
      <c r="F245" s="257">
        <v>1750000</v>
      </c>
      <c r="G245" s="257">
        <v>1750000</v>
      </c>
      <c r="H245" s="257">
        <v>0</v>
      </c>
      <c r="I245" s="257">
        <v>1071598</v>
      </c>
      <c r="J245" s="257">
        <v>0</v>
      </c>
      <c r="K245" s="257">
        <v>0</v>
      </c>
      <c r="L245" s="257">
        <v>0</v>
      </c>
      <c r="M245" s="257">
        <v>678402</v>
      </c>
      <c r="N245" s="257">
        <v>678402</v>
      </c>
    </row>
    <row r="246" spans="1:14" s="143" customFormat="1" x14ac:dyDescent="0.25">
      <c r="A246" s="143" t="s">
        <v>290</v>
      </c>
      <c r="B246" s="143" t="s">
        <v>320</v>
      </c>
      <c r="C246" s="143" t="s">
        <v>321</v>
      </c>
      <c r="D246" s="143" t="s">
        <v>69</v>
      </c>
      <c r="E246" s="257">
        <v>70000</v>
      </c>
      <c r="F246" s="257">
        <v>70000</v>
      </c>
      <c r="G246" s="257">
        <v>70000</v>
      </c>
      <c r="H246" s="257">
        <v>0</v>
      </c>
      <c r="I246" s="257">
        <v>0</v>
      </c>
      <c r="J246" s="257">
        <v>0</v>
      </c>
      <c r="K246" s="257">
        <v>0</v>
      </c>
      <c r="L246" s="257">
        <v>0</v>
      </c>
      <c r="M246" s="257">
        <v>70000</v>
      </c>
      <c r="N246" s="257">
        <v>70000</v>
      </c>
    </row>
    <row r="247" spans="1:14" s="143" customFormat="1" x14ac:dyDescent="0.25">
      <c r="A247" s="143" t="s">
        <v>290</v>
      </c>
      <c r="B247" s="143" t="s">
        <v>204</v>
      </c>
      <c r="C247" s="143" t="s">
        <v>205</v>
      </c>
      <c r="D247" s="143" t="s">
        <v>69</v>
      </c>
      <c r="E247" s="257">
        <v>500000</v>
      </c>
      <c r="F247" s="257">
        <v>500000</v>
      </c>
      <c r="G247" s="257">
        <v>500000</v>
      </c>
      <c r="H247" s="257">
        <v>0</v>
      </c>
      <c r="I247" s="257">
        <v>236964</v>
      </c>
      <c r="J247" s="257">
        <v>0</v>
      </c>
      <c r="K247" s="257">
        <v>0</v>
      </c>
      <c r="L247" s="257">
        <v>0</v>
      </c>
      <c r="M247" s="257">
        <v>263036</v>
      </c>
      <c r="N247" s="257">
        <v>263036</v>
      </c>
    </row>
    <row r="248" spans="1:14" s="143" customFormat="1" x14ac:dyDescent="0.25">
      <c r="A248" s="143" t="s">
        <v>290</v>
      </c>
      <c r="B248" s="143" t="s">
        <v>322</v>
      </c>
      <c r="C248" s="143" t="s">
        <v>323</v>
      </c>
      <c r="D248" s="143" t="s">
        <v>69</v>
      </c>
      <c r="E248" s="257">
        <v>310000</v>
      </c>
      <c r="F248" s="257">
        <v>310000</v>
      </c>
      <c r="G248" s="257">
        <v>310000</v>
      </c>
      <c r="H248" s="257">
        <v>259125</v>
      </c>
      <c r="I248" s="257">
        <v>0</v>
      </c>
      <c r="J248" s="257">
        <v>0</v>
      </c>
      <c r="K248" s="257">
        <v>0</v>
      </c>
      <c r="L248" s="257">
        <v>0</v>
      </c>
      <c r="M248" s="257">
        <v>50875</v>
      </c>
      <c r="N248" s="257">
        <v>50875</v>
      </c>
    </row>
    <row r="249" spans="1:14" s="143" customFormat="1" x14ac:dyDescent="0.25">
      <c r="A249" s="143" t="s">
        <v>290</v>
      </c>
      <c r="B249" s="143" t="s">
        <v>208</v>
      </c>
      <c r="C249" s="143" t="s">
        <v>209</v>
      </c>
      <c r="D249" s="143" t="s">
        <v>69</v>
      </c>
      <c r="E249" s="257">
        <v>171000</v>
      </c>
      <c r="F249" s="257">
        <v>171000</v>
      </c>
      <c r="G249" s="257">
        <v>171000</v>
      </c>
      <c r="H249" s="257">
        <v>15005</v>
      </c>
      <c r="I249" s="257">
        <v>0</v>
      </c>
      <c r="J249" s="257">
        <v>0</v>
      </c>
      <c r="K249" s="257">
        <v>18284.75</v>
      </c>
      <c r="L249" s="257">
        <v>18284.75</v>
      </c>
      <c r="M249" s="257">
        <v>137710.25</v>
      </c>
      <c r="N249" s="257">
        <v>137710.25</v>
      </c>
    </row>
    <row r="250" spans="1:14" s="143" customFormat="1" x14ac:dyDescent="0.25">
      <c r="A250" s="143" t="s">
        <v>290</v>
      </c>
      <c r="B250" s="143" t="s">
        <v>210</v>
      </c>
      <c r="C250" s="143" t="s">
        <v>211</v>
      </c>
      <c r="D250" s="143" t="s">
        <v>69</v>
      </c>
      <c r="E250" s="257">
        <v>785000</v>
      </c>
      <c r="F250" s="257">
        <v>1785000</v>
      </c>
      <c r="G250" s="257">
        <v>1785000</v>
      </c>
      <c r="H250" s="257">
        <v>0</v>
      </c>
      <c r="I250" s="257">
        <v>700560.96</v>
      </c>
      <c r="J250" s="257">
        <v>0</v>
      </c>
      <c r="K250" s="257">
        <v>769645.49</v>
      </c>
      <c r="L250" s="257">
        <v>564545.49</v>
      </c>
      <c r="M250" s="257">
        <v>314793.55</v>
      </c>
      <c r="N250" s="257">
        <v>314793.55</v>
      </c>
    </row>
    <row r="251" spans="1:14" s="143" customFormat="1" x14ac:dyDescent="0.25">
      <c r="A251" s="143" t="s">
        <v>290</v>
      </c>
      <c r="B251" s="143" t="s">
        <v>214</v>
      </c>
      <c r="C251" s="143" t="s">
        <v>215</v>
      </c>
      <c r="D251" s="143" t="s">
        <v>69</v>
      </c>
      <c r="E251" s="257">
        <v>8270000</v>
      </c>
      <c r="F251" s="257">
        <v>4770000</v>
      </c>
      <c r="G251" s="257">
        <v>4770000</v>
      </c>
      <c r="H251" s="257">
        <v>0</v>
      </c>
      <c r="I251" s="257">
        <v>821625</v>
      </c>
      <c r="J251" s="257">
        <v>0</v>
      </c>
      <c r="K251" s="257">
        <v>3182095.95</v>
      </c>
      <c r="L251" s="257">
        <v>3182095.95</v>
      </c>
      <c r="M251" s="257">
        <v>766279.05</v>
      </c>
      <c r="N251" s="257">
        <v>766279.05</v>
      </c>
    </row>
    <row r="252" spans="1:14" s="143" customFormat="1" x14ac:dyDescent="0.25">
      <c r="A252" s="143" t="s">
        <v>290</v>
      </c>
      <c r="B252" s="143" t="s">
        <v>216</v>
      </c>
      <c r="C252" s="143" t="s">
        <v>217</v>
      </c>
      <c r="D252" s="143" t="s">
        <v>69</v>
      </c>
      <c r="E252" s="257">
        <v>21000</v>
      </c>
      <c r="F252" s="257">
        <v>21000</v>
      </c>
      <c r="G252" s="257">
        <v>21000</v>
      </c>
      <c r="H252" s="257">
        <v>20946</v>
      </c>
      <c r="I252" s="257">
        <v>0</v>
      </c>
      <c r="J252" s="257">
        <v>0</v>
      </c>
      <c r="K252" s="257">
        <v>0</v>
      </c>
      <c r="L252" s="257">
        <v>0</v>
      </c>
      <c r="M252" s="257">
        <v>54</v>
      </c>
      <c r="N252" s="257">
        <v>54</v>
      </c>
    </row>
    <row r="253" spans="1:14" s="143" customFormat="1" x14ac:dyDescent="0.25">
      <c r="A253" s="143" t="s">
        <v>290</v>
      </c>
      <c r="B253" s="143" t="s">
        <v>218</v>
      </c>
      <c r="C253" s="143" t="s">
        <v>219</v>
      </c>
      <c r="D253" s="143" t="s">
        <v>69</v>
      </c>
      <c r="E253" s="257">
        <v>28400000</v>
      </c>
      <c r="F253" s="257">
        <v>17400000</v>
      </c>
      <c r="G253" s="257">
        <v>17400000</v>
      </c>
      <c r="H253" s="257">
        <v>3000000</v>
      </c>
      <c r="I253" s="257">
        <v>2354375</v>
      </c>
      <c r="J253" s="257">
        <v>55687.5</v>
      </c>
      <c r="K253" s="257">
        <v>10600107.699999999</v>
      </c>
      <c r="L253" s="257">
        <v>7885855.7000000002</v>
      </c>
      <c r="M253" s="257">
        <v>1389829.8</v>
      </c>
      <c r="N253" s="257">
        <v>1389829.8</v>
      </c>
    </row>
    <row r="254" spans="1:14" s="143" customFormat="1" x14ac:dyDescent="0.25">
      <c r="A254" s="143" t="s">
        <v>290</v>
      </c>
      <c r="B254" s="143" t="s">
        <v>220</v>
      </c>
      <c r="C254" s="143" t="s">
        <v>221</v>
      </c>
      <c r="D254" s="143" t="s">
        <v>69</v>
      </c>
      <c r="E254" s="257">
        <v>1255000</v>
      </c>
      <c r="F254" s="257">
        <v>1255000</v>
      </c>
      <c r="G254" s="257">
        <v>1255000</v>
      </c>
      <c r="H254" s="257">
        <v>0</v>
      </c>
      <c r="I254" s="257">
        <v>0</v>
      </c>
      <c r="J254" s="257">
        <v>0</v>
      </c>
      <c r="K254" s="257">
        <v>1094570</v>
      </c>
      <c r="L254" s="257">
        <v>269815</v>
      </c>
      <c r="M254" s="257">
        <v>160430</v>
      </c>
      <c r="N254" s="257">
        <v>160430</v>
      </c>
    </row>
    <row r="255" spans="1:14" s="143" customFormat="1" x14ac:dyDescent="0.25">
      <c r="A255" s="143" t="s">
        <v>290</v>
      </c>
      <c r="B255" s="143" t="s">
        <v>222</v>
      </c>
      <c r="C255" s="143" t="s">
        <v>223</v>
      </c>
      <c r="D255" s="143" t="s">
        <v>69</v>
      </c>
      <c r="E255" s="257">
        <v>1360000</v>
      </c>
      <c r="F255" s="257">
        <v>860000</v>
      </c>
      <c r="G255" s="257">
        <v>860000</v>
      </c>
      <c r="H255" s="257">
        <v>0</v>
      </c>
      <c r="I255" s="257">
        <v>386600</v>
      </c>
      <c r="J255" s="257">
        <v>0</v>
      </c>
      <c r="K255" s="257">
        <v>368959</v>
      </c>
      <c r="L255" s="257">
        <v>0</v>
      </c>
      <c r="M255" s="257">
        <v>104441</v>
      </c>
      <c r="N255" s="257">
        <v>104441</v>
      </c>
    </row>
    <row r="256" spans="1:14" s="143" customFormat="1" x14ac:dyDescent="0.25">
      <c r="A256" s="143" t="s">
        <v>290</v>
      </c>
      <c r="B256" s="143" t="s">
        <v>224</v>
      </c>
      <c r="C256" s="143" t="s">
        <v>225</v>
      </c>
      <c r="D256" s="143" t="s">
        <v>69</v>
      </c>
      <c r="E256" s="257">
        <v>105000</v>
      </c>
      <c r="F256" s="257">
        <v>105000</v>
      </c>
      <c r="G256" s="257">
        <v>105000</v>
      </c>
      <c r="H256" s="257">
        <v>4800</v>
      </c>
      <c r="I256" s="257">
        <v>0</v>
      </c>
      <c r="J256" s="257">
        <v>0</v>
      </c>
      <c r="K256" s="257">
        <v>83580</v>
      </c>
      <c r="L256" s="257">
        <v>83580</v>
      </c>
      <c r="M256" s="257">
        <v>16620</v>
      </c>
      <c r="N256" s="257">
        <v>16620</v>
      </c>
    </row>
    <row r="257" spans="1:14" s="143" customFormat="1" x14ac:dyDescent="0.25">
      <c r="A257" s="143" t="s">
        <v>290</v>
      </c>
      <c r="B257" s="143" t="s">
        <v>226</v>
      </c>
      <c r="C257" s="143" t="s">
        <v>227</v>
      </c>
      <c r="D257" s="143" t="s">
        <v>69</v>
      </c>
      <c r="E257" s="257">
        <v>100000</v>
      </c>
      <c r="F257" s="257">
        <v>0</v>
      </c>
      <c r="G257" s="257">
        <v>0</v>
      </c>
      <c r="H257" s="257">
        <v>0</v>
      </c>
      <c r="I257" s="257">
        <v>0</v>
      </c>
      <c r="J257" s="257">
        <v>0</v>
      </c>
      <c r="K257" s="257">
        <v>0</v>
      </c>
      <c r="L257" s="257">
        <v>0</v>
      </c>
      <c r="M257" s="257">
        <v>0</v>
      </c>
      <c r="N257" s="257">
        <v>0</v>
      </c>
    </row>
    <row r="258" spans="1:14" s="143" customFormat="1" x14ac:dyDescent="0.25">
      <c r="A258" s="143" t="s">
        <v>290</v>
      </c>
      <c r="B258" s="143" t="s">
        <v>228</v>
      </c>
      <c r="C258" s="143" t="s">
        <v>229</v>
      </c>
      <c r="D258" s="143" t="s">
        <v>69</v>
      </c>
      <c r="E258" s="257">
        <v>640000</v>
      </c>
      <c r="F258" s="257">
        <v>640000</v>
      </c>
      <c r="G258" s="257">
        <v>640000</v>
      </c>
      <c r="H258" s="257">
        <v>0</v>
      </c>
      <c r="I258" s="257">
        <v>152340</v>
      </c>
      <c r="J258" s="257">
        <v>0</v>
      </c>
      <c r="K258" s="257">
        <v>375640</v>
      </c>
      <c r="L258" s="257">
        <v>320000</v>
      </c>
      <c r="M258" s="257">
        <v>112020</v>
      </c>
      <c r="N258" s="257">
        <v>112020</v>
      </c>
    </row>
    <row r="259" spans="1:14" s="143" customFormat="1" x14ac:dyDescent="0.25">
      <c r="A259" s="143" t="s">
        <v>290</v>
      </c>
      <c r="B259" s="143" t="s">
        <v>332</v>
      </c>
      <c r="C259" s="143" t="s">
        <v>832</v>
      </c>
      <c r="D259" s="143" t="s">
        <v>69</v>
      </c>
      <c r="E259" s="257">
        <v>42341000</v>
      </c>
      <c r="F259" s="257">
        <v>42341000</v>
      </c>
      <c r="G259" s="257">
        <v>42341000</v>
      </c>
      <c r="H259" s="257">
        <v>0</v>
      </c>
      <c r="I259" s="257">
        <v>0</v>
      </c>
      <c r="J259" s="257">
        <v>0</v>
      </c>
      <c r="K259" s="257">
        <v>42341000</v>
      </c>
      <c r="L259" s="257">
        <v>42341000</v>
      </c>
      <c r="M259" s="257">
        <v>0</v>
      </c>
      <c r="N259" s="257">
        <v>0</v>
      </c>
    </row>
    <row r="260" spans="1:14" s="143" customFormat="1" x14ac:dyDescent="0.25">
      <c r="A260" s="143" t="s">
        <v>290</v>
      </c>
      <c r="B260" s="143" t="s">
        <v>333</v>
      </c>
      <c r="C260" s="143" t="s">
        <v>833</v>
      </c>
      <c r="D260" s="143" t="s">
        <v>69</v>
      </c>
      <c r="E260" s="257">
        <v>18251000</v>
      </c>
      <c r="F260" s="257">
        <v>16835836</v>
      </c>
      <c r="G260" s="257">
        <v>16835836</v>
      </c>
      <c r="H260" s="257">
        <v>0</v>
      </c>
      <c r="I260" s="257">
        <v>2332112.89</v>
      </c>
      <c r="J260" s="257">
        <v>0</v>
      </c>
      <c r="K260" s="257">
        <v>14503723.109999999</v>
      </c>
      <c r="L260" s="257">
        <v>14503723.109999999</v>
      </c>
      <c r="M260" s="257">
        <v>0</v>
      </c>
      <c r="N260" s="257">
        <v>0</v>
      </c>
    </row>
    <row r="261" spans="1:14" s="143" customFormat="1" x14ac:dyDescent="0.25">
      <c r="A261" s="143" t="s">
        <v>290</v>
      </c>
      <c r="B261" s="143" t="s">
        <v>262</v>
      </c>
      <c r="C261" s="143" t="s">
        <v>263</v>
      </c>
      <c r="D261" s="143" t="s">
        <v>69</v>
      </c>
      <c r="E261" s="257">
        <v>118500000</v>
      </c>
      <c r="F261" s="257">
        <v>129635400</v>
      </c>
      <c r="G261" s="257">
        <v>129635400</v>
      </c>
      <c r="H261" s="257">
        <v>0</v>
      </c>
      <c r="I261" s="257">
        <v>0</v>
      </c>
      <c r="J261" s="257">
        <v>0</v>
      </c>
      <c r="K261" s="257">
        <v>66964063.590000004</v>
      </c>
      <c r="L261" s="257">
        <v>66964063.590000004</v>
      </c>
      <c r="M261" s="257">
        <v>62671336.409999996</v>
      </c>
      <c r="N261" s="257">
        <v>62671336.409999996</v>
      </c>
    </row>
    <row r="262" spans="1:14" s="143" customFormat="1" x14ac:dyDescent="0.25">
      <c r="A262" s="143" t="s">
        <v>290</v>
      </c>
      <c r="B262" s="143" t="s">
        <v>264</v>
      </c>
      <c r="C262" s="143" t="s">
        <v>265</v>
      </c>
      <c r="D262" s="143" t="s">
        <v>69</v>
      </c>
      <c r="E262" s="257">
        <v>30000000</v>
      </c>
      <c r="F262" s="257">
        <v>30000000</v>
      </c>
      <c r="G262" s="257">
        <v>30000000</v>
      </c>
      <c r="H262" s="257">
        <v>0</v>
      </c>
      <c r="I262" s="257">
        <v>0</v>
      </c>
      <c r="J262" s="257">
        <v>0</v>
      </c>
      <c r="K262" s="257">
        <v>19629417</v>
      </c>
      <c r="L262" s="257">
        <v>19629417</v>
      </c>
      <c r="M262" s="257">
        <v>10370583</v>
      </c>
      <c r="N262" s="257">
        <v>10370583</v>
      </c>
    </row>
    <row r="263" spans="1:14" s="143" customFormat="1" x14ac:dyDescent="0.25">
      <c r="A263" s="143" t="s">
        <v>290</v>
      </c>
      <c r="B263" s="143" t="s">
        <v>288</v>
      </c>
      <c r="C263" s="143" t="s">
        <v>289</v>
      </c>
      <c r="D263" s="143" t="s">
        <v>69</v>
      </c>
      <c r="E263" s="257">
        <v>3000000</v>
      </c>
      <c r="F263" s="257">
        <v>3000000</v>
      </c>
      <c r="G263" s="257">
        <v>3000000</v>
      </c>
      <c r="H263" s="257">
        <v>0</v>
      </c>
      <c r="I263" s="257">
        <v>661659.81999999995</v>
      </c>
      <c r="J263" s="257">
        <v>0</v>
      </c>
      <c r="K263" s="257">
        <v>0</v>
      </c>
      <c r="L263" s="257">
        <v>0</v>
      </c>
      <c r="M263" s="257">
        <v>2338340.1800000002</v>
      </c>
      <c r="N263" s="257">
        <v>2338340.1800000002</v>
      </c>
    </row>
    <row r="264" spans="1:14" s="143" customFormat="1" x14ac:dyDescent="0.25">
      <c r="A264" s="143" t="s">
        <v>290</v>
      </c>
      <c r="B264" s="143" t="s">
        <v>682</v>
      </c>
      <c r="C264" s="143" t="s">
        <v>683</v>
      </c>
      <c r="D264" s="143" t="s">
        <v>69</v>
      </c>
      <c r="E264" s="257">
        <v>0</v>
      </c>
      <c r="F264" s="257">
        <v>0</v>
      </c>
      <c r="G264" s="257">
        <v>0</v>
      </c>
      <c r="H264" s="257">
        <v>0</v>
      </c>
      <c r="I264" s="257">
        <v>0</v>
      </c>
      <c r="J264" s="257">
        <v>0</v>
      </c>
      <c r="K264" s="257">
        <v>0</v>
      </c>
      <c r="L264" s="257">
        <v>0</v>
      </c>
      <c r="M264" s="257">
        <v>0</v>
      </c>
      <c r="N264" s="257">
        <v>0</v>
      </c>
    </row>
    <row r="265" spans="1:14" s="143" customFormat="1" x14ac:dyDescent="0.25">
      <c r="A265" s="143" t="s">
        <v>290</v>
      </c>
      <c r="B265" s="143" t="s">
        <v>682</v>
      </c>
      <c r="C265" s="143" t="s">
        <v>683</v>
      </c>
      <c r="D265" s="143" t="s">
        <v>85</v>
      </c>
      <c r="E265" s="257">
        <v>0</v>
      </c>
      <c r="F265" s="257">
        <v>0</v>
      </c>
      <c r="G265" s="257">
        <v>0</v>
      </c>
      <c r="H265" s="257">
        <v>0</v>
      </c>
      <c r="I265" s="257">
        <v>0</v>
      </c>
      <c r="J265" s="257">
        <v>0</v>
      </c>
      <c r="K265" s="257">
        <v>0</v>
      </c>
      <c r="L265" s="257">
        <v>0</v>
      </c>
      <c r="M265" s="257">
        <v>0</v>
      </c>
      <c r="N265" s="257">
        <v>0</v>
      </c>
    </row>
    <row r="266" spans="1:14" s="143" customFormat="1" x14ac:dyDescent="0.25">
      <c r="A266" s="143" t="s">
        <v>290</v>
      </c>
      <c r="B266" s="143" t="s">
        <v>234</v>
      </c>
      <c r="C266" s="143" t="s">
        <v>235</v>
      </c>
      <c r="D266" s="143" t="s">
        <v>85</v>
      </c>
      <c r="E266" s="257">
        <v>75000</v>
      </c>
      <c r="F266" s="257">
        <v>75000</v>
      </c>
      <c r="G266" s="257">
        <v>75000</v>
      </c>
      <c r="H266" s="257">
        <v>0</v>
      </c>
      <c r="I266" s="257">
        <v>0</v>
      </c>
      <c r="J266" s="257">
        <v>0</v>
      </c>
      <c r="K266" s="257">
        <v>0</v>
      </c>
      <c r="L266" s="257">
        <v>0</v>
      </c>
      <c r="M266" s="257">
        <v>75000</v>
      </c>
      <c r="N266" s="257">
        <v>75000</v>
      </c>
    </row>
    <row r="267" spans="1:14" s="143" customFormat="1" x14ac:dyDescent="0.25">
      <c r="A267" s="143" t="s">
        <v>290</v>
      </c>
      <c r="B267" s="143" t="s">
        <v>324</v>
      </c>
      <c r="C267" s="143" t="s">
        <v>325</v>
      </c>
      <c r="D267" s="143" t="s">
        <v>85</v>
      </c>
      <c r="E267" s="257">
        <v>29000000</v>
      </c>
      <c r="F267" s="257">
        <v>29000000</v>
      </c>
      <c r="G267" s="257">
        <v>29000000</v>
      </c>
      <c r="H267" s="257">
        <v>14000000</v>
      </c>
      <c r="I267" s="257">
        <v>14949107.58</v>
      </c>
      <c r="J267" s="257">
        <v>0</v>
      </c>
      <c r="K267" s="257">
        <v>0</v>
      </c>
      <c r="L267" s="257">
        <v>0</v>
      </c>
      <c r="M267" s="257">
        <v>50892.42</v>
      </c>
      <c r="N267" s="257">
        <v>50892.42</v>
      </c>
    </row>
    <row r="268" spans="1:14" s="143" customFormat="1" x14ac:dyDescent="0.25">
      <c r="A268" s="143" t="s">
        <v>290</v>
      </c>
      <c r="B268" s="143" t="s">
        <v>236</v>
      </c>
      <c r="C268" s="143" t="s">
        <v>237</v>
      </c>
      <c r="D268" s="143" t="s">
        <v>85</v>
      </c>
      <c r="E268" s="257">
        <v>9900000</v>
      </c>
      <c r="F268" s="257">
        <v>9900000</v>
      </c>
      <c r="G268" s="257">
        <v>9900000</v>
      </c>
      <c r="H268" s="257">
        <v>0</v>
      </c>
      <c r="I268" s="257">
        <v>0</v>
      </c>
      <c r="J268" s="257">
        <v>1119529.6200000001</v>
      </c>
      <c r="K268" s="257">
        <v>7598666.1100000003</v>
      </c>
      <c r="L268" s="257">
        <v>5363720.3099999996</v>
      </c>
      <c r="M268" s="257">
        <v>1181804.27</v>
      </c>
      <c r="N268" s="257">
        <v>1181804.27</v>
      </c>
    </row>
    <row r="269" spans="1:14" s="143" customFormat="1" x14ac:dyDescent="0.25">
      <c r="A269" s="143" t="s">
        <v>290</v>
      </c>
      <c r="B269" s="143" t="s">
        <v>238</v>
      </c>
      <c r="C269" s="143" t="s">
        <v>239</v>
      </c>
      <c r="D269" s="143" t="s">
        <v>85</v>
      </c>
      <c r="E269" s="257">
        <v>22140000</v>
      </c>
      <c r="F269" s="257">
        <v>22140000</v>
      </c>
      <c r="G269" s="257">
        <v>22140000</v>
      </c>
      <c r="H269" s="257">
        <v>0</v>
      </c>
      <c r="I269" s="257">
        <v>10027242.720000001</v>
      </c>
      <c r="J269" s="257">
        <v>421928.76</v>
      </c>
      <c r="K269" s="257">
        <v>10160460.880000001</v>
      </c>
      <c r="L269" s="257">
        <v>9541890</v>
      </c>
      <c r="M269" s="257">
        <v>1530367.64</v>
      </c>
      <c r="N269" s="257">
        <v>1530367.64</v>
      </c>
    </row>
    <row r="270" spans="1:14" s="143" customFormat="1" x14ac:dyDescent="0.25">
      <c r="A270" s="143" t="s">
        <v>290</v>
      </c>
      <c r="B270" s="143" t="s">
        <v>282</v>
      </c>
      <c r="C270" s="143" t="s">
        <v>283</v>
      </c>
      <c r="D270" s="143" t="s">
        <v>85</v>
      </c>
      <c r="E270" s="257">
        <v>142070000</v>
      </c>
      <c r="F270" s="257">
        <v>142070000</v>
      </c>
      <c r="G270" s="257">
        <v>142070000</v>
      </c>
      <c r="H270" s="257">
        <v>0</v>
      </c>
      <c r="I270" s="257">
        <v>14246302.449999999</v>
      </c>
      <c r="J270" s="257">
        <v>0</v>
      </c>
      <c r="K270" s="257">
        <v>121580417.16</v>
      </c>
      <c r="L270" s="257">
        <v>118303700.08</v>
      </c>
      <c r="M270" s="257">
        <v>6243280.3899999997</v>
      </c>
      <c r="N270" s="257">
        <v>6243280.3899999997</v>
      </c>
    </row>
    <row r="271" spans="1:14" s="143" customFormat="1" x14ac:dyDescent="0.25">
      <c r="A271" s="143" t="s">
        <v>290</v>
      </c>
      <c r="B271" s="143" t="s">
        <v>326</v>
      </c>
      <c r="C271" s="143" t="s">
        <v>327</v>
      </c>
      <c r="D271" s="143" t="s">
        <v>85</v>
      </c>
      <c r="E271" s="257">
        <v>400000</v>
      </c>
      <c r="F271" s="257">
        <v>400000</v>
      </c>
      <c r="G271" s="257">
        <v>400000</v>
      </c>
      <c r="H271" s="257">
        <v>100000</v>
      </c>
      <c r="I271" s="257">
        <v>0</v>
      </c>
      <c r="J271" s="257">
        <v>0</v>
      </c>
      <c r="K271" s="257">
        <v>278200</v>
      </c>
      <c r="L271" s="257">
        <v>278200</v>
      </c>
      <c r="M271" s="257">
        <v>21800</v>
      </c>
      <c r="N271" s="257">
        <v>21800</v>
      </c>
    </row>
    <row r="272" spans="1:14" s="143" customFormat="1" x14ac:dyDescent="0.25">
      <c r="A272" s="143" t="s">
        <v>290</v>
      </c>
      <c r="B272" s="143" t="s">
        <v>242</v>
      </c>
      <c r="C272" s="143" t="s">
        <v>243</v>
      </c>
      <c r="D272" s="143" t="s">
        <v>85</v>
      </c>
      <c r="E272" s="257">
        <v>5600000</v>
      </c>
      <c r="F272" s="257">
        <v>5600000</v>
      </c>
      <c r="G272" s="257">
        <v>5600000</v>
      </c>
      <c r="H272" s="257">
        <v>0</v>
      </c>
      <c r="I272" s="257">
        <v>0</v>
      </c>
      <c r="J272" s="257">
        <v>0</v>
      </c>
      <c r="K272" s="257">
        <v>5083182.16</v>
      </c>
      <c r="L272" s="257">
        <v>5083182.16</v>
      </c>
      <c r="M272" s="257">
        <v>516817.84</v>
      </c>
      <c r="N272" s="257">
        <v>516817.84</v>
      </c>
    </row>
    <row r="273" spans="1:14" s="143" customFormat="1" x14ac:dyDescent="0.25">
      <c r="A273" s="143" t="s">
        <v>290</v>
      </c>
      <c r="B273" s="143" t="s">
        <v>330</v>
      </c>
      <c r="C273" s="143" t="s">
        <v>331</v>
      </c>
      <c r="D273" s="143" t="s">
        <v>85</v>
      </c>
      <c r="E273" s="257">
        <v>180000000</v>
      </c>
      <c r="F273" s="257">
        <v>165000000</v>
      </c>
      <c r="G273" s="257">
        <v>165000000</v>
      </c>
      <c r="H273" s="257">
        <v>2500000</v>
      </c>
      <c r="I273" s="257">
        <v>42022010.280000001</v>
      </c>
      <c r="J273" s="257">
        <v>11097353.720000001</v>
      </c>
      <c r="K273" s="257">
        <v>34934014.909999996</v>
      </c>
      <c r="L273" s="257">
        <v>34934014.909999996</v>
      </c>
      <c r="M273" s="257">
        <v>74446621.090000004</v>
      </c>
      <c r="N273" s="257">
        <v>74446621.090000004</v>
      </c>
    </row>
    <row r="274" spans="1:14" s="143" customFormat="1" x14ac:dyDescent="0.25">
      <c r="A274" s="143" t="s">
        <v>290</v>
      </c>
      <c r="B274" s="143" t="s">
        <v>246</v>
      </c>
      <c r="C274" s="143" t="s">
        <v>247</v>
      </c>
      <c r="D274" s="143" t="s">
        <v>85</v>
      </c>
      <c r="E274" s="257">
        <v>52250000</v>
      </c>
      <c r="F274" s="257">
        <v>52250000</v>
      </c>
      <c r="G274" s="257">
        <v>52250000</v>
      </c>
      <c r="H274" s="257">
        <v>13145628.630000001</v>
      </c>
      <c r="I274" s="257">
        <v>731244.15</v>
      </c>
      <c r="J274" s="257">
        <v>1862349.58</v>
      </c>
      <c r="K274" s="257">
        <v>33968050.840000004</v>
      </c>
      <c r="L274" s="257">
        <v>30599752.34</v>
      </c>
      <c r="M274" s="257">
        <v>2542726.7999999998</v>
      </c>
      <c r="N274" s="257">
        <v>2542726.7999999998</v>
      </c>
    </row>
    <row r="275" spans="1:14" s="143" customFormat="1" x14ac:dyDescent="0.25">
      <c r="A275" s="143" t="s">
        <v>290</v>
      </c>
      <c r="B275" s="143" t="s">
        <v>73</v>
      </c>
      <c r="C275" s="143" t="s">
        <v>74</v>
      </c>
      <c r="D275" s="143" t="s">
        <v>69</v>
      </c>
      <c r="E275" s="257">
        <v>3269433000</v>
      </c>
      <c r="F275" s="257">
        <v>2952648960</v>
      </c>
      <c r="G275" s="257">
        <v>2952648960</v>
      </c>
      <c r="H275" s="257">
        <v>0</v>
      </c>
      <c r="I275" s="257">
        <v>0</v>
      </c>
      <c r="J275" s="257">
        <v>0</v>
      </c>
      <c r="K275" s="257">
        <v>2551959085.29</v>
      </c>
      <c r="L275" s="257">
        <v>2551959085.29</v>
      </c>
      <c r="M275" s="257">
        <v>400689874.70999998</v>
      </c>
      <c r="N275" s="257">
        <v>400689874.70999998</v>
      </c>
    </row>
    <row r="276" spans="1:14" s="143" customFormat="1" x14ac:dyDescent="0.25">
      <c r="A276" s="143" t="s">
        <v>290</v>
      </c>
      <c r="B276" s="143" t="s">
        <v>293</v>
      </c>
      <c r="C276" s="143" t="s">
        <v>294</v>
      </c>
      <c r="D276" s="143" t="s">
        <v>69</v>
      </c>
      <c r="E276" s="257">
        <v>14000000</v>
      </c>
      <c r="F276" s="257">
        <v>11084920</v>
      </c>
      <c r="G276" s="257">
        <v>11084920</v>
      </c>
      <c r="H276" s="257">
        <v>0</v>
      </c>
      <c r="I276" s="257">
        <v>0</v>
      </c>
      <c r="J276" s="257">
        <v>0</v>
      </c>
      <c r="K276" s="257">
        <v>8332416.8700000001</v>
      </c>
      <c r="L276" s="257">
        <v>8332416.8700000001</v>
      </c>
      <c r="M276" s="257">
        <v>2752503.13</v>
      </c>
      <c r="N276" s="257">
        <v>2752503.13</v>
      </c>
    </row>
    <row r="277" spans="1:14" s="143" customFormat="1" x14ac:dyDescent="0.25">
      <c r="A277" s="143" t="s">
        <v>290</v>
      </c>
      <c r="B277" s="143" t="s">
        <v>77</v>
      </c>
      <c r="C277" s="143" t="s">
        <v>78</v>
      </c>
      <c r="D277" s="143" t="s">
        <v>69</v>
      </c>
      <c r="E277" s="257">
        <v>4603320000</v>
      </c>
      <c r="F277" s="257">
        <v>4303943922</v>
      </c>
      <c r="G277" s="257">
        <v>4303943922</v>
      </c>
      <c r="H277" s="257">
        <v>0</v>
      </c>
      <c r="I277" s="257">
        <v>0</v>
      </c>
      <c r="J277" s="257">
        <v>0</v>
      </c>
      <c r="K277" s="257">
        <v>3280380563.8899999</v>
      </c>
      <c r="L277" s="257">
        <v>3280380563.8899999</v>
      </c>
      <c r="M277" s="257">
        <v>1023563358.11</v>
      </c>
      <c r="N277" s="257">
        <v>1023563358.11</v>
      </c>
    </row>
    <row r="278" spans="1:14" s="143" customFormat="1" x14ac:dyDescent="0.25">
      <c r="A278" s="143" t="s">
        <v>290</v>
      </c>
      <c r="B278" s="143" t="s">
        <v>90</v>
      </c>
      <c r="C278" s="143" t="s">
        <v>91</v>
      </c>
      <c r="D278" s="143" t="s">
        <v>69</v>
      </c>
      <c r="E278" s="257">
        <v>711764000</v>
      </c>
      <c r="F278" s="257">
        <v>666572146</v>
      </c>
      <c r="G278" s="257">
        <v>666572146</v>
      </c>
      <c r="H278" s="257">
        <v>0</v>
      </c>
      <c r="I278" s="257">
        <v>100919262</v>
      </c>
      <c r="J278" s="257">
        <v>0</v>
      </c>
      <c r="K278" s="257">
        <v>565652884</v>
      </c>
      <c r="L278" s="257">
        <v>565652884</v>
      </c>
      <c r="M278" s="257">
        <v>0</v>
      </c>
      <c r="N278" s="257">
        <v>0</v>
      </c>
    </row>
    <row r="279" spans="1:14" s="143" customFormat="1" x14ac:dyDescent="0.25">
      <c r="A279" s="143" t="s">
        <v>290</v>
      </c>
      <c r="B279" s="143" t="s">
        <v>96</v>
      </c>
      <c r="C279" s="143" t="s">
        <v>97</v>
      </c>
      <c r="D279" s="143" t="s">
        <v>69</v>
      </c>
      <c r="E279" s="257">
        <v>699355000</v>
      </c>
      <c r="F279" s="257">
        <v>645125463</v>
      </c>
      <c r="G279" s="257">
        <v>645125463</v>
      </c>
      <c r="H279" s="257">
        <v>0</v>
      </c>
      <c r="I279" s="257">
        <v>103926566</v>
      </c>
      <c r="J279" s="257">
        <v>0</v>
      </c>
      <c r="K279" s="257">
        <v>541198897</v>
      </c>
      <c r="L279" s="257">
        <v>541198897</v>
      </c>
      <c r="M279" s="257">
        <v>0</v>
      </c>
      <c r="N279" s="257">
        <v>0</v>
      </c>
    </row>
    <row r="280" spans="1:14" s="143" customFormat="1" x14ac:dyDescent="0.25">
      <c r="A280" s="143" t="s">
        <v>290</v>
      </c>
      <c r="B280" s="143" t="s">
        <v>106</v>
      </c>
      <c r="C280" s="143" t="s">
        <v>107</v>
      </c>
      <c r="D280" s="143" t="s">
        <v>69</v>
      </c>
      <c r="E280" s="257">
        <v>451324000</v>
      </c>
      <c r="F280" s="257">
        <v>318174000</v>
      </c>
      <c r="G280" s="257">
        <v>318174000</v>
      </c>
      <c r="H280" s="257">
        <v>0</v>
      </c>
      <c r="I280" s="257">
        <v>32871817.5</v>
      </c>
      <c r="J280" s="257">
        <v>0</v>
      </c>
      <c r="K280" s="257">
        <v>231107467.13999999</v>
      </c>
      <c r="L280" s="257">
        <v>201268262.59</v>
      </c>
      <c r="M280" s="257">
        <v>54194715.359999999</v>
      </c>
      <c r="N280" s="257">
        <v>54194715.359999999</v>
      </c>
    </row>
    <row r="281" spans="1:14" s="143" customFormat="1" x14ac:dyDescent="0.25">
      <c r="A281" s="143" t="s">
        <v>290</v>
      </c>
      <c r="B281" s="143" t="s">
        <v>112</v>
      </c>
      <c r="C281" s="143" t="s">
        <v>113</v>
      </c>
      <c r="D281" s="143" t="s">
        <v>69</v>
      </c>
      <c r="E281" s="257">
        <v>152420000</v>
      </c>
      <c r="F281" s="257">
        <v>131420000</v>
      </c>
      <c r="G281" s="257">
        <v>131420000</v>
      </c>
      <c r="H281" s="257">
        <v>0</v>
      </c>
      <c r="I281" s="257">
        <v>27806653.48</v>
      </c>
      <c r="J281" s="257">
        <v>0</v>
      </c>
      <c r="K281" s="257">
        <v>88146036.939999998</v>
      </c>
      <c r="L281" s="257">
        <v>74269158.120000005</v>
      </c>
      <c r="M281" s="257">
        <v>15467309.58</v>
      </c>
      <c r="N281" s="257">
        <v>15467309.58</v>
      </c>
    </row>
    <row r="282" spans="1:14" s="143" customFormat="1" x14ac:dyDescent="0.25">
      <c r="A282" s="143" t="s">
        <v>290</v>
      </c>
      <c r="B282" s="143" t="s">
        <v>124</v>
      </c>
      <c r="C282" s="143" t="s">
        <v>125</v>
      </c>
      <c r="D282" s="143" t="s">
        <v>69</v>
      </c>
      <c r="E282" s="257">
        <v>49449000</v>
      </c>
      <c r="F282" s="257">
        <v>9449000</v>
      </c>
      <c r="G282" s="257">
        <v>9449000</v>
      </c>
      <c r="H282" s="257">
        <v>0</v>
      </c>
      <c r="I282" s="257">
        <v>4250690.92</v>
      </c>
      <c r="J282" s="257">
        <v>0</v>
      </c>
      <c r="K282" s="257">
        <v>1313402.3799999999</v>
      </c>
      <c r="L282" s="257">
        <v>1296121.28</v>
      </c>
      <c r="M282" s="257">
        <v>3884906.7</v>
      </c>
      <c r="N282" s="257">
        <v>3884906.7</v>
      </c>
    </row>
    <row r="283" spans="1:14" s="143" customFormat="1" x14ac:dyDescent="0.25">
      <c r="A283" s="143" t="s">
        <v>290</v>
      </c>
      <c r="B283" s="143" t="s">
        <v>134</v>
      </c>
      <c r="C283" s="143" t="s">
        <v>135</v>
      </c>
      <c r="D283" s="143" t="s">
        <v>69</v>
      </c>
      <c r="E283" s="257">
        <v>508035000</v>
      </c>
      <c r="F283" s="257">
        <v>747035000</v>
      </c>
      <c r="G283" s="257">
        <v>747035000</v>
      </c>
      <c r="H283" s="257">
        <v>0</v>
      </c>
      <c r="I283" s="257">
        <v>69143986.359999999</v>
      </c>
      <c r="J283" s="257">
        <v>7355430.0499999998</v>
      </c>
      <c r="K283" s="257">
        <v>323493029.25999999</v>
      </c>
      <c r="L283" s="257">
        <v>242418484.71000001</v>
      </c>
      <c r="M283" s="257">
        <v>347042554.32999998</v>
      </c>
      <c r="N283" s="257">
        <v>347042554.32999998</v>
      </c>
    </row>
    <row r="284" spans="1:14" s="143" customFormat="1" x14ac:dyDescent="0.25">
      <c r="A284" s="143" t="s">
        <v>290</v>
      </c>
      <c r="B284" s="143" t="s">
        <v>140</v>
      </c>
      <c r="C284" s="143" t="s">
        <v>141</v>
      </c>
      <c r="D284" s="143" t="s">
        <v>69</v>
      </c>
      <c r="E284" s="257">
        <v>44950000</v>
      </c>
      <c r="F284" s="257">
        <v>44271205</v>
      </c>
      <c r="G284" s="257">
        <v>44271205</v>
      </c>
      <c r="H284" s="257">
        <v>0</v>
      </c>
      <c r="I284" s="257">
        <v>8733199.4600000009</v>
      </c>
      <c r="J284" s="257">
        <v>0</v>
      </c>
      <c r="K284" s="257">
        <v>31206639.559999999</v>
      </c>
      <c r="L284" s="257">
        <v>30980539.559999999</v>
      </c>
      <c r="M284" s="257">
        <v>4331365.9800000004</v>
      </c>
      <c r="N284" s="257">
        <v>4331365.9800000004</v>
      </c>
    </row>
    <row r="285" spans="1:14" s="143" customFormat="1" x14ac:dyDescent="0.25">
      <c r="A285" s="143" t="s">
        <v>290</v>
      </c>
      <c r="B285" s="143" t="s">
        <v>150</v>
      </c>
      <c r="C285" s="143" t="s">
        <v>151</v>
      </c>
      <c r="D285" s="143" t="s">
        <v>69</v>
      </c>
      <c r="E285" s="257">
        <v>91000000</v>
      </c>
      <c r="F285" s="257">
        <v>91000000</v>
      </c>
      <c r="G285" s="257">
        <v>91000000</v>
      </c>
      <c r="H285" s="257">
        <v>0</v>
      </c>
      <c r="I285" s="257">
        <v>627083</v>
      </c>
      <c r="J285" s="257">
        <v>0</v>
      </c>
      <c r="K285" s="257">
        <v>49119446</v>
      </c>
      <c r="L285" s="257">
        <v>26866432</v>
      </c>
      <c r="M285" s="257">
        <v>41253471</v>
      </c>
      <c r="N285" s="257">
        <v>41253471</v>
      </c>
    </row>
    <row r="286" spans="1:14" s="143" customFormat="1" x14ac:dyDescent="0.25">
      <c r="A286" s="143" t="s">
        <v>290</v>
      </c>
      <c r="B286" s="143" t="s">
        <v>154</v>
      </c>
      <c r="C286" s="143" t="s">
        <v>155</v>
      </c>
      <c r="D286" s="143" t="s">
        <v>69</v>
      </c>
      <c r="E286" s="257">
        <v>6000000</v>
      </c>
      <c r="F286" s="257">
        <v>6000000</v>
      </c>
      <c r="G286" s="257">
        <v>6000000</v>
      </c>
      <c r="H286" s="257">
        <v>0</v>
      </c>
      <c r="I286" s="257">
        <v>3775000</v>
      </c>
      <c r="J286" s="257">
        <v>0</v>
      </c>
      <c r="K286" s="257">
        <v>2224561</v>
      </c>
      <c r="L286" s="257">
        <v>954561</v>
      </c>
      <c r="M286" s="257">
        <v>439</v>
      </c>
      <c r="N286" s="257">
        <v>439</v>
      </c>
    </row>
    <row r="287" spans="1:14" s="143" customFormat="1" x14ac:dyDescent="0.25">
      <c r="A287" s="143" t="s">
        <v>290</v>
      </c>
      <c r="B287" s="143" t="s">
        <v>162</v>
      </c>
      <c r="C287" s="143" t="s">
        <v>163</v>
      </c>
      <c r="D287" s="143" t="s">
        <v>69</v>
      </c>
      <c r="E287" s="257">
        <v>113272000</v>
      </c>
      <c r="F287" s="257">
        <v>98272000</v>
      </c>
      <c r="G287" s="257">
        <v>98272000</v>
      </c>
      <c r="H287" s="257">
        <v>8000000</v>
      </c>
      <c r="I287" s="257">
        <v>20018445.82</v>
      </c>
      <c r="J287" s="257">
        <v>1998870.95</v>
      </c>
      <c r="K287" s="257">
        <v>34574345.880000003</v>
      </c>
      <c r="L287" s="257">
        <v>30639376.940000001</v>
      </c>
      <c r="M287" s="257">
        <v>33680337.350000001</v>
      </c>
      <c r="N287" s="257">
        <v>33680337.350000001</v>
      </c>
    </row>
    <row r="288" spans="1:14" s="143" customFormat="1" x14ac:dyDescent="0.25">
      <c r="A288" s="143" t="s">
        <v>290</v>
      </c>
      <c r="B288" s="143" t="s">
        <v>174</v>
      </c>
      <c r="C288" s="143" t="s">
        <v>175</v>
      </c>
      <c r="D288" s="143" t="s">
        <v>69</v>
      </c>
      <c r="E288" s="257">
        <v>1550000</v>
      </c>
      <c r="F288" s="257">
        <v>1550000</v>
      </c>
      <c r="G288" s="257">
        <v>1550000</v>
      </c>
      <c r="H288" s="257">
        <v>0</v>
      </c>
      <c r="I288" s="257">
        <v>24400</v>
      </c>
      <c r="J288" s="257">
        <v>0</v>
      </c>
      <c r="K288" s="257">
        <v>600</v>
      </c>
      <c r="L288" s="257">
        <v>600</v>
      </c>
      <c r="M288" s="257">
        <v>1525000</v>
      </c>
      <c r="N288" s="257">
        <v>1525000</v>
      </c>
    </row>
    <row r="289" spans="1:14" s="143" customFormat="1" x14ac:dyDescent="0.25">
      <c r="A289" s="143" t="s">
        <v>290</v>
      </c>
      <c r="B289" s="143" t="s">
        <v>178</v>
      </c>
      <c r="C289" s="143" t="s">
        <v>179</v>
      </c>
      <c r="D289" s="143" t="s">
        <v>69</v>
      </c>
      <c r="E289" s="257">
        <v>2150000</v>
      </c>
      <c r="F289" s="257">
        <v>2150000</v>
      </c>
      <c r="G289" s="257">
        <v>2150000</v>
      </c>
      <c r="H289" s="257">
        <v>0</v>
      </c>
      <c r="I289" s="257">
        <v>33857.78</v>
      </c>
      <c r="J289" s="257">
        <v>0</v>
      </c>
      <c r="K289" s="257">
        <v>150000</v>
      </c>
      <c r="L289" s="257">
        <v>150000</v>
      </c>
      <c r="M289" s="257">
        <v>1966142.22</v>
      </c>
      <c r="N289" s="257">
        <v>1966142.22</v>
      </c>
    </row>
    <row r="290" spans="1:14" s="143" customFormat="1" x14ac:dyDescent="0.25">
      <c r="A290" s="143" t="s">
        <v>290</v>
      </c>
      <c r="B290" s="143" t="s">
        <v>186</v>
      </c>
      <c r="C290" s="143" t="s">
        <v>187</v>
      </c>
      <c r="D290" s="143" t="s">
        <v>69</v>
      </c>
      <c r="E290" s="257">
        <v>55950000</v>
      </c>
      <c r="F290" s="257">
        <v>33743000</v>
      </c>
      <c r="G290" s="257">
        <v>33743000</v>
      </c>
      <c r="H290" s="257">
        <v>0</v>
      </c>
      <c r="I290" s="257">
        <v>2535174.75</v>
      </c>
      <c r="J290" s="257">
        <v>0</v>
      </c>
      <c r="K290" s="257">
        <v>17786465.07</v>
      </c>
      <c r="L290" s="257">
        <v>17786465.07</v>
      </c>
      <c r="M290" s="257">
        <v>13421360.18</v>
      </c>
      <c r="N290" s="257">
        <v>13421360.18</v>
      </c>
    </row>
    <row r="291" spans="1:14" s="143" customFormat="1" x14ac:dyDescent="0.25">
      <c r="A291" s="143" t="s">
        <v>290</v>
      </c>
      <c r="B291" s="143" t="s">
        <v>200</v>
      </c>
      <c r="C291" s="143" t="s">
        <v>201</v>
      </c>
      <c r="D291" s="143" t="s">
        <v>69</v>
      </c>
      <c r="E291" s="257">
        <v>3275000</v>
      </c>
      <c r="F291" s="257">
        <v>3275000</v>
      </c>
      <c r="G291" s="257">
        <v>3275000</v>
      </c>
      <c r="H291" s="257">
        <v>270875</v>
      </c>
      <c r="I291" s="257">
        <v>1597927</v>
      </c>
      <c r="J291" s="257">
        <v>75487</v>
      </c>
      <c r="K291" s="257">
        <v>25950</v>
      </c>
      <c r="L291" s="257">
        <v>25950</v>
      </c>
      <c r="M291" s="257">
        <v>1304761</v>
      </c>
      <c r="N291" s="257">
        <v>1304761</v>
      </c>
    </row>
    <row r="292" spans="1:14" s="143" customFormat="1" x14ac:dyDescent="0.25">
      <c r="A292" s="143" t="s">
        <v>290</v>
      </c>
      <c r="B292" s="143" t="s">
        <v>206</v>
      </c>
      <c r="C292" s="143" t="s">
        <v>207</v>
      </c>
      <c r="D292" s="143" t="s">
        <v>69</v>
      </c>
      <c r="E292" s="257">
        <v>956000</v>
      </c>
      <c r="F292" s="257">
        <v>1956000</v>
      </c>
      <c r="G292" s="257">
        <v>1956000</v>
      </c>
      <c r="H292" s="257">
        <v>15005</v>
      </c>
      <c r="I292" s="257">
        <v>700560.96</v>
      </c>
      <c r="J292" s="257">
        <v>0</v>
      </c>
      <c r="K292" s="257">
        <v>787930.24</v>
      </c>
      <c r="L292" s="257">
        <v>582830.24</v>
      </c>
      <c r="M292" s="257">
        <v>452503.8</v>
      </c>
      <c r="N292" s="257">
        <v>452503.8</v>
      </c>
    </row>
    <row r="293" spans="1:14" s="143" customFormat="1" x14ac:dyDescent="0.25">
      <c r="A293" s="143" t="s">
        <v>290</v>
      </c>
      <c r="B293" s="143" t="s">
        <v>212</v>
      </c>
      <c r="C293" s="143" t="s">
        <v>831</v>
      </c>
      <c r="D293" s="143" t="s">
        <v>69</v>
      </c>
      <c r="E293" s="257">
        <v>40151000</v>
      </c>
      <c r="F293" s="257">
        <v>25051000</v>
      </c>
      <c r="G293" s="257">
        <v>25051000</v>
      </c>
      <c r="H293" s="257">
        <v>3025746</v>
      </c>
      <c r="I293" s="257">
        <v>3714940</v>
      </c>
      <c r="J293" s="257">
        <v>55687.5</v>
      </c>
      <c r="K293" s="257">
        <v>15704952.65</v>
      </c>
      <c r="L293" s="257">
        <v>11741346.65</v>
      </c>
      <c r="M293" s="257">
        <v>2549673.85</v>
      </c>
      <c r="N293" s="257">
        <v>2549673.85</v>
      </c>
    </row>
    <row r="294" spans="1:14" s="143" customFormat="1" x14ac:dyDescent="0.25">
      <c r="A294" s="143" t="s">
        <v>290</v>
      </c>
      <c r="B294" s="143" t="s">
        <v>250</v>
      </c>
      <c r="C294" s="143" t="s">
        <v>251</v>
      </c>
      <c r="D294" s="143" t="s">
        <v>69</v>
      </c>
      <c r="E294" s="257">
        <v>60592000</v>
      </c>
      <c r="F294" s="257">
        <v>59176836</v>
      </c>
      <c r="G294" s="257">
        <v>59176836</v>
      </c>
      <c r="H294" s="257">
        <v>0</v>
      </c>
      <c r="I294" s="257">
        <v>2332112.89</v>
      </c>
      <c r="J294" s="257">
        <v>0</v>
      </c>
      <c r="K294" s="257">
        <v>56844723.109999999</v>
      </c>
      <c r="L294" s="257">
        <v>56844723.109999999</v>
      </c>
      <c r="M294" s="257">
        <v>0</v>
      </c>
      <c r="N294" s="257">
        <v>0</v>
      </c>
    </row>
    <row r="295" spans="1:14" s="143" customFormat="1" x14ac:dyDescent="0.25">
      <c r="A295" s="143" t="s">
        <v>290</v>
      </c>
      <c r="B295" s="143" t="s">
        <v>260</v>
      </c>
      <c r="C295" s="143" t="s">
        <v>261</v>
      </c>
      <c r="D295" s="143" t="s">
        <v>69</v>
      </c>
      <c r="E295" s="257">
        <v>148500000</v>
      </c>
      <c r="F295" s="257">
        <v>159635400</v>
      </c>
      <c r="G295" s="257">
        <v>159635400</v>
      </c>
      <c r="H295" s="257">
        <v>0</v>
      </c>
      <c r="I295" s="257">
        <v>0</v>
      </c>
      <c r="J295" s="257">
        <v>0</v>
      </c>
      <c r="K295" s="257">
        <v>86593480.590000004</v>
      </c>
      <c r="L295" s="257">
        <v>86593480.590000004</v>
      </c>
      <c r="M295" s="257">
        <v>73041919.409999996</v>
      </c>
      <c r="N295" s="257">
        <v>73041919.409999996</v>
      </c>
    </row>
    <row r="296" spans="1:14" s="143" customFormat="1" x14ac:dyDescent="0.25">
      <c r="A296" s="143" t="s">
        <v>290</v>
      </c>
      <c r="B296" s="143" t="s">
        <v>286</v>
      </c>
      <c r="C296" s="143" t="s">
        <v>287</v>
      </c>
      <c r="D296" s="143" t="s">
        <v>69</v>
      </c>
      <c r="E296" s="257">
        <v>3000000</v>
      </c>
      <c r="F296" s="257">
        <v>3000000</v>
      </c>
      <c r="G296" s="257">
        <v>3000000</v>
      </c>
      <c r="H296" s="257">
        <v>0</v>
      </c>
      <c r="I296" s="257">
        <v>661659.81999999995</v>
      </c>
      <c r="J296" s="257">
        <v>0</v>
      </c>
      <c r="K296" s="257">
        <v>0</v>
      </c>
      <c r="L296" s="257">
        <v>0</v>
      </c>
      <c r="M296" s="257">
        <v>2338340.1800000002</v>
      </c>
      <c r="N296" s="257">
        <v>2338340.1800000002</v>
      </c>
    </row>
    <row r="297" spans="1:14" s="143" customFormat="1" x14ac:dyDescent="0.25">
      <c r="A297" s="143" t="s">
        <v>290</v>
      </c>
      <c r="B297" s="143" t="s">
        <v>680</v>
      </c>
      <c r="C297" s="143" t="s">
        <v>681</v>
      </c>
      <c r="D297" s="143" t="s">
        <v>69</v>
      </c>
      <c r="E297" s="257">
        <v>0</v>
      </c>
      <c r="F297" s="257">
        <v>0</v>
      </c>
      <c r="G297" s="257">
        <v>0</v>
      </c>
      <c r="H297" s="257">
        <v>0</v>
      </c>
      <c r="I297" s="257">
        <v>0</v>
      </c>
      <c r="J297" s="257">
        <v>0</v>
      </c>
      <c r="K297" s="257">
        <v>0</v>
      </c>
      <c r="L297" s="257">
        <v>0</v>
      </c>
      <c r="M297" s="257">
        <v>0</v>
      </c>
      <c r="N297" s="257">
        <v>0</v>
      </c>
    </row>
    <row r="298" spans="1:14" s="143" customFormat="1" x14ac:dyDescent="0.25">
      <c r="A298" s="143" t="s">
        <v>290</v>
      </c>
      <c r="B298" s="143" t="s">
        <v>232</v>
      </c>
      <c r="C298" s="143" t="s">
        <v>233</v>
      </c>
      <c r="D298" s="143" t="s">
        <v>85</v>
      </c>
      <c r="E298" s="257">
        <v>209185000</v>
      </c>
      <c r="F298" s="257">
        <v>209185000</v>
      </c>
      <c r="G298" s="257">
        <v>209185000</v>
      </c>
      <c r="H298" s="257">
        <v>14100000</v>
      </c>
      <c r="I298" s="257">
        <v>39222652.75</v>
      </c>
      <c r="J298" s="257">
        <v>1541458.38</v>
      </c>
      <c r="K298" s="257">
        <v>144700926.31</v>
      </c>
      <c r="L298" s="257">
        <v>138570692.55000001</v>
      </c>
      <c r="M298" s="257">
        <v>9619962.5600000005</v>
      </c>
      <c r="N298" s="257">
        <v>9619962.5600000005</v>
      </c>
    </row>
    <row r="299" spans="1:14" s="143" customFormat="1" x14ac:dyDescent="0.25">
      <c r="A299" s="143" t="s">
        <v>290</v>
      </c>
      <c r="B299" s="143" t="s">
        <v>328</v>
      </c>
      <c r="C299" s="143" t="s">
        <v>329</v>
      </c>
      <c r="D299" s="143" t="s">
        <v>85</v>
      </c>
      <c r="E299" s="257">
        <v>180000000</v>
      </c>
      <c r="F299" s="257">
        <v>165000000</v>
      </c>
      <c r="G299" s="257">
        <v>165000000</v>
      </c>
      <c r="H299" s="257">
        <v>2500000</v>
      </c>
      <c r="I299" s="257">
        <v>42022010.280000001</v>
      </c>
      <c r="J299" s="257">
        <v>11097353.720000001</v>
      </c>
      <c r="K299" s="257">
        <v>34934014.909999996</v>
      </c>
      <c r="L299" s="257">
        <v>34934014.909999996</v>
      </c>
      <c r="M299" s="257">
        <v>74446621.090000004</v>
      </c>
      <c r="N299" s="257">
        <v>74446621.090000004</v>
      </c>
    </row>
    <row r="300" spans="1:14" s="143" customFormat="1" x14ac:dyDescent="0.25">
      <c r="A300" s="143" t="s">
        <v>290</v>
      </c>
      <c r="B300" s="143" t="s">
        <v>244</v>
      </c>
      <c r="C300" s="143" t="s">
        <v>245</v>
      </c>
      <c r="D300" s="143" t="s">
        <v>85</v>
      </c>
      <c r="E300" s="257">
        <v>52250000</v>
      </c>
      <c r="F300" s="257">
        <v>52250000</v>
      </c>
      <c r="G300" s="257">
        <v>52250000</v>
      </c>
      <c r="H300" s="257">
        <v>13145628.630000001</v>
      </c>
      <c r="I300" s="257">
        <v>731244.15</v>
      </c>
      <c r="J300" s="257">
        <v>1862349.58</v>
      </c>
      <c r="K300" s="257">
        <v>33968050.840000004</v>
      </c>
      <c r="L300" s="257">
        <v>30599752.34</v>
      </c>
      <c r="M300" s="257">
        <v>2542726.7999999998</v>
      </c>
      <c r="N300" s="257">
        <v>2542726.7999999998</v>
      </c>
    </row>
    <row r="301" spans="1:14" s="143" customFormat="1" x14ac:dyDescent="0.25">
      <c r="A301" s="143" t="s">
        <v>290</v>
      </c>
      <c r="B301" s="143" t="s">
        <v>71</v>
      </c>
      <c r="C301" s="143" t="s">
        <v>72</v>
      </c>
      <c r="D301" s="143" t="s">
        <v>69</v>
      </c>
      <c r="E301" s="257">
        <v>9297872000</v>
      </c>
      <c r="F301" s="257">
        <v>8579375411</v>
      </c>
      <c r="G301" s="257">
        <v>8579375411</v>
      </c>
      <c r="H301" s="257">
        <v>0</v>
      </c>
      <c r="I301" s="257">
        <v>204845828</v>
      </c>
      <c r="J301" s="257">
        <v>0</v>
      </c>
      <c r="K301" s="257">
        <v>6947523847.0500002</v>
      </c>
      <c r="L301" s="257">
        <v>6947523847.0500002</v>
      </c>
      <c r="M301" s="257">
        <v>1427005735.95</v>
      </c>
      <c r="N301" s="257">
        <v>1427005735.95</v>
      </c>
    </row>
    <row r="302" spans="1:14" s="143" customFormat="1" x14ac:dyDescent="0.25">
      <c r="A302" s="143" t="s">
        <v>290</v>
      </c>
      <c r="B302" s="143" t="s">
        <v>104</v>
      </c>
      <c r="C302" s="143" t="s">
        <v>105</v>
      </c>
      <c r="D302" s="143" t="s">
        <v>69</v>
      </c>
      <c r="E302" s="257">
        <v>1420150000</v>
      </c>
      <c r="F302" s="257">
        <v>1449321205</v>
      </c>
      <c r="G302" s="257">
        <v>1449321205</v>
      </c>
      <c r="H302" s="257">
        <v>8000000</v>
      </c>
      <c r="I302" s="257">
        <v>167285134.31999999</v>
      </c>
      <c r="J302" s="257">
        <v>9354301</v>
      </c>
      <c r="K302" s="257">
        <v>761335528.15999997</v>
      </c>
      <c r="L302" s="257">
        <v>608843536.20000005</v>
      </c>
      <c r="M302" s="257">
        <v>503346241.51999998</v>
      </c>
      <c r="N302" s="257">
        <v>503346241.51999998</v>
      </c>
    </row>
    <row r="303" spans="1:14" s="143" customFormat="1" x14ac:dyDescent="0.25">
      <c r="A303" s="143" t="s">
        <v>290</v>
      </c>
      <c r="B303" s="143" t="s">
        <v>184</v>
      </c>
      <c r="C303" s="143" t="s">
        <v>185</v>
      </c>
      <c r="D303" s="143" t="s">
        <v>69</v>
      </c>
      <c r="E303" s="257">
        <v>100332000</v>
      </c>
      <c r="F303" s="257">
        <v>64025000</v>
      </c>
      <c r="G303" s="257">
        <v>64025000</v>
      </c>
      <c r="H303" s="257">
        <v>3311626</v>
      </c>
      <c r="I303" s="257">
        <v>8548602.7100000009</v>
      </c>
      <c r="J303" s="257">
        <v>131174.5</v>
      </c>
      <c r="K303" s="257">
        <v>34305297.960000001</v>
      </c>
      <c r="L303" s="257">
        <v>30136591.960000001</v>
      </c>
      <c r="M303" s="257">
        <v>17728298.829999998</v>
      </c>
      <c r="N303" s="257">
        <v>17728298.829999998</v>
      </c>
    </row>
    <row r="304" spans="1:14" s="143" customFormat="1" x14ac:dyDescent="0.25">
      <c r="A304" s="143" t="s">
        <v>290</v>
      </c>
      <c r="B304" s="143" t="s">
        <v>248</v>
      </c>
      <c r="C304" s="143" t="s">
        <v>249</v>
      </c>
      <c r="D304" s="143" t="s">
        <v>69</v>
      </c>
      <c r="E304" s="257">
        <v>212092000</v>
      </c>
      <c r="F304" s="257">
        <v>221812236</v>
      </c>
      <c r="G304" s="257">
        <v>221812236</v>
      </c>
      <c r="H304" s="257">
        <v>0</v>
      </c>
      <c r="I304" s="257">
        <v>2993772.71</v>
      </c>
      <c r="J304" s="257">
        <v>0</v>
      </c>
      <c r="K304" s="257">
        <v>143438203.69999999</v>
      </c>
      <c r="L304" s="257">
        <v>143438203.69999999</v>
      </c>
      <c r="M304" s="257">
        <v>75380259.590000004</v>
      </c>
      <c r="N304" s="257">
        <v>75380259.590000004</v>
      </c>
    </row>
    <row r="305" spans="1:14" s="143" customFormat="1" x14ac:dyDescent="0.25">
      <c r="A305" s="143" t="s">
        <v>290</v>
      </c>
      <c r="B305" s="143" t="s">
        <v>678</v>
      </c>
      <c r="C305" s="143" t="s">
        <v>679</v>
      </c>
      <c r="D305" s="143" t="s">
        <v>69</v>
      </c>
      <c r="E305" s="257">
        <v>0</v>
      </c>
      <c r="F305" s="257">
        <v>0</v>
      </c>
      <c r="G305" s="257">
        <v>0</v>
      </c>
      <c r="H305" s="257">
        <v>0</v>
      </c>
      <c r="I305" s="257">
        <v>0</v>
      </c>
      <c r="J305" s="257">
        <v>0</v>
      </c>
      <c r="K305" s="257">
        <v>0</v>
      </c>
      <c r="L305" s="257">
        <v>0</v>
      </c>
      <c r="M305" s="257">
        <v>0</v>
      </c>
      <c r="N305" s="257">
        <v>0</v>
      </c>
    </row>
    <row r="306" spans="1:14" s="143" customFormat="1" x14ac:dyDescent="0.25">
      <c r="A306" s="143" t="s">
        <v>290</v>
      </c>
      <c r="B306" s="143" t="s">
        <v>230</v>
      </c>
      <c r="C306" s="143" t="s">
        <v>231</v>
      </c>
      <c r="D306" s="143" t="s">
        <v>85</v>
      </c>
      <c r="E306" s="257">
        <v>441435000</v>
      </c>
      <c r="F306" s="257">
        <v>426435000</v>
      </c>
      <c r="G306" s="257">
        <v>426435000</v>
      </c>
      <c r="H306" s="257">
        <v>29745628.629999999</v>
      </c>
      <c r="I306" s="257">
        <v>81975907.180000007</v>
      </c>
      <c r="J306" s="257">
        <v>14501161.68</v>
      </c>
      <c r="K306" s="257">
        <v>213602992.06</v>
      </c>
      <c r="L306" s="257">
        <v>204104459.80000001</v>
      </c>
      <c r="M306" s="257">
        <v>86609310.450000003</v>
      </c>
      <c r="N306" s="257">
        <v>86609310.450000003</v>
      </c>
    </row>
    <row r="307" spans="1:14" s="143" customFormat="1" x14ac:dyDescent="0.25">
      <c r="A307" s="143">
        <v>214781</v>
      </c>
      <c r="D307" s="143" t="s">
        <v>69</v>
      </c>
      <c r="E307" s="257">
        <v>11471881000</v>
      </c>
      <c r="F307" s="257">
        <v>10740968852</v>
      </c>
      <c r="G307" s="257">
        <v>10740968852</v>
      </c>
      <c r="H307" s="257">
        <v>41057254.630000003</v>
      </c>
      <c r="I307" s="257">
        <v>465649244.92000002</v>
      </c>
      <c r="J307" s="257">
        <v>23986637.18</v>
      </c>
      <c r="K307" s="257">
        <v>8100205868.9300003</v>
      </c>
      <c r="L307" s="257">
        <v>7934046638.71</v>
      </c>
      <c r="M307" s="257">
        <v>2110069846.3399999</v>
      </c>
      <c r="N307" s="257">
        <v>2110069846.3399999</v>
      </c>
    </row>
    <row r="308" spans="1:14" s="143" customFormat="1" x14ac:dyDescent="0.25">
      <c r="A308" s="143" t="s">
        <v>334</v>
      </c>
      <c r="B308" s="143" t="s">
        <v>75</v>
      </c>
      <c r="C308" s="143" t="s">
        <v>76</v>
      </c>
      <c r="D308" s="143" t="s">
        <v>69</v>
      </c>
      <c r="E308" s="257">
        <v>24786984000</v>
      </c>
      <c r="F308" s="257">
        <v>23966347328</v>
      </c>
      <c r="G308" s="257">
        <v>23966347328</v>
      </c>
      <c r="H308" s="257">
        <v>0</v>
      </c>
      <c r="I308" s="257">
        <v>0</v>
      </c>
      <c r="J308" s="257">
        <v>0</v>
      </c>
      <c r="K308" s="257">
        <v>20682944404.900002</v>
      </c>
      <c r="L308" s="257">
        <v>20682944404.900002</v>
      </c>
      <c r="M308" s="257">
        <v>3283402923.0999999</v>
      </c>
      <c r="N308" s="257">
        <v>3283402923.0999999</v>
      </c>
    </row>
    <row r="309" spans="1:14" s="143" customFormat="1" x14ac:dyDescent="0.25">
      <c r="A309" s="143" t="s">
        <v>334</v>
      </c>
      <c r="B309" s="143" t="s">
        <v>335</v>
      </c>
      <c r="C309" s="143" t="s">
        <v>336</v>
      </c>
      <c r="D309" s="143" t="s">
        <v>69</v>
      </c>
      <c r="E309" s="257">
        <v>161642000</v>
      </c>
      <c r="F309" s="257">
        <v>213161210</v>
      </c>
      <c r="G309" s="257">
        <v>213161210</v>
      </c>
      <c r="H309" s="257">
        <v>0</v>
      </c>
      <c r="I309" s="257">
        <v>0</v>
      </c>
      <c r="J309" s="257">
        <v>0</v>
      </c>
      <c r="K309" s="257">
        <v>156767071.66999999</v>
      </c>
      <c r="L309" s="257">
        <v>156767071.66999999</v>
      </c>
      <c r="M309" s="257">
        <v>56394138.329999998</v>
      </c>
      <c r="N309" s="257">
        <v>56394138.329999998</v>
      </c>
    </row>
    <row r="310" spans="1:14" s="143" customFormat="1" x14ac:dyDescent="0.25">
      <c r="A310" s="143" t="s">
        <v>334</v>
      </c>
      <c r="B310" s="143" t="s">
        <v>295</v>
      </c>
      <c r="C310" s="143" t="s">
        <v>296</v>
      </c>
      <c r="D310" s="143" t="s">
        <v>69</v>
      </c>
      <c r="E310" s="257">
        <v>10000000</v>
      </c>
      <c r="F310" s="257">
        <v>7868747</v>
      </c>
      <c r="G310" s="257">
        <v>7868747</v>
      </c>
      <c r="H310" s="257">
        <v>0</v>
      </c>
      <c r="I310" s="257">
        <v>0</v>
      </c>
      <c r="J310" s="257">
        <v>0</v>
      </c>
      <c r="K310" s="257">
        <v>7868623</v>
      </c>
      <c r="L310" s="257">
        <v>7868623</v>
      </c>
      <c r="M310" s="257">
        <v>124</v>
      </c>
      <c r="N310" s="257">
        <v>124</v>
      </c>
    </row>
    <row r="311" spans="1:14" s="143" customFormat="1" x14ac:dyDescent="0.25">
      <c r="A311" s="143" t="s">
        <v>334</v>
      </c>
      <c r="B311" s="143" t="s">
        <v>337</v>
      </c>
      <c r="C311" s="143" t="s">
        <v>338</v>
      </c>
      <c r="D311" s="143" t="s">
        <v>69</v>
      </c>
      <c r="E311" s="257">
        <v>25000000</v>
      </c>
      <c r="F311" s="257">
        <v>15000000</v>
      </c>
      <c r="G311" s="257">
        <v>15000000</v>
      </c>
      <c r="H311" s="257">
        <v>0</v>
      </c>
      <c r="I311" s="257">
        <v>0</v>
      </c>
      <c r="J311" s="257">
        <v>0</v>
      </c>
      <c r="K311" s="257">
        <v>12032690.5</v>
      </c>
      <c r="L311" s="257">
        <v>12032690.5</v>
      </c>
      <c r="M311" s="257">
        <v>2967309.5</v>
      </c>
      <c r="N311" s="257">
        <v>2967309.5</v>
      </c>
    </row>
    <row r="312" spans="1:14" s="143" customFormat="1" x14ac:dyDescent="0.25">
      <c r="A312" s="143" t="s">
        <v>334</v>
      </c>
      <c r="B312" s="143" t="s">
        <v>339</v>
      </c>
      <c r="C312" s="143" t="s">
        <v>340</v>
      </c>
      <c r="D312" s="143" t="s">
        <v>69</v>
      </c>
      <c r="E312" s="257">
        <v>3781434000</v>
      </c>
      <c r="F312" s="257">
        <v>3611434000</v>
      </c>
      <c r="G312" s="257">
        <v>3611434000</v>
      </c>
      <c r="H312" s="257">
        <v>0</v>
      </c>
      <c r="I312" s="257">
        <v>0</v>
      </c>
      <c r="J312" s="257">
        <v>0</v>
      </c>
      <c r="K312" s="257">
        <v>3235754189.02</v>
      </c>
      <c r="L312" s="257">
        <v>3235754189.02</v>
      </c>
      <c r="M312" s="257">
        <v>375679810.98000002</v>
      </c>
      <c r="N312" s="257">
        <v>375679810.98000002</v>
      </c>
    </row>
    <row r="313" spans="1:14" s="143" customFormat="1" x14ac:dyDescent="0.25">
      <c r="A313" s="143" t="s">
        <v>334</v>
      </c>
      <c r="B313" s="143" t="s">
        <v>79</v>
      </c>
      <c r="C313" s="143" t="s">
        <v>80</v>
      </c>
      <c r="D313" s="143" t="s">
        <v>69</v>
      </c>
      <c r="E313" s="257">
        <v>9975766000</v>
      </c>
      <c r="F313" s="257">
        <v>9366425097</v>
      </c>
      <c r="G313" s="257">
        <v>9366425097</v>
      </c>
      <c r="H313" s="257">
        <v>0</v>
      </c>
      <c r="I313" s="257">
        <v>0</v>
      </c>
      <c r="J313" s="257">
        <v>0</v>
      </c>
      <c r="K313" s="257">
        <v>8262370082.1499996</v>
      </c>
      <c r="L313" s="257">
        <v>8262370082.1499996</v>
      </c>
      <c r="M313" s="257">
        <v>1104055014.8499999</v>
      </c>
      <c r="N313" s="257">
        <v>1104055014.8499999</v>
      </c>
    </row>
    <row r="314" spans="1:14" s="143" customFormat="1" x14ac:dyDescent="0.25">
      <c r="A314" s="143" t="s">
        <v>334</v>
      </c>
      <c r="B314" s="143" t="s">
        <v>81</v>
      </c>
      <c r="C314" s="143" t="s">
        <v>82</v>
      </c>
      <c r="D314" s="143" t="s">
        <v>69</v>
      </c>
      <c r="E314" s="257">
        <v>3798397000</v>
      </c>
      <c r="F314" s="257">
        <v>3316397000</v>
      </c>
      <c r="G314" s="257">
        <v>3316397000</v>
      </c>
      <c r="H314" s="257">
        <v>0</v>
      </c>
      <c r="I314" s="257">
        <v>0</v>
      </c>
      <c r="J314" s="257">
        <v>0</v>
      </c>
      <c r="K314" s="257">
        <v>2914356423.8499999</v>
      </c>
      <c r="L314" s="257">
        <v>2914356423.8499999</v>
      </c>
      <c r="M314" s="257">
        <v>402040576.14999998</v>
      </c>
      <c r="N314" s="257">
        <v>402040576.14999998</v>
      </c>
    </row>
    <row r="315" spans="1:14" s="143" customFormat="1" x14ac:dyDescent="0.25">
      <c r="A315" s="143" t="s">
        <v>334</v>
      </c>
      <c r="B315" s="143" t="s">
        <v>86</v>
      </c>
      <c r="C315" s="143" t="s">
        <v>87</v>
      </c>
      <c r="D315" s="143" t="s">
        <v>69</v>
      </c>
      <c r="E315" s="257">
        <v>3597134000</v>
      </c>
      <c r="F315" s="257">
        <v>3637134000</v>
      </c>
      <c r="G315" s="257">
        <v>3637134000</v>
      </c>
      <c r="H315" s="257">
        <v>0</v>
      </c>
      <c r="I315" s="257">
        <v>0</v>
      </c>
      <c r="J315" s="257">
        <v>0</v>
      </c>
      <c r="K315" s="257">
        <v>3633912022.5700002</v>
      </c>
      <c r="L315" s="257">
        <v>3633912022.5700002</v>
      </c>
      <c r="M315" s="257">
        <v>3221977.43</v>
      </c>
      <c r="N315" s="257">
        <v>3221977.43</v>
      </c>
    </row>
    <row r="316" spans="1:14" s="143" customFormat="1" x14ac:dyDescent="0.25">
      <c r="A316" s="143" t="s">
        <v>334</v>
      </c>
      <c r="B316" s="143" t="s">
        <v>88</v>
      </c>
      <c r="C316" s="143" t="s">
        <v>89</v>
      </c>
      <c r="D316" s="143" t="s">
        <v>69</v>
      </c>
      <c r="E316" s="257">
        <v>8205917000</v>
      </c>
      <c r="F316" s="257">
        <v>7762917000</v>
      </c>
      <c r="G316" s="257">
        <v>7762917000</v>
      </c>
      <c r="H316" s="257">
        <v>0</v>
      </c>
      <c r="I316" s="257">
        <v>0</v>
      </c>
      <c r="J316" s="257">
        <v>0</v>
      </c>
      <c r="K316" s="257">
        <v>6865665186.3900003</v>
      </c>
      <c r="L316" s="257">
        <v>6865665186.3900003</v>
      </c>
      <c r="M316" s="257">
        <v>897251813.61000001</v>
      </c>
      <c r="N316" s="257">
        <v>897251813.61000001</v>
      </c>
    </row>
    <row r="317" spans="1:14" s="143" customFormat="1" x14ac:dyDescent="0.25">
      <c r="A317" s="143" t="s">
        <v>334</v>
      </c>
      <c r="B317" s="143" t="s">
        <v>83</v>
      </c>
      <c r="C317" s="143" t="s">
        <v>84</v>
      </c>
      <c r="D317" s="143" t="s">
        <v>85</v>
      </c>
      <c r="E317" s="257">
        <v>4433988000</v>
      </c>
      <c r="F317" s="257">
        <v>4225988000</v>
      </c>
      <c r="G317" s="257">
        <v>4225988000</v>
      </c>
      <c r="H317" s="257">
        <v>0</v>
      </c>
      <c r="I317" s="257">
        <v>0</v>
      </c>
      <c r="J317" s="257">
        <v>0</v>
      </c>
      <c r="K317" s="257">
        <v>2514387.31</v>
      </c>
      <c r="L317" s="257">
        <v>2514387.31</v>
      </c>
      <c r="M317" s="257">
        <v>4223473612.6900001</v>
      </c>
      <c r="N317" s="257">
        <v>4223473612.6900001</v>
      </c>
    </row>
    <row r="318" spans="1:14" s="143" customFormat="1" x14ac:dyDescent="0.25">
      <c r="A318" s="143" t="s">
        <v>334</v>
      </c>
      <c r="B318" s="143" t="s">
        <v>341</v>
      </c>
      <c r="C318" s="143" t="s">
        <v>827</v>
      </c>
      <c r="D318" s="143" t="s">
        <v>69</v>
      </c>
      <c r="E318" s="257">
        <v>5026689000</v>
      </c>
      <c r="F318" s="257">
        <v>4820585887</v>
      </c>
      <c r="G318" s="257">
        <v>4820585887</v>
      </c>
      <c r="H318" s="257">
        <v>0</v>
      </c>
      <c r="I318" s="257">
        <v>606453090</v>
      </c>
      <c r="J318" s="257">
        <v>0</v>
      </c>
      <c r="K318" s="257">
        <v>4214132797</v>
      </c>
      <c r="L318" s="257">
        <v>4214132797</v>
      </c>
      <c r="M318" s="257">
        <v>0</v>
      </c>
      <c r="N318" s="257">
        <v>0</v>
      </c>
    </row>
    <row r="319" spans="1:14" s="143" customFormat="1" x14ac:dyDescent="0.25">
      <c r="A319" s="143" t="s">
        <v>334</v>
      </c>
      <c r="B319" s="143" t="s">
        <v>342</v>
      </c>
      <c r="C319" s="143" t="s">
        <v>95</v>
      </c>
      <c r="D319" s="143" t="s">
        <v>69</v>
      </c>
      <c r="E319" s="257">
        <v>271714000</v>
      </c>
      <c r="F319" s="257">
        <v>260594913</v>
      </c>
      <c r="G319" s="257">
        <v>260594913</v>
      </c>
      <c r="H319" s="257">
        <v>0</v>
      </c>
      <c r="I319" s="257">
        <v>32833239</v>
      </c>
      <c r="J319" s="257">
        <v>0</v>
      </c>
      <c r="K319" s="257">
        <v>227761674</v>
      </c>
      <c r="L319" s="257">
        <v>227761674</v>
      </c>
      <c r="M319" s="257">
        <v>0</v>
      </c>
      <c r="N319" s="257">
        <v>0</v>
      </c>
    </row>
    <row r="320" spans="1:14" s="143" customFormat="1" x14ac:dyDescent="0.25">
      <c r="A320" s="143" t="s">
        <v>334</v>
      </c>
      <c r="B320" s="143" t="s">
        <v>343</v>
      </c>
      <c r="C320" s="143" t="s">
        <v>828</v>
      </c>
      <c r="D320" s="143" t="s">
        <v>69</v>
      </c>
      <c r="E320" s="257">
        <v>2760603000</v>
      </c>
      <c r="F320" s="257">
        <v>2646889074</v>
      </c>
      <c r="G320" s="257">
        <v>2646889074</v>
      </c>
      <c r="H320" s="257">
        <v>0</v>
      </c>
      <c r="I320" s="257">
        <v>337242908</v>
      </c>
      <c r="J320" s="257">
        <v>0</v>
      </c>
      <c r="K320" s="257">
        <v>2309646166</v>
      </c>
      <c r="L320" s="257">
        <v>2309646166</v>
      </c>
      <c r="M320" s="257">
        <v>0</v>
      </c>
      <c r="N320" s="257">
        <v>0</v>
      </c>
    </row>
    <row r="321" spans="1:14" s="143" customFormat="1" x14ac:dyDescent="0.25">
      <c r="A321" s="143" t="s">
        <v>334</v>
      </c>
      <c r="B321" s="143" t="s">
        <v>344</v>
      </c>
      <c r="C321" s="143" t="s">
        <v>829</v>
      </c>
      <c r="D321" s="143" t="s">
        <v>69</v>
      </c>
      <c r="E321" s="257">
        <v>815139000</v>
      </c>
      <c r="F321" s="257">
        <v>781381738</v>
      </c>
      <c r="G321" s="257">
        <v>781381738</v>
      </c>
      <c r="H321" s="257">
        <v>0</v>
      </c>
      <c r="I321" s="257">
        <v>98097374</v>
      </c>
      <c r="J321" s="257">
        <v>0</v>
      </c>
      <c r="K321" s="257">
        <v>683284364</v>
      </c>
      <c r="L321" s="257">
        <v>683284364</v>
      </c>
      <c r="M321" s="257">
        <v>0</v>
      </c>
      <c r="N321" s="257">
        <v>0</v>
      </c>
    </row>
    <row r="322" spans="1:14" s="143" customFormat="1" x14ac:dyDescent="0.25">
      <c r="A322" s="143" t="s">
        <v>334</v>
      </c>
      <c r="B322" s="143" t="s">
        <v>345</v>
      </c>
      <c r="C322" s="143" t="s">
        <v>830</v>
      </c>
      <c r="D322" s="143" t="s">
        <v>69</v>
      </c>
      <c r="E322" s="257">
        <v>1630278000</v>
      </c>
      <c r="F322" s="257">
        <v>1562663477</v>
      </c>
      <c r="G322" s="257">
        <v>1562663477</v>
      </c>
      <c r="H322" s="257">
        <v>0</v>
      </c>
      <c r="I322" s="257">
        <v>196093339</v>
      </c>
      <c r="J322" s="257">
        <v>0</v>
      </c>
      <c r="K322" s="257">
        <v>1366570138</v>
      </c>
      <c r="L322" s="257">
        <v>1366570138</v>
      </c>
      <c r="M322" s="257">
        <v>0</v>
      </c>
      <c r="N322" s="257">
        <v>0</v>
      </c>
    </row>
    <row r="323" spans="1:14" s="143" customFormat="1" x14ac:dyDescent="0.25">
      <c r="A323" s="143" t="s">
        <v>334</v>
      </c>
      <c r="B323" s="143" t="s">
        <v>519</v>
      </c>
      <c r="C323" s="143" t="s">
        <v>837</v>
      </c>
      <c r="D323" s="143" t="s">
        <v>69</v>
      </c>
      <c r="E323" s="257">
        <v>300000</v>
      </c>
      <c r="F323" s="257">
        <v>0</v>
      </c>
      <c r="G323" s="257">
        <v>0</v>
      </c>
      <c r="H323" s="257">
        <v>0</v>
      </c>
      <c r="I323" s="257">
        <v>0</v>
      </c>
      <c r="J323" s="257">
        <v>0</v>
      </c>
      <c r="K323" s="257">
        <v>0</v>
      </c>
      <c r="L323" s="257">
        <v>0</v>
      </c>
      <c r="M323" s="257">
        <v>0</v>
      </c>
      <c r="N323" s="257">
        <v>0</v>
      </c>
    </row>
    <row r="324" spans="1:14" s="143" customFormat="1" x14ac:dyDescent="0.25">
      <c r="A324" s="143" t="s">
        <v>334</v>
      </c>
      <c r="B324" s="143" t="s">
        <v>280</v>
      </c>
      <c r="C324" s="143" t="s">
        <v>281</v>
      </c>
      <c r="D324" s="143" t="s">
        <v>69</v>
      </c>
      <c r="E324" s="257">
        <v>447714000</v>
      </c>
      <c r="F324" s="257">
        <v>447714000</v>
      </c>
      <c r="G324" s="257">
        <v>447714000</v>
      </c>
      <c r="H324" s="257">
        <v>0</v>
      </c>
      <c r="I324" s="257">
        <v>71799179.75</v>
      </c>
      <c r="J324" s="257">
        <v>0</v>
      </c>
      <c r="K324" s="257">
        <v>358178523.27999997</v>
      </c>
      <c r="L324" s="257">
        <v>357930660.88</v>
      </c>
      <c r="M324" s="257">
        <v>17736296.969999999</v>
      </c>
      <c r="N324" s="257">
        <v>17736296.969999999</v>
      </c>
    </row>
    <row r="325" spans="1:14" s="143" customFormat="1" x14ac:dyDescent="0.25">
      <c r="A325" s="143" t="s">
        <v>334</v>
      </c>
      <c r="B325" s="143" t="s">
        <v>302</v>
      </c>
      <c r="C325" s="143" t="s">
        <v>303</v>
      </c>
      <c r="D325" s="143" t="s">
        <v>69</v>
      </c>
      <c r="E325" s="257">
        <v>1150000</v>
      </c>
      <c r="F325" s="257">
        <v>1150000</v>
      </c>
      <c r="G325" s="257">
        <v>1150000</v>
      </c>
      <c r="H325" s="257">
        <v>0</v>
      </c>
      <c r="I325" s="257">
        <v>0</v>
      </c>
      <c r="J325" s="257">
        <v>0</v>
      </c>
      <c r="K325" s="257">
        <v>0</v>
      </c>
      <c r="L325" s="257">
        <v>0</v>
      </c>
      <c r="M325" s="257">
        <v>1150000</v>
      </c>
      <c r="N325" s="257">
        <v>1150000</v>
      </c>
    </row>
    <row r="326" spans="1:14" s="143" customFormat="1" x14ac:dyDescent="0.25">
      <c r="A326" s="143" t="s">
        <v>334</v>
      </c>
      <c r="B326" s="143" t="s">
        <v>108</v>
      </c>
      <c r="C326" s="143" t="s">
        <v>109</v>
      </c>
      <c r="D326" s="143" t="s">
        <v>69</v>
      </c>
      <c r="E326" s="257">
        <v>897159000</v>
      </c>
      <c r="F326" s="257">
        <v>897159000</v>
      </c>
      <c r="G326" s="257">
        <v>897159000</v>
      </c>
      <c r="H326" s="257">
        <v>0</v>
      </c>
      <c r="I326" s="257">
        <v>235349758.13</v>
      </c>
      <c r="J326" s="257">
        <v>0</v>
      </c>
      <c r="K326" s="257">
        <v>555286559.25</v>
      </c>
      <c r="L326" s="257">
        <v>491534581.64999998</v>
      </c>
      <c r="M326" s="257">
        <v>106522682.62</v>
      </c>
      <c r="N326" s="257">
        <v>106522682.62</v>
      </c>
    </row>
    <row r="327" spans="1:14" s="143" customFormat="1" x14ac:dyDescent="0.25">
      <c r="A327" s="143" t="s">
        <v>334</v>
      </c>
      <c r="B327" s="143" t="s">
        <v>304</v>
      </c>
      <c r="C327" s="143" t="s">
        <v>305</v>
      </c>
      <c r="D327" s="143" t="s">
        <v>69</v>
      </c>
      <c r="E327" s="257">
        <v>42253000</v>
      </c>
      <c r="F327" s="257">
        <v>19062488</v>
      </c>
      <c r="G327" s="257">
        <v>19062488</v>
      </c>
      <c r="H327" s="257">
        <v>0</v>
      </c>
      <c r="I327" s="257">
        <v>6869514.0099999998</v>
      </c>
      <c r="J327" s="257">
        <v>0</v>
      </c>
      <c r="K327" s="257">
        <v>12192973.99</v>
      </c>
      <c r="L327" s="257">
        <v>10568648.210000001</v>
      </c>
      <c r="M327" s="257">
        <v>0</v>
      </c>
      <c r="N327" s="257">
        <v>0</v>
      </c>
    </row>
    <row r="328" spans="1:14" s="143" customFormat="1" x14ac:dyDescent="0.25">
      <c r="A328" s="143" t="s">
        <v>334</v>
      </c>
      <c r="B328" s="143" t="s">
        <v>110</v>
      </c>
      <c r="C328" s="143" t="s">
        <v>111</v>
      </c>
      <c r="D328" s="143" t="s">
        <v>69</v>
      </c>
      <c r="E328" s="257">
        <v>6000000000</v>
      </c>
      <c r="F328" s="257">
        <v>4576782128</v>
      </c>
      <c r="G328" s="257">
        <v>4576782128</v>
      </c>
      <c r="H328" s="257">
        <v>0</v>
      </c>
      <c r="I328" s="257">
        <v>556206226.83000004</v>
      </c>
      <c r="J328" s="257">
        <v>0</v>
      </c>
      <c r="K328" s="257">
        <v>2835448423.8299999</v>
      </c>
      <c r="L328" s="257">
        <v>1669058160.21</v>
      </c>
      <c r="M328" s="257">
        <v>1185127477.3399999</v>
      </c>
      <c r="N328" s="257">
        <v>1185127477.3399999</v>
      </c>
    </row>
    <row r="329" spans="1:14" s="143" customFormat="1" x14ac:dyDescent="0.25">
      <c r="A329" s="143" t="s">
        <v>334</v>
      </c>
      <c r="B329" s="143" t="s">
        <v>114</v>
      </c>
      <c r="C329" s="143" t="s">
        <v>115</v>
      </c>
      <c r="D329" s="143" t="s">
        <v>69</v>
      </c>
      <c r="E329" s="257">
        <v>2372291000</v>
      </c>
      <c r="F329" s="257">
        <v>3072291000</v>
      </c>
      <c r="G329" s="257">
        <v>3072291000</v>
      </c>
      <c r="H329" s="257">
        <v>0</v>
      </c>
      <c r="I329" s="257">
        <v>674382631</v>
      </c>
      <c r="J329" s="257">
        <v>0</v>
      </c>
      <c r="K329" s="257">
        <v>2397908369</v>
      </c>
      <c r="L329" s="257">
        <v>1986555083</v>
      </c>
      <c r="M329" s="257">
        <v>0</v>
      </c>
      <c r="N329" s="257">
        <v>0</v>
      </c>
    </row>
    <row r="330" spans="1:14" s="143" customFormat="1" x14ac:dyDescent="0.25">
      <c r="A330" s="143" t="s">
        <v>334</v>
      </c>
      <c r="B330" s="143" t="s">
        <v>116</v>
      </c>
      <c r="C330" s="143" t="s">
        <v>117</v>
      </c>
      <c r="D330" s="143" t="s">
        <v>69</v>
      </c>
      <c r="E330" s="257">
        <v>1100946000</v>
      </c>
      <c r="F330" s="257">
        <v>1423946000</v>
      </c>
      <c r="G330" s="257">
        <v>1423946000</v>
      </c>
      <c r="H330" s="257">
        <v>0</v>
      </c>
      <c r="I330" s="257">
        <v>207356602.56</v>
      </c>
      <c r="J330" s="257">
        <v>0</v>
      </c>
      <c r="K330" s="257">
        <v>1216589397.4400001</v>
      </c>
      <c r="L330" s="257">
        <v>1052159812.89</v>
      </c>
      <c r="M330" s="257">
        <v>0</v>
      </c>
      <c r="N330" s="257">
        <v>0</v>
      </c>
    </row>
    <row r="331" spans="1:14" s="143" customFormat="1" x14ac:dyDescent="0.25">
      <c r="A331" s="143" t="s">
        <v>334</v>
      </c>
      <c r="B331" s="143" t="s">
        <v>118</v>
      </c>
      <c r="C331" s="143" t="s">
        <v>119</v>
      </c>
      <c r="D331" s="143" t="s">
        <v>69</v>
      </c>
      <c r="E331" s="257">
        <v>6000000</v>
      </c>
      <c r="F331" s="257">
        <v>6000000</v>
      </c>
      <c r="G331" s="257">
        <v>6000000</v>
      </c>
      <c r="H331" s="257">
        <v>0</v>
      </c>
      <c r="I331" s="257">
        <v>854485</v>
      </c>
      <c r="J331" s="257">
        <v>0</v>
      </c>
      <c r="K331" s="257">
        <v>2352630</v>
      </c>
      <c r="L331" s="257">
        <v>1979660</v>
      </c>
      <c r="M331" s="257">
        <v>2792885</v>
      </c>
      <c r="N331" s="257">
        <v>2792885</v>
      </c>
    </row>
    <row r="332" spans="1:14" s="143" customFormat="1" x14ac:dyDescent="0.25">
      <c r="A332" s="143" t="s">
        <v>334</v>
      </c>
      <c r="B332" s="143" t="s">
        <v>120</v>
      </c>
      <c r="C332" s="143" t="s">
        <v>121</v>
      </c>
      <c r="D332" s="143" t="s">
        <v>69</v>
      </c>
      <c r="E332" s="257">
        <v>1381495000</v>
      </c>
      <c r="F332" s="257">
        <v>765215316</v>
      </c>
      <c r="G332" s="257">
        <v>765215316</v>
      </c>
      <c r="H332" s="257">
        <v>0</v>
      </c>
      <c r="I332" s="257">
        <v>149557008.31999999</v>
      </c>
      <c r="J332" s="257">
        <v>0</v>
      </c>
      <c r="K332" s="257">
        <v>423604019.20999998</v>
      </c>
      <c r="L332" s="257">
        <v>351204103.79000002</v>
      </c>
      <c r="M332" s="257">
        <v>192054288.47</v>
      </c>
      <c r="N332" s="257">
        <v>192054288.47</v>
      </c>
    </row>
    <row r="333" spans="1:14" s="143" customFormat="1" x14ac:dyDescent="0.25">
      <c r="A333" s="143" t="s">
        <v>334</v>
      </c>
      <c r="B333" s="143" t="s">
        <v>122</v>
      </c>
      <c r="C333" s="143" t="s">
        <v>123</v>
      </c>
      <c r="D333" s="143" t="s">
        <v>69</v>
      </c>
      <c r="E333" s="257">
        <v>93642000</v>
      </c>
      <c r="F333" s="257">
        <v>156791998</v>
      </c>
      <c r="G333" s="257">
        <v>156791998</v>
      </c>
      <c r="H333" s="257">
        <v>0</v>
      </c>
      <c r="I333" s="257">
        <v>23280913.43</v>
      </c>
      <c r="J333" s="257">
        <v>0</v>
      </c>
      <c r="K333" s="257">
        <v>69691430.799999997</v>
      </c>
      <c r="L333" s="257">
        <v>68685573.530000001</v>
      </c>
      <c r="M333" s="257">
        <v>63819653.770000003</v>
      </c>
      <c r="N333" s="257">
        <v>63819653.770000003</v>
      </c>
    </row>
    <row r="334" spans="1:14" s="143" customFormat="1" x14ac:dyDescent="0.25">
      <c r="A334" s="143" t="s">
        <v>334</v>
      </c>
      <c r="B334" s="143" t="s">
        <v>126</v>
      </c>
      <c r="C334" s="143" t="s">
        <v>127</v>
      </c>
      <c r="D334" s="143" t="s">
        <v>69</v>
      </c>
      <c r="E334" s="257">
        <v>1149000</v>
      </c>
      <c r="F334" s="257">
        <v>4257560</v>
      </c>
      <c r="G334" s="257">
        <v>4257560</v>
      </c>
      <c r="H334" s="257">
        <v>0</v>
      </c>
      <c r="I334" s="257">
        <v>3795220</v>
      </c>
      <c r="J334" s="257">
        <v>0</v>
      </c>
      <c r="K334" s="257">
        <v>462340</v>
      </c>
      <c r="L334" s="257">
        <v>462340</v>
      </c>
      <c r="M334" s="257">
        <v>0</v>
      </c>
      <c r="N334" s="257">
        <v>0</v>
      </c>
    </row>
    <row r="335" spans="1:14" s="143" customFormat="1" x14ac:dyDescent="0.25">
      <c r="A335" s="143" t="s">
        <v>334</v>
      </c>
      <c r="B335" s="143" t="s">
        <v>128</v>
      </c>
      <c r="C335" s="143" t="s">
        <v>129</v>
      </c>
      <c r="D335" s="143" t="s">
        <v>69</v>
      </c>
      <c r="E335" s="257">
        <v>4300000</v>
      </c>
      <c r="F335" s="257">
        <v>4300000</v>
      </c>
      <c r="G335" s="257">
        <v>4300000</v>
      </c>
      <c r="H335" s="257">
        <v>0</v>
      </c>
      <c r="I335" s="257">
        <v>1111000</v>
      </c>
      <c r="J335" s="257">
        <v>0</v>
      </c>
      <c r="K335" s="257">
        <v>2914000</v>
      </c>
      <c r="L335" s="257">
        <v>2914000</v>
      </c>
      <c r="M335" s="257">
        <v>275000</v>
      </c>
      <c r="N335" s="257">
        <v>275000</v>
      </c>
    </row>
    <row r="336" spans="1:14" s="143" customFormat="1" x14ac:dyDescent="0.25">
      <c r="A336" s="143" t="s">
        <v>334</v>
      </c>
      <c r="B336" s="143" t="s">
        <v>346</v>
      </c>
      <c r="C336" s="143" t="s">
        <v>838</v>
      </c>
      <c r="D336" s="143" t="s">
        <v>69</v>
      </c>
      <c r="E336" s="257">
        <v>24045000</v>
      </c>
      <c r="F336" s="257">
        <v>24045000</v>
      </c>
      <c r="G336" s="257">
        <v>24045000</v>
      </c>
      <c r="H336" s="257">
        <v>0</v>
      </c>
      <c r="I336" s="257">
        <v>21150056</v>
      </c>
      <c r="J336" s="257">
        <v>0</v>
      </c>
      <c r="K336" s="257">
        <v>1811000</v>
      </c>
      <c r="L336" s="257">
        <v>610000</v>
      </c>
      <c r="M336" s="257">
        <v>1083944</v>
      </c>
      <c r="N336" s="257">
        <v>1083944</v>
      </c>
    </row>
    <row r="337" spans="1:14" s="143" customFormat="1" x14ac:dyDescent="0.25">
      <c r="A337" s="143" t="s">
        <v>334</v>
      </c>
      <c r="B337" s="143" t="s">
        <v>308</v>
      </c>
      <c r="C337" s="143" t="s">
        <v>834</v>
      </c>
      <c r="D337" s="143" t="s">
        <v>69</v>
      </c>
      <c r="E337" s="257">
        <v>36500000</v>
      </c>
      <c r="F337" s="257">
        <v>86966885</v>
      </c>
      <c r="G337" s="257">
        <v>86966885</v>
      </c>
      <c r="H337" s="257">
        <v>0</v>
      </c>
      <c r="I337" s="257">
        <v>50698666.229999997</v>
      </c>
      <c r="J337" s="257">
        <v>0</v>
      </c>
      <c r="K337" s="257">
        <v>31635628.34</v>
      </c>
      <c r="L337" s="257">
        <v>29909128.34</v>
      </c>
      <c r="M337" s="257">
        <v>4632590.43</v>
      </c>
      <c r="N337" s="257">
        <v>4632590.43</v>
      </c>
    </row>
    <row r="338" spans="1:14" s="143" customFormat="1" x14ac:dyDescent="0.25">
      <c r="A338" s="143" t="s">
        <v>334</v>
      </c>
      <c r="B338" s="143" t="s">
        <v>136</v>
      </c>
      <c r="C338" s="143" t="s">
        <v>137</v>
      </c>
      <c r="D338" s="143" t="s">
        <v>69</v>
      </c>
      <c r="E338" s="257">
        <v>142000000</v>
      </c>
      <c r="F338" s="257">
        <v>133851875</v>
      </c>
      <c r="G338" s="257">
        <v>133851875</v>
      </c>
      <c r="H338" s="257">
        <v>0</v>
      </c>
      <c r="I338" s="257">
        <v>24397590.100000001</v>
      </c>
      <c r="J338" s="257">
        <v>0</v>
      </c>
      <c r="K338" s="257">
        <v>72534912.079999998</v>
      </c>
      <c r="L338" s="257">
        <v>67488240.379999995</v>
      </c>
      <c r="M338" s="257">
        <v>36919372.82</v>
      </c>
      <c r="N338" s="257">
        <v>36919372.82</v>
      </c>
    </row>
    <row r="339" spans="1:14" s="143" customFormat="1" x14ac:dyDescent="0.25">
      <c r="A339" s="143" t="s">
        <v>334</v>
      </c>
      <c r="B339" s="143" t="s">
        <v>138</v>
      </c>
      <c r="C339" s="143" t="s">
        <v>139</v>
      </c>
      <c r="D339" s="143" t="s">
        <v>69</v>
      </c>
      <c r="E339" s="257">
        <v>29638000</v>
      </c>
      <c r="F339" s="257">
        <v>83245333</v>
      </c>
      <c r="G339" s="257">
        <v>83245333</v>
      </c>
      <c r="H339" s="257">
        <v>0</v>
      </c>
      <c r="I339" s="257">
        <v>44040698.020000003</v>
      </c>
      <c r="J339" s="257">
        <v>0</v>
      </c>
      <c r="K339" s="257">
        <v>22184785.030000001</v>
      </c>
      <c r="L339" s="257">
        <v>22015930.030000001</v>
      </c>
      <c r="M339" s="257">
        <v>17019849.949999999</v>
      </c>
      <c r="N339" s="257">
        <v>17019849.949999999</v>
      </c>
    </row>
    <row r="340" spans="1:14" s="143" customFormat="1" x14ac:dyDescent="0.25">
      <c r="A340" s="143" t="s">
        <v>334</v>
      </c>
      <c r="B340" s="143" t="s">
        <v>142</v>
      </c>
      <c r="C340" s="143" t="s">
        <v>143</v>
      </c>
      <c r="D340" s="143" t="s">
        <v>69</v>
      </c>
      <c r="E340" s="257">
        <v>8364000</v>
      </c>
      <c r="F340" s="257">
        <v>8364000</v>
      </c>
      <c r="G340" s="257">
        <v>8364000</v>
      </c>
      <c r="H340" s="257">
        <v>8200</v>
      </c>
      <c r="I340" s="257">
        <v>2005255</v>
      </c>
      <c r="J340" s="257">
        <v>0</v>
      </c>
      <c r="K340" s="257">
        <v>5012480</v>
      </c>
      <c r="L340" s="257">
        <v>5008650</v>
      </c>
      <c r="M340" s="257">
        <v>1338065</v>
      </c>
      <c r="N340" s="257">
        <v>1338065</v>
      </c>
    </row>
    <row r="341" spans="1:14" s="143" customFormat="1" x14ac:dyDescent="0.25">
      <c r="A341" s="143" t="s">
        <v>334</v>
      </c>
      <c r="B341" s="143" t="s">
        <v>144</v>
      </c>
      <c r="C341" s="143" t="s">
        <v>145</v>
      </c>
      <c r="D341" s="143" t="s">
        <v>69</v>
      </c>
      <c r="E341" s="257">
        <v>150000000</v>
      </c>
      <c r="F341" s="257">
        <v>150000000</v>
      </c>
      <c r="G341" s="257">
        <v>150000000</v>
      </c>
      <c r="H341" s="257">
        <v>262250</v>
      </c>
      <c r="I341" s="257">
        <v>26526020</v>
      </c>
      <c r="J341" s="257">
        <v>0</v>
      </c>
      <c r="K341" s="257">
        <v>91417570</v>
      </c>
      <c r="L341" s="257">
        <v>91382220</v>
      </c>
      <c r="M341" s="257">
        <v>31794160</v>
      </c>
      <c r="N341" s="257">
        <v>31794160</v>
      </c>
    </row>
    <row r="342" spans="1:14" s="143" customFormat="1" x14ac:dyDescent="0.25">
      <c r="A342" s="143" t="s">
        <v>334</v>
      </c>
      <c r="B342" s="143" t="s">
        <v>146</v>
      </c>
      <c r="C342" s="143" t="s">
        <v>147</v>
      </c>
      <c r="D342" s="143" t="s">
        <v>69</v>
      </c>
      <c r="E342" s="257">
        <v>0</v>
      </c>
      <c r="F342" s="257">
        <v>271810.02</v>
      </c>
      <c r="G342" s="257">
        <v>271810.02</v>
      </c>
      <c r="H342" s="257">
        <v>0</v>
      </c>
      <c r="I342" s="257">
        <v>0</v>
      </c>
      <c r="J342" s="257">
        <v>0</v>
      </c>
      <c r="K342" s="257">
        <v>0</v>
      </c>
      <c r="L342" s="257">
        <v>0</v>
      </c>
      <c r="M342" s="257">
        <v>271810.02</v>
      </c>
      <c r="N342" s="257">
        <v>271810.02</v>
      </c>
    </row>
    <row r="343" spans="1:14" s="143" customFormat="1" x14ac:dyDescent="0.25">
      <c r="A343" s="143" t="s">
        <v>334</v>
      </c>
      <c r="B343" s="143" t="s">
        <v>148</v>
      </c>
      <c r="C343" s="143" t="s">
        <v>149</v>
      </c>
      <c r="D343" s="143" t="s">
        <v>69</v>
      </c>
      <c r="E343" s="257">
        <v>0</v>
      </c>
      <c r="F343" s="257">
        <v>534638.30000000005</v>
      </c>
      <c r="G343" s="257">
        <v>534638.30000000005</v>
      </c>
      <c r="H343" s="257">
        <v>0</v>
      </c>
      <c r="I343" s="257">
        <v>0</v>
      </c>
      <c r="J343" s="257">
        <v>0</v>
      </c>
      <c r="K343" s="257">
        <v>0</v>
      </c>
      <c r="L343" s="257">
        <v>0</v>
      </c>
      <c r="M343" s="257">
        <v>534638.30000000005</v>
      </c>
      <c r="N343" s="257">
        <v>534638.30000000005</v>
      </c>
    </row>
    <row r="344" spans="1:14" s="143" customFormat="1" x14ac:dyDescent="0.25">
      <c r="A344" s="143" t="s">
        <v>334</v>
      </c>
      <c r="B344" s="143" t="s">
        <v>152</v>
      </c>
      <c r="C344" s="143" t="s">
        <v>153</v>
      </c>
      <c r="D344" s="143" t="s">
        <v>69</v>
      </c>
      <c r="E344" s="257">
        <v>1404477000</v>
      </c>
      <c r="F344" s="257">
        <v>1404477000</v>
      </c>
      <c r="G344" s="257">
        <v>1404477000</v>
      </c>
      <c r="H344" s="257">
        <v>0</v>
      </c>
      <c r="I344" s="257">
        <v>189950402</v>
      </c>
      <c r="J344" s="257">
        <v>0</v>
      </c>
      <c r="K344" s="257">
        <v>995524760</v>
      </c>
      <c r="L344" s="257">
        <v>799749790</v>
      </c>
      <c r="M344" s="257">
        <v>219001838</v>
      </c>
      <c r="N344" s="257">
        <v>219001838</v>
      </c>
    </row>
    <row r="345" spans="1:14" s="143" customFormat="1" x14ac:dyDescent="0.25">
      <c r="A345" s="143" t="s">
        <v>334</v>
      </c>
      <c r="B345" s="143" t="s">
        <v>156</v>
      </c>
      <c r="C345" s="143" t="s">
        <v>157</v>
      </c>
      <c r="D345" s="143" t="s">
        <v>69</v>
      </c>
      <c r="E345" s="257">
        <v>1000000</v>
      </c>
      <c r="F345" s="257">
        <v>860000</v>
      </c>
      <c r="G345" s="257">
        <v>860000</v>
      </c>
      <c r="H345" s="257">
        <v>0</v>
      </c>
      <c r="I345" s="257">
        <v>860000</v>
      </c>
      <c r="J345" s="257">
        <v>0</v>
      </c>
      <c r="K345" s="257">
        <v>0</v>
      </c>
      <c r="L345" s="257">
        <v>0</v>
      </c>
      <c r="M345" s="257">
        <v>0</v>
      </c>
      <c r="N345" s="257">
        <v>0</v>
      </c>
    </row>
    <row r="346" spans="1:14" s="143" customFormat="1" x14ac:dyDescent="0.25">
      <c r="A346" s="143" t="s">
        <v>334</v>
      </c>
      <c r="B346" s="143" t="s">
        <v>310</v>
      </c>
      <c r="C346" s="143" t="s">
        <v>311</v>
      </c>
      <c r="D346" s="143" t="s">
        <v>69</v>
      </c>
      <c r="E346" s="257">
        <v>40000000</v>
      </c>
      <c r="F346" s="257">
        <v>108187087</v>
      </c>
      <c r="G346" s="257">
        <v>108187087</v>
      </c>
      <c r="H346" s="257">
        <v>0</v>
      </c>
      <c r="I346" s="257">
        <v>23008.85</v>
      </c>
      <c r="J346" s="257">
        <v>0</v>
      </c>
      <c r="K346" s="257">
        <v>76991.149999999994</v>
      </c>
      <c r="L346" s="257">
        <v>76991.149999999994</v>
      </c>
      <c r="M346" s="257">
        <v>108087087</v>
      </c>
      <c r="N346" s="257">
        <v>108087087</v>
      </c>
    </row>
    <row r="347" spans="1:14" s="143" customFormat="1" x14ac:dyDescent="0.25">
      <c r="A347" s="143" t="s">
        <v>334</v>
      </c>
      <c r="B347" s="143" t="s">
        <v>164</v>
      </c>
      <c r="C347" s="143" t="s">
        <v>165</v>
      </c>
      <c r="D347" s="143" t="s">
        <v>69</v>
      </c>
      <c r="E347" s="257">
        <v>550000000</v>
      </c>
      <c r="F347" s="257">
        <v>327160642</v>
      </c>
      <c r="G347" s="257">
        <v>327160642</v>
      </c>
      <c r="H347" s="257">
        <v>0</v>
      </c>
      <c r="I347" s="257">
        <v>193904050.41</v>
      </c>
      <c r="J347" s="257">
        <v>14461200</v>
      </c>
      <c r="K347" s="257">
        <v>118795389.88</v>
      </c>
      <c r="L347" s="257">
        <v>115053696.51000001</v>
      </c>
      <c r="M347" s="257">
        <v>1.71</v>
      </c>
      <c r="N347" s="257">
        <v>1.71</v>
      </c>
    </row>
    <row r="348" spans="1:14" s="143" customFormat="1" x14ac:dyDescent="0.25">
      <c r="A348" s="143" t="s">
        <v>334</v>
      </c>
      <c r="B348" s="143" t="s">
        <v>166</v>
      </c>
      <c r="C348" s="143" t="s">
        <v>167</v>
      </c>
      <c r="D348" s="143" t="s">
        <v>69</v>
      </c>
      <c r="E348" s="257">
        <v>165180000</v>
      </c>
      <c r="F348" s="257">
        <v>165180000</v>
      </c>
      <c r="G348" s="257">
        <v>165180000</v>
      </c>
      <c r="H348" s="257">
        <v>0</v>
      </c>
      <c r="I348" s="257">
        <v>85646212.129999995</v>
      </c>
      <c r="J348" s="257">
        <v>0</v>
      </c>
      <c r="K348" s="257">
        <v>69056207.159999996</v>
      </c>
      <c r="L348" s="257">
        <v>66303047.810000002</v>
      </c>
      <c r="M348" s="257">
        <v>10477580.710000001</v>
      </c>
      <c r="N348" s="257">
        <v>10477580.710000001</v>
      </c>
    </row>
    <row r="349" spans="1:14" s="143" customFormat="1" x14ac:dyDescent="0.25">
      <c r="A349" s="143" t="s">
        <v>334</v>
      </c>
      <c r="B349" s="143" t="s">
        <v>312</v>
      </c>
      <c r="C349" s="143" t="s">
        <v>313</v>
      </c>
      <c r="D349" s="143" t="s">
        <v>69</v>
      </c>
      <c r="E349" s="257">
        <v>6623000</v>
      </c>
      <c r="F349" s="257">
        <v>413000</v>
      </c>
      <c r="G349" s="257">
        <v>413000</v>
      </c>
      <c r="H349" s="257">
        <v>0</v>
      </c>
      <c r="I349" s="257">
        <v>0</v>
      </c>
      <c r="J349" s="257">
        <v>0</v>
      </c>
      <c r="K349" s="257">
        <v>380855</v>
      </c>
      <c r="L349" s="257">
        <v>380855</v>
      </c>
      <c r="M349" s="257">
        <v>32145</v>
      </c>
      <c r="N349" s="257">
        <v>32145</v>
      </c>
    </row>
    <row r="350" spans="1:14" s="143" customFormat="1" x14ac:dyDescent="0.25">
      <c r="A350" s="143" t="s">
        <v>334</v>
      </c>
      <c r="B350" s="143" t="s">
        <v>168</v>
      </c>
      <c r="C350" s="143" t="s">
        <v>169</v>
      </c>
      <c r="D350" s="143" t="s">
        <v>69</v>
      </c>
      <c r="E350" s="257">
        <v>24424000</v>
      </c>
      <c r="F350" s="257">
        <v>20018759</v>
      </c>
      <c r="G350" s="257">
        <v>20018759</v>
      </c>
      <c r="H350" s="257">
        <v>0</v>
      </c>
      <c r="I350" s="257">
        <v>12910000</v>
      </c>
      <c r="J350" s="257">
        <v>0</v>
      </c>
      <c r="K350" s="257">
        <v>5629092</v>
      </c>
      <c r="L350" s="257">
        <v>5629092</v>
      </c>
      <c r="M350" s="257">
        <v>1479667</v>
      </c>
      <c r="N350" s="257">
        <v>1479667</v>
      </c>
    </row>
    <row r="351" spans="1:14" s="143" customFormat="1" x14ac:dyDescent="0.25">
      <c r="A351" s="143" t="s">
        <v>334</v>
      </c>
      <c r="B351" s="143" t="s">
        <v>170</v>
      </c>
      <c r="C351" s="143" t="s">
        <v>171</v>
      </c>
      <c r="D351" s="143" t="s">
        <v>69</v>
      </c>
      <c r="E351" s="257">
        <v>80000000</v>
      </c>
      <c r="F351" s="257">
        <v>37495119</v>
      </c>
      <c r="G351" s="257">
        <v>37495119</v>
      </c>
      <c r="H351" s="257">
        <v>0</v>
      </c>
      <c r="I351" s="257">
        <v>12323417.68</v>
      </c>
      <c r="J351" s="257">
        <v>5701572.1100000003</v>
      </c>
      <c r="K351" s="257">
        <v>3887688.86</v>
      </c>
      <c r="L351" s="257">
        <v>3887688.86</v>
      </c>
      <c r="M351" s="257">
        <v>15582440.35</v>
      </c>
      <c r="N351" s="257">
        <v>15582440.35</v>
      </c>
    </row>
    <row r="352" spans="1:14" s="143" customFormat="1" x14ac:dyDescent="0.25">
      <c r="A352" s="143" t="s">
        <v>334</v>
      </c>
      <c r="B352" s="143" t="s">
        <v>172</v>
      </c>
      <c r="C352" s="143" t="s">
        <v>173</v>
      </c>
      <c r="D352" s="143" t="s">
        <v>69</v>
      </c>
      <c r="E352" s="257">
        <v>225785000</v>
      </c>
      <c r="F352" s="257">
        <v>159236968</v>
      </c>
      <c r="G352" s="257">
        <v>159236968</v>
      </c>
      <c r="H352" s="257">
        <v>0</v>
      </c>
      <c r="I352" s="257">
        <v>72337644.099999994</v>
      </c>
      <c r="J352" s="257">
        <v>243136.6</v>
      </c>
      <c r="K352" s="257">
        <v>73573872.560000002</v>
      </c>
      <c r="L352" s="257">
        <v>60133504.950000003</v>
      </c>
      <c r="M352" s="257">
        <v>13082314.74</v>
      </c>
      <c r="N352" s="257">
        <v>13082314.74</v>
      </c>
    </row>
    <row r="353" spans="1:14" s="143" customFormat="1" x14ac:dyDescent="0.25">
      <c r="A353" s="143" t="s">
        <v>334</v>
      </c>
      <c r="B353" s="143" t="s">
        <v>176</v>
      </c>
      <c r="C353" s="143" t="s">
        <v>177</v>
      </c>
      <c r="D353" s="143" t="s">
        <v>69</v>
      </c>
      <c r="E353" s="257">
        <v>16000000</v>
      </c>
      <c r="F353" s="257">
        <v>16000000</v>
      </c>
      <c r="G353" s="257">
        <v>16000000</v>
      </c>
      <c r="H353" s="257">
        <v>0</v>
      </c>
      <c r="I353" s="257">
        <v>13870025</v>
      </c>
      <c r="J353" s="257">
        <v>0</v>
      </c>
      <c r="K353" s="257">
        <v>135141</v>
      </c>
      <c r="L353" s="257">
        <v>135141</v>
      </c>
      <c r="M353" s="257">
        <v>1994834</v>
      </c>
      <c r="N353" s="257">
        <v>1994834</v>
      </c>
    </row>
    <row r="354" spans="1:14" s="143" customFormat="1" x14ac:dyDescent="0.25">
      <c r="A354" s="143" t="s">
        <v>334</v>
      </c>
      <c r="B354" s="143" t="s">
        <v>348</v>
      </c>
      <c r="C354" s="143" t="s">
        <v>349</v>
      </c>
      <c r="D354" s="143" t="s">
        <v>69</v>
      </c>
      <c r="E354" s="257">
        <v>4000000</v>
      </c>
      <c r="F354" s="257">
        <v>2268515</v>
      </c>
      <c r="G354" s="257">
        <v>2268515</v>
      </c>
      <c r="H354" s="257">
        <v>0</v>
      </c>
      <c r="I354" s="257">
        <v>1643471.98</v>
      </c>
      <c r="J354" s="257">
        <v>0</v>
      </c>
      <c r="K354" s="257">
        <v>624543.59</v>
      </c>
      <c r="L354" s="257">
        <v>442297.59999999998</v>
      </c>
      <c r="M354" s="257">
        <v>499.43</v>
      </c>
      <c r="N354" s="257">
        <v>499.43</v>
      </c>
    </row>
    <row r="355" spans="1:14" s="143" customFormat="1" x14ac:dyDescent="0.25">
      <c r="A355" s="143" t="s">
        <v>334</v>
      </c>
      <c r="B355" s="143" t="s">
        <v>180</v>
      </c>
      <c r="C355" s="143" t="s">
        <v>181</v>
      </c>
      <c r="D355" s="143" t="s">
        <v>69</v>
      </c>
      <c r="E355" s="257">
        <v>3925000</v>
      </c>
      <c r="F355" s="257">
        <v>53925000</v>
      </c>
      <c r="G355" s="257">
        <v>53925000</v>
      </c>
      <c r="H355" s="257">
        <v>0</v>
      </c>
      <c r="I355" s="257">
        <v>676740.45</v>
      </c>
      <c r="J355" s="257">
        <v>0</v>
      </c>
      <c r="K355" s="257">
        <v>2360663.81</v>
      </c>
      <c r="L355" s="257">
        <v>2151433.75</v>
      </c>
      <c r="M355" s="257">
        <v>50887595.740000002</v>
      </c>
      <c r="N355" s="257">
        <v>50887595.740000002</v>
      </c>
    </row>
    <row r="356" spans="1:14" s="143" customFormat="1" x14ac:dyDescent="0.25">
      <c r="A356" s="143" t="s">
        <v>334</v>
      </c>
      <c r="B356" s="143" t="s">
        <v>182</v>
      </c>
      <c r="C356" s="143" t="s">
        <v>183</v>
      </c>
      <c r="D356" s="143" t="s">
        <v>69</v>
      </c>
      <c r="E356" s="257">
        <v>30000000</v>
      </c>
      <c r="F356" s="257">
        <v>30000000</v>
      </c>
      <c r="G356" s="257">
        <v>30000000</v>
      </c>
      <c r="H356" s="257">
        <v>0</v>
      </c>
      <c r="I356" s="257">
        <v>17334582</v>
      </c>
      <c r="J356" s="257">
        <v>0</v>
      </c>
      <c r="K356" s="257">
        <v>1410000</v>
      </c>
      <c r="L356" s="257">
        <v>1410000</v>
      </c>
      <c r="M356" s="257">
        <v>11255418</v>
      </c>
      <c r="N356" s="257">
        <v>11255418</v>
      </c>
    </row>
    <row r="357" spans="1:14" s="143" customFormat="1" x14ac:dyDescent="0.25">
      <c r="A357" s="143" t="s">
        <v>334</v>
      </c>
      <c r="B357" s="143" t="s">
        <v>188</v>
      </c>
      <c r="C357" s="143" t="s">
        <v>189</v>
      </c>
      <c r="D357" s="143" t="s">
        <v>69</v>
      </c>
      <c r="E357" s="257">
        <v>633445000</v>
      </c>
      <c r="F357" s="257">
        <v>623445000</v>
      </c>
      <c r="G357" s="257">
        <v>623445000</v>
      </c>
      <c r="H357" s="257">
        <v>0</v>
      </c>
      <c r="I357" s="257">
        <v>122287549.8</v>
      </c>
      <c r="J357" s="257">
        <v>0</v>
      </c>
      <c r="K357" s="257">
        <v>485443494.04000002</v>
      </c>
      <c r="L357" s="257">
        <v>463670926.31999999</v>
      </c>
      <c r="M357" s="257">
        <v>15713956.16</v>
      </c>
      <c r="N357" s="257">
        <v>15713956.16</v>
      </c>
    </row>
    <row r="358" spans="1:14" s="143" customFormat="1" x14ac:dyDescent="0.25">
      <c r="A358" s="143" t="s">
        <v>334</v>
      </c>
      <c r="B358" s="143" t="s">
        <v>190</v>
      </c>
      <c r="C358" s="143" t="s">
        <v>191</v>
      </c>
      <c r="D358" s="143" t="s">
        <v>69</v>
      </c>
      <c r="E358" s="257">
        <v>216657000</v>
      </c>
      <c r="F358" s="257">
        <v>204939180</v>
      </c>
      <c r="G358" s="257">
        <v>204939180</v>
      </c>
      <c r="H358" s="257">
        <v>1008000</v>
      </c>
      <c r="I358" s="257">
        <v>136468200</v>
      </c>
      <c r="J358" s="257">
        <v>0</v>
      </c>
      <c r="K358" s="257">
        <v>67203150</v>
      </c>
      <c r="L358" s="257">
        <v>66441050</v>
      </c>
      <c r="M358" s="257">
        <v>259830</v>
      </c>
      <c r="N358" s="257">
        <v>259830</v>
      </c>
    </row>
    <row r="359" spans="1:14" s="143" customFormat="1" x14ac:dyDescent="0.25">
      <c r="A359" s="143" t="s">
        <v>334</v>
      </c>
      <c r="B359" s="143" t="s">
        <v>350</v>
      </c>
      <c r="C359" s="143" t="s">
        <v>351</v>
      </c>
      <c r="D359" s="143" t="s">
        <v>69</v>
      </c>
      <c r="E359" s="257">
        <v>5824000</v>
      </c>
      <c r="F359" s="257">
        <v>5824000</v>
      </c>
      <c r="G359" s="257">
        <v>5824000</v>
      </c>
      <c r="H359" s="257">
        <v>0</v>
      </c>
      <c r="I359" s="257">
        <v>0</v>
      </c>
      <c r="J359" s="257">
        <v>0</v>
      </c>
      <c r="K359" s="257">
        <v>0</v>
      </c>
      <c r="L359" s="257">
        <v>0</v>
      </c>
      <c r="M359" s="257">
        <v>5824000</v>
      </c>
      <c r="N359" s="257">
        <v>5824000</v>
      </c>
    </row>
    <row r="360" spans="1:14" s="143" customFormat="1" x14ac:dyDescent="0.25">
      <c r="A360" s="143" t="s">
        <v>334</v>
      </c>
      <c r="B360" s="143" t="s">
        <v>192</v>
      </c>
      <c r="C360" s="143" t="s">
        <v>193</v>
      </c>
      <c r="D360" s="143" t="s">
        <v>69</v>
      </c>
      <c r="E360" s="257">
        <v>53735000</v>
      </c>
      <c r="F360" s="257">
        <v>45909400</v>
      </c>
      <c r="G360" s="257">
        <v>45909400</v>
      </c>
      <c r="H360" s="257">
        <v>0</v>
      </c>
      <c r="I360" s="257">
        <v>0</v>
      </c>
      <c r="J360" s="257">
        <v>127368</v>
      </c>
      <c r="K360" s="257">
        <v>45398751</v>
      </c>
      <c r="L360" s="257">
        <v>45160677</v>
      </c>
      <c r="M360" s="257">
        <v>383281</v>
      </c>
      <c r="N360" s="257">
        <v>383281</v>
      </c>
    </row>
    <row r="361" spans="1:14" s="143" customFormat="1" x14ac:dyDescent="0.25">
      <c r="A361" s="143" t="s">
        <v>334</v>
      </c>
      <c r="B361" s="143" t="s">
        <v>194</v>
      </c>
      <c r="C361" s="143" t="s">
        <v>195</v>
      </c>
      <c r="D361" s="143" t="s">
        <v>69</v>
      </c>
      <c r="E361" s="257">
        <v>7404000</v>
      </c>
      <c r="F361" s="257">
        <v>13041895</v>
      </c>
      <c r="G361" s="257">
        <v>13041895</v>
      </c>
      <c r="H361" s="257">
        <v>0</v>
      </c>
      <c r="I361" s="257">
        <v>2544500</v>
      </c>
      <c r="J361" s="257">
        <v>0</v>
      </c>
      <c r="K361" s="257">
        <v>8965240</v>
      </c>
      <c r="L361" s="257">
        <v>8048240</v>
      </c>
      <c r="M361" s="257">
        <v>1532155</v>
      </c>
      <c r="N361" s="257">
        <v>1532155</v>
      </c>
    </row>
    <row r="362" spans="1:14" s="143" customFormat="1" x14ac:dyDescent="0.25">
      <c r="A362" s="143" t="s">
        <v>334</v>
      </c>
      <c r="B362" s="143" t="s">
        <v>198</v>
      </c>
      <c r="C362" s="143" t="s">
        <v>199</v>
      </c>
      <c r="D362" s="143" t="s">
        <v>69</v>
      </c>
      <c r="E362" s="257">
        <v>10999103690</v>
      </c>
      <c r="F362" s="257">
        <v>10505884481.51</v>
      </c>
      <c r="G362" s="257">
        <v>10505884481.51</v>
      </c>
      <c r="H362" s="257">
        <v>0</v>
      </c>
      <c r="I362" s="257">
        <v>1975557873.1800001</v>
      </c>
      <c r="J362" s="257">
        <v>204724977.43000001</v>
      </c>
      <c r="K362" s="257">
        <v>8087046627.3400002</v>
      </c>
      <c r="L362" s="257">
        <v>7119444711.79</v>
      </c>
      <c r="M362" s="257">
        <v>238555003.56</v>
      </c>
      <c r="N362" s="257">
        <v>238555003.56</v>
      </c>
    </row>
    <row r="363" spans="1:14" s="143" customFormat="1" x14ac:dyDescent="0.25">
      <c r="A363" s="143" t="s">
        <v>334</v>
      </c>
      <c r="B363" s="143" t="s">
        <v>352</v>
      </c>
      <c r="C363" s="143" t="s">
        <v>353</v>
      </c>
      <c r="D363" s="143" t="s">
        <v>69</v>
      </c>
      <c r="E363" s="257">
        <v>12000000</v>
      </c>
      <c r="F363" s="257">
        <v>12000000</v>
      </c>
      <c r="G363" s="257">
        <v>12000000</v>
      </c>
      <c r="H363" s="257">
        <v>0</v>
      </c>
      <c r="I363" s="257">
        <v>5067820</v>
      </c>
      <c r="J363" s="257">
        <v>0</v>
      </c>
      <c r="K363" s="257">
        <v>6919155</v>
      </c>
      <c r="L363" s="257">
        <v>3987675</v>
      </c>
      <c r="M363" s="257">
        <v>13025</v>
      </c>
      <c r="N363" s="257">
        <v>13025</v>
      </c>
    </row>
    <row r="364" spans="1:14" s="143" customFormat="1" x14ac:dyDescent="0.25">
      <c r="A364" s="143" t="s">
        <v>334</v>
      </c>
      <c r="B364" s="143" t="s">
        <v>314</v>
      </c>
      <c r="C364" s="143" t="s">
        <v>315</v>
      </c>
      <c r="D364" s="143" t="s">
        <v>69</v>
      </c>
      <c r="E364" s="257">
        <v>433000000</v>
      </c>
      <c r="F364" s="257">
        <v>294279374</v>
      </c>
      <c r="G364" s="257">
        <v>294279374</v>
      </c>
      <c r="H364" s="257">
        <v>0</v>
      </c>
      <c r="I364" s="257">
        <v>93825270.480000004</v>
      </c>
      <c r="J364" s="257">
        <v>4993527.26</v>
      </c>
      <c r="K364" s="257">
        <v>159802548.78</v>
      </c>
      <c r="L364" s="257">
        <v>61031632.979999997</v>
      </c>
      <c r="M364" s="257">
        <v>35658027.479999997</v>
      </c>
      <c r="N364" s="257">
        <v>35658027.479999997</v>
      </c>
    </row>
    <row r="365" spans="1:14" s="143" customFormat="1" x14ac:dyDescent="0.25">
      <c r="A365" s="143" t="s">
        <v>334</v>
      </c>
      <c r="B365" s="143" t="s">
        <v>316</v>
      </c>
      <c r="C365" s="143" t="s">
        <v>317</v>
      </c>
      <c r="D365" s="143" t="s">
        <v>69</v>
      </c>
      <c r="E365" s="257">
        <v>69048000</v>
      </c>
      <c r="F365" s="257">
        <v>69048000</v>
      </c>
      <c r="G365" s="257">
        <v>69048000</v>
      </c>
      <c r="H365" s="257">
        <v>0</v>
      </c>
      <c r="I365" s="257">
        <v>34430810</v>
      </c>
      <c r="J365" s="257">
        <v>0</v>
      </c>
      <c r="K365" s="257">
        <v>34614699.920000002</v>
      </c>
      <c r="L365" s="257">
        <v>34381659.920000002</v>
      </c>
      <c r="M365" s="257">
        <v>2490.08</v>
      </c>
      <c r="N365" s="257">
        <v>2490.08</v>
      </c>
    </row>
    <row r="366" spans="1:14" s="143" customFormat="1" x14ac:dyDescent="0.25">
      <c r="A366" s="143" t="s">
        <v>334</v>
      </c>
      <c r="B366" s="143" t="s">
        <v>318</v>
      </c>
      <c r="C366" s="143" t="s">
        <v>319</v>
      </c>
      <c r="D366" s="143" t="s">
        <v>69</v>
      </c>
      <c r="E366" s="257">
        <v>116458000</v>
      </c>
      <c r="F366" s="257">
        <v>97606469</v>
      </c>
      <c r="G366" s="257">
        <v>97606469</v>
      </c>
      <c r="H366" s="257">
        <v>0</v>
      </c>
      <c r="I366" s="257">
        <v>62895678</v>
      </c>
      <c r="J366" s="257">
        <v>0</v>
      </c>
      <c r="K366" s="257">
        <v>34681337.5</v>
      </c>
      <c r="L366" s="257">
        <v>34681337.5</v>
      </c>
      <c r="M366" s="257">
        <v>29453.5</v>
      </c>
      <c r="N366" s="257">
        <v>29453.5</v>
      </c>
    </row>
    <row r="367" spans="1:14" s="143" customFormat="1" x14ac:dyDescent="0.25">
      <c r="A367" s="143" t="s">
        <v>334</v>
      </c>
      <c r="B367" s="143" t="s">
        <v>202</v>
      </c>
      <c r="C367" s="143" t="s">
        <v>203</v>
      </c>
      <c r="D367" s="143" t="s">
        <v>69</v>
      </c>
      <c r="E367" s="257">
        <v>330000000</v>
      </c>
      <c r="F367" s="257">
        <v>148640637</v>
      </c>
      <c r="G367" s="257">
        <v>148640637</v>
      </c>
      <c r="H367" s="257">
        <v>0</v>
      </c>
      <c r="I367" s="257">
        <v>15688876.67</v>
      </c>
      <c r="J367" s="257">
        <v>0</v>
      </c>
      <c r="K367" s="257">
        <v>33516563.27</v>
      </c>
      <c r="L367" s="257">
        <v>33516563.27</v>
      </c>
      <c r="M367" s="257">
        <v>99435197.060000002</v>
      </c>
      <c r="N367" s="257">
        <v>99435197.060000002</v>
      </c>
    </row>
    <row r="368" spans="1:14" s="143" customFormat="1" x14ac:dyDescent="0.25">
      <c r="A368" s="143" t="s">
        <v>334</v>
      </c>
      <c r="B368" s="143" t="s">
        <v>320</v>
      </c>
      <c r="C368" s="143" t="s">
        <v>321</v>
      </c>
      <c r="D368" s="143" t="s">
        <v>69</v>
      </c>
      <c r="E368" s="257">
        <v>7059000</v>
      </c>
      <c r="F368" s="257">
        <v>7059000</v>
      </c>
      <c r="G368" s="257">
        <v>7059000</v>
      </c>
      <c r="H368" s="257">
        <v>0</v>
      </c>
      <c r="I368" s="257">
        <v>0</v>
      </c>
      <c r="J368" s="257">
        <v>0</v>
      </c>
      <c r="K368" s="257">
        <v>7043000</v>
      </c>
      <c r="L368" s="257">
        <v>0</v>
      </c>
      <c r="M368" s="257">
        <v>16000</v>
      </c>
      <c r="N368" s="257">
        <v>16000</v>
      </c>
    </row>
    <row r="369" spans="1:14" s="143" customFormat="1" x14ac:dyDescent="0.25">
      <c r="A369" s="143" t="s">
        <v>334</v>
      </c>
      <c r="B369" s="143" t="s">
        <v>204</v>
      </c>
      <c r="C369" s="143" t="s">
        <v>205</v>
      </c>
      <c r="D369" s="143" t="s">
        <v>69</v>
      </c>
      <c r="E369" s="257">
        <v>151074000</v>
      </c>
      <c r="F369" s="257">
        <v>85190514</v>
      </c>
      <c r="G369" s="257">
        <v>85190514</v>
      </c>
      <c r="H369" s="257">
        <v>0</v>
      </c>
      <c r="I369" s="257">
        <v>24733578.75</v>
      </c>
      <c r="J369" s="257">
        <v>28114217.41</v>
      </c>
      <c r="K369" s="257">
        <v>12868819.199999999</v>
      </c>
      <c r="L369" s="257">
        <v>12868819.199999999</v>
      </c>
      <c r="M369" s="257">
        <v>19473898.640000001</v>
      </c>
      <c r="N369" s="257">
        <v>19473898.640000001</v>
      </c>
    </row>
    <row r="370" spans="1:14" s="143" customFormat="1" x14ac:dyDescent="0.25">
      <c r="A370" s="143" t="s">
        <v>334</v>
      </c>
      <c r="B370" s="143" t="s">
        <v>322</v>
      </c>
      <c r="C370" s="143" t="s">
        <v>323</v>
      </c>
      <c r="D370" s="143" t="s">
        <v>69</v>
      </c>
      <c r="E370" s="257">
        <v>35134000</v>
      </c>
      <c r="F370" s="257">
        <v>25564660</v>
      </c>
      <c r="G370" s="257">
        <v>25564660</v>
      </c>
      <c r="H370" s="257">
        <v>0</v>
      </c>
      <c r="I370" s="257">
        <v>11575086</v>
      </c>
      <c r="J370" s="257">
        <v>4096810</v>
      </c>
      <c r="K370" s="257">
        <v>6921160</v>
      </c>
      <c r="L370" s="257">
        <v>5346000</v>
      </c>
      <c r="M370" s="257">
        <v>2971604</v>
      </c>
      <c r="N370" s="257">
        <v>2971604</v>
      </c>
    </row>
    <row r="371" spans="1:14" s="143" customFormat="1" x14ac:dyDescent="0.25">
      <c r="A371" s="143" t="s">
        <v>334</v>
      </c>
      <c r="B371" s="143" t="s">
        <v>208</v>
      </c>
      <c r="C371" s="143" t="s">
        <v>209</v>
      </c>
      <c r="D371" s="143" t="s">
        <v>69</v>
      </c>
      <c r="E371" s="257">
        <v>74595000</v>
      </c>
      <c r="F371" s="257">
        <v>48605013</v>
      </c>
      <c r="G371" s="257">
        <v>48605013</v>
      </c>
      <c r="H371" s="257">
        <v>0</v>
      </c>
      <c r="I371" s="257">
        <v>28697891.129999999</v>
      </c>
      <c r="J371" s="257">
        <v>639687.47</v>
      </c>
      <c r="K371" s="257">
        <v>10722161.800000001</v>
      </c>
      <c r="L371" s="257">
        <v>9822161.8000000007</v>
      </c>
      <c r="M371" s="257">
        <v>8545272.5999999996</v>
      </c>
      <c r="N371" s="257">
        <v>8545272.5999999996</v>
      </c>
    </row>
    <row r="372" spans="1:14" s="143" customFormat="1" x14ac:dyDescent="0.25">
      <c r="A372" s="143" t="s">
        <v>334</v>
      </c>
      <c r="B372" s="143" t="s">
        <v>210</v>
      </c>
      <c r="C372" s="143" t="s">
        <v>211</v>
      </c>
      <c r="D372" s="143" t="s">
        <v>69</v>
      </c>
      <c r="E372" s="257">
        <v>214449000</v>
      </c>
      <c r="F372" s="257">
        <v>192615501</v>
      </c>
      <c r="G372" s="257">
        <v>192615501</v>
      </c>
      <c r="H372" s="257">
        <v>0</v>
      </c>
      <c r="I372" s="257">
        <v>19520175.780000001</v>
      </c>
      <c r="J372" s="257">
        <v>4286525.13</v>
      </c>
      <c r="K372" s="257">
        <v>63474265.100000001</v>
      </c>
      <c r="L372" s="257">
        <v>47652720.030000001</v>
      </c>
      <c r="M372" s="257">
        <v>105334534.98999999</v>
      </c>
      <c r="N372" s="257">
        <v>105334534.98999999</v>
      </c>
    </row>
    <row r="373" spans="1:14" s="143" customFormat="1" x14ac:dyDescent="0.25">
      <c r="A373" s="143" t="s">
        <v>334</v>
      </c>
      <c r="B373" s="143" t="s">
        <v>214</v>
      </c>
      <c r="C373" s="143" t="s">
        <v>215</v>
      </c>
      <c r="D373" s="143" t="s">
        <v>69</v>
      </c>
      <c r="E373" s="257">
        <v>39631000</v>
      </c>
      <c r="F373" s="257">
        <v>11406366</v>
      </c>
      <c r="G373" s="257">
        <v>11406366</v>
      </c>
      <c r="H373" s="257">
        <v>473021.5</v>
      </c>
      <c r="I373" s="257">
        <v>0</v>
      </c>
      <c r="J373" s="257">
        <v>1193654</v>
      </c>
      <c r="K373" s="257">
        <v>3224278.06</v>
      </c>
      <c r="L373" s="257">
        <v>2733631.26</v>
      </c>
      <c r="M373" s="257">
        <v>6515412.4400000004</v>
      </c>
      <c r="N373" s="257">
        <v>6515412.4400000004</v>
      </c>
    </row>
    <row r="374" spans="1:14" s="143" customFormat="1" x14ac:dyDescent="0.25">
      <c r="A374" s="143" t="s">
        <v>334</v>
      </c>
      <c r="B374" s="143" t="s">
        <v>216</v>
      </c>
      <c r="C374" s="143" t="s">
        <v>217</v>
      </c>
      <c r="D374" s="143" t="s">
        <v>69</v>
      </c>
      <c r="E374" s="257">
        <v>24278000</v>
      </c>
      <c r="F374" s="257">
        <v>23924268</v>
      </c>
      <c r="G374" s="257">
        <v>23924268</v>
      </c>
      <c r="H374" s="257">
        <v>8354367.1600000001</v>
      </c>
      <c r="I374" s="257">
        <v>1343020</v>
      </c>
      <c r="J374" s="257">
        <v>1282500</v>
      </c>
      <c r="K374" s="257">
        <v>10866943.52</v>
      </c>
      <c r="L374" s="257">
        <v>10866943.52</v>
      </c>
      <c r="M374" s="257">
        <v>2077437.32</v>
      </c>
      <c r="N374" s="257">
        <v>2077437.32</v>
      </c>
    </row>
    <row r="375" spans="1:14" s="143" customFormat="1" x14ac:dyDescent="0.25">
      <c r="A375" s="143" t="s">
        <v>334</v>
      </c>
      <c r="B375" s="143" t="s">
        <v>218</v>
      </c>
      <c r="C375" s="143" t="s">
        <v>219</v>
      </c>
      <c r="D375" s="143" t="s">
        <v>69</v>
      </c>
      <c r="E375" s="257">
        <v>259995000</v>
      </c>
      <c r="F375" s="257">
        <v>221306747</v>
      </c>
      <c r="G375" s="257">
        <v>221306747</v>
      </c>
      <c r="H375" s="257">
        <v>1165188.2</v>
      </c>
      <c r="I375" s="257">
        <v>47614805.880000003</v>
      </c>
      <c r="J375" s="257">
        <v>2602200</v>
      </c>
      <c r="K375" s="257">
        <v>90077673.920000002</v>
      </c>
      <c r="L375" s="257">
        <v>55514873.920000002</v>
      </c>
      <c r="M375" s="257">
        <v>79846879</v>
      </c>
      <c r="N375" s="257">
        <v>79846879</v>
      </c>
    </row>
    <row r="376" spans="1:14" s="143" customFormat="1" x14ac:dyDescent="0.25">
      <c r="A376" s="143" t="s">
        <v>334</v>
      </c>
      <c r="B376" s="143" t="s">
        <v>220</v>
      </c>
      <c r="C376" s="143" t="s">
        <v>221</v>
      </c>
      <c r="D376" s="143" t="s">
        <v>69</v>
      </c>
      <c r="E376" s="257">
        <v>1200000000</v>
      </c>
      <c r="F376" s="257">
        <v>1198984641</v>
      </c>
      <c r="G376" s="257">
        <v>1198984641</v>
      </c>
      <c r="H376" s="257">
        <v>34817000</v>
      </c>
      <c r="I376" s="257">
        <v>902157553</v>
      </c>
      <c r="J376" s="257">
        <v>27139772</v>
      </c>
      <c r="K376" s="257">
        <v>189208123.88999999</v>
      </c>
      <c r="L376" s="257">
        <v>170581728.19999999</v>
      </c>
      <c r="M376" s="257">
        <v>45662192.109999999</v>
      </c>
      <c r="N376" s="257">
        <v>45662192.109999999</v>
      </c>
    </row>
    <row r="377" spans="1:14" s="143" customFormat="1" x14ac:dyDescent="0.25">
      <c r="A377" s="143" t="s">
        <v>334</v>
      </c>
      <c r="B377" s="143" t="s">
        <v>222</v>
      </c>
      <c r="C377" s="143" t="s">
        <v>223</v>
      </c>
      <c r="D377" s="143" t="s">
        <v>69</v>
      </c>
      <c r="E377" s="257">
        <v>381516000</v>
      </c>
      <c r="F377" s="257">
        <v>329376981</v>
      </c>
      <c r="G377" s="257">
        <v>329376981</v>
      </c>
      <c r="H377" s="257">
        <v>0</v>
      </c>
      <c r="I377" s="257">
        <v>54355363.100000001</v>
      </c>
      <c r="J377" s="257">
        <v>27325126.600000001</v>
      </c>
      <c r="K377" s="257">
        <v>230135730.53999999</v>
      </c>
      <c r="L377" s="257">
        <v>204566900.53999999</v>
      </c>
      <c r="M377" s="257">
        <v>17560760.760000002</v>
      </c>
      <c r="N377" s="257">
        <v>17560760.760000002</v>
      </c>
    </row>
    <row r="378" spans="1:14" s="143" customFormat="1" x14ac:dyDescent="0.25">
      <c r="A378" s="143" t="s">
        <v>334</v>
      </c>
      <c r="B378" s="143" t="s">
        <v>224</v>
      </c>
      <c r="C378" s="143" t="s">
        <v>225</v>
      </c>
      <c r="D378" s="143" t="s">
        <v>69</v>
      </c>
      <c r="E378" s="257">
        <v>800000000</v>
      </c>
      <c r="F378" s="257">
        <v>784512967</v>
      </c>
      <c r="G378" s="257">
        <v>784512967</v>
      </c>
      <c r="H378" s="257">
        <v>1636250</v>
      </c>
      <c r="I378" s="257">
        <v>10412519.140000001</v>
      </c>
      <c r="J378" s="257">
        <v>0</v>
      </c>
      <c r="K378" s="257">
        <v>767623820.99000001</v>
      </c>
      <c r="L378" s="257">
        <v>767623820.99000001</v>
      </c>
      <c r="M378" s="257">
        <v>4840376.87</v>
      </c>
      <c r="N378" s="257">
        <v>4840376.87</v>
      </c>
    </row>
    <row r="379" spans="1:14" s="143" customFormat="1" x14ac:dyDescent="0.25">
      <c r="A379" s="143" t="s">
        <v>334</v>
      </c>
      <c r="B379" s="143" t="s">
        <v>226</v>
      </c>
      <c r="C379" s="143" t="s">
        <v>227</v>
      </c>
      <c r="D379" s="143" t="s">
        <v>69</v>
      </c>
      <c r="E379" s="257">
        <v>112559000</v>
      </c>
      <c r="F379" s="257">
        <v>112559000</v>
      </c>
      <c r="G379" s="257">
        <v>112559000</v>
      </c>
      <c r="H379" s="257">
        <v>6172500</v>
      </c>
      <c r="I379" s="257">
        <v>51901097.810000002</v>
      </c>
      <c r="J379" s="257">
        <v>0</v>
      </c>
      <c r="K379" s="257">
        <v>45128284.840000004</v>
      </c>
      <c r="L379" s="257">
        <v>35007679.25</v>
      </c>
      <c r="M379" s="257">
        <v>9357117.3499999996</v>
      </c>
      <c r="N379" s="257">
        <v>9357117.3499999996</v>
      </c>
    </row>
    <row r="380" spans="1:14" s="143" customFormat="1" x14ac:dyDescent="0.25">
      <c r="A380" s="143" t="s">
        <v>334</v>
      </c>
      <c r="B380" s="143" t="s">
        <v>228</v>
      </c>
      <c r="C380" s="143" t="s">
        <v>229</v>
      </c>
      <c r="D380" s="143" t="s">
        <v>69</v>
      </c>
      <c r="E380" s="257">
        <v>228884000</v>
      </c>
      <c r="F380" s="257">
        <v>228789687</v>
      </c>
      <c r="G380" s="257">
        <v>228789687</v>
      </c>
      <c r="H380" s="257">
        <v>0</v>
      </c>
      <c r="I380" s="257">
        <v>69430751.659999996</v>
      </c>
      <c r="J380" s="257">
        <v>0</v>
      </c>
      <c r="K380" s="257">
        <v>115981320.90000001</v>
      </c>
      <c r="L380" s="257">
        <v>81540904.049999997</v>
      </c>
      <c r="M380" s="257">
        <v>43377614.439999998</v>
      </c>
      <c r="N380" s="257">
        <v>43377614.439999998</v>
      </c>
    </row>
    <row r="381" spans="1:14" s="143" customFormat="1" x14ac:dyDescent="0.25">
      <c r="A381" s="143" t="s">
        <v>334</v>
      </c>
      <c r="B381" s="143" t="s">
        <v>324</v>
      </c>
      <c r="C381" s="143" t="s">
        <v>325</v>
      </c>
      <c r="D381" s="143" t="s">
        <v>69</v>
      </c>
      <c r="E381" s="257">
        <v>0</v>
      </c>
      <c r="F381" s="257">
        <v>2815000</v>
      </c>
      <c r="G381" s="257">
        <v>2815000</v>
      </c>
      <c r="H381" s="257">
        <v>0</v>
      </c>
      <c r="I381" s="257">
        <v>0</v>
      </c>
      <c r="J381" s="257">
        <v>0</v>
      </c>
      <c r="K381" s="257">
        <v>0</v>
      </c>
      <c r="L381" s="257">
        <v>0</v>
      </c>
      <c r="M381" s="257">
        <v>2815000</v>
      </c>
      <c r="N381" s="257">
        <v>2815000</v>
      </c>
    </row>
    <row r="382" spans="1:14" s="143" customFormat="1" x14ac:dyDescent="0.25">
      <c r="A382" s="143" t="s">
        <v>334</v>
      </c>
      <c r="B382" s="143" t="s">
        <v>236</v>
      </c>
      <c r="C382" s="143" t="s">
        <v>237</v>
      </c>
      <c r="D382" s="143" t="s">
        <v>69</v>
      </c>
      <c r="E382" s="257">
        <v>0</v>
      </c>
      <c r="F382" s="257">
        <v>79288653</v>
      </c>
      <c r="G382" s="257">
        <v>79288653</v>
      </c>
      <c r="H382" s="257">
        <v>0</v>
      </c>
      <c r="I382" s="257">
        <v>71264447.879999995</v>
      </c>
      <c r="J382" s="257">
        <v>0</v>
      </c>
      <c r="K382" s="257">
        <v>0</v>
      </c>
      <c r="L382" s="257">
        <v>0</v>
      </c>
      <c r="M382" s="257">
        <v>8024205.1200000001</v>
      </c>
      <c r="N382" s="257">
        <v>8024205.1200000001</v>
      </c>
    </row>
    <row r="383" spans="1:14" s="143" customFormat="1" x14ac:dyDescent="0.25">
      <c r="A383" s="143" t="s">
        <v>334</v>
      </c>
      <c r="B383" s="143" t="s">
        <v>238</v>
      </c>
      <c r="C383" s="143" t="s">
        <v>239</v>
      </c>
      <c r="D383" s="143" t="s">
        <v>69</v>
      </c>
      <c r="E383" s="257">
        <v>0</v>
      </c>
      <c r="F383" s="257">
        <v>21473410</v>
      </c>
      <c r="G383" s="257">
        <v>21473410</v>
      </c>
      <c r="H383" s="257">
        <v>0</v>
      </c>
      <c r="I383" s="257">
        <v>21465774</v>
      </c>
      <c r="J383" s="257">
        <v>0</v>
      </c>
      <c r="K383" s="257">
        <v>0</v>
      </c>
      <c r="L383" s="257">
        <v>0</v>
      </c>
      <c r="M383" s="257">
        <v>7636</v>
      </c>
      <c r="N383" s="257">
        <v>7636</v>
      </c>
    </row>
    <row r="384" spans="1:14" s="143" customFormat="1" x14ac:dyDescent="0.25">
      <c r="A384" s="143" t="s">
        <v>334</v>
      </c>
      <c r="B384" s="143" t="s">
        <v>234</v>
      </c>
      <c r="C384" s="143" t="s">
        <v>235</v>
      </c>
      <c r="D384" s="143" t="s">
        <v>85</v>
      </c>
      <c r="E384" s="257">
        <v>70000000</v>
      </c>
      <c r="F384" s="257">
        <v>59380528</v>
      </c>
      <c r="G384" s="257">
        <v>59380528</v>
      </c>
      <c r="H384" s="257">
        <v>0</v>
      </c>
      <c r="I384" s="257">
        <v>4700000</v>
      </c>
      <c r="J384" s="257">
        <v>5999900</v>
      </c>
      <c r="K384" s="257">
        <v>44529845.359999999</v>
      </c>
      <c r="L384" s="257">
        <v>42976970.159999996</v>
      </c>
      <c r="M384" s="257">
        <v>4150782.64</v>
      </c>
      <c r="N384" s="257">
        <v>4150782.64</v>
      </c>
    </row>
    <row r="385" spans="1:14" s="143" customFormat="1" x14ac:dyDescent="0.25">
      <c r="A385" s="143" t="s">
        <v>334</v>
      </c>
      <c r="B385" s="143" t="s">
        <v>324</v>
      </c>
      <c r="C385" s="143" t="s">
        <v>325</v>
      </c>
      <c r="D385" s="143" t="s">
        <v>85</v>
      </c>
      <c r="E385" s="257">
        <v>100000000</v>
      </c>
      <c r="F385" s="257">
        <v>155300000</v>
      </c>
      <c r="G385" s="257">
        <v>155300000</v>
      </c>
      <c r="H385" s="257">
        <v>53906434</v>
      </c>
      <c r="I385" s="257">
        <v>0</v>
      </c>
      <c r="J385" s="257">
        <v>1400000</v>
      </c>
      <c r="K385" s="257">
        <v>97250000</v>
      </c>
      <c r="L385" s="257">
        <v>97250000</v>
      </c>
      <c r="M385" s="257">
        <v>2743566</v>
      </c>
      <c r="N385" s="257">
        <v>2743566</v>
      </c>
    </row>
    <row r="386" spans="1:14" s="143" customFormat="1" x14ac:dyDescent="0.25">
      <c r="A386" s="143" t="s">
        <v>334</v>
      </c>
      <c r="B386" s="143" t="s">
        <v>236</v>
      </c>
      <c r="C386" s="143" t="s">
        <v>237</v>
      </c>
      <c r="D386" s="143" t="s">
        <v>85</v>
      </c>
      <c r="E386" s="257">
        <v>200000000</v>
      </c>
      <c r="F386" s="257">
        <v>213856672</v>
      </c>
      <c r="G386" s="257">
        <v>213856672</v>
      </c>
      <c r="H386" s="257">
        <v>0</v>
      </c>
      <c r="I386" s="257">
        <v>175032343</v>
      </c>
      <c r="J386" s="257">
        <v>0</v>
      </c>
      <c r="K386" s="257">
        <v>33274975</v>
      </c>
      <c r="L386" s="257">
        <v>33274975</v>
      </c>
      <c r="M386" s="257">
        <v>5549354</v>
      </c>
      <c r="N386" s="257">
        <v>5549354</v>
      </c>
    </row>
    <row r="387" spans="1:14" s="143" customFormat="1" x14ac:dyDescent="0.25">
      <c r="A387" s="143" t="s">
        <v>334</v>
      </c>
      <c r="B387" s="143" t="s">
        <v>238</v>
      </c>
      <c r="C387" s="143" t="s">
        <v>239</v>
      </c>
      <c r="D387" s="143" t="s">
        <v>85</v>
      </c>
      <c r="E387" s="257">
        <v>90000000</v>
      </c>
      <c r="F387" s="257">
        <v>90000000</v>
      </c>
      <c r="G387" s="257">
        <v>90000000</v>
      </c>
      <c r="H387" s="257">
        <v>0</v>
      </c>
      <c r="I387" s="257">
        <v>7525190</v>
      </c>
      <c r="J387" s="257">
        <v>0</v>
      </c>
      <c r="K387" s="257">
        <v>58123838.5</v>
      </c>
      <c r="L387" s="257">
        <v>58123838.5</v>
      </c>
      <c r="M387" s="257">
        <v>24350971.5</v>
      </c>
      <c r="N387" s="257">
        <v>24350971.5</v>
      </c>
    </row>
    <row r="388" spans="1:14" s="143" customFormat="1" x14ac:dyDescent="0.25">
      <c r="A388" s="143" t="s">
        <v>334</v>
      </c>
      <c r="B388" s="143" t="s">
        <v>282</v>
      </c>
      <c r="C388" s="143" t="s">
        <v>283</v>
      </c>
      <c r="D388" s="143" t="s">
        <v>85</v>
      </c>
      <c r="E388" s="257">
        <v>86000000</v>
      </c>
      <c r="F388" s="257">
        <v>73460400</v>
      </c>
      <c r="G388" s="257">
        <v>73460400</v>
      </c>
      <c r="H388" s="257">
        <v>0</v>
      </c>
      <c r="I388" s="257">
        <v>36018531.670000002</v>
      </c>
      <c r="J388" s="257">
        <v>0</v>
      </c>
      <c r="K388" s="257">
        <v>34646648.640000001</v>
      </c>
      <c r="L388" s="257">
        <v>34646648.640000001</v>
      </c>
      <c r="M388" s="257">
        <v>2795219.69</v>
      </c>
      <c r="N388" s="257">
        <v>2795219.69</v>
      </c>
    </row>
    <row r="389" spans="1:14" s="143" customFormat="1" x14ac:dyDescent="0.25">
      <c r="A389" s="143" t="s">
        <v>334</v>
      </c>
      <c r="B389" s="143" t="s">
        <v>326</v>
      </c>
      <c r="C389" s="143" t="s">
        <v>327</v>
      </c>
      <c r="D389" s="143" t="s">
        <v>85</v>
      </c>
      <c r="E389" s="257">
        <v>57905000</v>
      </c>
      <c r="F389" s="257">
        <v>57905000</v>
      </c>
      <c r="G389" s="257">
        <v>57905000</v>
      </c>
      <c r="H389" s="257">
        <v>0</v>
      </c>
      <c r="I389" s="257">
        <v>37150878.270000003</v>
      </c>
      <c r="J389" s="257">
        <v>4097059.74</v>
      </c>
      <c r="K389" s="257">
        <v>16424327.51</v>
      </c>
      <c r="L389" s="257">
        <v>16424327.51</v>
      </c>
      <c r="M389" s="257">
        <v>232734.48</v>
      </c>
      <c r="N389" s="257">
        <v>232734.48</v>
      </c>
    </row>
    <row r="390" spans="1:14" s="143" customFormat="1" x14ac:dyDescent="0.25">
      <c r="A390" s="143" t="s">
        <v>334</v>
      </c>
      <c r="B390" s="143" t="s">
        <v>240</v>
      </c>
      <c r="C390" s="143" t="s">
        <v>241</v>
      </c>
      <c r="D390" s="143" t="s">
        <v>85</v>
      </c>
      <c r="E390" s="257">
        <v>7780000</v>
      </c>
      <c r="F390" s="257">
        <v>7780000</v>
      </c>
      <c r="G390" s="257">
        <v>7780000</v>
      </c>
      <c r="H390" s="257">
        <v>0</v>
      </c>
      <c r="I390" s="257">
        <v>7065620</v>
      </c>
      <c r="J390" s="257">
        <v>0</v>
      </c>
      <c r="K390" s="257">
        <v>0</v>
      </c>
      <c r="L390" s="257">
        <v>0</v>
      </c>
      <c r="M390" s="257">
        <v>714380</v>
      </c>
      <c r="N390" s="257">
        <v>714380</v>
      </c>
    </row>
    <row r="391" spans="1:14" s="143" customFormat="1" x14ac:dyDescent="0.25">
      <c r="A391" s="143" t="s">
        <v>334</v>
      </c>
      <c r="B391" s="143" t="s">
        <v>242</v>
      </c>
      <c r="C391" s="143" t="s">
        <v>243</v>
      </c>
      <c r="D391" s="143" t="s">
        <v>85</v>
      </c>
      <c r="E391" s="257">
        <v>731798000</v>
      </c>
      <c r="F391" s="257">
        <v>681798000</v>
      </c>
      <c r="G391" s="257">
        <v>681798000</v>
      </c>
      <c r="H391" s="257">
        <v>0</v>
      </c>
      <c r="I391" s="257">
        <v>143872918.02000001</v>
      </c>
      <c r="J391" s="257">
        <v>171100000</v>
      </c>
      <c r="K391" s="257">
        <v>330794736.20999998</v>
      </c>
      <c r="L391" s="257">
        <v>327516936.20999998</v>
      </c>
      <c r="M391" s="257">
        <v>36030345.770000003</v>
      </c>
      <c r="N391" s="257">
        <v>36030345.770000003</v>
      </c>
    </row>
    <row r="392" spans="1:14" s="143" customFormat="1" x14ac:dyDescent="0.25">
      <c r="A392" s="143" t="s">
        <v>334</v>
      </c>
      <c r="B392" s="143" t="s">
        <v>330</v>
      </c>
      <c r="C392" s="143" t="s">
        <v>331</v>
      </c>
      <c r="D392" s="143" t="s">
        <v>85</v>
      </c>
      <c r="E392" s="257">
        <v>1743750000</v>
      </c>
      <c r="F392" s="257">
        <v>1719669800</v>
      </c>
      <c r="G392" s="257">
        <v>1719669800</v>
      </c>
      <c r="H392" s="257">
        <v>0</v>
      </c>
      <c r="I392" s="257">
        <v>732934069.07000005</v>
      </c>
      <c r="J392" s="257">
        <v>0</v>
      </c>
      <c r="K392" s="257">
        <v>868239083.88</v>
      </c>
      <c r="L392" s="257">
        <v>832439207.30999994</v>
      </c>
      <c r="M392" s="257">
        <v>118496647.05</v>
      </c>
      <c r="N392" s="257">
        <v>118496647.05</v>
      </c>
    </row>
    <row r="393" spans="1:14" s="143" customFormat="1" x14ac:dyDescent="0.25">
      <c r="A393" s="143" t="s">
        <v>334</v>
      </c>
      <c r="B393" s="143" t="s">
        <v>358</v>
      </c>
      <c r="C393" s="143" t="s">
        <v>359</v>
      </c>
      <c r="D393" s="143" t="s">
        <v>85</v>
      </c>
      <c r="E393" s="257">
        <v>350088000</v>
      </c>
      <c r="F393" s="257">
        <v>8761999</v>
      </c>
      <c r="G393" s="257">
        <v>8761999</v>
      </c>
      <c r="H393" s="257">
        <v>0</v>
      </c>
      <c r="I393" s="257">
        <v>1347999</v>
      </c>
      <c r="J393" s="257">
        <v>674000</v>
      </c>
      <c r="K393" s="257">
        <v>6739999.96</v>
      </c>
      <c r="L393" s="257">
        <v>6065999.96</v>
      </c>
      <c r="M393" s="257">
        <v>0.04</v>
      </c>
      <c r="N393" s="257">
        <v>0.04</v>
      </c>
    </row>
    <row r="394" spans="1:14" s="143" customFormat="1" x14ac:dyDescent="0.25">
      <c r="A394" s="143" t="s">
        <v>334</v>
      </c>
      <c r="B394" s="143" t="s">
        <v>246</v>
      </c>
      <c r="C394" s="143" t="s">
        <v>247</v>
      </c>
      <c r="D394" s="143" t="s">
        <v>85</v>
      </c>
      <c r="E394" s="257">
        <v>339500000</v>
      </c>
      <c r="F394" s="257">
        <v>332588982</v>
      </c>
      <c r="G394" s="257">
        <v>332588982</v>
      </c>
      <c r="H394" s="257">
        <v>579763.80000000005</v>
      </c>
      <c r="I394" s="257">
        <v>223422354.53999999</v>
      </c>
      <c r="J394" s="257">
        <v>37617852.479999997</v>
      </c>
      <c r="K394" s="257">
        <v>20525942.280000001</v>
      </c>
      <c r="L394" s="257">
        <v>20525942.280000001</v>
      </c>
      <c r="M394" s="257">
        <v>50443068.899999999</v>
      </c>
      <c r="N394" s="257">
        <v>50443068.899999999</v>
      </c>
    </row>
    <row r="395" spans="1:14" s="143" customFormat="1" x14ac:dyDescent="0.25">
      <c r="A395" s="143" t="s">
        <v>334</v>
      </c>
      <c r="B395" s="143" t="s">
        <v>360</v>
      </c>
      <c r="C395" s="143" t="s">
        <v>361</v>
      </c>
      <c r="D395" s="143" t="s">
        <v>69</v>
      </c>
      <c r="E395" s="257">
        <v>179500000</v>
      </c>
      <c r="F395" s="257">
        <v>179500000</v>
      </c>
      <c r="G395" s="257">
        <v>179500000</v>
      </c>
      <c r="H395" s="257">
        <v>0</v>
      </c>
      <c r="I395" s="257">
        <v>0</v>
      </c>
      <c r="J395" s="257">
        <v>0</v>
      </c>
      <c r="K395" s="257">
        <v>131960000</v>
      </c>
      <c r="L395" s="257">
        <v>131960000</v>
      </c>
      <c r="M395" s="257">
        <v>47540000</v>
      </c>
      <c r="N395" s="257">
        <v>47540000</v>
      </c>
    </row>
    <row r="396" spans="1:14" s="143" customFormat="1" x14ac:dyDescent="0.25">
      <c r="A396" s="143" t="s">
        <v>334</v>
      </c>
      <c r="B396" s="143" t="s">
        <v>362</v>
      </c>
      <c r="C396" s="143" t="s">
        <v>832</v>
      </c>
      <c r="D396" s="143" t="s">
        <v>69</v>
      </c>
      <c r="E396" s="257">
        <v>315187000</v>
      </c>
      <c r="F396" s="257">
        <v>315187000</v>
      </c>
      <c r="G396" s="257">
        <v>315187000</v>
      </c>
      <c r="H396" s="257">
        <v>0</v>
      </c>
      <c r="I396" s="257">
        <v>1.5</v>
      </c>
      <c r="J396" s="257">
        <v>0</v>
      </c>
      <c r="K396" s="257">
        <v>315186998.5</v>
      </c>
      <c r="L396" s="257">
        <v>315186998.5</v>
      </c>
      <c r="M396" s="257">
        <v>0</v>
      </c>
      <c r="N396" s="257">
        <v>0</v>
      </c>
    </row>
    <row r="397" spans="1:14" s="143" customFormat="1" x14ac:dyDescent="0.25">
      <c r="A397" s="143" t="s">
        <v>334</v>
      </c>
      <c r="B397" s="143" t="s">
        <v>363</v>
      </c>
      <c r="C397" s="143" t="s">
        <v>833</v>
      </c>
      <c r="D397" s="143" t="s">
        <v>69</v>
      </c>
      <c r="E397" s="257">
        <v>135857000</v>
      </c>
      <c r="F397" s="257">
        <v>131097456</v>
      </c>
      <c r="G397" s="257">
        <v>131097456</v>
      </c>
      <c r="H397" s="257">
        <v>0</v>
      </c>
      <c r="I397" s="257">
        <v>17220196</v>
      </c>
      <c r="J397" s="257">
        <v>0</v>
      </c>
      <c r="K397" s="257">
        <v>113877260</v>
      </c>
      <c r="L397" s="257">
        <v>113877260</v>
      </c>
      <c r="M397" s="257">
        <v>0</v>
      </c>
      <c r="N397" s="257">
        <v>0</v>
      </c>
    </row>
    <row r="398" spans="1:14" s="143" customFormat="1" x14ac:dyDescent="0.25">
      <c r="A398" s="143" t="s">
        <v>334</v>
      </c>
      <c r="B398" s="143" t="s">
        <v>368</v>
      </c>
      <c r="C398" s="143" t="s">
        <v>369</v>
      </c>
      <c r="D398" s="143" t="s">
        <v>69</v>
      </c>
      <c r="E398" s="257">
        <v>450000000</v>
      </c>
      <c r="F398" s="257">
        <v>450000000</v>
      </c>
      <c r="G398" s="257">
        <v>450000000</v>
      </c>
      <c r="H398" s="257">
        <v>0</v>
      </c>
      <c r="I398" s="257">
        <v>72500000</v>
      </c>
      <c r="J398" s="257">
        <v>0</v>
      </c>
      <c r="K398" s="257">
        <v>377500000</v>
      </c>
      <c r="L398" s="257">
        <v>337500000</v>
      </c>
      <c r="M398" s="257">
        <v>0</v>
      </c>
      <c r="N398" s="257">
        <v>0</v>
      </c>
    </row>
    <row r="399" spans="1:14" s="143" customFormat="1" x14ac:dyDescent="0.25">
      <c r="A399" s="143" t="s">
        <v>334</v>
      </c>
      <c r="B399" s="143" t="s">
        <v>262</v>
      </c>
      <c r="C399" s="143" t="s">
        <v>263</v>
      </c>
      <c r="D399" s="143" t="s">
        <v>69</v>
      </c>
      <c r="E399" s="257">
        <v>350000000</v>
      </c>
      <c r="F399" s="257">
        <v>1060703414</v>
      </c>
      <c r="G399" s="257">
        <v>1060703414</v>
      </c>
      <c r="H399" s="257">
        <v>0</v>
      </c>
      <c r="I399" s="257">
        <v>104564411.01000001</v>
      </c>
      <c r="J399" s="257">
        <v>0</v>
      </c>
      <c r="K399" s="257">
        <v>956139002.99000001</v>
      </c>
      <c r="L399" s="257">
        <v>950968266.54999995</v>
      </c>
      <c r="M399" s="257">
        <v>0</v>
      </c>
      <c r="N399" s="257">
        <v>0</v>
      </c>
    </row>
    <row r="400" spans="1:14" s="143" customFormat="1" x14ac:dyDescent="0.25">
      <c r="A400" s="143" t="s">
        <v>334</v>
      </c>
      <c r="B400" s="143" t="s">
        <v>264</v>
      </c>
      <c r="C400" s="143" t="s">
        <v>265</v>
      </c>
      <c r="D400" s="143" t="s">
        <v>69</v>
      </c>
      <c r="E400" s="257">
        <v>347525000</v>
      </c>
      <c r="F400" s="257">
        <v>347525000</v>
      </c>
      <c r="G400" s="257">
        <v>347525000</v>
      </c>
      <c r="H400" s="257">
        <v>0</v>
      </c>
      <c r="I400" s="257">
        <v>0</v>
      </c>
      <c r="J400" s="257">
        <v>0</v>
      </c>
      <c r="K400" s="257">
        <v>319776261.13999999</v>
      </c>
      <c r="L400" s="257">
        <v>319776261.13999999</v>
      </c>
      <c r="M400" s="257">
        <v>27748738.859999999</v>
      </c>
      <c r="N400" s="257">
        <v>27748738.859999999</v>
      </c>
    </row>
    <row r="401" spans="1:14" s="143" customFormat="1" x14ac:dyDescent="0.25">
      <c r="A401" s="143" t="s">
        <v>334</v>
      </c>
      <c r="B401" s="143" t="s">
        <v>288</v>
      </c>
      <c r="C401" s="143" t="s">
        <v>289</v>
      </c>
      <c r="D401" s="143" t="s">
        <v>69</v>
      </c>
      <c r="E401" s="257">
        <v>98928000</v>
      </c>
      <c r="F401" s="257">
        <v>172708817.71000001</v>
      </c>
      <c r="G401" s="257">
        <v>172708817.71000001</v>
      </c>
      <c r="H401" s="257">
        <v>0</v>
      </c>
      <c r="I401" s="257">
        <v>32056873.050000001</v>
      </c>
      <c r="J401" s="257">
        <v>0</v>
      </c>
      <c r="K401" s="257">
        <v>19455126.949999999</v>
      </c>
      <c r="L401" s="257">
        <v>19455126.949999999</v>
      </c>
      <c r="M401" s="257">
        <v>121196817.70999999</v>
      </c>
      <c r="N401" s="257">
        <v>121196817.70999999</v>
      </c>
    </row>
    <row r="402" spans="1:14" s="143" customFormat="1" x14ac:dyDescent="0.25">
      <c r="A402" s="143" t="s">
        <v>334</v>
      </c>
      <c r="B402" s="143" t="s">
        <v>370</v>
      </c>
      <c r="C402" s="143" t="s">
        <v>371</v>
      </c>
      <c r="D402" s="143" t="s">
        <v>69</v>
      </c>
      <c r="E402" s="257">
        <v>5000000</v>
      </c>
      <c r="F402" s="257">
        <v>46841603.460000001</v>
      </c>
      <c r="G402" s="257">
        <v>46841603.460000001</v>
      </c>
      <c r="H402" s="257">
        <v>0</v>
      </c>
      <c r="I402" s="257">
        <v>27247687.579999998</v>
      </c>
      <c r="J402" s="257">
        <v>0</v>
      </c>
      <c r="K402" s="257">
        <v>19593915.879999999</v>
      </c>
      <c r="L402" s="257">
        <v>19593915.879999999</v>
      </c>
      <c r="M402" s="257">
        <v>0</v>
      </c>
      <c r="N402" s="257">
        <v>0</v>
      </c>
    </row>
    <row r="403" spans="1:14" s="143" customFormat="1" x14ac:dyDescent="0.25">
      <c r="A403" s="143" t="s">
        <v>334</v>
      </c>
      <c r="B403" s="143" t="s">
        <v>376</v>
      </c>
      <c r="C403" s="143" t="s">
        <v>377</v>
      </c>
      <c r="D403" s="143" t="s">
        <v>69</v>
      </c>
      <c r="E403" s="257">
        <v>0</v>
      </c>
      <c r="F403" s="257">
        <v>3200000000</v>
      </c>
      <c r="G403" s="257">
        <v>3200000000</v>
      </c>
      <c r="H403" s="257">
        <v>0</v>
      </c>
      <c r="I403" s="257">
        <v>0</v>
      </c>
      <c r="J403" s="257">
        <v>0</v>
      </c>
      <c r="K403" s="257">
        <v>0</v>
      </c>
      <c r="L403" s="257">
        <v>0</v>
      </c>
      <c r="M403" s="257">
        <v>3200000000</v>
      </c>
      <c r="N403" s="257">
        <v>3200000000</v>
      </c>
    </row>
    <row r="404" spans="1:14" s="143" customFormat="1" x14ac:dyDescent="0.25">
      <c r="A404" s="143" t="s">
        <v>334</v>
      </c>
      <c r="B404" s="143" t="s">
        <v>376</v>
      </c>
      <c r="C404" s="143" t="s">
        <v>377</v>
      </c>
      <c r="D404" s="143" t="s">
        <v>85</v>
      </c>
      <c r="E404" s="257">
        <v>1831900000</v>
      </c>
      <c r="F404" s="257">
        <v>1542400000</v>
      </c>
      <c r="G404" s="257">
        <v>1542400000</v>
      </c>
      <c r="H404" s="257">
        <v>0</v>
      </c>
      <c r="I404" s="257">
        <v>0</v>
      </c>
      <c r="J404" s="257">
        <v>0</v>
      </c>
      <c r="K404" s="257">
        <v>0</v>
      </c>
      <c r="L404" s="257">
        <v>0</v>
      </c>
      <c r="M404" s="257">
        <v>1542400000</v>
      </c>
      <c r="N404" s="257">
        <v>1542400000</v>
      </c>
    </row>
    <row r="405" spans="1:14" s="143" customFormat="1" x14ac:dyDescent="0.25">
      <c r="A405" s="143" t="s">
        <v>334</v>
      </c>
      <c r="B405" s="143" t="s">
        <v>682</v>
      </c>
      <c r="C405" s="143" t="s">
        <v>683</v>
      </c>
      <c r="D405" s="143" t="s">
        <v>69</v>
      </c>
      <c r="E405" s="257">
        <v>0</v>
      </c>
      <c r="F405" s="257">
        <v>150000000</v>
      </c>
      <c r="G405" s="257">
        <v>150000000</v>
      </c>
      <c r="H405" s="257">
        <v>0</v>
      </c>
      <c r="I405" s="257">
        <v>0</v>
      </c>
      <c r="J405" s="257">
        <v>0</v>
      </c>
      <c r="K405" s="257">
        <v>0</v>
      </c>
      <c r="L405" s="257">
        <v>0</v>
      </c>
      <c r="M405" s="257">
        <v>150000000</v>
      </c>
      <c r="N405" s="257">
        <v>150000000</v>
      </c>
    </row>
    <row r="406" spans="1:14" s="143" customFormat="1" x14ac:dyDescent="0.25">
      <c r="A406" s="143" t="s">
        <v>334</v>
      </c>
      <c r="B406" s="143" t="s">
        <v>73</v>
      </c>
      <c r="C406" s="143" t="s">
        <v>74</v>
      </c>
      <c r="D406" s="143" t="s">
        <v>69</v>
      </c>
      <c r="E406" s="257">
        <v>24948626000</v>
      </c>
      <c r="F406" s="257">
        <v>24179508538</v>
      </c>
      <c r="G406" s="257">
        <v>24179508538</v>
      </c>
      <c r="H406" s="257">
        <v>0</v>
      </c>
      <c r="I406" s="257">
        <v>0</v>
      </c>
      <c r="J406" s="257">
        <v>0</v>
      </c>
      <c r="K406" s="257">
        <v>20839711476.57</v>
      </c>
      <c r="L406" s="257">
        <v>20839711476.57</v>
      </c>
      <c r="M406" s="257">
        <v>3339797061.4299998</v>
      </c>
      <c r="N406" s="257">
        <v>3339797061.4299998</v>
      </c>
    </row>
    <row r="407" spans="1:14" s="143" customFormat="1" x14ac:dyDescent="0.25">
      <c r="A407" s="143" t="s">
        <v>334</v>
      </c>
      <c r="B407" s="143" t="s">
        <v>293</v>
      </c>
      <c r="C407" s="143" t="s">
        <v>294</v>
      </c>
      <c r="D407" s="143" t="s">
        <v>69</v>
      </c>
      <c r="E407" s="257">
        <v>3816434000</v>
      </c>
      <c r="F407" s="257">
        <v>3634302747</v>
      </c>
      <c r="G407" s="257">
        <v>3634302747</v>
      </c>
      <c r="H407" s="257">
        <v>0</v>
      </c>
      <c r="I407" s="257">
        <v>0</v>
      </c>
      <c r="J407" s="257">
        <v>0</v>
      </c>
      <c r="K407" s="257">
        <v>3255655502.52</v>
      </c>
      <c r="L407" s="257">
        <v>3255655502.52</v>
      </c>
      <c r="M407" s="257">
        <v>378647244.48000002</v>
      </c>
      <c r="N407" s="257">
        <v>378647244.48000002</v>
      </c>
    </row>
    <row r="408" spans="1:14" s="143" customFormat="1" x14ac:dyDescent="0.25">
      <c r="A408" s="143" t="s">
        <v>334</v>
      </c>
      <c r="B408" s="143" t="s">
        <v>77</v>
      </c>
      <c r="C408" s="143" t="s">
        <v>78</v>
      </c>
      <c r="D408" s="143" t="s">
        <v>69</v>
      </c>
      <c r="E408" s="257">
        <v>30011202000</v>
      </c>
      <c r="F408" s="257">
        <v>28308861097</v>
      </c>
      <c r="G408" s="257">
        <v>28308861097</v>
      </c>
      <c r="H408" s="257">
        <v>0</v>
      </c>
      <c r="I408" s="257">
        <v>0</v>
      </c>
      <c r="J408" s="257">
        <v>0</v>
      </c>
      <c r="K408" s="257">
        <v>21678818102.27</v>
      </c>
      <c r="L408" s="257">
        <v>21678818102.27</v>
      </c>
      <c r="M408" s="257">
        <v>6630042994.7299995</v>
      </c>
      <c r="N408" s="257">
        <v>6630042994.7299995</v>
      </c>
    </row>
    <row r="409" spans="1:14" s="143" customFormat="1" x14ac:dyDescent="0.25">
      <c r="A409" s="143" t="s">
        <v>334</v>
      </c>
      <c r="B409" s="143" t="s">
        <v>90</v>
      </c>
      <c r="C409" s="143" t="s">
        <v>91</v>
      </c>
      <c r="D409" s="143" t="s">
        <v>69</v>
      </c>
      <c r="E409" s="257">
        <v>5298403000</v>
      </c>
      <c r="F409" s="257">
        <v>5081180800</v>
      </c>
      <c r="G409" s="257">
        <v>5081180800</v>
      </c>
      <c r="H409" s="257">
        <v>0</v>
      </c>
      <c r="I409" s="257">
        <v>639286329</v>
      </c>
      <c r="J409" s="257">
        <v>0</v>
      </c>
      <c r="K409" s="257">
        <v>4441894471</v>
      </c>
      <c r="L409" s="257">
        <v>4441894471</v>
      </c>
      <c r="M409" s="257">
        <v>0</v>
      </c>
      <c r="N409" s="257">
        <v>0</v>
      </c>
    </row>
    <row r="410" spans="1:14" s="143" customFormat="1" x14ac:dyDescent="0.25">
      <c r="A410" s="143" t="s">
        <v>334</v>
      </c>
      <c r="B410" s="143" t="s">
        <v>96</v>
      </c>
      <c r="C410" s="143" t="s">
        <v>97</v>
      </c>
      <c r="D410" s="143" t="s">
        <v>69</v>
      </c>
      <c r="E410" s="257">
        <v>5206020000</v>
      </c>
      <c r="F410" s="257">
        <v>4990934289</v>
      </c>
      <c r="G410" s="257">
        <v>4990934289</v>
      </c>
      <c r="H410" s="257">
        <v>0</v>
      </c>
      <c r="I410" s="257">
        <v>631433621</v>
      </c>
      <c r="J410" s="257">
        <v>0</v>
      </c>
      <c r="K410" s="257">
        <v>4359500668</v>
      </c>
      <c r="L410" s="257">
        <v>4359500668</v>
      </c>
      <c r="M410" s="257">
        <v>0</v>
      </c>
      <c r="N410" s="257">
        <v>0</v>
      </c>
    </row>
    <row r="411" spans="1:14" s="143" customFormat="1" x14ac:dyDescent="0.25">
      <c r="A411" s="143" t="s">
        <v>334</v>
      </c>
      <c r="B411" s="143" t="s">
        <v>517</v>
      </c>
      <c r="C411" s="143" t="s">
        <v>836</v>
      </c>
      <c r="D411" s="143" t="s">
        <v>69</v>
      </c>
      <c r="E411" s="257">
        <v>300000</v>
      </c>
      <c r="F411" s="257">
        <v>0</v>
      </c>
      <c r="G411" s="257">
        <v>0</v>
      </c>
      <c r="H411" s="257">
        <v>0</v>
      </c>
      <c r="I411" s="257">
        <v>0</v>
      </c>
      <c r="J411" s="257">
        <v>0</v>
      </c>
      <c r="K411" s="257">
        <v>0</v>
      </c>
      <c r="L411" s="257">
        <v>0</v>
      </c>
      <c r="M411" s="257">
        <v>0</v>
      </c>
      <c r="N411" s="257">
        <v>0</v>
      </c>
    </row>
    <row r="412" spans="1:14" s="143" customFormat="1" x14ac:dyDescent="0.25">
      <c r="A412" s="143" t="s">
        <v>334</v>
      </c>
      <c r="B412" s="143" t="s">
        <v>106</v>
      </c>
      <c r="C412" s="143" t="s">
        <v>107</v>
      </c>
      <c r="D412" s="143" t="s">
        <v>69</v>
      </c>
      <c r="E412" s="257">
        <v>7388276000</v>
      </c>
      <c r="F412" s="257">
        <v>5941867616</v>
      </c>
      <c r="G412" s="257">
        <v>5941867616</v>
      </c>
      <c r="H412" s="257">
        <v>0</v>
      </c>
      <c r="I412" s="257">
        <v>870224678.72000003</v>
      </c>
      <c r="J412" s="257">
        <v>0</v>
      </c>
      <c r="K412" s="257">
        <v>3761106480.3499999</v>
      </c>
      <c r="L412" s="257">
        <v>2529092050.9499998</v>
      </c>
      <c r="M412" s="257">
        <v>1310536456.9300001</v>
      </c>
      <c r="N412" s="257">
        <v>1310536456.9300001</v>
      </c>
    </row>
    <row r="413" spans="1:14" s="143" customFormat="1" x14ac:dyDescent="0.25">
      <c r="A413" s="143" t="s">
        <v>334</v>
      </c>
      <c r="B413" s="143" t="s">
        <v>112</v>
      </c>
      <c r="C413" s="143" t="s">
        <v>113</v>
      </c>
      <c r="D413" s="143" t="s">
        <v>69</v>
      </c>
      <c r="E413" s="257">
        <v>4954374000</v>
      </c>
      <c r="F413" s="257">
        <v>5424244314</v>
      </c>
      <c r="G413" s="257">
        <v>5424244314</v>
      </c>
      <c r="H413" s="257">
        <v>0</v>
      </c>
      <c r="I413" s="257">
        <v>1055431640.3099999</v>
      </c>
      <c r="J413" s="257">
        <v>0</v>
      </c>
      <c r="K413" s="257">
        <v>4110145846.4499998</v>
      </c>
      <c r="L413" s="257">
        <v>3460584233.21</v>
      </c>
      <c r="M413" s="257">
        <v>258666827.24000001</v>
      </c>
      <c r="N413" s="257">
        <v>258666827.24000001</v>
      </c>
    </row>
    <row r="414" spans="1:14" s="143" customFormat="1" x14ac:dyDescent="0.25">
      <c r="A414" s="143" t="s">
        <v>334</v>
      </c>
      <c r="B414" s="143" t="s">
        <v>124</v>
      </c>
      <c r="C414" s="143" t="s">
        <v>125</v>
      </c>
      <c r="D414" s="143" t="s">
        <v>69</v>
      </c>
      <c r="E414" s="257">
        <v>5449000</v>
      </c>
      <c r="F414" s="257">
        <v>8557560</v>
      </c>
      <c r="G414" s="257">
        <v>8557560</v>
      </c>
      <c r="H414" s="257">
        <v>0</v>
      </c>
      <c r="I414" s="257">
        <v>4906220</v>
      </c>
      <c r="J414" s="257">
        <v>0</v>
      </c>
      <c r="K414" s="257">
        <v>3376340</v>
      </c>
      <c r="L414" s="257">
        <v>3376340</v>
      </c>
      <c r="M414" s="257">
        <v>275000</v>
      </c>
      <c r="N414" s="257">
        <v>275000</v>
      </c>
    </row>
    <row r="415" spans="1:14" s="143" customFormat="1" x14ac:dyDescent="0.25">
      <c r="A415" s="143" t="s">
        <v>334</v>
      </c>
      <c r="B415" s="143" t="s">
        <v>134</v>
      </c>
      <c r="C415" s="143" t="s">
        <v>135</v>
      </c>
      <c r="D415" s="143" t="s">
        <v>69</v>
      </c>
      <c r="E415" s="257">
        <v>232183000</v>
      </c>
      <c r="F415" s="257">
        <v>328109093</v>
      </c>
      <c r="G415" s="257">
        <v>328109093</v>
      </c>
      <c r="H415" s="257">
        <v>0</v>
      </c>
      <c r="I415" s="257">
        <v>140287010.34999999</v>
      </c>
      <c r="J415" s="257">
        <v>0</v>
      </c>
      <c r="K415" s="257">
        <v>128166325.45</v>
      </c>
      <c r="L415" s="257">
        <v>120023298.75</v>
      </c>
      <c r="M415" s="257">
        <v>59655757.200000003</v>
      </c>
      <c r="N415" s="257">
        <v>59655757.200000003</v>
      </c>
    </row>
    <row r="416" spans="1:14" s="143" customFormat="1" x14ac:dyDescent="0.25">
      <c r="A416" s="143" t="s">
        <v>334</v>
      </c>
      <c r="B416" s="143" t="s">
        <v>140</v>
      </c>
      <c r="C416" s="143" t="s">
        <v>141</v>
      </c>
      <c r="D416" s="143" t="s">
        <v>69</v>
      </c>
      <c r="E416" s="257">
        <v>158364000</v>
      </c>
      <c r="F416" s="257">
        <v>159170448.31999999</v>
      </c>
      <c r="G416" s="257">
        <v>159170448.31999999</v>
      </c>
      <c r="H416" s="257">
        <v>270450</v>
      </c>
      <c r="I416" s="257">
        <v>28531275</v>
      </c>
      <c r="J416" s="257">
        <v>0</v>
      </c>
      <c r="K416" s="257">
        <v>96430050</v>
      </c>
      <c r="L416" s="257">
        <v>96390870</v>
      </c>
      <c r="M416" s="257">
        <v>33938673.32</v>
      </c>
      <c r="N416" s="257">
        <v>33938673.32</v>
      </c>
    </row>
    <row r="417" spans="1:14" s="143" customFormat="1" x14ac:dyDescent="0.25">
      <c r="A417" s="143" t="s">
        <v>334</v>
      </c>
      <c r="B417" s="143" t="s">
        <v>150</v>
      </c>
      <c r="C417" s="143" t="s">
        <v>151</v>
      </c>
      <c r="D417" s="143" t="s">
        <v>69</v>
      </c>
      <c r="E417" s="257">
        <v>1404477000</v>
      </c>
      <c r="F417" s="257">
        <v>1404477000</v>
      </c>
      <c r="G417" s="257">
        <v>1404477000</v>
      </c>
      <c r="H417" s="257">
        <v>0</v>
      </c>
      <c r="I417" s="257">
        <v>189950402</v>
      </c>
      <c r="J417" s="257">
        <v>0</v>
      </c>
      <c r="K417" s="257">
        <v>995524760</v>
      </c>
      <c r="L417" s="257">
        <v>799749790</v>
      </c>
      <c r="M417" s="257">
        <v>219001838</v>
      </c>
      <c r="N417" s="257">
        <v>219001838</v>
      </c>
    </row>
    <row r="418" spans="1:14" s="143" customFormat="1" x14ac:dyDescent="0.25">
      <c r="A418" s="143" t="s">
        <v>334</v>
      </c>
      <c r="B418" s="143" t="s">
        <v>154</v>
      </c>
      <c r="C418" s="143" t="s">
        <v>155</v>
      </c>
      <c r="D418" s="143" t="s">
        <v>69</v>
      </c>
      <c r="E418" s="257">
        <v>1000000</v>
      </c>
      <c r="F418" s="257">
        <v>860000</v>
      </c>
      <c r="G418" s="257">
        <v>860000</v>
      </c>
      <c r="H418" s="257">
        <v>0</v>
      </c>
      <c r="I418" s="257">
        <v>860000</v>
      </c>
      <c r="J418" s="257">
        <v>0</v>
      </c>
      <c r="K418" s="257">
        <v>0</v>
      </c>
      <c r="L418" s="257">
        <v>0</v>
      </c>
      <c r="M418" s="257">
        <v>0</v>
      </c>
      <c r="N418" s="257">
        <v>0</v>
      </c>
    </row>
    <row r="419" spans="1:14" s="143" customFormat="1" x14ac:dyDescent="0.25">
      <c r="A419" s="143" t="s">
        <v>334</v>
      </c>
      <c r="B419" s="143" t="s">
        <v>162</v>
      </c>
      <c r="C419" s="143" t="s">
        <v>163</v>
      </c>
      <c r="D419" s="143" t="s">
        <v>69</v>
      </c>
      <c r="E419" s="257">
        <v>1092012000</v>
      </c>
      <c r="F419" s="257">
        <v>817691575</v>
      </c>
      <c r="G419" s="257">
        <v>817691575</v>
      </c>
      <c r="H419" s="257">
        <v>0</v>
      </c>
      <c r="I419" s="257">
        <v>377144333.17000002</v>
      </c>
      <c r="J419" s="257">
        <v>20405908.710000001</v>
      </c>
      <c r="K419" s="257">
        <v>271400096.61000001</v>
      </c>
      <c r="L419" s="257">
        <v>251464876.28</v>
      </c>
      <c r="M419" s="257">
        <v>148741236.50999999</v>
      </c>
      <c r="N419" s="257">
        <v>148741236.50999999</v>
      </c>
    </row>
    <row r="420" spans="1:14" s="143" customFormat="1" x14ac:dyDescent="0.25">
      <c r="A420" s="143" t="s">
        <v>334</v>
      </c>
      <c r="B420" s="143" t="s">
        <v>174</v>
      </c>
      <c r="C420" s="143" t="s">
        <v>175</v>
      </c>
      <c r="D420" s="143" t="s">
        <v>69</v>
      </c>
      <c r="E420" s="257">
        <v>16000000</v>
      </c>
      <c r="F420" s="257">
        <v>16000000</v>
      </c>
      <c r="G420" s="257">
        <v>16000000</v>
      </c>
      <c r="H420" s="257">
        <v>0</v>
      </c>
      <c r="I420" s="257">
        <v>13870025</v>
      </c>
      <c r="J420" s="257">
        <v>0</v>
      </c>
      <c r="K420" s="257">
        <v>135141</v>
      </c>
      <c r="L420" s="257">
        <v>135141</v>
      </c>
      <c r="M420" s="257">
        <v>1994834</v>
      </c>
      <c r="N420" s="257">
        <v>1994834</v>
      </c>
    </row>
    <row r="421" spans="1:14" s="143" customFormat="1" x14ac:dyDescent="0.25">
      <c r="A421" s="143" t="s">
        <v>334</v>
      </c>
      <c r="B421" s="143" t="s">
        <v>178</v>
      </c>
      <c r="C421" s="143" t="s">
        <v>179</v>
      </c>
      <c r="D421" s="143" t="s">
        <v>69</v>
      </c>
      <c r="E421" s="257">
        <v>37925000</v>
      </c>
      <c r="F421" s="257">
        <v>86193515</v>
      </c>
      <c r="G421" s="257">
        <v>86193515</v>
      </c>
      <c r="H421" s="257">
        <v>0</v>
      </c>
      <c r="I421" s="257">
        <v>19654794.43</v>
      </c>
      <c r="J421" s="257">
        <v>0</v>
      </c>
      <c r="K421" s="257">
        <v>4395207.4000000004</v>
      </c>
      <c r="L421" s="257">
        <v>4003731.35</v>
      </c>
      <c r="M421" s="257">
        <v>62143513.170000002</v>
      </c>
      <c r="N421" s="257">
        <v>62143513.170000002</v>
      </c>
    </row>
    <row r="422" spans="1:14" s="143" customFormat="1" x14ac:dyDescent="0.25">
      <c r="A422" s="143" t="s">
        <v>334</v>
      </c>
      <c r="B422" s="143" t="s">
        <v>186</v>
      </c>
      <c r="C422" s="143" t="s">
        <v>187</v>
      </c>
      <c r="D422" s="143" t="s">
        <v>69</v>
      </c>
      <c r="E422" s="257">
        <v>917065000</v>
      </c>
      <c r="F422" s="257">
        <v>893159475</v>
      </c>
      <c r="G422" s="257">
        <v>893159475</v>
      </c>
      <c r="H422" s="257">
        <v>1008000</v>
      </c>
      <c r="I422" s="257">
        <v>261300249.80000001</v>
      </c>
      <c r="J422" s="257">
        <v>127368</v>
      </c>
      <c r="K422" s="257">
        <v>607010635.03999996</v>
      </c>
      <c r="L422" s="257">
        <v>583320893.32000005</v>
      </c>
      <c r="M422" s="257">
        <v>23713222.16</v>
      </c>
      <c r="N422" s="257">
        <v>23713222.16</v>
      </c>
    </row>
    <row r="423" spans="1:14" s="143" customFormat="1" x14ac:dyDescent="0.25">
      <c r="A423" s="143" t="s">
        <v>334</v>
      </c>
      <c r="B423" s="143" t="s">
        <v>196</v>
      </c>
      <c r="C423" s="143" t="s">
        <v>197</v>
      </c>
      <c r="D423" s="143" t="s">
        <v>69</v>
      </c>
      <c r="E423" s="257">
        <v>11011103690</v>
      </c>
      <c r="F423" s="257">
        <v>10517884481.51</v>
      </c>
      <c r="G423" s="257">
        <v>10517884481.51</v>
      </c>
      <c r="H423" s="257">
        <v>0</v>
      </c>
      <c r="I423" s="257">
        <v>1980625693.1800001</v>
      </c>
      <c r="J423" s="257">
        <v>204724977.43000001</v>
      </c>
      <c r="K423" s="257">
        <v>8093965782.3400002</v>
      </c>
      <c r="L423" s="257">
        <v>7123432386.79</v>
      </c>
      <c r="M423" s="257">
        <v>238568028.56</v>
      </c>
      <c r="N423" s="257">
        <v>238568028.56</v>
      </c>
    </row>
    <row r="424" spans="1:14" s="143" customFormat="1" x14ac:dyDescent="0.25">
      <c r="A424" s="143" t="s">
        <v>334</v>
      </c>
      <c r="B424" s="143" t="s">
        <v>200</v>
      </c>
      <c r="C424" s="143" t="s">
        <v>201</v>
      </c>
      <c r="D424" s="143" t="s">
        <v>69</v>
      </c>
      <c r="E424" s="257">
        <v>1141773000</v>
      </c>
      <c r="F424" s="257">
        <v>727388654</v>
      </c>
      <c r="G424" s="257">
        <v>727388654</v>
      </c>
      <c r="H424" s="257">
        <v>0</v>
      </c>
      <c r="I424" s="257">
        <v>243149299.90000001</v>
      </c>
      <c r="J424" s="257">
        <v>37204554.670000002</v>
      </c>
      <c r="K424" s="257">
        <v>289448128.67000002</v>
      </c>
      <c r="L424" s="257">
        <v>181826012.87</v>
      </c>
      <c r="M424" s="257">
        <v>157586670.75999999</v>
      </c>
      <c r="N424" s="257">
        <v>157586670.75999999</v>
      </c>
    </row>
    <row r="425" spans="1:14" s="143" customFormat="1" x14ac:dyDescent="0.25">
      <c r="A425" s="143" t="s">
        <v>334</v>
      </c>
      <c r="B425" s="143" t="s">
        <v>206</v>
      </c>
      <c r="C425" s="143" t="s">
        <v>207</v>
      </c>
      <c r="D425" s="143" t="s">
        <v>69</v>
      </c>
      <c r="E425" s="257">
        <v>289044000</v>
      </c>
      <c r="F425" s="257">
        <v>241220514</v>
      </c>
      <c r="G425" s="257">
        <v>241220514</v>
      </c>
      <c r="H425" s="257">
        <v>0</v>
      </c>
      <c r="I425" s="257">
        <v>48218066.909999996</v>
      </c>
      <c r="J425" s="257">
        <v>4926212.5999999996</v>
      </c>
      <c r="K425" s="257">
        <v>74196426.900000006</v>
      </c>
      <c r="L425" s="257">
        <v>57474881.829999998</v>
      </c>
      <c r="M425" s="257">
        <v>113879807.59</v>
      </c>
      <c r="N425" s="257">
        <v>113879807.59</v>
      </c>
    </row>
    <row r="426" spans="1:14" s="143" customFormat="1" x14ac:dyDescent="0.25">
      <c r="A426" s="143" t="s">
        <v>334</v>
      </c>
      <c r="B426" s="143" t="s">
        <v>212</v>
      </c>
      <c r="C426" s="143" t="s">
        <v>831</v>
      </c>
      <c r="D426" s="143" t="s">
        <v>69</v>
      </c>
      <c r="E426" s="257">
        <v>3046863000</v>
      </c>
      <c r="F426" s="257">
        <v>2910860657</v>
      </c>
      <c r="G426" s="257">
        <v>2910860657</v>
      </c>
      <c r="H426" s="257">
        <v>52618326.859999999</v>
      </c>
      <c r="I426" s="257">
        <v>1137215110.5899999</v>
      </c>
      <c r="J426" s="257">
        <v>59543252.600000001</v>
      </c>
      <c r="K426" s="257">
        <v>1452246176.6600001</v>
      </c>
      <c r="L426" s="257">
        <v>1328436481.73</v>
      </c>
      <c r="M426" s="257">
        <v>209237790.28999999</v>
      </c>
      <c r="N426" s="257">
        <v>209237790.28999999</v>
      </c>
    </row>
    <row r="427" spans="1:14" s="143" customFormat="1" x14ac:dyDescent="0.25">
      <c r="A427" s="143" t="s">
        <v>334</v>
      </c>
      <c r="B427" s="143" t="s">
        <v>232</v>
      </c>
      <c r="C427" s="143" t="s">
        <v>233</v>
      </c>
      <c r="D427" s="143" t="s">
        <v>69</v>
      </c>
      <c r="E427" s="257">
        <v>1343483000</v>
      </c>
      <c r="F427" s="257">
        <v>1443057663</v>
      </c>
      <c r="G427" s="257">
        <v>1443057663</v>
      </c>
      <c r="H427" s="257">
        <v>53906434</v>
      </c>
      <c r="I427" s="257">
        <v>504095702.83999997</v>
      </c>
      <c r="J427" s="257">
        <v>182596959.74000001</v>
      </c>
      <c r="K427" s="257">
        <v>615044371.22000003</v>
      </c>
      <c r="L427" s="257">
        <v>610213696.01999998</v>
      </c>
      <c r="M427" s="257">
        <v>87414195.200000003</v>
      </c>
      <c r="N427" s="257">
        <v>87414195.200000003</v>
      </c>
    </row>
    <row r="428" spans="1:14" s="143" customFormat="1" x14ac:dyDescent="0.25">
      <c r="A428" s="143" t="s">
        <v>334</v>
      </c>
      <c r="B428" s="143" t="s">
        <v>328</v>
      </c>
      <c r="C428" s="143" t="s">
        <v>329</v>
      </c>
      <c r="D428" s="143" t="s">
        <v>85</v>
      </c>
      <c r="E428" s="257">
        <v>2093838000</v>
      </c>
      <c r="F428" s="257">
        <v>1728431799</v>
      </c>
      <c r="G428" s="257">
        <v>1728431799</v>
      </c>
      <c r="H428" s="257">
        <v>0</v>
      </c>
      <c r="I428" s="257">
        <v>734282068.07000005</v>
      </c>
      <c r="J428" s="257">
        <v>674000</v>
      </c>
      <c r="K428" s="257">
        <v>874979083.84000003</v>
      </c>
      <c r="L428" s="257">
        <v>838505207.26999998</v>
      </c>
      <c r="M428" s="257">
        <v>118496647.09</v>
      </c>
      <c r="N428" s="257">
        <v>118496647.09</v>
      </c>
    </row>
    <row r="429" spans="1:14" s="143" customFormat="1" x14ac:dyDescent="0.25">
      <c r="A429" s="143" t="s">
        <v>334</v>
      </c>
      <c r="B429" s="143" t="s">
        <v>244</v>
      </c>
      <c r="C429" s="143" t="s">
        <v>245</v>
      </c>
      <c r="D429" s="143" t="s">
        <v>85</v>
      </c>
      <c r="E429" s="257">
        <v>339500000</v>
      </c>
      <c r="F429" s="257">
        <v>332588982</v>
      </c>
      <c r="G429" s="257">
        <v>332588982</v>
      </c>
      <c r="H429" s="257">
        <v>579763.80000000005</v>
      </c>
      <c r="I429" s="257">
        <v>223422354.53999999</v>
      </c>
      <c r="J429" s="257">
        <v>37617852.479999997</v>
      </c>
      <c r="K429" s="257">
        <v>20525942.280000001</v>
      </c>
      <c r="L429" s="257">
        <v>20525942.280000001</v>
      </c>
      <c r="M429" s="257">
        <v>50443068.899999999</v>
      </c>
      <c r="N429" s="257">
        <v>50443068.899999999</v>
      </c>
    </row>
    <row r="430" spans="1:14" s="143" customFormat="1" x14ac:dyDescent="0.25">
      <c r="A430" s="143" t="s">
        <v>334</v>
      </c>
      <c r="B430" s="143" t="s">
        <v>250</v>
      </c>
      <c r="C430" s="143" t="s">
        <v>251</v>
      </c>
      <c r="D430" s="143" t="s">
        <v>69</v>
      </c>
      <c r="E430" s="257">
        <v>630544000</v>
      </c>
      <c r="F430" s="257">
        <v>625784456</v>
      </c>
      <c r="G430" s="257">
        <v>625784456</v>
      </c>
      <c r="H430" s="257">
        <v>0</v>
      </c>
      <c r="I430" s="257">
        <v>17220197.5</v>
      </c>
      <c r="J430" s="257">
        <v>0</v>
      </c>
      <c r="K430" s="257">
        <v>561024258.5</v>
      </c>
      <c r="L430" s="257">
        <v>561024258.5</v>
      </c>
      <c r="M430" s="257">
        <v>47540000</v>
      </c>
      <c r="N430" s="257">
        <v>47540000</v>
      </c>
    </row>
    <row r="431" spans="1:14" s="143" customFormat="1" x14ac:dyDescent="0.25">
      <c r="A431" s="143" t="s">
        <v>334</v>
      </c>
      <c r="B431" s="143" t="s">
        <v>366</v>
      </c>
      <c r="C431" s="143" t="s">
        <v>367</v>
      </c>
      <c r="D431" s="143" t="s">
        <v>69</v>
      </c>
      <c r="E431" s="257">
        <v>450000000</v>
      </c>
      <c r="F431" s="257">
        <v>450000000</v>
      </c>
      <c r="G431" s="257">
        <v>450000000</v>
      </c>
      <c r="H431" s="257">
        <v>0</v>
      </c>
      <c r="I431" s="257">
        <v>72500000</v>
      </c>
      <c r="J431" s="257">
        <v>0</v>
      </c>
      <c r="K431" s="257">
        <v>377500000</v>
      </c>
      <c r="L431" s="257">
        <v>337500000</v>
      </c>
      <c r="M431" s="257">
        <v>0</v>
      </c>
      <c r="N431" s="257">
        <v>0</v>
      </c>
    </row>
    <row r="432" spans="1:14" s="143" customFormat="1" x14ac:dyDescent="0.25">
      <c r="A432" s="143" t="s">
        <v>334</v>
      </c>
      <c r="B432" s="143" t="s">
        <v>260</v>
      </c>
      <c r="C432" s="143" t="s">
        <v>261</v>
      </c>
      <c r="D432" s="143" t="s">
        <v>69</v>
      </c>
      <c r="E432" s="257">
        <v>697525000</v>
      </c>
      <c r="F432" s="257">
        <v>1408228414</v>
      </c>
      <c r="G432" s="257">
        <v>1408228414</v>
      </c>
      <c r="H432" s="257">
        <v>0</v>
      </c>
      <c r="I432" s="257">
        <v>104564411.01000001</v>
      </c>
      <c r="J432" s="257">
        <v>0</v>
      </c>
      <c r="K432" s="257">
        <v>1275915264.1300001</v>
      </c>
      <c r="L432" s="257">
        <v>1270744527.6900001</v>
      </c>
      <c r="M432" s="257">
        <v>27748738.859999999</v>
      </c>
      <c r="N432" s="257">
        <v>27748738.859999999</v>
      </c>
    </row>
    <row r="433" spans="1:14" s="143" customFormat="1" x14ac:dyDescent="0.25">
      <c r="A433" s="143" t="s">
        <v>334</v>
      </c>
      <c r="B433" s="143" t="s">
        <v>286</v>
      </c>
      <c r="C433" s="143" t="s">
        <v>287</v>
      </c>
      <c r="D433" s="143" t="s">
        <v>69</v>
      </c>
      <c r="E433" s="257">
        <v>103928000</v>
      </c>
      <c r="F433" s="257">
        <v>219550421.16999999</v>
      </c>
      <c r="G433" s="257">
        <v>219550421.16999999</v>
      </c>
      <c r="H433" s="257">
        <v>0</v>
      </c>
      <c r="I433" s="257">
        <v>59304560.630000003</v>
      </c>
      <c r="J433" s="257">
        <v>0</v>
      </c>
      <c r="K433" s="257">
        <v>39049042.829999998</v>
      </c>
      <c r="L433" s="257">
        <v>39049042.829999998</v>
      </c>
      <c r="M433" s="257">
        <v>121196817.70999999</v>
      </c>
      <c r="N433" s="257">
        <v>121196817.70999999</v>
      </c>
    </row>
    <row r="434" spans="1:14" s="143" customFormat="1" x14ac:dyDescent="0.25">
      <c r="A434" s="143" t="s">
        <v>334</v>
      </c>
      <c r="B434" s="143" t="s">
        <v>374</v>
      </c>
      <c r="C434" s="143" t="s">
        <v>375</v>
      </c>
      <c r="D434" s="143" t="s">
        <v>69</v>
      </c>
      <c r="E434" s="257">
        <v>1831900000</v>
      </c>
      <c r="F434" s="257">
        <v>4742400000</v>
      </c>
      <c r="G434" s="257">
        <v>4742400000</v>
      </c>
      <c r="H434" s="257">
        <v>0</v>
      </c>
      <c r="I434" s="257">
        <v>0</v>
      </c>
      <c r="J434" s="257">
        <v>0</v>
      </c>
      <c r="K434" s="257">
        <v>0</v>
      </c>
      <c r="L434" s="257">
        <v>0</v>
      </c>
      <c r="M434" s="257">
        <v>4742400000</v>
      </c>
      <c r="N434" s="257">
        <v>4742400000</v>
      </c>
    </row>
    <row r="435" spans="1:14" s="143" customFormat="1" x14ac:dyDescent="0.25">
      <c r="A435" s="143" t="s">
        <v>334</v>
      </c>
      <c r="B435" s="143" t="s">
        <v>680</v>
      </c>
      <c r="C435" s="143" t="s">
        <v>681</v>
      </c>
      <c r="D435" s="143" t="s">
        <v>69</v>
      </c>
      <c r="E435" s="257">
        <v>0</v>
      </c>
      <c r="F435" s="257">
        <v>150000000</v>
      </c>
      <c r="G435" s="257">
        <v>150000000</v>
      </c>
      <c r="H435" s="257">
        <v>0</v>
      </c>
      <c r="I435" s="257">
        <v>0</v>
      </c>
      <c r="J435" s="257">
        <v>0</v>
      </c>
      <c r="K435" s="257">
        <v>0</v>
      </c>
      <c r="L435" s="257">
        <v>0</v>
      </c>
      <c r="M435" s="257">
        <v>150000000</v>
      </c>
      <c r="N435" s="257">
        <v>150000000</v>
      </c>
    </row>
    <row r="436" spans="1:14" s="143" customFormat="1" x14ac:dyDescent="0.25">
      <c r="A436" s="143" t="s">
        <v>334</v>
      </c>
      <c r="B436" s="143" t="s">
        <v>71</v>
      </c>
      <c r="C436" s="143" t="s">
        <v>72</v>
      </c>
      <c r="D436" s="143" t="s">
        <v>69</v>
      </c>
      <c r="E436" s="257">
        <v>69280985000</v>
      </c>
      <c r="F436" s="257">
        <v>66194787471</v>
      </c>
      <c r="G436" s="257">
        <v>66194787471</v>
      </c>
      <c r="H436" s="257">
        <v>0</v>
      </c>
      <c r="I436" s="257">
        <v>1270719950</v>
      </c>
      <c r="J436" s="257">
        <v>0</v>
      </c>
      <c r="K436" s="257">
        <v>54575580220.360001</v>
      </c>
      <c r="L436" s="257">
        <v>54575580220.360001</v>
      </c>
      <c r="M436" s="257">
        <v>10348487300.639999</v>
      </c>
      <c r="N436" s="257">
        <v>10348487300.639999</v>
      </c>
    </row>
    <row r="437" spans="1:14" s="143" customFormat="1" x14ac:dyDescent="0.25">
      <c r="A437" s="143" t="s">
        <v>334</v>
      </c>
      <c r="B437" s="143" t="s">
        <v>104</v>
      </c>
      <c r="C437" s="143" t="s">
        <v>105</v>
      </c>
      <c r="D437" s="143" t="s">
        <v>69</v>
      </c>
      <c r="E437" s="257">
        <v>15290060000</v>
      </c>
      <c r="F437" s="257">
        <v>14187171121.32</v>
      </c>
      <c r="G437" s="257">
        <v>14187171121.32</v>
      </c>
      <c r="H437" s="257">
        <v>270450</v>
      </c>
      <c r="I437" s="257">
        <v>2700860378.98</v>
      </c>
      <c r="J437" s="257">
        <v>20405908.710000001</v>
      </c>
      <c r="K437" s="257">
        <v>9370680247.2600002</v>
      </c>
      <c r="L437" s="257">
        <v>7264820331.54</v>
      </c>
      <c r="M437" s="257">
        <v>2094954136.3699999</v>
      </c>
      <c r="N437" s="257">
        <v>2094954136.3699999</v>
      </c>
    </row>
    <row r="438" spans="1:14" s="143" customFormat="1" x14ac:dyDescent="0.25">
      <c r="A438" s="143" t="s">
        <v>334</v>
      </c>
      <c r="B438" s="143" t="s">
        <v>184</v>
      </c>
      <c r="C438" s="143" t="s">
        <v>185</v>
      </c>
      <c r="D438" s="143" t="s">
        <v>69</v>
      </c>
      <c r="E438" s="257">
        <v>16405848690</v>
      </c>
      <c r="F438" s="257">
        <v>15290513781.51</v>
      </c>
      <c r="G438" s="257">
        <v>15290513781.51</v>
      </c>
      <c r="H438" s="257">
        <v>53626326.859999999</v>
      </c>
      <c r="I438" s="257">
        <v>3670508420.3800001</v>
      </c>
      <c r="J438" s="257">
        <v>306526365.30000001</v>
      </c>
      <c r="K438" s="257">
        <v>10516867149.610001</v>
      </c>
      <c r="L438" s="257">
        <v>9274490656.5400009</v>
      </c>
      <c r="M438" s="257">
        <v>742985519.36000001</v>
      </c>
      <c r="N438" s="257">
        <v>742985519.36000001</v>
      </c>
    </row>
    <row r="439" spans="1:14" s="143" customFormat="1" x14ac:dyDescent="0.25">
      <c r="A439" s="143" t="s">
        <v>334</v>
      </c>
      <c r="B439" s="143" t="s">
        <v>230</v>
      </c>
      <c r="C439" s="143" t="s">
        <v>231</v>
      </c>
      <c r="D439" s="143" t="s">
        <v>69</v>
      </c>
      <c r="E439" s="257">
        <v>3776821000</v>
      </c>
      <c r="F439" s="257">
        <v>3504078444</v>
      </c>
      <c r="G439" s="257">
        <v>3504078444</v>
      </c>
      <c r="H439" s="257">
        <v>54486197.799999997</v>
      </c>
      <c r="I439" s="257">
        <v>1461800125.45</v>
      </c>
      <c r="J439" s="257">
        <v>220888812.22</v>
      </c>
      <c r="K439" s="257">
        <v>1510549397.3399999</v>
      </c>
      <c r="L439" s="257">
        <v>1469244845.5699999</v>
      </c>
      <c r="M439" s="257">
        <v>256353911.19</v>
      </c>
      <c r="N439" s="257">
        <v>256353911.19</v>
      </c>
    </row>
    <row r="440" spans="1:14" s="143" customFormat="1" x14ac:dyDescent="0.25">
      <c r="A440" s="143" t="s">
        <v>334</v>
      </c>
      <c r="B440" s="143" t="s">
        <v>248</v>
      </c>
      <c r="C440" s="143" t="s">
        <v>249</v>
      </c>
      <c r="D440" s="143" t="s">
        <v>69</v>
      </c>
      <c r="E440" s="257">
        <v>1881997000</v>
      </c>
      <c r="F440" s="257">
        <v>2703563291.1700001</v>
      </c>
      <c r="G440" s="257">
        <v>2703563291.1700001</v>
      </c>
      <c r="H440" s="257">
        <v>0</v>
      </c>
      <c r="I440" s="257">
        <v>253589169.13999999</v>
      </c>
      <c r="J440" s="257">
        <v>0</v>
      </c>
      <c r="K440" s="257">
        <v>2253488565.46</v>
      </c>
      <c r="L440" s="257">
        <v>2208317829.02</v>
      </c>
      <c r="M440" s="257">
        <v>196485556.56999999</v>
      </c>
      <c r="N440" s="257">
        <v>196485556.56999999</v>
      </c>
    </row>
    <row r="441" spans="1:14" s="143" customFormat="1" x14ac:dyDescent="0.25">
      <c r="A441" s="143" t="s">
        <v>334</v>
      </c>
      <c r="B441" s="143" t="s">
        <v>372</v>
      </c>
      <c r="C441" s="143" t="s">
        <v>373</v>
      </c>
      <c r="D441" s="143" t="s">
        <v>69</v>
      </c>
      <c r="E441" s="257">
        <v>1831900000</v>
      </c>
      <c r="F441" s="257">
        <v>4742400000</v>
      </c>
      <c r="G441" s="257">
        <v>4742400000</v>
      </c>
      <c r="H441" s="257">
        <v>0</v>
      </c>
      <c r="I441" s="257">
        <v>0</v>
      </c>
      <c r="J441" s="257">
        <v>0</v>
      </c>
      <c r="K441" s="257">
        <v>0</v>
      </c>
      <c r="L441" s="257">
        <v>0</v>
      </c>
      <c r="M441" s="257">
        <v>4742400000</v>
      </c>
      <c r="N441" s="257">
        <v>4742400000</v>
      </c>
    </row>
    <row r="442" spans="1:14" s="143" customFormat="1" x14ac:dyDescent="0.25">
      <c r="A442" s="143" t="s">
        <v>334</v>
      </c>
      <c r="B442" s="143" t="s">
        <v>678</v>
      </c>
      <c r="C442" s="143" t="s">
        <v>679</v>
      </c>
      <c r="D442" s="143" t="s">
        <v>69</v>
      </c>
      <c r="E442" s="257">
        <v>0</v>
      </c>
      <c r="F442" s="257">
        <v>150000000</v>
      </c>
      <c r="G442" s="257">
        <v>150000000</v>
      </c>
      <c r="H442" s="257">
        <v>0</v>
      </c>
      <c r="I442" s="257">
        <v>0</v>
      </c>
      <c r="J442" s="257">
        <v>0</v>
      </c>
      <c r="K442" s="257">
        <v>0</v>
      </c>
      <c r="L442" s="257">
        <v>0</v>
      </c>
      <c r="M442" s="257">
        <v>150000000</v>
      </c>
      <c r="N442" s="257">
        <v>150000000</v>
      </c>
    </row>
    <row r="443" spans="1:14" s="143" customFormat="1" x14ac:dyDescent="0.25">
      <c r="A443" s="143">
        <v>214783</v>
      </c>
      <c r="D443" s="143" t="s">
        <v>69</v>
      </c>
      <c r="E443" s="257">
        <v>108467611690</v>
      </c>
      <c r="F443" s="257">
        <v>106772514109</v>
      </c>
      <c r="G443" s="257">
        <v>106772514109</v>
      </c>
      <c r="H443" s="257">
        <v>108382974.66</v>
      </c>
      <c r="I443" s="257">
        <v>9357478043.9500008</v>
      </c>
      <c r="J443" s="257">
        <v>547821086.23000002</v>
      </c>
      <c r="K443" s="257">
        <v>78227165580.029999</v>
      </c>
      <c r="L443" s="257">
        <v>74792453883.029999</v>
      </c>
      <c r="M443" s="257">
        <v>18531666424.130001</v>
      </c>
      <c r="N443" s="257">
        <v>18531666424.130001</v>
      </c>
    </row>
    <row r="444" spans="1:14" s="143" customFormat="1" x14ac:dyDescent="0.25">
      <c r="A444" s="143" t="s">
        <v>378</v>
      </c>
      <c r="B444" s="143" t="s">
        <v>75</v>
      </c>
      <c r="C444" s="143" t="s">
        <v>76</v>
      </c>
      <c r="D444" s="143" t="s">
        <v>69</v>
      </c>
      <c r="E444" s="257">
        <v>4465420000</v>
      </c>
      <c r="F444" s="257">
        <v>4242755975</v>
      </c>
      <c r="G444" s="257">
        <v>4236781475</v>
      </c>
      <c r="H444" s="257">
        <v>0</v>
      </c>
      <c r="I444" s="257">
        <v>960284.38</v>
      </c>
      <c r="J444" s="257">
        <v>0</v>
      </c>
      <c r="K444" s="257">
        <v>3694411828.6100001</v>
      </c>
      <c r="L444" s="257">
        <v>3694411828.6100001</v>
      </c>
      <c r="M444" s="257">
        <v>547383862.00999999</v>
      </c>
      <c r="N444" s="257">
        <v>541409362.00999999</v>
      </c>
    </row>
    <row r="445" spans="1:14" s="143" customFormat="1" x14ac:dyDescent="0.25">
      <c r="A445" s="143" t="s">
        <v>378</v>
      </c>
      <c r="B445" s="143" t="s">
        <v>79</v>
      </c>
      <c r="C445" s="143" t="s">
        <v>80</v>
      </c>
      <c r="D445" s="143" t="s">
        <v>69</v>
      </c>
      <c r="E445" s="257">
        <v>1545488000</v>
      </c>
      <c r="F445" s="257">
        <v>1352488000</v>
      </c>
      <c r="G445" s="257">
        <v>1352488000</v>
      </c>
      <c r="H445" s="257">
        <v>0</v>
      </c>
      <c r="I445" s="257">
        <v>369693.64</v>
      </c>
      <c r="J445" s="257">
        <v>0</v>
      </c>
      <c r="K445" s="257">
        <v>1231211446.75</v>
      </c>
      <c r="L445" s="257">
        <v>1231211446.75</v>
      </c>
      <c r="M445" s="257">
        <v>120906859.61</v>
      </c>
      <c r="N445" s="257">
        <v>120906859.61</v>
      </c>
    </row>
    <row r="446" spans="1:14" s="143" customFormat="1" x14ac:dyDescent="0.25">
      <c r="A446" s="143" t="s">
        <v>378</v>
      </c>
      <c r="B446" s="143" t="s">
        <v>81</v>
      </c>
      <c r="C446" s="143" t="s">
        <v>82</v>
      </c>
      <c r="D446" s="143" t="s">
        <v>69</v>
      </c>
      <c r="E446" s="257">
        <v>2806395000</v>
      </c>
      <c r="F446" s="257">
        <v>2380895000</v>
      </c>
      <c r="G446" s="257">
        <v>2380895000</v>
      </c>
      <c r="H446" s="257">
        <v>0</v>
      </c>
      <c r="I446" s="257">
        <v>274282.77</v>
      </c>
      <c r="J446" s="257">
        <v>0</v>
      </c>
      <c r="K446" s="257">
        <v>2148309100.54</v>
      </c>
      <c r="L446" s="257">
        <v>2148309100.54</v>
      </c>
      <c r="M446" s="257">
        <v>232311616.69</v>
      </c>
      <c r="N446" s="257">
        <v>232311616.69</v>
      </c>
    </row>
    <row r="447" spans="1:14" s="143" customFormat="1" x14ac:dyDescent="0.25">
      <c r="A447" s="143" t="s">
        <v>378</v>
      </c>
      <c r="B447" s="143" t="s">
        <v>86</v>
      </c>
      <c r="C447" s="143" t="s">
        <v>87</v>
      </c>
      <c r="D447" s="143" t="s">
        <v>69</v>
      </c>
      <c r="E447" s="257">
        <v>713716000</v>
      </c>
      <c r="F447" s="257">
        <v>721716000</v>
      </c>
      <c r="G447" s="257">
        <v>721716000</v>
      </c>
      <c r="H447" s="257">
        <v>0</v>
      </c>
      <c r="I447" s="257">
        <v>137893.68</v>
      </c>
      <c r="J447" s="257">
        <v>0</v>
      </c>
      <c r="K447" s="257">
        <v>718026069.89999998</v>
      </c>
      <c r="L447" s="257">
        <v>718026069.89999998</v>
      </c>
      <c r="M447" s="257">
        <v>3552036.42</v>
      </c>
      <c r="N447" s="257">
        <v>3552036.42</v>
      </c>
    </row>
    <row r="448" spans="1:14" s="143" customFormat="1" x14ac:dyDescent="0.25">
      <c r="A448" s="143" t="s">
        <v>378</v>
      </c>
      <c r="B448" s="143" t="s">
        <v>88</v>
      </c>
      <c r="C448" s="143" t="s">
        <v>89</v>
      </c>
      <c r="D448" s="143" t="s">
        <v>69</v>
      </c>
      <c r="E448" s="257">
        <v>1280679000</v>
      </c>
      <c r="F448" s="257">
        <v>1173179000</v>
      </c>
      <c r="G448" s="257">
        <v>1173179000</v>
      </c>
      <c r="H448" s="257">
        <v>0</v>
      </c>
      <c r="I448" s="257">
        <v>228568.98</v>
      </c>
      <c r="J448" s="257">
        <v>0</v>
      </c>
      <c r="K448" s="257">
        <v>1030892163.46</v>
      </c>
      <c r="L448" s="257">
        <v>1030892163.46</v>
      </c>
      <c r="M448" s="257">
        <v>142058267.56</v>
      </c>
      <c r="N448" s="257">
        <v>142058267.56</v>
      </c>
    </row>
    <row r="449" spans="1:14" s="143" customFormat="1" x14ac:dyDescent="0.25">
      <c r="A449" s="143" t="s">
        <v>378</v>
      </c>
      <c r="B449" s="143" t="s">
        <v>83</v>
      </c>
      <c r="C449" s="143" t="s">
        <v>84</v>
      </c>
      <c r="D449" s="143" t="s">
        <v>85</v>
      </c>
      <c r="E449" s="257">
        <v>881376000</v>
      </c>
      <c r="F449" s="257">
        <v>881376000</v>
      </c>
      <c r="G449" s="257">
        <v>881376000</v>
      </c>
      <c r="H449" s="257">
        <v>0</v>
      </c>
      <c r="I449" s="257">
        <v>0</v>
      </c>
      <c r="J449" s="257">
        <v>0</v>
      </c>
      <c r="K449" s="257">
        <v>116304.77</v>
      </c>
      <c r="L449" s="257">
        <v>116304.77</v>
      </c>
      <c r="M449" s="257">
        <v>881259695.23000002</v>
      </c>
      <c r="N449" s="257">
        <v>881259695.23000002</v>
      </c>
    </row>
    <row r="450" spans="1:14" s="143" customFormat="1" x14ac:dyDescent="0.25">
      <c r="A450" s="143" t="s">
        <v>378</v>
      </c>
      <c r="B450" s="143" t="s">
        <v>379</v>
      </c>
      <c r="C450" s="143" t="s">
        <v>827</v>
      </c>
      <c r="D450" s="143" t="s">
        <v>69</v>
      </c>
      <c r="E450" s="257">
        <v>1000083000</v>
      </c>
      <c r="F450" s="257">
        <v>915035940</v>
      </c>
      <c r="G450" s="257">
        <v>915035940</v>
      </c>
      <c r="H450" s="257">
        <v>0</v>
      </c>
      <c r="I450" s="257">
        <v>99807997</v>
      </c>
      <c r="J450" s="257">
        <v>0</v>
      </c>
      <c r="K450" s="257">
        <v>815227943</v>
      </c>
      <c r="L450" s="257">
        <v>815227943</v>
      </c>
      <c r="M450" s="257">
        <v>0</v>
      </c>
      <c r="N450" s="257">
        <v>0</v>
      </c>
    </row>
    <row r="451" spans="1:14" s="143" customFormat="1" x14ac:dyDescent="0.25">
      <c r="A451" s="143" t="s">
        <v>378</v>
      </c>
      <c r="B451" s="143" t="s">
        <v>380</v>
      </c>
      <c r="C451" s="143" t="s">
        <v>95</v>
      </c>
      <c r="D451" s="143" t="s">
        <v>69</v>
      </c>
      <c r="E451" s="257">
        <v>54059000</v>
      </c>
      <c r="F451" s="257">
        <v>49461860</v>
      </c>
      <c r="G451" s="257">
        <v>49461860</v>
      </c>
      <c r="H451" s="257">
        <v>0</v>
      </c>
      <c r="I451" s="257">
        <v>5398061</v>
      </c>
      <c r="J451" s="257">
        <v>0</v>
      </c>
      <c r="K451" s="257">
        <v>44063799</v>
      </c>
      <c r="L451" s="257">
        <v>44063799</v>
      </c>
      <c r="M451" s="257">
        <v>0</v>
      </c>
      <c r="N451" s="257">
        <v>0</v>
      </c>
    </row>
    <row r="452" spans="1:14" s="143" customFormat="1" x14ac:dyDescent="0.25">
      <c r="A452" s="143" t="s">
        <v>378</v>
      </c>
      <c r="B452" s="143" t="s">
        <v>381</v>
      </c>
      <c r="C452" s="143" t="s">
        <v>828</v>
      </c>
      <c r="D452" s="143" t="s">
        <v>69</v>
      </c>
      <c r="E452" s="257">
        <v>549235000</v>
      </c>
      <c r="F452" s="257">
        <v>417528070</v>
      </c>
      <c r="G452" s="257">
        <v>417528070</v>
      </c>
      <c r="H452" s="257">
        <v>0</v>
      </c>
      <c r="I452" s="257">
        <v>43141153</v>
      </c>
      <c r="J452" s="257">
        <v>0</v>
      </c>
      <c r="K452" s="257">
        <v>374386917</v>
      </c>
      <c r="L452" s="257">
        <v>374386917</v>
      </c>
      <c r="M452" s="257">
        <v>0</v>
      </c>
      <c r="N452" s="257">
        <v>0</v>
      </c>
    </row>
    <row r="453" spans="1:14" s="143" customFormat="1" x14ac:dyDescent="0.25">
      <c r="A453" s="143" t="s">
        <v>378</v>
      </c>
      <c r="B453" s="143" t="s">
        <v>382</v>
      </c>
      <c r="C453" s="143" t="s">
        <v>829</v>
      </c>
      <c r="D453" s="143" t="s">
        <v>69</v>
      </c>
      <c r="E453" s="257">
        <v>162176000</v>
      </c>
      <c r="F453" s="257">
        <v>148384590</v>
      </c>
      <c r="G453" s="257">
        <v>148384590</v>
      </c>
      <c r="H453" s="257">
        <v>0</v>
      </c>
      <c r="I453" s="257">
        <v>16193204</v>
      </c>
      <c r="J453" s="257">
        <v>0</v>
      </c>
      <c r="K453" s="257">
        <v>132191386</v>
      </c>
      <c r="L453" s="257">
        <v>132191386</v>
      </c>
      <c r="M453" s="257">
        <v>0</v>
      </c>
      <c r="N453" s="257">
        <v>0</v>
      </c>
    </row>
    <row r="454" spans="1:14" s="143" customFormat="1" x14ac:dyDescent="0.25">
      <c r="A454" s="143" t="s">
        <v>378</v>
      </c>
      <c r="B454" s="143" t="s">
        <v>383</v>
      </c>
      <c r="C454" s="143" t="s">
        <v>830</v>
      </c>
      <c r="D454" s="143" t="s">
        <v>69</v>
      </c>
      <c r="E454" s="257">
        <v>324351000</v>
      </c>
      <c r="F454" s="257">
        <v>296768170</v>
      </c>
      <c r="G454" s="257">
        <v>296768170</v>
      </c>
      <c r="H454" s="257">
        <v>0</v>
      </c>
      <c r="I454" s="257">
        <v>32385401</v>
      </c>
      <c r="J454" s="257">
        <v>0</v>
      </c>
      <c r="K454" s="257">
        <v>264382769</v>
      </c>
      <c r="L454" s="257">
        <v>264382769</v>
      </c>
      <c r="M454" s="257">
        <v>0</v>
      </c>
      <c r="N454" s="257">
        <v>0</v>
      </c>
    </row>
    <row r="455" spans="1:14" s="143" customFormat="1" x14ac:dyDescent="0.25">
      <c r="A455" s="143" t="s">
        <v>378</v>
      </c>
      <c r="B455" s="143" t="s">
        <v>384</v>
      </c>
      <c r="C455" s="143" t="s">
        <v>385</v>
      </c>
      <c r="D455" s="143" t="s">
        <v>69</v>
      </c>
      <c r="E455" s="257">
        <v>90000000</v>
      </c>
      <c r="F455" s="257">
        <v>91000000</v>
      </c>
      <c r="G455" s="257">
        <v>91000000</v>
      </c>
      <c r="H455" s="257">
        <v>0</v>
      </c>
      <c r="I455" s="257">
        <v>6536838.6799999997</v>
      </c>
      <c r="J455" s="257">
        <v>0</v>
      </c>
      <c r="K455" s="257">
        <v>83463161.319999993</v>
      </c>
      <c r="L455" s="257">
        <v>76557983.260000005</v>
      </c>
      <c r="M455" s="257">
        <v>1000000</v>
      </c>
      <c r="N455" s="257">
        <v>1000000</v>
      </c>
    </row>
    <row r="456" spans="1:14" s="143" customFormat="1" x14ac:dyDescent="0.25">
      <c r="A456" s="143" t="s">
        <v>378</v>
      </c>
      <c r="B456" s="143" t="s">
        <v>152</v>
      </c>
      <c r="C456" s="143" t="s">
        <v>153</v>
      </c>
      <c r="D456" s="143" t="s">
        <v>69</v>
      </c>
      <c r="E456" s="257">
        <v>37000000</v>
      </c>
      <c r="F456" s="257">
        <v>39000000</v>
      </c>
      <c r="G456" s="257">
        <v>39000000</v>
      </c>
      <c r="H456" s="257">
        <v>0</v>
      </c>
      <c r="I456" s="257">
        <v>410517</v>
      </c>
      <c r="J456" s="257">
        <v>0</v>
      </c>
      <c r="K456" s="257">
        <v>38589483</v>
      </c>
      <c r="L456" s="257">
        <v>38589483</v>
      </c>
      <c r="M456" s="257">
        <v>0</v>
      </c>
      <c r="N456" s="257">
        <v>0</v>
      </c>
    </row>
    <row r="457" spans="1:14" s="143" customFormat="1" x14ac:dyDescent="0.25">
      <c r="A457" s="143" t="s">
        <v>378</v>
      </c>
      <c r="B457" s="143" t="s">
        <v>386</v>
      </c>
      <c r="C457" s="143" t="s">
        <v>832</v>
      </c>
      <c r="D457" s="143" t="s">
        <v>69</v>
      </c>
      <c r="E457" s="257">
        <v>62708000</v>
      </c>
      <c r="F457" s="257">
        <v>57375320</v>
      </c>
      <c r="G457" s="257">
        <v>57375320</v>
      </c>
      <c r="H457" s="257">
        <v>0</v>
      </c>
      <c r="I457" s="257">
        <v>6261333.4000000004</v>
      </c>
      <c r="J457" s="257">
        <v>0</v>
      </c>
      <c r="K457" s="257">
        <v>51113986.600000001</v>
      </c>
      <c r="L457" s="257">
        <v>51113986.600000001</v>
      </c>
      <c r="M457" s="257">
        <v>0</v>
      </c>
      <c r="N457" s="257">
        <v>0</v>
      </c>
    </row>
    <row r="458" spans="1:14" s="143" customFormat="1" x14ac:dyDescent="0.25">
      <c r="A458" s="143" t="s">
        <v>378</v>
      </c>
      <c r="B458" s="143" t="s">
        <v>387</v>
      </c>
      <c r="C458" s="143" t="s">
        <v>833</v>
      </c>
      <c r="D458" s="143" t="s">
        <v>69</v>
      </c>
      <c r="E458" s="257">
        <v>27030000</v>
      </c>
      <c r="F458" s="257">
        <v>24731430</v>
      </c>
      <c r="G458" s="257">
        <v>24731430</v>
      </c>
      <c r="H458" s="257">
        <v>0</v>
      </c>
      <c r="I458" s="257">
        <v>2699539.21</v>
      </c>
      <c r="J458" s="257">
        <v>0</v>
      </c>
      <c r="K458" s="257">
        <v>22031890.789999999</v>
      </c>
      <c r="L458" s="257">
        <v>22031890.789999999</v>
      </c>
      <c r="M458" s="257">
        <v>0</v>
      </c>
      <c r="N458" s="257">
        <v>0</v>
      </c>
    </row>
    <row r="459" spans="1:14" s="143" customFormat="1" x14ac:dyDescent="0.25">
      <c r="A459" s="143" t="s">
        <v>378</v>
      </c>
      <c r="B459" s="143" t="s">
        <v>262</v>
      </c>
      <c r="C459" s="143" t="s">
        <v>263</v>
      </c>
      <c r="D459" s="143" t="s">
        <v>69</v>
      </c>
      <c r="E459" s="257">
        <v>170000000</v>
      </c>
      <c r="F459" s="257">
        <v>255025500</v>
      </c>
      <c r="G459" s="257">
        <v>255025500</v>
      </c>
      <c r="H459" s="257">
        <v>0</v>
      </c>
      <c r="I459" s="257">
        <v>61753769.729999997</v>
      </c>
      <c r="J459" s="257">
        <v>0</v>
      </c>
      <c r="K459" s="257">
        <v>193271730.27000001</v>
      </c>
      <c r="L459" s="257">
        <v>167891997.97</v>
      </c>
      <c r="M459" s="257">
        <v>0</v>
      </c>
      <c r="N459" s="257">
        <v>0</v>
      </c>
    </row>
    <row r="460" spans="1:14" x14ac:dyDescent="0.25">
      <c r="A460" s="143" t="s">
        <v>378</v>
      </c>
      <c r="B460" s="143" t="s">
        <v>264</v>
      </c>
      <c r="C460" s="143" t="s">
        <v>265</v>
      </c>
      <c r="D460" s="143" t="s">
        <v>69</v>
      </c>
      <c r="E460" s="257">
        <v>65000000</v>
      </c>
      <c r="F460" s="257">
        <v>56268300</v>
      </c>
      <c r="G460" s="257">
        <v>56268300</v>
      </c>
      <c r="H460" s="257">
        <v>0</v>
      </c>
      <c r="I460" s="257">
        <v>0</v>
      </c>
      <c r="J460" s="257">
        <v>0</v>
      </c>
      <c r="K460" s="257">
        <v>52095917.780000001</v>
      </c>
      <c r="L460" s="257">
        <v>52095917.780000001</v>
      </c>
      <c r="M460" s="257">
        <v>4172382.22</v>
      </c>
      <c r="N460" s="257">
        <v>4172382.22</v>
      </c>
    </row>
    <row r="461" spans="1:14" x14ac:dyDescent="0.25">
      <c r="A461" s="143" t="s">
        <v>378</v>
      </c>
      <c r="B461" s="143" t="s">
        <v>288</v>
      </c>
      <c r="C461" s="143" t="s">
        <v>289</v>
      </c>
      <c r="D461" s="143" t="s">
        <v>69</v>
      </c>
      <c r="E461" s="257">
        <v>7000000</v>
      </c>
      <c r="F461" s="257">
        <v>16561100</v>
      </c>
      <c r="G461" s="257">
        <v>16561100</v>
      </c>
      <c r="H461" s="257">
        <v>0</v>
      </c>
      <c r="I461" s="257">
        <v>9880162.9299999997</v>
      </c>
      <c r="J461" s="257">
        <v>0</v>
      </c>
      <c r="K461" s="257">
        <v>6680937.0700000003</v>
      </c>
      <c r="L461" s="257">
        <v>6680937.0700000003</v>
      </c>
      <c r="M461" s="257">
        <v>0</v>
      </c>
      <c r="N461" s="257">
        <v>0</v>
      </c>
    </row>
    <row r="462" spans="1:14" x14ac:dyDescent="0.25">
      <c r="A462" s="143" t="s">
        <v>378</v>
      </c>
      <c r="B462" s="143" t="s">
        <v>370</v>
      </c>
      <c r="C462" s="143" t="s">
        <v>371</v>
      </c>
      <c r="D462" s="143" t="s">
        <v>69</v>
      </c>
      <c r="E462" s="257">
        <v>9000000</v>
      </c>
      <c r="F462" s="257">
        <v>25750000</v>
      </c>
      <c r="G462" s="257">
        <v>25750000</v>
      </c>
      <c r="H462" s="257">
        <v>0</v>
      </c>
      <c r="I462" s="257">
        <v>9547014.1099999994</v>
      </c>
      <c r="J462" s="257">
        <v>0</v>
      </c>
      <c r="K462" s="257">
        <v>16202985.890000001</v>
      </c>
      <c r="L462" s="257">
        <v>15906014.85</v>
      </c>
      <c r="M462" s="257">
        <v>0</v>
      </c>
      <c r="N462" s="257">
        <v>0</v>
      </c>
    </row>
    <row r="463" spans="1:14" x14ac:dyDescent="0.25">
      <c r="A463" s="143" t="s">
        <v>378</v>
      </c>
      <c r="B463" s="143" t="s">
        <v>73</v>
      </c>
      <c r="C463" s="143" t="s">
        <v>74</v>
      </c>
      <c r="D463" s="143" t="s">
        <v>69</v>
      </c>
      <c r="E463" s="257">
        <v>4465420000</v>
      </c>
      <c r="F463" s="257">
        <v>4242755975</v>
      </c>
      <c r="G463" s="257">
        <v>4236781475</v>
      </c>
      <c r="H463" s="257">
        <v>0</v>
      </c>
      <c r="I463" s="257">
        <v>960284.38</v>
      </c>
      <c r="J463" s="257">
        <v>0</v>
      </c>
      <c r="K463" s="257">
        <v>3694411828.6100001</v>
      </c>
      <c r="L463" s="257">
        <v>3694411828.6100001</v>
      </c>
      <c r="M463" s="257">
        <v>547383862.00999999</v>
      </c>
      <c r="N463" s="257">
        <v>541409362.00999999</v>
      </c>
    </row>
    <row r="464" spans="1:14" x14ac:dyDescent="0.25">
      <c r="A464" s="143" t="s">
        <v>378</v>
      </c>
      <c r="B464" s="143" t="s">
        <v>77</v>
      </c>
      <c r="C464" s="143" t="s">
        <v>78</v>
      </c>
      <c r="D464" s="143" t="s">
        <v>69</v>
      </c>
      <c r="E464" s="257">
        <v>7227654000</v>
      </c>
      <c r="F464" s="257">
        <v>6509654000</v>
      </c>
      <c r="G464" s="257">
        <v>6509654000</v>
      </c>
      <c r="H464" s="257">
        <v>0</v>
      </c>
      <c r="I464" s="257">
        <v>1010439.07</v>
      </c>
      <c r="J464" s="257">
        <v>0</v>
      </c>
      <c r="K464" s="257">
        <v>5128555085.4200001</v>
      </c>
      <c r="L464" s="257">
        <v>5128555085.4200001</v>
      </c>
      <c r="M464" s="257">
        <v>1380088475.51</v>
      </c>
      <c r="N464" s="257">
        <v>1380088475.51</v>
      </c>
    </row>
    <row r="465" spans="1:14" x14ac:dyDescent="0.25">
      <c r="A465" s="143" t="s">
        <v>378</v>
      </c>
      <c r="B465" s="143" t="s">
        <v>90</v>
      </c>
      <c r="C465" s="143" t="s">
        <v>91</v>
      </c>
      <c r="D465" s="143" t="s">
        <v>69</v>
      </c>
      <c r="E465" s="257">
        <v>1054142000</v>
      </c>
      <c r="F465" s="257">
        <v>964497800</v>
      </c>
      <c r="G465" s="257">
        <v>964497800</v>
      </c>
      <c r="H465" s="257">
        <v>0</v>
      </c>
      <c r="I465" s="257">
        <v>105206058</v>
      </c>
      <c r="J465" s="257">
        <v>0</v>
      </c>
      <c r="K465" s="257">
        <v>859291742</v>
      </c>
      <c r="L465" s="257">
        <v>859291742</v>
      </c>
      <c r="M465" s="257">
        <v>0</v>
      </c>
      <c r="N465" s="257">
        <v>0</v>
      </c>
    </row>
    <row r="466" spans="1:14" x14ac:dyDescent="0.25">
      <c r="A466" s="143" t="s">
        <v>378</v>
      </c>
      <c r="B466" s="143" t="s">
        <v>96</v>
      </c>
      <c r="C466" s="143" t="s">
        <v>97</v>
      </c>
      <c r="D466" s="143" t="s">
        <v>69</v>
      </c>
      <c r="E466" s="257">
        <v>1125762000</v>
      </c>
      <c r="F466" s="257">
        <v>953680830</v>
      </c>
      <c r="G466" s="257">
        <v>953680830</v>
      </c>
      <c r="H466" s="257">
        <v>0</v>
      </c>
      <c r="I466" s="257">
        <v>98256596.680000007</v>
      </c>
      <c r="J466" s="257">
        <v>0</v>
      </c>
      <c r="K466" s="257">
        <v>854424233.32000005</v>
      </c>
      <c r="L466" s="257">
        <v>847519055.25999999</v>
      </c>
      <c r="M466" s="257">
        <v>1000000</v>
      </c>
      <c r="N466" s="257">
        <v>1000000</v>
      </c>
    </row>
    <row r="467" spans="1:14" x14ac:dyDescent="0.25">
      <c r="A467" s="143" t="s">
        <v>378</v>
      </c>
      <c r="B467" s="143" t="s">
        <v>150</v>
      </c>
      <c r="C467" s="143" t="s">
        <v>151</v>
      </c>
      <c r="D467" s="143" t="s">
        <v>69</v>
      </c>
      <c r="E467" s="257">
        <v>37000000</v>
      </c>
      <c r="F467" s="257">
        <v>39000000</v>
      </c>
      <c r="G467" s="257">
        <v>39000000</v>
      </c>
      <c r="H467" s="257">
        <v>0</v>
      </c>
      <c r="I467" s="257">
        <v>410517</v>
      </c>
      <c r="J467" s="257">
        <v>0</v>
      </c>
      <c r="K467" s="257">
        <v>38589483</v>
      </c>
      <c r="L467" s="257">
        <v>38589483</v>
      </c>
      <c r="M467" s="257">
        <v>0</v>
      </c>
      <c r="N467" s="257">
        <v>0</v>
      </c>
    </row>
    <row r="468" spans="1:14" x14ac:dyDescent="0.25">
      <c r="A468" s="143" t="s">
        <v>378</v>
      </c>
      <c r="B468" s="143" t="s">
        <v>250</v>
      </c>
      <c r="C468" s="143" t="s">
        <v>251</v>
      </c>
      <c r="D468" s="143" t="s">
        <v>69</v>
      </c>
      <c r="E468" s="257">
        <v>89738000</v>
      </c>
      <c r="F468" s="257">
        <v>82106750</v>
      </c>
      <c r="G468" s="257">
        <v>82106750</v>
      </c>
      <c r="H468" s="257">
        <v>0</v>
      </c>
      <c r="I468" s="257">
        <v>8960872.6099999994</v>
      </c>
      <c r="J468" s="257">
        <v>0</v>
      </c>
      <c r="K468" s="257">
        <v>73145877.390000001</v>
      </c>
      <c r="L468" s="257">
        <v>73145877.390000001</v>
      </c>
      <c r="M468" s="257">
        <v>0</v>
      </c>
      <c r="N468" s="257">
        <v>0</v>
      </c>
    </row>
    <row r="469" spans="1:14" x14ac:dyDescent="0.25">
      <c r="A469" s="143" t="s">
        <v>378</v>
      </c>
      <c r="B469" s="143" t="s">
        <v>260</v>
      </c>
      <c r="C469" s="143" t="s">
        <v>261</v>
      </c>
      <c r="D469" s="143" t="s">
        <v>69</v>
      </c>
      <c r="E469" s="257">
        <v>235000000</v>
      </c>
      <c r="F469" s="257">
        <v>311293800</v>
      </c>
      <c r="G469" s="257">
        <v>311293800</v>
      </c>
      <c r="H469" s="257">
        <v>0</v>
      </c>
      <c r="I469" s="257">
        <v>61753769.729999997</v>
      </c>
      <c r="J469" s="257">
        <v>0</v>
      </c>
      <c r="K469" s="257">
        <v>245367648.05000001</v>
      </c>
      <c r="L469" s="257">
        <v>219987915.75</v>
      </c>
      <c r="M469" s="257">
        <v>4172382.22</v>
      </c>
      <c r="N469" s="257">
        <v>4172382.22</v>
      </c>
    </row>
    <row r="470" spans="1:14" x14ac:dyDescent="0.25">
      <c r="A470" s="143" t="s">
        <v>378</v>
      </c>
      <c r="B470" s="143" t="s">
        <v>286</v>
      </c>
      <c r="C470" s="143" t="s">
        <v>287</v>
      </c>
      <c r="D470" s="143" t="s">
        <v>69</v>
      </c>
      <c r="E470" s="257">
        <v>16000000</v>
      </c>
      <c r="F470" s="257">
        <v>42311100</v>
      </c>
      <c r="G470" s="257">
        <v>42311100</v>
      </c>
      <c r="H470" s="257">
        <v>0</v>
      </c>
      <c r="I470" s="257">
        <v>19427177.039999999</v>
      </c>
      <c r="J470" s="257">
        <v>0</v>
      </c>
      <c r="K470" s="257">
        <v>22883922.960000001</v>
      </c>
      <c r="L470" s="257">
        <v>22586951.920000002</v>
      </c>
      <c r="M470" s="257">
        <v>0</v>
      </c>
      <c r="N470" s="257">
        <v>0</v>
      </c>
    </row>
    <row r="471" spans="1:14" x14ac:dyDescent="0.25">
      <c r="A471" s="143" t="s">
        <v>378</v>
      </c>
      <c r="B471" s="143" t="s">
        <v>71</v>
      </c>
      <c r="C471" s="143" t="s">
        <v>72</v>
      </c>
      <c r="D471" s="143" t="s">
        <v>69</v>
      </c>
      <c r="E471" s="257">
        <v>13872978000</v>
      </c>
      <c r="F471" s="257">
        <v>12670588605</v>
      </c>
      <c r="G471" s="257">
        <v>12664614105</v>
      </c>
      <c r="H471" s="257">
        <v>0</v>
      </c>
      <c r="I471" s="257">
        <v>205433378.13</v>
      </c>
      <c r="J471" s="257">
        <v>0</v>
      </c>
      <c r="K471" s="257">
        <v>10536682889.35</v>
      </c>
      <c r="L471" s="257">
        <v>10529777711.290001</v>
      </c>
      <c r="M471" s="257">
        <v>1928472337.52</v>
      </c>
      <c r="N471" s="257">
        <v>1922497837.52</v>
      </c>
    </row>
    <row r="472" spans="1:14" x14ac:dyDescent="0.25">
      <c r="A472" s="143" t="s">
        <v>378</v>
      </c>
      <c r="B472" s="143" t="s">
        <v>104</v>
      </c>
      <c r="C472" s="143" t="s">
        <v>105</v>
      </c>
      <c r="D472" s="143" t="s">
        <v>69</v>
      </c>
      <c r="E472" s="257">
        <v>37000000</v>
      </c>
      <c r="F472" s="257">
        <v>39000000</v>
      </c>
      <c r="G472" s="257">
        <v>39000000</v>
      </c>
      <c r="H472" s="257">
        <v>0</v>
      </c>
      <c r="I472" s="257">
        <v>410517</v>
      </c>
      <c r="J472" s="257">
        <v>0</v>
      </c>
      <c r="K472" s="257">
        <v>38589483</v>
      </c>
      <c r="L472" s="257">
        <v>38589483</v>
      </c>
      <c r="M472" s="257">
        <v>0</v>
      </c>
      <c r="N472" s="257">
        <v>0</v>
      </c>
    </row>
    <row r="473" spans="1:14" x14ac:dyDescent="0.25">
      <c r="A473" s="143" t="s">
        <v>378</v>
      </c>
      <c r="B473" s="143" t="s">
        <v>248</v>
      </c>
      <c r="C473" s="143" t="s">
        <v>249</v>
      </c>
      <c r="D473" s="143" t="s">
        <v>69</v>
      </c>
      <c r="E473" s="257">
        <v>340738000</v>
      </c>
      <c r="F473" s="257">
        <v>435711650</v>
      </c>
      <c r="G473" s="257">
        <v>435711650</v>
      </c>
      <c r="H473" s="257">
        <v>0</v>
      </c>
      <c r="I473" s="257">
        <v>90141819.379999995</v>
      </c>
      <c r="J473" s="257">
        <v>0</v>
      </c>
      <c r="K473" s="257">
        <v>341397448.39999998</v>
      </c>
      <c r="L473" s="257">
        <v>315720745.06</v>
      </c>
      <c r="M473" s="257">
        <v>4172382.22</v>
      </c>
      <c r="N473" s="257">
        <v>4172382.22</v>
      </c>
    </row>
    <row r="474" spans="1:14" x14ac:dyDescent="0.25">
      <c r="A474" s="143">
        <v>214784</v>
      </c>
      <c r="B474" s="143"/>
      <c r="C474" s="143"/>
      <c r="D474" s="143" t="s">
        <v>69</v>
      </c>
      <c r="E474" s="257">
        <v>14250716000</v>
      </c>
      <c r="F474" s="257">
        <v>13145300255</v>
      </c>
      <c r="G474" s="257">
        <v>13139325755</v>
      </c>
      <c r="H474" s="257">
        <v>0</v>
      </c>
      <c r="I474" s="257">
        <v>295985714.50999999</v>
      </c>
      <c r="J474" s="257">
        <v>0</v>
      </c>
      <c r="K474" s="257">
        <v>10916669820.75</v>
      </c>
      <c r="L474" s="257">
        <v>10884087939.35</v>
      </c>
      <c r="M474" s="257">
        <v>1932644719.74</v>
      </c>
      <c r="N474" s="257">
        <v>1926670219.74</v>
      </c>
    </row>
    <row r="475" spans="1:14" x14ac:dyDescent="0.25">
      <c r="A475" s="53"/>
      <c r="B475" s="53"/>
      <c r="C475" s="53"/>
      <c r="D475" s="53"/>
      <c r="E475" s="54">
        <v>691419513450</v>
      </c>
      <c r="F475" s="54">
        <v>671511094915</v>
      </c>
      <c r="G475" s="54">
        <v>671481222410</v>
      </c>
      <c r="H475" s="54">
        <v>747934146.45000005</v>
      </c>
      <c r="I475" s="54">
        <v>52057433759.650002</v>
      </c>
      <c r="J475" s="54">
        <v>2910452274.6500001</v>
      </c>
      <c r="K475" s="54">
        <v>500278861442.20001</v>
      </c>
      <c r="L475" s="54">
        <v>481695726432.65002</v>
      </c>
      <c r="M475" s="54">
        <v>115516413292.05</v>
      </c>
      <c r="N475" s="54">
        <v>115486540787.05</v>
      </c>
    </row>
  </sheetData>
  <sheetProtection selectLockedCells="1" selectUnlockedCells="1"/>
  <conditionalFormatting sqref="K2:K480">
    <cfRule type="cellIs" dxfId="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zoomScaleNormal="100" workbookViewId="0"/>
  </sheetViews>
  <sheetFormatPr baseColWidth="10" defaultColWidth="11" defaultRowHeight="15" x14ac:dyDescent="0.25"/>
  <cols>
    <col min="1" max="1" width="5.7109375" customWidth="1"/>
    <col min="2" max="2" width="18.85546875" customWidth="1"/>
    <col min="3" max="3" width="18" customWidth="1"/>
    <col min="4" max="4" width="16.85546875" customWidth="1"/>
    <col min="5" max="5" width="14.7109375" customWidth="1"/>
    <col min="6" max="6" width="7.42578125" customWidth="1"/>
    <col min="7" max="7" width="15.7109375" customWidth="1"/>
    <col min="8" max="8" width="7.140625" customWidth="1"/>
    <col min="9" max="9" width="13.28515625" customWidth="1"/>
    <col min="10" max="10" width="7.5703125" customWidth="1"/>
    <col min="11" max="11" width="16.85546875" customWidth="1"/>
    <col min="12" max="12" width="7.28515625" customWidth="1"/>
    <col min="13" max="13" width="16.85546875" customWidth="1"/>
    <col min="14" max="14" width="6.7109375" customWidth="1"/>
    <col min="15" max="15" width="16.85546875" customWidth="1"/>
    <col min="16" max="16" width="7.7109375" customWidth="1"/>
    <col min="17" max="17" width="15.7109375" customWidth="1"/>
    <col min="18" max="18" width="6.7109375" customWidth="1"/>
  </cols>
  <sheetData>
    <row r="1" spans="1:19" ht="15.75" x14ac:dyDescent="0.25">
      <c r="A1" s="191" t="e">
        <f>#N/A</f>
        <v>#N/A</v>
      </c>
      <c r="B1" s="191"/>
      <c r="C1" s="191"/>
    </row>
    <row r="2" spans="1:19" ht="24" x14ac:dyDescent="0.25">
      <c r="A2" s="64" t="s">
        <v>393</v>
      </c>
      <c r="B2" s="64"/>
      <c r="C2" s="64" t="s">
        <v>395</v>
      </c>
      <c r="D2" s="64" t="s">
        <v>723</v>
      </c>
      <c r="E2" s="64" t="s">
        <v>59</v>
      </c>
      <c r="F2" s="64" t="s">
        <v>396</v>
      </c>
      <c r="G2" s="64" t="s">
        <v>60</v>
      </c>
      <c r="H2" s="64" t="s">
        <v>397</v>
      </c>
      <c r="I2" s="64" t="s">
        <v>11</v>
      </c>
      <c r="J2" s="64" t="s">
        <v>398</v>
      </c>
      <c r="K2" s="64" t="s">
        <v>12</v>
      </c>
      <c r="L2" s="64" t="s">
        <v>399</v>
      </c>
      <c r="M2" s="64" t="s">
        <v>63</v>
      </c>
      <c r="N2" s="64" t="s">
        <v>64</v>
      </c>
      <c r="O2" s="64" t="s">
        <v>724</v>
      </c>
      <c r="P2" s="64" t="s">
        <v>400</v>
      </c>
      <c r="Q2" s="64" t="s">
        <v>725</v>
      </c>
      <c r="R2" s="65" t="s">
        <v>401</v>
      </c>
    </row>
    <row r="3" spans="1:19" x14ac:dyDescent="0.25">
      <c r="A3" s="66" t="s">
        <v>402</v>
      </c>
      <c r="B3" s="66"/>
      <c r="C3" s="66" t="s">
        <v>403</v>
      </c>
      <c r="D3" s="66" t="s">
        <v>403</v>
      </c>
      <c r="E3" s="66" t="s">
        <v>403</v>
      </c>
      <c r="F3" s="192"/>
      <c r="G3" s="66" t="s">
        <v>403</v>
      </c>
      <c r="H3" s="66"/>
      <c r="I3" s="66" t="s">
        <v>403</v>
      </c>
      <c r="J3" s="192"/>
      <c r="K3" s="66" t="s">
        <v>403</v>
      </c>
      <c r="L3" s="66"/>
      <c r="M3" s="66" t="s">
        <v>403</v>
      </c>
      <c r="N3" s="66"/>
      <c r="O3" s="66" t="s">
        <v>403</v>
      </c>
      <c r="P3" s="66"/>
      <c r="Q3" s="66" t="s">
        <v>403</v>
      </c>
      <c r="R3" s="69"/>
    </row>
    <row r="4" spans="1:19" x14ac:dyDescent="0.25">
      <c r="A4" s="66" t="s">
        <v>71</v>
      </c>
      <c r="B4" s="66" t="s">
        <v>72</v>
      </c>
      <c r="C4" s="69" t="e">
        <f t="shared" ref="C4:C10" si="0">SUMIF(,$A4,)</f>
        <v>#VALUE!</v>
      </c>
      <c r="D4" s="69" t="e">
        <f t="shared" ref="D4:D10" si="1">SUMIF(,$A4,)</f>
        <v>#VALUE!</v>
      </c>
      <c r="E4" s="69" t="e">
        <f t="shared" ref="E4:E10" si="2">SUMIF(,$A4,)</f>
        <v>#VALUE!</v>
      </c>
      <c r="F4" s="193" t="e">
        <f t="shared" ref="F4:F11" si="3">+E4/C4</f>
        <v>#VALUE!</v>
      </c>
      <c r="G4" s="69" t="e">
        <f t="shared" ref="G4:G10" si="4">SUMIF(,$A4,)</f>
        <v>#VALUE!</v>
      </c>
      <c r="H4" s="193" t="e">
        <f>+G4/$C$4</f>
        <v>#VALUE!</v>
      </c>
      <c r="I4" s="69" t="e">
        <f t="shared" ref="I4:I10" si="5">SUMIF(,$A4,)</f>
        <v>#VALUE!</v>
      </c>
      <c r="J4" s="193" t="e">
        <f t="shared" ref="J4:J8" si="6">+I4/(E4+G4)</f>
        <v>#VALUE!</v>
      </c>
      <c r="K4" s="69" t="e">
        <f t="shared" ref="K4:K10" si="7">SUMIF(,$A4,)</f>
        <v>#VALUE!</v>
      </c>
      <c r="L4" s="193" t="e">
        <f>+K4/$C$4</f>
        <v>#VALUE!</v>
      </c>
      <c r="M4" s="69" t="e">
        <f t="shared" ref="M4:M10" si="8">SUMIF(,$A4,)</f>
        <v>#VALUE!</v>
      </c>
      <c r="N4" s="193" t="e">
        <f>+M4/$C$4</f>
        <v>#VALUE!</v>
      </c>
      <c r="O4" s="69" t="e">
        <f t="shared" ref="O4:O10" si="9">SUMIF(,$A4,)</f>
        <v>#VALUE!</v>
      </c>
      <c r="P4" s="193" t="e">
        <f>+O4/$C$4</f>
        <v>#VALUE!</v>
      </c>
      <c r="Q4" s="69" t="e">
        <f t="shared" ref="Q4:Q10" si="10">SUMIF(,$A4,)</f>
        <v>#VALUE!</v>
      </c>
      <c r="R4" s="193" t="e">
        <f>+Q4/$C$4</f>
        <v>#VALUE!</v>
      </c>
    </row>
    <row r="5" spans="1:19" x14ac:dyDescent="0.25">
      <c r="A5" s="66" t="s">
        <v>104</v>
      </c>
      <c r="B5" s="66" t="s">
        <v>105</v>
      </c>
      <c r="C5" s="69" t="e">
        <f t="shared" si="0"/>
        <v>#VALUE!</v>
      </c>
      <c r="D5" s="69" t="e">
        <f t="shared" si="1"/>
        <v>#VALUE!</v>
      </c>
      <c r="E5" s="69" t="e">
        <f t="shared" si="2"/>
        <v>#VALUE!</v>
      </c>
      <c r="F5" s="193" t="e">
        <f t="shared" si="3"/>
        <v>#VALUE!</v>
      </c>
      <c r="G5" s="69" t="e">
        <f t="shared" si="4"/>
        <v>#VALUE!</v>
      </c>
      <c r="H5" s="193" t="e">
        <f>+G5/$C$5</f>
        <v>#VALUE!</v>
      </c>
      <c r="I5" s="69" t="e">
        <f t="shared" si="5"/>
        <v>#VALUE!</v>
      </c>
      <c r="J5" s="193" t="e">
        <f t="shared" si="6"/>
        <v>#VALUE!</v>
      </c>
      <c r="K5" s="69" t="e">
        <f t="shared" si="7"/>
        <v>#VALUE!</v>
      </c>
      <c r="L5" s="193" t="e">
        <f>+K5/$C$5</f>
        <v>#VALUE!</v>
      </c>
      <c r="M5" s="69" t="e">
        <f t="shared" si="8"/>
        <v>#VALUE!</v>
      </c>
      <c r="N5" s="193" t="e">
        <f>+M5/$C$5</f>
        <v>#VALUE!</v>
      </c>
      <c r="O5" s="69" t="e">
        <f t="shared" si="9"/>
        <v>#VALUE!</v>
      </c>
      <c r="P5" s="193" t="e">
        <f>+O5/$C$5</f>
        <v>#VALUE!</v>
      </c>
      <c r="Q5" s="69" t="e">
        <f t="shared" si="10"/>
        <v>#VALUE!</v>
      </c>
      <c r="R5" s="193" t="e">
        <f>+Q5/$C$5</f>
        <v>#VALUE!</v>
      </c>
    </row>
    <row r="6" spans="1:19" x14ac:dyDescent="0.25">
      <c r="A6" s="66" t="s">
        <v>184</v>
      </c>
      <c r="B6" s="66" t="s">
        <v>571</v>
      </c>
      <c r="C6" s="69" t="e">
        <f t="shared" si="0"/>
        <v>#VALUE!</v>
      </c>
      <c r="D6" s="69" t="e">
        <f t="shared" si="1"/>
        <v>#VALUE!</v>
      </c>
      <c r="E6" s="69" t="e">
        <f t="shared" si="2"/>
        <v>#VALUE!</v>
      </c>
      <c r="F6" s="193" t="e">
        <f t="shared" si="3"/>
        <v>#VALUE!</v>
      </c>
      <c r="G6" s="69" t="e">
        <f t="shared" si="4"/>
        <v>#VALUE!</v>
      </c>
      <c r="H6" s="193" t="e">
        <f>+G6/$C$6</f>
        <v>#VALUE!</v>
      </c>
      <c r="I6" s="69" t="e">
        <f t="shared" si="5"/>
        <v>#VALUE!</v>
      </c>
      <c r="J6" s="193" t="e">
        <f t="shared" si="6"/>
        <v>#VALUE!</v>
      </c>
      <c r="K6" s="69" t="e">
        <f t="shared" si="7"/>
        <v>#VALUE!</v>
      </c>
      <c r="L6" s="193" t="e">
        <f>+K6/$C$6</f>
        <v>#VALUE!</v>
      </c>
      <c r="M6" s="69" t="e">
        <f t="shared" si="8"/>
        <v>#VALUE!</v>
      </c>
      <c r="N6" s="193" t="e">
        <f>+M6/$C$6</f>
        <v>#VALUE!</v>
      </c>
      <c r="O6" s="69" t="e">
        <f t="shared" si="9"/>
        <v>#VALUE!</v>
      </c>
      <c r="P6" s="193" t="e">
        <f>+O6/$C$6</f>
        <v>#VALUE!</v>
      </c>
      <c r="Q6" s="69" t="e">
        <f t="shared" si="10"/>
        <v>#VALUE!</v>
      </c>
      <c r="R6" s="193" t="e">
        <f>+Q6/$C$6</f>
        <v>#VALUE!</v>
      </c>
    </row>
    <row r="7" spans="1:19" x14ac:dyDescent="0.25">
      <c r="A7" s="66" t="s">
        <v>230</v>
      </c>
      <c r="B7" s="66" t="s">
        <v>231</v>
      </c>
      <c r="C7" s="69" t="e">
        <f t="shared" si="0"/>
        <v>#VALUE!</v>
      </c>
      <c r="D7" s="69" t="e">
        <f t="shared" si="1"/>
        <v>#VALUE!</v>
      </c>
      <c r="E7" s="69" t="e">
        <f t="shared" si="2"/>
        <v>#VALUE!</v>
      </c>
      <c r="F7" s="193" t="e">
        <f t="shared" si="3"/>
        <v>#VALUE!</v>
      </c>
      <c r="G7" s="69" t="e">
        <f t="shared" si="4"/>
        <v>#VALUE!</v>
      </c>
      <c r="H7" s="193" t="e">
        <f>+G7/$C$7</f>
        <v>#VALUE!</v>
      </c>
      <c r="I7" s="69" t="e">
        <f t="shared" si="5"/>
        <v>#VALUE!</v>
      </c>
      <c r="J7" s="193" t="e">
        <f t="shared" si="6"/>
        <v>#VALUE!</v>
      </c>
      <c r="K7" s="69" t="e">
        <f t="shared" si="7"/>
        <v>#VALUE!</v>
      </c>
      <c r="L7" s="193" t="e">
        <f>+K7/$C$7</f>
        <v>#VALUE!</v>
      </c>
      <c r="M7" s="69" t="e">
        <f t="shared" si="8"/>
        <v>#VALUE!</v>
      </c>
      <c r="N7" s="193" t="e">
        <f>+M7/$C$7</f>
        <v>#VALUE!</v>
      </c>
      <c r="O7" s="69" t="e">
        <f t="shared" si="9"/>
        <v>#VALUE!</v>
      </c>
      <c r="P7" s="193" t="e">
        <f>+O7/$C$7</f>
        <v>#VALUE!</v>
      </c>
      <c r="Q7" s="69" t="e">
        <f t="shared" si="10"/>
        <v>#VALUE!</v>
      </c>
      <c r="R7" s="193" t="e">
        <f>+Q7/$C$7</f>
        <v>#VALUE!</v>
      </c>
    </row>
    <row r="8" spans="1:19" x14ac:dyDescent="0.25">
      <c r="A8" s="66" t="s">
        <v>248</v>
      </c>
      <c r="B8" s="66" t="s">
        <v>613</v>
      </c>
      <c r="C8" s="69" t="e">
        <f t="shared" si="0"/>
        <v>#VALUE!</v>
      </c>
      <c r="D8" s="69" t="e">
        <f t="shared" si="1"/>
        <v>#VALUE!</v>
      </c>
      <c r="E8" s="69" t="e">
        <f t="shared" si="2"/>
        <v>#VALUE!</v>
      </c>
      <c r="F8" s="193" t="e">
        <f t="shared" si="3"/>
        <v>#VALUE!</v>
      </c>
      <c r="G8" s="69" t="e">
        <f t="shared" si="4"/>
        <v>#VALUE!</v>
      </c>
      <c r="H8" s="193" t="e">
        <f>+G8/$C$8</f>
        <v>#VALUE!</v>
      </c>
      <c r="I8" s="69" t="e">
        <f t="shared" si="5"/>
        <v>#VALUE!</v>
      </c>
      <c r="J8" s="193" t="e">
        <f t="shared" si="6"/>
        <v>#VALUE!</v>
      </c>
      <c r="K8" s="69" t="e">
        <f t="shared" si="7"/>
        <v>#VALUE!</v>
      </c>
      <c r="L8" s="193" t="e">
        <f>+K8/$C$8</f>
        <v>#VALUE!</v>
      </c>
      <c r="M8" s="69" t="e">
        <f t="shared" si="8"/>
        <v>#VALUE!</v>
      </c>
      <c r="N8" s="193" t="e">
        <f>+M8/$C$8</f>
        <v>#VALUE!</v>
      </c>
      <c r="O8" s="69" t="e">
        <f t="shared" si="9"/>
        <v>#VALUE!</v>
      </c>
      <c r="P8" s="193" t="e">
        <f>+O8/$C$8</f>
        <v>#VALUE!</v>
      </c>
      <c r="Q8" s="69" t="e">
        <f t="shared" si="10"/>
        <v>#VALUE!</v>
      </c>
      <c r="R8" s="193" t="e">
        <f>+Q8/$C$8</f>
        <v>#VALUE!</v>
      </c>
    </row>
    <row r="9" spans="1:19" x14ac:dyDescent="0.25">
      <c r="A9" s="66" t="s">
        <v>372</v>
      </c>
      <c r="B9" s="66" t="s">
        <v>670</v>
      </c>
      <c r="C9" s="69" t="e">
        <f t="shared" si="0"/>
        <v>#VALUE!</v>
      </c>
      <c r="D9" s="69" t="e">
        <f t="shared" si="1"/>
        <v>#VALUE!</v>
      </c>
      <c r="E9" s="69" t="e">
        <f t="shared" si="2"/>
        <v>#VALUE!</v>
      </c>
      <c r="F9" s="193" t="e">
        <f t="shared" si="3"/>
        <v>#VALUE!</v>
      </c>
      <c r="G9" s="69" t="e">
        <f t="shared" si="4"/>
        <v>#VALUE!</v>
      </c>
      <c r="H9" s="193" t="e">
        <f>+G9/$C$9</f>
        <v>#VALUE!</v>
      </c>
      <c r="I9" s="69" t="e">
        <f t="shared" si="5"/>
        <v>#VALUE!</v>
      </c>
      <c r="J9" s="193">
        <v>0</v>
      </c>
      <c r="K9" s="69" t="e">
        <f t="shared" si="7"/>
        <v>#VALUE!</v>
      </c>
      <c r="L9" s="193" t="e">
        <f>+K9/$C$9</f>
        <v>#VALUE!</v>
      </c>
      <c r="M9" s="69" t="e">
        <f t="shared" si="8"/>
        <v>#VALUE!</v>
      </c>
      <c r="N9" s="193" t="e">
        <f>+M9/$C$9</f>
        <v>#VALUE!</v>
      </c>
      <c r="O9" s="69" t="e">
        <f t="shared" si="9"/>
        <v>#VALUE!</v>
      </c>
      <c r="P9" s="193" t="e">
        <f>+O9/$C$9</f>
        <v>#VALUE!</v>
      </c>
      <c r="Q9" s="69" t="e">
        <f t="shared" si="10"/>
        <v>#VALUE!</v>
      </c>
      <c r="R9" s="193" t="e">
        <f>+Q9/$C$9</f>
        <v>#VALUE!</v>
      </c>
    </row>
    <row r="10" spans="1:19" x14ac:dyDescent="0.25">
      <c r="A10" s="66" t="s">
        <v>678</v>
      </c>
      <c r="B10" s="66" t="s">
        <v>679</v>
      </c>
      <c r="C10" s="69" t="e">
        <f t="shared" si="0"/>
        <v>#VALUE!</v>
      </c>
      <c r="D10" s="69" t="e">
        <f t="shared" si="1"/>
        <v>#VALUE!</v>
      </c>
      <c r="E10" s="69" t="e">
        <f t="shared" si="2"/>
        <v>#VALUE!</v>
      </c>
      <c r="F10" s="193" t="e">
        <f t="shared" si="3"/>
        <v>#VALUE!</v>
      </c>
      <c r="G10" s="69" t="e">
        <f t="shared" si="4"/>
        <v>#VALUE!</v>
      </c>
      <c r="H10" s="193" t="e">
        <f>+G10/$C$10</f>
        <v>#VALUE!</v>
      </c>
      <c r="I10" s="69" t="e">
        <f t="shared" si="5"/>
        <v>#VALUE!</v>
      </c>
      <c r="J10" s="193">
        <v>0</v>
      </c>
      <c r="K10" s="69" t="e">
        <f t="shared" si="7"/>
        <v>#VALUE!</v>
      </c>
      <c r="L10" s="193" t="e">
        <f>+K10/$C$10</f>
        <v>#VALUE!</v>
      </c>
      <c r="M10" s="69" t="e">
        <f t="shared" si="8"/>
        <v>#VALUE!</v>
      </c>
      <c r="N10" s="193" t="e">
        <f>+M10/$C$10</f>
        <v>#VALUE!</v>
      </c>
      <c r="O10" s="69" t="e">
        <f t="shared" si="9"/>
        <v>#VALUE!</v>
      </c>
      <c r="P10" s="193" t="e">
        <f>+O10/$C$10</f>
        <v>#VALUE!</v>
      </c>
      <c r="Q10" s="69" t="e">
        <f t="shared" si="10"/>
        <v>#VALUE!</v>
      </c>
      <c r="R10" s="193" t="e">
        <f>+Q10/$C$10</f>
        <v>#VALUE!</v>
      </c>
    </row>
    <row r="11" spans="1:19" x14ac:dyDescent="0.25">
      <c r="A11" s="35" t="s">
        <v>726</v>
      </c>
      <c r="B11" s="35"/>
      <c r="C11" s="36" t="e">
        <f>SUM(C4:C10)</f>
        <v>#VALUE!</v>
      </c>
      <c r="D11" s="36" t="e">
        <f>SUM(D4:D10)</f>
        <v>#VALUE!</v>
      </c>
      <c r="E11" s="36" t="e">
        <f>SUM(E4:E10)</f>
        <v>#VALUE!</v>
      </c>
      <c r="F11" s="37" t="e">
        <f t="shared" si="3"/>
        <v>#VALUE!</v>
      </c>
      <c r="G11" s="36" t="e">
        <f>SUM(G4:G10)</f>
        <v>#VALUE!</v>
      </c>
      <c r="H11" s="37" t="e">
        <f>+G11/$C$11</f>
        <v>#VALUE!</v>
      </c>
      <c r="I11" s="36" t="e">
        <f>SUM(I4:I10)</f>
        <v>#VALUE!</v>
      </c>
      <c r="J11" s="37" t="e">
        <f>+I11/(E11+G11)</f>
        <v>#VALUE!</v>
      </c>
      <c r="K11" s="36" t="e">
        <f>SUM(K4:K10)</f>
        <v>#VALUE!</v>
      </c>
      <c r="L11" s="37" t="e">
        <f>+K11/$C$11</f>
        <v>#VALUE!</v>
      </c>
      <c r="M11" s="36" t="e">
        <f>SUM(M4:M10)</f>
        <v>#VALUE!</v>
      </c>
      <c r="N11" s="37" t="e">
        <f>+M11/$C$11</f>
        <v>#VALUE!</v>
      </c>
      <c r="O11" s="36" t="e">
        <f>SUM(O4:O10)</f>
        <v>#VALUE!</v>
      </c>
      <c r="P11" s="37" t="e">
        <f>+O11/$C$11</f>
        <v>#VALUE!</v>
      </c>
      <c r="Q11" s="36" t="e">
        <f>SUM(Q4:Q10)</f>
        <v>#VALUE!</v>
      </c>
      <c r="R11" s="37" t="e">
        <f>+Q11/$C$11</f>
        <v>#VALUE!</v>
      </c>
    </row>
    <row r="12" spans="1:19" s="41" customFormat="1" ht="12.75" x14ac:dyDescent="0.2">
      <c r="D12" s="40" t="e">
        <f>+-C11</f>
        <v>#VALUE!</v>
      </c>
      <c r="E12" s="40" t="e">
        <f>+-D11</f>
        <v>#VALUE!</v>
      </c>
      <c r="F12" s="40" t="e">
        <f>+-E11</f>
        <v>#VALUE!</v>
      </c>
      <c r="G12" s="40"/>
      <c r="H12" s="40" t="e">
        <f>+-G11</f>
        <v>#VALUE!</v>
      </c>
      <c r="I12" s="40"/>
      <c r="J12" s="40" t="e">
        <f>+-I11</f>
        <v>#VALUE!</v>
      </c>
      <c r="K12" s="40"/>
      <c r="L12" s="40" t="e">
        <f>+-K11</f>
        <v>#VALUE!</v>
      </c>
      <c r="M12" s="40"/>
      <c r="N12" s="40" t="e">
        <f>+-M11</f>
        <v>#VALUE!</v>
      </c>
      <c r="O12" s="40"/>
      <c r="P12" s="40" t="e">
        <f>+-O11</f>
        <v>#VALUE!</v>
      </c>
      <c r="Q12" s="40"/>
      <c r="R12" s="40" t="e">
        <f>+-Q11</f>
        <v>#VALUE!</v>
      </c>
      <c r="S12" s="40"/>
    </row>
    <row r="13" spans="1:19" ht="25.5" x14ac:dyDescent="0.25">
      <c r="A13" s="26"/>
      <c r="B13" s="26"/>
      <c r="C13" s="194" t="s">
        <v>727</v>
      </c>
      <c r="D13" s="195" t="s">
        <v>728</v>
      </c>
    </row>
    <row r="14" spans="1:19" ht="15" customHeight="1" x14ac:dyDescent="0.25">
      <c r="A14" s="613" t="s">
        <v>729</v>
      </c>
      <c r="B14" s="613"/>
      <c r="C14" s="196" t="e">
        <f>+D14/C11*100</f>
        <v>#VALUE!</v>
      </c>
      <c r="D14" s="197" t="e">
        <f>+E11</f>
        <v>#VALUE!</v>
      </c>
    </row>
    <row r="15" spans="1:19" ht="15" customHeight="1" x14ac:dyDescent="0.25">
      <c r="A15" s="614" t="s">
        <v>730</v>
      </c>
      <c r="B15" s="614"/>
      <c r="C15" s="196" t="e">
        <f>+D15/C11*100</f>
        <v>#VALUE!</v>
      </c>
      <c r="D15" s="197" t="e">
        <f>+G11</f>
        <v>#VALUE!</v>
      </c>
    </row>
    <row r="16" spans="1:19" ht="15" customHeight="1" x14ac:dyDescent="0.25">
      <c r="A16" s="614" t="s">
        <v>731</v>
      </c>
      <c r="B16" s="614"/>
      <c r="C16" s="196" t="e">
        <f>+D16/C11*100</f>
        <v>#VALUE!</v>
      </c>
      <c r="D16" s="197" t="e">
        <f>+I11</f>
        <v>#VALUE!</v>
      </c>
    </row>
    <row r="17" spans="1:4" ht="15" customHeight="1" x14ac:dyDescent="0.25">
      <c r="A17" s="614" t="s">
        <v>732</v>
      </c>
      <c r="B17" s="614"/>
      <c r="C17" s="196" t="e">
        <f>+D17/C11*100</f>
        <v>#VALUE!</v>
      </c>
      <c r="D17" s="197" t="e">
        <f>+K11</f>
        <v>#VALUE!</v>
      </c>
    </row>
    <row r="18" spans="1:4" ht="15" customHeight="1" x14ac:dyDescent="0.25">
      <c r="A18" s="614" t="s">
        <v>733</v>
      </c>
      <c r="B18" s="614"/>
      <c r="C18" s="196" t="e">
        <f>+D18/C11*100</f>
        <v>#VALUE!</v>
      </c>
      <c r="D18" s="197" t="e">
        <f>+O11</f>
        <v>#VALUE!</v>
      </c>
    </row>
    <row r="19" spans="1:4" ht="15" customHeight="1" x14ac:dyDescent="0.25">
      <c r="A19" s="614" t="s">
        <v>23</v>
      </c>
      <c r="B19" s="614"/>
      <c r="C19" s="198" t="e">
        <f>SUM(C14:C18)</f>
        <v>#VALUE!</v>
      </c>
      <c r="D19" s="199" t="e">
        <f>SUM(D14:D18)</f>
        <v>#VALUE!</v>
      </c>
    </row>
    <row r="20" spans="1:4" x14ac:dyDescent="0.25">
      <c r="A20" s="614"/>
      <c r="B20" s="614"/>
    </row>
    <row r="21" spans="1:4" ht="15" customHeight="1" x14ac:dyDescent="0.25">
      <c r="A21" s="614" t="s">
        <v>734</v>
      </c>
      <c r="B21" s="614"/>
      <c r="C21" s="196" t="e">
        <f>+D21/C11*100</f>
        <v>#VALUE!</v>
      </c>
      <c r="D21" s="197" t="e">
        <f>+E11+G11+I11+K11</f>
        <v>#VALUE!</v>
      </c>
    </row>
    <row r="22" spans="1:4" ht="15" customHeight="1" x14ac:dyDescent="0.25">
      <c r="A22" s="614" t="s">
        <v>735</v>
      </c>
      <c r="B22" s="614"/>
      <c r="C22" s="196" t="e">
        <f>+D22/C11*100</f>
        <v>#VALUE!</v>
      </c>
      <c r="D22" s="197" t="e">
        <f>+M11</f>
        <v>#VALUE!</v>
      </c>
    </row>
    <row r="23" spans="1:4" ht="15" customHeight="1" x14ac:dyDescent="0.25">
      <c r="A23" s="614" t="s">
        <v>736</v>
      </c>
      <c r="B23" s="614"/>
      <c r="C23" s="196" t="e">
        <f>+D23/C11*100</f>
        <v>#VALUE!</v>
      </c>
      <c r="D23" s="197" t="e">
        <f>+Q11</f>
        <v>#VALUE!</v>
      </c>
    </row>
  </sheetData>
  <sheetProtection selectLockedCells="1" selectUnlockedCells="1"/>
  <mergeCells count="10">
    <mergeCell ref="A20:B20"/>
    <mergeCell ref="A21:B21"/>
    <mergeCell ref="A22:B22"/>
    <mergeCell ref="A23:B23"/>
    <mergeCell ref="A14:B14"/>
    <mergeCell ref="A15:B15"/>
    <mergeCell ref="A16:B16"/>
    <mergeCell ref="A17:B17"/>
    <mergeCell ref="A18:B18"/>
    <mergeCell ref="A19:B19"/>
  </mergeCells>
  <pageMargins left="0.7" right="0.7" top="0.75" bottom="0.75" header="0.51180555555555551" footer="0.51180555555555551"/>
  <pageSetup firstPageNumber="0" orientation="portrait" horizontalDpi="300" verticalDpi="300"/>
  <headerFooter alignWithMargins="0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topLeftCell="B1" zoomScaleNormal="100" workbookViewId="0"/>
  </sheetViews>
  <sheetFormatPr baseColWidth="10" defaultColWidth="17.5703125" defaultRowHeight="15" x14ac:dyDescent="0.25"/>
  <cols>
    <col min="1" max="1" width="25.140625" style="23" hidden="1" customWidth="1"/>
    <col min="2" max="2" width="14.5703125" style="23" customWidth="1"/>
    <col min="3" max="3" width="20.140625" style="23" customWidth="1"/>
    <col min="4" max="4" width="5" style="23" customWidth="1"/>
    <col min="5" max="5" width="17.42578125" style="23" customWidth="1"/>
    <col min="6" max="6" width="6.5703125" style="23" customWidth="1"/>
    <col min="7" max="7" width="19.140625" style="23" customWidth="1"/>
    <col min="8" max="8" width="12" style="23" hidden="1" customWidth="1"/>
    <col min="9" max="9" width="6.5703125" style="23" customWidth="1"/>
    <col min="10" max="10" width="14.5703125" style="23" customWidth="1"/>
    <col min="11" max="11" width="8.5703125" style="23" customWidth="1"/>
    <col min="12" max="12" width="20.140625" style="23" customWidth="1"/>
    <col min="13" max="13" width="13.85546875" style="23" customWidth="1"/>
    <col min="14" max="14" width="23.42578125" style="23" customWidth="1"/>
    <col min="15" max="15" width="9.42578125" style="23" customWidth="1"/>
    <col min="16" max="16" width="7.85546875" style="23" customWidth="1"/>
    <col min="17" max="16384" width="17.5703125" style="23"/>
  </cols>
  <sheetData>
    <row r="1" spans="1:17" ht="15.75" x14ac:dyDescent="0.25">
      <c r="B1" s="600" t="s">
        <v>32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</row>
    <row r="2" spans="1:17" ht="15.75" x14ac:dyDescent="0.25">
      <c r="B2" s="600" t="e">
        <f>#N/A</f>
        <v>#N/A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</row>
    <row r="3" spans="1:17" ht="15.75" x14ac:dyDescent="0.25">
      <c r="B3" s="600" t="s">
        <v>1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</row>
    <row r="4" spans="1:17" x14ac:dyDescent="0.25">
      <c r="L4" s="24"/>
    </row>
    <row r="5" spans="1:17" ht="25.5" x14ac:dyDescent="0.25">
      <c r="A5" s="25"/>
      <c r="B5" s="26" t="s">
        <v>34</v>
      </c>
      <c r="C5" s="27" t="s">
        <v>3</v>
      </c>
      <c r="D5" s="27" t="s">
        <v>35</v>
      </c>
      <c r="E5" s="27" t="s">
        <v>5</v>
      </c>
      <c r="F5" s="27"/>
      <c r="G5" s="27" t="s">
        <v>10</v>
      </c>
      <c r="H5" s="27" t="s">
        <v>36</v>
      </c>
      <c r="I5" s="27"/>
      <c r="J5" s="27" t="s">
        <v>11</v>
      </c>
      <c r="K5" s="27" t="s">
        <v>35</v>
      </c>
      <c r="L5" s="27" t="s">
        <v>12</v>
      </c>
      <c r="M5" s="27" t="s">
        <v>775</v>
      </c>
      <c r="N5" s="27" t="s">
        <v>7</v>
      </c>
      <c r="O5" s="27" t="s">
        <v>689</v>
      </c>
    </row>
    <row r="6" spans="1:17" x14ac:dyDescent="0.25">
      <c r="B6" s="28" t="s">
        <v>764</v>
      </c>
      <c r="C6" s="29" t="e">
        <f>#N/A</f>
        <v>#N/A</v>
      </c>
      <c r="D6" s="30">
        <f t="shared" ref="D6:D10" si="0">IFERROR(C6/$C$11,0)</f>
        <v>0</v>
      </c>
      <c r="E6" s="29" t="e">
        <f t="shared" ref="E6:E10" si="1">#N/A</f>
        <v>#N/A</v>
      </c>
      <c r="F6" s="31" t="e">
        <f t="shared" ref="F6:F11" si="2">+E6/C6</f>
        <v>#N/A</v>
      </c>
      <c r="G6" s="29" t="e">
        <f t="shared" ref="G6:G10" si="3">#N/A</f>
        <v>#N/A</v>
      </c>
      <c r="H6" s="32">
        <f t="shared" ref="H6:H10" si="4">IFERROR(G6/C6,0)</f>
        <v>0</v>
      </c>
      <c r="I6" s="32" t="e">
        <f t="shared" ref="I6:I11" si="5">+G6/C6</f>
        <v>#N/A</v>
      </c>
      <c r="J6" s="29" t="e">
        <f t="shared" ref="J6:J10" si="6">#N/A</f>
        <v>#N/A</v>
      </c>
      <c r="K6" s="32">
        <f t="shared" ref="K6:K10" si="7">IFERROR(J6/G6,0)</f>
        <v>0</v>
      </c>
      <c r="L6" s="29" t="e">
        <f t="shared" ref="L6:L10" si="8">#N/A</f>
        <v>#N/A</v>
      </c>
      <c r="M6" s="30">
        <f t="shared" ref="M6:M10" si="9">IFERROR(L6/C6,0)</f>
        <v>0</v>
      </c>
      <c r="N6" s="29" t="e">
        <f t="shared" ref="N6:N10" si="10">#N/A</f>
        <v>#N/A</v>
      </c>
      <c r="O6" s="30">
        <f t="shared" ref="O6:O10" si="11">IFERROR(N6/C6,0)</f>
        <v>0</v>
      </c>
      <c r="P6" s="43"/>
      <c r="Q6" s="20" t="e">
        <f>(+E11+G11+J11+L11)/C11</f>
        <v>#N/A</v>
      </c>
    </row>
    <row r="7" spans="1:17" x14ac:dyDescent="0.25">
      <c r="B7" s="28" t="s">
        <v>765</v>
      </c>
      <c r="C7" s="29" t="e">
        <f t="shared" ref="C7:C10" si="12">#N/A</f>
        <v>#N/A</v>
      </c>
      <c r="D7" s="30">
        <f t="shared" si="0"/>
        <v>0</v>
      </c>
      <c r="E7" s="29" t="e">
        <f t="shared" si="1"/>
        <v>#N/A</v>
      </c>
      <c r="F7" s="31" t="e">
        <f t="shared" si="2"/>
        <v>#N/A</v>
      </c>
      <c r="G7" s="29" t="e">
        <f t="shared" si="3"/>
        <v>#N/A</v>
      </c>
      <c r="H7" s="32">
        <f t="shared" si="4"/>
        <v>0</v>
      </c>
      <c r="I7" s="32" t="e">
        <f t="shared" si="5"/>
        <v>#N/A</v>
      </c>
      <c r="J7" s="29" t="e">
        <f t="shared" si="6"/>
        <v>#N/A</v>
      </c>
      <c r="K7" s="32">
        <f t="shared" si="7"/>
        <v>0</v>
      </c>
      <c r="L7" s="29" t="e">
        <f t="shared" si="8"/>
        <v>#N/A</v>
      </c>
      <c r="M7" s="30">
        <f t="shared" si="9"/>
        <v>0</v>
      </c>
      <c r="N7" s="29" t="e">
        <f t="shared" si="10"/>
        <v>#N/A</v>
      </c>
      <c r="O7" s="30">
        <f t="shared" si="11"/>
        <v>0</v>
      </c>
      <c r="P7" s="43"/>
    </row>
    <row r="8" spans="1:17" x14ac:dyDescent="0.25">
      <c r="B8" s="28" t="s">
        <v>766</v>
      </c>
      <c r="C8" s="29" t="e">
        <f t="shared" si="12"/>
        <v>#N/A</v>
      </c>
      <c r="D8" s="30">
        <f t="shared" si="0"/>
        <v>0</v>
      </c>
      <c r="E8" s="29" t="e">
        <f t="shared" si="1"/>
        <v>#N/A</v>
      </c>
      <c r="F8" s="31" t="e">
        <f t="shared" si="2"/>
        <v>#N/A</v>
      </c>
      <c r="G8" s="29" t="e">
        <f t="shared" si="3"/>
        <v>#N/A</v>
      </c>
      <c r="H8" s="32">
        <f t="shared" si="4"/>
        <v>0</v>
      </c>
      <c r="I8" s="32" t="e">
        <f t="shared" si="5"/>
        <v>#N/A</v>
      </c>
      <c r="J8" s="29" t="e">
        <f t="shared" si="6"/>
        <v>#N/A</v>
      </c>
      <c r="K8" s="32">
        <f t="shared" si="7"/>
        <v>0</v>
      </c>
      <c r="L8" s="29" t="e">
        <f t="shared" si="8"/>
        <v>#N/A</v>
      </c>
      <c r="M8" s="30">
        <f t="shared" si="9"/>
        <v>0</v>
      </c>
      <c r="N8" s="29" t="e">
        <f t="shared" si="10"/>
        <v>#N/A</v>
      </c>
      <c r="O8" s="30">
        <f t="shared" si="11"/>
        <v>0</v>
      </c>
    </row>
    <row r="9" spans="1:17" x14ac:dyDescent="0.25">
      <c r="B9" s="28" t="s">
        <v>767</v>
      </c>
      <c r="C9" s="29" t="e">
        <f t="shared" si="12"/>
        <v>#N/A</v>
      </c>
      <c r="D9" s="30">
        <f t="shared" si="0"/>
        <v>0</v>
      </c>
      <c r="E9" s="29" t="e">
        <f t="shared" si="1"/>
        <v>#N/A</v>
      </c>
      <c r="F9" s="31" t="e">
        <f t="shared" si="2"/>
        <v>#N/A</v>
      </c>
      <c r="G9" s="29" t="e">
        <f t="shared" si="3"/>
        <v>#N/A</v>
      </c>
      <c r="H9" s="32">
        <f t="shared" si="4"/>
        <v>0</v>
      </c>
      <c r="I9" s="32" t="e">
        <f t="shared" si="5"/>
        <v>#N/A</v>
      </c>
      <c r="J9" s="29" t="e">
        <f t="shared" si="6"/>
        <v>#N/A</v>
      </c>
      <c r="K9" s="32">
        <f t="shared" si="7"/>
        <v>0</v>
      </c>
      <c r="L9" s="29" t="e">
        <f t="shared" si="8"/>
        <v>#N/A</v>
      </c>
      <c r="M9" s="30">
        <f t="shared" si="9"/>
        <v>0</v>
      </c>
      <c r="N9" s="29" t="e">
        <f t="shared" si="10"/>
        <v>#N/A</v>
      </c>
      <c r="O9" s="30">
        <f t="shared" si="11"/>
        <v>0</v>
      </c>
    </row>
    <row r="10" spans="1:17" x14ac:dyDescent="0.25">
      <c r="B10" s="28" t="s">
        <v>768</v>
      </c>
      <c r="C10" s="29" t="e">
        <f t="shared" si="12"/>
        <v>#N/A</v>
      </c>
      <c r="D10" s="30">
        <f t="shared" si="0"/>
        <v>0</v>
      </c>
      <c r="E10" s="29" t="e">
        <f t="shared" si="1"/>
        <v>#N/A</v>
      </c>
      <c r="F10" s="31" t="e">
        <f t="shared" si="2"/>
        <v>#N/A</v>
      </c>
      <c r="G10" s="29" t="e">
        <f t="shared" si="3"/>
        <v>#N/A</v>
      </c>
      <c r="H10" s="32">
        <f t="shared" si="4"/>
        <v>0</v>
      </c>
      <c r="I10" s="32" t="e">
        <f t="shared" si="5"/>
        <v>#N/A</v>
      </c>
      <c r="J10" s="29" t="e">
        <f t="shared" si="6"/>
        <v>#N/A</v>
      </c>
      <c r="K10" s="32">
        <f t="shared" si="7"/>
        <v>0</v>
      </c>
      <c r="L10" s="29" t="e">
        <f t="shared" si="8"/>
        <v>#N/A</v>
      </c>
      <c r="M10" s="30">
        <f t="shared" si="9"/>
        <v>0</v>
      </c>
      <c r="N10" s="29" t="e">
        <f t="shared" si="10"/>
        <v>#N/A</v>
      </c>
      <c r="O10" s="30">
        <f t="shared" si="11"/>
        <v>0</v>
      </c>
    </row>
    <row r="11" spans="1:17" x14ac:dyDescent="0.25">
      <c r="A11" s="25"/>
      <c r="B11" s="35" t="s">
        <v>23</v>
      </c>
      <c r="C11" s="36" t="e">
        <f>SUM(C6:C10)</f>
        <v>#N/A</v>
      </c>
      <c r="D11" s="37"/>
      <c r="E11" s="36" t="e">
        <f>SUM(E6:E10)</f>
        <v>#N/A</v>
      </c>
      <c r="F11" s="37" t="e">
        <f t="shared" si="2"/>
        <v>#N/A</v>
      </c>
      <c r="G11" s="36" t="e">
        <f>SUM(G6:G10)</f>
        <v>#N/A</v>
      </c>
      <c r="H11" s="37" t="e">
        <f>+G11/C11</f>
        <v>#N/A</v>
      </c>
      <c r="I11" s="239" t="e">
        <f t="shared" si="5"/>
        <v>#N/A</v>
      </c>
      <c r="J11" s="36" t="e">
        <f>SUM(J6:J10)</f>
        <v>#N/A</v>
      </c>
      <c r="K11" s="37" t="e">
        <f>+J11/G11</f>
        <v>#N/A</v>
      </c>
      <c r="L11" s="36" t="e">
        <f>SUM(L6:L10)</f>
        <v>#N/A</v>
      </c>
      <c r="M11" s="237" t="e">
        <f>+L11/C11</f>
        <v>#N/A</v>
      </c>
      <c r="N11" s="36" t="e">
        <f>SUM(N6:N10)</f>
        <v>#N/A</v>
      </c>
      <c r="O11" s="237" t="e">
        <f>+N11/C11</f>
        <v>#N/A</v>
      </c>
    </row>
    <row r="12" spans="1:17" x14ac:dyDescent="0.25">
      <c r="B12" s="39"/>
      <c r="C12" s="40" t="e">
        <f>#N/A</f>
        <v>#N/A</v>
      </c>
      <c r="D12" s="40"/>
      <c r="E12" s="40" t="e">
        <f>#N/A</f>
        <v>#N/A</v>
      </c>
      <c r="F12" s="40"/>
      <c r="G12" s="40" t="e">
        <f>#N/A</f>
        <v>#N/A</v>
      </c>
      <c r="H12" s="40"/>
      <c r="I12" s="40"/>
      <c r="J12" s="40"/>
      <c r="K12" s="40"/>
      <c r="L12" s="40" t="e">
        <f>#N/A</f>
        <v>#N/A</v>
      </c>
      <c r="M12" s="40"/>
      <c r="N12" s="40" t="e">
        <f>#N/A</f>
        <v>#N/A</v>
      </c>
      <c r="O12" s="41"/>
    </row>
    <row r="13" spans="1:17" x14ac:dyDescent="0.25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42"/>
      <c r="O13" s="39"/>
    </row>
    <row r="17" spans="2:4" x14ac:dyDescent="0.25">
      <c r="B17" s="43"/>
      <c r="C17" s="43"/>
      <c r="D17" s="43"/>
    </row>
    <row r="18" spans="2:4" x14ac:dyDescent="0.25">
      <c r="B18" s="43"/>
      <c r="C18" s="43"/>
      <c r="D18" s="43"/>
    </row>
    <row r="19" spans="2:4" x14ac:dyDescent="0.25">
      <c r="B19" s="43"/>
      <c r="C19" s="43"/>
      <c r="D19" s="43"/>
    </row>
    <row r="20" spans="2:4" x14ac:dyDescent="0.25">
      <c r="B20" s="43"/>
      <c r="C20" s="43"/>
      <c r="D20" s="43"/>
    </row>
  </sheetData>
  <sheetProtection selectLockedCells="1" selectUnlockedCells="1"/>
  <mergeCells count="3">
    <mergeCell ref="B1:O1"/>
    <mergeCell ref="B2:O2"/>
    <mergeCell ref="B3:O3"/>
  </mergeCells>
  <pageMargins left="0.7" right="0.7" top="0.75" bottom="0.75" header="0.51180555555555551" footer="0.51180555555555551"/>
  <pageSetup firstPageNumber="0" orientation="portrait" horizontalDpi="300" verticalDpi="300"/>
  <headerFooter alignWithMargins="0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zoomScaleNormal="100" workbookViewId="0"/>
  </sheetViews>
  <sheetFormatPr baseColWidth="10" defaultColWidth="11" defaultRowHeight="15" x14ac:dyDescent="0.25"/>
  <cols>
    <col min="1" max="1" width="37.85546875" customWidth="1"/>
    <col min="2" max="2" width="20.42578125" customWidth="1"/>
    <col min="3" max="3" width="22.85546875" customWidth="1"/>
    <col min="4" max="4" width="30.28515625" customWidth="1"/>
    <col min="5" max="5" width="18.28515625" customWidth="1"/>
    <col min="6" max="6" width="14.42578125" customWidth="1"/>
  </cols>
  <sheetData>
    <row r="1" spans="1:6" ht="17.25" x14ac:dyDescent="0.25">
      <c r="A1" s="648" t="s">
        <v>839</v>
      </c>
      <c r="B1" s="648"/>
      <c r="C1" s="648"/>
      <c r="D1" s="648"/>
      <c r="E1" s="648"/>
      <c r="F1" s="648"/>
    </row>
    <row r="3" spans="1:6" ht="33.75" customHeight="1" x14ac:dyDescent="0.25">
      <c r="A3" s="96" t="s">
        <v>2</v>
      </c>
      <c r="B3" s="98" t="s">
        <v>840</v>
      </c>
      <c r="C3" s="98" t="s">
        <v>841</v>
      </c>
      <c r="D3" s="98" t="s">
        <v>842</v>
      </c>
      <c r="E3" s="98" t="s">
        <v>843</v>
      </c>
      <c r="F3" s="99" t="s">
        <v>689</v>
      </c>
    </row>
    <row r="4" spans="1:6" ht="16.5" x14ac:dyDescent="0.25">
      <c r="A4" s="594" t="s">
        <v>16</v>
      </c>
      <c r="B4" s="9" t="e">
        <f t="shared" ref="B4:B9" si="0">NA()</f>
        <v>#N/A</v>
      </c>
      <c r="C4" s="9" t="e">
        <f t="shared" ref="C4:C9" si="1">NA()</f>
        <v>#N/A</v>
      </c>
      <c r="D4" s="9">
        <f>26829389123.4-3461184089.09</f>
        <v>23368205034.310001</v>
      </c>
      <c r="E4" s="9" t="e">
        <f t="shared" ref="E4:E9" si="2">+C4-D4</f>
        <v>#N/A</v>
      </c>
      <c r="F4" s="10" t="e">
        <f t="shared" ref="F4:F10" si="3">+E4/B4</f>
        <v>#N/A</v>
      </c>
    </row>
    <row r="5" spans="1:6" ht="16.5" x14ac:dyDescent="0.25">
      <c r="A5" s="594" t="s">
        <v>17</v>
      </c>
      <c r="B5" s="9" t="e">
        <f t="shared" si="0"/>
        <v>#N/A</v>
      </c>
      <c r="C5" s="9" t="e">
        <f t="shared" si="1"/>
        <v>#N/A</v>
      </c>
      <c r="D5" s="9">
        <f>1520802352.53-507409539.12+4542543.01</f>
        <v>1017935356.42</v>
      </c>
      <c r="E5" s="9" t="e">
        <f t="shared" si="2"/>
        <v>#N/A</v>
      </c>
      <c r="F5" s="10" t="e">
        <f t="shared" si="3"/>
        <v>#N/A</v>
      </c>
    </row>
    <row r="6" spans="1:6" ht="16.5" x14ac:dyDescent="0.25">
      <c r="A6" s="594" t="s">
        <v>844</v>
      </c>
      <c r="B6" s="9" t="e">
        <f t="shared" si="0"/>
        <v>#N/A</v>
      </c>
      <c r="C6" s="9" t="e">
        <f t="shared" si="1"/>
        <v>#N/A</v>
      </c>
      <c r="D6" s="9">
        <f>3114532393.51-1046587510.82</f>
        <v>2067944882.6900001</v>
      </c>
      <c r="E6" s="9" t="e">
        <f t="shared" si="2"/>
        <v>#N/A</v>
      </c>
      <c r="F6" s="10" t="e">
        <f t="shared" si="3"/>
        <v>#N/A</v>
      </c>
    </row>
    <row r="7" spans="1:6" ht="16.5" x14ac:dyDescent="0.25">
      <c r="A7" s="594" t="s">
        <v>19</v>
      </c>
      <c r="B7" s="9" t="e">
        <f t="shared" si="0"/>
        <v>#N/A</v>
      </c>
      <c r="C7" s="9" t="e">
        <f t="shared" si="1"/>
        <v>#N/A</v>
      </c>
      <c r="D7" s="9">
        <f>381303517.72-155353964</f>
        <v>225949553.72000003</v>
      </c>
      <c r="E7" s="9" t="e">
        <f t="shared" si="2"/>
        <v>#N/A</v>
      </c>
      <c r="F7" s="10" t="e">
        <f t="shared" si="3"/>
        <v>#N/A</v>
      </c>
    </row>
    <row r="8" spans="1:6" ht="16.5" x14ac:dyDescent="0.25">
      <c r="A8" s="594" t="s">
        <v>20</v>
      </c>
      <c r="B8" s="9" t="e">
        <f t="shared" si="0"/>
        <v>#N/A</v>
      </c>
      <c r="C8" s="9" t="e">
        <f t="shared" si="1"/>
        <v>#N/A</v>
      </c>
      <c r="D8" s="9">
        <v>970391201.72000003</v>
      </c>
      <c r="E8" s="9" t="e">
        <f t="shared" si="2"/>
        <v>#N/A</v>
      </c>
      <c r="F8" s="10" t="e">
        <f t="shared" si="3"/>
        <v>#N/A</v>
      </c>
    </row>
    <row r="9" spans="1:6" ht="16.5" x14ac:dyDescent="0.25">
      <c r="A9" s="594" t="s">
        <v>21</v>
      </c>
      <c r="B9" s="9" t="e">
        <f t="shared" si="0"/>
        <v>#N/A</v>
      </c>
      <c r="C9" s="9" t="e">
        <f t="shared" si="1"/>
        <v>#N/A</v>
      </c>
      <c r="D9" s="9">
        <v>9346324000</v>
      </c>
      <c r="E9" s="9" t="e">
        <f t="shared" si="2"/>
        <v>#N/A</v>
      </c>
      <c r="F9" s="10" t="e">
        <f t="shared" si="3"/>
        <v>#N/A</v>
      </c>
    </row>
    <row r="10" spans="1:6" ht="17.25" x14ac:dyDescent="0.25">
      <c r="A10" s="112" t="s">
        <v>23</v>
      </c>
      <c r="B10" s="113" t="e">
        <f>SUM(B4:B9)</f>
        <v>#N/A</v>
      </c>
      <c r="C10" s="113" t="e">
        <f>SUM(C4:C9)</f>
        <v>#N/A</v>
      </c>
      <c r="D10" s="113">
        <f>SUM(D4:D9)</f>
        <v>36996750028.860001</v>
      </c>
      <c r="E10" s="113" t="e">
        <f>SUM(E4:E9)</f>
        <v>#N/A</v>
      </c>
      <c r="F10" s="595" t="e">
        <f t="shared" si="3"/>
        <v>#N/A</v>
      </c>
    </row>
    <row r="12" spans="1:6" ht="15" customHeight="1" x14ac:dyDescent="0.25"/>
    <row r="15" spans="1:6" ht="17.25" x14ac:dyDescent="0.25">
      <c r="A15" s="648" t="s">
        <v>845</v>
      </c>
      <c r="B15" s="648"/>
      <c r="C15" s="648"/>
      <c r="D15" s="648"/>
      <c r="E15" s="648"/>
      <c r="F15" s="648"/>
    </row>
    <row r="16" spans="1:6" x14ac:dyDescent="0.25">
      <c r="C16" s="34"/>
      <c r="D16" s="34"/>
      <c r="E16" s="34"/>
    </row>
    <row r="17" spans="1:6" ht="34.5" x14ac:dyDescent="0.25">
      <c r="A17" s="96" t="s">
        <v>846</v>
      </c>
      <c r="B17" s="98" t="s">
        <v>840</v>
      </c>
      <c r="C17" s="98" t="s">
        <v>841</v>
      </c>
      <c r="D17" s="98" t="s">
        <v>842</v>
      </c>
      <c r="E17" s="98" t="s">
        <v>843</v>
      </c>
      <c r="F17" s="99" t="s">
        <v>689</v>
      </c>
    </row>
    <row r="18" spans="1:6" x14ac:dyDescent="0.25">
      <c r="A18" s="596" t="s">
        <v>847</v>
      </c>
      <c r="B18" s="597" t="e">
        <f t="shared" ref="B18:B22" si="4">#N/A</f>
        <v>#N/A</v>
      </c>
      <c r="C18" s="597" t="e">
        <f t="shared" ref="C18:C22" si="5">#N/A</f>
        <v>#N/A</v>
      </c>
      <c r="D18" s="597" t="e">
        <f t="shared" ref="D18:D22" si="6">#N/A</f>
        <v>#N/A</v>
      </c>
      <c r="E18" s="597" t="e">
        <f t="shared" ref="E18:E21" si="7">+C18-D18</f>
        <v>#N/A</v>
      </c>
      <c r="F18" s="598" t="e">
        <f t="shared" ref="F18:F23" si="8">+E18/B18</f>
        <v>#N/A</v>
      </c>
    </row>
    <row r="19" spans="1:6" x14ac:dyDescent="0.25">
      <c r="A19" s="596" t="s">
        <v>848</v>
      </c>
      <c r="B19" s="597" t="e">
        <f t="shared" si="4"/>
        <v>#N/A</v>
      </c>
      <c r="C19" s="597" t="e">
        <f t="shared" si="5"/>
        <v>#N/A</v>
      </c>
      <c r="D19" s="597" t="e">
        <f t="shared" si="6"/>
        <v>#N/A</v>
      </c>
      <c r="E19" s="597" t="e">
        <f t="shared" si="7"/>
        <v>#N/A</v>
      </c>
      <c r="F19" s="598" t="e">
        <f t="shared" si="8"/>
        <v>#N/A</v>
      </c>
    </row>
    <row r="20" spans="1:6" x14ac:dyDescent="0.25">
      <c r="A20" s="596" t="s">
        <v>849</v>
      </c>
      <c r="B20" s="597" t="e">
        <f t="shared" si="4"/>
        <v>#N/A</v>
      </c>
      <c r="C20" s="597" t="e">
        <f t="shared" si="5"/>
        <v>#N/A</v>
      </c>
      <c r="D20" s="597" t="e">
        <f t="shared" si="6"/>
        <v>#N/A</v>
      </c>
      <c r="E20" s="597" t="e">
        <f t="shared" si="7"/>
        <v>#N/A</v>
      </c>
      <c r="F20" s="598" t="e">
        <f t="shared" si="8"/>
        <v>#N/A</v>
      </c>
    </row>
    <row r="21" spans="1:6" x14ac:dyDescent="0.25">
      <c r="A21" s="596" t="s">
        <v>850</v>
      </c>
      <c r="B21" s="597" t="e">
        <f t="shared" si="4"/>
        <v>#N/A</v>
      </c>
      <c r="C21" s="597" t="e">
        <f t="shared" si="5"/>
        <v>#N/A</v>
      </c>
      <c r="D21" s="597" t="e">
        <f t="shared" si="6"/>
        <v>#N/A</v>
      </c>
      <c r="E21" s="597" t="e">
        <f t="shared" si="7"/>
        <v>#N/A</v>
      </c>
      <c r="F21" s="598" t="e">
        <f t="shared" si="8"/>
        <v>#N/A</v>
      </c>
    </row>
    <row r="22" spans="1:6" x14ac:dyDescent="0.25">
      <c r="A22" s="596" t="s">
        <v>851</v>
      </c>
      <c r="B22" s="597" t="e">
        <f t="shared" si="4"/>
        <v>#N/A</v>
      </c>
      <c r="C22" s="597" t="e">
        <f t="shared" si="5"/>
        <v>#N/A</v>
      </c>
      <c r="D22" s="597" t="e">
        <f t="shared" si="6"/>
        <v>#N/A</v>
      </c>
      <c r="E22" s="597" t="e">
        <f>#N/A</f>
        <v>#N/A</v>
      </c>
      <c r="F22" s="598" t="e">
        <f t="shared" si="8"/>
        <v>#N/A</v>
      </c>
    </row>
    <row r="23" spans="1:6" ht="17.25" x14ac:dyDescent="0.25">
      <c r="A23" s="112" t="s">
        <v>23</v>
      </c>
      <c r="B23" s="113" t="e">
        <f>SUM(B18:B22)</f>
        <v>#N/A</v>
      </c>
      <c r="C23" s="113" t="e">
        <f>SUM(C18:C22)</f>
        <v>#N/A</v>
      </c>
      <c r="D23" s="113" t="e">
        <f>SUM(D18:D22)</f>
        <v>#N/A</v>
      </c>
      <c r="E23" s="113" t="e">
        <f>SUM(E18:E22)</f>
        <v>#N/A</v>
      </c>
      <c r="F23" s="599" t="e">
        <f t="shared" si="8"/>
        <v>#N/A</v>
      </c>
    </row>
    <row r="25" spans="1:6" x14ac:dyDescent="0.25">
      <c r="E25" s="22" t="e">
        <f>+E23-E10</f>
        <v>#N/A</v>
      </c>
    </row>
  </sheetData>
  <sheetProtection selectLockedCells="1" selectUnlockedCells="1"/>
  <mergeCells count="2">
    <mergeCell ref="A1:F1"/>
    <mergeCell ref="A15:F15"/>
  </mergeCells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5"/>
  <sheetViews>
    <sheetView zoomScaleNormal="100" workbookViewId="0"/>
  </sheetViews>
  <sheetFormatPr baseColWidth="10" defaultColWidth="11" defaultRowHeight="15" x14ac:dyDescent="0.25"/>
  <cols>
    <col min="1" max="1" width="16.85546875" customWidth="1"/>
    <col min="2" max="2" width="25.42578125" customWidth="1"/>
    <col min="3" max="3" width="19.5703125" customWidth="1"/>
    <col min="4" max="4" width="18.5703125" customWidth="1"/>
    <col min="5" max="5" width="17.5703125" customWidth="1"/>
    <col min="6" max="6" width="6.85546875" style="56" customWidth="1"/>
    <col min="7" max="7" width="18.5703125" customWidth="1"/>
    <col min="8" max="8" width="8.7109375" customWidth="1"/>
    <col min="9" max="9" width="16.85546875" customWidth="1"/>
    <col min="10" max="10" width="10.7109375" customWidth="1"/>
    <col min="11" max="11" width="16.85546875" customWidth="1"/>
    <col min="12" max="12" width="8.85546875" customWidth="1"/>
    <col min="13" max="13" width="18.140625" customWidth="1"/>
    <col min="14" max="14" width="8.28515625" customWidth="1"/>
    <col min="15" max="15" width="17" style="57" customWidth="1"/>
    <col min="16" max="16" width="11.140625" customWidth="1"/>
    <col min="17" max="17" width="16.5703125" customWidth="1"/>
    <col min="18" max="18" width="13.5703125" customWidth="1"/>
    <col min="19" max="19" width="15.28515625" customWidth="1"/>
  </cols>
  <sheetData>
    <row r="1" spans="1:18" ht="15.75" x14ac:dyDescent="0.25">
      <c r="A1" s="602" t="s">
        <v>388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602"/>
    </row>
    <row r="2" spans="1:18" ht="15.75" x14ac:dyDescent="0.25">
      <c r="A2" s="603" t="s">
        <v>389</v>
      </c>
      <c r="B2" s="603"/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603"/>
      <c r="N2" s="603"/>
      <c r="O2" s="603"/>
      <c r="P2" s="603"/>
      <c r="Q2" s="603"/>
      <c r="R2" s="603"/>
    </row>
    <row r="3" spans="1:18" ht="15.75" x14ac:dyDescent="0.25">
      <c r="A3" s="603" t="s">
        <v>390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</row>
    <row r="4" spans="1:18" ht="15.75" x14ac:dyDescent="0.25">
      <c r="A4" s="604" t="s">
        <v>391</v>
      </c>
      <c r="B4" s="604"/>
      <c r="C4" s="604"/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  <c r="P4" s="604"/>
      <c r="Q4" s="604"/>
      <c r="R4" s="604"/>
    </row>
    <row r="5" spans="1:18" ht="15.75" x14ac:dyDescent="0.25">
      <c r="A5" s="605" t="s">
        <v>1</v>
      </c>
      <c r="B5" s="605"/>
      <c r="C5" s="605"/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1:18" ht="15.75" x14ac:dyDescent="0.25">
      <c r="A6" s="603" t="s">
        <v>392</v>
      </c>
      <c r="B6" s="603"/>
      <c r="C6" s="603"/>
      <c r="D6" s="603"/>
      <c r="E6" s="603"/>
      <c r="F6" s="603"/>
      <c r="G6" s="603"/>
      <c r="H6" s="603"/>
      <c r="I6" s="603"/>
      <c r="J6" s="603"/>
      <c r="K6" s="603"/>
      <c r="L6" s="603"/>
      <c r="M6" s="603"/>
      <c r="N6" s="603"/>
      <c r="O6" s="603"/>
      <c r="P6" s="603"/>
      <c r="Q6" s="603"/>
      <c r="R6" s="603"/>
    </row>
    <row r="7" spans="1:18" x14ac:dyDescent="0.25">
      <c r="A7" s="58"/>
      <c r="B7" s="59"/>
      <c r="C7" s="60"/>
      <c r="D7" s="59"/>
      <c r="E7" s="59"/>
      <c r="F7" s="61"/>
      <c r="G7" s="59"/>
      <c r="H7" s="59"/>
      <c r="I7" s="59"/>
      <c r="J7" s="59"/>
      <c r="K7" s="59"/>
      <c r="L7" s="59"/>
      <c r="M7" s="59"/>
      <c r="N7" s="59"/>
      <c r="O7" s="62"/>
      <c r="P7" s="59"/>
      <c r="Q7" s="59"/>
      <c r="R7" s="63"/>
    </row>
    <row r="8" spans="1:18" ht="24" x14ac:dyDescent="0.25">
      <c r="A8" s="64" t="s">
        <v>393</v>
      </c>
      <c r="B8" s="64" t="s">
        <v>394</v>
      </c>
      <c r="C8" s="64" t="s">
        <v>395</v>
      </c>
      <c r="D8" s="64" t="s">
        <v>58</v>
      </c>
      <c r="E8" s="64" t="s">
        <v>59</v>
      </c>
      <c r="F8" s="64" t="s">
        <v>396</v>
      </c>
      <c r="G8" s="64" t="s">
        <v>60</v>
      </c>
      <c r="H8" s="64" t="s">
        <v>397</v>
      </c>
      <c r="I8" s="64" t="s">
        <v>11</v>
      </c>
      <c r="J8" s="64" t="s">
        <v>398</v>
      </c>
      <c r="K8" s="64" t="s">
        <v>12</v>
      </c>
      <c r="L8" s="64" t="s">
        <v>399</v>
      </c>
      <c r="M8" s="64" t="s">
        <v>63</v>
      </c>
      <c r="N8" s="64" t="s">
        <v>64</v>
      </c>
      <c r="O8" s="64" t="s">
        <v>65</v>
      </c>
      <c r="P8" s="64" t="s">
        <v>400</v>
      </c>
      <c r="Q8" s="64" t="s">
        <v>67</v>
      </c>
      <c r="R8" s="65" t="s">
        <v>401</v>
      </c>
    </row>
    <row r="9" spans="1:18" x14ac:dyDescent="0.25">
      <c r="A9" s="66" t="s">
        <v>402</v>
      </c>
      <c r="B9" s="66"/>
      <c r="C9" s="66" t="s">
        <v>403</v>
      </c>
      <c r="D9" s="66" t="s">
        <v>403</v>
      </c>
      <c r="E9" s="66" t="s">
        <v>403</v>
      </c>
      <c r="F9" s="67"/>
      <c r="G9" s="66" t="s">
        <v>403</v>
      </c>
      <c r="H9" s="66"/>
      <c r="I9" s="66" t="s">
        <v>403</v>
      </c>
      <c r="J9" s="66"/>
      <c r="K9" s="66" t="s">
        <v>403</v>
      </c>
      <c r="L9" s="66"/>
      <c r="M9" s="66" t="s">
        <v>403</v>
      </c>
      <c r="N9" s="66"/>
      <c r="O9" s="68" t="s">
        <v>403</v>
      </c>
      <c r="P9" s="66"/>
      <c r="Q9" s="66" t="s">
        <v>403</v>
      </c>
      <c r="R9" s="69"/>
    </row>
    <row r="10" spans="1:18" s="74" customFormat="1" x14ac:dyDescent="0.25">
      <c r="A10">
        <v>214</v>
      </c>
      <c r="B10" s="70"/>
      <c r="C10" s="71">
        <f>SUMIF('SIGAF DIC 20'!$A$2:$A$849,$A10,'SIGAF DIC 20'!$F$2:$F$849)</f>
        <v>148398411720</v>
      </c>
      <c r="D10" s="71">
        <f>SUMIF('SIGAF DIC 20'!$A$2:$A$849,$A10,'SIGAF DIC 20'!$G$2:$G$849)</f>
        <v>148398411720</v>
      </c>
      <c r="E10" s="71">
        <f>SUMIF('SIGAF DIC 20'!$A$2:$A$849,$A10,'SIGAF DIC 20'!$H$2:$H$849)</f>
        <v>0</v>
      </c>
      <c r="F10" s="72">
        <f t="shared" ref="F10:F281" si="0">+IFERROR(+E10/$C10,0)</f>
        <v>0</v>
      </c>
      <c r="G10" s="71">
        <f>SUMIF('SIGAF DIC 20'!$A$2:$A$849,$A10,'SIGAF DIC 20'!$I$2:$I$849)</f>
        <v>2231171633.8499999</v>
      </c>
      <c r="H10" s="72">
        <f t="shared" ref="H10:H281" si="1">+IFERROR(+G10/$C10,0)</f>
        <v>1.5035010199838276E-2</v>
      </c>
      <c r="I10" s="71">
        <f>SUMIF('SIGAF DIC 20'!$A$2:$A$849,$A10,'SIGAF DIC 20'!$J$2:$J$849)</f>
        <v>0</v>
      </c>
      <c r="J10" s="72">
        <f t="shared" ref="J10:J281" si="2">+IFERROR(+I10/$C10,0)</f>
        <v>0</v>
      </c>
      <c r="K10" s="71">
        <f>SUMIF('SIGAF DIC 20'!$A$2:$A$849,$A10,'SIGAF DIC 20'!$K$2:$K$849)</f>
        <v>136630086152.53</v>
      </c>
      <c r="L10" s="73">
        <f t="shared" ref="L10:L281" si="3">+IFERROR(+K10/$C10,0)</f>
        <v>0.92069776602680475</v>
      </c>
      <c r="M10" s="71">
        <f>SUMIF('SIGAF DIC 20'!$A$2:$A$849,$A10,'SIGAF DIC 20'!$M$2:$M$849)</f>
        <v>132483980382.73</v>
      </c>
      <c r="N10" s="72">
        <f t="shared" ref="N10:N281" si="4">+IFERROR(+M10/$C10,0)</f>
        <v>0.89275874887867701</v>
      </c>
      <c r="O10" s="71">
        <f>SUMIF('SIGAF DIC 20'!$A$2:$A$849,$A10,'SIGAF DIC 20'!$O$2:$O$849)</f>
        <v>9537153933.6200008</v>
      </c>
      <c r="P10" s="72">
        <f t="shared" ref="P10:P281" si="5">+IFERROR(+O10/$C10,0)</f>
        <v>6.4267223773356974E-2</v>
      </c>
      <c r="Q10" s="71">
        <f>SUMIF('SIGAF DIC 20'!$A$2:$A$849,$A10,'SIGAF DIC 20'!$Q$2:$Q$849)</f>
        <v>9537153933.6200008</v>
      </c>
      <c r="R10" s="72">
        <f t="shared" ref="R10:R281" si="6">+IFERROR(+Q10/$C10,0)</f>
        <v>6.4267223773356974E-2</v>
      </c>
    </row>
    <row r="11" spans="1:18" s="74" customFormat="1" x14ac:dyDescent="0.25">
      <c r="A11" s="70" t="s">
        <v>71</v>
      </c>
      <c r="B11" s="70" t="s">
        <v>72</v>
      </c>
      <c r="C11" s="71">
        <f>SUMIF('SIGAF DIC 20'!$B$2:$B$849,$A11,'SIGAF DIC 20'!$F$2:$F$849)</f>
        <v>94465165805.5</v>
      </c>
      <c r="D11" s="71">
        <f>SUMIF('SIGAF DIC 20'!$B$2:$B$849,$A11,'SIGAF DIC 20'!$G$2:$G$849)</f>
        <v>94465165805.5</v>
      </c>
      <c r="E11" s="71">
        <f>SUMIF('SIGAF DIC 20'!$B$2:$B$849,$A11,'SIGAF DIC 20'!$H$2:$H$849)</f>
        <v>0</v>
      </c>
      <c r="F11" s="72">
        <f t="shared" si="0"/>
        <v>0</v>
      </c>
      <c r="G11" s="71">
        <f>SUMIF('SIGAF DIC 20'!$B$2:$B$849,$A11,'SIGAF DIC 20'!$I$2:$I$849)</f>
        <v>58064915.509999998</v>
      </c>
      <c r="H11" s="72">
        <f t="shared" si="1"/>
        <v>6.1467012750026121E-4</v>
      </c>
      <c r="I11" s="71">
        <f>SUMIF('SIGAF DIC 20'!$B$2:$B$849,$A11,'SIGAF DIC 20'!$J$2:$J$849)</f>
        <v>0</v>
      </c>
      <c r="J11" s="72">
        <f t="shared" si="2"/>
        <v>0</v>
      </c>
      <c r="K11" s="71">
        <f>SUMIF('SIGAF DIC 20'!$B$2:$B$849,$A11,'SIGAF DIC 20'!$K$2:$K$849)</f>
        <v>89065354586.549988</v>
      </c>
      <c r="L11" s="73">
        <f t="shared" si="3"/>
        <v>0.94283806974871553</v>
      </c>
      <c r="M11" s="71">
        <f>SUMIF('SIGAF DIC 20'!$B$2:$B$849,$A11,'SIGAF DIC 20'!$M$2:$M$849)</f>
        <v>89065354586.549988</v>
      </c>
      <c r="N11" s="72">
        <f t="shared" si="4"/>
        <v>0.94283806974871553</v>
      </c>
      <c r="O11" s="75">
        <f>SUMIF('SIGAF DIC 20'!$B$2:$B$849,$A11,'SIGAF DIC 20'!$O$2:$O$849)</f>
        <v>5341746303.4400005</v>
      </c>
      <c r="P11" s="72">
        <f t="shared" si="5"/>
        <v>5.6547260123784068E-2</v>
      </c>
      <c r="Q11" s="71">
        <f>SUMIF('SIGAF DIC 20'!$B$2:$B$849,$A11,'SIGAF DIC 20'!$Q$2:$Q$849)</f>
        <v>5341746303.4400005</v>
      </c>
      <c r="R11" s="72">
        <f t="shared" si="6"/>
        <v>5.6547260123784068E-2</v>
      </c>
    </row>
    <row r="12" spans="1:18" x14ac:dyDescent="0.25">
      <c r="A12" s="66" t="s">
        <v>73</v>
      </c>
      <c r="B12" s="66" t="s">
        <v>404</v>
      </c>
      <c r="C12" s="69">
        <f>SUMIF('SIGAF DIC 20'!$B$2:$B$849,$A12,'SIGAF DIC 20'!$F$2:$F$849)</f>
        <v>33438929375.5</v>
      </c>
      <c r="D12" s="69">
        <f>SUMIF('SIGAF DIC 20'!$B$2:$B$849,$A12,'SIGAF DIC 20'!$G$2:$G$849)</f>
        <v>33438929375.5</v>
      </c>
      <c r="E12" s="69">
        <f>SUMIF('SIGAF DIC 20'!$B$2:$B$849,$A12,'SIGAF DIC 20'!$H$2:$H$849)</f>
        <v>0</v>
      </c>
      <c r="F12" s="76">
        <f t="shared" si="0"/>
        <v>0</v>
      </c>
      <c r="G12" s="69">
        <f>SUMIF('SIGAF DIC 20'!$B$2:$B$849,$A12,'SIGAF DIC 20'!$I$2:$I$849)</f>
        <v>0</v>
      </c>
      <c r="H12" s="76">
        <f t="shared" si="1"/>
        <v>0</v>
      </c>
      <c r="I12" s="69">
        <f>SUMIF('SIGAF DIC 20'!$B$2:$B$849,$A12,'SIGAF DIC 20'!$J$2:$J$849)</f>
        <v>0</v>
      </c>
      <c r="J12" s="76">
        <f t="shared" si="2"/>
        <v>0</v>
      </c>
      <c r="K12" s="69">
        <f>SUMIF('SIGAF DIC 20'!$B$2:$B$849,$A12,'SIGAF DIC 20'!$K$2:$K$849)</f>
        <v>31829423587.170002</v>
      </c>
      <c r="L12" s="77">
        <f t="shared" si="3"/>
        <v>0.95186730501278405</v>
      </c>
      <c r="M12" s="69">
        <f>SUMIF('SIGAF DIC 20'!$B$2:$B$849,$A12,'SIGAF DIC 20'!$M$2:$M$849)</f>
        <v>31829423587.170002</v>
      </c>
      <c r="N12" s="76">
        <f t="shared" si="4"/>
        <v>0.95186730501278405</v>
      </c>
      <c r="O12" s="68">
        <f>SUMIF('SIGAF DIC 20'!$B$2:$B$849,$A12,'SIGAF DIC 20'!$O$2:$O$849)</f>
        <v>1609505788.3300002</v>
      </c>
      <c r="P12" s="76">
        <f t="shared" si="5"/>
        <v>4.8132694987216042E-2</v>
      </c>
      <c r="Q12" s="69">
        <f>SUMIF('SIGAF DIC 20'!$B$2:$B$849,$A12,'SIGAF DIC 20'!$Q$2:$Q$849)</f>
        <v>1609505788.3300002</v>
      </c>
      <c r="R12" s="76">
        <f t="shared" si="6"/>
        <v>4.8132694987216042E-2</v>
      </c>
    </row>
    <row r="13" spans="1:18" x14ac:dyDescent="0.25">
      <c r="A13" s="66" t="s">
        <v>75</v>
      </c>
      <c r="B13" s="66" t="s">
        <v>405</v>
      </c>
      <c r="C13" s="69">
        <f>SUMIF('SIGAF DIC 20'!$B$2:$B$849,$A13,'SIGAF DIC 20'!$F$2:$F$849)</f>
        <v>33432229375.5</v>
      </c>
      <c r="D13" s="69">
        <f>SUMIF('SIGAF DIC 20'!$B$2:$B$849,$A13,'SIGAF DIC 20'!$G$2:$G$849)</f>
        <v>33432229375.5</v>
      </c>
      <c r="E13" s="69">
        <f>SUMIF('SIGAF DIC 20'!$B$2:$B$849,$A13,'SIGAF DIC 20'!$H$2:$H$849)</f>
        <v>0</v>
      </c>
      <c r="F13" s="76">
        <f t="shared" si="0"/>
        <v>0</v>
      </c>
      <c r="G13" s="69">
        <f>SUMIF('SIGAF DIC 20'!$B$2:$B$849,$A13,'SIGAF DIC 20'!$I$2:$I$849)</f>
        <v>0</v>
      </c>
      <c r="H13" s="76">
        <f t="shared" si="1"/>
        <v>0</v>
      </c>
      <c r="I13" s="69">
        <f>SUMIF('SIGAF DIC 20'!$B$2:$B$849,$A13,'SIGAF DIC 20'!$J$2:$J$849)</f>
        <v>0</v>
      </c>
      <c r="J13" s="76">
        <f t="shared" si="2"/>
        <v>0</v>
      </c>
      <c r="K13" s="69">
        <f>SUMIF('SIGAF DIC 20'!$B$2:$B$849,$A13,'SIGAF DIC 20'!$K$2:$K$849)</f>
        <v>31829423587.170002</v>
      </c>
      <c r="L13" s="77">
        <f t="shared" si="3"/>
        <v>0.95205806438069684</v>
      </c>
      <c r="M13" s="69">
        <f>SUMIF('SIGAF DIC 20'!$B$2:$B$849,$A13,'SIGAF DIC 20'!$M$2:$M$849)</f>
        <v>31829423587.170002</v>
      </c>
      <c r="N13" s="76">
        <f t="shared" si="4"/>
        <v>0.95205806438069684</v>
      </c>
      <c r="O13" s="68">
        <f>SUMIF('SIGAF DIC 20'!$B$2:$B$849,$A13,'SIGAF DIC 20'!$O$2:$O$849)</f>
        <v>1602805788.3300002</v>
      </c>
      <c r="P13" s="76">
        <f t="shared" si="5"/>
        <v>4.7941935619303259E-2</v>
      </c>
      <c r="Q13" s="69">
        <f>SUMIF('SIGAF DIC 20'!$B$2:$B$849,$A13,'SIGAF DIC 20'!$Q$2:$Q$849)</f>
        <v>1602805788.3300002</v>
      </c>
      <c r="R13" s="76">
        <f t="shared" si="6"/>
        <v>4.7941935619303259E-2</v>
      </c>
    </row>
    <row r="14" spans="1:18" x14ac:dyDescent="0.25">
      <c r="A14" s="66" t="s">
        <v>335</v>
      </c>
      <c r="B14" s="66" t="s">
        <v>336</v>
      </c>
      <c r="C14" s="69">
        <f>SUMIF('SIGAF DIC 20'!$B$2:$B$849,$A14,'SIGAF DIC 20'!$F$2:$F$849)</f>
        <v>0</v>
      </c>
      <c r="D14" s="69">
        <f>SUMIF('SIGAF DIC 20'!$B$2:$B$849,$A14,'SIGAF DIC 20'!$G$2:$G$849)</f>
        <v>0</v>
      </c>
      <c r="E14" s="69">
        <f>SUMIF('SIGAF DIC 20'!$B$2:$B$849,$A14,'SIGAF DIC 20'!$H$2:$H$849)</f>
        <v>0</v>
      </c>
      <c r="F14" s="76">
        <f t="shared" si="0"/>
        <v>0</v>
      </c>
      <c r="G14" s="69">
        <f>SUMIF('SIGAF DIC 20'!$B$2:$B$849,$A14,'SIGAF DIC 20'!$I$2:$I$849)</f>
        <v>0</v>
      </c>
      <c r="H14" s="76">
        <f t="shared" si="1"/>
        <v>0</v>
      </c>
      <c r="I14" s="69">
        <f>SUMIF('SIGAF DIC 20'!$B$2:$B$849,$A14,'SIGAF DIC 20'!$J$2:$J$849)</f>
        <v>0</v>
      </c>
      <c r="J14" s="76">
        <f t="shared" si="2"/>
        <v>0</v>
      </c>
      <c r="K14" s="69">
        <f>SUMIF('SIGAF DIC 20'!$B$2:$B$849,$A14,'SIGAF DIC 20'!$K$2:$K$849)</f>
        <v>0</v>
      </c>
      <c r="L14" s="77">
        <f t="shared" si="3"/>
        <v>0</v>
      </c>
      <c r="M14" s="69">
        <f>SUMIF('SIGAF DIC 20'!$B$2:$B$849,$A14,'SIGAF DIC 20'!$M$2:$M$849)</f>
        <v>0</v>
      </c>
      <c r="N14" s="76">
        <f t="shared" si="4"/>
        <v>0</v>
      </c>
      <c r="O14" s="68">
        <f>SUMIF('SIGAF DIC 20'!$B$2:$B$849,$A14,'SIGAF DIC 20'!$O$2:$O$849)</f>
        <v>0</v>
      </c>
      <c r="P14" s="76">
        <f t="shared" si="5"/>
        <v>0</v>
      </c>
      <c r="Q14" s="69">
        <f>SUMIF('SIGAF DIC 20'!$B$2:$B$849,$A14,'SIGAF DIC 20'!$Q$2:$Q$849)</f>
        <v>0</v>
      </c>
      <c r="R14" s="76">
        <f t="shared" si="6"/>
        <v>0</v>
      </c>
    </row>
    <row r="15" spans="1:18" x14ac:dyDescent="0.25">
      <c r="A15" s="66" t="s">
        <v>291</v>
      </c>
      <c r="B15" s="66" t="s">
        <v>292</v>
      </c>
      <c r="C15" s="69">
        <f>SUMIF('SIGAF DIC 20'!$B$2:$B$849,$A15,'SIGAF DIC 20'!$F$2:$F$849)</f>
        <v>6700000</v>
      </c>
      <c r="D15" s="69">
        <f>SUMIF('SIGAF DIC 20'!$B$2:$B$849,$A15,'SIGAF DIC 20'!$G$2:$G$849)</f>
        <v>6700000</v>
      </c>
      <c r="E15" s="69">
        <f>SUMIF('SIGAF DIC 20'!$B$2:$B$849,$A15,'SIGAF DIC 20'!$H$2:$H$849)</f>
        <v>0</v>
      </c>
      <c r="F15" s="76">
        <f t="shared" si="0"/>
        <v>0</v>
      </c>
      <c r="G15" s="69">
        <f>SUMIF('SIGAF DIC 20'!$B$2:$B$849,$A15,'SIGAF DIC 20'!$I$2:$I$849)</f>
        <v>0</v>
      </c>
      <c r="H15" s="76">
        <f t="shared" si="1"/>
        <v>0</v>
      </c>
      <c r="I15" s="69">
        <f>SUMIF('SIGAF DIC 20'!$B$2:$B$849,$A15,'SIGAF DIC 20'!$J$2:$J$849)</f>
        <v>0</v>
      </c>
      <c r="J15" s="76">
        <f t="shared" si="2"/>
        <v>0</v>
      </c>
      <c r="K15" s="69">
        <f>SUMIF('SIGAF DIC 20'!$B$2:$B$849,$A15,'SIGAF DIC 20'!$K$2:$K$849)</f>
        <v>0</v>
      </c>
      <c r="L15" s="77">
        <f t="shared" si="3"/>
        <v>0</v>
      </c>
      <c r="M15" s="69">
        <f>SUMIF('SIGAF DIC 20'!$B$2:$B$849,$A15,'SIGAF DIC 20'!$M$2:$M$849)</f>
        <v>0</v>
      </c>
      <c r="N15" s="76">
        <f t="shared" si="4"/>
        <v>0</v>
      </c>
      <c r="O15" s="68">
        <f>SUMIF('SIGAF DIC 20'!$B$2:$B$849,$A15,'SIGAF DIC 20'!$O$2:$O$849)</f>
        <v>6700000</v>
      </c>
      <c r="P15" s="76">
        <f t="shared" si="5"/>
        <v>1</v>
      </c>
      <c r="Q15" s="69">
        <f>SUMIF('SIGAF DIC 20'!$B$2:$B$849,$A15,'SIGAF DIC 20'!$Q$2:$Q$849)</f>
        <v>6700000</v>
      </c>
      <c r="R15" s="76">
        <f t="shared" si="6"/>
        <v>1</v>
      </c>
    </row>
    <row r="16" spans="1:18" x14ac:dyDescent="0.25">
      <c r="A16" s="66" t="s">
        <v>293</v>
      </c>
      <c r="B16" s="66" t="s">
        <v>406</v>
      </c>
      <c r="C16" s="69">
        <f>SUMIF('SIGAF DIC 20'!$B$2:$B$849,$A16,'SIGAF DIC 20'!$F$2:$F$849)</f>
        <v>3726725900</v>
      </c>
      <c r="D16" s="69">
        <f>SUMIF('SIGAF DIC 20'!$B$2:$B$849,$A16,'SIGAF DIC 20'!$G$2:$G$849)</f>
        <v>3726725900</v>
      </c>
      <c r="E16" s="69">
        <f>SUMIF('SIGAF DIC 20'!$B$2:$B$849,$A16,'SIGAF DIC 20'!$H$2:$H$849)</f>
        <v>0</v>
      </c>
      <c r="F16" s="76">
        <f t="shared" si="0"/>
        <v>0</v>
      </c>
      <c r="G16" s="69">
        <f>SUMIF('SIGAF DIC 20'!$B$2:$B$849,$A16,'SIGAF DIC 20'!$I$2:$I$849)</f>
        <v>0</v>
      </c>
      <c r="H16" s="76">
        <f t="shared" si="1"/>
        <v>0</v>
      </c>
      <c r="I16" s="69">
        <f>SUMIF('SIGAF DIC 20'!$B$2:$B$849,$A16,'SIGAF DIC 20'!$J$2:$J$849)</f>
        <v>0</v>
      </c>
      <c r="J16" s="76">
        <f t="shared" si="2"/>
        <v>0</v>
      </c>
      <c r="K16" s="69">
        <f>SUMIF('SIGAF DIC 20'!$B$2:$B$849,$A16,'SIGAF DIC 20'!$K$2:$K$849)</f>
        <v>3626989544.98</v>
      </c>
      <c r="L16" s="77">
        <f t="shared" si="3"/>
        <v>0.97323753941227609</v>
      </c>
      <c r="M16" s="69">
        <f>SUMIF('SIGAF DIC 20'!$B$2:$B$849,$A16,'SIGAF DIC 20'!$M$2:$M$849)</f>
        <v>3626989544.98</v>
      </c>
      <c r="N16" s="76">
        <f t="shared" si="4"/>
        <v>0.97323753941227609</v>
      </c>
      <c r="O16" s="68">
        <f>SUMIF('SIGAF DIC 20'!$B$2:$B$849,$A16,'SIGAF DIC 20'!$O$2:$O$849)</f>
        <v>99736355.019999996</v>
      </c>
      <c r="P16" s="76">
        <f t="shared" si="5"/>
        <v>2.676246058772393E-2</v>
      </c>
      <c r="Q16" s="69">
        <f>SUMIF('SIGAF DIC 20'!$B$2:$B$849,$A16,'SIGAF DIC 20'!$Q$2:$Q$849)</f>
        <v>99736355.019999996</v>
      </c>
      <c r="R16" s="76">
        <f t="shared" si="6"/>
        <v>2.676246058772393E-2</v>
      </c>
    </row>
    <row r="17" spans="1:18" x14ac:dyDescent="0.25">
      <c r="A17" s="66" t="s">
        <v>295</v>
      </c>
      <c r="B17" s="66" t="s">
        <v>407</v>
      </c>
      <c r="C17" s="69">
        <f>SUMIF('SIGAF DIC 20'!$B$2:$B$849,$A17,'SIGAF DIC 20'!$F$2:$F$849)</f>
        <v>19000000</v>
      </c>
      <c r="D17" s="69">
        <f>SUMIF('SIGAF DIC 20'!$B$2:$B$849,$A17,'SIGAF DIC 20'!$G$2:$G$849)</f>
        <v>19000000</v>
      </c>
      <c r="E17" s="69">
        <f>SUMIF('SIGAF DIC 20'!$B$2:$B$849,$A17,'SIGAF DIC 20'!$H$2:$H$849)</f>
        <v>0</v>
      </c>
      <c r="F17" s="76">
        <f t="shared" si="0"/>
        <v>0</v>
      </c>
      <c r="G17" s="69">
        <f>SUMIF('SIGAF DIC 20'!$B$2:$B$849,$A17,'SIGAF DIC 20'!$I$2:$I$849)</f>
        <v>0</v>
      </c>
      <c r="H17" s="76">
        <f t="shared" si="1"/>
        <v>0</v>
      </c>
      <c r="I17" s="69">
        <f>SUMIF('SIGAF DIC 20'!$B$2:$B$849,$A17,'SIGAF DIC 20'!$J$2:$J$849)</f>
        <v>0</v>
      </c>
      <c r="J17" s="76">
        <f t="shared" si="2"/>
        <v>0</v>
      </c>
      <c r="K17" s="69">
        <f>SUMIF('SIGAF DIC 20'!$B$2:$B$849,$A17,'SIGAF DIC 20'!$K$2:$K$849)</f>
        <v>9082088.370000001</v>
      </c>
      <c r="L17" s="77">
        <f t="shared" si="3"/>
        <v>0.47800465105263162</v>
      </c>
      <c r="M17" s="69">
        <f>SUMIF('SIGAF DIC 20'!$B$2:$B$849,$A17,'SIGAF DIC 20'!$M$2:$M$849)</f>
        <v>9082088.370000001</v>
      </c>
      <c r="N17" s="76">
        <f t="shared" si="4"/>
        <v>0.47800465105263162</v>
      </c>
      <c r="O17" s="68">
        <f>SUMIF('SIGAF DIC 20'!$B$2:$B$849,$A17,'SIGAF DIC 20'!$O$2:$O$849)</f>
        <v>9917911.629999999</v>
      </c>
      <c r="P17" s="76">
        <f t="shared" si="5"/>
        <v>0.52199534894736832</v>
      </c>
      <c r="Q17" s="69">
        <f>SUMIF('SIGAF DIC 20'!$B$2:$B$849,$A17,'SIGAF DIC 20'!$Q$2:$Q$849)</f>
        <v>9917911.629999999</v>
      </c>
      <c r="R17" s="76">
        <f t="shared" si="6"/>
        <v>0.52199534894736832</v>
      </c>
    </row>
    <row r="18" spans="1:18" x14ac:dyDescent="0.25">
      <c r="A18" s="66" t="s">
        <v>337</v>
      </c>
      <c r="B18" s="66" t="s">
        <v>338</v>
      </c>
      <c r="C18" s="69">
        <f>SUMIF('SIGAF DIC 20'!$B$2:$B$849,$A18,'SIGAF DIC 20'!$F$2:$F$849)</f>
        <v>25000000</v>
      </c>
      <c r="D18" s="69">
        <f>SUMIF('SIGAF DIC 20'!$B$2:$B$849,$A18,'SIGAF DIC 20'!$G$2:$G$849)</f>
        <v>25000000</v>
      </c>
      <c r="E18" s="69">
        <f>SUMIF('SIGAF DIC 20'!$B$2:$B$849,$A18,'SIGAF DIC 20'!$H$2:$H$849)</f>
        <v>0</v>
      </c>
      <c r="F18" s="76">
        <f t="shared" si="0"/>
        <v>0</v>
      </c>
      <c r="G18" s="69">
        <f>SUMIF('SIGAF DIC 20'!$B$2:$B$849,$A18,'SIGAF DIC 20'!$I$2:$I$849)</f>
        <v>0</v>
      </c>
      <c r="H18" s="76">
        <f t="shared" si="1"/>
        <v>0</v>
      </c>
      <c r="I18" s="69">
        <f>SUMIF('SIGAF DIC 20'!$B$2:$B$849,$A18,'SIGAF DIC 20'!$J$2:$J$849)</f>
        <v>0</v>
      </c>
      <c r="J18" s="76">
        <f t="shared" si="2"/>
        <v>0</v>
      </c>
      <c r="K18" s="69">
        <f>SUMIF('SIGAF DIC 20'!$B$2:$B$849,$A18,'SIGAF DIC 20'!$K$2:$K$849)</f>
        <v>2126940</v>
      </c>
      <c r="L18" s="77">
        <f t="shared" si="3"/>
        <v>8.5077600000000003E-2</v>
      </c>
      <c r="M18" s="69">
        <f>SUMIF('SIGAF DIC 20'!$B$2:$B$849,$A18,'SIGAF DIC 20'!$M$2:$M$849)</f>
        <v>2126940</v>
      </c>
      <c r="N18" s="76">
        <f t="shared" si="4"/>
        <v>8.5077600000000003E-2</v>
      </c>
      <c r="O18" s="68">
        <f>SUMIF('SIGAF DIC 20'!$B$2:$B$849,$A18,'SIGAF DIC 20'!$O$2:$O$849)</f>
        <v>22873060</v>
      </c>
      <c r="P18" s="76">
        <f t="shared" si="5"/>
        <v>0.91492240000000002</v>
      </c>
      <c r="Q18" s="69">
        <f>SUMIF('SIGAF DIC 20'!$B$2:$B$849,$A18,'SIGAF DIC 20'!$Q$2:$Q$849)</f>
        <v>22873060</v>
      </c>
      <c r="R18" s="76">
        <f t="shared" si="6"/>
        <v>0.91492240000000002</v>
      </c>
    </row>
    <row r="19" spans="1:18" x14ac:dyDescent="0.25">
      <c r="A19" s="66" t="s">
        <v>339</v>
      </c>
      <c r="B19" s="66" t="s">
        <v>408</v>
      </c>
      <c r="C19" s="69">
        <f>SUMIF('SIGAF DIC 20'!$B$2:$B$849,$A19,'SIGAF DIC 20'!$F$2:$F$849)</f>
        <v>3682725900</v>
      </c>
      <c r="D19" s="69">
        <f>SUMIF('SIGAF DIC 20'!$B$2:$B$849,$A19,'SIGAF DIC 20'!$G$2:$G$849)</f>
        <v>3682725900</v>
      </c>
      <c r="E19" s="69">
        <f>SUMIF('SIGAF DIC 20'!$B$2:$B$849,$A19,'SIGAF DIC 20'!$H$2:$H$849)</f>
        <v>0</v>
      </c>
      <c r="F19" s="76">
        <f t="shared" si="0"/>
        <v>0</v>
      </c>
      <c r="G19" s="69">
        <f>SUMIF('SIGAF DIC 20'!$B$2:$B$849,$A19,'SIGAF DIC 20'!$I$2:$I$849)</f>
        <v>0</v>
      </c>
      <c r="H19" s="76">
        <f t="shared" si="1"/>
        <v>0</v>
      </c>
      <c r="I19" s="69">
        <f>SUMIF('SIGAF DIC 20'!$B$2:$B$849,$A19,'SIGAF DIC 20'!$J$2:$J$849)</f>
        <v>0</v>
      </c>
      <c r="J19" s="76">
        <f t="shared" si="2"/>
        <v>0</v>
      </c>
      <c r="K19" s="69">
        <f>SUMIF('SIGAF DIC 20'!$B$2:$B$849,$A19,'SIGAF DIC 20'!$K$2:$K$849)</f>
        <v>3615780516.6100001</v>
      </c>
      <c r="L19" s="77">
        <f t="shared" si="3"/>
        <v>0.98182178494739458</v>
      </c>
      <c r="M19" s="69">
        <f>SUMIF('SIGAF DIC 20'!$B$2:$B$849,$A19,'SIGAF DIC 20'!$M$2:$M$849)</f>
        <v>3615780516.6100001</v>
      </c>
      <c r="N19" s="76">
        <f t="shared" si="4"/>
        <v>0.98182178494739458</v>
      </c>
      <c r="O19" s="68">
        <f>SUMIF('SIGAF DIC 20'!$B$2:$B$849,$A19,'SIGAF DIC 20'!$O$2:$O$849)</f>
        <v>66945383.390000001</v>
      </c>
      <c r="P19" s="76">
        <f t="shared" si="5"/>
        <v>1.8178215052605463E-2</v>
      </c>
      <c r="Q19" s="69">
        <f>SUMIF('SIGAF DIC 20'!$B$2:$B$849,$A19,'SIGAF DIC 20'!$Q$2:$Q$849)</f>
        <v>66945383.390000001</v>
      </c>
      <c r="R19" s="76">
        <f t="shared" si="6"/>
        <v>1.8178215052605463E-2</v>
      </c>
    </row>
    <row r="20" spans="1:18" x14ac:dyDescent="0.25">
      <c r="A20" s="66" t="s">
        <v>77</v>
      </c>
      <c r="B20" s="66" t="s">
        <v>409</v>
      </c>
      <c r="C20" s="69">
        <f>SUMIF('SIGAF DIC 20'!$B$2:$B$849,$A20,'SIGAF DIC 20'!$F$2:$F$849)</f>
        <v>42769500212</v>
      </c>
      <c r="D20" s="69">
        <f>SUMIF('SIGAF DIC 20'!$B$2:$B$849,$A20,'SIGAF DIC 20'!$G$2:$G$849)</f>
        <v>42769500212</v>
      </c>
      <c r="E20" s="69">
        <f>SUMIF('SIGAF DIC 20'!$B$2:$B$849,$A20,'SIGAF DIC 20'!$H$2:$H$849)</f>
        <v>0</v>
      </c>
      <c r="F20" s="76">
        <f t="shared" si="0"/>
        <v>0</v>
      </c>
      <c r="G20" s="69">
        <f>SUMIF('SIGAF DIC 20'!$B$2:$B$849,$A20,'SIGAF DIC 20'!$I$2:$I$849)</f>
        <v>58064915.509999998</v>
      </c>
      <c r="H20" s="76">
        <f t="shared" si="1"/>
        <v>1.3576243636746661E-3</v>
      </c>
      <c r="I20" s="69">
        <f>SUMIF('SIGAF DIC 20'!$B$2:$B$849,$A20,'SIGAF DIC 20'!$J$2:$J$849)</f>
        <v>0</v>
      </c>
      <c r="J20" s="76">
        <f t="shared" si="2"/>
        <v>0</v>
      </c>
      <c r="K20" s="69">
        <f>SUMIF('SIGAF DIC 20'!$B$2:$B$849,$A20,'SIGAF DIC 20'!$K$2:$K$849)</f>
        <v>40018029022.379997</v>
      </c>
      <c r="L20" s="77">
        <f t="shared" si="3"/>
        <v>0.93566744582046779</v>
      </c>
      <c r="M20" s="69">
        <f>SUMIF('SIGAF DIC 20'!$B$2:$B$849,$A20,'SIGAF DIC 20'!$M$2:$M$849)</f>
        <v>40018029022.379997</v>
      </c>
      <c r="N20" s="76">
        <f t="shared" si="4"/>
        <v>0.93566744582046779</v>
      </c>
      <c r="O20" s="68">
        <f>SUMIF('SIGAF DIC 20'!$B$2:$B$849,$A20,'SIGAF DIC 20'!$O$2:$O$849)</f>
        <v>2693406274.1099997</v>
      </c>
      <c r="P20" s="76">
        <f t="shared" si="5"/>
        <v>6.2974929815857436E-2</v>
      </c>
      <c r="Q20" s="69">
        <f>SUMIF('SIGAF DIC 20'!$B$2:$B$849,$A20,'SIGAF DIC 20'!$Q$2:$Q$849)</f>
        <v>2693406274.1099997</v>
      </c>
      <c r="R20" s="76">
        <f t="shared" si="6"/>
        <v>6.2974929815857436E-2</v>
      </c>
    </row>
    <row r="21" spans="1:18" x14ac:dyDescent="0.25">
      <c r="A21" s="66" t="s">
        <v>79</v>
      </c>
      <c r="B21" s="66" t="s">
        <v>410</v>
      </c>
      <c r="C21" s="69">
        <f>SUMIF('SIGAF DIC 20'!$B$2:$B$849,$A21,'SIGAF DIC 20'!$F$2:$F$849)</f>
        <v>12646955367</v>
      </c>
      <c r="D21" s="69">
        <f>SUMIF('SIGAF DIC 20'!$B$2:$B$849,$A21,'SIGAF DIC 20'!$G$2:$G$849)</f>
        <v>12646955367</v>
      </c>
      <c r="E21" s="69">
        <f>SUMIF('SIGAF DIC 20'!$B$2:$B$849,$A21,'SIGAF DIC 20'!$H$2:$H$849)</f>
        <v>0</v>
      </c>
      <c r="F21" s="76">
        <f t="shared" si="0"/>
        <v>0</v>
      </c>
      <c r="G21" s="69">
        <f>SUMIF('SIGAF DIC 20'!$B$2:$B$849,$A21,'SIGAF DIC 20'!$I$2:$I$849)</f>
        <v>0</v>
      </c>
      <c r="H21" s="76">
        <f t="shared" si="1"/>
        <v>0</v>
      </c>
      <c r="I21" s="69">
        <f>SUMIF('SIGAF DIC 20'!$B$2:$B$849,$A21,'SIGAF DIC 20'!$J$2:$J$849)</f>
        <v>0</v>
      </c>
      <c r="J21" s="76">
        <f t="shared" si="2"/>
        <v>0</v>
      </c>
      <c r="K21" s="69">
        <f>SUMIF('SIGAF DIC 20'!$B$2:$B$849,$A21,'SIGAF DIC 20'!$K$2:$K$849)</f>
        <v>11684025663.9</v>
      </c>
      <c r="L21" s="77">
        <f t="shared" si="3"/>
        <v>0.92386074947235164</v>
      </c>
      <c r="M21" s="69">
        <f>SUMIF('SIGAF DIC 20'!$B$2:$B$849,$A21,'SIGAF DIC 20'!$M$2:$M$849)</f>
        <v>11684025663.9</v>
      </c>
      <c r="N21" s="76">
        <f t="shared" si="4"/>
        <v>0.92386074947235164</v>
      </c>
      <c r="O21" s="68">
        <f>SUMIF('SIGAF DIC 20'!$B$2:$B$849,$A21,'SIGAF DIC 20'!$O$2:$O$849)</f>
        <v>962929703.10000014</v>
      </c>
      <c r="P21" s="76">
        <f t="shared" si="5"/>
        <v>7.6139250527648375E-2</v>
      </c>
      <c r="Q21" s="69">
        <f>SUMIF('SIGAF DIC 20'!$B$2:$B$849,$A21,'SIGAF DIC 20'!$Q$2:$Q$849)</f>
        <v>962929703.10000014</v>
      </c>
      <c r="R21" s="76">
        <f t="shared" si="6"/>
        <v>7.6139250527648375E-2</v>
      </c>
    </row>
    <row r="22" spans="1:18" x14ac:dyDescent="0.25">
      <c r="A22" s="66" t="s">
        <v>81</v>
      </c>
      <c r="B22" s="66" t="s">
        <v>411</v>
      </c>
      <c r="C22" s="69">
        <f>SUMIF('SIGAF DIC 20'!$B$2:$B$849,$A22,'SIGAF DIC 20'!$F$2:$F$849)</f>
        <v>8423589548</v>
      </c>
      <c r="D22" s="69">
        <f>SUMIF('SIGAF DIC 20'!$B$2:$B$849,$A22,'SIGAF DIC 20'!$G$2:$G$849)</f>
        <v>8423589548</v>
      </c>
      <c r="E22" s="69">
        <f>SUMIF('SIGAF DIC 20'!$B$2:$B$849,$A22,'SIGAF DIC 20'!$H$2:$H$849)</f>
        <v>0</v>
      </c>
      <c r="F22" s="76">
        <f t="shared" si="0"/>
        <v>0</v>
      </c>
      <c r="G22" s="69">
        <f>SUMIF('SIGAF DIC 20'!$B$2:$B$849,$A22,'SIGAF DIC 20'!$I$2:$I$849)</f>
        <v>0</v>
      </c>
      <c r="H22" s="76">
        <f t="shared" si="1"/>
        <v>0</v>
      </c>
      <c r="I22" s="69">
        <f>SUMIF('SIGAF DIC 20'!$B$2:$B$849,$A22,'SIGAF DIC 20'!$J$2:$J$849)</f>
        <v>0</v>
      </c>
      <c r="J22" s="76">
        <f t="shared" si="2"/>
        <v>0</v>
      </c>
      <c r="K22" s="69">
        <f>SUMIF('SIGAF DIC 20'!$B$2:$B$849,$A22,'SIGAF DIC 20'!$K$2:$K$849)</f>
        <v>7830008704.6499996</v>
      </c>
      <c r="L22" s="77">
        <f t="shared" si="3"/>
        <v>0.92953350350612307</v>
      </c>
      <c r="M22" s="69">
        <f>SUMIF('SIGAF DIC 20'!$B$2:$B$849,$A22,'SIGAF DIC 20'!$M$2:$M$849)</f>
        <v>7830008704.6499996</v>
      </c>
      <c r="N22" s="76">
        <f t="shared" si="4"/>
        <v>0.92953350350612307</v>
      </c>
      <c r="O22" s="68">
        <f>SUMIF('SIGAF DIC 20'!$B$2:$B$849,$A22,'SIGAF DIC 20'!$O$2:$O$849)</f>
        <v>593580843.3499999</v>
      </c>
      <c r="P22" s="76">
        <f t="shared" si="5"/>
        <v>7.0466496493876873E-2</v>
      </c>
      <c r="Q22" s="69">
        <f>SUMIF('SIGAF DIC 20'!$B$2:$B$849,$A22,'SIGAF DIC 20'!$Q$2:$Q$849)</f>
        <v>593580843.3499999</v>
      </c>
      <c r="R22" s="76">
        <f t="shared" si="6"/>
        <v>7.0466496493876873E-2</v>
      </c>
    </row>
    <row r="23" spans="1:18" x14ac:dyDescent="0.25">
      <c r="A23" s="66" t="s">
        <v>83</v>
      </c>
      <c r="B23" s="66" t="s">
        <v>84</v>
      </c>
      <c r="C23" s="69">
        <f>SUMIF('SIGAF DIC 20'!$B$2:$B$849,$A23,'SIGAF DIC 20'!$F$2:$F$849)</f>
        <v>6199358676</v>
      </c>
      <c r="D23" s="69">
        <f>SUMIF('SIGAF DIC 20'!$B$2:$B$849,$A23,'SIGAF DIC 20'!$G$2:$G$849)</f>
        <v>6199358676</v>
      </c>
      <c r="E23" s="69">
        <f>SUMIF('SIGAF DIC 20'!$B$2:$B$849,$A23,'SIGAF DIC 20'!$H$2:$H$849)</f>
        <v>0</v>
      </c>
      <c r="F23" s="76">
        <f t="shared" si="0"/>
        <v>0</v>
      </c>
      <c r="G23" s="69">
        <f>SUMIF('SIGAF DIC 20'!$B$2:$B$849,$A23,'SIGAF DIC 20'!$I$2:$I$849)</f>
        <v>0</v>
      </c>
      <c r="H23" s="76">
        <f t="shared" si="1"/>
        <v>0</v>
      </c>
      <c r="I23" s="69">
        <f>SUMIF('SIGAF DIC 20'!$B$2:$B$849,$A23,'SIGAF DIC 20'!$J$2:$J$849)</f>
        <v>0</v>
      </c>
      <c r="J23" s="76">
        <f t="shared" si="2"/>
        <v>0</v>
      </c>
      <c r="K23" s="69">
        <f>SUMIF('SIGAF DIC 20'!$B$2:$B$849,$A23,'SIGAF DIC 20'!$K$2:$K$849)</f>
        <v>5819261580.46</v>
      </c>
      <c r="L23" s="77">
        <f t="shared" si="3"/>
        <v>0.93868767474101866</v>
      </c>
      <c r="M23" s="69">
        <f>SUMIF('SIGAF DIC 20'!$B$2:$B$849,$A23,'SIGAF DIC 20'!$M$2:$M$849)</f>
        <v>5819261580.46</v>
      </c>
      <c r="N23" s="76">
        <f t="shared" si="4"/>
        <v>0.93868767474101866</v>
      </c>
      <c r="O23" s="68">
        <f>SUMIF('SIGAF DIC 20'!$B$2:$B$849,$A23,'SIGAF DIC 20'!$O$2:$O$849)</f>
        <v>380097095.53999996</v>
      </c>
      <c r="P23" s="76">
        <f t="shared" si="5"/>
        <v>6.1312325258981344E-2</v>
      </c>
      <c r="Q23" s="69">
        <f>SUMIF('SIGAF DIC 20'!$B$2:$B$849,$A23,'SIGAF DIC 20'!$Q$2:$Q$849)</f>
        <v>380097095.53999996</v>
      </c>
      <c r="R23" s="76">
        <f t="shared" si="6"/>
        <v>6.1312325258981344E-2</v>
      </c>
    </row>
    <row r="24" spans="1:18" x14ac:dyDescent="0.25">
      <c r="A24" s="66" t="s">
        <v>86</v>
      </c>
      <c r="B24" s="66" t="s">
        <v>87</v>
      </c>
      <c r="C24" s="69">
        <f>SUMIF('SIGAF DIC 20'!$B$2:$B$849,$A24,'SIGAF DIC 20'!$F$2:$F$849)</f>
        <v>5588747198</v>
      </c>
      <c r="D24" s="69">
        <f>SUMIF('SIGAF DIC 20'!$B$2:$B$849,$A24,'SIGAF DIC 20'!$G$2:$G$849)</f>
        <v>5588747198</v>
      </c>
      <c r="E24" s="69">
        <f>SUMIF('SIGAF DIC 20'!$B$2:$B$849,$A24,'SIGAF DIC 20'!$H$2:$H$849)</f>
        <v>0</v>
      </c>
      <c r="F24" s="76">
        <f t="shared" si="0"/>
        <v>0</v>
      </c>
      <c r="G24" s="69">
        <f>SUMIF('SIGAF DIC 20'!$B$2:$B$849,$A24,'SIGAF DIC 20'!$I$2:$I$849)</f>
        <v>57864915.509999998</v>
      </c>
      <c r="H24" s="76">
        <f t="shared" si="1"/>
        <v>1.0353825904078762E-2</v>
      </c>
      <c r="I24" s="69">
        <f>SUMIF('SIGAF DIC 20'!$B$2:$B$849,$A24,'SIGAF DIC 20'!$J$2:$J$849)</f>
        <v>0</v>
      </c>
      <c r="J24" s="76">
        <f t="shared" si="2"/>
        <v>0</v>
      </c>
      <c r="K24" s="69">
        <f>SUMIF('SIGAF DIC 20'!$B$2:$B$849,$A24,'SIGAF DIC 20'!$K$2:$K$849)</f>
        <v>5371970164.8800011</v>
      </c>
      <c r="L24" s="77">
        <f t="shared" si="3"/>
        <v>0.96121187353087378</v>
      </c>
      <c r="M24" s="69">
        <f>SUMIF('SIGAF DIC 20'!$B$2:$B$849,$A24,'SIGAF DIC 20'!$M$2:$M$849)</f>
        <v>5371970164.8800011</v>
      </c>
      <c r="N24" s="76">
        <f t="shared" si="4"/>
        <v>0.96121187353087378</v>
      </c>
      <c r="O24" s="68">
        <f>SUMIF('SIGAF DIC 20'!$B$2:$B$849,$A24,'SIGAF DIC 20'!$O$2:$O$849)</f>
        <v>158912117.60999998</v>
      </c>
      <c r="P24" s="76">
        <f t="shared" si="5"/>
        <v>2.8434300565047671E-2</v>
      </c>
      <c r="Q24" s="69">
        <f>SUMIF('SIGAF DIC 20'!$B$2:$B$849,$A24,'SIGAF DIC 20'!$Q$2:$Q$849)</f>
        <v>158912117.60999998</v>
      </c>
      <c r="R24" s="76">
        <f t="shared" si="6"/>
        <v>2.8434300565047671E-2</v>
      </c>
    </row>
    <row r="25" spans="1:18" x14ac:dyDescent="0.25">
      <c r="A25" s="66" t="s">
        <v>88</v>
      </c>
      <c r="B25" s="66" t="s">
        <v>412</v>
      </c>
      <c r="C25" s="69">
        <f>SUMIF('SIGAF DIC 20'!$B$2:$B$849,$A25,'SIGAF DIC 20'!$F$2:$F$849)</f>
        <v>9910849423</v>
      </c>
      <c r="D25" s="69">
        <f>SUMIF('SIGAF DIC 20'!$B$2:$B$849,$A25,'SIGAF DIC 20'!$G$2:$G$849)</f>
        <v>9910849423</v>
      </c>
      <c r="E25" s="69">
        <f>SUMIF('SIGAF DIC 20'!$B$2:$B$849,$A25,'SIGAF DIC 20'!$H$2:$H$849)</f>
        <v>0</v>
      </c>
      <c r="F25" s="76">
        <f t="shared" si="0"/>
        <v>0</v>
      </c>
      <c r="G25" s="69">
        <f>SUMIF('SIGAF DIC 20'!$B$2:$B$849,$A25,'SIGAF DIC 20'!$I$2:$I$849)</f>
        <v>200000</v>
      </c>
      <c r="H25" s="76">
        <f t="shared" si="1"/>
        <v>2.0179905017612536E-5</v>
      </c>
      <c r="I25" s="69">
        <f>SUMIF('SIGAF DIC 20'!$B$2:$B$849,$A25,'SIGAF DIC 20'!$J$2:$J$849)</f>
        <v>0</v>
      </c>
      <c r="J25" s="76">
        <f t="shared" si="2"/>
        <v>0</v>
      </c>
      <c r="K25" s="69">
        <f>SUMIF('SIGAF DIC 20'!$B$2:$B$849,$A25,'SIGAF DIC 20'!$K$2:$K$849)</f>
        <v>9312762908.4899998</v>
      </c>
      <c r="L25" s="77">
        <f t="shared" si="3"/>
        <v>0.93965335472436629</v>
      </c>
      <c r="M25" s="69">
        <f>SUMIF('SIGAF DIC 20'!$B$2:$B$849,$A25,'SIGAF DIC 20'!$M$2:$M$849)</f>
        <v>9312762908.4899998</v>
      </c>
      <c r="N25" s="76">
        <f t="shared" si="4"/>
        <v>0.93965335472436629</v>
      </c>
      <c r="O25" s="68">
        <f>SUMIF('SIGAF DIC 20'!$B$2:$B$849,$A25,'SIGAF DIC 20'!$O$2:$O$849)</f>
        <v>597886514.50999999</v>
      </c>
      <c r="P25" s="76">
        <f t="shared" si="5"/>
        <v>6.0326465370616096E-2</v>
      </c>
      <c r="Q25" s="69">
        <f>SUMIF('SIGAF DIC 20'!$B$2:$B$849,$A25,'SIGAF DIC 20'!$Q$2:$Q$849)</f>
        <v>597886514.50999999</v>
      </c>
      <c r="R25" s="76">
        <f t="shared" si="6"/>
        <v>6.0326465370616096E-2</v>
      </c>
    </row>
    <row r="26" spans="1:18" x14ac:dyDescent="0.25">
      <c r="A26" s="66" t="s">
        <v>90</v>
      </c>
      <c r="B26" s="66" t="s">
        <v>413</v>
      </c>
      <c r="C26" s="69">
        <f>SUMIF('SIGAF DIC 20'!$B$2:$B$849,$A26,'SIGAF DIC 20'!$F$2:$F$849)</f>
        <v>7233514296</v>
      </c>
      <c r="D26" s="69">
        <f>SUMIF('SIGAF DIC 20'!$B$2:$B$849,$A26,'SIGAF DIC 20'!$G$2:$G$849)</f>
        <v>7233514296</v>
      </c>
      <c r="E26" s="69">
        <f>SUMIF('SIGAF DIC 20'!$B$2:$B$849,$A26,'SIGAF DIC 20'!$H$2:$H$849)</f>
        <v>0</v>
      </c>
      <c r="F26" s="76">
        <f t="shared" si="0"/>
        <v>0</v>
      </c>
      <c r="G26" s="69">
        <f>SUMIF('SIGAF DIC 20'!$B$2:$B$849,$A26,'SIGAF DIC 20'!$I$2:$I$849)</f>
        <v>0</v>
      </c>
      <c r="H26" s="76">
        <f t="shared" si="1"/>
        <v>0</v>
      </c>
      <c r="I26" s="69">
        <f>SUMIF('SIGAF DIC 20'!$B$2:$B$849,$A26,'SIGAF DIC 20'!$J$2:$J$849)</f>
        <v>0</v>
      </c>
      <c r="J26" s="76">
        <f t="shared" si="2"/>
        <v>0</v>
      </c>
      <c r="K26" s="69">
        <f>SUMIF('SIGAF DIC 20'!$B$2:$B$849,$A26,'SIGAF DIC 20'!$K$2:$K$849)</f>
        <v>6787737623.7199993</v>
      </c>
      <c r="L26" s="77">
        <f t="shared" si="3"/>
        <v>0.93837343039101939</v>
      </c>
      <c r="M26" s="69">
        <f>SUMIF('SIGAF DIC 20'!$B$2:$B$849,$A26,'SIGAF DIC 20'!$M$2:$M$849)</f>
        <v>6787737623.7199993</v>
      </c>
      <c r="N26" s="76">
        <f t="shared" si="4"/>
        <v>0.93837343039101939</v>
      </c>
      <c r="O26" s="68">
        <f>SUMIF('SIGAF DIC 20'!$B$2:$B$849,$A26,'SIGAF DIC 20'!$O$2:$O$849)</f>
        <v>445776672.28000003</v>
      </c>
      <c r="P26" s="76">
        <f t="shared" si="5"/>
        <v>6.162656960898056E-2</v>
      </c>
      <c r="Q26" s="69">
        <f>SUMIF('SIGAF DIC 20'!$B$2:$B$849,$A26,'SIGAF DIC 20'!$Q$2:$Q$849)</f>
        <v>445776672.28000003</v>
      </c>
      <c r="R26" s="76">
        <f t="shared" si="6"/>
        <v>6.162656960898056E-2</v>
      </c>
    </row>
    <row r="27" spans="1:18" s="82" customFormat="1" x14ac:dyDescent="0.25">
      <c r="A27" s="78" t="s">
        <v>414</v>
      </c>
      <c r="B27" s="78" t="s">
        <v>415</v>
      </c>
      <c r="C27" s="79">
        <f>SUM(C28:C41)</f>
        <v>6862565841</v>
      </c>
      <c r="D27" s="79">
        <f>SUM(D28:D41)</f>
        <v>6862565841</v>
      </c>
      <c r="E27" s="79">
        <f>SUM(E28:E41)</f>
        <v>0</v>
      </c>
      <c r="F27" s="80">
        <f t="shared" si="0"/>
        <v>0</v>
      </c>
      <c r="G27" s="79">
        <f>SUM(G28:G41)</f>
        <v>0</v>
      </c>
      <c r="H27" s="80">
        <f t="shared" si="1"/>
        <v>0</v>
      </c>
      <c r="I27" s="79">
        <f>SUM(I28:I41)</f>
        <v>0</v>
      </c>
      <c r="J27" s="80">
        <f t="shared" si="2"/>
        <v>0</v>
      </c>
      <c r="K27" s="79">
        <f>SUM(K28:K41)</f>
        <v>6439730356.9499998</v>
      </c>
      <c r="L27" s="81">
        <f t="shared" si="3"/>
        <v>0.93838522006975955</v>
      </c>
      <c r="M27" s="79">
        <f>SUM(M28:M41)</f>
        <v>6439730356.9499998</v>
      </c>
      <c r="N27" s="80">
        <f t="shared" si="4"/>
        <v>0.93838522006975955</v>
      </c>
      <c r="O27" s="79">
        <f>SUM(O28:O41)</f>
        <v>422835484.05000007</v>
      </c>
      <c r="P27" s="80">
        <f t="shared" si="5"/>
        <v>6.1614779930240393E-2</v>
      </c>
      <c r="Q27" s="79">
        <f>SUM(Q28:Q41)</f>
        <v>422835484.05000007</v>
      </c>
      <c r="R27" s="80">
        <f t="shared" si="6"/>
        <v>6.1614779930240393E-2</v>
      </c>
    </row>
    <row r="28" spans="1:18" x14ac:dyDescent="0.25">
      <c r="A28" s="66" t="s">
        <v>416</v>
      </c>
      <c r="B28" s="66" t="s">
        <v>417</v>
      </c>
      <c r="C28" s="69">
        <f>SUMIF('SIGAF DIC 20'!$B$2:$B$849,$A28,'SIGAF DIC 20'!$F$2:$F$849)</f>
        <v>127041476</v>
      </c>
      <c r="D28" s="69">
        <f>SUMIF('SIGAF DIC 20'!$B$2:$B$849,$A28,'SIGAF DIC 20'!$G$2:$G$849)</f>
        <v>127041476</v>
      </c>
      <c r="E28" s="69">
        <f>SUMIF('SIGAF DIC 20'!$B$2:$B$849,$A28,'SIGAF DIC 20'!$H$2:$H$849)</f>
        <v>0</v>
      </c>
      <c r="F28" s="76">
        <f t="shared" si="0"/>
        <v>0</v>
      </c>
      <c r="G28" s="69">
        <f>SUMIF('SIGAF DIC 20'!$B$2:$B$849,$A28,'SIGAF DIC 20'!$I$2:$I$849)</f>
        <v>0</v>
      </c>
      <c r="H28" s="76">
        <f t="shared" si="1"/>
        <v>0</v>
      </c>
      <c r="I28" s="69">
        <f>SUMIF('SIGAF DIC 20'!$B$2:$B$849,$A28,'SIGAF DIC 20'!$J$2:$J$849)</f>
        <v>0</v>
      </c>
      <c r="J28" s="76">
        <f t="shared" si="2"/>
        <v>0</v>
      </c>
      <c r="K28" s="69">
        <f>SUMIF('SIGAF DIC 20'!$B$2:$B$849,$A28,'SIGAF DIC 20'!$K$2:$K$849)</f>
        <v>101781285</v>
      </c>
      <c r="L28" s="77">
        <f t="shared" si="3"/>
        <v>0.80116579407499955</v>
      </c>
      <c r="M28" s="69">
        <f>SUMIF('SIGAF DIC 20'!$B$2:$B$849,$A28,'SIGAF DIC 20'!$M$2:$M$849)</f>
        <v>101781285</v>
      </c>
      <c r="N28" s="76">
        <f t="shared" si="4"/>
        <v>0.80116579407499955</v>
      </c>
      <c r="O28" s="68">
        <f>SUMIF('SIGAF DIC 20'!$B$2:$B$849,$A28,'SIGAF DIC 20'!$O$2:$O$849)</f>
        <v>25260191</v>
      </c>
      <c r="P28" s="76">
        <f t="shared" si="5"/>
        <v>0.19883420592500042</v>
      </c>
      <c r="Q28" s="69">
        <f>SUMIF('SIGAF DIC 20'!$B$2:$B$849,$A28,'SIGAF DIC 20'!$Q$2:$Q$849)</f>
        <v>25260191</v>
      </c>
      <c r="R28" s="76">
        <f t="shared" si="6"/>
        <v>0.19883420592500042</v>
      </c>
    </row>
    <row r="29" spans="1:18" x14ac:dyDescent="0.25">
      <c r="A29" s="66" t="s">
        <v>418</v>
      </c>
      <c r="B29" s="66" t="s">
        <v>417</v>
      </c>
      <c r="C29" s="69">
        <f>SUMIF('SIGAF DIC 20'!$B$2:$B$849,$A29,'SIGAF DIC 20'!$F$2:$F$849)</f>
        <v>200177066</v>
      </c>
      <c r="D29" s="69">
        <f>SUMIF('SIGAF DIC 20'!$B$2:$B$849,$A29,'SIGAF DIC 20'!$G$2:$G$849)</f>
        <v>200177066</v>
      </c>
      <c r="E29" s="69">
        <f>SUMIF('SIGAF DIC 20'!$B$2:$B$849,$A29,'SIGAF DIC 20'!$H$2:$H$849)</f>
        <v>0</v>
      </c>
      <c r="F29" s="76">
        <f t="shared" si="0"/>
        <v>0</v>
      </c>
      <c r="G29" s="69">
        <f>SUMIF('SIGAF DIC 20'!$B$2:$B$849,$A29,'SIGAF DIC 20'!$I$2:$I$849)</f>
        <v>0</v>
      </c>
      <c r="H29" s="76">
        <f t="shared" si="1"/>
        <v>0</v>
      </c>
      <c r="I29" s="69">
        <f>SUMIF('SIGAF DIC 20'!$B$2:$B$849,$A29,'SIGAF DIC 20'!$J$2:$J$849)</f>
        <v>0</v>
      </c>
      <c r="J29" s="76">
        <f t="shared" si="2"/>
        <v>0</v>
      </c>
      <c r="K29" s="69">
        <f>SUMIF('SIGAF DIC 20'!$B$2:$B$849,$A29,'SIGAF DIC 20'!$K$2:$K$849)</f>
        <v>180741199</v>
      </c>
      <c r="L29" s="77">
        <f t="shared" si="3"/>
        <v>0.90290662467797389</v>
      </c>
      <c r="M29" s="69">
        <f>SUMIF('SIGAF DIC 20'!$B$2:$B$849,$A29,'SIGAF DIC 20'!$M$2:$M$849)</f>
        <v>180741199</v>
      </c>
      <c r="N29" s="76">
        <f t="shared" si="4"/>
        <v>0.90290662467797389</v>
      </c>
      <c r="O29" s="68">
        <f>SUMIF('SIGAF DIC 20'!$B$2:$B$849,$A29,'SIGAF DIC 20'!$O$2:$O$849)</f>
        <v>19435867</v>
      </c>
      <c r="P29" s="76">
        <f t="shared" si="5"/>
        <v>9.7093375322026151E-2</v>
      </c>
      <c r="Q29" s="69">
        <f>SUMIF('SIGAF DIC 20'!$B$2:$B$849,$A29,'SIGAF DIC 20'!$Q$2:$Q$849)</f>
        <v>19435867</v>
      </c>
      <c r="R29" s="76">
        <f t="shared" si="6"/>
        <v>9.7093375322026151E-2</v>
      </c>
    </row>
    <row r="30" spans="1:18" x14ac:dyDescent="0.25">
      <c r="A30" s="66" t="s">
        <v>419</v>
      </c>
      <c r="B30" s="66" t="s">
        <v>417</v>
      </c>
      <c r="C30" s="69">
        <f>SUMIF('SIGAF DIC 20'!$B$2:$B$849,$A30,'SIGAF DIC 20'!$F$2:$F$849)</f>
        <v>93525131</v>
      </c>
      <c r="D30" s="69">
        <f>SUMIF('SIGAF DIC 20'!$B$2:$B$849,$A30,'SIGAF DIC 20'!$G$2:$G$849)</f>
        <v>93525131</v>
      </c>
      <c r="E30" s="69">
        <f>SUMIF('SIGAF DIC 20'!$B$2:$B$849,$A30,'SIGAF DIC 20'!$H$2:$H$849)</f>
        <v>0</v>
      </c>
      <c r="F30" s="76">
        <f t="shared" si="0"/>
        <v>0</v>
      </c>
      <c r="G30" s="69">
        <f>SUMIF('SIGAF DIC 20'!$B$2:$B$849,$A30,'SIGAF DIC 20'!$I$2:$I$849)</f>
        <v>0</v>
      </c>
      <c r="H30" s="76">
        <f t="shared" si="1"/>
        <v>0</v>
      </c>
      <c r="I30" s="69">
        <f>SUMIF('SIGAF DIC 20'!$B$2:$B$849,$A30,'SIGAF DIC 20'!$J$2:$J$849)</f>
        <v>0</v>
      </c>
      <c r="J30" s="76">
        <f t="shared" si="2"/>
        <v>0</v>
      </c>
      <c r="K30" s="69">
        <f>SUMIF('SIGAF DIC 20'!$B$2:$B$849,$A30,'SIGAF DIC 20'!$K$2:$K$849)</f>
        <v>81067356.950000003</v>
      </c>
      <c r="L30" s="77">
        <f t="shared" si="3"/>
        <v>0.86679757711325744</v>
      </c>
      <c r="M30" s="69">
        <f>SUMIF('SIGAF DIC 20'!$B$2:$B$849,$A30,'SIGAF DIC 20'!$M$2:$M$849)</f>
        <v>81067356.950000003</v>
      </c>
      <c r="N30" s="76">
        <f t="shared" si="4"/>
        <v>0.86679757711325744</v>
      </c>
      <c r="O30" s="68">
        <f>SUMIF('SIGAF DIC 20'!$B$2:$B$849,$A30,'SIGAF DIC 20'!$O$2:$O$849)</f>
        <v>12457774.050000001</v>
      </c>
      <c r="P30" s="76">
        <f t="shared" si="5"/>
        <v>0.13320242288674261</v>
      </c>
      <c r="Q30" s="69">
        <f>SUMIF('SIGAF DIC 20'!$B$2:$B$849,$A30,'SIGAF DIC 20'!$Q$2:$Q$849)</f>
        <v>12457774.050000001</v>
      </c>
      <c r="R30" s="76">
        <f t="shared" si="6"/>
        <v>0.13320242288674261</v>
      </c>
    </row>
    <row r="31" spans="1:18" x14ac:dyDescent="0.25">
      <c r="A31" s="66" t="s">
        <v>420</v>
      </c>
      <c r="B31" s="66" t="s">
        <v>417</v>
      </c>
      <c r="C31" s="69">
        <f>SUMIF('SIGAF DIC 20'!$B$2:$B$849,$A31,'SIGAF DIC 20'!$F$2:$F$849)</f>
        <v>3490791688</v>
      </c>
      <c r="D31" s="69">
        <f>SUMIF('SIGAF DIC 20'!$B$2:$B$849,$A31,'SIGAF DIC 20'!$G$2:$G$849)</f>
        <v>3490791688</v>
      </c>
      <c r="E31" s="69">
        <f>SUMIF('SIGAF DIC 20'!$B$2:$B$849,$A31,'SIGAF DIC 20'!$H$2:$H$849)</f>
        <v>0</v>
      </c>
      <c r="F31" s="76">
        <f t="shared" si="0"/>
        <v>0</v>
      </c>
      <c r="G31" s="69">
        <f>SUMIF('SIGAF DIC 20'!$B$2:$B$849,$A31,'SIGAF DIC 20'!$I$2:$I$849)</f>
        <v>0</v>
      </c>
      <c r="H31" s="76">
        <f t="shared" si="1"/>
        <v>0</v>
      </c>
      <c r="I31" s="69">
        <f>SUMIF('SIGAF DIC 20'!$B$2:$B$849,$A31,'SIGAF DIC 20'!$J$2:$J$849)</f>
        <v>0</v>
      </c>
      <c r="J31" s="76">
        <f t="shared" si="2"/>
        <v>0</v>
      </c>
      <c r="K31" s="69">
        <f>SUMIF('SIGAF DIC 20'!$B$2:$B$849,$A31,'SIGAF DIC 20'!$K$2:$K$849)</f>
        <v>3419591618</v>
      </c>
      <c r="L31" s="77">
        <f t="shared" si="3"/>
        <v>0.97960346065771886</v>
      </c>
      <c r="M31" s="69">
        <f>SUMIF('SIGAF DIC 20'!$B$2:$B$849,$A31,'SIGAF DIC 20'!$M$2:$M$849)</f>
        <v>3419591618</v>
      </c>
      <c r="N31" s="76">
        <f t="shared" si="4"/>
        <v>0.97960346065771886</v>
      </c>
      <c r="O31" s="68">
        <f>SUMIF('SIGAF DIC 20'!$B$2:$B$849,$A31,'SIGAF DIC 20'!$O$2:$O$849)</f>
        <v>71200070</v>
      </c>
      <c r="P31" s="76">
        <f t="shared" si="5"/>
        <v>2.0396539342281143E-2</v>
      </c>
      <c r="Q31" s="69">
        <f>SUMIF('SIGAF DIC 20'!$B$2:$B$849,$A31,'SIGAF DIC 20'!$Q$2:$Q$849)</f>
        <v>71200070</v>
      </c>
      <c r="R31" s="76">
        <f t="shared" si="6"/>
        <v>2.0396539342281143E-2</v>
      </c>
    </row>
    <row r="32" spans="1:18" x14ac:dyDescent="0.25">
      <c r="A32" s="66" t="s">
        <v>421</v>
      </c>
      <c r="B32" s="66" t="s">
        <v>417</v>
      </c>
      <c r="C32" s="69">
        <f>SUMIF('SIGAF DIC 20'!$B$2:$B$849,$A32,'SIGAF DIC 20'!$F$2:$F$849)</f>
        <v>980806100</v>
      </c>
      <c r="D32" s="69">
        <f>SUMIF('SIGAF DIC 20'!$B$2:$B$849,$A32,'SIGAF DIC 20'!$G$2:$G$849)</f>
        <v>980806100</v>
      </c>
      <c r="E32" s="69">
        <f>SUMIF('SIGAF DIC 20'!$B$2:$B$849,$A32,'SIGAF DIC 20'!$H$2:$H$849)</f>
        <v>0</v>
      </c>
      <c r="F32" s="76">
        <f t="shared" si="0"/>
        <v>0</v>
      </c>
      <c r="G32" s="69">
        <f>SUMIF('SIGAF DIC 20'!$B$2:$B$849,$A32,'SIGAF DIC 20'!$I$2:$I$849)</f>
        <v>0</v>
      </c>
      <c r="H32" s="76">
        <f t="shared" si="1"/>
        <v>0</v>
      </c>
      <c r="I32" s="69">
        <f>SUMIF('SIGAF DIC 20'!$B$2:$B$849,$A32,'SIGAF DIC 20'!$J$2:$J$849)</f>
        <v>0</v>
      </c>
      <c r="J32" s="76">
        <f t="shared" si="2"/>
        <v>0</v>
      </c>
      <c r="K32" s="69">
        <f>SUMIF('SIGAF DIC 20'!$B$2:$B$849,$A32,'SIGAF DIC 20'!$K$2:$K$849)</f>
        <v>824234946</v>
      </c>
      <c r="L32" s="77">
        <f t="shared" si="3"/>
        <v>0.84036482440311089</v>
      </c>
      <c r="M32" s="69">
        <f>SUMIF('SIGAF DIC 20'!$B$2:$B$849,$A32,'SIGAF DIC 20'!$M$2:$M$849)</f>
        <v>824234946</v>
      </c>
      <c r="N32" s="76">
        <f t="shared" si="4"/>
        <v>0.84036482440311089</v>
      </c>
      <c r="O32" s="68">
        <f>SUMIF('SIGAF DIC 20'!$B$2:$B$849,$A32,'SIGAF DIC 20'!$O$2:$O$849)</f>
        <v>156571154</v>
      </c>
      <c r="P32" s="76">
        <f t="shared" si="5"/>
        <v>0.15963517559688914</v>
      </c>
      <c r="Q32" s="69">
        <f>SUMIF('SIGAF DIC 20'!$B$2:$B$849,$A32,'SIGAF DIC 20'!$Q$2:$Q$849)</f>
        <v>156571154</v>
      </c>
      <c r="R32" s="76">
        <f t="shared" si="6"/>
        <v>0.15963517559688914</v>
      </c>
    </row>
    <row r="33" spans="1:18" x14ac:dyDescent="0.25">
      <c r="A33" s="66" t="s">
        <v>422</v>
      </c>
      <c r="B33" s="66" t="s">
        <v>417</v>
      </c>
      <c r="C33" s="69">
        <f>SUMIF('SIGAF DIC 20'!$B$2:$B$849,$A33,'SIGAF DIC 20'!$F$2:$F$849)</f>
        <v>88885421</v>
      </c>
      <c r="D33" s="69">
        <f>SUMIF('SIGAF DIC 20'!$B$2:$B$849,$A33,'SIGAF DIC 20'!$G$2:$G$849)</f>
        <v>88885421</v>
      </c>
      <c r="E33" s="69">
        <f>SUMIF('SIGAF DIC 20'!$B$2:$B$849,$A33,'SIGAF DIC 20'!$H$2:$H$849)</f>
        <v>0</v>
      </c>
      <c r="F33" s="76">
        <f t="shared" si="0"/>
        <v>0</v>
      </c>
      <c r="G33" s="69">
        <f>SUMIF('SIGAF DIC 20'!$B$2:$B$849,$A33,'SIGAF DIC 20'!$I$2:$I$849)</f>
        <v>0</v>
      </c>
      <c r="H33" s="76">
        <f t="shared" si="1"/>
        <v>0</v>
      </c>
      <c r="I33" s="69">
        <f>SUMIF('SIGAF DIC 20'!$B$2:$B$849,$A33,'SIGAF DIC 20'!$J$2:$J$849)</f>
        <v>0</v>
      </c>
      <c r="J33" s="76">
        <f t="shared" si="2"/>
        <v>0</v>
      </c>
      <c r="K33" s="69">
        <f>SUMIF('SIGAF DIC 20'!$B$2:$B$849,$A33,'SIGAF DIC 20'!$K$2:$K$849)</f>
        <v>80033288</v>
      </c>
      <c r="L33" s="77">
        <f t="shared" si="3"/>
        <v>0.90040961835574818</v>
      </c>
      <c r="M33" s="69">
        <f>SUMIF('SIGAF DIC 20'!$B$2:$B$849,$A33,'SIGAF DIC 20'!$M$2:$M$849)</f>
        <v>80033288</v>
      </c>
      <c r="N33" s="76">
        <f t="shared" si="4"/>
        <v>0.90040961835574818</v>
      </c>
      <c r="O33" s="68">
        <f>SUMIF('SIGAF DIC 20'!$B$2:$B$849,$A33,'SIGAF DIC 20'!$O$2:$O$849)</f>
        <v>8852133</v>
      </c>
      <c r="P33" s="76">
        <f t="shared" si="5"/>
        <v>9.959038164425188E-2</v>
      </c>
      <c r="Q33" s="69">
        <f>SUMIF('SIGAF DIC 20'!$B$2:$B$849,$A33,'SIGAF DIC 20'!$Q$2:$Q$849)</f>
        <v>8852133</v>
      </c>
      <c r="R33" s="76">
        <f t="shared" si="6"/>
        <v>9.959038164425188E-2</v>
      </c>
    </row>
    <row r="34" spans="1:18" x14ac:dyDescent="0.25">
      <c r="A34" s="66" t="s">
        <v>423</v>
      </c>
      <c r="B34" s="66" t="s">
        <v>417</v>
      </c>
      <c r="C34" s="69">
        <f>SUMIF('SIGAF DIC 20'!$B$2:$B$849,$A34,'SIGAF DIC 20'!$F$2:$F$849)</f>
        <v>84003836</v>
      </c>
      <c r="D34" s="69">
        <f>SUMIF('SIGAF DIC 20'!$B$2:$B$849,$A34,'SIGAF DIC 20'!$G$2:$G$849)</f>
        <v>84003836</v>
      </c>
      <c r="E34" s="69">
        <f>SUMIF('SIGAF DIC 20'!$B$2:$B$849,$A34,'SIGAF DIC 20'!$H$2:$H$849)</f>
        <v>0</v>
      </c>
      <c r="F34" s="76">
        <f t="shared" si="0"/>
        <v>0</v>
      </c>
      <c r="G34" s="69">
        <f>SUMIF('SIGAF DIC 20'!$B$2:$B$849,$A34,'SIGAF DIC 20'!$I$2:$I$849)</f>
        <v>0</v>
      </c>
      <c r="H34" s="76">
        <f t="shared" si="1"/>
        <v>0</v>
      </c>
      <c r="I34" s="69">
        <f>SUMIF('SIGAF DIC 20'!$B$2:$B$849,$A34,'SIGAF DIC 20'!$J$2:$J$849)</f>
        <v>0</v>
      </c>
      <c r="J34" s="76">
        <f t="shared" si="2"/>
        <v>0</v>
      </c>
      <c r="K34" s="69">
        <f>SUMIF('SIGAF DIC 20'!$B$2:$B$849,$A34,'SIGAF DIC 20'!$K$2:$K$849)</f>
        <v>70514739</v>
      </c>
      <c r="L34" s="77">
        <f t="shared" si="3"/>
        <v>0.83942284492817687</v>
      </c>
      <c r="M34" s="69">
        <f>SUMIF('SIGAF DIC 20'!$B$2:$B$849,$A34,'SIGAF DIC 20'!$M$2:$M$849)</f>
        <v>70514739</v>
      </c>
      <c r="N34" s="76">
        <f t="shared" si="4"/>
        <v>0.83942284492817687</v>
      </c>
      <c r="O34" s="68">
        <f>SUMIF('SIGAF DIC 20'!$B$2:$B$849,$A34,'SIGAF DIC 20'!$O$2:$O$849)</f>
        <v>13489097</v>
      </c>
      <c r="P34" s="76">
        <f t="shared" si="5"/>
        <v>0.16057715507182316</v>
      </c>
      <c r="Q34" s="69">
        <f>SUMIF('SIGAF DIC 20'!$B$2:$B$849,$A34,'SIGAF DIC 20'!$Q$2:$Q$849)</f>
        <v>13489097</v>
      </c>
      <c r="R34" s="76">
        <f t="shared" si="6"/>
        <v>0.16057715507182316</v>
      </c>
    </row>
    <row r="35" spans="1:18" x14ac:dyDescent="0.25">
      <c r="A35" s="66" t="s">
        <v>424</v>
      </c>
      <c r="B35" s="66" t="s">
        <v>417</v>
      </c>
      <c r="C35" s="69">
        <f>SUMIF('SIGAF DIC 20'!$B$2:$B$849,$A35,'SIGAF DIC 20'!$F$2:$F$849)</f>
        <v>135637121</v>
      </c>
      <c r="D35" s="69">
        <f>SUMIF('SIGAF DIC 20'!$B$2:$B$849,$A35,'SIGAF DIC 20'!$G$2:$G$849)</f>
        <v>135637121</v>
      </c>
      <c r="E35" s="69">
        <f>SUMIF('SIGAF DIC 20'!$B$2:$B$849,$A35,'SIGAF DIC 20'!$H$2:$H$849)</f>
        <v>0</v>
      </c>
      <c r="F35" s="76">
        <f t="shared" si="0"/>
        <v>0</v>
      </c>
      <c r="G35" s="69">
        <f>SUMIF('SIGAF DIC 20'!$B$2:$B$849,$A35,'SIGAF DIC 20'!$I$2:$I$849)</f>
        <v>0</v>
      </c>
      <c r="H35" s="76">
        <f t="shared" si="1"/>
        <v>0</v>
      </c>
      <c r="I35" s="69">
        <f>SUMIF('SIGAF DIC 20'!$B$2:$B$849,$A35,'SIGAF DIC 20'!$J$2:$J$849)</f>
        <v>0</v>
      </c>
      <c r="J35" s="76">
        <f t="shared" si="2"/>
        <v>0</v>
      </c>
      <c r="K35" s="69">
        <f>SUMIF('SIGAF DIC 20'!$B$2:$B$849,$A35,'SIGAF DIC 20'!$K$2:$K$849)</f>
        <v>119016568</v>
      </c>
      <c r="L35" s="77">
        <f t="shared" si="3"/>
        <v>0.87746309507704756</v>
      </c>
      <c r="M35" s="69">
        <f>SUMIF('SIGAF DIC 20'!$B$2:$B$849,$A35,'SIGAF DIC 20'!$M$2:$M$849)</f>
        <v>119016568</v>
      </c>
      <c r="N35" s="76">
        <f t="shared" si="4"/>
        <v>0.87746309507704756</v>
      </c>
      <c r="O35" s="68">
        <f>SUMIF('SIGAF DIC 20'!$B$2:$B$849,$A35,'SIGAF DIC 20'!$O$2:$O$849)</f>
        <v>16620553</v>
      </c>
      <c r="P35" s="76">
        <f t="shared" si="5"/>
        <v>0.12253690492295247</v>
      </c>
      <c r="Q35" s="69">
        <f>SUMIF('SIGAF DIC 20'!$B$2:$B$849,$A35,'SIGAF DIC 20'!$Q$2:$Q$849)</f>
        <v>16620553</v>
      </c>
      <c r="R35" s="76">
        <f t="shared" si="6"/>
        <v>0.12253690492295247</v>
      </c>
    </row>
    <row r="36" spans="1:18" x14ac:dyDescent="0.25">
      <c r="A36" s="66" t="s">
        <v>425</v>
      </c>
      <c r="B36" s="66" t="s">
        <v>417</v>
      </c>
      <c r="C36" s="69">
        <f>SUMIF('SIGAF DIC 20'!$B$2:$B$849,$A36,'SIGAF DIC 20'!$F$2:$F$849)</f>
        <v>80742683</v>
      </c>
      <c r="D36" s="69">
        <f>SUMIF('SIGAF DIC 20'!$B$2:$B$849,$A36,'SIGAF DIC 20'!$G$2:$G$849)</f>
        <v>80742683</v>
      </c>
      <c r="E36" s="69">
        <f>SUMIF('SIGAF DIC 20'!$B$2:$B$849,$A36,'SIGAF DIC 20'!$H$2:$H$849)</f>
        <v>0</v>
      </c>
      <c r="F36" s="76">
        <f t="shared" si="0"/>
        <v>0</v>
      </c>
      <c r="G36" s="69">
        <f>SUMIF('SIGAF DIC 20'!$B$2:$B$849,$A36,'SIGAF DIC 20'!$I$2:$I$849)</f>
        <v>0</v>
      </c>
      <c r="H36" s="76">
        <f t="shared" si="1"/>
        <v>0</v>
      </c>
      <c r="I36" s="69">
        <f>SUMIF('SIGAF DIC 20'!$B$2:$B$849,$A36,'SIGAF DIC 20'!$J$2:$J$849)</f>
        <v>0</v>
      </c>
      <c r="J36" s="76">
        <f t="shared" si="2"/>
        <v>0</v>
      </c>
      <c r="K36" s="69">
        <f>SUMIF('SIGAF DIC 20'!$B$2:$B$849,$A36,'SIGAF DIC 20'!$K$2:$K$849)</f>
        <v>67703852</v>
      </c>
      <c r="L36" s="77">
        <f t="shared" si="3"/>
        <v>0.83851377591700782</v>
      </c>
      <c r="M36" s="69">
        <f>SUMIF('SIGAF DIC 20'!$B$2:$B$849,$A36,'SIGAF DIC 20'!$M$2:$M$849)</f>
        <v>67703852</v>
      </c>
      <c r="N36" s="76">
        <f t="shared" si="4"/>
        <v>0.83851377591700782</v>
      </c>
      <c r="O36" s="68">
        <f>SUMIF('SIGAF DIC 20'!$B$2:$B$849,$A36,'SIGAF DIC 20'!$O$2:$O$849)</f>
        <v>13038831</v>
      </c>
      <c r="P36" s="76">
        <f t="shared" si="5"/>
        <v>0.16148622408299215</v>
      </c>
      <c r="Q36" s="69">
        <f>SUMIF('SIGAF DIC 20'!$B$2:$B$849,$A36,'SIGAF DIC 20'!$Q$2:$Q$849)</f>
        <v>13038831</v>
      </c>
      <c r="R36" s="76">
        <f t="shared" si="6"/>
        <v>0.16148622408299215</v>
      </c>
    </row>
    <row r="37" spans="1:18" x14ac:dyDescent="0.25">
      <c r="A37" s="66" t="s">
        <v>426</v>
      </c>
      <c r="B37" s="66" t="s">
        <v>417</v>
      </c>
      <c r="C37" s="69">
        <f>SUMIF('SIGAF DIC 20'!$B$2:$B$849,$A37,'SIGAF DIC 20'!$F$2:$F$849)</f>
        <v>19648880</v>
      </c>
      <c r="D37" s="69">
        <f>SUMIF('SIGAF DIC 20'!$B$2:$B$849,$A37,'SIGAF DIC 20'!$G$2:$G$849)</f>
        <v>19648880</v>
      </c>
      <c r="E37" s="69">
        <f>SUMIF('SIGAF DIC 20'!$B$2:$B$849,$A37,'SIGAF DIC 20'!$H$2:$H$849)</f>
        <v>0</v>
      </c>
      <c r="F37" s="76">
        <f t="shared" si="0"/>
        <v>0</v>
      </c>
      <c r="G37" s="69">
        <f>SUMIF('SIGAF DIC 20'!$B$2:$B$849,$A37,'SIGAF DIC 20'!$I$2:$I$849)</f>
        <v>0</v>
      </c>
      <c r="H37" s="76">
        <f t="shared" si="1"/>
        <v>0</v>
      </c>
      <c r="I37" s="69">
        <f>SUMIF('SIGAF DIC 20'!$B$2:$B$849,$A37,'SIGAF DIC 20'!$J$2:$J$849)</f>
        <v>0</v>
      </c>
      <c r="J37" s="76">
        <f t="shared" si="2"/>
        <v>0</v>
      </c>
      <c r="K37" s="69">
        <f>SUMIF('SIGAF DIC 20'!$B$2:$B$849,$A37,'SIGAF DIC 20'!$K$2:$K$849)</f>
        <v>17021389</v>
      </c>
      <c r="L37" s="77">
        <f t="shared" si="3"/>
        <v>0.86627782346881854</v>
      </c>
      <c r="M37" s="69">
        <f>SUMIF('SIGAF DIC 20'!$B$2:$B$849,$A37,'SIGAF DIC 20'!$M$2:$M$849)</f>
        <v>17021389</v>
      </c>
      <c r="N37" s="76">
        <f t="shared" si="4"/>
        <v>0.86627782346881854</v>
      </c>
      <c r="O37" s="68">
        <f>SUMIF('SIGAF DIC 20'!$B$2:$B$849,$A37,'SIGAF DIC 20'!$O$2:$O$849)</f>
        <v>2627491</v>
      </c>
      <c r="P37" s="76">
        <f t="shared" si="5"/>
        <v>0.13372217653118143</v>
      </c>
      <c r="Q37" s="69">
        <f>SUMIF('SIGAF DIC 20'!$B$2:$B$849,$A37,'SIGAF DIC 20'!$Q$2:$Q$849)</f>
        <v>2627491</v>
      </c>
      <c r="R37" s="76">
        <f t="shared" si="6"/>
        <v>0.13372217653118143</v>
      </c>
    </row>
    <row r="38" spans="1:18" x14ac:dyDescent="0.25">
      <c r="A38" s="66" t="s">
        <v>427</v>
      </c>
      <c r="B38" s="66" t="s">
        <v>417</v>
      </c>
      <c r="C38" s="69">
        <f>SUMIF('SIGAF DIC 20'!$B$2:$B$849,$A38,'SIGAF DIC 20'!$F$2:$F$849)</f>
        <v>78411955</v>
      </c>
      <c r="D38" s="69">
        <f>SUMIF('SIGAF DIC 20'!$B$2:$B$849,$A38,'SIGAF DIC 20'!$G$2:$G$849)</f>
        <v>78411955</v>
      </c>
      <c r="E38" s="69">
        <f>SUMIF('SIGAF DIC 20'!$B$2:$B$849,$A38,'SIGAF DIC 20'!$H$2:$H$849)</f>
        <v>0</v>
      </c>
      <c r="F38" s="76">
        <f t="shared" si="0"/>
        <v>0</v>
      </c>
      <c r="G38" s="69">
        <f>SUMIF('SIGAF DIC 20'!$B$2:$B$849,$A38,'SIGAF DIC 20'!$I$2:$I$849)</f>
        <v>0</v>
      </c>
      <c r="H38" s="76">
        <f t="shared" si="1"/>
        <v>0</v>
      </c>
      <c r="I38" s="69">
        <f>SUMIF('SIGAF DIC 20'!$B$2:$B$849,$A38,'SIGAF DIC 20'!$J$2:$J$849)</f>
        <v>0</v>
      </c>
      <c r="J38" s="76">
        <f t="shared" si="2"/>
        <v>0</v>
      </c>
      <c r="K38" s="69">
        <f>SUMIF('SIGAF DIC 20'!$B$2:$B$849,$A38,'SIGAF DIC 20'!$K$2:$K$849)</f>
        <v>71376907</v>
      </c>
      <c r="L38" s="77">
        <f t="shared" si="3"/>
        <v>0.91028092591238163</v>
      </c>
      <c r="M38" s="69">
        <f>SUMIF('SIGAF DIC 20'!$B$2:$B$849,$A38,'SIGAF DIC 20'!$M$2:$M$849)</f>
        <v>71376907</v>
      </c>
      <c r="N38" s="76">
        <f t="shared" si="4"/>
        <v>0.91028092591238163</v>
      </c>
      <c r="O38" s="68">
        <f>SUMIF('SIGAF DIC 20'!$B$2:$B$849,$A38,'SIGAF DIC 20'!$O$2:$O$849)</f>
        <v>7035048</v>
      </c>
      <c r="P38" s="76">
        <f t="shared" si="5"/>
        <v>8.9719074087618395E-2</v>
      </c>
      <c r="Q38" s="69">
        <f>SUMIF('SIGAF DIC 20'!$B$2:$B$849,$A38,'SIGAF DIC 20'!$Q$2:$Q$849)</f>
        <v>7035048</v>
      </c>
      <c r="R38" s="76">
        <f t="shared" si="6"/>
        <v>8.9719074087618395E-2</v>
      </c>
    </row>
    <row r="39" spans="1:18" x14ac:dyDescent="0.25">
      <c r="A39" s="66" t="s">
        <v>428</v>
      </c>
      <c r="B39" s="66" t="s">
        <v>417</v>
      </c>
      <c r="C39" s="69">
        <f>SUMIF('SIGAF DIC 20'!$B$2:$B$849,$A39,'SIGAF DIC 20'!$F$2:$F$849)</f>
        <v>537183840</v>
      </c>
      <c r="D39" s="69">
        <f>SUMIF('SIGAF DIC 20'!$B$2:$B$849,$A39,'SIGAF DIC 20'!$G$2:$G$849)</f>
        <v>537183840</v>
      </c>
      <c r="E39" s="69">
        <f>SUMIF('SIGAF DIC 20'!$B$2:$B$849,$A39,'SIGAF DIC 20'!$H$2:$H$849)</f>
        <v>0</v>
      </c>
      <c r="F39" s="76">
        <f t="shared" si="0"/>
        <v>0</v>
      </c>
      <c r="G39" s="69">
        <f>SUMIF('SIGAF DIC 20'!$B$2:$B$849,$A39,'SIGAF DIC 20'!$I$2:$I$849)</f>
        <v>0</v>
      </c>
      <c r="H39" s="76">
        <f t="shared" si="1"/>
        <v>0</v>
      </c>
      <c r="I39" s="69">
        <f>SUMIF('SIGAF DIC 20'!$B$2:$B$849,$A39,'SIGAF DIC 20'!$J$2:$J$849)</f>
        <v>0</v>
      </c>
      <c r="J39" s="76">
        <f t="shared" si="2"/>
        <v>0</v>
      </c>
      <c r="K39" s="69">
        <f>SUMIF('SIGAF DIC 20'!$B$2:$B$849,$A39,'SIGAF DIC 20'!$K$2:$K$849)</f>
        <v>511312588.47000003</v>
      </c>
      <c r="L39" s="77">
        <f t="shared" si="3"/>
        <v>0.95183911055477777</v>
      </c>
      <c r="M39" s="69">
        <f>SUMIF('SIGAF DIC 20'!$B$2:$B$849,$A39,'SIGAF DIC 20'!$M$2:$M$849)</f>
        <v>511312588.47000003</v>
      </c>
      <c r="N39" s="76">
        <f t="shared" si="4"/>
        <v>0.95183911055477777</v>
      </c>
      <c r="O39" s="68">
        <f>SUMIF('SIGAF DIC 20'!$B$2:$B$849,$A39,'SIGAF DIC 20'!$O$2:$O$849)</f>
        <v>25871251.530000001</v>
      </c>
      <c r="P39" s="76">
        <f t="shared" si="5"/>
        <v>4.816088944522233E-2</v>
      </c>
      <c r="Q39" s="69">
        <f>SUMIF('SIGAF DIC 20'!$B$2:$B$849,$A39,'SIGAF DIC 20'!$Q$2:$Q$849)</f>
        <v>25871251.530000001</v>
      </c>
      <c r="R39" s="76">
        <f t="shared" si="6"/>
        <v>4.816088944522233E-2</v>
      </c>
    </row>
    <row r="40" spans="1:18" x14ac:dyDescent="0.25">
      <c r="A40" s="66" t="s">
        <v>429</v>
      </c>
      <c r="B40" s="66" t="s">
        <v>417</v>
      </c>
      <c r="C40" s="69">
        <f>SUMIF('SIGAF DIC 20'!$B$2:$B$849,$A40,'SIGAF DIC 20'!$F$2:$F$849)</f>
        <v>63627362</v>
      </c>
      <c r="D40" s="69">
        <f>SUMIF('SIGAF DIC 20'!$B$2:$B$849,$A40,'SIGAF DIC 20'!$G$2:$G$849)</f>
        <v>63627362</v>
      </c>
      <c r="E40" s="69">
        <f>SUMIF('SIGAF DIC 20'!$B$2:$B$849,$A40,'SIGAF DIC 20'!$H$2:$H$849)</f>
        <v>0</v>
      </c>
      <c r="F40" s="76">
        <f t="shared" si="0"/>
        <v>0</v>
      </c>
      <c r="G40" s="69">
        <f>SUMIF('SIGAF DIC 20'!$B$2:$B$849,$A40,'SIGAF DIC 20'!$I$2:$I$849)</f>
        <v>0</v>
      </c>
      <c r="H40" s="76">
        <f t="shared" si="1"/>
        <v>0</v>
      </c>
      <c r="I40" s="69">
        <f>SUMIF('SIGAF DIC 20'!$B$2:$B$849,$A40,'SIGAF DIC 20'!$J$2:$J$849)</f>
        <v>0</v>
      </c>
      <c r="J40" s="76">
        <f t="shared" si="2"/>
        <v>0</v>
      </c>
      <c r="K40" s="69">
        <f>SUMIF('SIGAF DIC 20'!$B$2:$B$849,$A40,'SIGAF DIC 20'!$K$2:$K$849)</f>
        <v>63620884.530000001</v>
      </c>
      <c r="L40" s="77">
        <f t="shared" si="3"/>
        <v>0.9998981967852133</v>
      </c>
      <c r="M40" s="69">
        <f>SUMIF('SIGAF DIC 20'!$B$2:$B$849,$A40,'SIGAF DIC 20'!$M$2:$M$849)</f>
        <v>63620884.530000001</v>
      </c>
      <c r="N40" s="76">
        <f t="shared" si="4"/>
        <v>0.9998981967852133</v>
      </c>
      <c r="O40" s="68">
        <f>SUMIF('SIGAF DIC 20'!$B$2:$B$849,$A40,'SIGAF DIC 20'!$O$2:$O$849)</f>
        <v>6477.47</v>
      </c>
      <c r="P40" s="76">
        <f t="shared" si="5"/>
        <v>1.0180321478674537E-4</v>
      </c>
      <c r="Q40" s="69">
        <f>SUMIF('SIGAF DIC 20'!$B$2:$B$849,$A40,'SIGAF DIC 20'!$Q$2:$Q$849)</f>
        <v>6477.47</v>
      </c>
      <c r="R40" s="76">
        <f t="shared" si="6"/>
        <v>1.0180321478674537E-4</v>
      </c>
    </row>
    <row r="41" spans="1:18" x14ac:dyDescent="0.25">
      <c r="A41" s="66" t="s">
        <v>430</v>
      </c>
      <c r="B41" s="66" t="s">
        <v>417</v>
      </c>
      <c r="C41" s="69">
        <f>SUMIF('SIGAF DIC 20'!$B$2:$B$849,$A41,'SIGAF DIC 20'!$F$2:$F$849)</f>
        <v>882083282</v>
      </c>
      <c r="D41" s="69">
        <f>SUMIF('SIGAF DIC 20'!$B$2:$B$849,$A41,'SIGAF DIC 20'!$G$2:$G$849)</f>
        <v>882083282</v>
      </c>
      <c r="E41" s="69">
        <f>SUMIF('SIGAF DIC 20'!$B$2:$B$849,$A41,'SIGAF DIC 20'!$H$2:$H$849)</f>
        <v>0</v>
      </c>
      <c r="F41" s="76">
        <f t="shared" si="0"/>
        <v>0</v>
      </c>
      <c r="G41" s="69">
        <f>SUMIF('SIGAF DIC 20'!$B$2:$B$849,$A41,'SIGAF DIC 20'!$I$2:$I$849)</f>
        <v>0</v>
      </c>
      <c r="H41" s="76">
        <f t="shared" si="1"/>
        <v>0</v>
      </c>
      <c r="I41" s="69">
        <f>SUMIF('SIGAF DIC 20'!$B$2:$B$849,$A41,'SIGAF DIC 20'!$J$2:$J$849)</f>
        <v>0</v>
      </c>
      <c r="J41" s="76">
        <f t="shared" si="2"/>
        <v>0</v>
      </c>
      <c r="K41" s="69">
        <f>SUMIF('SIGAF DIC 20'!$B$2:$B$849,$A41,'SIGAF DIC 20'!$K$2:$K$849)</f>
        <v>831713736</v>
      </c>
      <c r="L41" s="77">
        <f t="shared" si="3"/>
        <v>0.94289706309160048</v>
      </c>
      <c r="M41" s="69">
        <f>SUMIF('SIGAF DIC 20'!$B$2:$B$849,$A41,'SIGAF DIC 20'!$M$2:$M$849)</f>
        <v>831713736</v>
      </c>
      <c r="N41" s="76">
        <f t="shared" si="4"/>
        <v>0.94289706309160048</v>
      </c>
      <c r="O41" s="68">
        <f>SUMIF('SIGAF DIC 20'!$B$2:$B$849,$A41,'SIGAF DIC 20'!$O$2:$O$849)</f>
        <v>50369546</v>
      </c>
      <c r="P41" s="76">
        <f t="shared" si="5"/>
        <v>5.7102936908399543E-2</v>
      </c>
      <c r="Q41" s="69">
        <f>SUMIF('SIGAF DIC 20'!$B$2:$B$849,$A41,'SIGAF DIC 20'!$Q$2:$Q$849)</f>
        <v>50369546</v>
      </c>
      <c r="R41" s="76">
        <f t="shared" si="6"/>
        <v>5.7102936908399543E-2</v>
      </c>
    </row>
    <row r="42" spans="1:18" s="82" customFormat="1" x14ac:dyDescent="0.25">
      <c r="A42" s="78" t="s">
        <v>431</v>
      </c>
      <c r="B42" s="78" t="s">
        <v>432</v>
      </c>
      <c r="C42" s="79">
        <f>SUM(C43:C56)</f>
        <v>370948455</v>
      </c>
      <c r="D42" s="79">
        <f>SUM(D43:D56)</f>
        <v>370948455</v>
      </c>
      <c r="E42" s="79">
        <f>SUM(E43:E56)</f>
        <v>0</v>
      </c>
      <c r="F42" s="80">
        <f t="shared" si="0"/>
        <v>0</v>
      </c>
      <c r="G42" s="79">
        <f>SUM(G43:G56)</f>
        <v>0</v>
      </c>
      <c r="H42" s="80">
        <f t="shared" si="1"/>
        <v>0</v>
      </c>
      <c r="I42" s="79">
        <f>SUM(I43:I56)</f>
        <v>0</v>
      </c>
      <c r="J42" s="80">
        <f t="shared" si="2"/>
        <v>0</v>
      </c>
      <c r="K42" s="79">
        <f>SUM(K43:K56)</f>
        <v>348007266.77000004</v>
      </c>
      <c r="L42" s="81">
        <f t="shared" si="3"/>
        <v>0.93815532071699836</v>
      </c>
      <c r="M42" s="79">
        <f>SUM(M43:M56)</f>
        <v>348007266.77000004</v>
      </c>
      <c r="N42" s="80">
        <f t="shared" si="4"/>
        <v>0.93815532071699836</v>
      </c>
      <c r="O42" s="79">
        <f>SUM(O43:O56)</f>
        <v>22941188.23</v>
      </c>
      <c r="P42" s="80">
        <f t="shared" si="5"/>
        <v>6.1844679283001733E-2</v>
      </c>
      <c r="Q42" s="79">
        <f>SUM(Q43:Q56)</f>
        <v>22941188.23</v>
      </c>
      <c r="R42" s="80">
        <f t="shared" si="6"/>
        <v>6.1844679283001733E-2</v>
      </c>
    </row>
    <row r="43" spans="1:18" x14ac:dyDescent="0.25">
      <c r="A43" s="66" t="s">
        <v>433</v>
      </c>
      <c r="B43" s="66" t="s">
        <v>434</v>
      </c>
      <c r="C43" s="69">
        <f>SUMIF('SIGAF DIC 20'!$B$2:$B$849,$A43,'SIGAF DIC 20'!$F$2:$F$849)</f>
        <v>6867057</v>
      </c>
      <c r="D43" s="69">
        <f>SUMIF('SIGAF DIC 20'!$B$2:$B$849,$A43,'SIGAF DIC 20'!$G$2:$G$849)</f>
        <v>6867057</v>
      </c>
      <c r="E43" s="69">
        <f>SUMIF('SIGAF DIC 20'!$B$2:$B$849,$A43,'SIGAF DIC 20'!$H$2:$H$849)</f>
        <v>0</v>
      </c>
      <c r="F43" s="76">
        <f t="shared" si="0"/>
        <v>0</v>
      </c>
      <c r="G43" s="69">
        <f>SUMIF('SIGAF DIC 20'!$B$2:$B$849,$A43,'SIGAF DIC 20'!$I$2:$I$849)</f>
        <v>0</v>
      </c>
      <c r="H43" s="76">
        <f t="shared" si="1"/>
        <v>0</v>
      </c>
      <c r="I43" s="69">
        <f>SUMIF('SIGAF DIC 20'!$B$2:$B$849,$A43,'SIGAF DIC 20'!$J$2:$J$849)</f>
        <v>0</v>
      </c>
      <c r="J43" s="76">
        <f t="shared" si="2"/>
        <v>0</v>
      </c>
      <c r="K43" s="69">
        <f>SUMIF('SIGAF DIC 20'!$B$2:$B$849,$A43,'SIGAF DIC 20'!$K$2:$K$849)</f>
        <v>5501658</v>
      </c>
      <c r="L43" s="77">
        <f t="shared" si="3"/>
        <v>0.80116678804326225</v>
      </c>
      <c r="M43" s="69">
        <f>SUMIF('SIGAF DIC 20'!$B$2:$B$849,$A43,'SIGAF DIC 20'!$M$2:$M$849)</f>
        <v>5501658</v>
      </c>
      <c r="N43" s="76">
        <f t="shared" si="4"/>
        <v>0.80116678804326225</v>
      </c>
      <c r="O43" s="68">
        <f>SUMIF('SIGAF DIC 20'!$B$2:$B$849,$A43,'SIGAF DIC 20'!$O$2:$O$849)</f>
        <v>1365399</v>
      </c>
      <c r="P43" s="76">
        <f t="shared" si="5"/>
        <v>0.19883321195673781</v>
      </c>
      <c r="Q43" s="69">
        <f>SUMIF('SIGAF DIC 20'!$B$2:$B$849,$A43,'SIGAF DIC 20'!$Q$2:$Q$849)</f>
        <v>1365399</v>
      </c>
      <c r="R43" s="76">
        <f t="shared" si="6"/>
        <v>0.19883321195673781</v>
      </c>
    </row>
    <row r="44" spans="1:18" x14ac:dyDescent="0.25">
      <c r="A44" s="66" t="s">
        <v>435</v>
      </c>
      <c r="B44" s="66" t="s">
        <v>434</v>
      </c>
      <c r="C44" s="69">
        <f>SUMIF('SIGAF DIC 20'!$B$2:$B$849,$A44,'SIGAF DIC 20'!$F$2:$F$849)</f>
        <v>10820367</v>
      </c>
      <c r="D44" s="69">
        <f>SUMIF('SIGAF DIC 20'!$B$2:$B$849,$A44,'SIGAF DIC 20'!$G$2:$G$849)</f>
        <v>10820367</v>
      </c>
      <c r="E44" s="69">
        <f>SUMIF('SIGAF DIC 20'!$B$2:$B$849,$A44,'SIGAF DIC 20'!$H$2:$H$849)</f>
        <v>0</v>
      </c>
      <c r="F44" s="76">
        <f t="shared" si="0"/>
        <v>0</v>
      </c>
      <c r="G44" s="69">
        <f>SUMIF('SIGAF DIC 20'!$B$2:$B$849,$A44,'SIGAF DIC 20'!$I$2:$I$849)</f>
        <v>0</v>
      </c>
      <c r="H44" s="76">
        <f t="shared" si="1"/>
        <v>0</v>
      </c>
      <c r="I44" s="69">
        <f>SUMIF('SIGAF DIC 20'!$B$2:$B$849,$A44,'SIGAF DIC 20'!$J$2:$J$849)</f>
        <v>0</v>
      </c>
      <c r="J44" s="76">
        <f t="shared" si="2"/>
        <v>0</v>
      </c>
      <c r="K44" s="69">
        <f>SUMIF('SIGAF DIC 20'!$B$2:$B$849,$A44,'SIGAF DIC 20'!$K$2:$K$849)</f>
        <v>9769567</v>
      </c>
      <c r="L44" s="77">
        <f t="shared" si="3"/>
        <v>0.90288684293240695</v>
      </c>
      <c r="M44" s="69">
        <f>SUMIF('SIGAF DIC 20'!$B$2:$B$849,$A44,'SIGAF DIC 20'!$M$2:$M$849)</f>
        <v>9769567</v>
      </c>
      <c r="N44" s="76">
        <f t="shared" si="4"/>
        <v>0.90288684293240695</v>
      </c>
      <c r="O44" s="68">
        <f>SUMIF('SIGAF DIC 20'!$B$2:$B$849,$A44,'SIGAF DIC 20'!$O$2:$O$849)</f>
        <v>1050800</v>
      </c>
      <c r="P44" s="76">
        <f t="shared" si="5"/>
        <v>9.7113157067592992E-2</v>
      </c>
      <c r="Q44" s="69">
        <f>SUMIF('SIGAF DIC 20'!$B$2:$B$849,$A44,'SIGAF DIC 20'!$Q$2:$Q$849)</f>
        <v>1050800</v>
      </c>
      <c r="R44" s="76">
        <f t="shared" si="6"/>
        <v>9.7113157067592992E-2</v>
      </c>
    </row>
    <row r="45" spans="1:18" x14ac:dyDescent="0.25">
      <c r="A45" s="66" t="s">
        <v>436</v>
      </c>
      <c r="B45" s="66" t="s">
        <v>434</v>
      </c>
      <c r="C45" s="69">
        <f>SUMIF('SIGAF DIC 20'!$B$2:$B$849,$A45,'SIGAF DIC 20'!$F$2:$F$849)</f>
        <v>5055362</v>
      </c>
      <c r="D45" s="69">
        <f>SUMIF('SIGAF DIC 20'!$B$2:$B$849,$A45,'SIGAF DIC 20'!$G$2:$G$849)</f>
        <v>5055362</v>
      </c>
      <c r="E45" s="69">
        <f>SUMIF('SIGAF DIC 20'!$B$2:$B$849,$A45,'SIGAF DIC 20'!$H$2:$H$849)</f>
        <v>0</v>
      </c>
      <c r="F45" s="76">
        <f t="shared" si="0"/>
        <v>0</v>
      </c>
      <c r="G45" s="69">
        <f>SUMIF('SIGAF DIC 20'!$B$2:$B$849,$A45,'SIGAF DIC 20'!$I$2:$I$849)</f>
        <v>0</v>
      </c>
      <c r="H45" s="76">
        <f t="shared" si="1"/>
        <v>0</v>
      </c>
      <c r="I45" s="69">
        <f>SUMIF('SIGAF DIC 20'!$B$2:$B$849,$A45,'SIGAF DIC 20'!$J$2:$J$849)</f>
        <v>0</v>
      </c>
      <c r="J45" s="76">
        <f t="shared" si="2"/>
        <v>0</v>
      </c>
      <c r="K45" s="69">
        <f>SUMIF('SIGAF DIC 20'!$B$2:$B$849,$A45,'SIGAF DIC 20'!$K$2:$K$849)</f>
        <v>4381637.1100000003</v>
      </c>
      <c r="L45" s="77">
        <f t="shared" si="3"/>
        <v>0.86673063373107606</v>
      </c>
      <c r="M45" s="69">
        <f>SUMIF('SIGAF DIC 20'!$B$2:$B$849,$A45,'SIGAF DIC 20'!$M$2:$M$849)</f>
        <v>4381637.1100000003</v>
      </c>
      <c r="N45" s="76">
        <f t="shared" si="4"/>
        <v>0.86673063373107606</v>
      </c>
      <c r="O45" s="68">
        <f>SUMIF('SIGAF DIC 20'!$B$2:$B$849,$A45,'SIGAF DIC 20'!$O$2:$O$849)</f>
        <v>673724.89</v>
      </c>
      <c r="P45" s="76">
        <f t="shared" si="5"/>
        <v>0.13326936626892397</v>
      </c>
      <c r="Q45" s="69">
        <f>SUMIF('SIGAF DIC 20'!$B$2:$B$849,$A45,'SIGAF DIC 20'!$Q$2:$Q$849)</f>
        <v>673724.89</v>
      </c>
      <c r="R45" s="76">
        <f t="shared" si="6"/>
        <v>0.13326936626892397</v>
      </c>
    </row>
    <row r="46" spans="1:18" x14ac:dyDescent="0.25">
      <c r="A46" s="66" t="s">
        <v>437</v>
      </c>
      <c r="B46" s="66" t="s">
        <v>434</v>
      </c>
      <c r="C46" s="69">
        <f>SUMIF('SIGAF DIC 20'!$B$2:$B$849,$A46,'SIGAF DIC 20'!$F$2:$F$849)</f>
        <v>188691372</v>
      </c>
      <c r="D46" s="69">
        <f>SUMIF('SIGAF DIC 20'!$B$2:$B$849,$A46,'SIGAF DIC 20'!$G$2:$G$849)</f>
        <v>188691372</v>
      </c>
      <c r="E46" s="69">
        <f>SUMIF('SIGAF DIC 20'!$B$2:$B$849,$A46,'SIGAF DIC 20'!$H$2:$H$849)</f>
        <v>0</v>
      </c>
      <c r="F46" s="76">
        <f t="shared" si="0"/>
        <v>0</v>
      </c>
      <c r="G46" s="69">
        <f>SUMIF('SIGAF DIC 20'!$B$2:$B$849,$A46,'SIGAF DIC 20'!$I$2:$I$849)</f>
        <v>0</v>
      </c>
      <c r="H46" s="76">
        <f t="shared" si="1"/>
        <v>0</v>
      </c>
      <c r="I46" s="69">
        <f>SUMIF('SIGAF DIC 20'!$B$2:$B$849,$A46,'SIGAF DIC 20'!$J$2:$J$849)</f>
        <v>0</v>
      </c>
      <c r="J46" s="76">
        <f t="shared" si="2"/>
        <v>0</v>
      </c>
      <c r="K46" s="69">
        <f>SUMIF('SIGAF DIC 20'!$B$2:$B$849,$A46,'SIGAF DIC 20'!$K$2:$K$849)</f>
        <v>184762116</v>
      </c>
      <c r="L46" s="77">
        <f t="shared" si="3"/>
        <v>0.97917628157370118</v>
      </c>
      <c r="M46" s="69">
        <f>SUMIF('SIGAF DIC 20'!$B$2:$B$849,$A46,'SIGAF DIC 20'!$M$2:$M$849)</f>
        <v>184762116</v>
      </c>
      <c r="N46" s="76">
        <f t="shared" si="4"/>
        <v>0.97917628157370118</v>
      </c>
      <c r="O46" s="68">
        <f>SUMIF('SIGAF DIC 20'!$B$2:$B$849,$A46,'SIGAF DIC 20'!$O$2:$O$849)</f>
        <v>3929256</v>
      </c>
      <c r="P46" s="76">
        <f t="shared" si="5"/>
        <v>2.0823718426298793E-2</v>
      </c>
      <c r="Q46" s="69">
        <f>SUMIF('SIGAF DIC 20'!$B$2:$B$849,$A46,'SIGAF DIC 20'!$Q$2:$Q$849)</f>
        <v>3929256</v>
      </c>
      <c r="R46" s="76">
        <f t="shared" si="6"/>
        <v>2.0823718426298793E-2</v>
      </c>
    </row>
    <row r="47" spans="1:18" x14ac:dyDescent="0.25">
      <c r="A47" s="66" t="s">
        <v>438</v>
      </c>
      <c r="B47" s="66" t="s">
        <v>434</v>
      </c>
      <c r="C47" s="69">
        <f>SUMIF('SIGAF DIC 20'!$B$2:$B$849,$A47,'SIGAF DIC 20'!$F$2:$F$849)</f>
        <v>53016494</v>
      </c>
      <c r="D47" s="69">
        <f>SUMIF('SIGAF DIC 20'!$B$2:$B$849,$A47,'SIGAF DIC 20'!$G$2:$G$849)</f>
        <v>53016494</v>
      </c>
      <c r="E47" s="69">
        <f>SUMIF('SIGAF DIC 20'!$B$2:$B$849,$A47,'SIGAF DIC 20'!$H$2:$H$849)</f>
        <v>0</v>
      </c>
      <c r="F47" s="76">
        <f t="shared" si="0"/>
        <v>0</v>
      </c>
      <c r="G47" s="69">
        <f>SUMIF('SIGAF DIC 20'!$B$2:$B$849,$A47,'SIGAF DIC 20'!$I$2:$I$849)</f>
        <v>0</v>
      </c>
      <c r="H47" s="76">
        <f t="shared" si="1"/>
        <v>0</v>
      </c>
      <c r="I47" s="69">
        <f>SUMIF('SIGAF DIC 20'!$B$2:$B$849,$A47,'SIGAF DIC 20'!$J$2:$J$849)</f>
        <v>0</v>
      </c>
      <c r="J47" s="76">
        <f t="shared" si="2"/>
        <v>0</v>
      </c>
      <c r="K47" s="69">
        <f>SUMIF('SIGAF DIC 20'!$B$2:$B$849,$A47,'SIGAF DIC 20'!$K$2:$K$849)</f>
        <v>44553241</v>
      </c>
      <c r="L47" s="77">
        <f t="shared" si="3"/>
        <v>0.84036566054330186</v>
      </c>
      <c r="M47" s="69">
        <f>SUMIF('SIGAF DIC 20'!$B$2:$B$849,$A47,'SIGAF DIC 20'!$M$2:$M$849)</f>
        <v>44553241</v>
      </c>
      <c r="N47" s="76">
        <f t="shared" si="4"/>
        <v>0.84036566054330186</v>
      </c>
      <c r="O47" s="68">
        <f>SUMIF('SIGAF DIC 20'!$B$2:$B$849,$A47,'SIGAF DIC 20'!$O$2:$O$849)</f>
        <v>8463253</v>
      </c>
      <c r="P47" s="76">
        <f t="shared" si="5"/>
        <v>0.15963433945669814</v>
      </c>
      <c r="Q47" s="69">
        <f>SUMIF('SIGAF DIC 20'!$B$2:$B$849,$A47,'SIGAF DIC 20'!$Q$2:$Q$849)</f>
        <v>8463253</v>
      </c>
      <c r="R47" s="76">
        <f t="shared" si="6"/>
        <v>0.15963433945669814</v>
      </c>
    </row>
    <row r="48" spans="1:18" x14ac:dyDescent="0.25">
      <c r="A48" s="66" t="s">
        <v>439</v>
      </c>
      <c r="B48" s="66" t="s">
        <v>434</v>
      </c>
      <c r="C48" s="69">
        <f>SUMIF('SIGAF DIC 20'!$B$2:$B$849,$A48,'SIGAF DIC 20'!$F$2:$F$849)</f>
        <v>4804587</v>
      </c>
      <c r="D48" s="69">
        <f>SUMIF('SIGAF DIC 20'!$B$2:$B$849,$A48,'SIGAF DIC 20'!$G$2:$G$849)</f>
        <v>4804587</v>
      </c>
      <c r="E48" s="69">
        <f>SUMIF('SIGAF DIC 20'!$B$2:$B$849,$A48,'SIGAF DIC 20'!$H$2:$H$849)</f>
        <v>0</v>
      </c>
      <c r="F48" s="76">
        <f t="shared" si="0"/>
        <v>0</v>
      </c>
      <c r="G48" s="69">
        <f>SUMIF('SIGAF DIC 20'!$B$2:$B$849,$A48,'SIGAF DIC 20'!$I$2:$I$849)</f>
        <v>0</v>
      </c>
      <c r="H48" s="76">
        <f t="shared" si="1"/>
        <v>0</v>
      </c>
      <c r="I48" s="69">
        <f>SUMIF('SIGAF DIC 20'!$B$2:$B$849,$A48,'SIGAF DIC 20'!$J$2:$J$849)</f>
        <v>0</v>
      </c>
      <c r="J48" s="76">
        <f t="shared" si="2"/>
        <v>0</v>
      </c>
      <c r="K48" s="69">
        <f>SUMIF('SIGAF DIC 20'!$B$2:$B$849,$A48,'SIGAF DIC 20'!$K$2:$K$849)</f>
        <v>4326123</v>
      </c>
      <c r="L48" s="77">
        <f t="shared" si="3"/>
        <v>0.90041516575722325</v>
      </c>
      <c r="M48" s="69">
        <f>SUMIF('SIGAF DIC 20'!$B$2:$B$849,$A48,'SIGAF DIC 20'!$M$2:$M$849)</f>
        <v>4326123</v>
      </c>
      <c r="N48" s="76">
        <f t="shared" si="4"/>
        <v>0.90041516575722325</v>
      </c>
      <c r="O48" s="68">
        <f>SUMIF('SIGAF DIC 20'!$B$2:$B$849,$A48,'SIGAF DIC 20'!$O$2:$O$849)</f>
        <v>478464</v>
      </c>
      <c r="P48" s="76">
        <f t="shared" si="5"/>
        <v>9.958483424277674E-2</v>
      </c>
      <c r="Q48" s="69">
        <f>SUMIF('SIGAF DIC 20'!$B$2:$B$849,$A48,'SIGAF DIC 20'!$Q$2:$Q$849)</f>
        <v>478464</v>
      </c>
      <c r="R48" s="76">
        <f t="shared" si="6"/>
        <v>9.958483424277674E-2</v>
      </c>
    </row>
    <row r="49" spans="1:18" x14ac:dyDescent="0.25">
      <c r="A49" s="66" t="s">
        <v>440</v>
      </c>
      <c r="B49" s="66" t="s">
        <v>434</v>
      </c>
      <c r="C49" s="69">
        <f>SUMIF('SIGAF DIC 20'!$B$2:$B$849,$A49,'SIGAF DIC 20'!$F$2:$F$849)</f>
        <v>4540673</v>
      </c>
      <c r="D49" s="69">
        <f>SUMIF('SIGAF DIC 20'!$B$2:$B$849,$A49,'SIGAF DIC 20'!$G$2:$G$849)</f>
        <v>4540673</v>
      </c>
      <c r="E49" s="69">
        <f>SUMIF('SIGAF DIC 20'!$B$2:$B$849,$A49,'SIGAF DIC 20'!$H$2:$H$849)</f>
        <v>0</v>
      </c>
      <c r="F49" s="76">
        <f t="shared" si="0"/>
        <v>0</v>
      </c>
      <c r="G49" s="69">
        <f>SUMIF('SIGAF DIC 20'!$B$2:$B$849,$A49,'SIGAF DIC 20'!$I$2:$I$849)</f>
        <v>0</v>
      </c>
      <c r="H49" s="76">
        <f t="shared" si="1"/>
        <v>0</v>
      </c>
      <c r="I49" s="69">
        <f>SUMIF('SIGAF DIC 20'!$B$2:$B$849,$A49,'SIGAF DIC 20'!$J$2:$J$849)</f>
        <v>0</v>
      </c>
      <c r="J49" s="76">
        <f t="shared" si="2"/>
        <v>0</v>
      </c>
      <c r="K49" s="69">
        <f>SUMIF('SIGAF DIC 20'!$B$2:$B$849,$A49,'SIGAF DIC 20'!$K$2:$K$849)</f>
        <v>3811607</v>
      </c>
      <c r="L49" s="77">
        <f t="shared" si="3"/>
        <v>0.83943657691271756</v>
      </c>
      <c r="M49" s="69">
        <f>SUMIF('SIGAF DIC 20'!$B$2:$B$849,$A49,'SIGAF DIC 20'!$M$2:$M$849)</f>
        <v>3811607</v>
      </c>
      <c r="N49" s="76">
        <f t="shared" si="4"/>
        <v>0.83943657691271756</v>
      </c>
      <c r="O49" s="68">
        <f>SUMIF('SIGAF DIC 20'!$B$2:$B$849,$A49,'SIGAF DIC 20'!$O$2:$O$849)</f>
        <v>729066</v>
      </c>
      <c r="P49" s="76">
        <f t="shared" si="5"/>
        <v>0.16056342308728244</v>
      </c>
      <c r="Q49" s="69">
        <f>SUMIF('SIGAF DIC 20'!$B$2:$B$849,$A49,'SIGAF DIC 20'!$Q$2:$Q$849)</f>
        <v>729066</v>
      </c>
      <c r="R49" s="76">
        <f t="shared" si="6"/>
        <v>0.16056342308728244</v>
      </c>
    </row>
    <row r="50" spans="1:18" x14ac:dyDescent="0.25">
      <c r="A50" s="66" t="s">
        <v>441</v>
      </c>
      <c r="B50" s="66" t="s">
        <v>434</v>
      </c>
      <c r="C50" s="69">
        <f>SUMIF('SIGAF DIC 20'!$B$2:$B$849,$A50,'SIGAF DIC 20'!$F$2:$F$849)</f>
        <v>7331734</v>
      </c>
      <c r="D50" s="69">
        <f>SUMIF('SIGAF DIC 20'!$B$2:$B$849,$A50,'SIGAF DIC 20'!$G$2:$G$849)</f>
        <v>7331734</v>
      </c>
      <c r="E50" s="69">
        <f>SUMIF('SIGAF DIC 20'!$B$2:$B$849,$A50,'SIGAF DIC 20'!$H$2:$H$849)</f>
        <v>0</v>
      </c>
      <c r="F50" s="76">
        <f t="shared" si="0"/>
        <v>0</v>
      </c>
      <c r="G50" s="69">
        <f>SUMIF('SIGAF DIC 20'!$B$2:$B$849,$A50,'SIGAF DIC 20'!$I$2:$I$849)</f>
        <v>0</v>
      </c>
      <c r="H50" s="76">
        <f t="shared" si="1"/>
        <v>0</v>
      </c>
      <c r="I50" s="69">
        <f>SUMIF('SIGAF DIC 20'!$B$2:$B$849,$A50,'SIGAF DIC 20'!$J$2:$J$849)</f>
        <v>0</v>
      </c>
      <c r="J50" s="76">
        <f t="shared" si="2"/>
        <v>0</v>
      </c>
      <c r="K50" s="69">
        <f>SUMIF('SIGAF DIC 20'!$B$2:$B$849,$A50,'SIGAF DIC 20'!$K$2:$K$849)</f>
        <v>6433328</v>
      </c>
      <c r="L50" s="77">
        <f t="shared" si="3"/>
        <v>0.87746336678335579</v>
      </c>
      <c r="M50" s="69">
        <f>SUMIF('SIGAF DIC 20'!$B$2:$B$849,$A50,'SIGAF DIC 20'!$M$2:$M$849)</f>
        <v>6433328</v>
      </c>
      <c r="N50" s="76">
        <f t="shared" si="4"/>
        <v>0.87746336678335579</v>
      </c>
      <c r="O50" s="68">
        <f>SUMIF('SIGAF DIC 20'!$B$2:$B$849,$A50,'SIGAF DIC 20'!$O$2:$O$849)</f>
        <v>898406</v>
      </c>
      <c r="P50" s="76">
        <f t="shared" si="5"/>
        <v>0.12253663321664425</v>
      </c>
      <c r="Q50" s="69">
        <f>SUMIF('SIGAF DIC 20'!$B$2:$B$849,$A50,'SIGAF DIC 20'!$Q$2:$Q$849)</f>
        <v>898406</v>
      </c>
      <c r="R50" s="76">
        <f t="shared" si="6"/>
        <v>0.12253663321664425</v>
      </c>
    </row>
    <row r="51" spans="1:18" x14ac:dyDescent="0.25">
      <c r="A51" s="66" t="s">
        <v>442</v>
      </c>
      <c r="B51" s="66" t="s">
        <v>434</v>
      </c>
      <c r="C51" s="69">
        <f>SUMIF('SIGAF DIC 20'!$B$2:$B$849,$A51,'SIGAF DIC 20'!$F$2:$F$849)</f>
        <v>4364375</v>
      </c>
      <c r="D51" s="69">
        <f>SUMIF('SIGAF DIC 20'!$B$2:$B$849,$A51,'SIGAF DIC 20'!$G$2:$G$849)</f>
        <v>4364375</v>
      </c>
      <c r="E51" s="69">
        <f>SUMIF('SIGAF DIC 20'!$B$2:$B$849,$A51,'SIGAF DIC 20'!$H$2:$H$849)</f>
        <v>0</v>
      </c>
      <c r="F51" s="76">
        <f t="shared" si="0"/>
        <v>0</v>
      </c>
      <c r="G51" s="69">
        <f>SUMIF('SIGAF DIC 20'!$B$2:$B$849,$A51,'SIGAF DIC 20'!$I$2:$I$849)</f>
        <v>0</v>
      </c>
      <c r="H51" s="76">
        <f t="shared" si="1"/>
        <v>0</v>
      </c>
      <c r="I51" s="69">
        <f>SUMIF('SIGAF DIC 20'!$B$2:$B$849,$A51,'SIGAF DIC 20'!$J$2:$J$849)</f>
        <v>0</v>
      </c>
      <c r="J51" s="76">
        <f t="shared" si="2"/>
        <v>0</v>
      </c>
      <c r="K51" s="69">
        <f>SUMIF('SIGAF DIC 20'!$B$2:$B$849,$A51,'SIGAF DIC 20'!$K$2:$K$849)</f>
        <v>3659670</v>
      </c>
      <c r="L51" s="77">
        <f t="shared" si="3"/>
        <v>0.83853243591579552</v>
      </c>
      <c r="M51" s="69">
        <f>SUMIF('SIGAF DIC 20'!$B$2:$B$849,$A51,'SIGAF DIC 20'!$M$2:$M$849)</f>
        <v>3659670</v>
      </c>
      <c r="N51" s="76">
        <f t="shared" si="4"/>
        <v>0.83853243591579552</v>
      </c>
      <c r="O51" s="68">
        <f>SUMIF('SIGAF DIC 20'!$B$2:$B$849,$A51,'SIGAF DIC 20'!$O$2:$O$849)</f>
        <v>704705</v>
      </c>
      <c r="P51" s="76">
        <f t="shared" si="5"/>
        <v>0.16146756408420448</v>
      </c>
      <c r="Q51" s="69">
        <f>SUMIF('SIGAF DIC 20'!$B$2:$B$849,$A51,'SIGAF DIC 20'!$Q$2:$Q$849)</f>
        <v>704705</v>
      </c>
      <c r="R51" s="76">
        <f t="shared" si="6"/>
        <v>0.16146756408420448</v>
      </c>
    </row>
    <row r="52" spans="1:18" x14ac:dyDescent="0.25">
      <c r="A52" s="66" t="s">
        <v>443</v>
      </c>
      <c r="B52" s="66" t="s">
        <v>434</v>
      </c>
      <c r="C52" s="69">
        <f>SUMIF('SIGAF DIC 20'!$B$2:$B$849,$A52,'SIGAF DIC 20'!$F$2:$F$849)</f>
        <v>1062013</v>
      </c>
      <c r="D52" s="69">
        <f>SUMIF('SIGAF DIC 20'!$B$2:$B$849,$A52,'SIGAF DIC 20'!$G$2:$G$849)</f>
        <v>1062013</v>
      </c>
      <c r="E52" s="69">
        <f>SUMIF('SIGAF DIC 20'!$B$2:$B$849,$A52,'SIGAF DIC 20'!$H$2:$H$849)</f>
        <v>0</v>
      </c>
      <c r="F52" s="76">
        <f t="shared" si="0"/>
        <v>0</v>
      </c>
      <c r="G52" s="69">
        <f>SUMIF('SIGAF DIC 20'!$B$2:$B$849,$A52,'SIGAF DIC 20'!$I$2:$I$849)</f>
        <v>0</v>
      </c>
      <c r="H52" s="76">
        <f t="shared" si="1"/>
        <v>0</v>
      </c>
      <c r="I52" s="69">
        <f>SUMIF('SIGAF DIC 20'!$B$2:$B$849,$A52,'SIGAF DIC 20'!$J$2:$J$849)</f>
        <v>0</v>
      </c>
      <c r="J52" s="76">
        <f t="shared" si="2"/>
        <v>0</v>
      </c>
      <c r="K52" s="69">
        <f>SUMIF('SIGAF DIC 20'!$B$2:$B$849,$A52,'SIGAF DIC 20'!$K$2:$K$849)</f>
        <v>920074</v>
      </c>
      <c r="L52" s="77">
        <f t="shared" si="3"/>
        <v>0.86634909365516244</v>
      </c>
      <c r="M52" s="69">
        <f>SUMIF('SIGAF DIC 20'!$B$2:$B$849,$A52,'SIGAF DIC 20'!$M$2:$M$849)</f>
        <v>920074</v>
      </c>
      <c r="N52" s="76">
        <f t="shared" si="4"/>
        <v>0.86634909365516244</v>
      </c>
      <c r="O52" s="68">
        <f>SUMIF('SIGAF DIC 20'!$B$2:$B$849,$A52,'SIGAF DIC 20'!$O$2:$O$849)</f>
        <v>141939</v>
      </c>
      <c r="P52" s="76">
        <f t="shared" si="5"/>
        <v>0.13365090634483759</v>
      </c>
      <c r="Q52" s="69">
        <f>SUMIF('SIGAF DIC 20'!$B$2:$B$849,$A52,'SIGAF DIC 20'!$Q$2:$Q$849)</f>
        <v>141939</v>
      </c>
      <c r="R52" s="76">
        <f t="shared" si="6"/>
        <v>0.13365090634483759</v>
      </c>
    </row>
    <row r="53" spans="1:18" x14ac:dyDescent="0.25">
      <c r="A53" s="66" t="s">
        <v>444</v>
      </c>
      <c r="B53" s="66" t="s">
        <v>434</v>
      </c>
      <c r="C53" s="69">
        <f>SUMIF('SIGAF DIC 20'!$B$2:$B$849,$A53,'SIGAF DIC 20'!$F$2:$F$849)</f>
        <v>4238424</v>
      </c>
      <c r="D53" s="69">
        <f>SUMIF('SIGAF DIC 20'!$B$2:$B$849,$A53,'SIGAF DIC 20'!$G$2:$G$849)</f>
        <v>4238424</v>
      </c>
      <c r="E53" s="69">
        <f>SUMIF('SIGAF DIC 20'!$B$2:$B$849,$A53,'SIGAF DIC 20'!$H$2:$H$849)</f>
        <v>0</v>
      </c>
      <c r="F53" s="76">
        <f t="shared" si="0"/>
        <v>0</v>
      </c>
      <c r="G53" s="69">
        <f>SUMIF('SIGAF DIC 20'!$B$2:$B$849,$A53,'SIGAF DIC 20'!$I$2:$I$849)</f>
        <v>0</v>
      </c>
      <c r="H53" s="76">
        <f t="shared" si="1"/>
        <v>0</v>
      </c>
      <c r="I53" s="69">
        <f>SUMIF('SIGAF DIC 20'!$B$2:$B$849,$A53,'SIGAF DIC 20'!$J$2:$J$849)</f>
        <v>0</v>
      </c>
      <c r="J53" s="76">
        <f t="shared" si="2"/>
        <v>0</v>
      </c>
      <c r="K53" s="69">
        <f>SUMIF('SIGAF DIC 20'!$B$2:$B$849,$A53,'SIGAF DIC 20'!$K$2:$K$849)</f>
        <v>3858238</v>
      </c>
      <c r="L53" s="77">
        <f t="shared" si="3"/>
        <v>0.91030014930077785</v>
      </c>
      <c r="M53" s="69">
        <f>SUMIF('SIGAF DIC 20'!$B$2:$B$849,$A53,'SIGAF DIC 20'!$M$2:$M$849)</f>
        <v>3858238</v>
      </c>
      <c r="N53" s="76">
        <f t="shared" si="4"/>
        <v>0.91030014930077785</v>
      </c>
      <c r="O53" s="68">
        <f>SUMIF('SIGAF DIC 20'!$B$2:$B$849,$A53,'SIGAF DIC 20'!$O$2:$O$849)</f>
        <v>380186</v>
      </c>
      <c r="P53" s="76">
        <f t="shared" si="5"/>
        <v>8.9699850699222164E-2</v>
      </c>
      <c r="Q53" s="69">
        <f>SUMIF('SIGAF DIC 20'!$B$2:$B$849,$A53,'SIGAF DIC 20'!$Q$2:$Q$849)</f>
        <v>380186</v>
      </c>
      <c r="R53" s="76">
        <f t="shared" si="6"/>
        <v>8.9699850699222164E-2</v>
      </c>
    </row>
    <row r="54" spans="1:18" x14ac:dyDescent="0.25">
      <c r="A54" s="66" t="s">
        <v>445</v>
      </c>
      <c r="B54" s="66" t="s">
        <v>434</v>
      </c>
      <c r="C54" s="69">
        <f>SUMIF('SIGAF DIC 20'!$B$2:$B$849,$A54,'SIGAF DIC 20'!$F$2:$F$849)</f>
        <v>29036935</v>
      </c>
      <c r="D54" s="69">
        <f>SUMIF('SIGAF DIC 20'!$B$2:$B$849,$A54,'SIGAF DIC 20'!$G$2:$G$849)</f>
        <v>29036935</v>
      </c>
      <c r="E54" s="69">
        <f>SUMIF('SIGAF DIC 20'!$B$2:$B$849,$A54,'SIGAF DIC 20'!$H$2:$H$849)</f>
        <v>0</v>
      </c>
      <c r="F54" s="76">
        <f t="shared" si="0"/>
        <v>0</v>
      </c>
      <c r="G54" s="69">
        <f>SUMIF('SIGAF DIC 20'!$B$2:$B$849,$A54,'SIGAF DIC 20'!$I$2:$I$849)</f>
        <v>0</v>
      </c>
      <c r="H54" s="76">
        <f t="shared" si="1"/>
        <v>0</v>
      </c>
      <c r="I54" s="69">
        <f>SUMIF('SIGAF DIC 20'!$B$2:$B$849,$A54,'SIGAF DIC 20'!$J$2:$J$849)</f>
        <v>0</v>
      </c>
      <c r="J54" s="76">
        <f t="shared" si="2"/>
        <v>0</v>
      </c>
      <c r="K54" s="69">
        <f>SUMIF('SIGAF DIC 20'!$B$2:$B$849,$A54,'SIGAF DIC 20'!$K$2:$K$849)</f>
        <v>27636628.66</v>
      </c>
      <c r="L54" s="77">
        <f t="shared" si="3"/>
        <v>0.95177499484708006</v>
      </c>
      <c r="M54" s="69">
        <f>SUMIF('SIGAF DIC 20'!$B$2:$B$849,$A54,'SIGAF DIC 20'!$M$2:$M$849)</f>
        <v>27636628.66</v>
      </c>
      <c r="N54" s="76">
        <f t="shared" si="4"/>
        <v>0.95177499484708006</v>
      </c>
      <c r="O54" s="68">
        <f>SUMIF('SIGAF DIC 20'!$B$2:$B$849,$A54,'SIGAF DIC 20'!$O$2:$O$849)</f>
        <v>1400306.34</v>
      </c>
      <c r="P54" s="76">
        <f t="shared" si="5"/>
        <v>4.8225005152919893E-2</v>
      </c>
      <c r="Q54" s="69">
        <f>SUMIF('SIGAF DIC 20'!$B$2:$B$849,$A54,'SIGAF DIC 20'!$Q$2:$Q$849)</f>
        <v>1400306.34</v>
      </c>
      <c r="R54" s="76">
        <f t="shared" si="6"/>
        <v>4.8225005152919893E-2</v>
      </c>
    </row>
    <row r="55" spans="1:18" x14ac:dyDescent="0.25">
      <c r="A55" s="66" t="s">
        <v>446</v>
      </c>
      <c r="B55" s="66" t="s">
        <v>434</v>
      </c>
      <c r="C55" s="69">
        <f>SUMIF('SIGAF DIC 20'!$B$2:$B$849,$A55,'SIGAF DIC 20'!$F$2:$F$849)</f>
        <v>3439293</v>
      </c>
      <c r="D55" s="69">
        <f>SUMIF('SIGAF DIC 20'!$B$2:$B$849,$A55,'SIGAF DIC 20'!$G$2:$G$849)</f>
        <v>3439293</v>
      </c>
      <c r="E55" s="69">
        <f>SUMIF('SIGAF DIC 20'!$B$2:$B$849,$A55,'SIGAF DIC 20'!$H$2:$H$849)</f>
        <v>0</v>
      </c>
      <c r="F55" s="76">
        <f t="shared" si="0"/>
        <v>0</v>
      </c>
      <c r="G55" s="69">
        <f>SUMIF('SIGAF DIC 20'!$B$2:$B$849,$A55,'SIGAF DIC 20'!$I$2:$I$849)</f>
        <v>0</v>
      </c>
      <c r="H55" s="76">
        <f t="shared" si="1"/>
        <v>0</v>
      </c>
      <c r="I55" s="69">
        <f>SUMIF('SIGAF DIC 20'!$B$2:$B$849,$A55,'SIGAF DIC 20'!$J$2:$J$849)</f>
        <v>0</v>
      </c>
      <c r="J55" s="76">
        <f t="shared" si="2"/>
        <v>0</v>
      </c>
      <c r="K55" s="69">
        <f>SUMIF('SIGAF DIC 20'!$B$2:$B$849,$A55,'SIGAF DIC 20'!$K$2:$K$849)</f>
        <v>3439293</v>
      </c>
      <c r="L55" s="77">
        <f t="shared" si="3"/>
        <v>1</v>
      </c>
      <c r="M55" s="69">
        <f>SUMIF('SIGAF DIC 20'!$B$2:$B$849,$A55,'SIGAF DIC 20'!$M$2:$M$849)</f>
        <v>3439293</v>
      </c>
      <c r="N55" s="76">
        <f t="shared" si="4"/>
        <v>1</v>
      </c>
      <c r="O55" s="68">
        <f>SUMIF('SIGAF DIC 20'!$B$2:$B$849,$A55,'SIGAF DIC 20'!$O$2:$O$849)</f>
        <v>0</v>
      </c>
      <c r="P55" s="76">
        <f t="shared" si="5"/>
        <v>0</v>
      </c>
      <c r="Q55" s="69">
        <f>SUMIF('SIGAF DIC 20'!$B$2:$B$849,$A55,'SIGAF DIC 20'!$Q$2:$Q$849)</f>
        <v>0</v>
      </c>
      <c r="R55" s="76">
        <f t="shared" si="6"/>
        <v>0</v>
      </c>
    </row>
    <row r="56" spans="1:18" x14ac:dyDescent="0.25">
      <c r="A56" s="66" t="s">
        <v>447</v>
      </c>
      <c r="B56" s="66" t="s">
        <v>434</v>
      </c>
      <c r="C56" s="69">
        <f>SUMIF('SIGAF DIC 20'!$B$2:$B$849,$A56,'SIGAF DIC 20'!$F$2:$F$849)</f>
        <v>47679769</v>
      </c>
      <c r="D56" s="69">
        <f>SUMIF('SIGAF DIC 20'!$B$2:$B$849,$A56,'SIGAF DIC 20'!$G$2:$G$849)</f>
        <v>47679769</v>
      </c>
      <c r="E56" s="69">
        <f>SUMIF('SIGAF DIC 20'!$B$2:$B$849,$A56,'SIGAF DIC 20'!$H$2:$H$849)</f>
        <v>0</v>
      </c>
      <c r="F56" s="76">
        <f t="shared" si="0"/>
        <v>0</v>
      </c>
      <c r="G56" s="69">
        <f>SUMIF('SIGAF DIC 20'!$B$2:$B$849,$A56,'SIGAF DIC 20'!$I$2:$I$849)</f>
        <v>0</v>
      </c>
      <c r="H56" s="76">
        <f t="shared" si="1"/>
        <v>0</v>
      </c>
      <c r="I56" s="69">
        <f>SUMIF('SIGAF DIC 20'!$B$2:$B$849,$A56,'SIGAF DIC 20'!$J$2:$J$849)</f>
        <v>0</v>
      </c>
      <c r="J56" s="76">
        <f t="shared" si="2"/>
        <v>0</v>
      </c>
      <c r="K56" s="69">
        <f>SUMIF('SIGAF DIC 20'!$B$2:$B$849,$A56,'SIGAF DIC 20'!$K$2:$K$849)</f>
        <v>44954086</v>
      </c>
      <c r="L56" s="77">
        <f t="shared" si="3"/>
        <v>0.94283355273805958</v>
      </c>
      <c r="M56" s="69">
        <f>SUMIF('SIGAF DIC 20'!$B$2:$B$849,$A56,'SIGAF DIC 20'!$M$2:$M$849)</f>
        <v>44954086</v>
      </c>
      <c r="N56" s="76">
        <f t="shared" si="4"/>
        <v>0.94283355273805958</v>
      </c>
      <c r="O56" s="68">
        <f>SUMIF('SIGAF DIC 20'!$B$2:$B$849,$A56,'SIGAF DIC 20'!$O$2:$O$849)</f>
        <v>2725683</v>
      </c>
      <c r="P56" s="76">
        <f t="shared" si="5"/>
        <v>5.7166447261940381E-2</v>
      </c>
      <c r="Q56" s="69">
        <f>SUMIF('SIGAF DIC 20'!$B$2:$B$849,$A56,'SIGAF DIC 20'!$Q$2:$Q$849)</f>
        <v>2725683</v>
      </c>
      <c r="R56" s="76">
        <f t="shared" si="6"/>
        <v>5.7166447261940381E-2</v>
      </c>
    </row>
    <row r="57" spans="1:18" x14ac:dyDescent="0.25">
      <c r="A57" s="66" t="s">
        <v>96</v>
      </c>
      <c r="B57" s="66" t="s">
        <v>448</v>
      </c>
      <c r="C57" s="69">
        <f>SUMIF('SIGAF DIC 20'!$B$2:$B$849,$A57,'SIGAF DIC 20'!$F$2:$F$849)</f>
        <v>7296496022</v>
      </c>
      <c r="D57" s="69">
        <f>SUMIF('SIGAF DIC 20'!$B$2:$B$849,$A57,'SIGAF DIC 20'!$G$2:$G$849)</f>
        <v>7296496022</v>
      </c>
      <c r="E57" s="69">
        <f>SUMIF('SIGAF DIC 20'!$B$2:$B$849,$A57,'SIGAF DIC 20'!$H$2:$H$849)</f>
        <v>0</v>
      </c>
      <c r="F57" s="76">
        <f t="shared" si="0"/>
        <v>0</v>
      </c>
      <c r="G57" s="69">
        <f>SUMIF('SIGAF DIC 20'!$B$2:$B$849,$A57,'SIGAF DIC 20'!$I$2:$I$849)</f>
        <v>0</v>
      </c>
      <c r="H57" s="76">
        <f t="shared" si="1"/>
        <v>0</v>
      </c>
      <c r="I57" s="69">
        <f>SUMIF('SIGAF DIC 20'!$B$2:$B$849,$A57,'SIGAF DIC 20'!$J$2:$J$849)</f>
        <v>0</v>
      </c>
      <c r="J57" s="76">
        <f t="shared" si="2"/>
        <v>0</v>
      </c>
      <c r="K57" s="69">
        <f>SUMIF('SIGAF DIC 20'!$B$2:$B$849,$A57,'SIGAF DIC 20'!$K$2:$K$849)</f>
        <v>6803174808.2999992</v>
      </c>
      <c r="L57" s="77">
        <f t="shared" si="3"/>
        <v>0.93238929861503861</v>
      </c>
      <c r="M57" s="69">
        <f>SUMIF('SIGAF DIC 20'!$B$2:$B$849,$A57,'SIGAF DIC 20'!$M$2:$M$849)</f>
        <v>6803174808.2999992</v>
      </c>
      <c r="N57" s="76">
        <f t="shared" si="4"/>
        <v>0.93238929861503861</v>
      </c>
      <c r="O57" s="68">
        <f>SUMIF('SIGAF DIC 20'!$B$2:$B$849,$A57,'SIGAF DIC 20'!$O$2:$O$849)</f>
        <v>493321213.69999999</v>
      </c>
      <c r="P57" s="76">
        <f t="shared" si="5"/>
        <v>6.7610701384961294E-2</v>
      </c>
      <c r="Q57" s="69">
        <f>SUMIF('SIGAF DIC 20'!$B$2:$B$849,$A57,'SIGAF DIC 20'!$Q$2:$Q$849)</f>
        <v>493321213.69999999</v>
      </c>
      <c r="R57" s="76">
        <f t="shared" si="6"/>
        <v>6.7610701384961294E-2</v>
      </c>
    </row>
    <row r="58" spans="1:18" s="82" customFormat="1" x14ac:dyDescent="0.25">
      <c r="A58" s="78" t="s">
        <v>449</v>
      </c>
      <c r="B58" s="78" t="s">
        <v>450</v>
      </c>
      <c r="C58" s="79">
        <f>SUM(C59:C72)</f>
        <v>3869884965</v>
      </c>
      <c r="D58" s="79">
        <f>SUM(D59:D72)</f>
        <v>3869884965</v>
      </c>
      <c r="E58" s="79">
        <f>SUM(E59:E72)</f>
        <v>0</v>
      </c>
      <c r="F58" s="80">
        <f t="shared" si="0"/>
        <v>0</v>
      </c>
      <c r="G58" s="79">
        <f>SUM(G59:G72)</f>
        <v>0</v>
      </c>
      <c r="H58" s="80">
        <f t="shared" si="1"/>
        <v>0</v>
      </c>
      <c r="I58" s="79">
        <f>SUM(I59:I72)</f>
        <v>0</v>
      </c>
      <c r="J58" s="80">
        <f t="shared" si="2"/>
        <v>0</v>
      </c>
      <c r="K58" s="79">
        <f>SUM(K59:K72)</f>
        <v>3592152439.9300003</v>
      </c>
      <c r="L58" s="81">
        <f t="shared" si="3"/>
        <v>0.92823235636669632</v>
      </c>
      <c r="M58" s="79">
        <f>SUM(M59:M72)</f>
        <v>3592152439.9300003</v>
      </c>
      <c r="N58" s="80">
        <f t="shared" si="4"/>
        <v>0.92823235636669632</v>
      </c>
      <c r="O58" s="79">
        <f>SUM(O59:O72)</f>
        <v>277732525.07000005</v>
      </c>
      <c r="P58" s="80">
        <f t="shared" si="5"/>
        <v>7.1767643633303721E-2</v>
      </c>
      <c r="Q58" s="79">
        <f>SUM(Q59:Q72)</f>
        <v>277732525.07000005</v>
      </c>
      <c r="R58" s="80">
        <f t="shared" si="6"/>
        <v>7.1767643633303721E-2</v>
      </c>
    </row>
    <row r="59" spans="1:18" x14ac:dyDescent="0.25">
      <c r="A59" s="66" t="s">
        <v>451</v>
      </c>
      <c r="B59" s="66" t="s">
        <v>452</v>
      </c>
      <c r="C59" s="69">
        <f>SUMIF('SIGAF DIC 20'!$B$2:$B$849,$A59,'SIGAF DIC 20'!$F$2:$F$849)</f>
        <v>72104601</v>
      </c>
      <c r="D59" s="69">
        <f>SUMIF('SIGAF DIC 20'!$B$2:$B$849,$A59,'SIGAF DIC 20'!$G$2:$G$849)</f>
        <v>72104601</v>
      </c>
      <c r="E59" s="69">
        <f>SUMIF('SIGAF DIC 20'!$B$2:$B$849,$A59,'SIGAF DIC 20'!$H$2:$H$849)</f>
        <v>0</v>
      </c>
      <c r="F59" s="76">
        <f t="shared" si="0"/>
        <v>0</v>
      </c>
      <c r="G59" s="69">
        <f>SUMIF('SIGAF DIC 20'!$B$2:$B$849,$A59,'SIGAF DIC 20'!$I$2:$I$849)</f>
        <v>0</v>
      </c>
      <c r="H59" s="76">
        <f t="shared" si="1"/>
        <v>0</v>
      </c>
      <c r="I59" s="69">
        <f>SUMIF('SIGAF DIC 20'!$B$2:$B$849,$A59,'SIGAF DIC 20'!$J$2:$J$849)</f>
        <v>0</v>
      </c>
      <c r="J59" s="76">
        <f t="shared" si="2"/>
        <v>0</v>
      </c>
      <c r="K59" s="69">
        <f>SUMIF('SIGAF DIC 20'!$B$2:$B$849,$A59,'SIGAF DIC 20'!$K$2:$K$849)</f>
        <v>57606396</v>
      </c>
      <c r="L59" s="77">
        <f t="shared" si="3"/>
        <v>0.79892815716433963</v>
      </c>
      <c r="M59" s="69">
        <f>SUMIF('SIGAF DIC 20'!$B$2:$B$849,$A59,'SIGAF DIC 20'!$M$2:$M$849)</f>
        <v>57606396</v>
      </c>
      <c r="N59" s="76">
        <f t="shared" si="4"/>
        <v>0.79892815716433963</v>
      </c>
      <c r="O59" s="68">
        <f>SUMIF('SIGAF DIC 20'!$B$2:$B$849,$A59,'SIGAF DIC 20'!$O$2:$O$849)</f>
        <v>14498205</v>
      </c>
      <c r="P59" s="76">
        <f t="shared" si="5"/>
        <v>0.20107184283566037</v>
      </c>
      <c r="Q59" s="69">
        <f>SUMIF('SIGAF DIC 20'!$B$2:$B$849,$A59,'SIGAF DIC 20'!$Q$2:$Q$849)</f>
        <v>14498205</v>
      </c>
      <c r="R59" s="76">
        <f t="shared" si="6"/>
        <v>0.20107184283566037</v>
      </c>
    </row>
    <row r="60" spans="1:18" x14ac:dyDescent="0.25">
      <c r="A60" s="66" t="s">
        <v>453</v>
      </c>
      <c r="B60" s="66" t="s">
        <v>452</v>
      </c>
      <c r="C60" s="69">
        <f>SUMIF('SIGAF DIC 20'!$B$2:$B$849,$A60,'SIGAF DIC 20'!$F$2:$F$849)</f>
        <v>113614017</v>
      </c>
      <c r="D60" s="69">
        <f>SUMIF('SIGAF DIC 20'!$B$2:$B$849,$A60,'SIGAF DIC 20'!$G$2:$G$849)</f>
        <v>113614017</v>
      </c>
      <c r="E60" s="69">
        <f>SUMIF('SIGAF DIC 20'!$B$2:$B$849,$A60,'SIGAF DIC 20'!$H$2:$H$849)</f>
        <v>0</v>
      </c>
      <c r="F60" s="76">
        <f t="shared" si="0"/>
        <v>0</v>
      </c>
      <c r="G60" s="69">
        <f>SUMIF('SIGAF DIC 20'!$B$2:$B$849,$A60,'SIGAF DIC 20'!$I$2:$I$849)</f>
        <v>0</v>
      </c>
      <c r="H60" s="76">
        <f t="shared" si="1"/>
        <v>0</v>
      </c>
      <c r="I60" s="69">
        <f>SUMIF('SIGAF DIC 20'!$B$2:$B$849,$A60,'SIGAF DIC 20'!$J$2:$J$849)</f>
        <v>0</v>
      </c>
      <c r="J60" s="76">
        <f t="shared" si="2"/>
        <v>0</v>
      </c>
      <c r="K60" s="69">
        <f>SUMIF('SIGAF DIC 20'!$B$2:$B$849,$A60,'SIGAF DIC 20'!$K$2:$K$849)</f>
        <v>102206275</v>
      </c>
      <c r="L60" s="77">
        <f t="shared" si="3"/>
        <v>0.89959212515124787</v>
      </c>
      <c r="M60" s="69">
        <f>SUMIF('SIGAF DIC 20'!$B$2:$B$849,$A60,'SIGAF DIC 20'!$M$2:$M$849)</f>
        <v>102206275</v>
      </c>
      <c r="N60" s="76">
        <f t="shared" si="4"/>
        <v>0.89959212515124787</v>
      </c>
      <c r="O60" s="68">
        <f>SUMIF('SIGAF DIC 20'!$B$2:$B$849,$A60,'SIGAF DIC 20'!$O$2:$O$849)</f>
        <v>11407742</v>
      </c>
      <c r="P60" s="76">
        <f t="shared" si="5"/>
        <v>0.10040787484875216</v>
      </c>
      <c r="Q60" s="69">
        <f>SUMIF('SIGAF DIC 20'!$B$2:$B$849,$A60,'SIGAF DIC 20'!$Q$2:$Q$849)</f>
        <v>11407742</v>
      </c>
      <c r="R60" s="76">
        <f t="shared" si="6"/>
        <v>0.10040787484875216</v>
      </c>
    </row>
    <row r="61" spans="1:18" x14ac:dyDescent="0.25">
      <c r="A61" s="66" t="s">
        <v>454</v>
      </c>
      <c r="B61" s="66" t="s">
        <v>452</v>
      </c>
      <c r="C61" s="69">
        <f>SUMIF('SIGAF DIC 20'!$B$2:$B$849,$A61,'SIGAF DIC 20'!$F$2:$F$849)</f>
        <v>53081843</v>
      </c>
      <c r="D61" s="69">
        <f>SUMIF('SIGAF DIC 20'!$B$2:$B$849,$A61,'SIGAF DIC 20'!$G$2:$G$849)</f>
        <v>53081843</v>
      </c>
      <c r="E61" s="69">
        <f>SUMIF('SIGAF DIC 20'!$B$2:$B$849,$A61,'SIGAF DIC 20'!$H$2:$H$849)</f>
        <v>0</v>
      </c>
      <c r="F61" s="76">
        <f t="shared" si="0"/>
        <v>0</v>
      </c>
      <c r="G61" s="69">
        <f>SUMIF('SIGAF DIC 20'!$B$2:$B$849,$A61,'SIGAF DIC 20'!$I$2:$I$849)</f>
        <v>0</v>
      </c>
      <c r="H61" s="76">
        <f t="shared" si="1"/>
        <v>0</v>
      </c>
      <c r="I61" s="69">
        <f>SUMIF('SIGAF DIC 20'!$B$2:$B$849,$A61,'SIGAF DIC 20'!$J$2:$J$849)</f>
        <v>0</v>
      </c>
      <c r="J61" s="76">
        <f t="shared" si="2"/>
        <v>0</v>
      </c>
      <c r="K61" s="69">
        <f>SUMIF('SIGAF DIC 20'!$B$2:$B$849,$A61,'SIGAF DIC 20'!$K$2:$K$849)</f>
        <v>45389041.450000003</v>
      </c>
      <c r="L61" s="77">
        <f t="shared" si="3"/>
        <v>0.85507659276261383</v>
      </c>
      <c r="M61" s="69">
        <f>SUMIF('SIGAF DIC 20'!$B$2:$B$849,$A61,'SIGAF DIC 20'!$M$2:$M$849)</f>
        <v>45389041.450000003</v>
      </c>
      <c r="N61" s="76">
        <f t="shared" si="4"/>
        <v>0.85507659276261383</v>
      </c>
      <c r="O61" s="68">
        <f>SUMIF('SIGAF DIC 20'!$B$2:$B$849,$A61,'SIGAF DIC 20'!$O$2:$O$849)</f>
        <v>7692801.5499999998</v>
      </c>
      <c r="P61" s="76">
        <f t="shared" si="5"/>
        <v>0.14492340723738623</v>
      </c>
      <c r="Q61" s="69">
        <f>SUMIF('SIGAF DIC 20'!$B$2:$B$849,$A61,'SIGAF DIC 20'!$Q$2:$Q$849)</f>
        <v>7692801.5499999998</v>
      </c>
      <c r="R61" s="76">
        <f t="shared" si="6"/>
        <v>0.14492340723738623</v>
      </c>
    </row>
    <row r="62" spans="1:18" x14ac:dyDescent="0.25">
      <c r="A62" s="66" t="s">
        <v>455</v>
      </c>
      <c r="B62" s="66" t="s">
        <v>452</v>
      </c>
      <c r="C62" s="69">
        <f>SUMIF('SIGAF DIC 20'!$B$2:$B$849,$A62,'SIGAF DIC 20'!$F$2:$F$849)</f>
        <v>1981260109</v>
      </c>
      <c r="D62" s="69">
        <f>SUMIF('SIGAF DIC 20'!$B$2:$B$849,$A62,'SIGAF DIC 20'!$G$2:$G$849)</f>
        <v>1981260109</v>
      </c>
      <c r="E62" s="69">
        <f>SUMIF('SIGAF DIC 20'!$B$2:$B$849,$A62,'SIGAF DIC 20'!$H$2:$H$849)</f>
        <v>0</v>
      </c>
      <c r="F62" s="76">
        <f t="shared" si="0"/>
        <v>0</v>
      </c>
      <c r="G62" s="69">
        <f>SUMIF('SIGAF DIC 20'!$B$2:$B$849,$A62,'SIGAF DIC 20'!$I$2:$I$849)</f>
        <v>0</v>
      </c>
      <c r="H62" s="76">
        <f t="shared" si="1"/>
        <v>0</v>
      </c>
      <c r="I62" s="69">
        <f>SUMIF('SIGAF DIC 20'!$B$2:$B$849,$A62,'SIGAF DIC 20'!$J$2:$J$849)</f>
        <v>0</v>
      </c>
      <c r="J62" s="76">
        <f t="shared" si="2"/>
        <v>0</v>
      </c>
      <c r="K62" s="69">
        <f>SUMIF('SIGAF DIC 20'!$B$2:$B$849,$A62,'SIGAF DIC 20'!$K$2:$K$849)</f>
        <v>1929148765</v>
      </c>
      <c r="L62" s="77">
        <f t="shared" si="3"/>
        <v>0.97369787855553092</v>
      </c>
      <c r="M62" s="69">
        <f>SUMIF('SIGAF DIC 20'!$B$2:$B$849,$A62,'SIGAF DIC 20'!$M$2:$M$849)</f>
        <v>1929148765</v>
      </c>
      <c r="N62" s="76">
        <f t="shared" si="4"/>
        <v>0.97369787855553092</v>
      </c>
      <c r="O62" s="68">
        <f>SUMIF('SIGAF DIC 20'!$B$2:$B$849,$A62,'SIGAF DIC 20'!$O$2:$O$849)</f>
        <v>52111344</v>
      </c>
      <c r="P62" s="76">
        <f t="shared" si="5"/>
        <v>2.6302121444469057E-2</v>
      </c>
      <c r="Q62" s="69">
        <f>SUMIF('SIGAF DIC 20'!$B$2:$B$849,$A62,'SIGAF DIC 20'!$Q$2:$Q$849)</f>
        <v>52111344</v>
      </c>
      <c r="R62" s="76">
        <f t="shared" si="6"/>
        <v>2.6302121444469057E-2</v>
      </c>
    </row>
    <row r="63" spans="1:18" x14ac:dyDescent="0.25">
      <c r="A63" s="66" t="s">
        <v>456</v>
      </c>
      <c r="B63" s="66" t="s">
        <v>452</v>
      </c>
      <c r="C63" s="69">
        <f>SUMIF('SIGAF DIC 20'!$B$2:$B$849,$A63,'SIGAF DIC 20'!$F$2:$F$849)</f>
        <v>556673743</v>
      </c>
      <c r="D63" s="69">
        <f>SUMIF('SIGAF DIC 20'!$B$2:$B$849,$A63,'SIGAF DIC 20'!$G$2:$G$849)</f>
        <v>556673743</v>
      </c>
      <c r="E63" s="69">
        <f>SUMIF('SIGAF DIC 20'!$B$2:$B$849,$A63,'SIGAF DIC 20'!$H$2:$H$849)</f>
        <v>0</v>
      </c>
      <c r="F63" s="76">
        <f t="shared" si="0"/>
        <v>0</v>
      </c>
      <c r="G63" s="69">
        <f>SUMIF('SIGAF DIC 20'!$B$2:$B$849,$A63,'SIGAF DIC 20'!$I$2:$I$849)</f>
        <v>0</v>
      </c>
      <c r="H63" s="76">
        <f t="shared" si="1"/>
        <v>0</v>
      </c>
      <c r="I63" s="69">
        <f>SUMIF('SIGAF DIC 20'!$B$2:$B$849,$A63,'SIGAF DIC 20'!$J$2:$J$849)</f>
        <v>0</v>
      </c>
      <c r="J63" s="76">
        <f t="shared" si="2"/>
        <v>0</v>
      </c>
      <c r="K63" s="69">
        <f>SUMIF('SIGAF DIC 20'!$B$2:$B$849,$A63,'SIGAF DIC 20'!$K$2:$K$849)</f>
        <v>466559013</v>
      </c>
      <c r="L63" s="77">
        <f t="shared" si="3"/>
        <v>0.83811930932046852</v>
      </c>
      <c r="M63" s="69">
        <f>SUMIF('SIGAF DIC 20'!$B$2:$B$849,$A63,'SIGAF DIC 20'!$M$2:$M$849)</f>
        <v>466559013</v>
      </c>
      <c r="N63" s="76">
        <f t="shared" si="4"/>
        <v>0.83811930932046852</v>
      </c>
      <c r="O63" s="68">
        <f>SUMIF('SIGAF DIC 20'!$B$2:$B$849,$A63,'SIGAF DIC 20'!$O$2:$O$849)</f>
        <v>90114730</v>
      </c>
      <c r="P63" s="76">
        <f t="shared" si="5"/>
        <v>0.16188069067953148</v>
      </c>
      <c r="Q63" s="69">
        <f>SUMIF('SIGAF DIC 20'!$B$2:$B$849,$A63,'SIGAF DIC 20'!$Q$2:$Q$849)</f>
        <v>90114730</v>
      </c>
      <c r="R63" s="76">
        <f t="shared" si="6"/>
        <v>0.16188069067953148</v>
      </c>
    </row>
    <row r="64" spans="1:18" x14ac:dyDescent="0.25">
      <c r="A64" s="66" t="s">
        <v>457</v>
      </c>
      <c r="B64" s="66" t="s">
        <v>452</v>
      </c>
      <c r="C64" s="69">
        <f>SUMIF('SIGAF DIC 20'!$B$2:$B$849,$A64,'SIGAF DIC 20'!$F$2:$F$849)</f>
        <v>50448420</v>
      </c>
      <c r="D64" s="69">
        <f>SUMIF('SIGAF DIC 20'!$B$2:$B$849,$A64,'SIGAF DIC 20'!$G$2:$G$849)</f>
        <v>50448420</v>
      </c>
      <c r="E64" s="69">
        <f>SUMIF('SIGAF DIC 20'!$B$2:$B$849,$A64,'SIGAF DIC 20'!$H$2:$H$849)</f>
        <v>0</v>
      </c>
      <c r="F64" s="76">
        <f t="shared" si="0"/>
        <v>0</v>
      </c>
      <c r="G64" s="69">
        <f>SUMIF('SIGAF DIC 20'!$B$2:$B$849,$A64,'SIGAF DIC 20'!$I$2:$I$849)</f>
        <v>0</v>
      </c>
      <c r="H64" s="76">
        <f t="shared" si="1"/>
        <v>0</v>
      </c>
      <c r="I64" s="69">
        <f>SUMIF('SIGAF DIC 20'!$B$2:$B$849,$A64,'SIGAF DIC 20'!$J$2:$J$849)</f>
        <v>0</v>
      </c>
      <c r="J64" s="76">
        <f t="shared" si="2"/>
        <v>0</v>
      </c>
      <c r="K64" s="69">
        <f>SUMIF('SIGAF DIC 20'!$B$2:$B$849,$A64,'SIGAF DIC 20'!$K$2:$K$849)</f>
        <v>45297820</v>
      </c>
      <c r="L64" s="77">
        <f t="shared" si="3"/>
        <v>0.89790364098617959</v>
      </c>
      <c r="M64" s="69">
        <f>SUMIF('SIGAF DIC 20'!$B$2:$B$849,$A64,'SIGAF DIC 20'!$M$2:$M$849)</f>
        <v>45297820</v>
      </c>
      <c r="N64" s="76">
        <f t="shared" si="4"/>
        <v>0.89790364098617959</v>
      </c>
      <c r="O64" s="68">
        <f>SUMIF('SIGAF DIC 20'!$B$2:$B$849,$A64,'SIGAF DIC 20'!$O$2:$O$849)</f>
        <v>5150600</v>
      </c>
      <c r="P64" s="76">
        <f t="shared" si="5"/>
        <v>0.10209635901382046</v>
      </c>
      <c r="Q64" s="69">
        <f>SUMIF('SIGAF DIC 20'!$B$2:$B$849,$A64,'SIGAF DIC 20'!$Q$2:$Q$849)</f>
        <v>5150600</v>
      </c>
      <c r="R64" s="76">
        <f t="shared" si="6"/>
        <v>0.10209635901382046</v>
      </c>
    </row>
    <row r="65" spans="1:18" x14ac:dyDescent="0.25">
      <c r="A65" s="66" t="s">
        <v>458</v>
      </c>
      <c r="B65" s="66" t="s">
        <v>452</v>
      </c>
      <c r="C65" s="69">
        <f>SUMIF('SIGAF DIC 20'!$B$2:$B$849,$A65,'SIGAF DIC 20'!$F$2:$F$849)</f>
        <v>47677858</v>
      </c>
      <c r="D65" s="69">
        <f>SUMIF('SIGAF DIC 20'!$B$2:$B$849,$A65,'SIGAF DIC 20'!$G$2:$G$849)</f>
        <v>47677858</v>
      </c>
      <c r="E65" s="69">
        <f>SUMIF('SIGAF DIC 20'!$B$2:$B$849,$A65,'SIGAF DIC 20'!$H$2:$H$849)</f>
        <v>0</v>
      </c>
      <c r="F65" s="76">
        <f t="shared" si="0"/>
        <v>0</v>
      </c>
      <c r="G65" s="69">
        <f>SUMIF('SIGAF DIC 20'!$B$2:$B$849,$A65,'SIGAF DIC 20'!$I$2:$I$849)</f>
        <v>0</v>
      </c>
      <c r="H65" s="76">
        <f t="shared" si="1"/>
        <v>0</v>
      </c>
      <c r="I65" s="69">
        <f>SUMIF('SIGAF DIC 20'!$B$2:$B$849,$A65,'SIGAF DIC 20'!$J$2:$J$849)</f>
        <v>0</v>
      </c>
      <c r="J65" s="76">
        <f t="shared" si="2"/>
        <v>0</v>
      </c>
      <c r="K65" s="69">
        <f>SUMIF('SIGAF DIC 20'!$B$2:$B$849,$A65,'SIGAF DIC 20'!$K$2:$K$849)</f>
        <v>39914196</v>
      </c>
      <c r="L65" s="77">
        <f t="shared" si="3"/>
        <v>0.83716420314016626</v>
      </c>
      <c r="M65" s="69">
        <f>SUMIF('SIGAF DIC 20'!$B$2:$B$849,$A65,'SIGAF DIC 20'!$M$2:$M$849)</f>
        <v>39914196</v>
      </c>
      <c r="N65" s="76">
        <f t="shared" si="4"/>
        <v>0.83716420314016626</v>
      </c>
      <c r="O65" s="68">
        <f>SUMIF('SIGAF DIC 20'!$B$2:$B$849,$A65,'SIGAF DIC 20'!$O$2:$O$849)</f>
        <v>7763662</v>
      </c>
      <c r="P65" s="76">
        <f t="shared" si="5"/>
        <v>0.16283579685983376</v>
      </c>
      <c r="Q65" s="69">
        <f>SUMIF('SIGAF DIC 20'!$B$2:$B$849,$A65,'SIGAF DIC 20'!$Q$2:$Q$849)</f>
        <v>7763662</v>
      </c>
      <c r="R65" s="76">
        <f t="shared" si="6"/>
        <v>0.16283579685983376</v>
      </c>
    </row>
    <row r="66" spans="1:18" x14ac:dyDescent="0.25">
      <c r="A66" s="66" t="s">
        <v>459</v>
      </c>
      <c r="B66" s="66" t="s">
        <v>452</v>
      </c>
      <c r="C66" s="69">
        <f>SUMIF('SIGAF DIC 20'!$B$2:$B$849,$A66,'SIGAF DIC 20'!$F$2:$F$849)</f>
        <v>76983152</v>
      </c>
      <c r="D66" s="69">
        <f>SUMIF('SIGAF DIC 20'!$B$2:$B$849,$A66,'SIGAF DIC 20'!$G$2:$G$849)</f>
        <v>76983152</v>
      </c>
      <c r="E66" s="69">
        <f>SUMIF('SIGAF DIC 20'!$B$2:$B$849,$A66,'SIGAF DIC 20'!$H$2:$H$849)</f>
        <v>0</v>
      </c>
      <c r="F66" s="76">
        <f t="shared" si="0"/>
        <v>0</v>
      </c>
      <c r="G66" s="69">
        <f>SUMIF('SIGAF DIC 20'!$B$2:$B$849,$A66,'SIGAF DIC 20'!$I$2:$I$849)</f>
        <v>0</v>
      </c>
      <c r="H66" s="76">
        <f t="shared" si="1"/>
        <v>0</v>
      </c>
      <c r="I66" s="69">
        <f>SUMIF('SIGAF DIC 20'!$B$2:$B$849,$A66,'SIGAF DIC 20'!$J$2:$J$849)</f>
        <v>0</v>
      </c>
      <c r="J66" s="76">
        <f t="shared" si="2"/>
        <v>0</v>
      </c>
      <c r="K66" s="69">
        <f>SUMIF('SIGAF DIC 20'!$B$2:$B$849,$A66,'SIGAF DIC 20'!$K$2:$K$849)</f>
        <v>67362841</v>
      </c>
      <c r="L66" s="77">
        <f t="shared" si="3"/>
        <v>0.87503355279607153</v>
      </c>
      <c r="M66" s="69">
        <f>SUMIF('SIGAF DIC 20'!$B$2:$B$849,$A66,'SIGAF DIC 20'!$M$2:$M$849)</f>
        <v>67362841</v>
      </c>
      <c r="N66" s="76">
        <f t="shared" si="4"/>
        <v>0.87503355279607153</v>
      </c>
      <c r="O66" s="68">
        <f>SUMIF('SIGAF DIC 20'!$B$2:$B$849,$A66,'SIGAF DIC 20'!$O$2:$O$849)</f>
        <v>9620311</v>
      </c>
      <c r="P66" s="76">
        <f t="shared" si="5"/>
        <v>0.12496644720392847</v>
      </c>
      <c r="Q66" s="69">
        <f>SUMIF('SIGAF DIC 20'!$B$2:$B$849,$A66,'SIGAF DIC 20'!$Q$2:$Q$849)</f>
        <v>9620311</v>
      </c>
      <c r="R66" s="76">
        <f t="shared" si="6"/>
        <v>0.12496644720392847</v>
      </c>
    </row>
    <row r="67" spans="1:18" x14ac:dyDescent="0.25">
      <c r="A67" s="66" t="s">
        <v>460</v>
      </c>
      <c r="B67" s="66" t="s">
        <v>452</v>
      </c>
      <c r="C67" s="69">
        <f>SUMIF('SIGAF DIC 20'!$B$2:$B$849,$A67,'SIGAF DIC 20'!$F$2:$F$849)</f>
        <v>45826885</v>
      </c>
      <c r="D67" s="69">
        <f>SUMIF('SIGAF DIC 20'!$B$2:$B$849,$A67,'SIGAF DIC 20'!$G$2:$G$849)</f>
        <v>45826885</v>
      </c>
      <c r="E67" s="69">
        <f>SUMIF('SIGAF DIC 20'!$B$2:$B$849,$A67,'SIGAF DIC 20'!$H$2:$H$849)</f>
        <v>0</v>
      </c>
      <c r="F67" s="76">
        <f t="shared" si="0"/>
        <v>0</v>
      </c>
      <c r="G67" s="69">
        <f>SUMIF('SIGAF DIC 20'!$B$2:$B$849,$A67,'SIGAF DIC 20'!$I$2:$I$849)</f>
        <v>0</v>
      </c>
      <c r="H67" s="76">
        <f t="shared" si="1"/>
        <v>0</v>
      </c>
      <c r="I67" s="69">
        <f>SUMIF('SIGAF DIC 20'!$B$2:$B$849,$A67,'SIGAF DIC 20'!$J$2:$J$849)</f>
        <v>0</v>
      </c>
      <c r="J67" s="76">
        <f t="shared" si="2"/>
        <v>0</v>
      </c>
      <c r="K67" s="69">
        <f>SUMIF('SIGAF DIC 20'!$B$2:$B$849,$A67,'SIGAF DIC 20'!$K$2:$K$849)</f>
        <v>38315807</v>
      </c>
      <c r="L67" s="77">
        <f t="shared" si="3"/>
        <v>0.83609887514719794</v>
      </c>
      <c r="M67" s="69">
        <f>SUMIF('SIGAF DIC 20'!$B$2:$B$849,$A67,'SIGAF DIC 20'!$M$2:$M$849)</f>
        <v>38315807</v>
      </c>
      <c r="N67" s="76">
        <f t="shared" si="4"/>
        <v>0.83609887514719794</v>
      </c>
      <c r="O67" s="68">
        <f>SUMIF('SIGAF DIC 20'!$B$2:$B$849,$A67,'SIGAF DIC 20'!$O$2:$O$849)</f>
        <v>7511078</v>
      </c>
      <c r="P67" s="76">
        <f t="shared" si="5"/>
        <v>0.163901124852802</v>
      </c>
      <c r="Q67" s="69">
        <f>SUMIF('SIGAF DIC 20'!$B$2:$B$849,$A67,'SIGAF DIC 20'!$Q$2:$Q$849)</f>
        <v>7511078</v>
      </c>
      <c r="R67" s="76">
        <f t="shared" si="6"/>
        <v>0.163901124852802</v>
      </c>
    </row>
    <row r="68" spans="1:18" x14ac:dyDescent="0.25">
      <c r="A68" s="66" t="s">
        <v>461</v>
      </c>
      <c r="B68" s="66" t="s">
        <v>452</v>
      </c>
      <c r="C68" s="69">
        <f>SUMIF('SIGAF DIC 20'!$B$2:$B$849,$A68,'SIGAF DIC 20'!$F$2:$F$849)</f>
        <v>11152081</v>
      </c>
      <c r="D68" s="69">
        <f>SUMIF('SIGAF DIC 20'!$B$2:$B$849,$A68,'SIGAF DIC 20'!$G$2:$G$849)</f>
        <v>11152081</v>
      </c>
      <c r="E68" s="69">
        <f>SUMIF('SIGAF DIC 20'!$B$2:$B$849,$A68,'SIGAF DIC 20'!$H$2:$H$849)</f>
        <v>0</v>
      </c>
      <c r="F68" s="76">
        <f t="shared" si="0"/>
        <v>0</v>
      </c>
      <c r="G68" s="69">
        <f>SUMIF('SIGAF DIC 20'!$B$2:$B$849,$A68,'SIGAF DIC 20'!$I$2:$I$849)</f>
        <v>0</v>
      </c>
      <c r="H68" s="76">
        <f t="shared" si="1"/>
        <v>0</v>
      </c>
      <c r="I68" s="69">
        <f>SUMIF('SIGAF DIC 20'!$B$2:$B$849,$A68,'SIGAF DIC 20'!$J$2:$J$849)</f>
        <v>0</v>
      </c>
      <c r="J68" s="76">
        <f t="shared" si="2"/>
        <v>0</v>
      </c>
      <c r="K68" s="69">
        <f>SUMIF('SIGAF DIC 20'!$B$2:$B$849,$A68,'SIGAF DIC 20'!$K$2:$K$849)</f>
        <v>9633963</v>
      </c>
      <c r="L68" s="77">
        <f t="shared" si="3"/>
        <v>0.86387132589872684</v>
      </c>
      <c r="M68" s="69">
        <f>SUMIF('SIGAF DIC 20'!$B$2:$B$849,$A68,'SIGAF DIC 20'!$M$2:$M$849)</f>
        <v>9633963</v>
      </c>
      <c r="N68" s="76">
        <f t="shared" si="4"/>
        <v>0.86387132589872684</v>
      </c>
      <c r="O68" s="68">
        <f>SUMIF('SIGAF DIC 20'!$B$2:$B$849,$A68,'SIGAF DIC 20'!$O$2:$O$849)</f>
        <v>1518118</v>
      </c>
      <c r="P68" s="76">
        <f t="shared" si="5"/>
        <v>0.13612867410127311</v>
      </c>
      <c r="Q68" s="69">
        <f>SUMIF('SIGAF DIC 20'!$B$2:$B$849,$A68,'SIGAF DIC 20'!$Q$2:$Q$849)</f>
        <v>1518118</v>
      </c>
      <c r="R68" s="76">
        <f t="shared" si="6"/>
        <v>0.13612867410127311</v>
      </c>
    </row>
    <row r="69" spans="1:18" x14ac:dyDescent="0.25">
      <c r="A69" s="66" t="s">
        <v>462</v>
      </c>
      <c r="B69" s="66" t="s">
        <v>452</v>
      </c>
      <c r="C69" s="69">
        <f>SUMIF('SIGAF DIC 20'!$B$2:$B$849,$A69,'SIGAF DIC 20'!$F$2:$F$849)</f>
        <v>44504058</v>
      </c>
      <c r="D69" s="69">
        <f>SUMIF('SIGAF DIC 20'!$B$2:$B$849,$A69,'SIGAF DIC 20'!$G$2:$G$849)</f>
        <v>44504058</v>
      </c>
      <c r="E69" s="69">
        <f>SUMIF('SIGAF DIC 20'!$B$2:$B$849,$A69,'SIGAF DIC 20'!$H$2:$H$849)</f>
        <v>0</v>
      </c>
      <c r="F69" s="76">
        <f t="shared" si="0"/>
        <v>0</v>
      </c>
      <c r="G69" s="69">
        <f>SUMIF('SIGAF DIC 20'!$B$2:$B$849,$A69,'SIGAF DIC 20'!$I$2:$I$849)</f>
        <v>0</v>
      </c>
      <c r="H69" s="76">
        <f t="shared" si="1"/>
        <v>0</v>
      </c>
      <c r="I69" s="69">
        <f>SUMIF('SIGAF DIC 20'!$B$2:$B$849,$A69,'SIGAF DIC 20'!$J$2:$J$849)</f>
        <v>0</v>
      </c>
      <c r="J69" s="76">
        <f t="shared" si="2"/>
        <v>0</v>
      </c>
      <c r="K69" s="69">
        <f>SUMIF('SIGAF DIC 20'!$B$2:$B$849,$A69,'SIGAF DIC 20'!$K$2:$K$849)</f>
        <v>40326341</v>
      </c>
      <c r="L69" s="77">
        <f t="shared" si="3"/>
        <v>0.90612727944943805</v>
      </c>
      <c r="M69" s="69">
        <f>SUMIF('SIGAF DIC 20'!$B$2:$B$849,$A69,'SIGAF DIC 20'!$M$2:$M$849)</f>
        <v>40326341</v>
      </c>
      <c r="N69" s="76">
        <f t="shared" si="4"/>
        <v>0.90612727944943805</v>
      </c>
      <c r="O69" s="68">
        <f>SUMIF('SIGAF DIC 20'!$B$2:$B$849,$A69,'SIGAF DIC 20'!$O$2:$O$849)</f>
        <v>4177717</v>
      </c>
      <c r="P69" s="76">
        <f t="shared" si="5"/>
        <v>9.3872720550561922E-2</v>
      </c>
      <c r="Q69" s="69">
        <f>SUMIF('SIGAF DIC 20'!$B$2:$B$849,$A69,'SIGAF DIC 20'!$Q$2:$Q$849)</f>
        <v>4177717</v>
      </c>
      <c r="R69" s="76">
        <f t="shared" si="6"/>
        <v>9.3872720550561922E-2</v>
      </c>
    </row>
    <row r="70" spans="1:18" x14ac:dyDescent="0.25">
      <c r="A70" s="66" t="s">
        <v>463</v>
      </c>
      <c r="B70" s="66" t="s">
        <v>452</v>
      </c>
      <c r="C70" s="69">
        <f>SUMIF('SIGAF DIC 20'!$B$2:$B$849,$A70,'SIGAF DIC 20'!$F$2:$F$849)</f>
        <v>304888065</v>
      </c>
      <c r="D70" s="69">
        <f>SUMIF('SIGAF DIC 20'!$B$2:$B$849,$A70,'SIGAF DIC 20'!$G$2:$G$849)</f>
        <v>304888065</v>
      </c>
      <c r="E70" s="69">
        <f>SUMIF('SIGAF DIC 20'!$B$2:$B$849,$A70,'SIGAF DIC 20'!$H$2:$H$849)</f>
        <v>0</v>
      </c>
      <c r="F70" s="76">
        <f t="shared" si="0"/>
        <v>0</v>
      </c>
      <c r="G70" s="69">
        <f>SUMIF('SIGAF DIC 20'!$B$2:$B$849,$A70,'SIGAF DIC 20'!$I$2:$I$849)</f>
        <v>0</v>
      </c>
      <c r="H70" s="76">
        <f t="shared" si="1"/>
        <v>0</v>
      </c>
      <c r="I70" s="69">
        <f>SUMIF('SIGAF DIC 20'!$B$2:$B$849,$A70,'SIGAF DIC 20'!$J$2:$J$849)</f>
        <v>0</v>
      </c>
      <c r="J70" s="76">
        <f t="shared" si="2"/>
        <v>0</v>
      </c>
      <c r="K70" s="69">
        <f>SUMIF('SIGAF DIC 20'!$B$2:$B$849,$A70,'SIGAF DIC 20'!$K$2:$K$849)</f>
        <v>284646154.22000003</v>
      </c>
      <c r="L70" s="77">
        <f t="shared" si="3"/>
        <v>0.93360871380780364</v>
      </c>
      <c r="M70" s="69">
        <f>SUMIF('SIGAF DIC 20'!$B$2:$B$849,$A70,'SIGAF DIC 20'!$M$2:$M$849)</f>
        <v>284646154.22000003</v>
      </c>
      <c r="N70" s="76">
        <f t="shared" si="4"/>
        <v>0.93360871380780364</v>
      </c>
      <c r="O70" s="68">
        <f>SUMIF('SIGAF DIC 20'!$B$2:$B$849,$A70,'SIGAF DIC 20'!$O$2:$O$849)</f>
        <v>20241910.780000001</v>
      </c>
      <c r="P70" s="76">
        <f t="shared" si="5"/>
        <v>6.6391286192196475E-2</v>
      </c>
      <c r="Q70" s="69">
        <f>SUMIF('SIGAF DIC 20'!$B$2:$B$849,$A70,'SIGAF DIC 20'!$Q$2:$Q$849)</f>
        <v>20241910.780000001</v>
      </c>
      <c r="R70" s="76">
        <f t="shared" si="6"/>
        <v>6.6391286192196475E-2</v>
      </c>
    </row>
    <row r="71" spans="1:18" x14ac:dyDescent="0.25">
      <c r="A71" s="66" t="s">
        <v>464</v>
      </c>
      <c r="B71" s="66" t="s">
        <v>452</v>
      </c>
      <c r="C71" s="69">
        <f>SUMIF('SIGAF DIC 20'!$B$2:$B$849,$A71,'SIGAF DIC 20'!$F$2:$F$849)</f>
        <v>36112821</v>
      </c>
      <c r="D71" s="69">
        <f>SUMIF('SIGAF DIC 20'!$B$2:$B$849,$A71,'SIGAF DIC 20'!$G$2:$G$849)</f>
        <v>36112821</v>
      </c>
      <c r="E71" s="69">
        <f>SUMIF('SIGAF DIC 20'!$B$2:$B$849,$A71,'SIGAF DIC 20'!$H$2:$H$849)</f>
        <v>0</v>
      </c>
      <c r="F71" s="76">
        <f t="shared" si="0"/>
        <v>0</v>
      </c>
      <c r="G71" s="69">
        <f>SUMIF('SIGAF DIC 20'!$B$2:$B$849,$A71,'SIGAF DIC 20'!$I$2:$I$849)</f>
        <v>0</v>
      </c>
      <c r="H71" s="76">
        <f t="shared" si="1"/>
        <v>0</v>
      </c>
      <c r="I71" s="69">
        <f>SUMIF('SIGAF DIC 20'!$B$2:$B$849,$A71,'SIGAF DIC 20'!$J$2:$J$849)</f>
        <v>0</v>
      </c>
      <c r="J71" s="76">
        <f t="shared" si="2"/>
        <v>0</v>
      </c>
      <c r="K71" s="69">
        <f>SUMIF('SIGAF DIC 20'!$B$2:$B$849,$A71,'SIGAF DIC 20'!$K$2:$K$849)</f>
        <v>35601512.259999998</v>
      </c>
      <c r="L71" s="77">
        <f t="shared" si="3"/>
        <v>0.98584135146905305</v>
      </c>
      <c r="M71" s="69">
        <f>SUMIF('SIGAF DIC 20'!$B$2:$B$849,$A71,'SIGAF DIC 20'!$M$2:$M$849)</f>
        <v>35601512.259999998</v>
      </c>
      <c r="N71" s="76">
        <f t="shared" si="4"/>
        <v>0.98584135146905305</v>
      </c>
      <c r="O71" s="68">
        <f>SUMIF('SIGAF DIC 20'!$B$2:$B$849,$A71,'SIGAF DIC 20'!$O$2:$O$849)</f>
        <v>511308.74</v>
      </c>
      <c r="P71" s="76">
        <f t="shared" si="5"/>
        <v>1.4158648530946946E-2</v>
      </c>
      <c r="Q71" s="69">
        <f>SUMIF('SIGAF DIC 20'!$B$2:$B$849,$A71,'SIGAF DIC 20'!$Q$2:$Q$849)</f>
        <v>511308.74</v>
      </c>
      <c r="R71" s="76">
        <f t="shared" si="6"/>
        <v>1.4158648530946946E-2</v>
      </c>
    </row>
    <row r="72" spans="1:18" x14ac:dyDescent="0.25">
      <c r="A72" s="66" t="s">
        <v>465</v>
      </c>
      <c r="B72" s="66" t="s">
        <v>452</v>
      </c>
      <c r="C72" s="69">
        <f>SUMIF('SIGAF DIC 20'!$B$2:$B$849,$A72,'SIGAF DIC 20'!$F$2:$F$849)</f>
        <v>475557312</v>
      </c>
      <c r="D72" s="69">
        <f>SUMIF('SIGAF DIC 20'!$B$2:$B$849,$A72,'SIGAF DIC 20'!$G$2:$G$849)</f>
        <v>475557312</v>
      </c>
      <c r="E72" s="69">
        <f>SUMIF('SIGAF DIC 20'!$B$2:$B$849,$A72,'SIGAF DIC 20'!$H$2:$H$849)</f>
        <v>0</v>
      </c>
      <c r="F72" s="76">
        <f t="shared" si="0"/>
        <v>0</v>
      </c>
      <c r="G72" s="69">
        <f>SUMIF('SIGAF DIC 20'!$B$2:$B$849,$A72,'SIGAF DIC 20'!$I$2:$I$849)</f>
        <v>0</v>
      </c>
      <c r="H72" s="76">
        <f t="shared" si="1"/>
        <v>0</v>
      </c>
      <c r="I72" s="69">
        <f>SUMIF('SIGAF DIC 20'!$B$2:$B$849,$A72,'SIGAF DIC 20'!$J$2:$J$849)</f>
        <v>0</v>
      </c>
      <c r="J72" s="76">
        <f t="shared" si="2"/>
        <v>0</v>
      </c>
      <c r="K72" s="69">
        <f>SUMIF('SIGAF DIC 20'!$B$2:$B$849,$A72,'SIGAF DIC 20'!$K$2:$K$849)</f>
        <v>430144315</v>
      </c>
      <c r="L72" s="77">
        <f t="shared" si="3"/>
        <v>0.90450573284424651</v>
      </c>
      <c r="M72" s="69">
        <f>SUMIF('SIGAF DIC 20'!$B$2:$B$849,$A72,'SIGAF DIC 20'!$M$2:$M$849)</f>
        <v>430144315</v>
      </c>
      <c r="N72" s="76">
        <f t="shared" si="4"/>
        <v>0.90450573284424651</v>
      </c>
      <c r="O72" s="68">
        <f>SUMIF('SIGAF DIC 20'!$B$2:$B$849,$A72,'SIGAF DIC 20'!$O$2:$O$849)</f>
        <v>45412997</v>
      </c>
      <c r="P72" s="76">
        <f t="shared" si="5"/>
        <v>9.5494267155753459E-2</v>
      </c>
      <c r="Q72" s="69">
        <f>SUMIF('SIGAF DIC 20'!$B$2:$B$849,$A72,'SIGAF DIC 20'!$Q$2:$Q$849)</f>
        <v>45412997</v>
      </c>
      <c r="R72" s="76">
        <f t="shared" si="6"/>
        <v>9.5494267155753459E-2</v>
      </c>
    </row>
    <row r="73" spans="1:18" s="82" customFormat="1" x14ac:dyDescent="0.25">
      <c r="A73" s="78" t="s">
        <v>466</v>
      </c>
      <c r="B73" s="78" t="s">
        <v>467</v>
      </c>
      <c r="C73" s="79">
        <f>SUM(C74:C87)</f>
        <v>1297482454</v>
      </c>
      <c r="D73" s="79">
        <f>SUM(D74:D87)</f>
        <v>1297482454</v>
      </c>
      <c r="E73" s="79">
        <f>SUM(E74:E87)</f>
        <v>0</v>
      </c>
      <c r="F73" s="80">
        <f t="shared" si="0"/>
        <v>0</v>
      </c>
      <c r="G73" s="79">
        <f>SUM(G74:G87)</f>
        <v>0</v>
      </c>
      <c r="H73" s="80">
        <f t="shared" si="1"/>
        <v>0</v>
      </c>
      <c r="I73" s="79">
        <f>SUM(I74:I87)</f>
        <v>0</v>
      </c>
      <c r="J73" s="80">
        <f t="shared" si="2"/>
        <v>0</v>
      </c>
      <c r="K73" s="79">
        <f>SUM(K74:K87)</f>
        <v>1206406035.0699999</v>
      </c>
      <c r="L73" s="81">
        <f t="shared" si="3"/>
        <v>0.92980527894676246</v>
      </c>
      <c r="M73" s="79">
        <f>SUM(M74:M87)</f>
        <v>1206406035.0699999</v>
      </c>
      <c r="N73" s="80">
        <f t="shared" si="4"/>
        <v>0.92980527894676246</v>
      </c>
      <c r="O73" s="79">
        <f>SUM(O74:O87)</f>
        <v>91076418.930000007</v>
      </c>
      <c r="P73" s="80">
        <f t="shared" si="5"/>
        <v>7.0194721053237458E-2</v>
      </c>
      <c r="Q73" s="79">
        <f>SUM(Q74:Q87)</f>
        <v>91076418.930000007</v>
      </c>
      <c r="R73" s="80">
        <f t="shared" si="6"/>
        <v>7.0194721053237458E-2</v>
      </c>
    </row>
    <row r="74" spans="1:18" x14ac:dyDescent="0.25">
      <c r="A74" s="66" t="s">
        <v>468</v>
      </c>
      <c r="B74" s="66" t="s">
        <v>469</v>
      </c>
      <c r="C74" s="69">
        <f>SUMIF('SIGAF DIC 20'!$B$2:$B$849,$A74,'SIGAF DIC 20'!$F$2:$F$849)</f>
        <v>24201312</v>
      </c>
      <c r="D74" s="69">
        <f>SUMIF('SIGAF DIC 20'!$B$2:$B$849,$A74,'SIGAF DIC 20'!$G$2:$G$849)</f>
        <v>24201312</v>
      </c>
      <c r="E74" s="69">
        <f>SUMIF('SIGAF DIC 20'!$B$2:$B$849,$A74,'SIGAF DIC 20'!$H$2:$H$849)</f>
        <v>0</v>
      </c>
      <c r="F74" s="76">
        <f t="shared" si="0"/>
        <v>0</v>
      </c>
      <c r="G74" s="69">
        <f>SUMIF('SIGAF DIC 20'!$B$2:$B$849,$A74,'SIGAF DIC 20'!$I$2:$I$849)</f>
        <v>0</v>
      </c>
      <c r="H74" s="76">
        <f t="shared" si="1"/>
        <v>0</v>
      </c>
      <c r="I74" s="69">
        <f>SUMIF('SIGAF DIC 20'!$B$2:$B$849,$A74,'SIGAF DIC 20'!$J$2:$J$849)</f>
        <v>0</v>
      </c>
      <c r="J74" s="76">
        <f t="shared" si="2"/>
        <v>0</v>
      </c>
      <c r="K74" s="69">
        <f>SUMIF('SIGAF DIC 20'!$B$2:$B$849,$A74,'SIGAF DIC 20'!$K$2:$K$849)</f>
        <v>19235760</v>
      </c>
      <c r="L74" s="77">
        <f t="shared" si="3"/>
        <v>0.79482302447073949</v>
      </c>
      <c r="M74" s="69">
        <f>SUMIF('SIGAF DIC 20'!$B$2:$B$849,$A74,'SIGAF DIC 20'!$M$2:$M$849)</f>
        <v>19235760</v>
      </c>
      <c r="N74" s="76">
        <f t="shared" si="4"/>
        <v>0.79482302447073949</v>
      </c>
      <c r="O74" s="68">
        <f>SUMIF('SIGAF DIC 20'!$B$2:$B$849,$A74,'SIGAF DIC 20'!$O$2:$O$849)</f>
        <v>4965552</v>
      </c>
      <c r="P74" s="76">
        <f t="shared" si="5"/>
        <v>0.20517697552926056</v>
      </c>
      <c r="Q74" s="69">
        <f>SUMIF('SIGAF DIC 20'!$B$2:$B$849,$A74,'SIGAF DIC 20'!$Q$2:$Q$849)</f>
        <v>4965552</v>
      </c>
      <c r="R74" s="76">
        <f t="shared" si="6"/>
        <v>0.20517697552926056</v>
      </c>
    </row>
    <row r="75" spans="1:18" x14ac:dyDescent="0.25">
      <c r="A75" s="66" t="s">
        <v>470</v>
      </c>
      <c r="B75" s="66" t="s">
        <v>469</v>
      </c>
      <c r="C75" s="69">
        <f>SUMIF('SIGAF DIC 20'!$B$2:$B$849,$A75,'SIGAF DIC 20'!$F$2:$F$849)</f>
        <v>37661103</v>
      </c>
      <c r="D75" s="69">
        <f>SUMIF('SIGAF DIC 20'!$B$2:$B$849,$A75,'SIGAF DIC 20'!$G$2:$G$849)</f>
        <v>37661103</v>
      </c>
      <c r="E75" s="69">
        <f>SUMIF('SIGAF DIC 20'!$B$2:$B$849,$A75,'SIGAF DIC 20'!$H$2:$H$849)</f>
        <v>0</v>
      </c>
      <c r="F75" s="76">
        <f t="shared" si="0"/>
        <v>0</v>
      </c>
      <c r="G75" s="69">
        <f>SUMIF('SIGAF DIC 20'!$B$2:$B$849,$A75,'SIGAF DIC 20'!$I$2:$I$849)</f>
        <v>0</v>
      </c>
      <c r="H75" s="76">
        <f t="shared" si="1"/>
        <v>0</v>
      </c>
      <c r="I75" s="69">
        <f>SUMIF('SIGAF DIC 20'!$B$2:$B$849,$A75,'SIGAF DIC 20'!$J$2:$J$849)</f>
        <v>0</v>
      </c>
      <c r="J75" s="76">
        <f t="shared" si="2"/>
        <v>0</v>
      </c>
      <c r="K75" s="69">
        <f>SUMIF('SIGAF DIC 20'!$B$2:$B$849,$A75,'SIGAF DIC 20'!$K$2:$K$849)</f>
        <v>34060283</v>
      </c>
      <c r="L75" s="77">
        <f t="shared" si="3"/>
        <v>0.90438888632656356</v>
      </c>
      <c r="M75" s="69">
        <f>SUMIF('SIGAF DIC 20'!$B$2:$B$849,$A75,'SIGAF DIC 20'!$M$2:$M$849)</f>
        <v>34060283</v>
      </c>
      <c r="N75" s="76">
        <f t="shared" si="4"/>
        <v>0.90438888632656356</v>
      </c>
      <c r="O75" s="68">
        <f>SUMIF('SIGAF DIC 20'!$B$2:$B$849,$A75,'SIGAF DIC 20'!$O$2:$O$849)</f>
        <v>3600820</v>
      </c>
      <c r="P75" s="76">
        <f t="shared" si="5"/>
        <v>9.5611113673436485E-2</v>
      </c>
      <c r="Q75" s="69">
        <f>SUMIF('SIGAF DIC 20'!$B$2:$B$849,$A75,'SIGAF DIC 20'!$Q$2:$Q$849)</f>
        <v>3600820</v>
      </c>
      <c r="R75" s="76">
        <f t="shared" si="6"/>
        <v>9.5611113673436485E-2</v>
      </c>
    </row>
    <row r="76" spans="1:18" x14ac:dyDescent="0.25">
      <c r="A76" s="66" t="s">
        <v>471</v>
      </c>
      <c r="B76" s="66" t="s">
        <v>469</v>
      </c>
      <c r="C76" s="69">
        <f>SUMIF('SIGAF DIC 20'!$B$2:$B$849,$A76,'SIGAF DIC 20'!$F$2:$F$849)</f>
        <v>19276084</v>
      </c>
      <c r="D76" s="69">
        <f>SUMIF('SIGAF DIC 20'!$B$2:$B$849,$A76,'SIGAF DIC 20'!$G$2:$G$849)</f>
        <v>19276084</v>
      </c>
      <c r="E76" s="69">
        <f>SUMIF('SIGAF DIC 20'!$B$2:$B$849,$A76,'SIGAF DIC 20'!$H$2:$H$849)</f>
        <v>0</v>
      </c>
      <c r="F76" s="76">
        <f t="shared" si="0"/>
        <v>0</v>
      </c>
      <c r="G76" s="69">
        <f>SUMIF('SIGAF DIC 20'!$B$2:$B$849,$A76,'SIGAF DIC 20'!$I$2:$I$849)</f>
        <v>0</v>
      </c>
      <c r="H76" s="76">
        <f t="shared" si="1"/>
        <v>0</v>
      </c>
      <c r="I76" s="69">
        <f>SUMIF('SIGAF DIC 20'!$B$2:$B$849,$A76,'SIGAF DIC 20'!$J$2:$J$849)</f>
        <v>0</v>
      </c>
      <c r="J76" s="76">
        <f t="shared" si="2"/>
        <v>0</v>
      </c>
      <c r="K76" s="69">
        <f>SUMIF('SIGAF DIC 20'!$B$2:$B$849,$A76,'SIGAF DIC 20'!$K$2:$K$849)</f>
        <v>15233565.4</v>
      </c>
      <c r="L76" s="77">
        <f t="shared" si="3"/>
        <v>0.79028320275010222</v>
      </c>
      <c r="M76" s="69">
        <f>SUMIF('SIGAF DIC 20'!$B$2:$B$849,$A76,'SIGAF DIC 20'!$M$2:$M$849)</f>
        <v>15233565.4</v>
      </c>
      <c r="N76" s="76">
        <f t="shared" si="4"/>
        <v>0.79028320275010222</v>
      </c>
      <c r="O76" s="68">
        <f>SUMIF('SIGAF DIC 20'!$B$2:$B$849,$A76,'SIGAF DIC 20'!$O$2:$O$849)</f>
        <v>4042518.6</v>
      </c>
      <c r="P76" s="76">
        <f t="shared" si="5"/>
        <v>0.20971679724989786</v>
      </c>
      <c r="Q76" s="69">
        <f>SUMIF('SIGAF DIC 20'!$B$2:$B$849,$A76,'SIGAF DIC 20'!$Q$2:$Q$849)</f>
        <v>4042518.6</v>
      </c>
      <c r="R76" s="76">
        <f t="shared" si="6"/>
        <v>0.20971679724989786</v>
      </c>
    </row>
    <row r="77" spans="1:18" x14ac:dyDescent="0.25">
      <c r="A77" s="66" t="s">
        <v>472</v>
      </c>
      <c r="B77" s="66" t="s">
        <v>469</v>
      </c>
      <c r="C77" s="69">
        <f>SUMIF('SIGAF DIC 20'!$B$2:$B$849,$A77,'SIGAF DIC 20'!$F$2:$F$849)</f>
        <v>652074317</v>
      </c>
      <c r="D77" s="69">
        <f>SUMIF('SIGAF DIC 20'!$B$2:$B$849,$A77,'SIGAF DIC 20'!$G$2:$G$849)</f>
        <v>652074317</v>
      </c>
      <c r="E77" s="69">
        <f>SUMIF('SIGAF DIC 20'!$B$2:$B$849,$A77,'SIGAF DIC 20'!$H$2:$H$849)</f>
        <v>0</v>
      </c>
      <c r="F77" s="76">
        <f t="shared" si="0"/>
        <v>0</v>
      </c>
      <c r="G77" s="69">
        <f>SUMIF('SIGAF DIC 20'!$B$2:$B$849,$A77,'SIGAF DIC 20'!$I$2:$I$849)</f>
        <v>0</v>
      </c>
      <c r="H77" s="76">
        <f t="shared" si="1"/>
        <v>0</v>
      </c>
      <c r="I77" s="69">
        <f>SUMIF('SIGAF DIC 20'!$B$2:$B$849,$A77,'SIGAF DIC 20'!$J$2:$J$849)</f>
        <v>0</v>
      </c>
      <c r="J77" s="76">
        <f t="shared" si="2"/>
        <v>0</v>
      </c>
      <c r="K77" s="69">
        <f>SUMIF('SIGAF DIC 20'!$B$2:$B$849,$A77,'SIGAF DIC 20'!$K$2:$K$849)</f>
        <v>637662710</v>
      </c>
      <c r="L77" s="77">
        <f t="shared" si="3"/>
        <v>0.97789882744300749</v>
      </c>
      <c r="M77" s="69">
        <f>SUMIF('SIGAF DIC 20'!$B$2:$B$849,$A77,'SIGAF DIC 20'!$M$2:$M$849)</f>
        <v>637662710</v>
      </c>
      <c r="N77" s="76">
        <f t="shared" si="4"/>
        <v>0.97789882744300749</v>
      </c>
      <c r="O77" s="68">
        <f>SUMIF('SIGAF DIC 20'!$B$2:$B$849,$A77,'SIGAF DIC 20'!$O$2:$O$849)</f>
        <v>14411607</v>
      </c>
      <c r="P77" s="76">
        <f t="shared" si="5"/>
        <v>2.2101172556992458E-2</v>
      </c>
      <c r="Q77" s="69">
        <f>SUMIF('SIGAF DIC 20'!$B$2:$B$849,$A77,'SIGAF DIC 20'!$Q$2:$Q$849)</f>
        <v>14411607</v>
      </c>
      <c r="R77" s="76">
        <f t="shared" si="6"/>
        <v>2.2101172556992458E-2</v>
      </c>
    </row>
    <row r="78" spans="1:18" x14ac:dyDescent="0.25">
      <c r="A78" s="66" t="s">
        <v>473</v>
      </c>
      <c r="B78" s="66" t="s">
        <v>469</v>
      </c>
      <c r="C78" s="69">
        <f>SUMIF('SIGAF DIC 20'!$B$2:$B$849,$A78,'SIGAF DIC 20'!$F$2:$F$849)</f>
        <v>183049583</v>
      </c>
      <c r="D78" s="69">
        <f>SUMIF('SIGAF DIC 20'!$B$2:$B$849,$A78,'SIGAF DIC 20'!$G$2:$G$849)</f>
        <v>183049583</v>
      </c>
      <c r="E78" s="69">
        <f>SUMIF('SIGAF DIC 20'!$B$2:$B$849,$A78,'SIGAF DIC 20'!$H$2:$H$849)</f>
        <v>0</v>
      </c>
      <c r="F78" s="76">
        <f t="shared" si="0"/>
        <v>0</v>
      </c>
      <c r="G78" s="69">
        <f>SUMIF('SIGAF DIC 20'!$B$2:$B$849,$A78,'SIGAF DIC 20'!$I$2:$I$849)</f>
        <v>0</v>
      </c>
      <c r="H78" s="76">
        <f t="shared" si="1"/>
        <v>0</v>
      </c>
      <c r="I78" s="69">
        <f>SUMIF('SIGAF DIC 20'!$B$2:$B$849,$A78,'SIGAF DIC 20'!$J$2:$J$849)</f>
        <v>0</v>
      </c>
      <c r="J78" s="76">
        <f t="shared" si="2"/>
        <v>0</v>
      </c>
      <c r="K78" s="69">
        <f>SUMIF('SIGAF DIC 20'!$B$2:$B$849,$A78,'SIGAF DIC 20'!$K$2:$K$849)</f>
        <v>156140537</v>
      </c>
      <c r="L78" s="77">
        <f t="shared" si="3"/>
        <v>0.85299586287503315</v>
      </c>
      <c r="M78" s="69">
        <f>SUMIF('SIGAF DIC 20'!$B$2:$B$849,$A78,'SIGAF DIC 20'!$M$2:$M$849)</f>
        <v>156140537</v>
      </c>
      <c r="N78" s="76">
        <f t="shared" si="4"/>
        <v>0.85299586287503315</v>
      </c>
      <c r="O78" s="68">
        <f>SUMIF('SIGAF DIC 20'!$B$2:$B$849,$A78,'SIGAF DIC 20'!$O$2:$O$849)</f>
        <v>26909046</v>
      </c>
      <c r="P78" s="76">
        <f t="shared" si="5"/>
        <v>0.14700413712496685</v>
      </c>
      <c r="Q78" s="69">
        <f>SUMIF('SIGAF DIC 20'!$B$2:$B$849,$A78,'SIGAF DIC 20'!$Q$2:$Q$849)</f>
        <v>26909046</v>
      </c>
      <c r="R78" s="76">
        <f t="shared" si="6"/>
        <v>0.14700413712496685</v>
      </c>
    </row>
    <row r="79" spans="1:18" x14ac:dyDescent="0.25">
      <c r="A79" s="66" t="s">
        <v>474</v>
      </c>
      <c r="B79" s="66" t="s">
        <v>469</v>
      </c>
      <c r="C79" s="69">
        <f>SUMIF('SIGAF DIC 20'!$B$2:$B$849,$A79,'SIGAF DIC 20'!$F$2:$F$849)</f>
        <v>17213762</v>
      </c>
      <c r="D79" s="69">
        <f>SUMIF('SIGAF DIC 20'!$B$2:$B$849,$A79,'SIGAF DIC 20'!$G$2:$G$849)</f>
        <v>17213762</v>
      </c>
      <c r="E79" s="69">
        <f>SUMIF('SIGAF DIC 20'!$B$2:$B$849,$A79,'SIGAF DIC 20'!$H$2:$H$849)</f>
        <v>0</v>
      </c>
      <c r="F79" s="76">
        <f t="shared" si="0"/>
        <v>0</v>
      </c>
      <c r="G79" s="69">
        <f>SUMIF('SIGAF DIC 20'!$B$2:$B$849,$A79,'SIGAF DIC 20'!$I$2:$I$849)</f>
        <v>0</v>
      </c>
      <c r="H79" s="76">
        <f t="shared" si="1"/>
        <v>0</v>
      </c>
      <c r="I79" s="69">
        <f>SUMIF('SIGAF DIC 20'!$B$2:$B$849,$A79,'SIGAF DIC 20'!$J$2:$J$849)</f>
        <v>0</v>
      </c>
      <c r="J79" s="76">
        <f t="shared" si="2"/>
        <v>0</v>
      </c>
      <c r="K79" s="69">
        <f>SUMIF('SIGAF DIC 20'!$B$2:$B$849,$A79,'SIGAF DIC 20'!$K$2:$K$849)</f>
        <v>15169857</v>
      </c>
      <c r="L79" s="77">
        <f t="shared" si="3"/>
        <v>0.88126331710639427</v>
      </c>
      <c r="M79" s="69">
        <f>SUMIF('SIGAF DIC 20'!$B$2:$B$849,$A79,'SIGAF DIC 20'!$M$2:$M$849)</f>
        <v>15169857</v>
      </c>
      <c r="N79" s="76">
        <f t="shared" si="4"/>
        <v>0.88126331710639427</v>
      </c>
      <c r="O79" s="68">
        <f>SUMIF('SIGAF DIC 20'!$B$2:$B$849,$A79,'SIGAF DIC 20'!$O$2:$O$849)</f>
        <v>2043905</v>
      </c>
      <c r="P79" s="76">
        <f t="shared" si="5"/>
        <v>0.11873668289360571</v>
      </c>
      <c r="Q79" s="69">
        <f>SUMIF('SIGAF DIC 20'!$B$2:$B$849,$A79,'SIGAF DIC 20'!$Q$2:$Q$849)</f>
        <v>2043905</v>
      </c>
      <c r="R79" s="76">
        <f t="shared" si="6"/>
        <v>0.11873668289360571</v>
      </c>
    </row>
    <row r="80" spans="1:18" x14ac:dyDescent="0.25">
      <c r="A80" s="66" t="s">
        <v>475</v>
      </c>
      <c r="B80" s="66" t="s">
        <v>469</v>
      </c>
      <c r="C80" s="69">
        <f>SUMIF('SIGAF DIC 20'!$B$2:$B$849,$A80,'SIGAF DIC 20'!$F$2:$F$849)</f>
        <v>15822217</v>
      </c>
      <c r="D80" s="69">
        <f>SUMIF('SIGAF DIC 20'!$B$2:$B$849,$A80,'SIGAF DIC 20'!$G$2:$G$849)</f>
        <v>15822217</v>
      </c>
      <c r="E80" s="69">
        <f>SUMIF('SIGAF DIC 20'!$B$2:$B$849,$A80,'SIGAF DIC 20'!$H$2:$H$849)</f>
        <v>0</v>
      </c>
      <c r="F80" s="76">
        <f t="shared" si="0"/>
        <v>0</v>
      </c>
      <c r="G80" s="69">
        <f>SUMIF('SIGAF DIC 20'!$B$2:$B$849,$A80,'SIGAF DIC 20'!$I$2:$I$849)</f>
        <v>0</v>
      </c>
      <c r="H80" s="76">
        <f t="shared" si="1"/>
        <v>0</v>
      </c>
      <c r="I80" s="69">
        <f>SUMIF('SIGAF DIC 20'!$B$2:$B$849,$A80,'SIGAF DIC 20'!$J$2:$J$849)</f>
        <v>0</v>
      </c>
      <c r="J80" s="76">
        <f t="shared" si="2"/>
        <v>0</v>
      </c>
      <c r="K80" s="69">
        <f>SUMIF('SIGAF DIC 20'!$B$2:$B$849,$A80,'SIGAF DIC 20'!$K$2:$K$849)</f>
        <v>13372230</v>
      </c>
      <c r="L80" s="77">
        <f t="shared" si="3"/>
        <v>0.84515526490377424</v>
      </c>
      <c r="M80" s="69">
        <f>SUMIF('SIGAF DIC 20'!$B$2:$B$849,$A80,'SIGAF DIC 20'!$M$2:$M$849)</f>
        <v>13372230</v>
      </c>
      <c r="N80" s="76">
        <f t="shared" si="4"/>
        <v>0.84515526490377424</v>
      </c>
      <c r="O80" s="68">
        <f>SUMIF('SIGAF DIC 20'!$B$2:$B$849,$A80,'SIGAF DIC 20'!$O$2:$O$849)</f>
        <v>2449987</v>
      </c>
      <c r="P80" s="76">
        <f t="shared" si="5"/>
        <v>0.15484473509622576</v>
      </c>
      <c r="Q80" s="69">
        <f>SUMIF('SIGAF DIC 20'!$B$2:$B$849,$A80,'SIGAF DIC 20'!$Q$2:$Q$849)</f>
        <v>2449987</v>
      </c>
      <c r="R80" s="76">
        <f t="shared" si="6"/>
        <v>0.15484473509622576</v>
      </c>
    </row>
    <row r="81" spans="1:18" x14ac:dyDescent="0.25">
      <c r="A81" s="66" t="s">
        <v>476</v>
      </c>
      <c r="B81" s="66" t="s">
        <v>469</v>
      </c>
      <c r="C81" s="69">
        <f>SUMIF('SIGAF DIC 20'!$B$2:$B$849,$A81,'SIGAF DIC 20'!$F$2:$F$849)</f>
        <v>25795201</v>
      </c>
      <c r="D81" s="69">
        <f>SUMIF('SIGAF DIC 20'!$B$2:$B$849,$A81,'SIGAF DIC 20'!$G$2:$G$849)</f>
        <v>25795201</v>
      </c>
      <c r="E81" s="69">
        <f>SUMIF('SIGAF DIC 20'!$B$2:$B$849,$A81,'SIGAF DIC 20'!$H$2:$H$849)</f>
        <v>0</v>
      </c>
      <c r="F81" s="76">
        <f t="shared" si="0"/>
        <v>0</v>
      </c>
      <c r="G81" s="69">
        <f>SUMIF('SIGAF DIC 20'!$B$2:$B$849,$A81,'SIGAF DIC 20'!$I$2:$I$849)</f>
        <v>0</v>
      </c>
      <c r="H81" s="76">
        <f t="shared" si="1"/>
        <v>0</v>
      </c>
      <c r="I81" s="69">
        <f>SUMIF('SIGAF DIC 20'!$B$2:$B$849,$A81,'SIGAF DIC 20'!$J$2:$J$849)</f>
        <v>0</v>
      </c>
      <c r="J81" s="76">
        <f t="shared" si="2"/>
        <v>0</v>
      </c>
      <c r="K81" s="69">
        <f>SUMIF('SIGAF DIC 20'!$B$2:$B$849,$A81,'SIGAF DIC 20'!$K$2:$K$849)</f>
        <v>22552541</v>
      </c>
      <c r="L81" s="77">
        <f t="shared" si="3"/>
        <v>0.87429212123603917</v>
      </c>
      <c r="M81" s="69">
        <f>SUMIF('SIGAF DIC 20'!$B$2:$B$849,$A81,'SIGAF DIC 20'!$M$2:$M$849)</f>
        <v>22552541</v>
      </c>
      <c r="N81" s="76">
        <f t="shared" si="4"/>
        <v>0.87429212123603917</v>
      </c>
      <c r="O81" s="68">
        <f>SUMIF('SIGAF DIC 20'!$B$2:$B$849,$A81,'SIGAF DIC 20'!$O$2:$O$849)</f>
        <v>3242660</v>
      </c>
      <c r="P81" s="76">
        <f t="shared" si="5"/>
        <v>0.12570787876396078</v>
      </c>
      <c r="Q81" s="69">
        <f>SUMIF('SIGAF DIC 20'!$B$2:$B$849,$A81,'SIGAF DIC 20'!$Q$2:$Q$849)</f>
        <v>3242660</v>
      </c>
      <c r="R81" s="76">
        <f t="shared" si="6"/>
        <v>0.12570787876396078</v>
      </c>
    </row>
    <row r="82" spans="1:18" x14ac:dyDescent="0.25">
      <c r="A82" s="66" t="s">
        <v>477</v>
      </c>
      <c r="B82" s="66" t="s">
        <v>469</v>
      </c>
      <c r="C82" s="69">
        <f>SUMIF('SIGAF DIC 20'!$B$2:$B$849,$A82,'SIGAF DIC 20'!$F$2:$F$849)</f>
        <v>15293325</v>
      </c>
      <c r="D82" s="69">
        <f>SUMIF('SIGAF DIC 20'!$B$2:$B$849,$A82,'SIGAF DIC 20'!$G$2:$G$849)</f>
        <v>15293325</v>
      </c>
      <c r="E82" s="69">
        <f>SUMIF('SIGAF DIC 20'!$B$2:$B$849,$A82,'SIGAF DIC 20'!$H$2:$H$849)</f>
        <v>0</v>
      </c>
      <c r="F82" s="76">
        <f t="shared" si="0"/>
        <v>0</v>
      </c>
      <c r="G82" s="69">
        <f>SUMIF('SIGAF DIC 20'!$B$2:$B$849,$A82,'SIGAF DIC 20'!$I$2:$I$849)</f>
        <v>0</v>
      </c>
      <c r="H82" s="76">
        <f t="shared" si="1"/>
        <v>0</v>
      </c>
      <c r="I82" s="69">
        <f>SUMIF('SIGAF DIC 20'!$B$2:$B$849,$A82,'SIGAF DIC 20'!$J$2:$J$849)</f>
        <v>0</v>
      </c>
      <c r="J82" s="76">
        <f t="shared" si="2"/>
        <v>0</v>
      </c>
      <c r="K82" s="69">
        <f>SUMIF('SIGAF DIC 20'!$B$2:$B$849,$A82,'SIGAF DIC 20'!$K$2:$K$849)</f>
        <v>12841990</v>
      </c>
      <c r="L82" s="77">
        <f t="shared" si="3"/>
        <v>0.83971209661731505</v>
      </c>
      <c r="M82" s="69">
        <f>SUMIF('SIGAF DIC 20'!$B$2:$B$849,$A82,'SIGAF DIC 20'!$M$2:$M$849)</f>
        <v>12841990</v>
      </c>
      <c r="N82" s="76">
        <f t="shared" si="4"/>
        <v>0.83971209661731505</v>
      </c>
      <c r="O82" s="68">
        <f>SUMIF('SIGAF DIC 20'!$B$2:$B$849,$A82,'SIGAF DIC 20'!$O$2:$O$849)</f>
        <v>2451335</v>
      </c>
      <c r="P82" s="76">
        <f t="shared" si="5"/>
        <v>0.16028790338268492</v>
      </c>
      <c r="Q82" s="69">
        <f>SUMIF('SIGAF DIC 20'!$B$2:$B$849,$A82,'SIGAF DIC 20'!$Q$2:$Q$849)</f>
        <v>2451335</v>
      </c>
      <c r="R82" s="76">
        <f t="shared" si="6"/>
        <v>0.16028790338268492</v>
      </c>
    </row>
    <row r="83" spans="1:18" x14ac:dyDescent="0.25">
      <c r="A83" s="66" t="s">
        <v>478</v>
      </c>
      <c r="B83" s="66" t="s">
        <v>469</v>
      </c>
      <c r="C83" s="69">
        <f>SUMIF('SIGAF DIC 20'!$B$2:$B$849,$A83,'SIGAF DIC 20'!$F$2:$F$849)</f>
        <v>3786238</v>
      </c>
      <c r="D83" s="69">
        <f>SUMIF('SIGAF DIC 20'!$B$2:$B$849,$A83,'SIGAF DIC 20'!$G$2:$G$849)</f>
        <v>3786238</v>
      </c>
      <c r="E83" s="69">
        <f>SUMIF('SIGAF DIC 20'!$B$2:$B$849,$A83,'SIGAF DIC 20'!$H$2:$H$849)</f>
        <v>0</v>
      </c>
      <c r="F83" s="76">
        <f t="shared" si="0"/>
        <v>0</v>
      </c>
      <c r="G83" s="69">
        <f>SUMIF('SIGAF DIC 20'!$B$2:$B$849,$A83,'SIGAF DIC 20'!$I$2:$I$849)</f>
        <v>0</v>
      </c>
      <c r="H83" s="76">
        <f t="shared" si="1"/>
        <v>0</v>
      </c>
      <c r="I83" s="69">
        <f>SUMIF('SIGAF DIC 20'!$B$2:$B$849,$A83,'SIGAF DIC 20'!$J$2:$J$849)</f>
        <v>0</v>
      </c>
      <c r="J83" s="76">
        <f t="shared" si="2"/>
        <v>0</v>
      </c>
      <c r="K83" s="69">
        <f>SUMIF('SIGAF DIC 20'!$B$2:$B$849,$A83,'SIGAF DIC 20'!$K$2:$K$849)</f>
        <v>3221715</v>
      </c>
      <c r="L83" s="77">
        <f t="shared" si="3"/>
        <v>0.85090134323304556</v>
      </c>
      <c r="M83" s="69">
        <f>SUMIF('SIGAF DIC 20'!$B$2:$B$849,$A83,'SIGAF DIC 20'!$M$2:$M$849)</f>
        <v>3221715</v>
      </c>
      <c r="N83" s="76">
        <f t="shared" si="4"/>
        <v>0.85090134323304556</v>
      </c>
      <c r="O83" s="68">
        <f>SUMIF('SIGAF DIC 20'!$B$2:$B$849,$A83,'SIGAF DIC 20'!$O$2:$O$849)</f>
        <v>564523</v>
      </c>
      <c r="P83" s="76">
        <f t="shared" si="5"/>
        <v>0.14909865676695444</v>
      </c>
      <c r="Q83" s="69">
        <f>SUMIF('SIGAF DIC 20'!$B$2:$B$849,$A83,'SIGAF DIC 20'!$Q$2:$Q$849)</f>
        <v>564523</v>
      </c>
      <c r="R83" s="76">
        <f t="shared" si="6"/>
        <v>0.14909865676695444</v>
      </c>
    </row>
    <row r="84" spans="1:18" x14ac:dyDescent="0.25">
      <c r="A84" s="66" t="s">
        <v>479</v>
      </c>
      <c r="B84" s="66" t="s">
        <v>469</v>
      </c>
      <c r="C84" s="69">
        <f>SUMIF('SIGAF DIC 20'!$B$2:$B$849,$A84,'SIGAF DIC 20'!$F$2:$F$849)</f>
        <v>15015374</v>
      </c>
      <c r="D84" s="69">
        <f>SUMIF('SIGAF DIC 20'!$B$2:$B$849,$A84,'SIGAF DIC 20'!$G$2:$G$849)</f>
        <v>15015374</v>
      </c>
      <c r="E84" s="69">
        <f>SUMIF('SIGAF DIC 20'!$B$2:$B$849,$A84,'SIGAF DIC 20'!$H$2:$H$849)</f>
        <v>0</v>
      </c>
      <c r="F84" s="76">
        <f t="shared" si="0"/>
        <v>0</v>
      </c>
      <c r="G84" s="69">
        <f>SUMIF('SIGAF DIC 20'!$B$2:$B$849,$A84,'SIGAF DIC 20'!$I$2:$I$849)</f>
        <v>0</v>
      </c>
      <c r="H84" s="76">
        <f t="shared" si="1"/>
        <v>0</v>
      </c>
      <c r="I84" s="69">
        <f>SUMIF('SIGAF DIC 20'!$B$2:$B$849,$A84,'SIGAF DIC 20'!$J$2:$J$849)</f>
        <v>0</v>
      </c>
      <c r="J84" s="76">
        <f t="shared" si="2"/>
        <v>0</v>
      </c>
      <c r="K84" s="69">
        <f>SUMIF('SIGAF DIC 20'!$B$2:$B$849,$A84,'SIGAF DIC 20'!$K$2:$K$849)</f>
        <v>13387855</v>
      </c>
      <c r="L84" s="77">
        <f t="shared" si="3"/>
        <v>0.89160982603563521</v>
      </c>
      <c r="M84" s="69">
        <f>SUMIF('SIGAF DIC 20'!$B$2:$B$849,$A84,'SIGAF DIC 20'!$M$2:$M$849)</f>
        <v>13387855</v>
      </c>
      <c r="N84" s="76">
        <f t="shared" si="4"/>
        <v>0.89160982603563521</v>
      </c>
      <c r="O84" s="68">
        <f>SUMIF('SIGAF DIC 20'!$B$2:$B$849,$A84,'SIGAF DIC 20'!$O$2:$O$849)</f>
        <v>1627519</v>
      </c>
      <c r="P84" s="76">
        <f t="shared" si="5"/>
        <v>0.10839017396436479</v>
      </c>
      <c r="Q84" s="69">
        <f>SUMIF('SIGAF DIC 20'!$B$2:$B$849,$A84,'SIGAF DIC 20'!$Q$2:$Q$849)</f>
        <v>1627519</v>
      </c>
      <c r="R84" s="76">
        <f t="shared" si="6"/>
        <v>0.10839017396436479</v>
      </c>
    </row>
    <row r="85" spans="1:18" x14ac:dyDescent="0.25">
      <c r="A85" s="66" t="s">
        <v>480</v>
      </c>
      <c r="B85" s="66" t="s">
        <v>469</v>
      </c>
      <c r="C85" s="69">
        <f>SUMIF('SIGAF DIC 20'!$B$2:$B$849,$A85,'SIGAF DIC 20'!$F$2:$F$849)</f>
        <v>104358804</v>
      </c>
      <c r="D85" s="69">
        <f>SUMIF('SIGAF DIC 20'!$B$2:$B$849,$A85,'SIGAF DIC 20'!$G$2:$G$849)</f>
        <v>104358804</v>
      </c>
      <c r="E85" s="69">
        <f>SUMIF('SIGAF DIC 20'!$B$2:$B$849,$A85,'SIGAF DIC 20'!$H$2:$H$849)</f>
        <v>0</v>
      </c>
      <c r="F85" s="76">
        <f t="shared" si="0"/>
        <v>0</v>
      </c>
      <c r="G85" s="69">
        <f>SUMIF('SIGAF DIC 20'!$B$2:$B$849,$A85,'SIGAF DIC 20'!$I$2:$I$849)</f>
        <v>0</v>
      </c>
      <c r="H85" s="76">
        <f t="shared" si="1"/>
        <v>0</v>
      </c>
      <c r="I85" s="69">
        <f>SUMIF('SIGAF DIC 20'!$B$2:$B$849,$A85,'SIGAF DIC 20'!$J$2:$J$849)</f>
        <v>0</v>
      </c>
      <c r="J85" s="76">
        <f t="shared" si="2"/>
        <v>0</v>
      </c>
      <c r="K85" s="69">
        <f>SUMIF('SIGAF DIC 20'!$B$2:$B$849,$A85,'SIGAF DIC 20'!$K$2:$K$849)</f>
        <v>95957274.620000005</v>
      </c>
      <c r="L85" s="77">
        <f t="shared" si="3"/>
        <v>0.91949381309506006</v>
      </c>
      <c r="M85" s="69">
        <f>SUMIF('SIGAF DIC 20'!$B$2:$B$849,$A85,'SIGAF DIC 20'!$M$2:$M$849)</f>
        <v>95957274.620000005</v>
      </c>
      <c r="N85" s="76">
        <f t="shared" si="4"/>
        <v>0.91949381309506006</v>
      </c>
      <c r="O85" s="68">
        <f>SUMIF('SIGAF DIC 20'!$B$2:$B$849,$A85,'SIGAF DIC 20'!$O$2:$O$849)</f>
        <v>8401529.3800000008</v>
      </c>
      <c r="P85" s="76">
        <f t="shared" si="5"/>
        <v>8.0506186904940005E-2</v>
      </c>
      <c r="Q85" s="69">
        <f>SUMIF('SIGAF DIC 20'!$B$2:$B$849,$A85,'SIGAF DIC 20'!$Q$2:$Q$849)</f>
        <v>8401529.3800000008</v>
      </c>
      <c r="R85" s="76">
        <f t="shared" si="6"/>
        <v>8.0506186904940005E-2</v>
      </c>
    </row>
    <row r="86" spans="1:18" x14ac:dyDescent="0.25">
      <c r="A86" s="66" t="s">
        <v>481</v>
      </c>
      <c r="B86" s="66" t="s">
        <v>469</v>
      </c>
      <c r="C86" s="69">
        <f>SUMIF('SIGAF DIC 20'!$B$2:$B$849,$A86,'SIGAF DIC 20'!$F$2:$F$849)</f>
        <v>11903678</v>
      </c>
      <c r="D86" s="69">
        <f>SUMIF('SIGAF DIC 20'!$B$2:$B$849,$A86,'SIGAF DIC 20'!$G$2:$G$849)</f>
        <v>11903678</v>
      </c>
      <c r="E86" s="69">
        <f>SUMIF('SIGAF DIC 20'!$B$2:$B$849,$A86,'SIGAF DIC 20'!$H$2:$H$849)</f>
        <v>0</v>
      </c>
      <c r="F86" s="76">
        <f t="shared" si="0"/>
        <v>0</v>
      </c>
      <c r="G86" s="69">
        <f>SUMIF('SIGAF DIC 20'!$B$2:$B$849,$A86,'SIGAF DIC 20'!$I$2:$I$849)</f>
        <v>0</v>
      </c>
      <c r="H86" s="76">
        <f t="shared" si="1"/>
        <v>0</v>
      </c>
      <c r="I86" s="69">
        <f>SUMIF('SIGAF DIC 20'!$B$2:$B$849,$A86,'SIGAF DIC 20'!$J$2:$J$849)</f>
        <v>0</v>
      </c>
      <c r="J86" s="76">
        <f t="shared" si="2"/>
        <v>0</v>
      </c>
      <c r="K86" s="69">
        <f>SUMIF('SIGAF DIC 20'!$B$2:$B$849,$A86,'SIGAF DIC 20'!$K$2:$K$849)</f>
        <v>11901266.050000001</v>
      </c>
      <c r="L86" s="77">
        <f t="shared" si="3"/>
        <v>0.99979737775164956</v>
      </c>
      <c r="M86" s="69">
        <f>SUMIF('SIGAF DIC 20'!$B$2:$B$849,$A86,'SIGAF DIC 20'!$M$2:$M$849)</f>
        <v>11901266.050000001</v>
      </c>
      <c r="N86" s="76">
        <f t="shared" si="4"/>
        <v>0.99979737775164956</v>
      </c>
      <c r="O86" s="68">
        <f>SUMIF('SIGAF DIC 20'!$B$2:$B$849,$A86,'SIGAF DIC 20'!$O$2:$O$849)</f>
        <v>2411.9499999999998</v>
      </c>
      <c r="P86" s="76">
        <f t="shared" si="5"/>
        <v>2.0262224835046781E-4</v>
      </c>
      <c r="Q86" s="69">
        <f>SUMIF('SIGAF DIC 20'!$B$2:$B$849,$A86,'SIGAF DIC 20'!$Q$2:$Q$849)</f>
        <v>2411.9499999999998</v>
      </c>
      <c r="R86" s="76">
        <f t="shared" si="6"/>
        <v>2.0262224835046781E-4</v>
      </c>
    </row>
    <row r="87" spans="1:18" x14ac:dyDescent="0.25">
      <c r="A87" s="66" t="s">
        <v>482</v>
      </c>
      <c r="B87" s="66" t="s">
        <v>469</v>
      </c>
      <c r="C87" s="69">
        <f>SUMIF('SIGAF DIC 20'!$B$2:$B$849,$A87,'SIGAF DIC 20'!$F$2:$F$849)</f>
        <v>172031456</v>
      </c>
      <c r="D87" s="69">
        <f>SUMIF('SIGAF DIC 20'!$B$2:$B$849,$A87,'SIGAF DIC 20'!$G$2:$G$849)</f>
        <v>172031456</v>
      </c>
      <c r="E87" s="69">
        <f>SUMIF('SIGAF DIC 20'!$B$2:$B$849,$A87,'SIGAF DIC 20'!$H$2:$H$849)</f>
        <v>0</v>
      </c>
      <c r="F87" s="76">
        <f t="shared" si="0"/>
        <v>0</v>
      </c>
      <c r="G87" s="69">
        <f>SUMIF('SIGAF DIC 20'!$B$2:$B$849,$A87,'SIGAF DIC 20'!$I$2:$I$849)</f>
        <v>0</v>
      </c>
      <c r="H87" s="76">
        <f t="shared" si="1"/>
        <v>0</v>
      </c>
      <c r="I87" s="69">
        <f>SUMIF('SIGAF DIC 20'!$B$2:$B$849,$A87,'SIGAF DIC 20'!$J$2:$J$849)</f>
        <v>0</v>
      </c>
      <c r="J87" s="76">
        <f t="shared" si="2"/>
        <v>0</v>
      </c>
      <c r="K87" s="69">
        <f>SUMIF('SIGAF DIC 20'!$B$2:$B$849,$A87,'SIGAF DIC 20'!$K$2:$K$849)</f>
        <v>155668451</v>
      </c>
      <c r="L87" s="77">
        <f t="shared" si="3"/>
        <v>0.90488364523288112</v>
      </c>
      <c r="M87" s="69">
        <f>SUMIF('SIGAF DIC 20'!$B$2:$B$849,$A87,'SIGAF DIC 20'!$M$2:$M$849)</f>
        <v>155668451</v>
      </c>
      <c r="N87" s="76">
        <f t="shared" si="4"/>
        <v>0.90488364523288112</v>
      </c>
      <c r="O87" s="68">
        <f>SUMIF('SIGAF DIC 20'!$B$2:$B$849,$A87,'SIGAF DIC 20'!$O$2:$O$849)</f>
        <v>16363005</v>
      </c>
      <c r="P87" s="76">
        <f t="shared" si="5"/>
        <v>9.5116354767118869E-2</v>
      </c>
      <c r="Q87" s="69">
        <f>SUMIF('SIGAF DIC 20'!$B$2:$B$849,$A87,'SIGAF DIC 20'!$Q$2:$Q$849)</f>
        <v>16363005</v>
      </c>
      <c r="R87" s="76">
        <f t="shared" si="6"/>
        <v>9.5116354767118869E-2</v>
      </c>
    </row>
    <row r="88" spans="1:18" s="82" customFormat="1" x14ac:dyDescent="0.25">
      <c r="A88" s="78" t="s">
        <v>483</v>
      </c>
      <c r="B88" s="78" t="s">
        <v>484</v>
      </c>
      <c r="C88" s="79">
        <f>SUM(C89:C103)</f>
        <v>2041061603</v>
      </c>
      <c r="D88" s="79">
        <f>SUM(D89:D103)</f>
        <v>2041061603</v>
      </c>
      <c r="E88" s="79">
        <f>SUM(E89:E103)</f>
        <v>0</v>
      </c>
      <c r="F88" s="80">
        <f t="shared" si="0"/>
        <v>0</v>
      </c>
      <c r="G88" s="79">
        <f>SUM(G89:G103)</f>
        <v>0</v>
      </c>
      <c r="H88" s="80">
        <f t="shared" si="1"/>
        <v>0</v>
      </c>
      <c r="I88" s="79">
        <f>SUM(I89:I103)</f>
        <v>0</v>
      </c>
      <c r="J88" s="80">
        <f t="shared" si="2"/>
        <v>0</v>
      </c>
      <c r="K88" s="79">
        <f>SUM(K89:K103)</f>
        <v>1925653389.8600001</v>
      </c>
      <c r="L88" s="81">
        <f t="shared" si="3"/>
        <v>0.94345677123592442</v>
      </c>
      <c r="M88" s="79">
        <f>SUM(M89:M103)</f>
        <v>1925653389.8600001</v>
      </c>
      <c r="N88" s="80">
        <f t="shared" si="4"/>
        <v>0.94345677123592442</v>
      </c>
      <c r="O88" s="79">
        <f>SUM(O89:O103)</f>
        <v>115408213.13999999</v>
      </c>
      <c r="P88" s="80">
        <f t="shared" si="5"/>
        <v>5.6543228764075665E-2</v>
      </c>
      <c r="Q88" s="79">
        <f>SUM(Q89:Q103)</f>
        <v>115408213.13999999</v>
      </c>
      <c r="R88" s="80">
        <f t="shared" si="6"/>
        <v>5.6543228764075665E-2</v>
      </c>
    </row>
    <row r="89" spans="1:18" x14ac:dyDescent="0.25">
      <c r="A89" s="66" t="s">
        <v>485</v>
      </c>
      <c r="B89" s="66" t="s">
        <v>486</v>
      </c>
      <c r="C89" s="69">
        <f>SUMIF('SIGAF DIC 20'!$B$2:$B$849,$A89,'SIGAF DIC 20'!$F$2:$F$849)</f>
        <v>37602633</v>
      </c>
      <c r="D89" s="69">
        <f>SUMIF('SIGAF DIC 20'!$B$2:$B$849,$A89,'SIGAF DIC 20'!$G$2:$G$849)</f>
        <v>37602633</v>
      </c>
      <c r="E89" s="69">
        <f>SUMIF('SIGAF DIC 20'!$B$2:$B$849,$A89,'SIGAF DIC 20'!$H$2:$H$849)</f>
        <v>0</v>
      </c>
      <c r="F89" s="76">
        <f t="shared" si="0"/>
        <v>0</v>
      </c>
      <c r="G89" s="69">
        <f>SUMIF('SIGAF DIC 20'!$B$2:$B$849,$A89,'SIGAF DIC 20'!$I$2:$I$849)</f>
        <v>0</v>
      </c>
      <c r="H89" s="76">
        <f t="shared" si="1"/>
        <v>0</v>
      </c>
      <c r="I89" s="69">
        <f>SUMIF('SIGAF DIC 20'!$B$2:$B$849,$A89,'SIGAF DIC 20'!$J$2:$J$849)</f>
        <v>0</v>
      </c>
      <c r="J89" s="76">
        <f t="shared" si="2"/>
        <v>0</v>
      </c>
      <c r="K89" s="69">
        <f>SUMIF('SIGAF DIC 20'!$B$2:$B$849,$A89,'SIGAF DIC 20'!$K$2:$K$849)</f>
        <v>30279473</v>
      </c>
      <c r="L89" s="77">
        <f t="shared" si="3"/>
        <v>0.8052487441504429</v>
      </c>
      <c r="M89" s="69">
        <f>SUMIF('SIGAF DIC 20'!$B$2:$B$849,$A89,'SIGAF DIC 20'!$M$2:$M$849)</f>
        <v>30279473</v>
      </c>
      <c r="N89" s="76">
        <f t="shared" si="4"/>
        <v>0.8052487441504429</v>
      </c>
      <c r="O89" s="68">
        <f>SUMIF('SIGAF DIC 20'!$B$2:$B$849,$A89,'SIGAF DIC 20'!$O$2:$O$849)</f>
        <v>7323160</v>
      </c>
      <c r="P89" s="76">
        <f t="shared" si="5"/>
        <v>0.19475125584955713</v>
      </c>
      <c r="Q89" s="69">
        <f>SUMIF('SIGAF DIC 20'!$B$2:$B$849,$A89,'SIGAF DIC 20'!$Q$2:$Q$849)</f>
        <v>7323160</v>
      </c>
      <c r="R89" s="76">
        <f t="shared" si="6"/>
        <v>0.19475125584955713</v>
      </c>
    </row>
    <row r="90" spans="1:18" x14ac:dyDescent="0.25">
      <c r="A90" s="66" t="s">
        <v>487</v>
      </c>
      <c r="B90" s="66" t="s">
        <v>486</v>
      </c>
      <c r="C90" s="69">
        <f>SUMIF('SIGAF DIC 20'!$B$2:$B$849,$A90,'SIGAF DIC 20'!$F$2:$F$849)</f>
        <v>59722207</v>
      </c>
      <c r="D90" s="69">
        <f>SUMIF('SIGAF DIC 20'!$B$2:$B$849,$A90,'SIGAF DIC 20'!$G$2:$G$849)</f>
        <v>59722207</v>
      </c>
      <c r="E90" s="69">
        <f>SUMIF('SIGAF DIC 20'!$B$2:$B$849,$A90,'SIGAF DIC 20'!$H$2:$H$849)</f>
        <v>0</v>
      </c>
      <c r="F90" s="76">
        <f t="shared" si="0"/>
        <v>0</v>
      </c>
      <c r="G90" s="69">
        <f>SUMIF('SIGAF DIC 20'!$B$2:$B$849,$A90,'SIGAF DIC 20'!$I$2:$I$849)</f>
        <v>0</v>
      </c>
      <c r="H90" s="76">
        <f t="shared" si="1"/>
        <v>0</v>
      </c>
      <c r="I90" s="69">
        <f>SUMIF('SIGAF DIC 20'!$B$2:$B$849,$A90,'SIGAF DIC 20'!$J$2:$J$849)</f>
        <v>0</v>
      </c>
      <c r="J90" s="76">
        <f t="shared" si="2"/>
        <v>0</v>
      </c>
      <c r="K90" s="69">
        <f>SUMIF('SIGAF DIC 20'!$B$2:$B$849,$A90,'SIGAF DIC 20'!$K$2:$K$849)</f>
        <v>53866042</v>
      </c>
      <c r="L90" s="77">
        <f t="shared" si="3"/>
        <v>0.90194325872786318</v>
      </c>
      <c r="M90" s="69">
        <f>SUMIF('SIGAF DIC 20'!$B$2:$B$849,$A90,'SIGAF DIC 20'!$M$2:$M$849)</f>
        <v>53866042</v>
      </c>
      <c r="N90" s="76">
        <f t="shared" si="4"/>
        <v>0.90194325872786318</v>
      </c>
      <c r="O90" s="68">
        <f>SUMIF('SIGAF DIC 20'!$B$2:$B$849,$A90,'SIGAF DIC 20'!$O$2:$O$849)</f>
        <v>5856165</v>
      </c>
      <c r="P90" s="76">
        <f t="shared" si="5"/>
        <v>9.8056741272136844E-2</v>
      </c>
      <c r="Q90" s="69">
        <f>SUMIF('SIGAF DIC 20'!$B$2:$B$849,$A90,'SIGAF DIC 20'!$Q$2:$Q$849)</f>
        <v>5856165</v>
      </c>
      <c r="R90" s="76">
        <f t="shared" si="6"/>
        <v>9.8056741272136844E-2</v>
      </c>
    </row>
    <row r="91" spans="1:18" x14ac:dyDescent="0.25">
      <c r="A91" s="66" t="s">
        <v>488</v>
      </c>
      <c r="B91" s="66" t="s">
        <v>486</v>
      </c>
      <c r="C91" s="69">
        <f>SUMIF('SIGAF DIC 20'!$B$2:$B$849,$A91,'SIGAF DIC 20'!$F$2:$F$849)</f>
        <v>26222568</v>
      </c>
      <c r="D91" s="69">
        <f>SUMIF('SIGAF DIC 20'!$B$2:$B$849,$A91,'SIGAF DIC 20'!$G$2:$G$849)</f>
        <v>26222568</v>
      </c>
      <c r="E91" s="69">
        <f>SUMIF('SIGAF DIC 20'!$B$2:$B$849,$A91,'SIGAF DIC 20'!$H$2:$H$849)</f>
        <v>0</v>
      </c>
      <c r="F91" s="76">
        <f t="shared" si="0"/>
        <v>0</v>
      </c>
      <c r="G91" s="69">
        <f>SUMIF('SIGAF DIC 20'!$B$2:$B$849,$A91,'SIGAF DIC 20'!$I$2:$I$849)</f>
        <v>0</v>
      </c>
      <c r="H91" s="76">
        <f t="shared" si="1"/>
        <v>0</v>
      </c>
      <c r="I91" s="69">
        <f>SUMIF('SIGAF DIC 20'!$B$2:$B$849,$A91,'SIGAF DIC 20'!$J$2:$J$849)</f>
        <v>0</v>
      </c>
      <c r="J91" s="76">
        <f t="shared" si="2"/>
        <v>0</v>
      </c>
      <c r="K91" s="69">
        <f>SUMIF('SIGAF DIC 20'!$B$2:$B$849,$A91,'SIGAF DIC 20'!$K$2:$K$849)</f>
        <v>24201191.280000001</v>
      </c>
      <c r="L91" s="77">
        <f t="shared" si="3"/>
        <v>0.92291461614285841</v>
      </c>
      <c r="M91" s="69">
        <f>SUMIF('SIGAF DIC 20'!$B$2:$B$849,$A91,'SIGAF DIC 20'!$M$2:$M$849)</f>
        <v>24201191.280000001</v>
      </c>
      <c r="N91" s="76">
        <f t="shared" si="4"/>
        <v>0.92291461614285841</v>
      </c>
      <c r="O91" s="68">
        <f>SUMIF('SIGAF DIC 20'!$B$2:$B$849,$A91,'SIGAF DIC 20'!$O$2:$O$849)</f>
        <v>2021376.72</v>
      </c>
      <c r="P91" s="76">
        <f t="shared" si="5"/>
        <v>7.7085383857141684E-2</v>
      </c>
      <c r="Q91" s="69">
        <f>SUMIF('SIGAF DIC 20'!$B$2:$B$849,$A91,'SIGAF DIC 20'!$Q$2:$Q$849)</f>
        <v>2021376.72</v>
      </c>
      <c r="R91" s="76">
        <f t="shared" si="6"/>
        <v>7.7085383857141684E-2</v>
      </c>
    </row>
    <row r="92" spans="1:18" x14ac:dyDescent="0.25">
      <c r="A92" s="83" t="s">
        <v>489</v>
      </c>
      <c r="B92" s="66" t="s">
        <v>486</v>
      </c>
      <c r="C92" s="69">
        <f>SUMIF('SIGAF DIC 20'!$B$2:$B$849,$A92,'SIGAF DIC 20'!$F$2:$F$849)</f>
        <v>1046148634</v>
      </c>
      <c r="D92" s="69">
        <f>SUMIF('SIGAF DIC 20'!$B$2:$B$849,$A92,'SIGAF DIC 20'!$G$2:$G$849)</f>
        <v>1046148634</v>
      </c>
      <c r="E92" s="69">
        <f>SUMIF('SIGAF DIC 20'!$B$2:$B$849,$A92,'SIGAF DIC 20'!$H$2:$H$849)</f>
        <v>0</v>
      </c>
      <c r="F92" s="76">
        <f t="shared" si="0"/>
        <v>0</v>
      </c>
      <c r="G92" s="69">
        <f>SUMIF('SIGAF DIC 20'!$B$2:$B$849,$A92,'SIGAF DIC 20'!$I$2:$I$849)</f>
        <v>0</v>
      </c>
      <c r="H92" s="76">
        <f t="shared" si="1"/>
        <v>0</v>
      </c>
      <c r="I92" s="69">
        <f>SUMIF('SIGAF DIC 20'!$B$2:$B$849,$A92,'SIGAF DIC 20'!$J$2:$J$849)</f>
        <v>0</v>
      </c>
      <c r="J92" s="76">
        <f t="shared" si="2"/>
        <v>0</v>
      </c>
      <c r="K92" s="69">
        <f>SUMIF('SIGAF DIC 20'!$B$2:$B$849,$A92,'SIGAF DIC 20'!$K$2:$K$849)</f>
        <v>1025199888</v>
      </c>
      <c r="L92" s="77">
        <f t="shared" si="3"/>
        <v>0.97997536361549176</v>
      </c>
      <c r="M92" s="69">
        <f>SUMIF('SIGAF DIC 20'!$B$2:$B$849,$A92,'SIGAF DIC 20'!$M$2:$M$849)</f>
        <v>1025199888</v>
      </c>
      <c r="N92" s="76">
        <f t="shared" si="4"/>
        <v>0.97997536361549176</v>
      </c>
      <c r="O92" s="68">
        <f>SUMIF('SIGAF DIC 20'!$B$2:$B$849,$A92,'SIGAF DIC 20'!$O$2:$O$849)</f>
        <v>20948746</v>
      </c>
      <c r="P92" s="76">
        <f t="shared" si="5"/>
        <v>2.0024636384508247E-2</v>
      </c>
      <c r="Q92" s="69">
        <f>SUMIF('SIGAF DIC 20'!$B$2:$B$849,$A92,'SIGAF DIC 20'!$Q$2:$Q$849)</f>
        <v>20948746</v>
      </c>
      <c r="R92" s="76">
        <f t="shared" si="6"/>
        <v>2.0024636384508247E-2</v>
      </c>
    </row>
    <row r="93" spans="1:18" x14ac:dyDescent="0.25">
      <c r="A93" s="66" t="s">
        <v>490</v>
      </c>
      <c r="B93" s="66" t="s">
        <v>486</v>
      </c>
      <c r="C93" s="69">
        <f>SUMIF('SIGAF DIC 20'!$B$2:$B$849,$A93,'SIGAF DIC 20'!$F$2:$F$849)</f>
        <v>294099267</v>
      </c>
      <c r="D93" s="69">
        <f>SUMIF('SIGAF DIC 20'!$B$2:$B$849,$A93,'SIGAF DIC 20'!$G$2:$G$849)</f>
        <v>294099267</v>
      </c>
      <c r="E93" s="69">
        <f>SUMIF('SIGAF DIC 20'!$B$2:$B$849,$A93,'SIGAF DIC 20'!$H$2:$H$849)</f>
        <v>0</v>
      </c>
      <c r="F93" s="76">
        <f t="shared" si="0"/>
        <v>0</v>
      </c>
      <c r="G93" s="69">
        <f>SUMIF('SIGAF DIC 20'!$B$2:$B$849,$A93,'SIGAF DIC 20'!$I$2:$I$849)</f>
        <v>0</v>
      </c>
      <c r="H93" s="76">
        <f t="shared" si="1"/>
        <v>0</v>
      </c>
      <c r="I93" s="69">
        <f>SUMIF('SIGAF DIC 20'!$B$2:$B$849,$A93,'SIGAF DIC 20'!$J$2:$J$849)</f>
        <v>0</v>
      </c>
      <c r="J93" s="76">
        <f t="shared" si="2"/>
        <v>0</v>
      </c>
      <c r="K93" s="69">
        <f>SUMIF('SIGAF DIC 20'!$B$2:$B$849,$A93,'SIGAF DIC 20'!$K$2:$K$849)</f>
        <v>244838625</v>
      </c>
      <c r="L93" s="77">
        <f t="shared" si="3"/>
        <v>0.83250334996584674</v>
      </c>
      <c r="M93" s="69">
        <f>SUMIF('SIGAF DIC 20'!$B$2:$B$849,$A93,'SIGAF DIC 20'!$M$2:$M$849)</f>
        <v>244838625</v>
      </c>
      <c r="N93" s="76">
        <f t="shared" si="4"/>
        <v>0.83250334996584674</v>
      </c>
      <c r="O93" s="68">
        <f>SUMIF('SIGAF DIC 20'!$B$2:$B$849,$A93,'SIGAF DIC 20'!$O$2:$O$849)</f>
        <v>49260642</v>
      </c>
      <c r="P93" s="76">
        <f t="shared" si="5"/>
        <v>0.16749665003415326</v>
      </c>
      <c r="Q93" s="69">
        <f>SUMIF('SIGAF DIC 20'!$B$2:$B$849,$A93,'SIGAF DIC 20'!$Q$2:$Q$849)</f>
        <v>49260642</v>
      </c>
      <c r="R93" s="76">
        <f t="shared" si="6"/>
        <v>0.16749665003415326</v>
      </c>
    </row>
    <row r="94" spans="1:18" x14ac:dyDescent="0.25">
      <c r="A94" s="66" t="s">
        <v>491</v>
      </c>
      <c r="B94" s="66" t="s">
        <v>486</v>
      </c>
      <c r="C94" s="69">
        <f>SUMIF('SIGAF DIC 20'!$B$2:$B$849,$A94,'SIGAF DIC 20'!$F$2:$F$849)</f>
        <v>26027626</v>
      </c>
      <c r="D94" s="69">
        <f>SUMIF('SIGAF DIC 20'!$B$2:$B$849,$A94,'SIGAF DIC 20'!$G$2:$G$849)</f>
        <v>26027626</v>
      </c>
      <c r="E94" s="69">
        <f>SUMIF('SIGAF DIC 20'!$B$2:$B$849,$A94,'SIGAF DIC 20'!$H$2:$H$849)</f>
        <v>0</v>
      </c>
      <c r="F94" s="76">
        <f t="shared" si="0"/>
        <v>0</v>
      </c>
      <c r="G94" s="69">
        <f>SUMIF('SIGAF DIC 20'!$B$2:$B$849,$A94,'SIGAF DIC 20'!$I$2:$I$849)</f>
        <v>0</v>
      </c>
      <c r="H94" s="76">
        <f t="shared" si="1"/>
        <v>0</v>
      </c>
      <c r="I94" s="69">
        <f>SUMIF('SIGAF DIC 20'!$B$2:$B$849,$A94,'SIGAF DIC 20'!$J$2:$J$849)</f>
        <v>0</v>
      </c>
      <c r="J94" s="76">
        <f t="shared" si="2"/>
        <v>0</v>
      </c>
      <c r="K94" s="69">
        <f>SUMIF('SIGAF DIC 20'!$B$2:$B$849,$A94,'SIGAF DIC 20'!$K$2:$K$849)</f>
        <v>23765257</v>
      </c>
      <c r="L94" s="77">
        <f t="shared" si="3"/>
        <v>0.91307816548462772</v>
      </c>
      <c r="M94" s="69">
        <f>SUMIF('SIGAF DIC 20'!$B$2:$B$849,$A94,'SIGAF DIC 20'!$M$2:$M$849)</f>
        <v>23765257</v>
      </c>
      <c r="N94" s="76">
        <f t="shared" si="4"/>
        <v>0.91307816548462772</v>
      </c>
      <c r="O94" s="68">
        <f>SUMIF('SIGAF DIC 20'!$B$2:$B$849,$A94,'SIGAF DIC 20'!$O$2:$O$849)</f>
        <v>2262369</v>
      </c>
      <c r="P94" s="76">
        <f t="shared" si="5"/>
        <v>8.6921834515372248E-2</v>
      </c>
      <c r="Q94" s="69">
        <f>SUMIF('SIGAF DIC 20'!$B$2:$B$849,$A94,'SIGAF DIC 20'!$Q$2:$Q$849)</f>
        <v>2262369</v>
      </c>
      <c r="R94" s="76">
        <f t="shared" si="6"/>
        <v>8.6921834515372248E-2</v>
      </c>
    </row>
    <row r="95" spans="1:18" x14ac:dyDescent="0.25">
      <c r="A95" s="66" t="s">
        <v>492</v>
      </c>
      <c r="B95" s="66" t="s">
        <v>486</v>
      </c>
      <c r="C95" s="69">
        <f>SUMIF('SIGAF DIC 20'!$B$2:$B$849,$A95,'SIGAF DIC 20'!$F$2:$F$849)</f>
        <v>25044433</v>
      </c>
      <c r="D95" s="69">
        <f>SUMIF('SIGAF DIC 20'!$B$2:$B$849,$A95,'SIGAF DIC 20'!$G$2:$G$849)</f>
        <v>25044433</v>
      </c>
      <c r="E95" s="69">
        <f>SUMIF('SIGAF DIC 20'!$B$2:$B$849,$A95,'SIGAF DIC 20'!$H$2:$H$849)</f>
        <v>0</v>
      </c>
      <c r="F95" s="76">
        <f t="shared" si="0"/>
        <v>0</v>
      </c>
      <c r="G95" s="69">
        <f>SUMIF('SIGAF DIC 20'!$B$2:$B$849,$A95,'SIGAF DIC 20'!$I$2:$I$849)</f>
        <v>0</v>
      </c>
      <c r="H95" s="76">
        <f t="shared" si="1"/>
        <v>0</v>
      </c>
      <c r="I95" s="69">
        <f>SUMIF('SIGAF DIC 20'!$B$2:$B$849,$A95,'SIGAF DIC 20'!$J$2:$J$849)</f>
        <v>0</v>
      </c>
      <c r="J95" s="76">
        <f t="shared" si="2"/>
        <v>0</v>
      </c>
      <c r="K95" s="69">
        <f>SUMIF('SIGAF DIC 20'!$B$2:$B$849,$A95,'SIGAF DIC 20'!$K$2:$K$849)</f>
        <v>20932240</v>
      </c>
      <c r="L95" s="77">
        <f t="shared" si="3"/>
        <v>0.83580410864162902</v>
      </c>
      <c r="M95" s="69">
        <f>SUMIF('SIGAF DIC 20'!$B$2:$B$849,$A95,'SIGAF DIC 20'!$M$2:$M$849)</f>
        <v>20932240</v>
      </c>
      <c r="N95" s="76">
        <f t="shared" si="4"/>
        <v>0.83580410864162902</v>
      </c>
      <c r="O95" s="68">
        <f>SUMIF('SIGAF DIC 20'!$B$2:$B$849,$A95,'SIGAF DIC 20'!$O$2:$O$849)</f>
        <v>4112193</v>
      </c>
      <c r="P95" s="76">
        <f t="shared" si="5"/>
        <v>0.16419589135837093</v>
      </c>
      <c r="Q95" s="69">
        <f>SUMIF('SIGAF DIC 20'!$B$2:$B$849,$A95,'SIGAF DIC 20'!$Q$2:$Q$849)</f>
        <v>4112193</v>
      </c>
      <c r="R95" s="76">
        <f t="shared" si="6"/>
        <v>0.16419589135837093</v>
      </c>
    </row>
    <row r="96" spans="1:18" x14ac:dyDescent="0.25">
      <c r="A96" s="66" t="s">
        <v>493</v>
      </c>
      <c r="B96" s="66" t="s">
        <v>486</v>
      </c>
      <c r="C96" s="69">
        <f>SUMIF('SIGAF DIC 20'!$B$2:$B$849,$A96,'SIGAF DIC 20'!$F$2:$F$849)</f>
        <v>40190402</v>
      </c>
      <c r="D96" s="69">
        <f>SUMIF('SIGAF DIC 20'!$B$2:$B$849,$A96,'SIGAF DIC 20'!$G$2:$G$849)</f>
        <v>40190402</v>
      </c>
      <c r="E96" s="69">
        <f>SUMIF('SIGAF DIC 20'!$B$2:$B$849,$A96,'SIGAF DIC 20'!$H$2:$H$849)</f>
        <v>0</v>
      </c>
      <c r="F96" s="76">
        <f t="shared" si="0"/>
        <v>0</v>
      </c>
      <c r="G96" s="69">
        <f>SUMIF('SIGAF DIC 20'!$B$2:$B$849,$A96,'SIGAF DIC 20'!$I$2:$I$849)</f>
        <v>0</v>
      </c>
      <c r="H96" s="76">
        <f t="shared" si="1"/>
        <v>0</v>
      </c>
      <c r="I96" s="69">
        <f>SUMIF('SIGAF DIC 20'!$B$2:$B$849,$A96,'SIGAF DIC 20'!$J$2:$J$849)</f>
        <v>0</v>
      </c>
      <c r="J96" s="76">
        <f t="shared" si="2"/>
        <v>0</v>
      </c>
      <c r="K96" s="69">
        <f>SUMIF('SIGAF DIC 20'!$B$2:$B$849,$A96,'SIGAF DIC 20'!$K$2:$K$849)</f>
        <v>35347410</v>
      </c>
      <c r="L96" s="77">
        <f t="shared" si="3"/>
        <v>0.87949879177620571</v>
      </c>
      <c r="M96" s="69">
        <f>SUMIF('SIGAF DIC 20'!$B$2:$B$849,$A96,'SIGAF DIC 20'!$M$2:$M$849)</f>
        <v>35347410</v>
      </c>
      <c r="N96" s="76">
        <f t="shared" si="4"/>
        <v>0.87949879177620571</v>
      </c>
      <c r="O96" s="68">
        <f>SUMIF('SIGAF DIC 20'!$B$2:$B$849,$A96,'SIGAF DIC 20'!$O$2:$O$849)</f>
        <v>4842992</v>
      </c>
      <c r="P96" s="76">
        <f t="shared" si="5"/>
        <v>0.12050120822379433</v>
      </c>
      <c r="Q96" s="69">
        <f>SUMIF('SIGAF DIC 20'!$B$2:$B$849,$A96,'SIGAF DIC 20'!$Q$2:$Q$849)</f>
        <v>4842992</v>
      </c>
      <c r="R96" s="76">
        <f t="shared" si="6"/>
        <v>0.12050120822379433</v>
      </c>
    </row>
    <row r="97" spans="1:18" x14ac:dyDescent="0.25">
      <c r="A97" s="66" t="s">
        <v>494</v>
      </c>
      <c r="B97" s="66" t="s">
        <v>486</v>
      </c>
      <c r="C97" s="69">
        <f>SUMIF('SIGAF DIC 20'!$B$2:$B$849,$A97,'SIGAF DIC 20'!$F$2:$F$849)</f>
        <v>23986749</v>
      </c>
      <c r="D97" s="69">
        <f>SUMIF('SIGAF DIC 20'!$B$2:$B$849,$A97,'SIGAF DIC 20'!$G$2:$G$849)</f>
        <v>23986749</v>
      </c>
      <c r="E97" s="69">
        <f>SUMIF('SIGAF DIC 20'!$B$2:$B$849,$A97,'SIGAF DIC 20'!$H$2:$H$849)</f>
        <v>0</v>
      </c>
      <c r="F97" s="76">
        <f t="shared" si="0"/>
        <v>0</v>
      </c>
      <c r="G97" s="69">
        <f>SUMIF('SIGAF DIC 20'!$B$2:$B$849,$A97,'SIGAF DIC 20'!$I$2:$I$849)</f>
        <v>0</v>
      </c>
      <c r="H97" s="76">
        <f t="shared" si="1"/>
        <v>0</v>
      </c>
      <c r="I97" s="69">
        <f>SUMIF('SIGAF DIC 20'!$B$2:$B$849,$A97,'SIGAF DIC 20'!$J$2:$J$849)</f>
        <v>0</v>
      </c>
      <c r="J97" s="76">
        <f t="shared" si="2"/>
        <v>0</v>
      </c>
      <c r="K97" s="69">
        <f>SUMIF('SIGAF DIC 20'!$B$2:$B$849,$A97,'SIGAF DIC 20'!$K$2:$K$849)</f>
        <v>20095020</v>
      </c>
      <c r="L97" s="77">
        <f t="shared" si="3"/>
        <v>0.8377550455044992</v>
      </c>
      <c r="M97" s="69">
        <f>SUMIF('SIGAF DIC 20'!$B$2:$B$849,$A97,'SIGAF DIC 20'!$M$2:$M$849)</f>
        <v>20095020</v>
      </c>
      <c r="N97" s="76">
        <f t="shared" si="4"/>
        <v>0.8377550455044992</v>
      </c>
      <c r="O97" s="68">
        <f>SUMIF('SIGAF DIC 20'!$B$2:$B$849,$A97,'SIGAF DIC 20'!$O$2:$O$849)</f>
        <v>3891729</v>
      </c>
      <c r="P97" s="76">
        <f t="shared" si="5"/>
        <v>0.16224495449550083</v>
      </c>
      <c r="Q97" s="69">
        <f>SUMIF('SIGAF DIC 20'!$B$2:$B$849,$A97,'SIGAF DIC 20'!$Q$2:$Q$849)</f>
        <v>3891729</v>
      </c>
      <c r="R97" s="76">
        <f t="shared" si="6"/>
        <v>0.16224495449550083</v>
      </c>
    </row>
    <row r="98" spans="1:18" x14ac:dyDescent="0.25">
      <c r="A98" s="66" t="s">
        <v>495</v>
      </c>
      <c r="B98" s="66" t="s">
        <v>486</v>
      </c>
      <c r="C98" s="69">
        <f>SUMIF('SIGAF DIC 20'!$B$2:$B$849,$A98,'SIGAF DIC 20'!$F$2:$F$849)</f>
        <v>5772575</v>
      </c>
      <c r="D98" s="69">
        <f>SUMIF('SIGAF DIC 20'!$B$2:$B$849,$A98,'SIGAF DIC 20'!$G$2:$G$849)</f>
        <v>5772575</v>
      </c>
      <c r="E98" s="69">
        <f>SUMIF('SIGAF DIC 20'!$B$2:$B$849,$A98,'SIGAF DIC 20'!$H$2:$H$849)</f>
        <v>0</v>
      </c>
      <c r="F98" s="76">
        <f t="shared" si="0"/>
        <v>0</v>
      </c>
      <c r="G98" s="69">
        <f>SUMIF('SIGAF DIC 20'!$B$2:$B$849,$A98,'SIGAF DIC 20'!$I$2:$I$849)</f>
        <v>0</v>
      </c>
      <c r="H98" s="76">
        <f t="shared" si="1"/>
        <v>0</v>
      </c>
      <c r="I98" s="69">
        <f>SUMIF('SIGAF DIC 20'!$B$2:$B$849,$A98,'SIGAF DIC 20'!$J$2:$J$849)</f>
        <v>0</v>
      </c>
      <c r="J98" s="76">
        <f t="shared" si="2"/>
        <v>0</v>
      </c>
      <c r="K98" s="69">
        <f>SUMIF('SIGAF DIC 20'!$B$2:$B$849,$A98,'SIGAF DIC 20'!$K$2:$K$849)</f>
        <v>5058960</v>
      </c>
      <c r="L98" s="77">
        <f t="shared" si="3"/>
        <v>0.87637839265838902</v>
      </c>
      <c r="M98" s="69">
        <f>SUMIF('SIGAF DIC 20'!$B$2:$B$849,$A98,'SIGAF DIC 20'!$M$2:$M$849)</f>
        <v>5058960</v>
      </c>
      <c r="N98" s="76">
        <f t="shared" si="4"/>
        <v>0.87637839265838902</v>
      </c>
      <c r="O98" s="68">
        <f>SUMIF('SIGAF DIC 20'!$B$2:$B$849,$A98,'SIGAF DIC 20'!$O$2:$O$849)</f>
        <v>713615</v>
      </c>
      <c r="P98" s="76">
        <f t="shared" si="5"/>
        <v>0.12362160734161098</v>
      </c>
      <c r="Q98" s="69">
        <f>SUMIF('SIGAF DIC 20'!$B$2:$B$849,$A98,'SIGAF DIC 20'!$Q$2:$Q$849)</f>
        <v>713615</v>
      </c>
      <c r="R98" s="76">
        <f t="shared" si="6"/>
        <v>0.12362160734161098</v>
      </c>
    </row>
    <row r="99" spans="1:18" x14ac:dyDescent="0.25">
      <c r="A99" s="66" t="s">
        <v>496</v>
      </c>
      <c r="B99" s="66" t="s">
        <v>486</v>
      </c>
      <c r="C99" s="69">
        <f>SUMIF('SIGAF DIC 20'!$B$2:$B$849,$A99,'SIGAF DIC 20'!$F$2:$F$849)</f>
        <v>23130848</v>
      </c>
      <c r="D99" s="69">
        <f>SUMIF('SIGAF DIC 20'!$B$2:$B$849,$A99,'SIGAF DIC 20'!$G$2:$G$849)</f>
        <v>23130848</v>
      </c>
      <c r="E99" s="69">
        <f>SUMIF('SIGAF DIC 20'!$B$2:$B$849,$A99,'SIGAF DIC 20'!$H$2:$H$849)</f>
        <v>0</v>
      </c>
      <c r="F99" s="76">
        <f t="shared" si="0"/>
        <v>0</v>
      </c>
      <c r="G99" s="69">
        <f>SUMIF('SIGAF DIC 20'!$B$2:$B$849,$A99,'SIGAF DIC 20'!$I$2:$I$849)</f>
        <v>0</v>
      </c>
      <c r="H99" s="76">
        <f t="shared" si="1"/>
        <v>0</v>
      </c>
      <c r="I99" s="69">
        <f>SUMIF('SIGAF DIC 20'!$B$2:$B$849,$A99,'SIGAF DIC 20'!$J$2:$J$849)</f>
        <v>0</v>
      </c>
      <c r="J99" s="76">
        <f t="shared" si="2"/>
        <v>0</v>
      </c>
      <c r="K99" s="69">
        <f>SUMIF('SIGAF DIC 20'!$B$2:$B$849,$A99,'SIGAF DIC 20'!$K$2:$K$849)</f>
        <v>21336027</v>
      </c>
      <c r="L99" s="77">
        <f t="shared" si="3"/>
        <v>0.92240574145833309</v>
      </c>
      <c r="M99" s="69">
        <f>SUMIF('SIGAF DIC 20'!$B$2:$B$849,$A99,'SIGAF DIC 20'!$M$2:$M$849)</f>
        <v>21336027</v>
      </c>
      <c r="N99" s="76">
        <f t="shared" si="4"/>
        <v>0.92240574145833309</v>
      </c>
      <c r="O99" s="68">
        <f>SUMIF('SIGAF DIC 20'!$B$2:$B$849,$A99,'SIGAF DIC 20'!$O$2:$O$849)</f>
        <v>1794821</v>
      </c>
      <c r="P99" s="76">
        <f t="shared" si="5"/>
        <v>7.7594258541666961E-2</v>
      </c>
      <c r="Q99" s="69">
        <f>SUMIF('SIGAF DIC 20'!$B$2:$B$849,$A99,'SIGAF DIC 20'!$Q$2:$Q$849)</f>
        <v>1794821</v>
      </c>
      <c r="R99" s="76">
        <f t="shared" si="6"/>
        <v>7.7594258541666961E-2</v>
      </c>
    </row>
    <row r="100" spans="1:18" x14ac:dyDescent="0.25">
      <c r="A100" s="66" t="s">
        <v>497</v>
      </c>
      <c r="B100" s="66" t="s">
        <v>486</v>
      </c>
      <c r="C100" s="69">
        <f>SUMIF('SIGAF DIC 20'!$B$2:$B$849,$A100,'SIGAF DIC 20'!$F$2:$F$849)</f>
        <v>156973708</v>
      </c>
      <c r="D100" s="69">
        <f>SUMIF('SIGAF DIC 20'!$B$2:$B$849,$A100,'SIGAF DIC 20'!$G$2:$G$849)</f>
        <v>156973708</v>
      </c>
      <c r="E100" s="69">
        <f>SUMIF('SIGAF DIC 20'!$B$2:$B$849,$A100,'SIGAF DIC 20'!$H$2:$H$849)</f>
        <v>0</v>
      </c>
      <c r="F100" s="76">
        <f t="shared" si="0"/>
        <v>0</v>
      </c>
      <c r="G100" s="69">
        <f>SUMIF('SIGAF DIC 20'!$B$2:$B$849,$A100,'SIGAF DIC 20'!$I$2:$I$849)</f>
        <v>0</v>
      </c>
      <c r="H100" s="76">
        <f t="shared" si="1"/>
        <v>0</v>
      </c>
      <c r="I100" s="69">
        <f>SUMIF('SIGAF DIC 20'!$B$2:$B$849,$A100,'SIGAF DIC 20'!$J$2:$J$849)</f>
        <v>0</v>
      </c>
      <c r="J100" s="76">
        <f t="shared" si="2"/>
        <v>0</v>
      </c>
      <c r="K100" s="69">
        <f>SUMIF('SIGAF DIC 20'!$B$2:$B$849,$A100,'SIGAF DIC 20'!$K$2:$K$849)</f>
        <v>152772816.40000001</v>
      </c>
      <c r="L100" s="77">
        <f t="shared" si="3"/>
        <v>0.97323824700630757</v>
      </c>
      <c r="M100" s="69">
        <f>SUMIF('SIGAF DIC 20'!$B$2:$B$849,$A100,'SIGAF DIC 20'!$M$2:$M$849)</f>
        <v>152772816.40000001</v>
      </c>
      <c r="N100" s="76">
        <f t="shared" si="4"/>
        <v>0.97323824700630757</v>
      </c>
      <c r="O100" s="68">
        <f>SUMIF('SIGAF DIC 20'!$B$2:$B$849,$A100,'SIGAF DIC 20'!$O$2:$O$849)</f>
        <v>4200891.5999999996</v>
      </c>
      <c r="P100" s="76">
        <f t="shared" si="5"/>
        <v>2.676175299369242E-2</v>
      </c>
      <c r="Q100" s="69">
        <f>SUMIF('SIGAF DIC 20'!$B$2:$B$849,$A100,'SIGAF DIC 20'!$Q$2:$Q$849)</f>
        <v>4200891.5999999996</v>
      </c>
      <c r="R100" s="76">
        <f t="shared" si="6"/>
        <v>2.676175299369242E-2</v>
      </c>
    </row>
    <row r="101" spans="1:18" x14ac:dyDescent="0.25">
      <c r="A101" s="66" t="s">
        <v>498</v>
      </c>
      <c r="B101" s="66" t="s">
        <v>486</v>
      </c>
      <c r="C101" s="69">
        <f>SUMIF('SIGAF DIC 20'!$B$2:$B$849,$A101,'SIGAF DIC 20'!$F$2:$F$849)</f>
        <v>19050057</v>
      </c>
      <c r="D101" s="69">
        <f>SUMIF('SIGAF DIC 20'!$B$2:$B$849,$A101,'SIGAF DIC 20'!$G$2:$G$849)</f>
        <v>19050057</v>
      </c>
      <c r="E101" s="69">
        <f>SUMIF('SIGAF DIC 20'!$B$2:$B$849,$A101,'SIGAF DIC 20'!$H$2:$H$849)</f>
        <v>0</v>
      </c>
      <c r="F101" s="76">
        <f t="shared" si="0"/>
        <v>0</v>
      </c>
      <c r="G101" s="69">
        <f>SUMIF('SIGAF DIC 20'!$B$2:$B$849,$A101,'SIGAF DIC 20'!$I$2:$I$849)</f>
        <v>0</v>
      </c>
      <c r="H101" s="76">
        <f t="shared" si="1"/>
        <v>0</v>
      </c>
      <c r="I101" s="69">
        <f>SUMIF('SIGAF DIC 20'!$B$2:$B$849,$A101,'SIGAF DIC 20'!$J$2:$J$849)</f>
        <v>0</v>
      </c>
      <c r="J101" s="76">
        <f t="shared" si="2"/>
        <v>0</v>
      </c>
      <c r="K101" s="69">
        <f>SUMIF('SIGAF DIC 20'!$B$2:$B$849,$A101,'SIGAF DIC 20'!$K$2:$K$849)</f>
        <v>19048789.18</v>
      </c>
      <c r="L101" s="77">
        <f t="shared" si="3"/>
        <v>0.99993344796816097</v>
      </c>
      <c r="M101" s="69">
        <f>SUMIF('SIGAF DIC 20'!$B$2:$B$849,$A101,'SIGAF DIC 20'!$M$2:$M$849)</f>
        <v>19048789.18</v>
      </c>
      <c r="N101" s="76">
        <f t="shared" si="4"/>
        <v>0.99993344796816097</v>
      </c>
      <c r="O101" s="68">
        <f>SUMIF('SIGAF DIC 20'!$B$2:$B$849,$A101,'SIGAF DIC 20'!$O$2:$O$849)</f>
        <v>1267.82</v>
      </c>
      <c r="P101" s="76">
        <f t="shared" si="5"/>
        <v>6.6552031839064841E-5</v>
      </c>
      <c r="Q101" s="69">
        <f>SUMIF('SIGAF DIC 20'!$B$2:$B$849,$A101,'SIGAF DIC 20'!$Q$2:$Q$849)</f>
        <v>1267.82</v>
      </c>
      <c r="R101" s="76">
        <f t="shared" si="6"/>
        <v>6.6552031839064841E-5</v>
      </c>
    </row>
    <row r="102" spans="1:18" x14ac:dyDescent="0.25">
      <c r="A102" s="83"/>
      <c r="B102" s="66" t="s">
        <v>486</v>
      </c>
      <c r="C102" s="69">
        <f>SUMIF('SIGAF DIC 20'!$B$2:$B$849,$A102,'SIGAF DIC 20'!$F$2:$F$849)</f>
        <v>0</v>
      </c>
      <c r="D102" s="69">
        <f>SUMIF('SIGAF DIC 20'!$B$2:$B$849,$A102,'SIGAF DIC 20'!$G$2:$G$849)</f>
        <v>0</v>
      </c>
      <c r="E102" s="69">
        <f>SUMIF('SIGAF DIC 20'!$B$2:$B$849,$A102,'SIGAF DIC 20'!$H$2:$H$849)</f>
        <v>0</v>
      </c>
      <c r="F102" s="76">
        <f t="shared" si="0"/>
        <v>0</v>
      </c>
      <c r="G102" s="69">
        <f>SUMIF('SIGAF DIC 20'!$B$2:$B$849,$A102,'SIGAF DIC 20'!$I$2:$I$849)</f>
        <v>0</v>
      </c>
      <c r="H102" s="76">
        <f t="shared" si="1"/>
        <v>0</v>
      </c>
      <c r="I102" s="69">
        <f>SUMIF('SIGAF DIC 20'!$B$2:$B$849,$A102,'SIGAF DIC 20'!$J$2:$J$849)</f>
        <v>0</v>
      </c>
      <c r="J102" s="76">
        <f t="shared" si="2"/>
        <v>0</v>
      </c>
      <c r="K102" s="69">
        <f>SUMIF('SIGAF DIC 20'!$B$2:$B$849,$A102,'SIGAF DIC 20'!$K$2:$K$849)</f>
        <v>0</v>
      </c>
      <c r="L102" s="77">
        <f t="shared" si="3"/>
        <v>0</v>
      </c>
      <c r="M102" s="69">
        <f>SUMIF('SIGAF DIC 20'!$B$2:$B$849,$A102,'SIGAF DIC 20'!$M$2:$M$849)</f>
        <v>0</v>
      </c>
      <c r="N102" s="76">
        <f t="shared" si="4"/>
        <v>0</v>
      </c>
      <c r="O102" s="68">
        <f>SUMIF('SIGAF DIC 20'!$B$2:$B$849,$A102,'SIGAF DIC 20'!$O$2:$O$849)</f>
        <v>0</v>
      </c>
      <c r="P102" s="76">
        <f t="shared" si="5"/>
        <v>0</v>
      </c>
      <c r="Q102" s="69">
        <f>SUMIF('SIGAF DIC 20'!$B$2:$B$849,$A102,'SIGAF DIC 20'!$Q$2:$Q$849)</f>
        <v>0</v>
      </c>
      <c r="R102" s="76">
        <f t="shared" si="6"/>
        <v>0</v>
      </c>
    </row>
    <row r="103" spans="1:18" x14ac:dyDescent="0.25">
      <c r="A103" s="66" t="s">
        <v>499</v>
      </c>
      <c r="B103" s="66" t="s">
        <v>486</v>
      </c>
      <c r="C103" s="69">
        <f>SUMIF('SIGAF DIC 20'!$B$2:$B$849,$A103,'SIGAF DIC 20'!$F$2:$F$849)</f>
        <v>257089896</v>
      </c>
      <c r="D103" s="69">
        <f>SUMIF('SIGAF DIC 20'!$B$2:$B$849,$A103,'SIGAF DIC 20'!$G$2:$G$849)</f>
        <v>257089896</v>
      </c>
      <c r="E103" s="69">
        <f>SUMIF('SIGAF DIC 20'!$B$2:$B$849,$A103,'SIGAF DIC 20'!$H$2:$H$849)</f>
        <v>0</v>
      </c>
      <c r="F103" s="76">
        <f t="shared" si="0"/>
        <v>0</v>
      </c>
      <c r="G103" s="69">
        <f>SUMIF('SIGAF DIC 20'!$B$2:$B$849,$A103,'SIGAF DIC 20'!$I$2:$I$849)</f>
        <v>0</v>
      </c>
      <c r="H103" s="76">
        <f t="shared" si="1"/>
        <v>0</v>
      </c>
      <c r="I103" s="69">
        <f>SUMIF('SIGAF DIC 20'!$B$2:$B$849,$A103,'SIGAF DIC 20'!$J$2:$J$849)</f>
        <v>0</v>
      </c>
      <c r="J103" s="76">
        <f t="shared" si="2"/>
        <v>0</v>
      </c>
      <c r="K103" s="69">
        <f>SUMIF('SIGAF DIC 20'!$B$2:$B$849,$A103,'SIGAF DIC 20'!$K$2:$K$849)</f>
        <v>248911651</v>
      </c>
      <c r="L103" s="77">
        <f t="shared" si="3"/>
        <v>0.96818916212872097</v>
      </c>
      <c r="M103" s="69">
        <f>SUMIF('SIGAF DIC 20'!$B$2:$B$849,$A103,'SIGAF DIC 20'!$M$2:$M$849)</f>
        <v>248911651</v>
      </c>
      <c r="N103" s="76">
        <f t="shared" si="4"/>
        <v>0.96818916212872097</v>
      </c>
      <c r="O103" s="68">
        <f>SUMIF('SIGAF DIC 20'!$B$2:$B$849,$A103,'SIGAF DIC 20'!$O$2:$O$849)</f>
        <v>8178245</v>
      </c>
      <c r="P103" s="76">
        <f t="shared" si="5"/>
        <v>3.1810837871279078E-2</v>
      </c>
      <c r="Q103" s="69">
        <f>SUMIF('SIGAF DIC 20'!$B$2:$B$849,$A103,'SIGAF DIC 20'!$Q$2:$Q$849)</f>
        <v>8178245</v>
      </c>
      <c r="R103" s="76">
        <f t="shared" si="6"/>
        <v>3.1810837871279078E-2</v>
      </c>
    </row>
    <row r="104" spans="1:18" s="82" customFormat="1" x14ac:dyDescent="0.25">
      <c r="A104" s="78" t="s">
        <v>500</v>
      </c>
      <c r="B104" s="78" t="s">
        <v>501</v>
      </c>
      <c r="C104" s="79">
        <f>SUM(C105:C118)</f>
        <v>88067000</v>
      </c>
      <c r="D104" s="79">
        <f>SUM(D105:D118)</f>
        <v>88067000</v>
      </c>
      <c r="E104" s="79">
        <f>SUM(E105:E118)</f>
        <v>0</v>
      </c>
      <c r="F104" s="80">
        <f t="shared" si="0"/>
        <v>0</v>
      </c>
      <c r="G104" s="79">
        <f>SUM(G105:G118)</f>
        <v>0</v>
      </c>
      <c r="H104" s="80">
        <f t="shared" si="1"/>
        <v>0</v>
      </c>
      <c r="I104" s="79">
        <f>SUM(I105:I118)</f>
        <v>0</v>
      </c>
      <c r="J104" s="80">
        <f t="shared" si="2"/>
        <v>0</v>
      </c>
      <c r="K104" s="79">
        <f>SUM(K105:K118)</f>
        <v>78962943.439999998</v>
      </c>
      <c r="L104" s="81">
        <f t="shared" si="3"/>
        <v>0.89662351891173764</v>
      </c>
      <c r="M104" s="79">
        <f>SUM(M105:M118)</f>
        <v>78962943.439999998</v>
      </c>
      <c r="N104" s="80">
        <f t="shared" si="4"/>
        <v>0.89662351891173764</v>
      </c>
      <c r="O104" s="79">
        <f>SUM(O105:O118)</f>
        <v>9104056.5600000005</v>
      </c>
      <c r="P104" s="80">
        <f t="shared" si="5"/>
        <v>0.10337648108826235</v>
      </c>
      <c r="Q104" s="79">
        <f>SUM(Q105:Q118)</f>
        <v>9104056.5600000005</v>
      </c>
      <c r="R104" s="80">
        <f t="shared" si="6"/>
        <v>0.10337648108826235</v>
      </c>
    </row>
    <row r="105" spans="1:18" x14ac:dyDescent="0.25">
      <c r="A105" s="66" t="s">
        <v>502</v>
      </c>
      <c r="B105" s="66" t="s">
        <v>503</v>
      </c>
      <c r="C105" s="69">
        <f>SUMIF('SIGAF DIC 20'!$B$2:$B$849,$A105,'SIGAF DIC 20'!$F$2:$F$849)</f>
        <v>0</v>
      </c>
      <c r="D105" s="69">
        <f>SUMIF('SIGAF DIC 20'!$B$2:$B$849,$A105,'SIGAF DIC 20'!$G$2:$G$849)</f>
        <v>0</v>
      </c>
      <c r="E105" s="69">
        <f>SUMIF('SIGAF DIC 20'!$B$2:$B$849,$A105,'SIGAF DIC 20'!$H$2:$H$849)</f>
        <v>0</v>
      </c>
      <c r="F105" s="76">
        <f t="shared" si="0"/>
        <v>0</v>
      </c>
      <c r="G105" s="69">
        <f>SUMIF('SIGAF DIC 20'!$B$2:$B$849,$A105,'SIGAF DIC 20'!$I$2:$I$849)</f>
        <v>0</v>
      </c>
      <c r="H105" s="76">
        <f t="shared" si="1"/>
        <v>0</v>
      </c>
      <c r="I105" s="69">
        <f>SUMIF('SIGAF DIC 20'!$B$2:$B$849,$A105,'SIGAF DIC 20'!$J$2:$J$849)</f>
        <v>0</v>
      </c>
      <c r="J105" s="76">
        <f t="shared" si="2"/>
        <v>0</v>
      </c>
      <c r="K105" s="69">
        <f>SUMIF('SIGAF DIC 20'!$B$2:$B$849,$A105,'SIGAF DIC 20'!$K$2:$K$849)</f>
        <v>0</v>
      </c>
      <c r="L105" s="77">
        <f t="shared" si="3"/>
        <v>0</v>
      </c>
      <c r="M105" s="69">
        <f>SUMIF('SIGAF DIC 20'!$B$2:$B$849,$A105,'SIGAF DIC 20'!$M$2:$M$849)</f>
        <v>0</v>
      </c>
      <c r="N105" s="76">
        <f t="shared" si="4"/>
        <v>0</v>
      </c>
      <c r="O105" s="68">
        <f>SUMIF('SIGAF DIC 20'!$B$2:$B$849,$A105,'SIGAF DIC 20'!$O$2:$O$849)</f>
        <v>0</v>
      </c>
      <c r="P105" s="76">
        <f t="shared" si="5"/>
        <v>0</v>
      </c>
      <c r="Q105" s="69">
        <f>SUMIF('SIGAF DIC 20'!$B$2:$B$849,$A105,'SIGAF DIC 20'!$Q$2:$Q$849)</f>
        <v>0</v>
      </c>
      <c r="R105" s="76">
        <f t="shared" si="6"/>
        <v>0</v>
      </c>
    </row>
    <row r="106" spans="1:18" x14ac:dyDescent="0.25">
      <c r="A106" s="66" t="s">
        <v>504</v>
      </c>
      <c r="B106" s="66" t="s">
        <v>503</v>
      </c>
      <c r="C106" s="69">
        <f>SUMIF('SIGAF DIC 20'!$B$2:$B$849,$A106,'SIGAF DIC 20'!$F$2:$F$849)</f>
        <v>0</v>
      </c>
      <c r="D106" s="69">
        <f>SUMIF('SIGAF DIC 20'!$B$2:$B$849,$A106,'SIGAF DIC 20'!$G$2:$G$849)</f>
        <v>0</v>
      </c>
      <c r="E106" s="69">
        <f>SUMIF('SIGAF DIC 20'!$B$2:$B$849,$A106,'SIGAF DIC 20'!$H$2:$H$849)</f>
        <v>0</v>
      </c>
      <c r="F106" s="76">
        <f t="shared" si="0"/>
        <v>0</v>
      </c>
      <c r="G106" s="69">
        <f>SUMIF('SIGAF DIC 20'!$B$2:$B$849,$A106,'SIGAF DIC 20'!$I$2:$I$849)</f>
        <v>0</v>
      </c>
      <c r="H106" s="76">
        <f t="shared" si="1"/>
        <v>0</v>
      </c>
      <c r="I106" s="69">
        <f>SUMIF('SIGAF DIC 20'!$B$2:$B$849,$A106,'SIGAF DIC 20'!$J$2:$J$849)</f>
        <v>0</v>
      </c>
      <c r="J106" s="76">
        <f t="shared" si="2"/>
        <v>0</v>
      </c>
      <c r="K106" s="69">
        <f>SUMIF('SIGAF DIC 20'!$B$2:$B$849,$A106,'SIGAF DIC 20'!$K$2:$K$849)</f>
        <v>0</v>
      </c>
      <c r="L106" s="77">
        <f t="shared" si="3"/>
        <v>0</v>
      </c>
      <c r="M106" s="69">
        <f>SUMIF('SIGAF DIC 20'!$B$2:$B$849,$A106,'SIGAF DIC 20'!$M$2:$M$849)</f>
        <v>0</v>
      </c>
      <c r="N106" s="76">
        <f t="shared" si="4"/>
        <v>0</v>
      </c>
      <c r="O106" s="68">
        <f>SUMIF('SIGAF DIC 20'!$B$2:$B$849,$A106,'SIGAF DIC 20'!$O$2:$O$849)</f>
        <v>0</v>
      </c>
      <c r="P106" s="76">
        <f t="shared" si="5"/>
        <v>0</v>
      </c>
      <c r="Q106" s="69">
        <f>SUMIF('SIGAF DIC 20'!$B$2:$B$849,$A106,'SIGAF DIC 20'!$Q$2:$Q$849)</f>
        <v>0</v>
      </c>
      <c r="R106" s="76">
        <f t="shared" si="6"/>
        <v>0</v>
      </c>
    </row>
    <row r="107" spans="1:18" x14ac:dyDescent="0.25">
      <c r="A107" s="66" t="s">
        <v>505</v>
      </c>
      <c r="B107" s="66" t="s">
        <v>503</v>
      </c>
      <c r="C107" s="69">
        <f>SUMIF('SIGAF DIC 20'!$B$2:$B$849,$A107,'SIGAF DIC 20'!$F$2:$F$849)</f>
        <v>0</v>
      </c>
      <c r="D107" s="69">
        <f>SUMIF('SIGAF DIC 20'!$B$2:$B$849,$A107,'SIGAF DIC 20'!$G$2:$G$849)</f>
        <v>0</v>
      </c>
      <c r="E107" s="69">
        <f>SUMIF('SIGAF DIC 20'!$B$2:$B$849,$A107,'SIGAF DIC 20'!$H$2:$H$849)</f>
        <v>0</v>
      </c>
      <c r="F107" s="76">
        <f t="shared" si="0"/>
        <v>0</v>
      </c>
      <c r="G107" s="69">
        <f>SUMIF('SIGAF DIC 20'!$B$2:$B$849,$A107,'SIGAF DIC 20'!$I$2:$I$849)</f>
        <v>0</v>
      </c>
      <c r="H107" s="76">
        <f t="shared" si="1"/>
        <v>0</v>
      </c>
      <c r="I107" s="69">
        <f>SUMIF('SIGAF DIC 20'!$B$2:$B$849,$A107,'SIGAF DIC 20'!$J$2:$J$849)</f>
        <v>0</v>
      </c>
      <c r="J107" s="76">
        <f t="shared" si="2"/>
        <v>0</v>
      </c>
      <c r="K107" s="69">
        <f>SUMIF('SIGAF DIC 20'!$B$2:$B$849,$A107,'SIGAF DIC 20'!$K$2:$K$849)</f>
        <v>0</v>
      </c>
      <c r="L107" s="77">
        <f t="shared" si="3"/>
        <v>0</v>
      </c>
      <c r="M107" s="69">
        <f>SUMIF('SIGAF DIC 20'!$B$2:$B$849,$A107,'SIGAF DIC 20'!$M$2:$M$849)</f>
        <v>0</v>
      </c>
      <c r="N107" s="76">
        <f t="shared" si="4"/>
        <v>0</v>
      </c>
      <c r="O107" s="68">
        <f>SUMIF('SIGAF DIC 20'!$B$2:$B$849,$A107,'SIGAF DIC 20'!$O$2:$O$849)</f>
        <v>0</v>
      </c>
      <c r="P107" s="76">
        <f t="shared" si="5"/>
        <v>0</v>
      </c>
      <c r="Q107" s="69">
        <f>SUMIF('SIGAF DIC 20'!$B$2:$B$849,$A107,'SIGAF DIC 20'!$Q$2:$Q$849)</f>
        <v>0</v>
      </c>
      <c r="R107" s="76">
        <f t="shared" si="6"/>
        <v>0</v>
      </c>
    </row>
    <row r="108" spans="1:18" x14ac:dyDescent="0.25">
      <c r="A108" s="66" t="s">
        <v>506</v>
      </c>
      <c r="B108" s="66" t="s">
        <v>503</v>
      </c>
      <c r="C108" s="69">
        <f>SUMIF('SIGAF DIC 20'!$B$2:$B$849,$A108,'SIGAF DIC 20'!$F$2:$F$849)</f>
        <v>0</v>
      </c>
      <c r="D108" s="69">
        <f>SUMIF('SIGAF DIC 20'!$B$2:$B$849,$A108,'SIGAF DIC 20'!$G$2:$G$849)</f>
        <v>0</v>
      </c>
      <c r="E108" s="69">
        <f>SUMIF('SIGAF DIC 20'!$B$2:$B$849,$A108,'SIGAF DIC 20'!$H$2:$H$849)</f>
        <v>0</v>
      </c>
      <c r="F108" s="76">
        <f t="shared" si="0"/>
        <v>0</v>
      </c>
      <c r="G108" s="69">
        <f>SUMIF('SIGAF DIC 20'!$B$2:$B$849,$A108,'SIGAF DIC 20'!$I$2:$I$849)</f>
        <v>0</v>
      </c>
      <c r="H108" s="76">
        <f t="shared" si="1"/>
        <v>0</v>
      </c>
      <c r="I108" s="69">
        <f>SUMIF('SIGAF DIC 20'!$B$2:$B$849,$A108,'SIGAF DIC 20'!$J$2:$J$849)</f>
        <v>0</v>
      </c>
      <c r="J108" s="76">
        <f t="shared" si="2"/>
        <v>0</v>
      </c>
      <c r="K108" s="69">
        <f>SUMIF('SIGAF DIC 20'!$B$2:$B$849,$A108,'SIGAF DIC 20'!$K$2:$K$849)</f>
        <v>0</v>
      </c>
      <c r="L108" s="77">
        <f t="shared" si="3"/>
        <v>0</v>
      </c>
      <c r="M108" s="69">
        <f>SUMIF('SIGAF DIC 20'!$B$2:$B$849,$A108,'SIGAF DIC 20'!$M$2:$M$849)</f>
        <v>0</v>
      </c>
      <c r="N108" s="76">
        <f t="shared" si="4"/>
        <v>0</v>
      </c>
      <c r="O108" s="68">
        <f>SUMIF('SIGAF DIC 20'!$B$2:$B$849,$A108,'SIGAF DIC 20'!$O$2:$O$849)</f>
        <v>0</v>
      </c>
      <c r="P108" s="76">
        <f t="shared" si="5"/>
        <v>0</v>
      </c>
      <c r="Q108" s="69">
        <f>SUMIF('SIGAF DIC 20'!$B$2:$B$849,$A108,'SIGAF DIC 20'!$Q$2:$Q$849)</f>
        <v>0</v>
      </c>
      <c r="R108" s="76">
        <f t="shared" si="6"/>
        <v>0</v>
      </c>
    </row>
    <row r="109" spans="1:18" x14ac:dyDescent="0.25">
      <c r="A109" s="66" t="s">
        <v>507</v>
      </c>
      <c r="B109" s="66" t="s">
        <v>503</v>
      </c>
      <c r="C109" s="69">
        <f>SUMIF('SIGAF DIC 20'!$B$2:$B$849,$A109,'SIGAF DIC 20'!$F$2:$F$849)</f>
        <v>0</v>
      </c>
      <c r="D109" s="69">
        <f>SUMIF('SIGAF DIC 20'!$B$2:$B$849,$A109,'SIGAF DIC 20'!$G$2:$G$849)</f>
        <v>0</v>
      </c>
      <c r="E109" s="69">
        <f>SUMIF('SIGAF DIC 20'!$B$2:$B$849,$A109,'SIGAF DIC 20'!$H$2:$H$849)</f>
        <v>0</v>
      </c>
      <c r="F109" s="76">
        <f t="shared" si="0"/>
        <v>0</v>
      </c>
      <c r="G109" s="69">
        <f>SUMIF('SIGAF DIC 20'!$B$2:$B$849,$A109,'SIGAF DIC 20'!$I$2:$I$849)</f>
        <v>0</v>
      </c>
      <c r="H109" s="76">
        <f t="shared" si="1"/>
        <v>0</v>
      </c>
      <c r="I109" s="69">
        <f>SUMIF('SIGAF DIC 20'!$B$2:$B$849,$A109,'SIGAF DIC 20'!$J$2:$J$849)</f>
        <v>0</v>
      </c>
      <c r="J109" s="76">
        <f t="shared" si="2"/>
        <v>0</v>
      </c>
      <c r="K109" s="69">
        <f>SUMIF('SIGAF DIC 20'!$B$2:$B$849,$A109,'SIGAF DIC 20'!$K$2:$K$849)</f>
        <v>0</v>
      </c>
      <c r="L109" s="77">
        <f t="shared" si="3"/>
        <v>0</v>
      </c>
      <c r="M109" s="69">
        <f>SUMIF('SIGAF DIC 20'!$B$2:$B$849,$A109,'SIGAF DIC 20'!$M$2:$M$849)</f>
        <v>0</v>
      </c>
      <c r="N109" s="76">
        <f t="shared" si="4"/>
        <v>0</v>
      </c>
      <c r="O109" s="68">
        <f>SUMIF('SIGAF DIC 20'!$B$2:$B$849,$A109,'SIGAF DIC 20'!$O$2:$O$849)</f>
        <v>0</v>
      </c>
      <c r="P109" s="76">
        <f t="shared" si="5"/>
        <v>0</v>
      </c>
      <c r="Q109" s="69">
        <f>SUMIF('SIGAF DIC 20'!$B$2:$B$849,$A109,'SIGAF DIC 20'!$Q$2:$Q$849)</f>
        <v>0</v>
      </c>
      <c r="R109" s="76">
        <f t="shared" si="6"/>
        <v>0</v>
      </c>
    </row>
    <row r="110" spans="1:18" x14ac:dyDescent="0.25">
      <c r="A110" s="66" t="s">
        <v>508</v>
      </c>
      <c r="B110" s="66" t="s">
        <v>503</v>
      </c>
      <c r="C110" s="69">
        <f>SUMIF('SIGAF DIC 20'!$B$2:$B$849,$A110,'SIGAF DIC 20'!$F$2:$F$849)</f>
        <v>0</v>
      </c>
      <c r="D110" s="69">
        <f>SUMIF('SIGAF DIC 20'!$B$2:$B$849,$A110,'SIGAF DIC 20'!$G$2:$G$849)</f>
        <v>0</v>
      </c>
      <c r="E110" s="69">
        <f>SUMIF('SIGAF DIC 20'!$B$2:$B$849,$A110,'SIGAF DIC 20'!$H$2:$H$849)</f>
        <v>0</v>
      </c>
      <c r="F110" s="76">
        <f t="shared" si="0"/>
        <v>0</v>
      </c>
      <c r="G110" s="69">
        <f>SUMIF('SIGAF DIC 20'!$B$2:$B$849,$A110,'SIGAF DIC 20'!$I$2:$I$849)</f>
        <v>0</v>
      </c>
      <c r="H110" s="76">
        <f t="shared" si="1"/>
        <v>0</v>
      </c>
      <c r="I110" s="69">
        <f>SUMIF('SIGAF DIC 20'!$B$2:$B$849,$A110,'SIGAF DIC 20'!$J$2:$J$849)</f>
        <v>0</v>
      </c>
      <c r="J110" s="76">
        <f t="shared" si="2"/>
        <v>0</v>
      </c>
      <c r="K110" s="69">
        <f>SUMIF('SIGAF DIC 20'!$B$2:$B$849,$A110,'SIGAF DIC 20'!$K$2:$K$849)</f>
        <v>0</v>
      </c>
      <c r="L110" s="77">
        <f t="shared" si="3"/>
        <v>0</v>
      </c>
      <c r="M110" s="69">
        <f>SUMIF('SIGAF DIC 20'!$B$2:$B$849,$A110,'SIGAF DIC 20'!$M$2:$M$849)</f>
        <v>0</v>
      </c>
      <c r="N110" s="76">
        <f t="shared" si="4"/>
        <v>0</v>
      </c>
      <c r="O110" s="68">
        <f>SUMIF('SIGAF DIC 20'!$B$2:$B$849,$A110,'SIGAF DIC 20'!$O$2:$O$849)</f>
        <v>0</v>
      </c>
      <c r="P110" s="76">
        <f t="shared" si="5"/>
        <v>0</v>
      </c>
      <c r="Q110" s="69">
        <f>SUMIF('SIGAF DIC 20'!$B$2:$B$849,$A110,'SIGAF DIC 20'!$Q$2:$Q$849)</f>
        <v>0</v>
      </c>
      <c r="R110" s="76">
        <f t="shared" si="6"/>
        <v>0</v>
      </c>
    </row>
    <row r="111" spans="1:18" x14ac:dyDescent="0.25">
      <c r="A111" s="66" t="s">
        <v>509</v>
      </c>
      <c r="B111" s="66" t="s">
        <v>503</v>
      </c>
      <c r="C111" s="69">
        <f>SUMIF('SIGAF DIC 20'!$B$2:$B$849,$A111,'SIGAF DIC 20'!$F$2:$F$849)</f>
        <v>0</v>
      </c>
      <c r="D111" s="69">
        <f>SUMIF('SIGAF DIC 20'!$B$2:$B$849,$A111,'SIGAF DIC 20'!$G$2:$G$849)</f>
        <v>0</v>
      </c>
      <c r="E111" s="69">
        <f>SUMIF('SIGAF DIC 20'!$B$2:$B$849,$A111,'SIGAF DIC 20'!$H$2:$H$849)</f>
        <v>0</v>
      </c>
      <c r="F111" s="76">
        <f t="shared" si="0"/>
        <v>0</v>
      </c>
      <c r="G111" s="69">
        <f>SUMIF('SIGAF DIC 20'!$B$2:$B$849,$A111,'SIGAF DIC 20'!$I$2:$I$849)</f>
        <v>0</v>
      </c>
      <c r="H111" s="76">
        <f t="shared" si="1"/>
        <v>0</v>
      </c>
      <c r="I111" s="69">
        <f>SUMIF('SIGAF DIC 20'!$B$2:$B$849,$A111,'SIGAF DIC 20'!$J$2:$J$849)</f>
        <v>0</v>
      </c>
      <c r="J111" s="76">
        <f t="shared" si="2"/>
        <v>0</v>
      </c>
      <c r="K111" s="69">
        <f>SUMIF('SIGAF DIC 20'!$B$2:$B$849,$A111,'SIGAF DIC 20'!$K$2:$K$849)</f>
        <v>0</v>
      </c>
      <c r="L111" s="77">
        <f t="shared" si="3"/>
        <v>0</v>
      </c>
      <c r="M111" s="69">
        <f>SUMIF('SIGAF DIC 20'!$B$2:$B$849,$A111,'SIGAF DIC 20'!$M$2:$M$849)</f>
        <v>0</v>
      </c>
      <c r="N111" s="76">
        <f t="shared" si="4"/>
        <v>0</v>
      </c>
      <c r="O111" s="68">
        <f>SUMIF('SIGAF DIC 20'!$B$2:$B$849,$A111,'SIGAF DIC 20'!$O$2:$O$849)</f>
        <v>0</v>
      </c>
      <c r="P111" s="76">
        <f t="shared" si="5"/>
        <v>0</v>
      </c>
      <c r="Q111" s="69">
        <f>SUMIF('SIGAF DIC 20'!$B$2:$B$849,$A111,'SIGAF DIC 20'!$Q$2:$Q$849)</f>
        <v>0</v>
      </c>
      <c r="R111" s="76">
        <f t="shared" si="6"/>
        <v>0</v>
      </c>
    </row>
    <row r="112" spans="1:18" x14ac:dyDescent="0.25">
      <c r="A112" s="66" t="s">
        <v>510</v>
      </c>
      <c r="B112" s="66" t="s">
        <v>503</v>
      </c>
      <c r="C112" s="69">
        <f>SUMIF('SIGAF DIC 20'!$B$2:$B$849,$A112,'SIGAF DIC 20'!$F$2:$F$849)</f>
        <v>0</v>
      </c>
      <c r="D112" s="69">
        <f>SUMIF('SIGAF DIC 20'!$B$2:$B$849,$A112,'SIGAF DIC 20'!$G$2:$G$849)</f>
        <v>0</v>
      </c>
      <c r="E112" s="69">
        <f>SUMIF('SIGAF DIC 20'!$B$2:$B$849,$A112,'SIGAF DIC 20'!$H$2:$H$849)</f>
        <v>0</v>
      </c>
      <c r="F112" s="76">
        <f t="shared" si="0"/>
        <v>0</v>
      </c>
      <c r="G112" s="69">
        <f>SUMIF('SIGAF DIC 20'!$B$2:$B$849,$A112,'SIGAF DIC 20'!$I$2:$I$849)</f>
        <v>0</v>
      </c>
      <c r="H112" s="76">
        <f t="shared" si="1"/>
        <v>0</v>
      </c>
      <c r="I112" s="69">
        <f>SUMIF('SIGAF DIC 20'!$B$2:$B$849,$A112,'SIGAF DIC 20'!$J$2:$J$849)</f>
        <v>0</v>
      </c>
      <c r="J112" s="76">
        <f t="shared" si="2"/>
        <v>0</v>
      </c>
      <c r="K112" s="69">
        <f>SUMIF('SIGAF DIC 20'!$B$2:$B$849,$A112,'SIGAF DIC 20'!$K$2:$K$849)</f>
        <v>0</v>
      </c>
      <c r="L112" s="77">
        <f t="shared" si="3"/>
        <v>0</v>
      </c>
      <c r="M112" s="69">
        <f>SUMIF('SIGAF DIC 20'!$B$2:$B$849,$A112,'SIGAF DIC 20'!$M$2:$M$849)</f>
        <v>0</v>
      </c>
      <c r="N112" s="76">
        <f t="shared" si="4"/>
        <v>0</v>
      </c>
      <c r="O112" s="68">
        <f>SUMIF('SIGAF DIC 20'!$B$2:$B$849,$A112,'SIGAF DIC 20'!$O$2:$O$849)</f>
        <v>0</v>
      </c>
      <c r="P112" s="76">
        <f t="shared" si="5"/>
        <v>0</v>
      </c>
      <c r="Q112" s="69">
        <f>SUMIF('SIGAF DIC 20'!$B$2:$B$849,$A112,'SIGAF DIC 20'!$Q$2:$Q$849)</f>
        <v>0</v>
      </c>
      <c r="R112" s="76">
        <f t="shared" si="6"/>
        <v>0</v>
      </c>
    </row>
    <row r="113" spans="1:18" x14ac:dyDescent="0.25">
      <c r="A113" s="66" t="s">
        <v>511</v>
      </c>
      <c r="B113" s="66" t="s">
        <v>503</v>
      </c>
      <c r="C113" s="69">
        <f>SUMIF('SIGAF DIC 20'!$B$2:$B$849,$A113,'SIGAF DIC 20'!$F$2:$F$849)</f>
        <v>0</v>
      </c>
      <c r="D113" s="69">
        <f>SUMIF('SIGAF DIC 20'!$B$2:$B$849,$A113,'SIGAF DIC 20'!$G$2:$G$849)</f>
        <v>0</v>
      </c>
      <c r="E113" s="69">
        <f>SUMIF('SIGAF DIC 20'!$B$2:$B$849,$A113,'SIGAF DIC 20'!$H$2:$H$849)</f>
        <v>0</v>
      </c>
      <c r="F113" s="76">
        <f t="shared" si="0"/>
        <v>0</v>
      </c>
      <c r="G113" s="69">
        <f>SUMIF('SIGAF DIC 20'!$B$2:$B$849,$A113,'SIGAF DIC 20'!$I$2:$I$849)</f>
        <v>0</v>
      </c>
      <c r="H113" s="76">
        <f t="shared" si="1"/>
        <v>0</v>
      </c>
      <c r="I113" s="69">
        <f>SUMIF('SIGAF DIC 20'!$B$2:$B$849,$A113,'SIGAF DIC 20'!$J$2:$J$849)</f>
        <v>0</v>
      </c>
      <c r="J113" s="76">
        <f t="shared" si="2"/>
        <v>0</v>
      </c>
      <c r="K113" s="69">
        <f>SUMIF('SIGAF DIC 20'!$B$2:$B$849,$A113,'SIGAF DIC 20'!$K$2:$K$849)</f>
        <v>0</v>
      </c>
      <c r="L113" s="77">
        <f t="shared" si="3"/>
        <v>0</v>
      </c>
      <c r="M113" s="69">
        <f>SUMIF('SIGAF DIC 20'!$B$2:$B$849,$A113,'SIGAF DIC 20'!$M$2:$M$849)</f>
        <v>0</v>
      </c>
      <c r="N113" s="76">
        <f t="shared" si="4"/>
        <v>0</v>
      </c>
      <c r="O113" s="68">
        <f>SUMIF('SIGAF DIC 20'!$B$2:$B$849,$A113,'SIGAF DIC 20'!$O$2:$O$849)</f>
        <v>0</v>
      </c>
      <c r="P113" s="76">
        <f t="shared" si="5"/>
        <v>0</v>
      </c>
      <c r="Q113" s="69">
        <f>SUMIF('SIGAF DIC 20'!$B$2:$B$849,$A113,'SIGAF DIC 20'!$Q$2:$Q$849)</f>
        <v>0</v>
      </c>
      <c r="R113" s="76">
        <f t="shared" si="6"/>
        <v>0</v>
      </c>
    </row>
    <row r="114" spans="1:18" x14ac:dyDescent="0.25">
      <c r="A114" s="66" t="s">
        <v>512</v>
      </c>
      <c r="B114" s="66" t="s">
        <v>503</v>
      </c>
      <c r="C114" s="69">
        <f>SUMIF('SIGAF DIC 20'!$B$2:$B$849,$A114,'SIGAF DIC 20'!$F$2:$F$849)</f>
        <v>0</v>
      </c>
      <c r="D114" s="69">
        <f>SUMIF('SIGAF DIC 20'!$B$2:$B$849,$A114,'SIGAF DIC 20'!$G$2:$G$849)</f>
        <v>0</v>
      </c>
      <c r="E114" s="69">
        <f>SUMIF('SIGAF DIC 20'!$B$2:$B$849,$A114,'SIGAF DIC 20'!$H$2:$H$849)</f>
        <v>0</v>
      </c>
      <c r="F114" s="76">
        <f t="shared" si="0"/>
        <v>0</v>
      </c>
      <c r="G114" s="69">
        <f>SUMIF('SIGAF DIC 20'!$B$2:$B$849,$A114,'SIGAF DIC 20'!$I$2:$I$849)</f>
        <v>0</v>
      </c>
      <c r="H114" s="76">
        <f t="shared" si="1"/>
        <v>0</v>
      </c>
      <c r="I114" s="69">
        <f>SUMIF('SIGAF DIC 20'!$B$2:$B$849,$A114,'SIGAF DIC 20'!$J$2:$J$849)</f>
        <v>0</v>
      </c>
      <c r="J114" s="76">
        <f t="shared" si="2"/>
        <v>0</v>
      </c>
      <c r="K114" s="69">
        <f>SUMIF('SIGAF DIC 20'!$B$2:$B$849,$A114,'SIGAF DIC 20'!$K$2:$K$849)</f>
        <v>0</v>
      </c>
      <c r="L114" s="77">
        <f t="shared" si="3"/>
        <v>0</v>
      </c>
      <c r="M114" s="69">
        <f>SUMIF('SIGAF DIC 20'!$B$2:$B$849,$A114,'SIGAF DIC 20'!$M$2:$M$849)</f>
        <v>0</v>
      </c>
      <c r="N114" s="76">
        <f t="shared" si="4"/>
        <v>0</v>
      </c>
      <c r="O114" s="68">
        <f>SUMIF('SIGAF DIC 20'!$B$2:$B$849,$A114,'SIGAF DIC 20'!$O$2:$O$849)</f>
        <v>0</v>
      </c>
      <c r="P114" s="76">
        <f t="shared" si="5"/>
        <v>0</v>
      </c>
      <c r="Q114" s="69">
        <f>SUMIF('SIGAF DIC 20'!$B$2:$B$849,$A114,'SIGAF DIC 20'!$Q$2:$Q$849)</f>
        <v>0</v>
      </c>
      <c r="R114" s="76">
        <f t="shared" si="6"/>
        <v>0</v>
      </c>
    </row>
    <row r="115" spans="1:18" x14ac:dyDescent="0.25">
      <c r="A115" s="66" t="s">
        <v>513</v>
      </c>
      <c r="B115" s="66" t="s">
        <v>503</v>
      </c>
      <c r="C115" s="69">
        <f>SUMIF('SIGAF DIC 20'!$B$2:$B$849,$A115,'SIGAF DIC 20'!$F$2:$F$849)</f>
        <v>0</v>
      </c>
      <c r="D115" s="69">
        <f>SUMIF('SIGAF DIC 20'!$B$2:$B$849,$A115,'SIGAF DIC 20'!$G$2:$G$849)</f>
        <v>0</v>
      </c>
      <c r="E115" s="69">
        <f>SUMIF('SIGAF DIC 20'!$B$2:$B$849,$A115,'SIGAF DIC 20'!$H$2:$H$849)</f>
        <v>0</v>
      </c>
      <c r="F115" s="76">
        <f t="shared" si="0"/>
        <v>0</v>
      </c>
      <c r="G115" s="69">
        <f>SUMIF('SIGAF DIC 20'!$B$2:$B$849,$A115,'SIGAF DIC 20'!$I$2:$I$849)</f>
        <v>0</v>
      </c>
      <c r="H115" s="76">
        <f t="shared" si="1"/>
        <v>0</v>
      </c>
      <c r="I115" s="69">
        <f>SUMIF('SIGAF DIC 20'!$B$2:$B$849,$A115,'SIGAF DIC 20'!$J$2:$J$849)</f>
        <v>0</v>
      </c>
      <c r="J115" s="76">
        <f t="shared" si="2"/>
        <v>0</v>
      </c>
      <c r="K115" s="69">
        <f>SUMIF('SIGAF DIC 20'!$B$2:$B$849,$A115,'SIGAF DIC 20'!$K$2:$K$849)</f>
        <v>0</v>
      </c>
      <c r="L115" s="77">
        <f t="shared" si="3"/>
        <v>0</v>
      </c>
      <c r="M115" s="69">
        <f>SUMIF('SIGAF DIC 20'!$B$2:$B$849,$A115,'SIGAF DIC 20'!$M$2:$M$849)</f>
        <v>0</v>
      </c>
      <c r="N115" s="76">
        <f t="shared" si="4"/>
        <v>0</v>
      </c>
      <c r="O115" s="68">
        <f>SUMIF('SIGAF DIC 20'!$B$2:$B$849,$A115,'SIGAF DIC 20'!$O$2:$O$849)</f>
        <v>0</v>
      </c>
      <c r="P115" s="76">
        <f t="shared" si="5"/>
        <v>0</v>
      </c>
      <c r="Q115" s="69">
        <f>SUMIF('SIGAF DIC 20'!$B$2:$B$849,$A115,'SIGAF DIC 20'!$Q$2:$Q$849)</f>
        <v>0</v>
      </c>
      <c r="R115" s="76">
        <f t="shared" si="6"/>
        <v>0</v>
      </c>
    </row>
    <row r="116" spans="1:18" x14ac:dyDescent="0.25">
      <c r="A116" s="66" t="s">
        <v>514</v>
      </c>
      <c r="B116" s="66" t="s">
        <v>503</v>
      </c>
      <c r="C116" s="69">
        <f>SUMIF('SIGAF DIC 20'!$B$2:$B$849,$A116,'SIGAF DIC 20'!$F$2:$F$849)</f>
        <v>0</v>
      </c>
      <c r="D116" s="69">
        <f>SUMIF('SIGAF DIC 20'!$B$2:$B$849,$A116,'SIGAF DIC 20'!$G$2:$G$849)</f>
        <v>0</v>
      </c>
      <c r="E116" s="69">
        <f>SUMIF('SIGAF DIC 20'!$B$2:$B$849,$A116,'SIGAF DIC 20'!$H$2:$H$849)</f>
        <v>0</v>
      </c>
      <c r="F116" s="76">
        <f t="shared" si="0"/>
        <v>0</v>
      </c>
      <c r="G116" s="69">
        <f>SUMIF('SIGAF DIC 20'!$B$2:$B$849,$A116,'SIGAF DIC 20'!$I$2:$I$849)</f>
        <v>0</v>
      </c>
      <c r="H116" s="76">
        <f t="shared" si="1"/>
        <v>0</v>
      </c>
      <c r="I116" s="69">
        <f>SUMIF('SIGAF DIC 20'!$B$2:$B$849,$A116,'SIGAF DIC 20'!$J$2:$J$849)</f>
        <v>0</v>
      </c>
      <c r="J116" s="76">
        <f t="shared" si="2"/>
        <v>0</v>
      </c>
      <c r="K116" s="69">
        <f>SUMIF('SIGAF DIC 20'!$B$2:$B$849,$A116,'SIGAF DIC 20'!$K$2:$K$849)</f>
        <v>0</v>
      </c>
      <c r="L116" s="77">
        <f t="shared" si="3"/>
        <v>0</v>
      </c>
      <c r="M116" s="69">
        <f>SUMIF('SIGAF DIC 20'!$B$2:$B$849,$A116,'SIGAF DIC 20'!$M$2:$M$849)</f>
        <v>0</v>
      </c>
      <c r="N116" s="76">
        <f t="shared" si="4"/>
        <v>0</v>
      </c>
      <c r="O116" s="68">
        <f>SUMIF('SIGAF DIC 20'!$B$2:$B$849,$A116,'SIGAF DIC 20'!$O$2:$O$849)</f>
        <v>0</v>
      </c>
      <c r="P116" s="76">
        <f t="shared" si="5"/>
        <v>0</v>
      </c>
      <c r="Q116" s="69">
        <f>SUMIF('SIGAF DIC 20'!$B$2:$B$849,$A116,'SIGAF DIC 20'!$Q$2:$Q$849)</f>
        <v>0</v>
      </c>
      <c r="R116" s="76">
        <f t="shared" si="6"/>
        <v>0</v>
      </c>
    </row>
    <row r="117" spans="1:18" x14ac:dyDescent="0.25">
      <c r="A117" s="66" t="s">
        <v>515</v>
      </c>
      <c r="B117" s="66" t="s">
        <v>503</v>
      </c>
      <c r="C117" s="69">
        <f>SUMIF('SIGAF DIC 20'!$B$2:$B$849,$A117,'SIGAF DIC 20'!$F$2:$F$849)</f>
        <v>0</v>
      </c>
      <c r="D117" s="69">
        <f>SUMIF('SIGAF DIC 20'!$B$2:$B$849,$A117,'SIGAF DIC 20'!$G$2:$G$849)</f>
        <v>0</v>
      </c>
      <c r="E117" s="69">
        <f>SUMIF('SIGAF DIC 20'!$B$2:$B$849,$A117,'SIGAF DIC 20'!$H$2:$H$849)</f>
        <v>0</v>
      </c>
      <c r="F117" s="76">
        <f t="shared" si="0"/>
        <v>0</v>
      </c>
      <c r="G117" s="69">
        <f>SUMIF('SIGAF DIC 20'!$B$2:$B$849,$A117,'SIGAF DIC 20'!$I$2:$I$849)</f>
        <v>0</v>
      </c>
      <c r="H117" s="76">
        <f t="shared" si="1"/>
        <v>0</v>
      </c>
      <c r="I117" s="69">
        <f>SUMIF('SIGAF DIC 20'!$B$2:$B$849,$A117,'SIGAF DIC 20'!$J$2:$J$849)</f>
        <v>0</v>
      </c>
      <c r="J117" s="76">
        <f t="shared" si="2"/>
        <v>0</v>
      </c>
      <c r="K117" s="69">
        <f>SUMIF('SIGAF DIC 20'!$B$2:$B$849,$A117,'SIGAF DIC 20'!$K$2:$K$849)</f>
        <v>0</v>
      </c>
      <c r="L117" s="77">
        <f t="shared" si="3"/>
        <v>0</v>
      </c>
      <c r="M117" s="69">
        <f>SUMIF('SIGAF DIC 20'!$B$2:$B$849,$A117,'SIGAF DIC 20'!$M$2:$M$849)</f>
        <v>0</v>
      </c>
      <c r="N117" s="76">
        <f t="shared" si="4"/>
        <v>0</v>
      </c>
      <c r="O117" s="68">
        <f>SUMIF('SIGAF DIC 20'!$B$2:$B$849,$A117,'SIGAF DIC 20'!$O$2:$O$849)</f>
        <v>0</v>
      </c>
      <c r="P117" s="76">
        <f t="shared" si="5"/>
        <v>0</v>
      </c>
      <c r="Q117" s="69">
        <f>SUMIF('SIGAF DIC 20'!$B$2:$B$849,$A117,'SIGAF DIC 20'!$Q$2:$Q$849)</f>
        <v>0</v>
      </c>
      <c r="R117" s="76">
        <f t="shared" si="6"/>
        <v>0</v>
      </c>
    </row>
    <row r="118" spans="1:18" x14ac:dyDescent="0.25">
      <c r="A118" s="66" t="s">
        <v>516</v>
      </c>
      <c r="B118" s="66" t="s">
        <v>503</v>
      </c>
      <c r="C118" s="69">
        <f>SUMIF('SIGAF DIC 20'!$B$2:$B$849,$A118,'SIGAF DIC 20'!$F$2:$F$849)</f>
        <v>88067000</v>
      </c>
      <c r="D118" s="69">
        <f>SUMIF('SIGAF DIC 20'!$B$2:$B$849,$A118,'SIGAF DIC 20'!$G$2:$G$849)</f>
        <v>88067000</v>
      </c>
      <c r="E118" s="69">
        <f>SUMIF('SIGAF DIC 20'!$B$2:$B$849,$A118,'SIGAF DIC 20'!$H$2:$H$849)</f>
        <v>0</v>
      </c>
      <c r="F118" s="76">
        <f t="shared" si="0"/>
        <v>0</v>
      </c>
      <c r="G118" s="69">
        <f>SUMIF('SIGAF DIC 20'!$B$2:$B$849,$A118,'SIGAF DIC 20'!$I$2:$I$849)</f>
        <v>0</v>
      </c>
      <c r="H118" s="76">
        <f t="shared" si="1"/>
        <v>0</v>
      </c>
      <c r="I118" s="69">
        <f>SUMIF('SIGAF DIC 20'!$B$2:$B$849,$A118,'SIGAF DIC 20'!$J$2:$J$849)</f>
        <v>0</v>
      </c>
      <c r="J118" s="76">
        <f t="shared" si="2"/>
        <v>0</v>
      </c>
      <c r="K118" s="69">
        <f>SUMIF('SIGAF DIC 20'!$B$2:$B$849,$A118,'SIGAF DIC 20'!$K$2:$K$849)</f>
        <v>78962943.439999998</v>
      </c>
      <c r="L118" s="77">
        <f t="shared" si="3"/>
        <v>0.89662351891173764</v>
      </c>
      <c r="M118" s="69">
        <f>SUMIF('SIGAF DIC 20'!$B$2:$B$849,$A118,'SIGAF DIC 20'!$M$2:$M$849)</f>
        <v>78962943.439999998</v>
      </c>
      <c r="N118" s="76">
        <f t="shared" si="4"/>
        <v>0.89662351891173764</v>
      </c>
      <c r="O118" s="68">
        <f>SUMIF('SIGAF DIC 20'!$B$2:$B$849,$A118,'SIGAF DIC 20'!$O$2:$O$849)</f>
        <v>9104056.5600000005</v>
      </c>
      <c r="P118" s="76">
        <f t="shared" si="5"/>
        <v>0.10337648108826235</v>
      </c>
      <c r="Q118" s="69">
        <f>SUMIF('SIGAF DIC 20'!$B$2:$B$849,$A118,'SIGAF DIC 20'!$Q$2:$Q$849)</f>
        <v>9104056.5600000005</v>
      </c>
      <c r="R118" s="76">
        <f t="shared" si="6"/>
        <v>0.10337648108826235</v>
      </c>
    </row>
    <row r="119" spans="1:18" x14ac:dyDescent="0.25">
      <c r="A119" s="66" t="s">
        <v>517</v>
      </c>
      <c r="B119" s="66" t="s">
        <v>518</v>
      </c>
      <c r="C119" s="69">
        <f>SUMIF('SIGAF DIC 20'!$B$2:$B$849,$A119,'SIGAF DIC 20'!$F$2:$F$849)</f>
        <v>0</v>
      </c>
      <c r="D119" s="69">
        <f>SUMIF('SIGAF DIC 20'!$B$2:$B$849,$A119,'SIGAF DIC 20'!$G$2:$G$849)</f>
        <v>0</v>
      </c>
      <c r="E119" s="69">
        <f>SUMIF('SIGAF DIC 20'!$B$2:$B$849,$A119,'SIGAF DIC 20'!$H$2:$H$849)</f>
        <v>0</v>
      </c>
      <c r="F119" s="76">
        <f t="shared" si="0"/>
        <v>0</v>
      </c>
      <c r="G119" s="69">
        <f>SUMIF('SIGAF DIC 20'!$B$2:$B$849,$A119,'SIGAF DIC 20'!$I$2:$I$849)</f>
        <v>0</v>
      </c>
      <c r="H119" s="76">
        <f t="shared" si="1"/>
        <v>0</v>
      </c>
      <c r="I119" s="69">
        <f>SUMIF('SIGAF DIC 20'!$B$2:$B$849,$A119,'SIGAF DIC 20'!$J$2:$J$849)</f>
        <v>0</v>
      </c>
      <c r="J119" s="76">
        <f t="shared" si="2"/>
        <v>0</v>
      </c>
      <c r="K119" s="69">
        <f>SUMIF('SIGAF DIC 20'!$B$2:$B$849,$A119,'SIGAF DIC 20'!$K$2:$K$849)</f>
        <v>0</v>
      </c>
      <c r="L119" s="77">
        <f t="shared" si="3"/>
        <v>0</v>
      </c>
      <c r="M119" s="69">
        <f>SUMIF('SIGAF DIC 20'!$B$2:$B$849,$A119,'SIGAF DIC 20'!$M$2:$M$849)</f>
        <v>0</v>
      </c>
      <c r="N119" s="76">
        <f t="shared" si="4"/>
        <v>0</v>
      </c>
      <c r="O119" s="68">
        <f>SUMIF('SIGAF DIC 20'!$B$2:$B$849,$A119,'SIGAF DIC 20'!$O$2:$O$849)</f>
        <v>0</v>
      </c>
      <c r="P119" s="76">
        <f t="shared" si="5"/>
        <v>0</v>
      </c>
      <c r="Q119" s="69">
        <f>SUMIF('SIGAF DIC 20'!$B$2:$B$849,$A119,'SIGAF DIC 20'!$Q$2:$Q$849)</f>
        <v>0</v>
      </c>
      <c r="R119" s="76">
        <f t="shared" si="6"/>
        <v>0</v>
      </c>
    </row>
    <row r="120" spans="1:18" x14ac:dyDescent="0.25">
      <c r="A120" s="66" t="s">
        <v>519</v>
      </c>
      <c r="B120" s="66" t="s">
        <v>520</v>
      </c>
      <c r="C120" s="69">
        <f>SUMIF('SIGAF DIC 20'!$B$2:$B$849,$A120,'SIGAF DIC 20'!$F$2:$F$849)</f>
        <v>0</v>
      </c>
      <c r="D120" s="69">
        <f>SUMIF('SIGAF DIC 20'!$B$2:$B$849,$A120,'SIGAF DIC 20'!$G$2:$G$849)</f>
        <v>0</v>
      </c>
      <c r="E120" s="69">
        <f>SUMIF('SIGAF DIC 20'!$B$2:$B$849,$A120,'SIGAF DIC 20'!$H$2:$H$849)</f>
        <v>0</v>
      </c>
      <c r="F120" s="76">
        <f t="shared" si="0"/>
        <v>0</v>
      </c>
      <c r="G120" s="69">
        <f>SUMIF('SIGAF DIC 20'!$B$2:$B$849,$A120,'SIGAF DIC 20'!$I$2:$I$849)</f>
        <v>0</v>
      </c>
      <c r="H120" s="76">
        <f t="shared" si="1"/>
        <v>0</v>
      </c>
      <c r="I120" s="69">
        <f>SUMIF('SIGAF DIC 20'!$B$2:$B$849,$A120,'SIGAF DIC 20'!$J$2:$J$849)</f>
        <v>0</v>
      </c>
      <c r="J120" s="76">
        <f t="shared" si="2"/>
        <v>0</v>
      </c>
      <c r="K120" s="69">
        <f>SUMIF('SIGAF DIC 20'!$B$2:$B$849,$A120,'SIGAF DIC 20'!$K$2:$K$849)</f>
        <v>0</v>
      </c>
      <c r="L120" s="77">
        <f t="shared" si="3"/>
        <v>0</v>
      </c>
      <c r="M120" s="69">
        <f>SUMIF('SIGAF DIC 20'!$B$2:$B$849,$A120,'SIGAF DIC 20'!$M$2:$M$849)</f>
        <v>0</v>
      </c>
      <c r="N120" s="76">
        <f t="shared" si="4"/>
        <v>0</v>
      </c>
      <c r="O120" s="68">
        <f>SUMIF('SIGAF DIC 20'!$B$2:$B$849,$A120,'SIGAF DIC 20'!$O$2:$O$849)</f>
        <v>0</v>
      </c>
      <c r="P120" s="76">
        <f t="shared" si="5"/>
        <v>0</v>
      </c>
      <c r="Q120" s="69">
        <f>SUMIF('SIGAF DIC 20'!$B$2:$B$849,$A120,'SIGAF DIC 20'!$Q$2:$Q$849)</f>
        <v>0</v>
      </c>
      <c r="R120" s="76">
        <f t="shared" si="6"/>
        <v>0</v>
      </c>
    </row>
    <row r="121" spans="1:18" s="74" customFormat="1" x14ac:dyDescent="0.25">
      <c r="A121" s="70" t="s">
        <v>104</v>
      </c>
      <c r="B121" s="70" t="s">
        <v>105</v>
      </c>
      <c r="C121" s="69">
        <f>SUMIF('SIGAF DIC 20'!$B$2:$B$849,$A121,'SIGAF DIC 20'!$F$2:$F$849)</f>
        <v>19336844595</v>
      </c>
      <c r="D121" s="69">
        <f>SUMIF('SIGAF DIC 20'!$B$2:$B$849,$A121,'SIGAF DIC 20'!$G$2:$G$849)</f>
        <v>19336844595</v>
      </c>
      <c r="E121" s="69">
        <f>SUMIF('SIGAF DIC 20'!$B$2:$B$849,$A121,'SIGAF DIC 20'!$H$2:$H$849)</f>
        <v>0</v>
      </c>
      <c r="F121" s="72">
        <f t="shared" si="0"/>
        <v>0</v>
      </c>
      <c r="G121" s="69">
        <f>SUMIF('SIGAF DIC 20'!$B$2:$B$849,$A121,'SIGAF DIC 20'!$I$2:$I$849)</f>
        <v>821132059.81000006</v>
      </c>
      <c r="H121" s="72">
        <f t="shared" si="1"/>
        <v>4.2464635622211248E-2</v>
      </c>
      <c r="I121" s="69">
        <f>SUMIF('SIGAF DIC 20'!$B$2:$B$849,$A121,'SIGAF DIC 20'!$J$2:$J$849)</f>
        <v>0</v>
      </c>
      <c r="J121" s="72">
        <f t="shared" si="2"/>
        <v>0</v>
      </c>
      <c r="K121" s="69">
        <f>SUMIF('SIGAF DIC 20'!$B$2:$B$849,$A121,'SIGAF DIC 20'!$K$2:$K$849)</f>
        <v>16969395887.980001</v>
      </c>
      <c r="L121" s="73">
        <f t="shared" si="3"/>
        <v>0.87756799226528626</v>
      </c>
      <c r="M121" s="69">
        <f>SUMIF('SIGAF DIC 20'!$B$2:$B$849,$A121,'SIGAF DIC 20'!$M$2:$M$849)</f>
        <v>16023006450.529999</v>
      </c>
      <c r="N121" s="72">
        <f t="shared" si="4"/>
        <v>0.82862570321701434</v>
      </c>
      <c r="O121" s="68">
        <f>SUMIF('SIGAF DIC 20'!$B$2:$B$849,$A121,'SIGAF DIC 20'!$O$2:$O$849)</f>
        <v>1546316647.21</v>
      </c>
      <c r="P121" s="72">
        <f t="shared" si="5"/>
        <v>7.9967372112502627E-2</v>
      </c>
      <c r="Q121" s="69">
        <f>SUMIF('SIGAF DIC 20'!$B$2:$B$849,$A121,'SIGAF DIC 20'!$Q$2:$Q$849)</f>
        <v>1546316647.21</v>
      </c>
      <c r="R121" s="72">
        <f t="shared" si="6"/>
        <v>7.9967372112502627E-2</v>
      </c>
    </row>
    <row r="122" spans="1:18" x14ac:dyDescent="0.25">
      <c r="A122" s="66" t="s">
        <v>106</v>
      </c>
      <c r="B122" s="66" t="s">
        <v>107</v>
      </c>
      <c r="C122" s="69">
        <f>SUMIF('SIGAF DIC 20'!$B$2:$B$849,$A122,'SIGAF DIC 20'!$F$2:$F$849)</f>
        <v>10260500876.9</v>
      </c>
      <c r="D122" s="69">
        <f>SUMIF('SIGAF DIC 20'!$B$2:$B$849,$A122,'SIGAF DIC 20'!$G$2:$G$849)</f>
        <v>10260500876.9</v>
      </c>
      <c r="E122" s="69">
        <f>SUMIF('SIGAF DIC 20'!$B$2:$B$849,$A122,'SIGAF DIC 20'!$H$2:$H$849)</f>
        <v>0</v>
      </c>
      <c r="F122" s="76">
        <f t="shared" si="0"/>
        <v>0</v>
      </c>
      <c r="G122" s="69">
        <f>SUMIF('SIGAF DIC 20'!$B$2:$B$849,$A122,'SIGAF DIC 20'!$I$2:$I$849)</f>
        <v>273349814.25999999</v>
      </c>
      <c r="H122" s="76">
        <f t="shared" si="1"/>
        <v>2.6640981521224433E-2</v>
      </c>
      <c r="I122" s="69">
        <f>SUMIF('SIGAF DIC 20'!$B$2:$B$849,$A122,'SIGAF DIC 20'!$J$2:$J$849)</f>
        <v>0</v>
      </c>
      <c r="J122" s="76">
        <f t="shared" si="2"/>
        <v>0</v>
      </c>
      <c r="K122" s="69">
        <f>SUMIF('SIGAF DIC 20'!$B$2:$B$849,$A122,'SIGAF DIC 20'!$K$2:$K$849)</f>
        <v>8834893259.9799995</v>
      </c>
      <c r="L122" s="77">
        <f t="shared" si="3"/>
        <v>0.86105867208397746</v>
      </c>
      <c r="M122" s="69">
        <f>SUMIF('SIGAF DIC 20'!$B$2:$B$849,$A122,'SIGAF DIC 20'!$M$2:$M$849)</f>
        <v>8426611133.3800001</v>
      </c>
      <c r="N122" s="76">
        <f t="shared" si="4"/>
        <v>0.82126703505783705</v>
      </c>
      <c r="O122" s="68">
        <f>SUMIF('SIGAF DIC 20'!$B$2:$B$849,$A122,'SIGAF DIC 20'!$O$2:$O$849)</f>
        <v>1152257802.6600001</v>
      </c>
      <c r="P122" s="76">
        <f t="shared" si="5"/>
        <v>0.11230034639479815</v>
      </c>
      <c r="Q122" s="69">
        <f>SUMIF('SIGAF DIC 20'!$B$2:$B$849,$A122,'SIGAF DIC 20'!$Q$2:$Q$849)</f>
        <v>1152257802.6600001</v>
      </c>
      <c r="R122" s="76">
        <f t="shared" si="6"/>
        <v>0.11230034639479815</v>
      </c>
    </row>
    <row r="123" spans="1:18" x14ac:dyDescent="0.25">
      <c r="A123" s="66" t="s">
        <v>280</v>
      </c>
      <c r="B123" s="66" t="s">
        <v>521</v>
      </c>
      <c r="C123" s="69">
        <f>SUMIF('SIGAF DIC 20'!$B$2:$B$849,$A123,'SIGAF DIC 20'!$F$2:$F$849)</f>
        <v>680071979</v>
      </c>
      <c r="D123" s="69">
        <f>SUMIF('SIGAF DIC 20'!$B$2:$B$849,$A123,'SIGAF DIC 20'!$G$2:$G$849)</f>
        <v>680071979</v>
      </c>
      <c r="E123" s="69">
        <f>SUMIF('SIGAF DIC 20'!$B$2:$B$849,$A123,'SIGAF DIC 20'!$H$2:$H$849)</f>
        <v>0</v>
      </c>
      <c r="F123" s="76">
        <f t="shared" si="0"/>
        <v>0</v>
      </c>
      <c r="G123" s="69">
        <f>SUMIF('SIGAF DIC 20'!$B$2:$B$849,$A123,'SIGAF DIC 20'!$I$2:$I$849)</f>
        <v>907209.6</v>
      </c>
      <c r="H123" s="76">
        <f t="shared" si="1"/>
        <v>1.3339905598433721E-3</v>
      </c>
      <c r="I123" s="69">
        <f>SUMIF('SIGAF DIC 20'!$B$2:$B$849,$A123,'SIGAF DIC 20'!$J$2:$J$849)</f>
        <v>0</v>
      </c>
      <c r="J123" s="76">
        <f t="shared" si="2"/>
        <v>0</v>
      </c>
      <c r="K123" s="69">
        <f>SUMIF('SIGAF DIC 20'!$B$2:$B$849,$A123,'SIGAF DIC 20'!$K$2:$K$849)</f>
        <v>649152594.95000005</v>
      </c>
      <c r="L123" s="77">
        <f t="shared" si="3"/>
        <v>0.95453513009686886</v>
      </c>
      <c r="M123" s="69">
        <f>SUMIF('SIGAF DIC 20'!$B$2:$B$849,$A123,'SIGAF DIC 20'!$M$2:$M$849)</f>
        <v>649082594.95000005</v>
      </c>
      <c r="N123" s="76">
        <f t="shared" si="4"/>
        <v>0.95443219981571992</v>
      </c>
      <c r="O123" s="68">
        <f>SUMIF('SIGAF DIC 20'!$B$2:$B$849,$A123,'SIGAF DIC 20'!$O$2:$O$849)</f>
        <v>30012174.449999999</v>
      </c>
      <c r="P123" s="76">
        <f t="shared" si="5"/>
        <v>4.4130879343287868E-2</v>
      </c>
      <c r="Q123" s="69">
        <f>SUMIF('SIGAF DIC 20'!$B$2:$B$849,$A123,'SIGAF DIC 20'!$Q$2:$Q$849)</f>
        <v>30012174.449999999</v>
      </c>
      <c r="R123" s="76">
        <f t="shared" si="6"/>
        <v>4.4130879343287868E-2</v>
      </c>
    </row>
    <row r="124" spans="1:18" x14ac:dyDescent="0.25">
      <c r="A124" s="66" t="s">
        <v>302</v>
      </c>
      <c r="B124" s="66" t="s">
        <v>522</v>
      </c>
      <c r="C124" s="69">
        <f>SUMIF('SIGAF DIC 20'!$B$2:$B$849,$A124,'SIGAF DIC 20'!$F$2:$F$849)</f>
        <v>3869560</v>
      </c>
      <c r="D124" s="69">
        <f>SUMIF('SIGAF DIC 20'!$B$2:$B$849,$A124,'SIGAF DIC 20'!$G$2:$G$849)</f>
        <v>3869560</v>
      </c>
      <c r="E124" s="69">
        <f>SUMIF('SIGAF DIC 20'!$B$2:$B$849,$A124,'SIGAF DIC 20'!$H$2:$H$849)</f>
        <v>0</v>
      </c>
      <c r="F124" s="76">
        <f t="shared" si="0"/>
        <v>0</v>
      </c>
      <c r="G124" s="69">
        <f>SUMIF('SIGAF DIC 20'!$B$2:$B$849,$A124,'SIGAF DIC 20'!$I$2:$I$849)</f>
        <v>0</v>
      </c>
      <c r="H124" s="76">
        <f t="shared" si="1"/>
        <v>0</v>
      </c>
      <c r="I124" s="69">
        <f>SUMIF('SIGAF DIC 20'!$B$2:$B$849,$A124,'SIGAF DIC 20'!$J$2:$J$849)</f>
        <v>0</v>
      </c>
      <c r="J124" s="76">
        <f t="shared" si="2"/>
        <v>0</v>
      </c>
      <c r="K124" s="69">
        <f>SUMIF('SIGAF DIC 20'!$B$2:$B$849,$A124,'SIGAF DIC 20'!$K$2:$K$849)</f>
        <v>2450327.0699999998</v>
      </c>
      <c r="L124" s="77">
        <f t="shared" si="3"/>
        <v>0.63323144491880212</v>
      </c>
      <c r="M124" s="69">
        <f>SUMIF('SIGAF DIC 20'!$B$2:$B$849,$A124,'SIGAF DIC 20'!$M$2:$M$849)</f>
        <v>1999233.69</v>
      </c>
      <c r="N124" s="76">
        <f t="shared" si="4"/>
        <v>0.51665659403136277</v>
      </c>
      <c r="O124" s="68">
        <f>SUMIF('SIGAF DIC 20'!$B$2:$B$849,$A124,'SIGAF DIC 20'!$O$2:$O$849)</f>
        <v>1419232.93</v>
      </c>
      <c r="P124" s="76">
        <f t="shared" si="5"/>
        <v>0.36676855508119782</v>
      </c>
      <c r="Q124" s="69">
        <f>SUMIF('SIGAF DIC 20'!$B$2:$B$849,$A124,'SIGAF DIC 20'!$Q$2:$Q$849)</f>
        <v>1419232.93</v>
      </c>
      <c r="R124" s="76">
        <f t="shared" si="6"/>
        <v>0.36676855508119782</v>
      </c>
    </row>
    <row r="125" spans="1:18" x14ac:dyDescent="0.25">
      <c r="A125" s="66" t="s">
        <v>108</v>
      </c>
      <c r="B125" s="66" t="s">
        <v>523</v>
      </c>
      <c r="C125" s="69">
        <f>SUMIF('SIGAF DIC 20'!$B$2:$B$849,$A125,'SIGAF DIC 20'!$F$2:$F$849)</f>
        <v>1394813025.8400002</v>
      </c>
      <c r="D125" s="69">
        <f>SUMIF('SIGAF DIC 20'!$B$2:$B$849,$A125,'SIGAF DIC 20'!$G$2:$G$849)</f>
        <v>1394813025.8400002</v>
      </c>
      <c r="E125" s="69">
        <f>SUMIF('SIGAF DIC 20'!$B$2:$B$849,$A125,'SIGAF DIC 20'!$H$2:$H$849)</f>
        <v>0</v>
      </c>
      <c r="F125" s="76">
        <f t="shared" si="0"/>
        <v>0</v>
      </c>
      <c r="G125" s="69">
        <f>SUMIF('SIGAF DIC 20'!$B$2:$B$849,$A125,'SIGAF DIC 20'!$I$2:$I$849)</f>
        <v>100189311.32999998</v>
      </c>
      <c r="H125" s="76">
        <f t="shared" si="1"/>
        <v>7.1829922343650932E-2</v>
      </c>
      <c r="I125" s="69">
        <f>SUMIF('SIGAF DIC 20'!$B$2:$B$849,$A125,'SIGAF DIC 20'!$J$2:$J$849)</f>
        <v>0</v>
      </c>
      <c r="J125" s="76">
        <f t="shared" si="2"/>
        <v>0</v>
      </c>
      <c r="K125" s="69">
        <f>SUMIF('SIGAF DIC 20'!$B$2:$B$849,$A125,'SIGAF DIC 20'!$K$2:$K$849)</f>
        <v>1039283701.4400001</v>
      </c>
      <c r="L125" s="77">
        <f t="shared" si="3"/>
        <v>0.74510610539653577</v>
      </c>
      <c r="M125" s="69">
        <f>SUMIF('SIGAF DIC 20'!$B$2:$B$849,$A125,'SIGAF DIC 20'!$M$2:$M$849)</f>
        <v>870584188.13999999</v>
      </c>
      <c r="N125" s="76">
        <f t="shared" si="4"/>
        <v>0.62415834381508362</v>
      </c>
      <c r="O125" s="68">
        <f>SUMIF('SIGAF DIC 20'!$B$2:$B$849,$A125,'SIGAF DIC 20'!$O$2:$O$849)</f>
        <v>255340013.06999999</v>
      </c>
      <c r="P125" s="76">
        <f t="shared" si="5"/>
        <v>0.18306397225981327</v>
      </c>
      <c r="Q125" s="69">
        <f>SUMIF('SIGAF DIC 20'!$B$2:$B$849,$A125,'SIGAF DIC 20'!$Q$2:$Q$849)</f>
        <v>255340013.06999999</v>
      </c>
      <c r="R125" s="76">
        <f t="shared" si="6"/>
        <v>0.18306397225981327</v>
      </c>
    </row>
    <row r="126" spans="1:18" x14ac:dyDescent="0.25">
      <c r="A126" s="66" t="s">
        <v>304</v>
      </c>
      <c r="B126" s="66" t="s">
        <v>524</v>
      </c>
      <c r="C126" s="69">
        <f>SUMIF('SIGAF DIC 20'!$B$2:$B$849,$A126,'SIGAF DIC 20'!$F$2:$F$849)</f>
        <v>81981128.060000002</v>
      </c>
      <c r="D126" s="69">
        <f>SUMIF('SIGAF DIC 20'!$B$2:$B$849,$A126,'SIGAF DIC 20'!$G$2:$G$849)</f>
        <v>81981128.060000002</v>
      </c>
      <c r="E126" s="69">
        <f>SUMIF('SIGAF DIC 20'!$B$2:$B$849,$A126,'SIGAF DIC 20'!$H$2:$H$849)</f>
        <v>0</v>
      </c>
      <c r="F126" s="76">
        <f t="shared" si="0"/>
        <v>0</v>
      </c>
      <c r="G126" s="69">
        <f>SUMIF('SIGAF DIC 20'!$B$2:$B$849,$A126,'SIGAF DIC 20'!$I$2:$I$849)</f>
        <v>7502550.1600000001</v>
      </c>
      <c r="H126" s="76">
        <f t="shared" si="1"/>
        <v>9.1515576054394684E-2</v>
      </c>
      <c r="I126" s="69">
        <f>SUMIF('SIGAF DIC 20'!$B$2:$B$849,$A126,'SIGAF DIC 20'!$J$2:$J$849)</f>
        <v>0</v>
      </c>
      <c r="J126" s="76">
        <f t="shared" si="2"/>
        <v>0</v>
      </c>
      <c r="K126" s="69">
        <f>SUMIF('SIGAF DIC 20'!$B$2:$B$849,$A126,'SIGAF DIC 20'!$K$2:$K$849)</f>
        <v>67689796.609999999</v>
      </c>
      <c r="L126" s="77">
        <f t="shared" si="3"/>
        <v>0.82567535006909731</v>
      </c>
      <c r="M126" s="69">
        <f>SUMIF('SIGAF DIC 20'!$B$2:$B$849,$A126,'SIGAF DIC 20'!$M$2:$M$849)</f>
        <v>57388060.710000001</v>
      </c>
      <c r="N126" s="76">
        <f t="shared" si="4"/>
        <v>0.70001550439753735</v>
      </c>
      <c r="O126" s="68">
        <f>SUMIF('SIGAF DIC 20'!$B$2:$B$849,$A126,'SIGAF DIC 20'!$O$2:$O$849)</f>
        <v>6788781.29</v>
      </c>
      <c r="P126" s="76">
        <f t="shared" si="5"/>
        <v>8.280907387650796E-2</v>
      </c>
      <c r="Q126" s="69">
        <f>SUMIF('SIGAF DIC 20'!$B$2:$B$849,$A126,'SIGAF DIC 20'!$Q$2:$Q$849)</f>
        <v>6788781.29</v>
      </c>
      <c r="R126" s="76">
        <f t="shared" si="6"/>
        <v>8.280907387650796E-2</v>
      </c>
    </row>
    <row r="127" spans="1:18" x14ac:dyDescent="0.25">
      <c r="A127" s="66" t="s">
        <v>110</v>
      </c>
      <c r="B127" s="66" t="s">
        <v>111</v>
      </c>
      <c r="C127" s="69">
        <f>SUMIF('SIGAF DIC 20'!$B$2:$B$849,$A127,'SIGAF DIC 20'!$F$2:$F$849)</f>
        <v>8099765184</v>
      </c>
      <c r="D127" s="69">
        <f>SUMIF('SIGAF DIC 20'!$B$2:$B$849,$A127,'SIGAF DIC 20'!$G$2:$G$849)</f>
        <v>8099765184</v>
      </c>
      <c r="E127" s="69">
        <f>SUMIF('SIGAF DIC 20'!$B$2:$B$849,$A127,'SIGAF DIC 20'!$H$2:$H$849)</f>
        <v>0</v>
      </c>
      <c r="F127" s="76">
        <f t="shared" si="0"/>
        <v>0</v>
      </c>
      <c r="G127" s="69">
        <f>SUMIF('SIGAF DIC 20'!$B$2:$B$849,$A127,'SIGAF DIC 20'!$I$2:$I$849)</f>
        <v>164750743.16999999</v>
      </c>
      <c r="H127" s="76">
        <f t="shared" si="1"/>
        <v>2.0340187576726666E-2</v>
      </c>
      <c r="I127" s="69">
        <f>SUMIF('SIGAF DIC 20'!$B$2:$B$849,$A127,'SIGAF DIC 20'!$J$2:$J$849)</f>
        <v>0</v>
      </c>
      <c r="J127" s="76">
        <f t="shared" si="2"/>
        <v>0</v>
      </c>
      <c r="K127" s="69">
        <f>SUMIF('SIGAF DIC 20'!$B$2:$B$849,$A127,'SIGAF DIC 20'!$K$2:$K$849)</f>
        <v>7076316839.9099998</v>
      </c>
      <c r="L127" s="77">
        <f t="shared" si="3"/>
        <v>0.87364468958783092</v>
      </c>
      <c r="M127" s="69">
        <f>SUMIF('SIGAF DIC 20'!$B$2:$B$849,$A127,'SIGAF DIC 20'!$M$2:$M$849)</f>
        <v>6847557055.8900003</v>
      </c>
      <c r="N127" s="76">
        <f t="shared" si="4"/>
        <v>0.84540192219602006</v>
      </c>
      <c r="O127" s="68">
        <f>SUMIF('SIGAF DIC 20'!$B$2:$B$849,$A127,'SIGAF DIC 20'!$O$2:$O$849)</f>
        <v>858697600.91999996</v>
      </c>
      <c r="P127" s="76">
        <f t="shared" si="5"/>
        <v>0.10601512283544243</v>
      </c>
      <c r="Q127" s="69">
        <f>SUMIF('SIGAF DIC 20'!$B$2:$B$849,$A127,'SIGAF DIC 20'!$Q$2:$Q$849)</f>
        <v>858697600.91999996</v>
      </c>
      <c r="R127" s="76">
        <f t="shared" si="6"/>
        <v>0.10601512283544243</v>
      </c>
    </row>
    <row r="128" spans="1:18" x14ac:dyDescent="0.25">
      <c r="A128" s="66" t="s">
        <v>112</v>
      </c>
      <c r="B128" s="66" t="s">
        <v>525</v>
      </c>
      <c r="C128" s="69">
        <f>SUMIF('SIGAF DIC 20'!$B$2:$B$849,$A128,'SIGAF DIC 20'!$F$2:$F$849)</f>
        <v>5502895133</v>
      </c>
      <c r="D128" s="69">
        <f>SUMIF('SIGAF DIC 20'!$B$2:$B$849,$A128,'SIGAF DIC 20'!$G$2:$G$849)</f>
        <v>5502895133</v>
      </c>
      <c r="E128" s="69">
        <f>SUMIF('SIGAF DIC 20'!$B$2:$B$849,$A128,'SIGAF DIC 20'!$H$2:$H$849)</f>
        <v>0</v>
      </c>
      <c r="F128" s="76">
        <f t="shared" si="0"/>
        <v>0</v>
      </c>
      <c r="G128" s="69">
        <f>SUMIF('SIGAF DIC 20'!$B$2:$B$849,$A128,'SIGAF DIC 20'!$I$2:$I$849)</f>
        <v>223288500.27000004</v>
      </c>
      <c r="H128" s="76">
        <f t="shared" si="1"/>
        <v>4.0576550138303358E-2</v>
      </c>
      <c r="I128" s="69">
        <f>SUMIF('SIGAF DIC 20'!$B$2:$B$849,$A128,'SIGAF DIC 20'!$J$2:$J$849)</f>
        <v>0</v>
      </c>
      <c r="J128" s="76">
        <f t="shared" si="2"/>
        <v>0</v>
      </c>
      <c r="K128" s="69">
        <f>SUMIF('SIGAF DIC 20'!$B$2:$B$849,$A128,'SIGAF DIC 20'!$K$2:$K$849)</f>
        <v>5156973550.04</v>
      </c>
      <c r="L128" s="77">
        <f t="shared" si="3"/>
        <v>0.9371382563906111</v>
      </c>
      <c r="M128" s="69">
        <f>SUMIF('SIGAF DIC 20'!$B$2:$B$849,$A128,'SIGAF DIC 20'!$M$2:$M$849)</f>
        <v>4895652064.9899988</v>
      </c>
      <c r="N128" s="76">
        <f t="shared" si="4"/>
        <v>0.88965025621359572</v>
      </c>
      <c r="O128" s="68">
        <f>SUMIF('SIGAF DIC 20'!$B$2:$B$849,$A128,'SIGAF DIC 20'!$O$2:$O$849)</f>
        <v>122633082.69</v>
      </c>
      <c r="P128" s="76">
        <f t="shared" si="5"/>
        <v>2.228519347108554E-2</v>
      </c>
      <c r="Q128" s="69">
        <f>SUMIF('SIGAF DIC 20'!$B$2:$B$849,$A128,'SIGAF DIC 20'!$Q$2:$Q$849)</f>
        <v>122633082.69</v>
      </c>
      <c r="R128" s="76">
        <f t="shared" si="6"/>
        <v>2.228519347108554E-2</v>
      </c>
    </row>
    <row r="129" spans="1:18" x14ac:dyDescent="0.25">
      <c r="A129" s="66" t="s">
        <v>114</v>
      </c>
      <c r="B129" s="66" t="s">
        <v>526</v>
      </c>
      <c r="C129" s="69">
        <f>SUMIF('SIGAF DIC 20'!$B$2:$B$849,$A129,'SIGAF DIC 20'!$F$2:$F$849)</f>
        <v>3033891322</v>
      </c>
      <c r="D129" s="69">
        <f>SUMIF('SIGAF DIC 20'!$B$2:$B$849,$A129,'SIGAF DIC 20'!$G$2:$G$849)</f>
        <v>3033891322</v>
      </c>
      <c r="E129" s="69">
        <f>SUMIF('SIGAF DIC 20'!$B$2:$B$849,$A129,'SIGAF DIC 20'!$H$2:$H$849)</f>
        <v>0</v>
      </c>
      <c r="F129" s="76">
        <f t="shared" si="0"/>
        <v>0</v>
      </c>
      <c r="G129" s="69">
        <f>SUMIF('SIGAF DIC 20'!$B$2:$B$849,$A129,'SIGAF DIC 20'!$I$2:$I$849)</f>
        <v>15858143.83</v>
      </c>
      <c r="H129" s="76">
        <f t="shared" si="1"/>
        <v>5.226997986053767E-3</v>
      </c>
      <c r="I129" s="69">
        <f>SUMIF('SIGAF DIC 20'!$B$2:$B$849,$A129,'SIGAF DIC 20'!$J$2:$J$849)</f>
        <v>0</v>
      </c>
      <c r="J129" s="76">
        <f t="shared" si="2"/>
        <v>0</v>
      </c>
      <c r="K129" s="69">
        <f>SUMIF('SIGAF DIC 20'!$B$2:$B$849,$A129,'SIGAF DIC 20'!$K$2:$K$849)</f>
        <v>3016814507.98</v>
      </c>
      <c r="L129" s="77">
        <f t="shared" si="3"/>
        <v>0.99437131650162647</v>
      </c>
      <c r="M129" s="69">
        <f>SUMIF('SIGAF DIC 20'!$B$2:$B$849,$A129,'SIGAF DIC 20'!$M$2:$M$849)</f>
        <v>2994072100.98</v>
      </c>
      <c r="N129" s="76">
        <f t="shared" si="4"/>
        <v>0.98687519861662332</v>
      </c>
      <c r="O129" s="68">
        <f>SUMIF('SIGAF DIC 20'!$B$2:$B$849,$A129,'SIGAF DIC 20'!$O$2:$O$849)</f>
        <v>1218670.1900000002</v>
      </c>
      <c r="P129" s="76">
        <f t="shared" si="5"/>
        <v>4.0168551231974559E-4</v>
      </c>
      <c r="Q129" s="69">
        <f>SUMIF('SIGAF DIC 20'!$B$2:$B$849,$A129,'SIGAF DIC 20'!$Q$2:$Q$849)</f>
        <v>1218670.1900000002</v>
      </c>
      <c r="R129" s="76">
        <f t="shared" si="6"/>
        <v>4.0168551231974559E-4</v>
      </c>
    </row>
    <row r="130" spans="1:18" x14ac:dyDescent="0.25">
      <c r="A130" s="66" t="s">
        <v>116</v>
      </c>
      <c r="B130" s="66" t="s">
        <v>527</v>
      </c>
      <c r="C130" s="69">
        <f>SUMIF('SIGAF DIC 20'!$B$2:$B$849,$A130,'SIGAF DIC 20'!$F$2:$F$849)</f>
        <v>1522895316</v>
      </c>
      <c r="D130" s="69">
        <f>SUMIF('SIGAF DIC 20'!$B$2:$B$849,$A130,'SIGAF DIC 20'!$G$2:$G$849)</f>
        <v>1522895316</v>
      </c>
      <c r="E130" s="69">
        <f>SUMIF('SIGAF DIC 20'!$B$2:$B$849,$A130,'SIGAF DIC 20'!$H$2:$H$849)</f>
        <v>0</v>
      </c>
      <c r="F130" s="76">
        <f t="shared" si="0"/>
        <v>0</v>
      </c>
      <c r="G130" s="69">
        <f>SUMIF('SIGAF DIC 20'!$B$2:$B$849,$A130,'SIGAF DIC 20'!$I$2:$I$849)</f>
        <v>119336550.21000002</v>
      </c>
      <c r="H130" s="76">
        <f t="shared" si="1"/>
        <v>7.8361624043500583E-2</v>
      </c>
      <c r="I130" s="69">
        <f>SUMIF('SIGAF DIC 20'!$B$2:$B$849,$A130,'SIGAF DIC 20'!$J$2:$J$849)</f>
        <v>0</v>
      </c>
      <c r="J130" s="76">
        <f t="shared" si="2"/>
        <v>0</v>
      </c>
      <c r="K130" s="69">
        <f>SUMIF('SIGAF DIC 20'!$B$2:$B$849,$A130,'SIGAF DIC 20'!$K$2:$K$849)</f>
        <v>1402767827.22</v>
      </c>
      <c r="L130" s="77">
        <f t="shared" si="3"/>
        <v>0.92111901092747206</v>
      </c>
      <c r="M130" s="69">
        <f>SUMIF('SIGAF DIC 20'!$B$2:$B$849,$A130,'SIGAF DIC 20'!$M$2:$M$849)</f>
        <v>1311478532.22</v>
      </c>
      <c r="N130" s="76">
        <f t="shared" si="4"/>
        <v>0.8611744474102776</v>
      </c>
      <c r="O130" s="68">
        <f>SUMIF('SIGAF DIC 20'!$B$2:$B$849,$A130,'SIGAF DIC 20'!$O$2:$O$849)</f>
        <v>790938.57000000007</v>
      </c>
      <c r="P130" s="76">
        <f t="shared" si="5"/>
        <v>5.1936502902737939E-4</v>
      </c>
      <c r="Q130" s="69">
        <f>SUMIF('SIGAF DIC 20'!$B$2:$B$849,$A130,'SIGAF DIC 20'!$Q$2:$Q$849)</f>
        <v>790938.57000000007</v>
      </c>
      <c r="R130" s="76">
        <f t="shared" si="6"/>
        <v>5.1936502902737939E-4</v>
      </c>
    </row>
    <row r="131" spans="1:18" x14ac:dyDescent="0.25">
      <c r="A131" s="66" t="s">
        <v>118</v>
      </c>
      <c r="B131" s="66" t="s">
        <v>119</v>
      </c>
      <c r="C131" s="69">
        <f>SUMIF('SIGAF DIC 20'!$B$2:$B$849,$A131,'SIGAF DIC 20'!$F$2:$F$849)</f>
        <v>11719924</v>
      </c>
      <c r="D131" s="69">
        <f>SUMIF('SIGAF DIC 20'!$B$2:$B$849,$A131,'SIGAF DIC 20'!$G$2:$G$849)</f>
        <v>11719924</v>
      </c>
      <c r="E131" s="69">
        <f>SUMIF('SIGAF DIC 20'!$B$2:$B$849,$A131,'SIGAF DIC 20'!$H$2:$H$849)</f>
        <v>0</v>
      </c>
      <c r="F131" s="76">
        <f t="shared" si="0"/>
        <v>0</v>
      </c>
      <c r="G131" s="69">
        <f>SUMIF('SIGAF DIC 20'!$B$2:$B$849,$A131,'SIGAF DIC 20'!$I$2:$I$849)</f>
        <v>1939962.25</v>
      </c>
      <c r="H131" s="76">
        <f t="shared" si="1"/>
        <v>0.16552686263153243</v>
      </c>
      <c r="I131" s="69">
        <f>SUMIF('SIGAF DIC 20'!$B$2:$B$849,$A131,'SIGAF DIC 20'!$J$2:$J$849)</f>
        <v>0</v>
      </c>
      <c r="J131" s="76">
        <f t="shared" si="2"/>
        <v>0</v>
      </c>
      <c r="K131" s="69">
        <f>SUMIF('SIGAF DIC 20'!$B$2:$B$849,$A131,'SIGAF DIC 20'!$K$2:$K$849)</f>
        <v>2597361.4500000002</v>
      </c>
      <c r="L131" s="77">
        <f t="shared" si="3"/>
        <v>0.22161930828220389</v>
      </c>
      <c r="M131" s="69">
        <f>SUMIF('SIGAF DIC 20'!$B$2:$B$849,$A131,'SIGAF DIC 20'!$M$2:$M$849)</f>
        <v>2530917.4500000002</v>
      </c>
      <c r="N131" s="76">
        <f t="shared" si="4"/>
        <v>0.21594998824224459</v>
      </c>
      <c r="O131" s="68">
        <f>SUMIF('SIGAF DIC 20'!$B$2:$B$849,$A131,'SIGAF DIC 20'!$O$2:$O$849)</f>
        <v>7182600.2999999998</v>
      </c>
      <c r="P131" s="76">
        <f t="shared" si="5"/>
        <v>0.61285382908626373</v>
      </c>
      <c r="Q131" s="69">
        <f>SUMIF('SIGAF DIC 20'!$B$2:$B$849,$A131,'SIGAF DIC 20'!$Q$2:$Q$849)</f>
        <v>7182600.2999999998</v>
      </c>
      <c r="R131" s="76">
        <f t="shared" si="6"/>
        <v>0.61285382908626373</v>
      </c>
    </row>
    <row r="132" spans="1:18" x14ac:dyDescent="0.25">
      <c r="A132" s="66" t="s">
        <v>120</v>
      </c>
      <c r="B132" s="66" t="s">
        <v>528</v>
      </c>
      <c r="C132" s="69">
        <f>SUMIF('SIGAF DIC 20'!$B$2:$B$849,$A132,'SIGAF DIC 20'!$F$2:$F$849)</f>
        <v>743324152</v>
      </c>
      <c r="D132" s="69">
        <f>SUMIF('SIGAF DIC 20'!$B$2:$B$849,$A132,'SIGAF DIC 20'!$G$2:$G$849)</f>
        <v>743324152</v>
      </c>
      <c r="E132" s="69">
        <f>SUMIF('SIGAF DIC 20'!$B$2:$B$849,$A132,'SIGAF DIC 20'!$H$2:$H$849)</f>
        <v>0</v>
      </c>
      <c r="F132" s="76">
        <f t="shared" si="0"/>
        <v>0</v>
      </c>
      <c r="G132" s="69">
        <f>SUMIF('SIGAF DIC 20'!$B$2:$B$849,$A132,'SIGAF DIC 20'!$I$2:$I$849)</f>
        <v>70023354.279999986</v>
      </c>
      <c r="H132" s="76">
        <f t="shared" si="1"/>
        <v>9.4202985456067881E-2</v>
      </c>
      <c r="I132" s="69">
        <f>SUMIF('SIGAF DIC 20'!$B$2:$B$849,$A132,'SIGAF DIC 20'!$J$2:$J$849)</f>
        <v>0</v>
      </c>
      <c r="J132" s="76">
        <f t="shared" si="2"/>
        <v>0</v>
      </c>
      <c r="K132" s="69">
        <f>SUMIF('SIGAF DIC 20'!$B$2:$B$849,$A132,'SIGAF DIC 20'!$K$2:$K$849)</f>
        <v>644779140.98000014</v>
      </c>
      <c r="L132" s="77">
        <f t="shared" si="3"/>
        <v>0.86742659880638473</v>
      </c>
      <c r="M132" s="69">
        <f>SUMIF('SIGAF DIC 20'!$B$2:$B$849,$A132,'SIGAF DIC 20'!$M$2:$M$849)</f>
        <v>499724441.43000001</v>
      </c>
      <c r="N132" s="76">
        <f t="shared" si="4"/>
        <v>0.67228333706826737</v>
      </c>
      <c r="O132" s="68">
        <f>SUMIF('SIGAF DIC 20'!$B$2:$B$849,$A132,'SIGAF DIC 20'!$O$2:$O$849)</f>
        <v>28521656.739999998</v>
      </c>
      <c r="P132" s="76">
        <f t="shared" si="5"/>
        <v>3.8370415737547563E-2</v>
      </c>
      <c r="Q132" s="69">
        <f>SUMIF('SIGAF DIC 20'!$B$2:$B$849,$A132,'SIGAF DIC 20'!$Q$2:$Q$849)</f>
        <v>28521656.739999998</v>
      </c>
      <c r="R132" s="76">
        <f t="shared" si="6"/>
        <v>3.8370415737547563E-2</v>
      </c>
    </row>
    <row r="133" spans="1:18" x14ac:dyDescent="0.25">
      <c r="A133" s="66" t="s">
        <v>122</v>
      </c>
      <c r="B133" s="66" t="s">
        <v>529</v>
      </c>
      <c r="C133" s="69">
        <f>SUMIF('SIGAF DIC 20'!$B$2:$B$849,$A133,'SIGAF DIC 20'!$F$2:$F$849)</f>
        <v>191064419</v>
      </c>
      <c r="D133" s="69">
        <f>SUMIF('SIGAF DIC 20'!$B$2:$B$849,$A133,'SIGAF DIC 20'!$G$2:$G$849)</f>
        <v>191064419</v>
      </c>
      <c r="E133" s="69">
        <f>SUMIF('SIGAF DIC 20'!$B$2:$B$849,$A133,'SIGAF DIC 20'!$H$2:$H$849)</f>
        <v>0</v>
      </c>
      <c r="F133" s="76">
        <f t="shared" si="0"/>
        <v>0</v>
      </c>
      <c r="G133" s="69">
        <f>SUMIF('SIGAF DIC 20'!$B$2:$B$849,$A133,'SIGAF DIC 20'!$I$2:$I$849)</f>
        <v>16130489.699999999</v>
      </c>
      <c r="H133" s="76">
        <f t="shared" si="1"/>
        <v>8.4424351663299479E-2</v>
      </c>
      <c r="I133" s="69">
        <f>SUMIF('SIGAF DIC 20'!$B$2:$B$849,$A133,'SIGAF DIC 20'!$J$2:$J$849)</f>
        <v>0</v>
      </c>
      <c r="J133" s="76">
        <f t="shared" si="2"/>
        <v>0</v>
      </c>
      <c r="K133" s="69">
        <f>SUMIF('SIGAF DIC 20'!$B$2:$B$849,$A133,'SIGAF DIC 20'!$K$2:$K$849)</f>
        <v>90014712.409999996</v>
      </c>
      <c r="L133" s="77">
        <f t="shared" si="3"/>
        <v>0.47112232032066625</v>
      </c>
      <c r="M133" s="69">
        <f>SUMIF('SIGAF DIC 20'!$B$2:$B$849,$A133,'SIGAF DIC 20'!$M$2:$M$849)</f>
        <v>87846072.909999996</v>
      </c>
      <c r="N133" s="76">
        <f t="shared" si="4"/>
        <v>0.45977201495585629</v>
      </c>
      <c r="O133" s="68">
        <f>SUMIF('SIGAF DIC 20'!$B$2:$B$849,$A133,'SIGAF DIC 20'!$O$2:$O$849)</f>
        <v>84919216.890000001</v>
      </c>
      <c r="P133" s="76">
        <f t="shared" si="5"/>
        <v>0.44445332801603421</v>
      </c>
      <c r="Q133" s="69">
        <f>SUMIF('SIGAF DIC 20'!$B$2:$B$849,$A133,'SIGAF DIC 20'!$Q$2:$Q$849)</f>
        <v>84919216.890000001</v>
      </c>
      <c r="R133" s="76">
        <f t="shared" si="6"/>
        <v>0.44445332801603421</v>
      </c>
    </row>
    <row r="134" spans="1:18" x14ac:dyDescent="0.25">
      <c r="A134" s="66" t="s">
        <v>124</v>
      </c>
      <c r="B134" s="66" t="s">
        <v>530</v>
      </c>
      <c r="C134" s="69">
        <f>SUMIF('SIGAF DIC 20'!$B$2:$B$849,$A134,'SIGAF DIC 20'!$F$2:$F$849)</f>
        <v>29547040</v>
      </c>
      <c r="D134" s="69">
        <f>SUMIF('SIGAF DIC 20'!$B$2:$B$849,$A134,'SIGAF DIC 20'!$G$2:$G$849)</f>
        <v>29547040</v>
      </c>
      <c r="E134" s="69">
        <f>SUMIF('SIGAF DIC 20'!$B$2:$B$849,$A134,'SIGAF DIC 20'!$H$2:$H$849)</f>
        <v>0</v>
      </c>
      <c r="F134" s="76">
        <f t="shared" si="0"/>
        <v>0</v>
      </c>
      <c r="G134" s="69">
        <f>SUMIF('SIGAF DIC 20'!$B$2:$B$849,$A134,'SIGAF DIC 20'!$I$2:$I$849)</f>
        <v>4271327.49</v>
      </c>
      <c r="H134" s="76">
        <f t="shared" si="1"/>
        <v>0.14456025002842926</v>
      </c>
      <c r="I134" s="69">
        <f>SUMIF('SIGAF DIC 20'!$B$2:$B$849,$A134,'SIGAF DIC 20'!$J$2:$J$849)</f>
        <v>0</v>
      </c>
      <c r="J134" s="76">
        <f t="shared" si="2"/>
        <v>0</v>
      </c>
      <c r="K134" s="69">
        <f>SUMIF('SIGAF DIC 20'!$B$2:$B$849,$A134,'SIGAF DIC 20'!$K$2:$K$849)</f>
        <v>15682412.790000001</v>
      </c>
      <c r="L134" s="77">
        <f t="shared" si="3"/>
        <v>0.53076087452414866</v>
      </c>
      <c r="M134" s="69">
        <f>SUMIF('SIGAF DIC 20'!$B$2:$B$849,$A134,'SIGAF DIC 20'!$M$2:$M$849)</f>
        <v>13849925.65</v>
      </c>
      <c r="N134" s="76">
        <f t="shared" si="4"/>
        <v>0.46874156091439279</v>
      </c>
      <c r="O134" s="68">
        <f>SUMIF('SIGAF DIC 20'!$B$2:$B$849,$A134,'SIGAF DIC 20'!$O$2:$O$849)</f>
        <v>9593299.7199999988</v>
      </c>
      <c r="P134" s="76">
        <f t="shared" si="5"/>
        <v>0.32467887544742208</v>
      </c>
      <c r="Q134" s="69">
        <f>SUMIF('SIGAF DIC 20'!$B$2:$B$849,$A134,'SIGAF DIC 20'!$Q$2:$Q$849)</f>
        <v>9593299.7199999988</v>
      </c>
      <c r="R134" s="76">
        <f t="shared" si="6"/>
        <v>0.32467887544742208</v>
      </c>
    </row>
    <row r="135" spans="1:18" x14ac:dyDescent="0.25">
      <c r="A135" s="66" t="s">
        <v>126</v>
      </c>
      <c r="B135" s="66" t="s">
        <v>531</v>
      </c>
      <c r="C135" s="69">
        <f>SUMIF('SIGAF DIC 20'!$B$2:$B$849,$A135,'SIGAF DIC 20'!$F$2:$F$849)</f>
        <v>18313760</v>
      </c>
      <c r="D135" s="69">
        <f>SUMIF('SIGAF DIC 20'!$B$2:$B$849,$A135,'SIGAF DIC 20'!$G$2:$G$849)</f>
        <v>18313760</v>
      </c>
      <c r="E135" s="69">
        <f>SUMIF('SIGAF DIC 20'!$B$2:$B$849,$A135,'SIGAF DIC 20'!$H$2:$H$849)</f>
        <v>0</v>
      </c>
      <c r="F135" s="76">
        <f t="shared" si="0"/>
        <v>0</v>
      </c>
      <c r="G135" s="69">
        <f>SUMIF('SIGAF DIC 20'!$B$2:$B$849,$A135,'SIGAF DIC 20'!$I$2:$I$849)</f>
        <v>3885220.4</v>
      </c>
      <c r="H135" s="76">
        <f t="shared" si="1"/>
        <v>0.21214760922934447</v>
      </c>
      <c r="I135" s="69">
        <f>SUMIF('SIGAF DIC 20'!$B$2:$B$849,$A135,'SIGAF DIC 20'!$J$2:$J$849)</f>
        <v>0</v>
      </c>
      <c r="J135" s="76">
        <f t="shared" si="2"/>
        <v>0</v>
      </c>
      <c r="K135" s="69">
        <f>SUMIF('SIGAF DIC 20'!$B$2:$B$849,$A135,'SIGAF DIC 20'!$K$2:$K$849)</f>
        <v>10424783.49</v>
      </c>
      <c r="L135" s="77">
        <f t="shared" si="3"/>
        <v>0.56923228708905216</v>
      </c>
      <c r="M135" s="69">
        <f>SUMIF('SIGAF DIC 20'!$B$2:$B$849,$A135,'SIGAF DIC 20'!$M$2:$M$849)</f>
        <v>9107027.5099999998</v>
      </c>
      <c r="N135" s="76">
        <f t="shared" si="4"/>
        <v>0.49727786702457605</v>
      </c>
      <c r="O135" s="68">
        <f>SUMIF('SIGAF DIC 20'!$B$2:$B$849,$A135,'SIGAF DIC 20'!$O$2:$O$849)</f>
        <v>4003756.1100000003</v>
      </c>
      <c r="P135" s="76">
        <f t="shared" si="5"/>
        <v>0.21862010368160337</v>
      </c>
      <c r="Q135" s="69">
        <f>SUMIF('SIGAF DIC 20'!$B$2:$B$849,$A135,'SIGAF DIC 20'!$Q$2:$Q$849)</f>
        <v>4003756.1100000003</v>
      </c>
      <c r="R135" s="76">
        <f t="shared" si="6"/>
        <v>0.21862010368160337</v>
      </c>
    </row>
    <row r="136" spans="1:18" x14ac:dyDescent="0.25">
      <c r="A136" s="66" t="s">
        <v>532</v>
      </c>
      <c r="B136" s="66" t="s">
        <v>533</v>
      </c>
      <c r="C136" s="69">
        <f>SUMIF('SIGAF DIC 20'!$B$2:$B$849,$A136,'SIGAF DIC 20'!$F$2:$F$849)</f>
        <v>209050</v>
      </c>
      <c r="D136" s="69">
        <f>SUMIF('SIGAF DIC 20'!$B$2:$B$849,$A136,'SIGAF DIC 20'!$G$2:$G$849)</f>
        <v>209050</v>
      </c>
      <c r="E136" s="69">
        <f>SUMIF('SIGAF DIC 20'!$B$2:$B$849,$A136,'SIGAF DIC 20'!$H$2:$H$849)</f>
        <v>0</v>
      </c>
      <c r="F136" s="76">
        <f t="shared" si="0"/>
        <v>0</v>
      </c>
      <c r="G136" s="69">
        <f>SUMIF('SIGAF DIC 20'!$B$2:$B$849,$A136,'SIGAF DIC 20'!$I$2:$I$849)</f>
        <v>0</v>
      </c>
      <c r="H136" s="76">
        <f t="shared" si="1"/>
        <v>0</v>
      </c>
      <c r="I136" s="69">
        <f>SUMIF('SIGAF DIC 20'!$B$2:$B$849,$A136,'SIGAF DIC 20'!$J$2:$J$849)</f>
        <v>0</v>
      </c>
      <c r="J136" s="76">
        <f t="shared" si="2"/>
        <v>0</v>
      </c>
      <c r="K136" s="69">
        <f>SUMIF('SIGAF DIC 20'!$B$2:$B$849,$A136,'SIGAF DIC 20'!$K$2:$K$849)</f>
        <v>209050</v>
      </c>
      <c r="L136" s="77">
        <f t="shared" si="3"/>
        <v>1</v>
      </c>
      <c r="M136" s="69">
        <f>SUMIF('SIGAF DIC 20'!$B$2:$B$849,$A136,'SIGAF DIC 20'!$M$2:$M$849)</f>
        <v>209050</v>
      </c>
      <c r="N136" s="76">
        <f t="shared" si="4"/>
        <v>1</v>
      </c>
      <c r="O136" s="68">
        <f>SUMIF('SIGAF DIC 20'!$B$2:$B$849,$A136,'SIGAF DIC 20'!$O$2:$O$849)</f>
        <v>0</v>
      </c>
      <c r="P136" s="76">
        <f t="shared" si="5"/>
        <v>0</v>
      </c>
      <c r="Q136" s="69">
        <f>SUMIF('SIGAF DIC 20'!$B$2:$B$849,$A136,'SIGAF DIC 20'!$Q$2:$Q$849)</f>
        <v>0</v>
      </c>
      <c r="R136" s="76">
        <f t="shared" si="6"/>
        <v>0</v>
      </c>
    </row>
    <row r="137" spans="1:18" x14ac:dyDescent="0.25">
      <c r="A137" s="66" t="s">
        <v>128</v>
      </c>
      <c r="B137" s="66" t="s">
        <v>534</v>
      </c>
      <c r="C137" s="69">
        <f>SUMIF('SIGAF DIC 20'!$B$2:$B$849,$A137,'SIGAF DIC 20'!$F$2:$F$849)</f>
        <v>5000000</v>
      </c>
      <c r="D137" s="69">
        <f>SUMIF('SIGAF DIC 20'!$B$2:$B$849,$A137,'SIGAF DIC 20'!$G$2:$G$849)</f>
        <v>5000000</v>
      </c>
      <c r="E137" s="69">
        <f>SUMIF('SIGAF DIC 20'!$B$2:$B$849,$A137,'SIGAF DIC 20'!$H$2:$H$849)</f>
        <v>0</v>
      </c>
      <c r="F137" s="76">
        <f t="shared" si="0"/>
        <v>0</v>
      </c>
      <c r="G137" s="69">
        <f>SUMIF('SIGAF DIC 20'!$B$2:$B$849,$A137,'SIGAF DIC 20'!$I$2:$I$849)</f>
        <v>50000</v>
      </c>
      <c r="H137" s="76">
        <f t="shared" si="1"/>
        <v>0.01</v>
      </c>
      <c r="I137" s="69">
        <f>SUMIF('SIGAF DIC 20'!$B$2:$B$849,$A137,'SIGAF DIC 20'!$J$2:$J$849)</f>
        <v>0</v>
      </c>
      <c r="J137" s="76">
        <f t="shared" si="2"/>
        <v>0</v>
      </c>
      <c r="K137" s="69">
        <f>SUMIF('SIGAF DIC 20'!$B$2:$B$849,$A137,'SIGAF DIC 20'!$K$2:$K$849)</f>
        <v>3131329.91</v>
      </c>
      <c r="L137" s="77">
        <f t="shared" si="3"/>
        <v>0.62626598200000005</v>
      </c>
      <c r="M137" s="69">
        <f>SUMIF('SIGAF DIC 20'!$B$2:$B$849,$A137,'SIGAF DIC 20'!$M$2:$M$849)</f>
        <v>3131329.91</v>
      </c>
      <c r="N137" s="76">
        <f t="shared" si="4"/>
        <v>0.62626598200000005</v>
      </c>
      <c r="O137" s="68">
        <f>SUMIF('SIGAF DIC 20'!$B$2:$B$849,$A137,'SIGAF DIC 20'!$O$2:$O$849)</f>
        <v>1818670.09</v>
      </c>
      <c r="P137" s="76">
        <f t="shared" si="5"/>
        <v>0.36373401799999999</v>
      </c>
      <c r="Q137" s="69">
        <f>SUMIF('SIGAF DIC 20'!$B$2:$B$849,$A137,'SIGAF DIC 20'!$Q$2:$Q$849)</f>
        <v>1818670.09</v>
      </c>
      <c r="R137" s="76">
        <f t="shared" si="6"/>
        <v>0.36373401799999999</v>
      </c>
    </row>
    <row r="138" spans="1:18" x14ac:dyDescent="0.25">
      <c r="A138" s="66" t="s">
        <v>535</v>
      </c>
      <c r="B138" s="66" t="s">
        <v>536</v>
      </c>
      <c r="C138" s="69">
        <f>SUMIF('SIGAF DIC 20'!$B$2:$B$849,$A138,'SIGAF DIC 20'!$F$2:$F$849)</f>
        <v>0</v>
      </c>
      <c r="D138" s="69">
        <f>SUMIF('SIGAF DIC 20'!$B$2:$B$849,$A138,'SIGAF DIC 20'!$G$2:$G$849)</f>
        <v>0</v>
      </c>
      <c r="E138" s="69">
        <f>SUMIF('SIGAF DIC 20'!$B$2:$B$849,$A138,'SIGAF DIC 20'!$H$2:$H$849)</f>
        <v>0</v>
      </c>
      <c r="F138" s="76">
        <f t="shared" si="0"/>
        <v>0</v>
      </c>
      <c r="G138" s="69">
        <f>SUMIF('SIGAF DIC 20'!$B$2:$B$849,$A138,'SIGAF DIC 20'!$I$2:$I$849)</f>
        <v>0</v>
      </c>
      <c r="H138" s="76">
        <f t="shared" si="1"/>
        <v>0</v>
      </c>
      <c r="I138" s="69">
        <f>SUMIF('SIGAF DIC 20'!$B$2:$B$849,$A138,'SIGAF DIC 20'!$J$2:$J$849)</f>
        <v>0</v>
      </c>
      <c r="J138" s="76">
        <f t="shared" si="2"/>
        <v>0</v>
      </c>
      <c r="K138" s="69">
        <f>SUMIF('SIGAF DIC 20'!$B$2:$B$849,$A138,'SIGAF DIC 20'!$K$2:$K$849)</f>
        <v>0</v>
      </c>
      <c r="L138" s="77">
        <f t="shared" si="3"/>
        <v>0</v>
      </c>
      <c r="M138" s="69">
        <f>SUMIF('SIGAF DIC 20'!$B$2:$B$849,$A138,'SIGAF DIC 20'!$M$2:$M$849)</f>
        <v>0</v>
      </c>
      <c r="N138" s="76">
        <f t="shared" si="4"/>
        <v>0</v>
      </c>
      <c r="O138" s="68">
        <f>SUMIF('SIGAF DIC 20'!$B$2:$B$849,$A138,'SIGAF DIC 20'!$O$2:$O$849)</f>
        <v>0</v>
      </c>
      <c r="P138" s="76">
        <f t="shared" si="5"/>
        <v>0</v>
      </c>
      <c r="Q138" s="69">
        <f>SUMIF('SIGAF DIC 20'!$B$2:$B$849,$A138,'SIGAF DIC 20'!$Q$2:$Q$849)</f>
        <v>0</v>
      </c>
      <c r="R138" s="76">
        <f t="shared" si="6"/>
        <v>0</v>
      </c>
    </row>
    <row r="139" spans="1:18" x14ac:dyDescent="0.25">
      <c r="A139" s="66" t="s">
        <v>130</v>
      </c>
      <c r="B139" s="66" t="s">
        <v>537</v>
      </c>
      <c r="C139" s="69">
        <f>SUMIF('SIGAF DIC 20'!$B$2:$B$849,$A139,'SIGAF DIC 20'!$F$2:$F$849)</f>
        <v>138100</v>
      </c>
      <c r="D139" s="69">
        <f>SUMIF('SIGAF DIC 20'!$B$2:$B$849,$A139,'SIGAF DIC 20'!$G$2:$G$849)</f>
        <v>138100</v>
      </c>
      <c r="E139" s="69">
        <f>SUMIF('SIGAF DIC 20'!$B$2:$B$849,$A139,'SIGAF DIC 20'!$H$2:$H$849)</f>
        <v>0</v>
      </c>
      <c r="F139" s="76">
        <f t="shared" si="0"/>
        <v>0</v>
      </c>
      <c r="G139" s="69">
        <f>SUMIF('SIGAF DIC 20'!$B$2:$B$849,$A139,'SIGAF DIC 20'!$I$2:$I$849)</f>
        <v>17206.64</v>
      </c>
      <c r="H139" s="76">
        <f t="shared" si="1"/>
        <v>0.12459551049963793</v>
      </c>
      <c r="I139" s="69">
        <f>SUMIF('SIGAF DIC 20'!$B$2:$B$849,$A139,'SIGAF DIC 20'!$J$2:$J$849)</f>
        <v>0</v>
      </c>
      <c r="J139" s="76">
        <f t="shared" si="2"/>
        <v>0</v>
      </c>
      <c r="K139" s="69">
        <f>SUMIF('SIGAF DIC 20'!$B$2:$B$849,$A139,'SIGAF DIC 20'!$K$2:$K$849)</f>
        <v>90793.36</v>
      </c>
      <c r="L139" s="77">
        <f t="shared" si="3"/>
        <v>0.65744648805213612</v>
      </c>
      <c r="M139" s="69">
        <f>SUMIF('SIGAF DIC 20'!$B$2:$B$849,$A139,'SIGAF DIC 20'!$M$2:$M$849)</f>
        <v>90793.36</v>
      </c>
      <c r="N139" s="76">
        <f t="shared" si="4"/>
        <v>0.65744648805213612</v>
      </c>
      <c r="O139" s="68">
        <f>SUMIF('SIGAF DIC 20'!$B$2:$B$849,$A139,'SIGAF DIC 20'!$O$2:$O$849)</f>
        <v>30100</v>
      </c>
      <c r="P139" s="76">
        <f t="shared" si="5"/>
        <v>0.21795800144822591</v>
      </c>
      <c r="Q139" s="69">
        <f>SUMIF('SIGAF DIC 20'!$B$2:$B$849,$A139,'SIGAF DIC 20'!$Q$2:$Q$849)</f>
        <v>30100</v>
      </c>
      <c r="R139" s="76">
        <f t="shared" si="6"/>
        <v>0.21795800144822591</v>
      </c>
    </row>
    <row r="140" spans="1:18" x14ac:dyDescent="0.25">
      <c r="A140" s="66" t="s">
        <v>132</v>
      </c>
      <c r="B140" s="66" t="s">
        <v>538</v>
      </c>
      <c r="C140" s="69">
        <f>SUMIF('SIGAF DIC 20'!$B$2:$B$849,$A140,'SIGAF DIC 20'!$F$2:$F$849)</f>
        <v>5886130</v>
      </c>
      <c r="D140" s="69">
        <f>SUMIF('SIGAF DIC 20'!$B$2:$B$849,$A140,'SIGAF DIC 20'!$G$2:$G$849)</f>
        <v>5886130</v>
      </c>
      <c r="E140" s="69">
        <f>SUMIF('SIGAF DIC 20'!$B$2:$B$849,$A140,'SIGAF DIC 20'!$H$2:$H$849)</f>
        <v>0</v>
      </c>
      <c r="F140" s="76">
        <f t="shared" si="0"/>
        <v>0</v>
      </c>
      <c r="G140" s="69">
        <f>SUMIF('SIGAF DIC 20'!$B$2:$B$849,$A140,'SIGAF DIC 20'!$I$2:$I$849)</f>
        <v>318900.45</v>
      </c>
      <c r="H140" s="76">
        <f t="shared" si="1"/>
        <v>5.4178288620876536E-2</v>
      </c>
      <c r="I140" s="69">
        <f>SUMIF('SIGAF DIC 20'!$B$2:$B$849,$A140,'SIGAF DIC 20'!$J$2:$J$849)</f>
        <v>0</v>
      </c>
      <c r="J140" s="76">
        <f t="shared" si="2"/>
        <v>0</v>
      </c>
      <c r="K140" s="69">
        <f>SUMIF('SIGAF DIC 20'!$B$2:$B$849,$A140,'SIGAF DIC 20'!$K$2:$K$849)</f>
        <v>1826456.0299999998</v>
      </c>
      <c r="L140" s="77">
        <f t="shared" si="3"/>
        <v>0.31029828257275999</v>
      </c>
      <c r="M140" s="69">
        <f>SUMIF('SIGAF DIC 20'!$B$2:$B$849,$A140,'SIGAF DIC 20'!$M$2:$M$849)</f>
        <v>1311724.8700000001</v>
      </c>
      <c r="N140" s="76">
        <f t="shared" si="4"/>
        <v>0.22285013582778501</v>
      </c>
      <c r="O140" s="68">
        <f>SUMIF('SIGAF DIC 20'!$B$2:$B$849,$A140,'SIGAF DIC 20'!$O$2:$O$849)</f>
        <v>3740773.52</v>
      </c>
      <c r="P140" s="76">
        <f t="shared" si="5"/>
        <v>0.63552342880636348</v>
      </c>
      <c r="Q140" s="69">
        <f>SUMIF('SIGAF DIC 20'!$B$2:$B$849,$A140,'SIGAF DIC 20'!$Q$2:$Q$849)</f>
        <v>3740773.52</v>
      </c>
      <c r="R140" s="76">
        <f t="shared" si="6"/>
        <v>0.63552342880636348</v>
      </c>
    </row>
    <row r="141" spans="1:18" x14ac:dyDescent="0.25">
      <c r="A141" s="66" t="s">
        <v>134</v>
      </c>
      <c r="B141" s="66" t="s">
        <v>539</v>
      </c>
      <c r="C141" s="69">
        <f>SUMIF('SIGAF DIC 20'!$B$2:$B$849,$A141,'SIGAF DIC 20'!$F$2:$F$849)</f>
        <v>708034133</v>
      </c>
      <c r="D141" s="69">
        <f>SUMIF('SIGAF DIC 20'!$B$2:$B$849,$A141,'SIGAF DIC 20'!$G$2:$G$849)</f>
        <v>708034133</v>
      </c>
      <c r="E141" s="69">
        <f>SUMIF('SIGAF DIC 20'!$B$2:$B$849,$A141,'SIGAF DIC 20'!$H$2:$H$849)</f>
        <v>0</v>
      </c>
      <c r="F141" s="76">
        <f t="shared" si="0"/>
        <v>0</v>
      </c>
      <c r="G141" s="69">
        <f>SUMIF('SIGAF DIC 20'!$B$2:$B$849,$A141,'SIGAF DIC 20'!$I$2:$I$849)</f>
        <v>7262946.9400000004</v>
      </c>
      <c r="H141" s="76">
        <f t="shared" si="1"/>
        <v>1.0257905094527413E-2</v>
      </c>
      <c r="I141" s="69">
        <f>SUMIF('SIGAF DIC 20'!$B$2:$B$849,$A141,'SIGAF DIC 20'!$J$2:$J$849)</f>
        <v>0</v>
      </c>
      <c r="J141" s="76">
        <f t="shared" si="2"/>
        <v>0</v>
      </c>
      <c r="K141" s="69">
        <f>SUMIF('SIGAF DIC 20'!$B$2:$B$849,$A141,'SIGAF DIC 20'!$K$2:$K$849)</f>
        <v>650722062.53000009</v>
      </c>
      <c r="L141" s="77">
        <f t="shared" si="3"/>
        <v>0.91905465033562173</v>
      </c>
      <c r="M141" s="69">
        <f>SUMIF('SIGAF DIC 20'!$B$2:$B$849,$A141,'SIGAF DIC 20'!$M$2:$M$849)</f>
        <v>579801235.60000002</v>
      </c>
      <c r="N141" s="76">
        <f t="shared" si="4"/>
        <v>0.81888881986993134</v>
      </c>
      <c r="O141" s="68">
        <f>SUMIF('SIGAF DIC 20'!$B$2:$B$849,$A141,'SIGAF DIC 20'!$O$2:$O$849)</f>
        <v>50049123.529999994</v>
      </c>
      <c r="P141" s="76">
        <f t="shared" si="5"/>
        <v>7.0687444569850974E-2</v>
      </c>
      <c r="Q141" s="69">
        <f>SUMIF('SIGAF DIC 20'!$B$2:$B$849,$A141,'SIGAF DIC 20'!$Q$2:$Q$849)</f>
        <v>50049123.529999994</v>
      </c>
      <c r="R141" s="76">
        <f t="shared" si="6"/>
        <v>7.0687444569850974E-2</v>
      </c>
    </row>
    <row r="142" spans="1:18" x14ac:dyDescent="0.25">
      <c r="A142" s="66" t="s">
        <v>346</v>
      </c>
      <c r="B142" s="66" t="s">
        <v>540</v>
      </c>
      <c r="C142" s="69">
        <f>SUMIF('SIGAF DIC 20'!$B$2:$B$849,$A142,'SIGAF DIC 20'!$F$2:$F$849)</f>
        <v>14125550</v>
      </c>
      <c r="D142" s="69">
        <f>SUMIF('SIGAF DIC 20'!$B$2:$B$849,$A142,'SIGAF DIC 20'!$G$2:$G$849)</f>
        <v>14125550</v>
      </c>
      <c r="E142" s="69">
        <f>SUMIF('SIGAF DIC 20'!$B$2:$B$849,$A142,'SIGAF DIC 20'!$H$2:$H$849)</f>
        <v>0</v>
      </c>
      <c r="F142" s="76">
        <f t="shared" si="0"/>
        <v>0</v>
      </c>
      <c r="G142" s="69">
        <f>SUMIF('SIGAF DIC 20'!$B$2:$B$849,$A142,'SIGAF DIC 20'!$I$2:$I$849)</f>
        <v>0</v>
      </c>
      <c r="H142" s="76">
        <f t="shared" si="1"/>
        <v>0</v>
      </c>
      <c r="I142" s="69">
        <f>SUMIF('SIGAF DIC 20'!$B$2:$B$849,$A142,'SIGAF DIC 20'!$J$2:$J$849)</f>
        <v>0</v>
      </c>
      <c r="J142" s="76">
        <f t="shared" si="2"/>
        <v>0</v>
      </c>
      <c r="K142" s="69">
        <f>SUMIF('SIGAF DIC 20'!$B$2:$B$849,$A142,'SIGAF DIC 20'!$K$2:$K$849)</f>
        <v>8897615.9900000002</v>
      </c>
      <c r="L142" s="77">
        <f t="shared" si="3"/>
        <v>0.62989518921387133</v>
      </c>
      <c r="M142" s="69">
        <f>SUMIF('SIGAF DIC 20'!$B$2:$B$849,$A142,'SIGAF DIC 20'!$M$2:$M$849)</f>
        <v>5800895.9900000002</v>
      </c>
      <c r="N142" s="76">
        <f t="shared" si="4"/>
        <v>0.41066691137690214</v>
      </c>
      <c r="O142" s="68">
        <f>SUMIF('SIGAF DIC 20'!$B$2:$B$849,$A142,'SIGAF DIC 20'!$O$2:$O$849)</f>
        <v>5227934.01</v>
      </c>
      <c r="P142" s="76">
        <f t="shared" si="5"/>
        <v>0.37010481078612867</v>
      </c>
      <c r="Q142" s="69">
        <f>SUMIF('SIGAF DIC 20'!$B$2:$B$849,$A142,'SIGAF DIC 20'!$Q$2:$Q$849)</f>
        <v>5227934.01</v>
      </c>
      <c r="R142" s="76">
        <f t="shared" si="6"/>
        <v>0.37010481078612867</v>
      </c>
    </row>
    <row r="143" spans="1:18" x14ac:dyDescent="0.25">
      <c r="A143" s="66" t="s">
        <v>306</v>
      </c>
      <c r="B143" s="66" t="s">
        <v>541</v>
      </c>
      <c r="C143" s="69">
        <f>SUMIF('SIGAF DIC 20'!$B$2:$B$849,$A143,'SIGAF DIC 20'!$F$2:$F$849)</f>
        <v>2000000</v>
      </c>
      <c r="D143" s="69">
        <f>SUMIF('SIGAF DIC 20'!$B$2:$B$849,$A143,'SIGAF DIC 20'!$G$2:$G$849)</f>
        <v>2000000</v>
      </c>
      <c r="E143" s="69">
        <f>SUMIF('SIGAF DIC 20'!$B$2:$B$849,$A143,'SIGAF DIC 20'!$H$2:$H$849)</f>
        <v>0</v>
      </c>
      <c r="F143" s="76">
        <f t="shared" si="0"/>
        <v>0</v>
      </c>
      <c r="G143" s="69">
        <f>SUMIF('SIGAF DIC 20'!$B$2:$B$849,$A143,'SIGAF DIC 20'!$I$2:$I$849)</f>
        <v>0</v>
      </c>
      <c r="H143" s="76">
        <f t="shared" si="1"/>
        <v>0</v>
      </c>
      <c r="I143" s="69">
        <f>SUMIF('SIGAF DIC 20'!$B$2:$B$849,$A143,'SIGAF DIC 20'!$J$2:$J$849)</f>
        <v>0</v>
      </c>
      <c r="J143" s="76">
        <f t="shared" si="2"/>
        <v>0</v>
      </c>
      <c r="K143" s="69">
        <f>SUMIF('SIGAF DIC 20'!$B$2:$B$849,$A143,'SIGAF DIC 20'!$K$2:$K$849)</f>
        <v>0</v>
      </c>
      <c r="L143" s="77">
        <f t="shared" si="3"/>
        <v>0</v>
      </c>
      <c r="M143" s="69">
        <f>SUMIF('SIGAF DIC 20'!$B$2:$B$849,$A143,'SIGAF DIC 20'!$M$2:$M$849)</f>
        <v>0</v>
      </c>
      <c r="N143" s="76">
        <f t="shared" si="4"/>
        <v>0</v>
      </c>
      <c r="O143" s="68">
        <f>SUMIF('SIGAF DIC 20'!$B$2:$B$849,$A143,'SIGAF DIC 20'!$O$2:$O$849)</f>
        <v>2000000</v>
      </c>
      <c r="P143" s="76">
        <f t="shared" si="5"/>
        <v>1</v>
      </c>
      <c r="Q143" s="69">
        <f>SUMIF('SIGAF DIC 20'!$B$2:$B$849,$A143,'SIGAF DIC 20'!$Q$2:$Q$849)</f>
        <v>2000000</v>
      </c>
      <c r="R143" s="76">
        <f t="shared" si="6"/>
        <v>1</v>
      </c>
    </row>
    <row r="144" spans="1:18" x14ac:dyDescent="0.25">
      <c r="A144" s="66" t="s">
        <v>308</v>
      </c>
      <c r="B144" s="66" t="s">
        <v>542</v>
      </c>
      <c r="C144" s="69">
        <f>SUMIF('SIGAF DIC 20'!$B$2:$B$849,$A144,'SIGAF DIC 20'!$F$2:$F$849)</f>
        <v>73506483</v>
      </c>
      <c r="D144" s="69">
        <f>SUMIF('SIGAF DIC 20'!$B$2:$B$849,$A144,'SIGAF DIC 20'!$G$2:$G$849)</f>
        <v>73506483</v>
      </c>
      <c r="E144" s="69">
        <f>SUMIF('SIGAF DIC 20'!$B$2:$B$849,$A144,'SIGAF DIC 20'!$H$2:$H$849)</f>
        <v>0</v>
      </c>
      <c r="F144" s="76">
        <f t="shared" si="0"/>
        <v>0</v>
      </c>
      <c r="G144" s="69">
        <f>SUMIF('SIGAF DIC 20'!$B$2:$B$849,$A144,'SIGAF DIC 20'!$I$2:$I$849)</f>
        <v>1481644.34</v>
      </c>
      <c r="H144" s="76">
        <f t="shared" si="1"/>
        <v>2.0156648495888451E-2</v>
      </c>
      <c r="I144" s="69">
        <f>SUMIF('SIGAF DIC 20'!$B$2:$B$849,$A144,'SIGAF DIC 20'!$J$2:$J$849)</f>
        <v>0</v>
      </c>
      <c r="J144" s="76">
        <f t="shared" si="2"/>
        <v>0</v>
      </c>
      <c r="K144" s="69">
        <f>SUMIF('SIGAF DIC 20'!$B$2:$B$849,$A144,'SIGAF DIC 20'!$K$2:$K$849)</f>
        <v>69280522.569999993</v>
      </c>
      <c r="L144" s="77">
        <f t="shared" si="3"/>
        <v>0.94250901066780723</v>
      </c>
      <c r="M144" s="69">
        <f>SUMIF('SIGAF DIC 20'!$B$2:$B$849,$A144,'SIGAF DIC 20'!$M$2:$M$849)</f>
        <v>69280522.569999993</v>
      </c>
      <c r="N144" s="76">
        <f t="shared" si="4"/>
        <v>0.94250901066780723</v>
      </c>
      <c r="O144" s="68">
        <f>SUMIF('SIGAF DIC 20'!$B$2:$B$849,$A144,'SIGAF DIC 20'!$O$2:$O$849)</f>
        <v>2744316.09</v>
      </c>
      <c r="P144" s="76">
        <f t="shared" si="5"/>
        <v>3.7334340836304193E-2</v>
      </c>
      <c r="Q144" s="69">
        <f>SUMIF('SIGAF DIC 20'!$B$2:$B$849,$A144,'SIGAF DIC 20'!$Q$2:$Q$849)</f>
        <v>2744316.09</v>
      </c>
      <c r="R144" s="76">
        <f t="shared" si="6"/>
        <v>3.7334340836304193E-2</v>
      </c>
    </row>
    <row r="145" spans="1:18" x14ac:dyDescent="0.25">
      <c r="A145" s="66" t="s">
        <v>543</v>
      </c>
      <c r="B145" s="66" t="s">
        <v>544</v>
      </c>
      <c r="C145" s="69">
        <f>SUMIF('SIGAF DIC 20'!$B$2:$B$849,$A145,'SIGAF DIC 20'!$F$2:$F$849)</f>
        <v>0</v>
      </c>
      <c r="D145" s="69">
        <f>SUMIF('SIGAF DIC 20'!$B$2:$B$849,$A145,'SIGAF DIC 20'!$G$2:$G$849)</f>
        <v>0</v>
      </c>
      <c r="E145" s="69">
        <f>SUMIF('SIGAF DIC 20'!$B$2:$B$849,$A145,'SIGAF DIC 20'!$H$2:$H$849)</f>
        <v>0</v>
      </c>
      <c r="F145" s="76">
        <f t="shared" si="0"/>
        <v>0</v>
      </c>
      <c r="G145" s="69">
        <f>SUMIF('SIGAF DIC 20'!$B$2:$B$849,$A145,'SIGAF DIC 20'!$I$2:$I$849)</f>
        <v>0</v>
      </c>
      <c r="H145" s="76">
        <f t="shared" si="1"/>
        <v>0</v>
      </c>
      <c r="I145" s="69">
        <f>SUMIF('SIGAF DIC 20'!$B$2:$B$849,$A145,'SIGAF DIC 20'!$J$2:$J$849)</f>
        <v>0</v>
      </c>
      <c r="J145" s="76">
        <f t="shared" si="2"/>
        <v>0</v>
      </c>
      <c r="K145" s="69">
        <f>SUMIF('SIGAF DIC 20'!$B$2:$B$849,$A145,'SIGAF DIC 20'!$K$2:$K$849)</f>
        <v>0</v>
      </c>
      <c r="L145" s="77">
        <f t="shared" si="3"/>
        <v>0</v>
      </c>
      <c r="M145" s="69">
        <f>SUMIF('SIGAF DIC 20'!$B$2:$B$849,$A145,'SIGAF DIC 20'!$M$2:$M$849)</f>
        <v>0</v>
      </c>
      <c r="N145" s="76">
        <f t="shared" si="4"/>
        <v>0</v>
      </c>
      <c r="O145" s="68">
        <f>SUMIF('SIGAF DIC 20'!$B$2:$B$849,$A145,'SIGAF DIC 20'!$O$2:$O$849)</f>
        <v>0</v>
      </c>
      <c r="P145" s="76">
        <f t="shared" si="5"/>
        <v>0</v>
      </c>
      <c r="Q145" s="69">
        <f>SUMIF('SIGAF DIC 20'!$B$2:$B$849,$A145,'SIGAF DIC 20'!$Q$2:$Q$849)</f>
        <v>0</v>
      </c>
      <c r="R145" s="76">
        <f t="shared" si="6"/>
        <v>0</v>
      </c>
    </row>
    <row r="146" spans="1:18" x14ac:dyDescent="0.25">
      <c r="A146" s="66" t="s">
        <v>545</v>
      </c>
      <c r="B146" s="66" t="s">
        <v>546</v>
      </c>
      <c r="C146" s="69">
        <f>SUMIF('SIGAF DIC 20'!$B$2:$B$849,$A146,'SIGAF DIC 20'!$F$2:$F$849)</f>
        <v>0</v>
      </c>
      <c r="D146" s="69">
        <f>SUMIF('SIGAF DIC 20'!$B$2:$B$849,$A146,'SIGAF DIC 20'!$G$2:$G$849)</f>
        <v>0</v>
      </c>
      <c r="E146" s="69">
        <f>SUMIF('SIGAF DIC 20'!$B$2:$B$849,$A146,'SIGAF DIC 20'!$H$2:$H$849)</f>
        <v>0</v>
      </c>
      <c r="F146" s="76">
        <f t="shared" si="0"/>
        <v>0</v>
      </c>
      <c r="G146" s="69">
        <f>SUMIF('SIGAF DIC 20'!$B$2:$B$849,$A146,'SIGAF DIC 20'!$I$2:$I$849)</f>
        <v>0</v>
      </c>
      <c r="H146" s="76">
        <f t="shared" si="1"/>
        <v>0</v>
      </c>
      <c r="I146" s="69">
        <f>SUMIF('SIGAF DIC 20'!$B$2:$B$849,$A146,'SIGAF DIC 20'!$J$2:$J$849)</f>
        <v>0</v>
      </c>
      <c r="J146" s="76">
        <f t="shared" si="2"/>
        <v>0</v>
      </c>
      <c r="K146" s="69">
        <f>SUMIF('SIGAF DIC 20'!$B$2:$B$849,$A146,'SIGAF DIC 20'!$K$2:$K$849)</f>
        <v>0</v>
      </c>
      <c r="L146" s="77">
        <f t="shared" si="3"/>
        <v>0</v>
      </c>
      <c r="M146" s="69">
        <f>SUMIF('SIGAF DIC 20'!$B$2:$B$849,$A146,'SIGAF DIC 20'!$M$2:$M$849)</f>
        <v>0</v>
      </c>
      <c r="N146" s="76">
        <f t="shared" si="4"/>
        <v>0</v>
      </c>
      <c r="O146" s="68">
        <f>SUMIF('SIGAF DIC 20'!$B$2:$B$849,$A146,'SIGAF DIC 20'!$O$2:$O$849)</f>
        <v>0</v>
      </c>
      <c r="P146" s="76">
        <f t="shared" si="5"/>
        <v>0</v>
      </c>
      <c r="Q146" s="69">
        <f>SUMIF('SIGAF DIC 20'!$B$2:$B$849,$A146,'SIGAF DIC 20'!$Q$2:$Q$849)</f>
        <v>0</v>
      </c>
      <c r="R146" s="76">
        <f t="shared" si="6"/>
        <v>0</v>
      </c>
    </row>
    <row r="147" spans="1:18" x14ac:dyDescent="0.25">
      <c r="A147" s="66" t="s">
        <v>136</v>
      </c>
      <c r="B147" s="66" t="s">
        <v>137</v>
      </c>
      <c r="C147" s="69">
        <f>SUMIF('SIGAF DIC 20'!$B$2:$B$849,$A147,'SIGAF DIC 20'!$F$2:$F$849)</f>
        <v>548494205</v>
      </c>
      <c r="D147" s="69">
        <f>SUMIF('SIGAF DIC 20'!$B$2:$B$849,$A147,'SIGAF DIC 20'!$G$2:$G$849)</f>
        <v>548494205</v>
      </c>
      <c r="E147" s="69">
        <f>SUMIF('SIGAF DIC 20'!$B$2:$B$849,$A147,'SIGAF DIC 20'!$H$2:$H$849)</f>
        <v>0</v>
      </c>
      <c r="F147" s="76">
        <f t="shared" si="0"/>
        <v>0</v>
      </c>
      <c r="G147" s="69">
        <f>SUMIF('SIGAF DIC 20'!$B$2:$B$849,$A147,'SIGAF DIC 20'!$I$2:$I$849)</f>
        <v>129842.67</v>
      </c>
      <c r="H147" s="76">
        <f t="shared" si="1"/>
        <v>2.367256915686101E-4</v>
      </c>
      <c r="I147" s="69">
        <f>SUMIF('SIGAF DIC 20'!$B$2:$B$849,$A147,'SIGAF DIC 20'!$J$2:$J$849)</f>
        <v>0</v>
      </c>
      <c r="J147" s="76">
        <f t="shared" si="2"/>
        <v>0</v>
      </c>
      <c r="K147" s="69">
        <f>SUMIF('SIGAF DIC 20'!$B$2:$B$849,$A147,'SIGAF DIC 20'!$K$2:$K$849)</f>
        <v>515702942.26999998</v>
      </c>
      <c r="L147" s="77">
        <f t="shared" si="3"/>
        <v>0.94021584470523256</v>
      </c>
      <c r="M147" s="69">
        <f>SUMIF('SIGAF DIC 20'!$B$2:$B$849,$A147,'SIGAF DIC 20'!$M$2:$M$849)</f>
        <v>456250902.57000005</v>
      </c>
      <c r="N147" s="76">
        <f t="shared" si="4"/>
        <v>0.83182447218380373</v>
      </c>
      <c r="O147" s="68">
        <f>SUMIF('SIGAF DIC 20'!$B$2:$B$849,$A147,'SIGAF DIC 20'!$O$2:$O$849)</f>
        <v>32661420.060000002</v>
      </c>
      <c r="P147" s="76">
        <f t="shared" si="5"/>
        <v>5.9547429603198823E-2</v>
      </c>
      <c r="Q147" s="69">
        <f>SUMIF('SIGAF DIC 20'!$B$2:$B$849,$A147,'SIGAF DIC 20'!$Q$2:$Q$849)</f>
        <v>32661420.060000002</v>
      </c>
      <c r="R147" s="76">
        <f t="shared" si="6"/>
        <v>5.9547429603198823E-2</v>
      </c>
    </row>
    <row r="148" spans="1:18" x14ac:dyDescent="0.25">
      <c r="A148" s="66" t="s">
        <v>138</v>
      </c>
      <c r="B148" s="66" t="s">
        <v>547</v>
      </c>
      <c r="C148" s="69">
        <f>SUMIF('SIGAF DIC 20'!$B$2:$B$849,$A148,'SIGAF DIC 20'!$F$2:$F$849)</f>
        <v>69907895</v>
      </c>
      <c r="D148" s="69">
        <f>SUMIF('SIGAF DIC 20'!$B$2:$B$849,$A148,'SIGAF DIC 20'!$G$2:$G$849)</f>
        <v>69907895</v>
      </c>
      <c r="E148" s="69">
        <f>SUMIF('SIGAF DIC 20'!$B$2:$B$849,$A148,'SIGAF DIC 20'!$H$2:$H$849)</f>
        <v>0</v>
      </c>
      <c r="F148" s="76">
        <f t="shared" si="0"/>
        <v>0</v>
      </c>
      <c r="G148" s="69">
        <f>SUMIF('SIGAF DIC 20'!$B$2:$B$849,$A148,'SIGAF DIC 20'!$I$2:$I$849)</f>
        <v>5651459.9300000006</v>
      </c>
      <c r="H148" s="76">
        <f t="shared" si="1"/>
        <v>8.0841511963705967E-2</v>
      </c>
      <c r="I148" s="69">
        <f>SUMIF('SIGAF DIC 20'!$B$2:$B$849,$A148,'SIGAF DIC 20'!$J$2:$J$849)</f>
        <v>0</v>
      </c>
      <c r="J148" s="76">
        <f t="shared" si="2"/>
        <v>0</v>
      </c>
      <c r="K148" s="69">
        <f>SUMIF('SIGAF DIC 20'!$B$2:$B$849,$A148,'SIGAF DIC 20'!$K$2:$K$849)</f>
        <v>56840981.699999996</v>
      </c>
      <c r="L148" s="77">
        <f t="shared" si="3"/>
        <v>0.81308386842430314</v>
      </c>
      <c r="M148" s="69">
        <f>SUMIF('SIGAF DIC 20'!$B$2:$B$849,$A148,'SIGAF DIC 20'!$M$2:$M$849)</f>
        <v>48468914.470000006</v>
      </c>
      <c r="N148" s="76">
        <f t="shared" si="4"/>
        <v>0.69332533142358255</v>
      </c>
      <c r="O148" s="68">
        <f>SUMIF('SIGAF DIC 20'!$B$2:$B$849,$A148,'SIGAF DIC 20'!$O$2:$O$849)</f>
        <v>7415453.370000001</v>
      </c>
      <c r="P148" s="76">
        <f t="shared" si="5"/>
        <v>0.10607461961199091</v>
      </c>
      <c r="Q148" s="69">
        <f>SUMIF('SIGAF DIC 20'!$B$2:$B$849,$A148,'SIGAF DIC 20'!$Q$2:$Q$849)</f>
        <v>7415453.370000001</v>
      </c>
      <c r="R148" s="76">
        <f t="shared" si="6"/>
        <v>0.10607461961199091</v>
      </c>
    </row>
    <row r="149" spans="1:18" x14ac:dyDescent="0.25">
      <c r="A149" s="66" t="s">
        <v>140</v>
      </c>
      <c r="B149" s="66" t="s">
        <v>548</v>
      </c>
      <c r="C149" s="69">
        <f>SUMIF('SIGAF DIC 20'!$B$2:$B$849,$A149,'SIGAF DIC 20'!$F$2:$F$849)</f>
        <v>149613570</v>
      </c>
      <c r="D149" s="69">
        <f>SUMIF('SIGAF DIC 20'!$B$2:$B$849,$A149,'SIGAF DIC 20'!$G$2:$G$849)</f>
        <v>149613570</v>
      </c>
      <c r="E149" s="69">
        <f>SUMIF('SIGAF DIC 20'!$B$2:$B$849,$A149,'SIGAF DIC 20'!$H$2:$H$849)</f>
        <v>0</v>
      </c>
      <c r="F149" s="76">
        <f t="shared" si="0"/>
        <v>0</v>
      </c>
      <c r="G149" s="69">
        <f>SUMIF('SIGAF DIC 20'!$B$2:$B$849,$A149,'SIGAF DIC 20'!$I$2:$I$849)</f>
        <v>8846513</v>
      </c>
      <c r="H149" s="76">
        <f t="shared" si="1"/>
        <v>5.9129081673540709E-2</v>
      </c>
      <c r="I149" s="69">
        <f>SUMIF('SIGAF DIC 20'!$B$2:$B$849,$A149,'SIGAF DIC 20'!$J$2:$J$849)</f>
        <v>0</v>
      </c>
      <c r="J149" s="76">
        <f t="shared" si="2"/>
        <v>0</v>
      </c>
      <c r="K149" s="69">
        <f>SUMIF('SIGAF DIC 20'!$B$2:$B$849,$A149,'SIGAF DIC 20'!$K$2:$K$849)</f>
        <v>89896546.370000005</v>
      </c>
      <c r="L149" s="77">
        <f t="shared" si="3"/>
        <v>0.60085824013156031</v>
      </c>
      <c r="M149" s="69">
        <f>SUMIF('SIGAF DIC 20'!$B$2:$B$849,$A149,'SIGAF DIC 20'!$M$2:$M$849)</f>
        <v>89896546.370000005</v>
      </c>
      <c r="N149" s="76">
        <f t="shared" si="4"/>
        <v>0.60085824013156031</v>
      </c>
      <c r="O149" s="68">
        <f>SUMIF('SIGAF DIC 20'!$B$2:$B$849,$A149,'SIGAF DIC 20'!$O$2:$O$849)</f>
        <v>50870510.630000003</v>
      </c>
      <c r="P149" s="76">
        <f t="shared" si="5"/>
        <v>0.34001267819489905</v>
      </c>
      <c r="Q149" s="69">
        <f>SUMIF('SIGAF DIC 20'!$B$2:$B$849,$A149,'SIGAF DIC 20'!$Q$2:$Q$849)</f>
        <v>50870510.630000003</v>
      </c>
      <c r="R149" s="76">
        <f t="shared" si="6"/>
        <v>0.34001267819489905</v>
      </c>
    </row>
    <row r="150" spans="1:18" x14ac:dyDescent="0.25">
      <c r="A150" s="66" t="s">
        <v>142</v>
      </c>
      <c r="B150" s="66" t="s">
        <v>549</v>
      </c>
      <c r="C150" s="69">
        <f>SUMIF('SIGAF DIC 20'!$B$2:$B$849,$A150,'SIGAF DIC 20'!$F$2:$F$849)</f>
        <v>4431209</v>
      </c>
      <c r="D150" s="69">
        <f>SUMIF('SIGAF DIC 20'!$B$2:$B$849,$A150,'SIGAF DIC 20'!$G$2:$G$849)</f>
        <v>4431209</v>
      </c>
      <c r="E150" s="69">
        <f>SUMIF('SIGAF DIC 20'!$B$2:$B$849,$A150,'SIGAF DIC 20'!$H$2:$H$849)</f>
        <v>0</v>
      </c>
      <c r="F150" s="76">
        <f t="shared" si="0"/>
        <v>0</v>
      </c>
      <c r="G150" s="69">
        <f>SUMIF('SIGAF DIC 20'!$B$2:$B$849,$A150,'SIGAF DIC 20'!$I$2:$I$849)</f>
        <v>763763</v>
      </c>
      <c r="H150" s="76">
        <f t="shared" si="1"/>
        <v>0.17235995864785433</v>
      </c>
      <c r="I150" s="69">
        <f>SUMIF('SIGAF DIC 20'!$B$2:$B$849,$A150,'SIGAF DIC 20'!$J$2:$J$849)</f>
        <v>0</v>
      </c>
      <c r="J150" s="76">
        <f t="shared" si="2"/>
        <v>0</v>
      </c>
      <c r="K150" s="69">
        <f>SUMIF('SIGAF DIC 20'!$B$2:$B$849,$A150,'SIGAF DIC 20'!$K$2:$K$849)</f>
        <v>2117854.73</v>
      </c>
      <c r="L150" s="77">
        <f t="shared" si="3"/>
        <v>0.47794060943638633</v>
      </c>
      <c r="M150" s="69">
        <f>SUMIF('SIGAF DIC 20'!$B$2:$B$849,$A150,'SIGAF DIC 20'!$M$2:$M$849)</f>
        <v>2117854.73</v>
      </c>
      <c r="N150" s="76">
        <f t="shared" si="4"/>
        <v>0.47794060943638633</v>
      </c>
      <c r="O150" s="68">
        <f>SUMIF('SIGAF DIC 20'!$B$2:$B$849,$A150,'SIGAF DIC 20'!$O$2:$O$849)</f>
        <v>1549591.27</v>
      </c>
      <c r="P150" s="76">
        <f t="shared" si="5"/>
        <v>0.34969943191575936</v>
      </c>
      <c r="Q150" s="69">
        <f>SUMIF('SIGAF DIC 20'!$B$2:$B$849,$A150,'SIGAF DIC 20'!$Q$2:$Q$849)</f>
        <v>1549591.27</v>
      </c>
      <c r="R150" s="76">
        <f t="shared" si="6"/>
        <v>0.34969943191575936</v>
      </c>
    </row>
    <row r="151" spans="1:18" x14ac:dyDescent="0.25">
      <c r="A151" s="66" t="s">
        <v>144</v>
      </c>
      <c r="B151" s="66" t="s">
        <v>550</v>
      </c>
      <c r="C151" s="69">
        <f>SUMIF('SIGAF DIC 20'!$B$2:$B$849,$A151,'SIGAF DIC 20'!$F$2:$F$849)</f>
        <v>138370575</v>
      </c>
      <c r="D151" s="69">
        <f>SUMIF('SIGAF DIC 20'!$B$2:$B$849,$A151,'SIGAF DIC 20'!$G$2:$G$849)</f>
        <v>138370575</v>
      </c>
      <c r="E151" s="69">
        <f>SUMIF('SIGAF DIC 20'!$B$2:$B$849,$A151,'SIGAF DIC 20'!$H$2:$H$849)</f>
        <v>0</v>
      </c>
      <c r="F151" s="76">
        <f t="shared" si="0"/>
        <v>0</v>
      </c>
      <c r="G151" s="69">
        <f>SUMIF('SIGAF DIC 20'!$B$2:$B$849,$A151,'SIGAF DIC 20'!$I$2:$I$849)</f>
        <v>8082750</v>
      </c>
      <c r="H151" s="76">
        <f t="shared" si="1"/>
        <v>5.8413792094164529E-2</v>
      </c>
      <c r="I151" s="69">
        <f>SUMIF('SIGAF DIC 20'!$B$2:$B$849,$A151,'SIGAF DIC 20'!$J$2:$J$849)</f>
        <v>0</v>
      </c>
      <c r="J151" s="76">
        <f t="shared" si="2"/>
        <v>0</v>
      </c>
      <c r="K151" s="69">
        <f>SUMIF('SIGAF DIC 20'!$B$2:$B$849,$A151,'SIGAF DIC 20'!$K$2:$K$849)</f>
        <v>80973564</v>
      </c>
      <c r="L151" s="77">
        <f t="shared" si="3"/>
        <v>0.58519352109362843</v>
      </c>
      <c r="M151" s="69">
        <f>SUMIF('SIGAF DIC 20'!$B$2:$B$849,$A151,'SIGAF DIC 20'!$M$2:$M$849)</f>
        <v>80973564</v>
      </c>
      <c r="N151" s="76">
        <f t="shared" si="4"/>
        <v>0.58519352109362843</v>
      </c>
      <c r="O151" s="68">
        <f>SUMIF('SIGAF DIC 20'!$B$2:$B$849,$A151,'SIGAF DIC 20'!$O$2:$O$849)</f>
        <v>49314261</v>
      </c>
      <c r="P151" s="76">
        <f t="shared" si="5"/>
        <v>0.35639268681220698</v>
      </c>
      <c r="Q151" s="69">
        <f>SUMIF('SIGAF DIC 20'!$B$2:$B$849,$A151,'SIGAF DIC 20'!$Q$2:$Q$849)</f>
        <v>49314261</v>
      </c>
      <c r="R151" s="76">
        <f t="shared" si="6"/>
        <v>0.35639268681220698</v>
      </c>
    </row>
    <row r="152" spans="1:18" x14ac:dyDescent="0.25">
      <c r="A152" s="66" t="s">
        <v>146</v>
      </c>
      <c r="B152" s="66" t="s">
        <v>551</v>
      </c>
      <c r="C152" s="69">
        <f>SUMIF('SIGAF DIC 20'!$B$2:$B$849,$A152,'SIGAF DIC 20'!$F$2:$F$849)</f>
        <v>2019386</v>
      </c>
      <c r="D152" s="69">
        <f>SUMIF('SIGAF DIC 20'!$B$2:$B$849,$A152,'SIGAF DIC 20'!$G$2:$G$849)</f>
        <v>2019386</v>
      </c>
      <c r="E152" s="69">
        <f>SUMIF('SIGAF DIC 20'!$B$2:$B$849,$A152,'SIGAF DIC 20'!$H$2:$H$849)</f>
        <v>0</v>
      </c>
      <c r="F152" s="76">
        <f t="shared" si="0"/>
        <v>0</v>
      </c>
      <c r="G152" s="69">
        <f>SUMIF('SIGAF DIC 20'!$B$2:$B$849,$A152,'SIGAF DIC 20'!$I$2:$I$849)</f>
        <v>0</v>
      </c>
      <c r="H152" s="76">
        <f t="shared" si="1"/>
        <v>0</v>
      </c>
      <c r="I152" s="69">
        <f>SUMIF('SIGAF DIC 20'!$B$2:$B$849,$A152,'SIGAF DIC 20'!$J$2:$J$849)</f>
        <v>0</v>
      </c>
      <c r="J152" s="76">
        <f t="shared" si="2"/>
        <v>0</v>
      </c>
      <c r="K152" s="69">
        <f>SUMIF('SIGAF DIC 20'!$B$2:$B$849,$A152,'SIGAF DIC 20'!$K$2:$K$849)</f>
        <v>2012728.83</v>
      </c>
      <c r="L152" s="77">
        <f t="shared" si="3"/>
        <v>0.99670336924193792</v>
      </c>
      <c r="M152" s="69">
        <f>SUMIF('SIGAF DIC 20'!$B$2:$B$849,$A152,'SIGAF DIC 20'!$M$2:$M$849)</f>
        <v>2012728.83</v>
      </c>
      <c r="N152" s="76">
        <f t="shared" si="4"/>
        <v>0.99670336924193792</v>
      </c>
      <c r="O152" s="68">
        <f>SUMIF('SIGAF DIC 20'!$B$2:$B$849,$A152,'SIGAF DIC 20'!$O$2:$O$849)</f>
        <v>6657.17</v>
      </c>
      <c r="P152" s="76">
        <f t="shared" si="5"/>
        <v>3.296630758062104E-3</v>
      </c>
      <c r="Q152" s="69">
        <f>SUMIF('SIGAF DIC 20'!$B$2:$B$849,$A152,'SIGAF DIC 20'!$Q$2:$Q$849)</f>
        <v>6657.17</v>
      </c>
      <c r="R152" s="76">
        <f t="shared" si="6"/>
        <v>3.296630758062104E-3</v>
      </c>
    </row>
    <row r="153" spans="1:18" x14ac:dyDescent="0.25">
      <c r="A153" s="66" t="s">
        <v>148</v>
      </c>
      <c r="B153" s="66" t="s">
        <v>552</v>
      </c>
      <c r="C153" s="69">
        <f>SUMIF('SIGAF DIC 20'!$B$2:$B$849,$A153,'SIGAF DIC 20'!$F$2:$F$849)</f>
        <v>4792400</v>
      </c>
      <c r="D153" s="69">
        <f>SUMIF('SIGAF DIC 20'!$B$2:$B$849,$A153,'SIGAF DIC 20'!$G$2:$G$849)</f>
        <v>4792400</v>
      </c>
      <c r="E153" s="69">
        <f>SUMIF('SIGAF DIC 20'!$B$2:$B$849,$A153,'SIGAF DIC 20'!$H$2:$H$849)</f>
        <v>0</v>
      </c>
      <c r="F153" s="76">
        <f t="shared" si="0"/>
        <v>0</v>
      </c>
      <c r="G153" s="69">
        <f>SUMIF('SIGAF DIC 20'!$B$2:$B$849,$A153,'SIGAF DIC 20'!$I$2:$I$849)</f>
        <v>0</v>
      </c>
      <c r="H153" s="76">
        <f t="shared" si="1"/>
        <v>0</v>
      </c>
      <c r="I153" s="69">
        <f>SUMIF('SIGAF DIC 20'!$B$2:$B$849,$A153,'SIGAF DIC 20'!$J$2:$J$849)</f>
        <v>0</v>
      </c>
      <c r="J153" s="76">
        <f t="shared" si="2"/>
        <v>0</v>
      </c>
      <c r="K153" s="69">
        <f>SUMIF('SIGAF DIC 20'!$B$2:$B$849,$A153,'SIGAF DIC 20'!$K$2:$K$849)</f>
        <v>4792398.8100000005</v>
      </c>
      <c r="L153" s="77">
        <f t="shared" si="3"/>
        <v>0.99999975169017619</v>
      </c>
      <c r="M153" s="69">
        <f>SUMIF('SIGAF DIC 20'!$B$2:$B$849,$A153,'SIGAF DIC 20'!$M$2:$M$849)</f>
        <v>4792398.8100000005</v>
      </c>
      <c r="N153" s="76">
        <f t="shared" si="4"/>
        <v>0.99999975169017619</v>
      </c>
      <c r="O153" s="68">
        <f>SUMIF('SIGAF DIC 20'!$B$2:$B$849,$A153,'SIGAF DIC 20'!$O$2:$O$849)</f>
        <v>1.19</v>
      </c>
      <c r="P153" s="76">
        <f t="shared" si="5"/>
        <v>2.4830982388782237E-7</v>
      </c>
      <c r="Q153" s="69">
        <f>SUMIF('SIGAF DIC 20'!$B$2:$B$849,$A153,'SIGAF DIC 20'!$Q$2:$Q$849)</f>
        <v>1.19</v>
      </c>
      <c r="R153" s="76">
        <f t="shared" si="6"/>
        <v>2.4830982388782237E-7</v>
      </c>
    </row>
    <row r="154" spans="1:18" x14ac:dyDescent="0.25">
      <c r="A154" s="66" t="s">
        <v>150</v>
      </c>
      <c r="B154" s="66" t="s">
        <v>553</v>
      </c>
      <c r="C154" s="69">
        <f>SUMIF('SIGAF DIC 20'!$B$2:$B$849,$A154,'SIGAF DIC 20'!$F$2:$F$849)</f>
        <v>1487766179</v>
      </c>
      <c r="D154" s="69">
        <f>SUMIF('SIGAF DIC 20'!$B$2:$B$849,$A154,'SIGAF DIC 20'!$G$2:$G$849)</f>
        <v>1487766179</v>
      </c>
      <c r="E154" s="69">
        <f>SUMIF('SIGAF DIC 20'!$B$2:$B$849,$A154,'SIGAF DIC 20'!$H$2:$H$849)</f>
        <v>0</v>
      </c>
      <c r="F154" s="76">
        <f t="shared" si="0"/>
        <v>0</v>
      </c>
      <c r="G154" s="69">
        <f>SUMIF('SIGAF DIC 20'!$B$2:$B$849,$A154,'SIGAF DIC 20'!$I$2:$I$849)</f>
        <v>75583750</v>
      </c>
      <c r="H154" s="76">
        <f t="shared" si="1"/>
        <v>5.0803514064826714E-2</v>
      </c>
      <c r="I154" s="69">
        <f>SUMIF('SIGAF DIC 20'!$B$2:$B$849,$A154,'SIGAF DIC 20'!$J$2:$J$849)</f>
        <v>0</v>
      </c>
      <c r="J154" s="76">
        <f t="shared" si="2"/>
        <v>0</v>
      </c>
      <c r="K154" s="69">
        <f>SUMIF('SIGAF DIC 20'!$B$2:$B$849,$A154,'SIGAF DIC 20'!$K$2:$K$849)</f>
        <v>1361545626.8199999</v>
      </c>
      <c r="L154" s="77">
        <f t="shared" si="3"/>
        <v>0.91516102868742522</v>
      </c>
      <c r="M154" s="69">
        <f>SUMIF('SIGAF DIC 20'!$B$2:$B$849,$A154,'SIGAF DIC 20'!$M$2:$M$849)</f>
        <v>1345678861.8199999</v>
      </c>
      <c r="N154" s="76">
        <f t="shared" si="4"/>
        <v>0.90449620431921374</v>
      </c>
      <c r="O154" s="68">
        <f>SUMIF('SIGAF DIC 20'!$B$2:$B$849,$A154,'SIGAF DIC 20'!$O$2:$O$849)</f>
        <v>50636802.18</v>
      </c>
      <c r="P154" s="76">
        <f t="shared" si="5"/>
        <v>3.403545724774807E-2</v>
      </c>
      <c r="Q154" s="69">
        <f>SUMIF('SIGAF DIC 20'!$B$2:$B$849,$A154,'SIGAF DIC 20'!$Q$2:$Q$849)</f>
        <v>50636802.18</v>
      </c>
      <c r="R154" s="76">
        <f t="shared" si="6"/>
        <v>3.403545724774807E-2</v>
      </c>
    </row>
    <row r="155" spans="1:18" x14ac:dyDescent="0.25">
      <c r="A155" s="66" t="s">
        <v>152</v>
      </c>
      <c r="B155" s="66" t="s">
        <v>153</v>
      </c>
      <c r="C155" s="69">
        <f>SUMIF('SIGAF DIC 20'!$B$2:$B$849,$A155,'SIGAF DIC 20'!$F$2:$F$849)</f>
        <v>1487766179</v>
      </c>
      <c r="D155" s="69">
        <f>SUMIF('SIGAF DIC 20'!$B$2:$B$849,$A155,'SIGAF DIC 20'!$G$2:$G$849)</f>
        <v>1487766179</v>
      </c>
      <c r="E155" s="69">
        <f>SUMIF('SIGAF DIC 20'!$B$2:$B$849,$A155,'SIGAF DIC 20'!$H$2:$H$849)</f>
        <v>0</v>
      </c>
      <c r="F155" s="76">
        <f t="shared" si="0"/>
        <v>0</v>
      </c>
      <c r="G155" s="69">
        <f>SUMIF('SIGAF DIC 20'!$B$2:$B$849,$A155,'SIGAF DIC 20'!$I$2:$I$849)</f>
        <v>75583750</v>
      </c>
      <c r="H155" s="76">
        <f t="shared" si="1"/>
        <v>5.0803514064826714E-2</v>
      </c>
      <c r="I155" s="69">
        <f>SUMIF('SIGAF DIC 20'!$B$2:$B$849,$A155,'SIGAF DIC 20'!$J$2:$J$849)</f>
        <v>0</v>
      </c>
      <c r="J155" s="76">
        <f t="shared" si="2"/>
        <v>0</v>
      </c>
      <c r="K155" s="69">
        <f>SUMIF('SIGAF DIC 20'!$B$2:$B$849,$A155,'SIGAF DIC 20'!$K$2:$K$849)</f>
        <v>1361545626.8199999</v>
      </c>
      <c r="L155" s="77">
        <f t="shared" si="3"/>
        <v>0.91516102868742522</v>
      </c>
      <c r="M155" s="69">
        <f>SUMIF('SIGAF DIC 20'!$B$2:$B$849,$A155,'SIGAF DIC 20'!$M$2:$M$849)</f>
        <v>1345678861.8199999</v>
      </c>
      <c r="N155" s="76">
        <f t="shared" si="4"/>
        <v>0.90449620431921374</v>
      </c>
      <c r="O155" s="68">
        <f>SUMIF('SIGAF DIC 20'!$B$2:$B$849,$A155,'SIGAF DIC 20'!$O$2:$O$849)</f>
        <v>50636802.18</v>
      </c>
      <c r="P155" s="76">
        <f t="shared" si="5"/>
        <v>3.403545724774807E-2</v>
      </c>
      <c r="Q155" s="69">
        <f>SUMIF('SIGAF DIC 20'!$B$2:$B$849,$A155,'SIGAF DIC 20'!$Q$2:$Q$849)</f>
        <v>50636802.18</v>
      </c>
      <c r="R155" s="76">
        <f t="shared" si="6"/>
        <v>3.403545724774807E-2</v>
      </c>
    </row>
    <row r="156" spans="1:18" x14ac:dyDescent="0.25">
      <c r="A156" s="66" t="s">
        <v>554</v>
      </c>
      <c r="B156" s="66" t="s">
        <v>555</v>
      </c>
      <c r="C156" s="69">
        <f>SUMIF('SIGAF DIC 20'!$B$2:$B$849,$A156,'SIGAF DIC 20'!$F$2:$F$849)</f>
        <v>0</v>
      </c>
      <c r="D156" s="69">
        <f>SUMIF('SIGAF DIC 20'!$B$2:$B$849,$A156,'SIGAF DIC 20'!$G$2:$G$849)</f>
        <v>0</v>
      </c>
      <c r="E156" s="69">
        <f>SUMIF('SIGAF DIC 20'!$B$2:$B$849,$A156,'SIGAF DIC 20'!$H$2:$H$849)</f>
        <v>0</v>
      </c>
      <c r="F156" s="76">
        <f t="shared" si="0"/>
        <v>0</v>
      </c>
      <c r="G156" s="69">
        <f>SUMIF('SIGAF DIC 20'!$B$2:$B$849,$A156,'SIGAF DIC 20'!$I$2:$I$849)</f>
        <v>0</v>
      </c>
      <c r="H156" s="76">
        <f t="shared" si="1"/>
        <v>0</v>
      </c>
      <c r="I156" s="69">
        <f>SUMIF('SIGAF DIC 20'!$B$2:$B$849,$A156,'SIGAF DIC 20'!$J$2:$J$849)</f>
        <v>0</v>
      </c>
      <c r="J156" s="76">
        <f t="shared" si="2"/>
        <v>0</v>
      </c>
      <c r="K156" s="69">
        <f>SUMIF('SIGAF DIC 20'!$B$2:$B$849,$A156,'SIGAF DIC 20'!$K$2:$K$849)</f>
        <v>0</v>
      </c>
      <c r="L156" s="77">
        <f t="shared" si="3"/>
        <v>0</v>
      </c>
      <c r="M156" s="69">
        <f>SUMIF('SIGAF DIC 20'!$B$2:$B$849,$A156,'SIGAF DIC 20'!$M$2:$M$849)</f>
        <v>0</v>
      </c>
      <c r="N156" s="76">
        <f t="shared" si="4"/>
        <v>0</v>
      </c>
      <c r="O156" s="68">
        <f>SUMIF('SIGAF DIC 20'!$B$2:$B$849,$A156,'SIGAF DIC 20'!$O$2:$O$849)</f>
        <v>0</v>
      </c>
      <c r="P156" s="76">
        <f t="shared" si="5"/>
        <v>0</v>
      </c>
      <c r="Q156" s="69">
        <f>SUMIF('SIGAF DIC 20'!$B$2:$B$849,$A156,'SIGAF DIC 20'!$Q$2:$Q$849)</f>
        <v>0</v>
      </c>
      <c r="R156" s="76">
        <f t="shared" si="6"/>
        <v>0</v>
      </c>
    </row>
    <row r="157" spans="1:18" x14ac:dyDescent="0.25">
      <c r="A157" s="66" t="s">
        <v>154</v>
      </c>
      <c r="B157" s="66" t="s">
        <v>556</v>
      </c>
      <c r="C157" s="69">
        <f>SUMIF('SIGAF DIC 20'!$B$2:$B$849,$A157,'SIGAF DIC 20'!$F$2:$F$849)</f>
        <v>4721959</v>
      </c>
      <c r="D157" s="69">
        <f>SUMIF('SIGAF DIC 20'!$B$2:$B$849,$A157,'SIGAF DIC 20'!$G$2:$G$849)</f>
        <v>4721959</v>
      </c>
      <c r="E157" s="69">
        <f>SUMIF('SIGAF DIC 20'!$B$2:$B$849,$A157,'SIGAF DIC 20'!$H$2:$H$849)</f>
        <v>0</v>
      </c>
      <c r="F157" s="76">
        <f t="shared" si="0"/>
        <v>0</v>
      </c>
      <c r="G157" s="69">
        <f>SUMIF('SIGAF DIC 20'!$B$2:$B$849,$A157,'SIGAF DIC 20'!$I$2:$I$849)</f>
        <v>295800</v>
      </c>
      <c r="H157" s="76">
        <f t="shared" si="1"/>
        <v>6.2643491821932379E-2</v>
      </c>
      <c r="I157" s="69">
        <f>SUMIF('SIGAF DIC 20'!$B$2:$B$849,$A157,'SIGAF DIC 20'!$J$2:$J$849)</f>
        <v>0</v>
      </c>
      <c r="J157" s="76">
        <f t="shared" si="2"/>
        <v>0</v>
      </c>
      <c r="K157" s="69">
        <f>SUMIF('SIGAF DIC 20'!$B$2:$B$849,$A157,'SIGAF DIC 20'!$K$2:$K$849)</f>
        <v>1222400</v>
      </c>
      <c r="L157" s="77">
        <f t="shared" si="3"/>
        <v>0.25887560650145414</v>
      </c>
      <c r="M157" s="69">
        <f>SUMIF('SIGAF DIC 20'!$B$2:$B$849,$A157,'SIGAF DIC 20'!$M$2:$M$849)</f>
        <v>906200</v>
      </c>
      <c r="N157" s="76">
        <f t="shared" si="4"/>
        <v>0.1919118738642161</v>
      </c>
      <c r="O157" s="68">
        <f>SUMIF('SIGAF DIC 20'!$B$2:$B$849,$A157,'SIGAF DIC 20'!$O$2:$O$849)</f>
        <v>3203759</v>
      </c>
      <c r="P157" s="76">
        <f t="shared" si="5"/>
        <v>0.67848090167661346</v>
      </c>
      <c r="Q157" s="69">
        <f>SUMIF('SIGAF DIC 20'!$B$2:$B$849,$A157,'SIGAF DIC 20'!$Q$2:$Q$849)</f>
        <v>3203759</v>
      </c>
      <c r="R157" s="76">
        <f t="shared" si="6"/>
        <v>0.67848090167661346</v>
      </c>
    </row>
    <row r="158" spans="1:18" x14ac:dyDescent="0.25">
      <c r="A158" s="66" t="s">
        <v>156</v>
      </c>
      <c r="B158" s="66" t="s">
        <v>557</v>
      </c>
      <c r="C158" s="69">
        <f>SUMIF('SIGAF DIC 20'!$B$2:$B$849,$A158,'SIGAF DIC 20'!$F$2:$F$849)</f>
        <v>4721959</v>
      </c>
      <c r="D158" s="69">
        <f>SUMIF('SIGAF DIC 20'!$B$2:$B$849,$A158,'SIGAF DIC 20'!$G$2:$G$849)</f>
        <v>4721959</v>
      </c>
      <c r="E158" s="69">
        <f>SUMIF('SIGAF DIC 20'!$B$2:$B$849,$A158,'SIGAF DIC 20'!$H$2:$H$849)</f>
        <v>0</v>
      </c>
      <c r="F158" s="76">
        <f t="shared" si="0"/>
        <v>0</v>
      </c>
      <c r="G158" s="69">
        <f>SUMIF('SIGAF DIC 20'!$B$2:$B$849,$A158,'SIGAF DIC 20'!$I$2:$I$849)</f>
        <v>295800</v>
      </c>
      <c r="H158" s="76">
        <f t="shared" si="1"/>
        <v>6.2643491821932379E-2</v>
      </c>
      <c r="I158" s="69">
        <f>SUMIF('SIGAF DIC 20'!$B$2:$B$849,$A158,'SIGAF DIC 20'!$J$2:$J$849)</f>
        <v>0</v>
      </c>
      <c r="J158" s="76">
        <f t="shared" si="2"/>
        <v>0</v>
      </c>
      <c r="K158" s="69">
        <f>SUMIF('SIGAF DIC 20'!$B$2:$B$849,$A158,'SIGAF DIC 20'!$K$2:$K$849)</f>
        <v>1222400</v>
      </c>
      <c r="L158" s="77">
        <f t="shared" si="3"/>
        <v>0.25887560650145414</v>
      </c>
      <c r="M158" s="69">
        <f>SUMIF('SIGAF DIC 20'!$B$2:$B$849,$A158,'SIGAF DIC 20'!$M$2:$M$849)</f>
        <v>906200</v>
      </c>
      <c r="N158" s="76">
        <f t="shared" si="4"/>
        <v>0.1919118738642161</v>
      </c>
      <c r="O158" s="68">
        <f>SUMIF('SIGAF DIC 20'!$B$2:$B$849,$A158,'SIGAF DIC 20'!$O$2:$O$849)</f>
        <v>3203759</v>
      </c>
      <c r="P158" s="76">
        <f t="shared" si="5"/>
        <v>0.67848090167661346</v>
      </c>
      <c r="Q158" s="69">
        <f>SUMIF('SIGAF DIC 20'!$B$2:$B$849,$A158,'SIGAF DIC 20'!$Q$2:$Q$849)</f>
        <v>3203759</v>
      </c>
      <c r="R158" s="76">
        <f t="shared" si="6"/>
        <v>0.67848090167661346</v>
      </c>
    </row>
    <row r="159" spans="1:18" x14ac:dyDescent="0.25">
      <c r="A159" s="66" t="s">
        <v>158</v>
      </c>
      <c r="B159" s="66" t="s">
        <v>558</v>
      </c>
      <c r="C159" s="69">
        <f>SUMIF('SIGAF DIC 20'!$B$2:$B$849,$A159,'SIGAF DIC 20'!$F$2:$F$849)</f>
        <v>0</v>
      </c>
      <c r="D159" s="69">
        <f>SUMIF('SIGAF DIC 20'!$B$2:$B$849,$A159,'SIGAF DIC 20'!$G$2:$G$849)</f>
        <v>0</v>
      </c>
      <c r="E159" s="69">
        <f>SUMIF('SIGAF DIC 20'!$B$2:$B$849,$A159,'SIGAF DIC 20'!$H$2:$H$849)</f>
        <v>0</v>
      </c>
      <c r="F159" s="76">
        <f t="shared" si="0"/>
        <v>0</v>
      </c>
      <c r="G159" s="69">
        <f>SUMIF('SIGAF DIC 20'!$B$2:$B$849,$A159,'SIGAF DIC 20'!$I$2:$I$849)</f>
        <v>0</v>
      </c>
      <c r="H159" s="76">
        <f t="shared" si="1"/>
        <v>0</v>
      </c>
      <c r="I159" s="69">
        <f>SUMIF('SIGAF DIC 20'!$B$2:$B$849,$A159,'SIGAF DIC 20'!$J$2:$J$849)</f>
        <v>0</v>
      </c>
      <c r="J159" s="76">
        <f t="shared" si="2"/>
        <v>0</v>
      </c>
      <c r="K159" s="69">
        <f>SUMIF('SIGAF DIC 20'!$B$2:$B$849,$A159,'SIGAF DIC 20'!$K$2:$K$849)</f>
        <v>0</v>
      </c>
      <c r="L159" s="77">
        <f t="shared" si="3"/>
        <v>0</v>
      </c>
      <c r="M159" s="69">
        <f>SUMIF('SIGAF DIC 20'!$B$2:$B$849,$A159,'SIGAF DIC 20'!$M$2:$M$849)</f>
        <v>0</v>
      </c>
      <c r="N159" s="76">
        <f t="shared" si="4"/>
        <v>0</v>
      </c>
      <c r="O159" s="68">
        <f>SUMIF('SIGAF DIC 20'!$B$2:$B$849,$A159,'SIGAF DIC 20'!$O$2:$O$849)</f>
        <v>0</v>
      </c>
      <c r="P159" s="76">
        <f t="shared" si="5"/>
        <v>0</v>
      </c>
      <c r="Q159" s="69">
        <f>SUMIF('SIGAF DIC 20'!$B$2:$B$849,$A159,'SIGAF DIC 20'!$Q$2:$Q$849)</f>
        <v>0</v>
      </c>
      <c r="R159" s="76">
        <f t="shared" si="6"/>
        <v>0</v>
      </c>
    </row>
    <row r="160" spans="1:18" x14ac:dyDescent="0.25">
      <c r="A160" s="66" t="s">
        <v>160</v>
      </c>
      <c r="B160" s="66" t="s">
        <v>559</v>
      </c>
      <c r="C160" s="69">
        <f>SUMIF('SIGAF DIC 20'!$B$2:$B$849,$A160,'SIGAF DIC 20'!$F$2:$F$849)</f>
        <v>0</v>
      </c>
      <c r="D160" s="69">
        <f>SUMIF('SIGAF DIC 20'!$B$2:$B$849,$A160,'SIGAF DIC 20'!$G$2:$G$849)</f>
        <v>0</v>
      </c>
      <c r="E160" s="69">
        <f>SUMIF('SIGAF DIC 20'!$B$2:$B$849,$A160,'SIGAF DIC 20'!$H$2:$H$849)</f>
        <v>0</v>
      </c>
      <c r="F160" s="76">
        <f t="shared" si="0"/>
        <v>0</v>
      </c>
      <c r="G160" s="69">
        <f>SUMIF('SIGAF DIC 20'!$B$2:$B$849,$A160,'SIGAF DIC 20'!$I$2:$I$849)</f>
        <v>0</v>
      </c>
      <c r="H160" s="76">
        <f t="shared" si="1"/>
        <v>0</v>
      </c>
      <c r="I160" s="69">
        <f>SUMIF('SIGAF DIC 20'!$B$2:$B$849,$A160,'SIGAF DIC 20'!$J$2:$J$849)</f>
        <v>0</v>
      </c>
      <c r="J160" s="76">
        <f t="shared" si="2"/>
        <v>0</v>
      </c>
      <c r="K160" s="69">
        <f>SUMIF('SIGAF DIC 20'!$B$2:$B$849,$A160,'SIGAF DIC 20'!$K$2:$K$849)</f>
        <v>0</v>
      </c>
      <c r="L160" s="77">
        <f t="shared" si="3"/>
        <v>0</v>
      </c>
      <c r="M160" s="69">
        <f>SUMIF('SIGAF DIC 20'!$B$2:$B$849,$A160,'SIGAF DIC 20'!$M$2:$M$849)</f>
        <v>0</v>
      </c>
      <c r="N160" s="76">
        <f t="shared" si="4"/>
        <v>0</v>
      </c>
      <c r="O160" s="68">
        <f>SUMIF('SIGAF DIC 20'!$B$2:$B$849,$A160,'SIGAF DIC 20'!$O$2:$O$849)</f>
        <v>0</v>
      </c>
      <c r="P160" s="76">
        <f t="shared" si="5"/>
        <v>0</v>
      </c>
      <c r="Q160" s="69">
        <f>SUMIF('SIGAF DIC 20'!$B$2:$B$849,$A160,'SIGAF DIC 20'!$Q$2:$Q$849)</f>
        <v>0</v>
      </c>
      <c r="R160" s="76">
        <f t="shared" si="6"/>
        <v>0</v>
      </c>
    </row>
    <row r="161" spans="1:19" x14ac:dyDescent="0.25">
      <c r="A161" s="66" t="s">
        <v>162</v>
      </c>
      <c r="B161" s="66" t="s">
        <v>560</v>
      </c>
      <c r="C161" s="69">
        <f>SUMIF('SIGAF DIC 20'!$B$2:$B$849,$A161,'SIGAF DIC 20'!$F$2:$F$849)</f>
        <v>1106956654.0999999</v>
      </c>
      <c r="D161" s="69">
        <f>SUMIF('SIGAF DIC 20'!$B$2:$B$849,$A161,'SIGAF DIC 20'!$G$2:$G$849)</f>
        <v>1106956654.0999999</v>
      </c>
      <c r="E161" s="69">
        <f>SUMIF('SIGAF DIC 20'!$B$2:$B$849,$A161,'SIGAF DIC 20'!$H$2:$H$849)</f>
        <v>0</v>
      </c>
      <c r="F161" s="76">
        <f t="shared" si="0"/>
        <v>0</v>
      </c>
      <c r="G161" s="69">
        <f>SUMIF('SIGAF DIC 20'!$B$2:$B$849,$A161,'SIGAF DIC 20'!$I$2:$I$849)</f>
        <v>178683368.57999998</v>
      </c>
      <c r="H161" s="76">
        <f t="shared" si="1"/>
        <v>0.16141857760932538</v>
      </c>
      <c r="I161" s="69">
        <f>SUMIF('SIGAF DIC 20'!$B$2:$B$849,$A161,'SIGAF DIC 20'!$J$2:$J$849)</f>
        <v>0</v>
      </c>
      <c r="J161" s="76">
        <f t="shared" si="2"/>
        <v>0</v>
      </c>
      <c r="K161" s="69">
        <f>SUMIF('SIGAF DIC 20'!$B$2:$B$849,$A161,'SIGAF DIC 20'!$K$2:$K$849)</f>
        <v>838433590.33000004</v>
      </c>
      <c r="L161" s="77">
        <f t="shared" si="3"/>
        <v>0.75742224162488103</v>
      </c>
      <c r="M161" s="69">
        <f>SUMIF('SIGAF DIC 20'!$B$2:$B$849,$A161,'SIGAF DIC 20'!$M$2:$M$849)</f>
        <v>663124386.60000002</v>
      </c>
      <c r="N161" s="76">
        <f t="shared" si="4"/>
        <v>0.59905180943073755</v>
      </c>
      <c r="O161" s="68">
        <f>SUMIF('SIGAF DIC 20'!$B$2:$B$849,$A161,'SIGAF DIC 20'!$O$2:$O$849)</f>
        <v>89839695.189999983</v>
      </c>
      <c r="P161" s="76">
        <f t="shared" si="5"/>
        <v>8.1159180765793634E-2</v>
      </c>
      <c r="Q161" s="69">
        <f>SUMIF('SIGAF DIC 20'!$B$2:$B$849,$A161,'SIGAF DIC 20'!$Q$2:$Q$849)</f>
        <v>89839695.189999983</v>
      </c>
      <c r="R161" s="76">
        <f t="shared" si="6"/>
        <v>8.1159180765793634E-2</v>
      </c>
    </row>
    <row r="162" spans="1:19" x14ac:dyDescent="0.25">
      <c r="A162" s="66" t="s">
        <v>310</v>
      </c>
      <c r="B162" s="66" t="s">
        <v>561</v>
      </c>
      <c r="C162" s="69">
        <f>SUMIF('SIGAF DIC 20'!$B$2:$B$849,$A162,'SIGAF DIC 20'!$F$2:$F$849)</f>
        <v>138472590</v>
      </c>
      <c r="D162" s="69">
        <f>SUMIF('SIGAF DIC 20'!$B$2:$B$849,$A162,'SIGAF DIC 20'!$G$2:$G$849)</f>
        <v>138472590</v>
      </c>
      <c r="E162" s="69">
        <f>SUMIF('SIGAF DIC 20'!$B$2:$B$849,$A162,'SIGAF DIC 20'!$H$2:$H$849)</f>
        <v>0</v>
      </c>
      <c r="F162" s="76">
        <f t="shared" si="0"/>
        <v>0</v>
      </c>
      <c r="G162" s="69">
        <f>SUMIF('SIGAF DIC 20'!$B$2:$B$849,$A162,'SIGAF DIC 20'!$I$2:$I$849)</f>
        <v>12685918.789999999</v>
      </c>
      <c r="H162" s="76">
        <f t="shared" si="1"/>
        <v>9.1613212333213373E-2</v>
      </c>
      <c r="I162" s="69">
        <f>SUMIF('SIGAF DIC 20'!$B$2:$B$849,$A162,'SIGAF DIC 20'!$J$2:$J$849)</f>
        <v>0</v>
      </c>
      <c r="J162" s="76">
        <f t="shared" si="2"/>
        <v>0</v>
      </c>
      <c r="K162" s="69">
        <f>SUMIF('SIGAF DIC 20'!$B$2:$B$849,$A162,'SIGAF DIC 20'!$K$2:$K$849)</f>
        <v>111921931.75</v>
      </c>
      <c r="L162" s="77">
        <f t="shared" si="3"/>
        <v>0.80826054997599162</v>
      </c>
      <c r="M162" s="69">
        <f>SUMIF('SIGAF DIC 20'!$B$2:$B$849,$A162,'SIGAF DIC 20'!$M$2:$M$849)</f>
        <v>57509929.240000002</v>
      </c>
      <c r="N162" s="76">
        <f t="shared" si="4"/>
        <v>0.41531633978970134</v>
      </c>
      <c r="O162" s="68">
        <f>SUMIF('SIGAF DIC 20'!$B$2:$B$849,$A162,'SIGAF DIC 20'!$O$2:$O$849)</f>
        <v>13864739.459999999</v>
      </c>
      <c r="P162" s="76">
        <f t="shared" si="5"/>
        <v>0.10012623769079497</v>
      </c>
      <c r="Q162" s="69">
        <f>SUMIF('SIGAF DIC 20'!$B$2:$B$849,$A162,'SIGAF DIC 20'!$Q$2:$Q$849)</f>
        <v>13864739.459999999</v>
      </c>
      <c r="R162" s="76">
        <f t="shared" si="6"/>
        <v>0.10012623769079497</v>
      </c>
    </row>
    <row r="163" spans="1:19" x14ac:dyDescent="0.25">
      <c r="A163" s="66" t="s">
        <v>164</v>
      </c>
      <c r="B163" s="66" t="s">
        <v>562</v>
      </c>
      <c r="C163" s="69">
        <f>SUMIF('SIGAF DIC 20'!$B$2:$B$849,$A163,'SIGAF DIC 20'!$F$2:$F$849)</f>
        <v>545348138</v>
      </c>
      <c r="D163" s="69">
        <f>SUMIF('SIGAF DIC 20'!$B$2:$B$849,$A163,'SIGAF DIC 20'!$G$2:$G$849)</f>
        <v>545348138</v>
      </c>
      <c r="E163" s="69">
        <f>SUMIF('SIGAF DIC 20'!$B$2:$B$849,$A163,'SIGAF DIC 20'!$H$2:$H$849)</f>
        <v>0</v>
      </c>
      <c r="F163" s="76">
        <f t="shared" si="0"/>
        <v>0</v>
      </c>
      <c r="G163" s="69">
        <f>SUMIF('SIGAF DIC 20'!$B$2:$B$849,$A163,'SIGAF DIC 20'!$I$2:$I$849)</f>
        <v>89986034.680000007</v>
      </c>
      <c r="H163" s="76">
        <f t="shared" si="1"/>
        <v>0.16500658645322083</v>
      </c>
      <c r="I163" s="69">
        <f>SUMIF('SIGAF DIC 20'!$B$2:$B$849,$A163,'SIGAF DIC 20'!$J$2:$J$849)</f>
        <v>0</v>
      </c>
      <c r="J163" s="76">
        <f t="shared" si="2"/>
        <v>0</v>
      </c>
      <c r="K163" s="69">
        <f>SUMIF('SIGAF DIC 20'!$B$2:$B$849,$A163,'SIGAF DIC 20'!$K$2:$K$849)</f>
        <v>440080688.57999998</v>
      </c>
      <c r="L163" s="77">
        <f t="shared" si="3"/>
        <v>0.80697202010067193</v>
      </c>
      <c r="M163" s="69">
        <f>SUMIF('SIGAF DIC 20'!$B$2:$B$849,$A163,'SIGAF DIC 20'!$M$2:$M$849)</f>
        <v>386828250</v>
      </c>
      <c r="N163" s="76">
        <f t="shared" si="4"/>
        <v>0.7093235000648338</v>
      </c>
      <c r="O163" s="68">
        <f>SUMIF('SIGAF DIC 20'!$B$2:$B$849,$A163,'SIGAF DIC 20'!$O$2:$O$849)</f>
        <v>15281414.74</v>
      </c>
      <c r="P163" s="76">
        <f t="shared" si="5"/>
        <v>2.8021393446107264E-2</v>
      </c>
      <c r="Q163" s="69">
        <f>SUMIF('SIGAF DIC 20'!$B$2:$B$849,$A163,'SIGAF DIC 20'!$Q$2:$Q$849)</f>
        <v>15281414.74</v>
      </c>
      <c r="R163" s="76">
        <f t="shared" si="6"/>
        <v>2.8021393446107264E-2</v>
      </c>
    </row>
    <row r="164" spans="1:19" x14ac:dyDescent="0.25">
      <c r="A164" s="66" t="s">
        <v>166</v>
      </c>
      <c r="B164" s="66" t="s">
        <v>563</v>
      </c>
      <c r="C164" s="69">
        <f>SUMIF('SIGAF DIC 20'!$B$2:$B$849,$A164,'SIGAF DIC 20'!$F$2:$F$849)</f>
        <v>150128724.09999999</v>
      </c>
      <c r="D164" s="69">
        <f>SUMIF('SIGAF DIC 20'!$B$2:$B$849,$A164,'SIGAF DIC 20'!$G$2:$G$849)</f>
        <v>150128724.09999999</v>
      </c>
      <c r="E164" s="69">
        <f>SUMIF('SIGAF DIC 20'!$B$2:$B$849,$A164,'SIGAF DIC 20'!$H$2:$H$849)</f>
        <v>0</v>
      </c>
      <c r="F164" s="76">
        <f t="shared" si="0"/>
        <v>0</v>
      </c>
      <c r="G164" s="69">
        <f>SUMIF('SIGAF DIC 20'!$B$2:$B$849,$A164,'SIGAF DIC 20'!$I$2:$I$849)</f>
        <v>21944653.830000002</v>
      </c>
      <c r="H164" s="76">
        <f t="shared" si="1"/>
        <v>0.14617225292198432</v>
      </c>
      <c r="I164" s="69">
        <f>SUMIF('SIGAF DIC 20'!$B$2:$B$849,$A164,'SIGAF DIC 20'!$J$2:$J$849)</f>
        <v>0</v>
      </c>
      <c r="J164" s="76">
        <f t="shared" si="2"/>
        <v>0</v>
      </c>
      <c r="K164" s="69">
        <f>SUMIF('SIGAF DIC 20'!$B$2:$B$849,$A164,'SIGAF DIC 20'!$K$2:$K$849)</f>
        <v>120651412.25</v>
      </c>
      <c r="L164" s="77">
        <f t="shared" si="3"/>
        <v>0.80365308486625586</v>
      </c>
      <c r="M164" s="69">
        <f>SUMIF('SIGAF DIC 20'!$B$2:$B$849,$A164,'SIGAF DIC 20'!$M$2:$M$849)</f>
        <v>83537346.760000005</v>
      </c>
      <c r="N164" s="76">
        <f t="shared" si="4"/>
        <v>0.5564381317485666</v>
      </c>
      <c r="O164" s="68">
        <f>SUMIF('SIGAF DIC 20'!$B$2:$B$849,$A164,'SIGAF DIC 20'!$O$2:$O$849)</f>
        <v>7532658.0199999996</v>
      </c>
      <c r="P164" s="76">
        <f t="shared" si="5"/>
        <v>5.0174662211759917E-2</v>
      </c>
      <c r="Q164" s="69">
        <f>SUMIF('SIGAF DIC 20'!$B$2:$B$849,$A164,'SIGAF DIC 20'!$Q$2:$Q$849)</f>
        <v>7532658.0199999996</v>
      </c>
      <c r="R164" s="76">
        <f t="shared" si="6"/>
        <v>5.0174662211759917E-2</v>
      </c>
    </row>
    <row r="165" spans="1:19" x14ac:dyDescent="0.25">
      <c r="A165" s="66" t="s">
        <v>312</v>
      </c>
      <c r="B165" s="66" t="s">
        <v>564</v>
      </c>
      <c r="C165" s="69">
        <f>SUMIF('SIGAF DIC 20'!$B$2:$B$849,$A165,'SIGAF DIC 20'!$F$2:$F$849)</f>
        <v>11695420</v>
      </c>
      <c r="D165" s="69">
        <f>SUMIF('SIGAF DIC 20'!$B$2:$B$849,$A165,'SIGAF DIC 20'!$G$2:$G$849)</f>
        <v>11695420</v>
      </c>
      <c r="E165" s="69">
        <f>SUMIF('SIGAF DIC 20'!$B$2:$B$849,$A165,'SIGAF DIC 20'!$H$2:$H$849)</f>
        <v>0</v>
      </c>
      <c r="F165" s="76">
        <f t="shared" si="0"/>
        <v>0</v>
      </c>
      <c r="G165" s="69">
        <f>SUMIF('SIGAF DIC 20'!$B$2:$B$849,$A165,'SIGAF DIC 20'!$I$2:$I$849)</f>
        <v>2800479</v>
      </c>
      <c r="H165" s="76">
        <f t="shared" si="1"/>
        <v>0.23945091326348264</v>
      </c>
      <c r="I165" s="69">
        <f>SUMIF('SIGAF DIC 20'!$B$2:$B$849,$A165,'SIGAF DIC 20'!$J$2:$J$849)</f>
        <v>0</v>
      </c>
      <c r="J165" s="76">
        <f t="shared" si="2"/>
        <v>0</v>
      </c>
      <c r="K165" s="69">
        <f>SUMIF('SIGAF DIC 20'!$B$2:$B$849,$A165,'SIGAF DIC 20'!$K$2:$K$849)</f>
        <v>4118016.49</v>
      </c>
      <c r="L165" s="77">
        <f t="shared" si="3"/>
        <v>0.35210505394419356</v>
      </c>
      <c r="M165" s="69">
        <f>SUMIF('SIGAF DIC 20'!$B$2:$B$849,$A165,'SIGAF DIC 20'!$M$2:$M$849)</f>
        <v>3787201.31</v>
      </c>
      <c r="N165" s="76">
        <f t="shared" si="4"/>
        <v>0.32381917964468143</v>
      </c>
      <c r="O165" s="68">
        <f>SUMIF('SIGAF DIC 20'!$B$2:$B$849,$A165,'SIGAF DIC 20'!$O$2:$O$849)</f>
        <v>4776924.51</v>
      </c>
      <c r="P165" s="76">
        <f t="shared" si="5"/>
        <v>0.40844403279232383</v>
      </c>
      <c r="Q165" s="69">
        <f>SUMIF('SIGAF DIC 20'!$B$2:$B$849,$A165,'SIGAF DIC 20'!$Q$2:$Q$849)</f>
        <v>4776924.51</v>
      </c>
      <c r="R165" s="76">
        <f t="shared" si="6"/>
        <v>0.40844403279232383</v>
      </c>
    </row>
    <row r="166" spans="1:19" x14ac:dyDescent="0.25">
      <c r="A166" s="66" t="s">
        <v>168</v>
      </c>
      <c r="B166" s="66" t="s">
        <v>565</v>
      </c>
      <c r="C166" s="69">
        <f>SUMIF('SIGAF DIC 20'!$B$2:$B$849,$A166,'SIGAF DIC 20'!$F$2:$F$849)</f>
        <v>31441322</v>
      </c>
      <c r="D166" s="69">
        <f>SUMIF('SIGAF DIC 20'!$B$2:$B$849,$A166,'SIGAF DIC 20'!$G$2:$G$849)</f>
        <v>31441322</v>
      </c>
      <c r="E166" s="69">
        <f>SUMIF('SIGAF DIC 20'!$B$2:$B$849,$A166,'SIGAF DIC 20'!$H$2:$H$849)</f>
        <v>0</v>
      </c>
      <c r="F166" s="76">
        <f t="shared" si="0"/>
        <v>0</v>
      </c>
      <c r="G166" s="69">
        <f>SUMIF('SIGAF DIC 20'!$B$2:$B$849,$A166,'SIGAF DIC 20'!$I$2:$I$849)</f>
        <v>2910639.32</v>
      </c>
      <c r="H166" s="76">
        <f t="shared" si="1"/>
        <v>9.2573693943276303E-2</v>
      </c>
      <c r="I166" s="69">
        <f>SUMIF('SIGAF DIC 20'!$B$2:$B$849,$A166,'SIGAF DIC 20'!$J$2:$J$849)</f>
        <v>0</v>
      </c>
      <c r="J166" s="76">
        <f t="shared" si="2"/>
        <v>0</v>
      </c>
      <c r="K166" s="69">
        <f>SUMIF('SIGAF DIC 20'!$B$2:$B$849,$A166,'SIGAF DIC 20'!$K$2:$K$849)</f>
        <v>17270481.129999999</v>
      </c>
      <c r="L166" s="77">
        <f t="shared" si="3"/>
        <v>0.54929246073049975</v>
      </c>
      <c r="M166" s="69">
        <f>SUMIF('SIGAF DIC 20'!$B$2:$B$849,$A166,'SIGAF DIC 20'!$M$2:$M$849)</f>
        <v>14703136.27</v>
      </c>
      <c r="N166" s="76">
        <f t="shared" si="4"/>
        <v>0.46763734266644386</v>
      </c>
      <c r="O166" s="68">
        <f>SUMIF('SIGAF DIC 20'!$B$2:$B$849,$A166,'SIGAF DIC 20'!$O$2:$O$849)</f>
        <v>11260201.550000001</v>
      </c>
      <c r="P166" s="76">
        <f t="shared" si="5"/>
        <v>0.35813384532622389</v>
      </c>
      <c r="Q166" s="69">
        <f>SUMIF('SIGAF DIC 20'!$B$2:$B$849,$A166,'SIGAF DIC 20'!$Q$2:$Q$849)</f>
        <v>11260201.550000001</v>
      </c>
      <c r="R166" s="76">
        <f t="shared" si="6"/>
        <v>0.35813384532622389</v>
      </c>
    </row>
    <row r="167" spans="1:19" x14ac:dyDescent="0.25">
      <c r="A167" s="66" t="s">
        <v>170</v>
      </c>
      <c r="B167" s="66" t="s">
        <v>566</v>
      </c>
      <c r="C167" s="69">
        <f>SUMIF('SIGAF DIC 20'!$B$2:$B$849,$A167,'SIGAF DIC 20'!$F$2:$F$849)</f>
        <v>54875213</v>
      </c>
      <c r="D167" s="69">
        <f>SUMIF('SIGAF DIC 20'!$B$2:$B$849,$A167,'SIGAF DIC 20'!$G$2:$G$849)</f>
        <v>54875213</v>
      </c>
      <c r="E167" s="69">
        <f>SUMIF('SIGAF DIC 20'!$B$2:$B$849,$A167,'SIGAF DIC 20'!$H$2:$H$849)</f>
        <v>0</v>
      </c>
      <c r="F167" s="76">
        <f t="shared" si="0"/>
        <v>0</v>
      </c>
      <c r="G167" s="69">
        <f>SUMIF('SIGAF DIC 20'!$B$2:$B$849,$A167,'SIGAF DIC 20'!$I$2:$I$849)</f>
        <v>14857618.029999999</v>
      </c>
      <c r="H167" s="76">
        <f t="shared" si="1"/>
        <v>0.27075280837634286</v>
      </c>
      <c r="I167" s="69">
        <f>SUMIF('SIGAF DIC 20'!$B$2:$B$849,$A167,'SIGAF DIC 20'!$J$2:$J$849)</f>
        <v>0</v>
      </c>
      <c r="J167" s="76">
        <f t="shared" si="2"/>
        <v>0</v>
      </c>
      <c r="K167" s="69">
        <f>SUMIF('SIGAF DIC 20'!$B$2:$B$849,$A167,'SIGAF DIC 20'!$K$2:$K$849)</f>
        <v>31152591.73</v>
      </c>
      <c r="L167" s="77">
        <f t="shared" si="3"/>
        <v>0.56769878469537782</v>
      </c>
      <c r="M167" s="69">
        <f>SUMIF('SIGAF DIC 20'!$B$2:$B$849,$A167,'SIGAF DIC 20'!$M$2:$M$849)</f>
        <v>20349960.739999998</v>
      </c>
      <c r="N167" s="76">
        <f t="shared" si="4"/>
        <v>0.37084066972095392</v>
      </c>
      <c r="O167" s="68">
        <f>SUMIF('SIGAF DIC 20'!$B$2:$B$849,$A167,'SIGAF DIC 20'!$O$2:$O$849)</f>
        <v>8865003.2399999984</v>
      </c>
      <c r="P167" s="76">
        <f t="shared" si="5"/>
        <v>0.16154840692827924</v>
      </c>
      <c r="Q167" s="69">
        <f>SUMIF('SIGAF DIC 20'!$B$2:$B$849,$A167,'SIGAF DIC 20'!$Q$2:$Q$849)</f>
        <v>8865003.2399999984</v>
      </c>
      <c r="R167" s="76">
        <f t="shared" si="6"/>
        <v>0.16154840692827924</v>
      </c>
    </row>
    <row r="168" spans="1:19" x14ac:dyDescent="0.25">
      <c r="A168" s="66" t="s">
        <v>172</v>
      </c>
      <c r="B168" s="66" t="s">
        <v>567</v>
      </c>
      <c r="C168" s="69">
        <f>SUMIF('SIGAF DIC 20'!$B$2:$B$849,$A168,'SIGAF DIC 20'!$F$2:$F$849)</f>
        <v>174995247</v>
      </c>
      <c r="D168" s="69">
        <f>SUMIF('SIGAF DIC 20'!$B$2:$B$849,$A168,'SIGAF DIC 20'!$G$2:$G$849)</f>
        <v>174995247</v>
      </c>
      <c r="E168" s="69">
        <f>SUMIF('SIGAF DIC 20'!$B$2:$B$849,$A168,'SIGAF DIC 20'!$H$2:$H$849)</f>
        <v>0</v>
      </c>
      <c r="F168" s="76">
        <f t="shared" si="0"/>
        <v>0</v>
      </c>
      <c r="G168" s="69">
        <f>SUMIF('SIGAF DIC 20'!$B$2:$B$849,$A168,'SIGAF DIC 20'!$I$2:$I$849)</f>
        <v>33498024.93</v>
      </c>
      <c r="H168" s="76">
        <f t="shared" si="1"/>
        <v>0.19142248434896064</v>
      </c>
      <c r="I168" s="69">
        <f>SUMIF('SIGAF DIC 20'!$B$2:$B$849,$A168,'SIGAF DIC 20'!$J$2:$J$849)</f>
        <v>0</v>
      </c>
      <c r="J168" s="76">
        <f t="shared" si="2"/>
        <v>0</v>
      </c>
      <c r="K168" s="69">
        <f>SUMIF('SIGAF DIC 20'!$B$2:$B$849,$A168,'SIGAF DIC 20'!$K$2:$K$849)</f>
        <v>113238468.40000001</v>
      </c>
      <c r="L168" s="77">
        <f t="shared" si="3"/>
        <v>0.64709453737334943</v>
      </c>
      <c r="M168" s="69">
        <f>SUMIF('SIGAF DIC 20'!$B$2:$B$849,$A168,'SIGAF DIC 20'!$M$2:$M$849)</f>
        <v>96408562.280000001</v>
      </c>
      <c r="N168" s="76">
        <f t="shared" si="4"/>
        <v>0.55092103318668995</v>
      </c>
      <c r="O168" s="68">
        <f>SUMIF('SIGAF DIC 20'!$B$2:$B$849,$A168,'SIGAF DIC 20'!$O$2:$O$849)</f>
        <v>28258753.669999998</v>
      </c>
      <c r="P168" s="76">
        <f t="shared" si="5"/>
        <v>0.16148297827769001</v>
      </c>
      <c r="Q168" s="69">
        <f>SUMIF('SIGAF DIC 20'!$B$2:$B$849,$A168,'SIGAF DIC 20'!$Q$2:$Q$849)</f>
        <v>28258753.669999998</v>
      </c>
      <c r="R168" s="76">
        <f t="shared" si="6"/>
        <v>0.16148297827769001</v>
      </c>
    </row>
    <row r="169" spans="1:19" x14ac:dyDescent="0.25">
      <c r="A169" s="66" t="s">
        <v>174</v>
      </c>
      <c r="B169" s="66" t="s">
        <v>175</v>
      </c>
      <c r="C169" s="69">
        <f>SUMIF('SIGAF DIC 20'!$B$2:$B$849,$A169,'SIGAF DIC 20'!$F$2:$F$849)</f>
        <v>20905000</v>
      </c>
      <c r="D169" s="69">
        <f>SUMIF('SIGAF DIC 20'!$B$2:$B$849,$A169,'SIGAF DIC 20'!$G$2:$G$849)</f>
        <v>20905000</v>
      </c>
      <c r="E169" s="69">
        <f>SUMIF('SIGAF DIC 20'!$B$2:$B$849,$A169,'SIGAF DIC 20'!$H$2:$H$849)</f>
        <v>0</v>
      </c>
      <c r="F169" s="76">
        <f t="shared" si="0"/>
        <v>0</v>
      </c>
      <c r="G169" s="69">
        <f>SUMIF('SIGAF DIC 20'!$B$2:$B$849,$A169,'SIGAF DIC 20'!$I$2:$I$849)</f>
        <v>4585448</v>
      </c>
      <c r="H169" s="76">
        <f t="shared" si="1"/>
        <v>0.21934695049031333</v>
      </c>
      <c r="I169" s="69">
        <f>SUMIF('SIGAF DIC 20'!$B$2:$B$849,$A169,'SIGAF DIC 20'!$J$2:$J$849)</f>
        <v>0</v>
      </c>
      <c r="J169" s="76">
        <f t="shared" si="2"/>
        <v>0</v>
      </c>
      <c r="K169" s="69">
        <f>SUMIF('SIGAF DIC 20'!$B$2:$B$849,$A169,'SIGAF DIC 20'!$K$2:$K$849)</f>
        <v>12633850</v>
      </c>
      <c r="L169" s="77">
        <f t="shared" si="3"/>
        <v>0.60434585027505383</v>
      </c>
      <c r="M169" s="69">
        <f>SUMIF('SIGAF DIC 20'!$B$2:$B$849,$A169,'SIGAF DIC 20'!$M$2:$M$849)</f>
        <v>443507</v>
      </c>
      <c r="N169" s="76">
        <f t="shared" si="4"/>
        <v>2.1215355178187036E-2</v>
      </c>
      <c r="O169" s="68">
        <f>SUMIF('SIGAF DIC 20'!$B$2:$B$849,$A169,'SIGAF DIC 20'!$O$2:$O$849)</f>
        <v>3685702</v>
      </c>
      <c r="P169" s="76">
        <f t="shared" si="5"/>
        <v>0.17630719923463287</v>
      </c>
      <c r="Q169" s="69">
        <f>SUMIF('SIGAF DIC 20'!$B$2:$B$849,$A169,'SIGAF DIC 20'!$Q$2:$Q$849)</f>
        <v>3685702</v>
      </c>
      <c r="R169" s="76">
        <f t="shared" si="6"/>
        <v>0.17630719923463287</v>
      </c>
    </row>
    <row r="170" spans="1:19" x14ac:dyDescent="0.25">
      <c r="A170" s="66" t="s">
        <v>176</v>
      </c>
      <c r="B170" s="66" t="s">
        <v>568</v>
      </c>
      <c r="C170" s="69">
        <f>SUMIF('SIGAF DIC 20'!$B$2:$B$849,$A170,'SIGAF DIC 20'!$F$2:$F$849)</f>
        <v>20905000</v>
      </c>
      <c r="D170" s="69">
        <f>SUMIF('SIGAF DIC 20'!$B$2:$B$849,$A170,'SIGAF DIC 20'!$G$2:$G$849)</f>
        <v>20905000</v>
      </c>
      <c r="E170" s="69">
        <f>SUMIF('SIGAF DIC 20'!$B$2:$B$849,$A170,'SIGAF DIC 20'!$H$2:$H$849)</f>
        <v>0</v>
      </c>
      <c r="F170" s="76">
        <f t="shared" si="0"/>
        <v>0</v>
      </c>
      <c r="G170" s="69">
        <f>SUMIF('SIGAF DIC 20'!$B$2:$B$849,$A170,'SIGAF DIC 20'!$I$2:$I$849)</f>
        <v>4585448</v>
      </c>
      <c r="H170" s="76">
        <f t="shared" si="1"/>
        <v>0.21934695049031333</v>
      </c>
      <c r="I170" s="69">
        <f>SUMIF('SIGAF DIC 20'!$B$2:$B$849,$A170,'SIGAF DIC 20'!$J$2:$J$849)</f>
        <v>0</v>
      </c>
      <c r="J170" s="76">
        <f t="shared" si="2"/>
        <v>0</v>
      </c>
      <c r="K170" s="69">
        <f>SUMIF('SIGAF DIC 20'!$B$2:$B$849,$A170,'SIGAF DIC 20'!$K$2:$K$849)</f>
        <v>12633850</v>
      </c>
      <c r="L170" s="77">
        <f t="shared" si="3"/>
        <v>0.60434585027505383</v>
      </c>
      <c r="M170" s="69">
        <f>SUMIF('SIGAF DIC 20'!$B$2:$B$849,$A170,'SIGAF DIC 20'!$M$2:$M$849)</f>
        <v>443507</v>
      </c>
      <c r="N170" s="76">
        <f t="shared" si="4"/>
        <v>2.1215355178187036E-2</v>
      </c>
      <c r="O170" s="68">
        <f>SUMIF('SIGAF DIC 20'!$B$2:$B$849,$A170,'SIGAF DIC 20'!$O$2:$O$849)</f>
        <v>3685702</v>
      </c>
      <c r="P170" s="76">
        <f t="shared" si="5"/>
        <v>0.17630719923463287</v>
      </c>
      <c r="Q170" s="69">
        <f>SUMIF('SIGAF DIC 20'!$B$2:$B$849,$A170,'SIGAF DIC 20'!$Q$2:$Q$849)</f>
        <v>3685702</v>
      </c>
      <c r="R170" s="76">
        <f t="shared" si="6"/>
        <v>0.17630719923463287</v>
      </c>
    </row>
    <row r="171" spans="1:19" x14ac:dyDescent="0.25">
      <c r="A171" s="66" t="s">
        <v>178</v>
      </c>
      <c r="B171" s="66" t="s">
        <v>179</v>
      </c>
      <c r="C171" s="69">
        <f>SUMIF('SIGAF DIC 20'!$B$2:$B$849,$A171,'SIGAF DIC 20'!$F$2:$F$849)</f>
        <v>65904050</v>
      </c>
      <c r="D171" s="69">
        <f>SUMIF('SIGAF DIC 20'!$B$2:$B$849,$A171,'SIGAF DIC 20'!$G$2:$G$849)</f>
        <v>65904050</v>
      </c>
      <c r="E171" s="69">
        <f>SUMIF('SIGAF DIC 20'!$B$2:$B$849,$A171,'SIGAF DIC 20'!$H$2:$H$849)</f>
        <v>0</v>
      </c>
      <c r="F171" s="76">
        <f t="shared" si="0"/>
        <v>0</v>
      </c>
      <c r="G171" s="69">
        <f>SUMIF('SIGAF DIC 20'!$B$2:$B$849,$A171,'SIGAF DIC 20'!$I$2:$I$849)</f>
        <v>44964591.270000003</v>
      </c>
      <c r="H171" s="76">
        <f t="shared" si="1"/>
        <v>0.68227356695074126</v>
      </c>
      <c r="I171" s="69">
        <f>SUMIF('SIGAF DIC 20'!$B$2:$B$849,$A171,'SIGAF DIC 20'!$J$2:$J$849)</f>
        <v>0</v>
      </c>
      <c r="J171" s="76">
        <f t="shared" si="2"/>
        <v>0</v>
      </c>
      <c r="K171" s="69">
        <f>SUMIF('SIGAF DIC 20'!$B$2:$B$849,$A171,'SIGAF DIC 20'!$K$2:$K$849)</f>
        <v>7392589.1199999992</v>
      </c>
      <c r="L171" s="77">
        <f t="shared" si="3"/>
        <v>0.11217200035506163</v>
      </c>
      <c r="M171" s="69">
        <f>SUMIF('SIGAF DIC 20'!$B$2:$B$849,$A171,'SIGAF DIC 20'!$M$2:$M$849)</f>
        <v>7042589.1200000001</v>
      </c>
      <c r="N171" s="76">
        <f t="shared" si="4"/>
        <v>0.10686124934658796</v>
      </c>
      <c r="O171" s="68">
        <f>SUMIF('SIGAF DIC 20'!$B$2:$B$849,$A171,'SIGAF DIC 20'!$O$2:$O$849)</f>
        <v>13546869.609999999</v>
      </c>
      <c r="P171" s="76">
        <f t="shared" si="5"/>
        <v>0.2055544326941971</v>
      </c>
      <c r="Q171" s="69">
        <f>SUMIF('SIGAF DIC 20'!$B$2:$B$849,$A171,'SIGAF DIC 20'!$Q$2:$Q$849)</f>
        <v>13546869.609999999</v>
      </c>
      <c r="R171" s="76">
        <f t="shared" si="6"/>
        <v>0.2055544326941971</v>
      </c>
    </row>
    <row r="172" spans="1:19" x14ac:dyDescent="0.25">
      <c r="A172" s="66" t="s">
        <v>348</v>
      </c>
      <c r="B172" s="66" t="s">
        <v>569</v>
      </c>
      <c r="C172" s="69">
        <f>SUMIF('SIGAF DIC 20'!$B$2:$B$849,$A172,'SIGAF DIC 20'!$F$2:$F$849)</f>
        <v>5000000</v>
      </c>
      <c r="D172" s="69">
        <f>SUMIF('SIGAF DIC 20'!$B$2:$B$849,$A172,'SIGAF DIC 20'!$G$2:$G$849)</f>
        <v>5000000</v>
      </c>
      <c r="E172" s="69">
        <f>SUMIF('SIGAF DIC 20'!$B$2:$B$849,$A172,'SIGAF DIC 20'!$H$2:$H$849)</f>
        <v>0</v>
      </c>
      <c r="F172" s="76">
        <f t="shared" si="0"/>
        <v>0</v>
      </c>
      <c r="G172" s="69">
        <f>SUMIF('SIGAF DIC 20'!$B$2:$B$849,$A172,'SIGAF DIC 20'!$I$2:$I$849)</f>
        <v>0</v>
      </c>
      <c r="H172" s="76">
        <f t="shared" si="1"/>
        <v>0</v>
      </c>
      <c r="I172" s="69">
        <f>SUMIF('SIGAF DIC 20'!$B$2:$B$849,$A172,'SIGAF DIC 20'!$J$2:$J$849)</f>
        <v>0</v>
      </c>
      <c r="J172" s="76">
        <f t="shared" si="2"/>
        <v>0</v>
      </c>
      <c r="K172" s="69">
        <f>SUMIF('SIGAF DIC 20'!$B$2:$B$849,$A172,'SIGAF DIC 20'!$K$2:$K$849)</f>
        <v>3617106.85</v>
      </c>
      <c r="L172" s="77">
        <f t="shared" si="3"/>
        <v>0.72342137000000006</v>
      </c>
      <c r="M172" s="69">
        <f>SUMIF('SIGAF DIC 20'!$B$2:$B$849,$A172,'SIGAF DIC 20'!$M$2:$M$849)</f>
        <v>3617106.85</v>
      </c>
      <c r="N172" s="76">
        <f t="shared" si="4"/>
        <v>0.72342137000000006</v>
      </c>
      <c r="O172" s="68">
        <f>SUMIF('SIGAF DIC 20'!$B$2:$B$849,$A172,'SIGAF DIC 20'!$O$2:$O$849)</f>
        <v>1382893.15</v>
      </c>
      <c r="P172" s="76">
        <f t="shared" si="5"/>
        <v>0.27657862999999999</v>
      </c>
      <c r="Q172" s="69">
        <f>SUMIF('SIGAF DIC 20'!$B$2:$B$849,$A172,'SIGAF DIC 20'!$Q$2:$Q$849)</f>
        <v>1382893.15</v>
      </c>
      <c r="R172" s="76">
        <f t="shared" si="6"/>
        <v>0.27657862999999999</v>
      </c>
    </row>
    <row r="173" spans="1:19" x14ac:dyDescent="0.25">
      <c r="A173" s="66" t="s">
        <v>180</v>
      </c>
      <c r="B173" s="66" t="s">
        <v>570</v>
      </c>
      <c r="C173" s="69">
        <f>SUMIF('SIGAF DIC 20'!$B$2:$B$849,$A173,'SIGAF DIC 20'!$F$2:$F$849)</f>
        <v>8433455</v>
      </c>
      <c r="D173" s="69">
        <f>SUMIF('SIGAF DIC 20'!$B$2:$B$849,$A173,'SIGAF DIC 20'!$G$2:$G$849)</f>
        <v>8433455</v>
      </c>
      <c r="E173" s="69">
        <f>SUMIF('SIGAF DIC 20'!$B$2:$B$849,$A173,'SIGAF DIC 20'!$H$2:$H$849)</f>
        <v>0</v>
      </c>
      <c r="F173" s="76">
        <f t="shared" si="0"/>
        <v>0</v>
      </c>
      <c r="G173" s="69">
        <f>SUMIF('SIGAF DIC 20'!$B$2:$B$849,$A173,'SIGAF DIC 20'!$I$2:$I$849)</f>
        <v>0</v>
      </c>
      <c r="H173" s="76">
        <f t="shared" si="1"/>
        <v>0</v>
      </c>
      <c r="I173" s="69">
        <f>SUMIF('SIGAF DIC 20'!$B$2:$B$849,$A173,'SIGAF DIC 20'!$J$2:$J$849)</f>
        <v>0</v>
      </c>
      <c r="J173" s="76">
        <f t="shared" si="2"/>
        <v>0</v>
      </c>
      <c r="K173" s="69">
        <f>SUMIF('SIGAF DIC 20'!$B$2:$B$849,$A173,'SIGAF DIC 20'!$K$2:$K$849)</f>
        <v>2875482.27</v>
      </c>
      <c r="L173" s="77">
        <f t="shared" si="3"/>
        <v>0.34096135806736383</v>
      </c>
      <c r="M173" s="69">
        <f>SUMIF('SIGAF DIC 20'!$B$2:$B$849,$A173,'SIGAF DIC 20'!$M$2:$M$849)</f>
        <v>2875482.27</v>
      </c>
      <c r="N173" s="76">
        <f t="shared" si="4"/>
        <v>0.34096135806736383</v>
      </c>
      <c r="O173" s="68">
        <f>SUMIF('SIGAF DIC 20'!$B$2:$B$849,$A173,'SIGAF DIC 20'!$O$2:$O$849)</f>
        <v>5557972.7300000004</v>
      </c>
      <c r="P173" s="76">
        <f t="shared" si="5"/>
        <v>0.65903864193263617</v>
      </c>
      <c r="Q173" s="69">
        <f>SUMIF('SIGAF DIC 20'!$B$2:$B$849,$A173,'SIGAF DIC 20'!$Q$2:$Q$849)</f>
        <v>5557972.7300000004</v>
      </c>
      <c r="R173" s="76">
        <f t="shared" si="6"/>
        <v>0.65903864193263617</v>
      </c>
    </row>
    <row r="174" spans="1:19" x14ac:dyDescent="0.25">
      <c r="A174" s="66" t="s">
        <v>182</v>
      </c>
      <c r="B174" s="66" t="s">
        <v>183</v>
      </c>
      <c r="C174" s="69">
        <f>SUMIF('SIGAF DIC 20'!$B$2:$B$849,$A174,'SIGAF DIC 20'!$F$2:$F$849)</f>
        <v>52470595</v>
      </c>
      <c r="D174" s="69">
        <f>SUMIF('SIGAF DIC 20'!$B$2:$B$849,$A174,'SIGAF DIC 20'!$G$2:$G$849)</f>
        <v>52470595</v>
      </c>
      <c r="E174" s="69">
        <f>SUMIF('SIGAF DIC 20'!$B$2:$B$849,$A174,'SIGAF DIC 20'!$H$2:$H$849)</f>
        <v>0</v>
      </c>
      <c r="F174" s="76">
        <f t="shared" si="0"/>
        <v>0</v>
      </c>
      <c r="G174" s="69">
        <f>SUMIF('SIGAF DIC 20'!$B$2:$B$849,$A174,'SIGAF DIC 20'!$I$2:$I$849)</f>
        <v>44964591.270000003</v>
      </c>
      <c r="H174" s="76">
        <f t="shared" si="1"/>
        <v>0.85694837784858369</v>
      </c>
      <c r="I174" s="69">
        <f>SUMIF('SIGAF DIC 20'!$B$2:$B$849,$A174,'SIGAF DIC 20'!$J$2:$J$849)</f>
        <v>0</v>
      </c>
      <c r="J174" s="76">
        <f t="shared" si="2"/>
        <v>0</v>
      </c>
      <c r="K174" s="69">
        <f>SUMIF('SIGAF DIC 20'!$B$2:$B$849,$A174,'SIGAF DIC 20'!$K$2:$K$849)</f>
        <v>900000</v>
      </c>
      <c r="L174" s="77">
        <f t="shared" si="3"/>
        <v>1.7152464156352715E-2</v>
      </c>
      <c r="M174" s="69">
        <f>SUMIF('SIGAF DIC 20'!$B$2:$B$849,$A174,'SIGAF DIC 20'!$M$2:$M$849)</f>
        <v>550000</v>
      </c>
      <c r="N174" s="76">
        <f t="shared" si="4"/>
        <v>1.0482061428882215E-2</v>
      </c>
      <c r="O174" s="68">
        <f>SUMIF('SIGAF DIC 20'!$B$2:$B$849,$A174,'SIGAF DIC 20'!$O$2:$O$849)</f>
        <v>6606003.7300000004</v>
      </c>
      <c r="P174" s="76">
        <f t="shared" si="5"/>
        <v>0.12589915799506371</v>
      </c>
      <c r="Q174" s="69">
        <f>SUMIF('SIGAF DIC 20'!$B$2:$B$849,$A174,'SIGAF DIC 20'!$Q$2:$Q$849)</f>
        <v>6606003.7300000004</v>
      </c>
      <c r="R174" s="76">
        <f t="shared" si="6"/>
        <v>0.12589915799506371</v>
      </c>
    </row>
    <row r="175" spans="1:19" s="74" customFormat="1" x14ac:dyDescent="0.25">
      <c r="A175" s="70" t="s">
        <v>184</v>
      </c>
      <c r="B175" s="70" t="s">
        <v>571</v>
      </c>
      <c r="C175" s="69">
        <f>SUMIF('SIGAF DIC 20'!$B$2:$B$849,$A175,'SIGAF DIC 20'!$F$2:$F$849)</f>
        <v>16512433047</v>
      </c>
      <c r="D175" s="69">
        <f>SUMIF('SIGAF DIC 20'!$B$2:$B$849,$A175,'SIGAF DIC 20'!$G$2:$G$849)</f>
        <v>16512433047</v>
      </c>
      <c r="E175" s="69">
        <f>SUMIF('SIGAF DIC 20'!$B$2:$B$849,$A175,'SIGAF DIC 20'!$H$2:$H$849)</f>
        <v>0</v>
      </c>
      <c r="F175" s="72">
        <f t="shared" si="0"/>
        <v>0</v>
      </c>
      <c r="G175" s="69">
        <f>SUMIF('SIGAF DIC 20'!$B$2:$B$849,$A175,'SIGAF DIC 20'!$I$2:$I$849)</f>
        <v>1035084392.23</v>
      </c>
      <c r="H175" s="72">
        <f t="shared" si="1"/>
        <v>6.2685153016747916E-2</v>
      </c>
      <c r="I175" s="69">
        <f>SUMIF('SIGAF DIC 20'!$B$2:$B$849,$A175,'SIGAF DIC 20'!$J$2:$J$849)</f>
        <v>0</v>
      </c>
      <c r="J175" s="72">
        <f t="shared" si="2"/>
        <v>0</v>
      </c>
      <c r="K175" s="69">
        <f>SUMIF('SIGAF DIC 20'!$B$2:$B$849,$A175,'SIGAF DIC 20'!$K$2:$K$849)</f>
        <v>14913238479.99</v>
      </c>
      <c r="L175" s="73">
        <f t="shared" si="3"/>
        <v>0.90315209379149952</v>
      </c>
      <c r="M175" s="69">
        <f>SUMIF('SIGAF DIC 20'!$B$2:$B$849,$A175,'SIGAF DIC 20'!$M$2:$M$849)</f>
        <v>11824171006.459999</v>
      </c>
      <c r="N175" s="72">
        <f t="shared" si="4"/>
        <v>0.71607684783970882</v>
      </c>
      <c r="O175" s="68">
        <f>SUMIF('SIGAF DIC 20'!$B$2:$B$849,$A175,'SIGAF DIC 20'!$O$2:$O$849)</f>
        <v>564110174.78000009</v>
      </c>
      <c r="P175" s="72">
        <f t="shared" si="5"/>
        <v>3.4162753191752583E-2</v>
      </c>
      <c r="Q175" s="69">
        <f>SUMIF('SIGAF DIC 20'!$B$2:$B$849,$A175,'SIGAF DIC 20'!$Q$2:$Q$849)</f>
        <v>564110174.78000009</v>
      </c>
      <c r="R175" s="72">
        <f t="shared" si="6"/>
        <v>3.4162753191752583E-2</v>
      </c>
      <c r="S175" s="84"/>
    </row>
    <row r="176" spans="1:19" x14ac:dyDescent="0.25">
      <c r="A176" s="66" t="s">
        <v>186</v>
      </c>
      <c r="B176" s="66" t="s">
        <v>572</v>
      </c>
      <c r="C176" s="69">
        <f>SUMIF('SIGAF DIC 20'!$B$2:$B$849,$A176,'SIGAF DIC 20'!$F$2:$F$849)</f>
        <v>1017807274</v>
      </c>
      <c r="D176" s="69">
        <f>SUMIF('SIGAF DIC 20'!$B$2:$B$849,$A176,'SIGAF DIC 20'!$G$2:$G$849)</f>
        <v>1017807274</v>
      </c>
      <c r="E176" s="69">
        <f>SUMIF('SIGAF DIC 20'!$B$2:$B$849,$A176,'SIGAF DIC 20'!$H$2:$H$849)</f>
        <v>0</v>
      </c>
      <c r="F176" s="76">
        <f t="shared" si="0"/>
        <v>0</v>
      </c>
      <c r="G176" s="69">
        <f>SUMIF('SIGAF DIC 20'!$B$2:$B$849,$A176,'SIGAF DIC 20'!$I$2:$I$849)</f>
        <v>72412864.590000004</v>
      </c>
      <c r="H176" s="76">
        <f t="shared" si="1"/>
        <v>7.1145949178979831E-2</v>
      </c>
      <c r="I176" s="69">
        <f>SUMIF('SIGAF DIC 20'!$B$2:$B$849,$A176,'SIGAF DIC 20'!$J$2:$J$849)</f>
        <v>0</v>
      </c>
      <c r="J176" s="76">
        <f t="shared" si="2"/>
        <v>0</v>
      </c>
      <c r="K176" s="69">
        <f>SUMIF('SIGAF DIC 20'!$B$2:$B$849,$A176,'SIGAF DIC 20'!$K$2:$K$849)</f>
        <v>773944819.23000014</v>
      </c>
      <c r="L176" s="77">
        <f t="shared" si="3"/>
        <v>0.76040409515682061</v>
      </c>
      <c r="M176" s="69">
        <f>SUMIF('SIGAF DIC 20'!$B$2:$B$849,$A176,'SIGAF DIC 20'!$M$2:$M$849)</f>
        <v>725581480.99000013</v>
      </c>
      <c r="N176" s="76">
        <f t="shared" si="4"/>
        <v>0.71288690847968939</v>
      </c>
      <c r="O176" s="68">
        <f>SUMIF('SIGAF DIC 20'!$B$2:$B$849,$A176,'SIGAF DIC 20'!$O$2:$O$849)</f>
        <v>171449590.17999998</v>
      </c>
      <c r="P176" s="76">
        <f t="shared" si="5"/>
        <v>0.16844995566419971</v>
      </c>
      <c r="Q176" s="69">
        <f>SUMIF('SIGAF DIC 20'!$B$2:$B$849,$A176,'SIGAF DIC 20'!$Q$2:$Q$849)</f>
        <v>171449590.17999998</v>
      </c>
      <c r="R176" s="76">
        <f t="shared" si="6"/>
        <v>0.16844995566419971</v>
      </c>
      <c r="S176" s="33">
        <f>+S175/D10</f>
        <v>0</v>
      </c>
    </row>
    <row r="177" spans="1:18" x14ac:dyDescent="0.25">
      <c r="A177" s="66" t="s">
        <v>188</v>
      </c>
      <c r="B177" s="66" t="s">
        <v>573</v>
      </c>
      <c r="C177" s="69">
        <f>SUMIF('SIGAF DIC 20'!$B$2:$B$849,$A177,'SIGAF DIC 20'!$F$2:$F$849)</f>
        <v>720074289</v>
      </c>
      <c r="D177" s="69">
        <f>SUMIF('SIGAF DIC 20'!$B$2:$B$849,$A177,'SIGAF DIC 20'!$G$2:$G$849)</f>
        <v>720074289</v>
      </c>
      <c r="E177" s="69">
        <f>SUMIF('SIGAF DIC 20'!$B$2:$B$849,$A177,'SIGAF DIC 20'!$H$2:$H$849)</f>
        <v>0</v>
      </c>
      <c r="F177" s="76">
        <f t="shared" si="0"/>
        <v>0</v>
      </c>
      <c r="G177" s="69">
        <f>SUMIF('SIGAF DIC 20'!$B$2:$B$849,$A177,'SIGAF DIC 20'!$I$2:$I$849)</f>
        <v>61267259.269999996</v>
      </c>
      <c r="H177" s="76">
        <f t="shared" si="1"/>
        <v>8.5084636690867868E-2</v>
      </c>
      <c r="I177" s="69">
        <f>SUMIF('SIGAF DIC 20'!$B$2:$B$849,$A177,'SIGAF DIC 20'!$J$2:$J$849)</f>
        <v>0</v>
      </c>
      <c r="J177" s="76">
        <f t="shared" si="2"/>
        <v>0</v>
      </c>
      <c r="K177" s="69">
        <f>SUMIF('SIGAF DIC 20'!$B$2:$B$849,$A177,'SIGAF DIC 20'!$K$2:$K$849)</f>
        <v>497640123.75</v>
      </c>
      <c r="L177" s="77">
        <f t="shared" si="3"/>
        <v>0.69109553188060013</v>
      </c>
      <c r="M177" s="69">
        <f>SUMIF('SIGAF DIC 20'!$B$2:$B$849,$A177,'SIGAF DIC 20'!$M$2:$M$849)</f>
        <v>483092937.91000003</v>
      </c>
      <c r="N177" s="76">
        <f t="shared" si="4"/>
        <v>0.67089319156346106</v>
      </c>
      <c r="O177" s="68">
        <f>SUMIF('SIGAF DIC 20'!$B$2:$B$849,$A177,'SIGAF DIC 20'!$O$2:$O$849)</f>
        <v>161166905.97999999</v>
      </c>
      <c r="P177" s="76">
        <f t="shared" si="5"/>
        <v>0.22381983142853193</v>
      </c>
      <c r="Q177" s="69">
        <f>SUMIF('SIGAF DIC 20'!$B$2:$B$849,$A177,'SIGAF DIC 20'!$Q$2:$Q$849)</f>
        <v>161166905.97999999</v>
      </c>
      <c r="R177" s="76">
        <f t="shared" si="6"/>
        <v>0.22381983142853193</v>
      </c>
    </row>
    <row r="178" spans="1:18" x14ac:dyDescent="0.25">
      <c r="A178" s="66" t="s">
        <v>190</v>
      </c>
      <c r="B178" s="66" t="s">
        <v>574</v>
      </c>
      <c r="C178" s="69">
        <f>SUMIF('SIGAF DIC 20'!$B$2:$B$849,$A178,'SIGAF DIC 20'!$F$2:$F$849)</f>
        <v>224986576</v>
      </c>
      <c r="D178" s="69">
        <f>SUMIF('SIGAF DIC 20'!$B$2:$B$849,$A178,'SIGAF DIC 20'!$G$2:$G$849)</f>
        <v>224986576</v>
      </c>
      <c r="E178" s="69">
        <f>SUMIF('SIGAF DIC 20'!$B$2:$B$849,$A178,'SIGAF DIC 20'!$H$2:$H$849)</f>
        <v>0</v>
      </c>
      <c r="F178" s="76">
        <f t="shared" si="0"/>
        <v>0</v>
      </c>
      <c r="G178" s="69">
        <f>SUMIF('SIGAF DIC 20'!$B$2:$B$849,$A178,'SIGAF DIC 20'!$I$2:$I$849)</f>
        <v>98.9</v>
      </c>
      <c r="H178" s="76">
        <f t="shared" si="1"/>
        <v>4.3958178198151703E-7</v>
      </c>
      <c r="I178" s="69">
        <f>SUMIF('SIGAF DIC 20'!$B$2:$B$849,$A178,'SIGAF DIC 20'!$J$2:$J$849)</f>
        <v>0</v>
      </c>
      <c r="J178" s="76">
        <f t="shared" si="2"/>
        <v>0</v>
      </c>
      <c r="K178" s="69">
        <f>SUMIF('SIGAF DIC 20'!$B$2:$B$849,$A178,'SIGAF DIC 20'!$K$2:$K$849)</f>
        <v>221494122.95000002</v>
      </c>
      <c r="L178" s="77">
        <f t="shared" si="3"/>
        <v>0.98447706031136728</v>
      </c>
      <c r="M178" s="69">
        <f>SUMIF('SIGAF DIC 20'!$B$2:$B$849,$A178,'SIGAF DIC 20'!$M$2:$M$849)</f>
        <v>189148872.95000002</v>
      </c>
      <c r="N178" s="76">
        <f t="shared" si="4"/>
        <v>0.84071181629076397</v>
      </c>
      <c r="O178" s="68">
        <f>SUMIF('SIGAF DIC 20'!$B$2:$B$849,$A178,'SIGAF DIC 20'!$O$2:$O$849)</f>
        <v>3492354.15</v>
      </c>
      <c r="P178" s="76">
        <f t="shared" si="5"/>
        <v>1.552250010685082E-2</v>
      </c>
      <c r="Q178" s="69">
        <f>SUMIF('SIGAF DIC 20'!$B$2:$B$849,$A178,'SIGAF DIC 20'!$Q$2:$Q$849)</f>
        <v>3492354.15</v>
      </c>
      <c r="R178" s="76">
        <f t="shared" si="6"/>
        <v>1.552250010685082E-2</v>
      </c>
    </row>
    <row r="179" spans="1:18" x14ac:dyDescent="0.25">
      <c r="A179" s="66" t="s">
        <v>350</v>
      </c>
      <c r="B179" s="66" t="s">
        <v>575</v>
      </c>
      <c r="C179" s="69">
        <f>SUMIF('SIGAF DIC 20'!$B$2:$B$849,$A179,'SIGAF DIC 20'!$F$2:$F$849)</f>
        <v>14405151</v>
      </c>
      <c r="D179" s="69">
        <f>SUMIF('SIGAF DIC 20'!$B$2:$B$849,$A179,'SIGAF DIC 20'!$G$2:$G$849)</f>
        <v>14405151</v>
      </c>
      <c r="E179" s="69">
        <f>SUMIF('SIGAF DIC 20'!$B$2:$B$849,$A179,'SIGAF DIC 20'!$H$2:$H$849)</f>
        <v>0</v>
      </c>
      <c r="F179" s="76">
        <f t="shared" si="0"/>
        <v>0</v>
      </c>
      <c r="G179" s="69">
        <f>SUMIF('SIGAF DIC 20'!$B$2:$B$849,$A179,'SIGAF DIC 20'!$I$2:$I$849)</f>
        <v>9454794.4199999999</v>
      </c>
      <c r="H179" s="76">
        <f t="shared" si="1"/>
        <v>0.65634816462527878</v>
      </c>
      <c r="I179" s="69">
        <f>SUMIF('SIGAF DIC 20'!$B$2:$B$849,$A179,'SIGAF DIC 20'!$J$2:$J$849)</f>
        <v>0</v>
      </c>
      <c r="J179" s="76">
        <f t="shared" si="2"/>
        <v>0</v>
      </c>
      <c r="K179" s="69">
        <f>SUMIF('SIGAF DIC 20'!$B$2:$B$849,$A179,'SIGAF DIC 20'!$K$2:$K$849)</f>
        <v>3186473.91</v>
      </c>
      <c r="L179" s="77">
        <f t="shared" si="3"/>
        <v>0.22120378397977225</v>
      </c>
      <c r="M179" s="69">
        <f>SUMIF('SIGAF DIC 20'!$B$2:$B$849,$A179,'SIGAF DIC 20'!$M$2:$M$849)</f>
        <v>3186473.91</v>
      </c>
      <c r="N179" s="76">
        <f t="shared" si="4"/>
        <v>0.22120378397977225</v>
      </c>
      <c r="O179" s="68">
        <f>SUMIF('SIGAF DIC 20'!$B$2:$B$849,$A179,'SIGAF DIC 20'!$O$2:$O$849)</f>
        <v>1763882.67</v>
      </c>
      <c r="P179" s="76">
        <f t="shared" si="5"/>
        <v>0.12244805139494892</v>
      </c>
      <c r="Q179" s="69">
        <f>SUMIF('SIGAF DIC 20'!$B$2:$B$849,$A179,'SIGAF DIC 20'!$Q$2:$Q$849)</f>
        <v>1763882.67</v>
      </c>
      <c r="R179" s="76">
        <f t="shared" si="6"/>
        <v>0.12244805139494892</v>
      </c>
    </row>
    <row r="180" spans="1:18" x14ac:dyDescent="0.25">
      <c r="A180" s="66" t="s">
        <v>192</v>
      </c>
      <c r="B180" s="66" t="s">
        <v>576</v>
      </c>
      <c r="C180" s="69">
        <f>SUMIF('SIGAF DIC 20'!$B$2:$B$849,$A180,'SIGAF DIC 20'!$F$2:$F$849)</f>
        <v>45310321</v>
      </c>
      <c r="D180" s="69">
        <f>SUMIF('SIGAF DIC 20'!$B$2:$B$849,$A180,'SIGAF DIC 20'!$G$2:$G$849)</f>
        <v>45310321</v>
      </c>
      <c r="E180" s="69">
        <f>SUMIF('SIGAF DIC 20'!$B$2:$B$849,$A180,'SIGAF DIC 20'!$H$2:$H$849)</f>
        <v>0</v>
      </c>
      <c r="F180" s="76">
        <f t="shared" si="0"/>
        <v>0</v>
      </c>
      <c r="G180" s="69">
        <f>SUMIF('SIGAF DIC 20'!$B$2:$B$849,$A180,'SIGAF DIC 20'!$I$2:$I$849)</f>
        <v>1690712</v>
      </c>
      <c r="H180" s="76">
        <f t="shared" si="1"/>
        <v>3.7314059196358378E-2</v>
      </c>
      <c r="I180" s="69">
        <f>SUMIF('SIGAF DIC 20'!$B$2:$B$849,$A180,'SIGAF DIC 20'!$J$2:$J$849)</f>
        <v>0</v>
      </c>
      <c r="J180" s="76">
        <f t="shared" si="2"/>
        <v>0</v>
      </c>
      <c r="K180" s="69">
        <f>SUMIF('SIGAF DIC 20'!$B$2:$B$849,$A180,'SIGAF DIC 20'!$K$2:$K$849)</f>
        <v>42120785.100000001</v>
      </c>
      <c r="L180" s="77">
        <f t="shared" si="3"/>
        <v>0.92960685712202307</v>
      </c>
      <c r="M180" s="69">
        <f>SUMIF('SIGAF DIC 20'!$B$2:$B$849,$A180,'SIGAF DIC 20'!$M$2:$M$849)</f>
        <v>40825213.5</v>
      </c>
      <c r="N180" s="76">
        <f t="shared" si="4"/>
        <v>0.9010135571540091</v>
      </c>
      <c r="O180" s="68">
        <f>SUMIF('SIGAF DIC 20'!$B$2:$B$849,$A180,'SIGAF DIC 20'!$O$2:$O$849)</f>
        <v>1498823.9</v>
      </c>
      <c r="P180" s="76">
        <f t="shared" si="5"/>
        <v>3.3079083681618583E-2</v>
      </c>
      <c r="Q180" s="69">
        <f>SUMIF('SIGAF DIC 20'!$B$2:$B$849,$A180,'SIGAF DIC 20'!$Q$2:$Q$849)</f>
        <v>1498823.9</v>
      </c>
      <c r="R180" s="76">
        <f t="shared" si="6"/>
        <v>3.3079083681618583E-2</v>
      </c>
    </row>
    <row r="181" spans="1:18" x14ac:dyDescent="0.25">
      <c r="A181" s="66" t="s">
        <v>194</v>
      </c>
      <c r="B181" s="66" t="s">
        <v>577</v>
      </c>
      <c r="C181" s="69">
        <f>SUMIF('SIGAF DIC 20'!$B$2:$B$849,$A181,'SIGAF DIC 20'!$F$2:$F$849)</f>
        <v>13030937</v>
      </c>
      <c r="D181" s="69">
        <f>SUMIF('SIGAF DIC 20'!$B$2:$B$849,$A181,'SIGAF DIC 20'!$G$2:$G$849)</f>
        <v>13030937</v>
      </c>
      <c r="E181" s="69">
        <f>SUMIF('SIGAF DIC 20'!$B$2:$B$849,$A181,'SIGAF DIC 20'!$H$2:$H$849)</f>
        <v>0</v>
      </c>
      <c r="F181" s="76">
        <f t="shared" si="0"/>
        <v>0</v>
      </c>
      <c r="G181" s="69">
        <f>SUMIF('SIGAF DIC 20'!$B$2:$B$849,$A181,'SIGAF DIC 20'!$I$2:$I$849)</f>
        <v>0</v>
      </c>
      <c r="H181" s="76">
        <f t="shared" si="1"/>
        <v>0</v>
      </c>
      <c r="I181" s="69">
        <f>SUMIF('SIGAF DIC 20'!$B$2:$B$849,$A181,'SIGAF DIC 20'!$J$2:$J$849)</f>
        <v>0</v>
      </c>
      <c r="J181" s="76">
        <f t="shared" si="2"/>
        <v>0</v>
      </c>
      <c r="K181" s="69">
        <f>SUMIF('SIGAF DIC 20'!$B$2:$B$849,$A181,'SIGAF DIC 20'!$K$2:$K$849)</f>
        <v>9503313.5199999996</v>
      </c>
      <c r="L181" s="77">
        <f t="shared" si="3"/>
        <v>0.72928857840383998</v>
      </c>
      <c r="M181" s="69">
        <f>SUMIF('SIGAF DIC 20'!$B$2:$B$849,$A181,'SIGAF DIC 20'!$M$2:$M$849)</f>
        <v>9327982.7200000007</v>
      </c>
      <c r="N181" s="76">
        <f t="shared" si="4"/>
        <v>0.71583361349993491</v>
      </c>
      <c r="O181" s="68">
        <f>SUMIF('SIGAF DIC 20'!$B$2:$B$849,$A181,'SIGAF DIC 20'!$O$2:$O$849)</f>
        <v>3527623.4799999995</v>
      </c>
      <c r="P181" s="76">
        <f t="shared" si="5"/>
        <v>0.27071142159615991</v>
      </c>
      <c r="Q181" s="69">
        <f>SUMIF('SIGAF DIC 20'!$B$2:$B$849,$A181,'SIGAF DIC 20'!$Q$2:$Q$849)</f>
        <v>3527623.4799999995</v>
      </c>
      <c r="R181" s="76">
        <f t="shared" si="6"/>
        <v>0.27071142159615991</v>
      </c>
    </row>
    <row r="182" spans="1:18" x14ac:dyDescent="0.25">
      <c r="A182" s="66" t="s">
        <v>196</v>
      </c>
      <c r="B182" s="66" t="s">
        <v>578</v>
      </c>
      <c r="C182" s="69">
        <f>SUMIF('SIGAF DIC 20'!$B$2:$B$849,$A182,'SIGAF DIC 20'!$F$2:$F$849)</f>
        <v>11819424772</v>
      </c>
      <c r="D182" s="69">
        <f>SUMIF('SIGAF DIC 20'!$B$2:$B$849,$A182,'SIGAF DIC 20'!$G$2:$G$849)</f>
        <v>11819424772</v>
      </c>
      <c r="E182" s="69">
        <f>SUMIF('SIGAF DIC 20'!$B$2:$B$849,$A182,'SIGAF DIC 20'!$H$2:$H$849)</f>
        <v>0</v>
      </c>
      <c r="F182" s="76">
        <f t="shared" si="0"/>
        <v>0</v>
      </c>
      <c r="G182" s="69">
        <f>SUMIF('SIGAF DIC 20'!$B$2:$B$849,$A182,'SIGAF DIC 20'!$I$2:$I$849)</f>
        <v>838441600.31000006</v>
      </c>
      <c r="H182" s="76">
        <f t="shared" si="1"/>
        <v>7.0937597766707966E-2</v>
      </c>
      <c r="I182" s="69">
        <f>SUMIF('SIGAF DIC 20'!$B$2:$B$849,$A182,'SIGAF DIC 20'!$J$2:$J$849)</f>
        <v>0</v>
      </c>
      <c r="J182" s="76">
        <f t="shared" si="2"/>
        <v>0</v>
      </c>
      <c r="K182" s="69">
        <f>SUMIF('SIGAF DIC 20'!$B$2:$B$849,$A182,'SIGAF DIC 20'!$K$2:$K$849)</f>
        <v>10761373438.459999</v>
      </c>
      <c r="L182" s="77">
        <f t="shared" si="3"/>
        <v>0.91048199434827781</v>
      </c>
      <c r="M182" s="69">
        <f>SUMIF('SIGAF DIC 20'!$B$2:$B$849,$A182,'SIGAF DIC 20'!$M$2:$M$849)</f>
        <v>8362972610.1900005</v>
      </c>
      <c r="N182" s="76">
        <f t="shared" si="4"/>
        <v>0.70756172753869795</v>
      </c>
      <c r="O182" s="68">
        <f>SUMIF('SIGAF DIC 20'!$B$2:$B$849,$A182,'SIGAF DIC 20'!$O$2:$O$849)</f>
        <v>219609733.23000002</v>
      </c>
      <c r="P182" s="76">
        <f t="shared" si="5"/>
        <v>1.8580407885014121E-2</v>
      </c>
      <c r="Q182" s="69">
        <f>SUMIF('SIGAF DIC 20'!$B$2:$B$849,$A182,'SIGAF DIC 20'!$Q$2:$Q$849)</f>
        <v>219609733.23000002</v>
      </c>
      <c r="R182" s="76">
        <f t="shared" si="6"/>
        <v>1.8580407885014121E-2</v>
      </c>
    </row>
    <row r="183" spans="1:18" x14ac:dyDescent="0.25">
      <c r="A183" s="66" t="s">
        <v>579</v>
      </c>
      <c r="B183" s="66" t="s">
        <v>580</v>
      </c>
      <c r="C183" s="69">
        <f>SUMIF('SIGAF DIC 20'!$B$2:$B$849,$A183,'SIGAF DIC 20'!$F$2:$F$849)</f>
        <v>3985725</v>
      </c>
      <c r="D183" s="69">
        <f>SUMIF('SIGAF DIC 20'!$B$2:$B$849,$A183,'SIGAF DIC 20'!$G$2:$G$849)</f>
        <v>3985725</v>
      </c>
      <c r="E183" s="69">
        <f>SUMIF('SIGAF DIC 20'!$B$2:$B$849,$A183,'SIGAF DIC 20'!$H$2:$H$849)</f>
        <v>0</v>
      </c>
      <c r="F183" s="76">
        <f t="shared" si="0"/>
        <v>0</v>
      </c>
      <c r="G183" s="69">
        <f>SUMIF('SIGAF DIC 20'!$B$2:$B$849,$A183,'SIGAF DIC 20'!$I$2:$I$849)</f>
        <v>0</v>
      </c>
      <c r="H183" s="76">
        <f t="shared" si="1"/>
        <v>0</v>
      </c>
      <c r="I183" s="69">
        <f>SUMIF('SIGAF DIC 20'!$B$2:$B$849,$A183,'SIGAF DIC 20'!$J$2:$J$849)</f>
        <v>0</v>
      </c>
      <c r="J183" s="76">
        <f t="shared" si="2"/>
        <v>0</v>
      </c>
      <c r="K183" s="69">
        <f>SUMIF('SIGAF DIC 20'!$B$2:$B$849,$A183,'SIGAF DIC 20'!$K$2:$K$849)</f>
        <v>2763775</v>
      </c>
      <c r="L183" s="77">
        <f t="shared" si="3"/>
        <v>0.69341838686813562</v>
      </c>
      <c r="M183" s="69">
        <f>SUMIF('SIGAF DIC 20'!$B$2:$B$849,$A183,'SIGAF DIC 20'!$M$2:$M$849)</f>
        <v>2763775</v>
      </c>
      <c r="N183" s="76">
        <f t="shared" si="4"/>
        <v>0.69341838686813562</v>
      </c>
      <c r="O183" s="68">
        <f>SUMIF('SIGAF DIC 20'!$B$2:$B$849,$A183,'SIGAF DIC 20'!$O$2:$O$849)</f>
        <v>1221950</v>
      </c>
      <c r="P183" s="76">
        <f t="shared" si="5"/>
        <v>0.30658161313186433</v>
      </c>
      <c r="Q183" s="69">
        <f>SUMIF('SIGAF DIC 20'!$B$2:$B$849,$A183,'SIGAF DIC 20'!$Q$2:$Q$849)</f>
        <v>1221950</v>
      </c>
      <c r="R183" s="76">
        <f t="shared" si="6"/>
        <v>0.30658161313186433</v>
      </c>
    </row>
    <row r="184" spans="1:18" x14ac:dyDescent="0.25">
      <c r="A184" s="66" t="s">
        <v>198</v>
      </c>
      <c r="B184" s="66" t="s">
        <v>199</v>
      </c>
      <c r="C184" s="69">
        <f>SUMIF('SIGAF DIC 20'!$B$2:$B$849,$A184,'SIGAF DIC 20'!$F$2:$F$849)</f>
        <v>11762576200</v>
      </c>
      <c r="D184" s="69">
        <f>SUMIF('SIGAF DIC 20'!$B$2:$B$849,$A184,'SIGAF DIC 20'!$G$2:$G$849)</f>
        <v>11762576200</v>
      </c>
      <c r="E184" s="69">
        <f>SUMIF('SIGAF DIC 20'!$B$2:$B$849,$A184,'SIGAF DIC 20'!$H$2:$H$849)</f>
        <v>0</v>
      </c>
      <c r="F184" s="76">
        <f t="shared" si="0"/>
        <v>0</v>
      </c>
      <c r="G184" s="69">
        <f>SUMIF('SIGAF DIC 20'!$B$2:$B$849,$A184,'SIGAF DIC 20'!$I$2:$I$849)</f>
        <v>832576467.35000002</v>
      </c>
      <c r="H184" s="76">
        <f t="shared" si="1"/>
        <v>7.0781812860859508E-2</v>
      </c>
      <c r="I184" s="69">
        <f>SUMIF('SIGAF DIC 20'!$B$2:$B$849,$A184,'SIGAF DIC 20'!$J$2:$J$849)</f>
        <v>0</v>
      </c>
      <c r="J184" s="76">
        <f t="shared" si="2"/>
        <v>0</v>
      </c>
      <c r="K184" s="69">
        <f>SUMIF('SIGAF DIC 20'!$B$2:$B$849,$A184,'SIGAF DIC 20'!$K$2:$K$849)</f>
        <v>10715913074.219999</v>
      </c>
      <c r="L184" s="77">
        <f t="shared" si="3"/>
        <v>0.91101752643438771</v>
      </c>
      <c r="M184" s="69">
        <f>SUMIF('SIGAF DIC 20'!$B$2:$B$849,$A184,'SIGAF DIC 20'!$M$2:$M$849)</f>
        <v>8317512245.9499998</v>
      </c>
      <c r="N184" s="76">
        <f t="shared" si="4"/>
        <v>0.70711654526412338</v>
      </c>
      <c r="O184" s="68">
        <f>SUMIF('SIGAF DIC 20'!$B$2:$B$849,$A184,'SIGAF DIC 20'!$O$2:$O$849)</f>
        <v>214086658.42999998</v>
      </c>
      <c r="P184" s="76">
        <f t="shared" si="5"/>
        <v>1.8200660704752753E-2</v>
      </c>
      <c r="Q184" s="69">
        <f>SUMIF('SIGAF DIC 20'!$B$2:$B$849,$A184,'SIGAF DIC 20'!$Q$2:$Q$849)</f>
        <v>214086658.42999998</v>
      </c>
      <c r="R184" s="76">
        <f t="shared" si="6"/>
        <v>1.8200660704752753E-2</v>
      </c>
    </row>
    <row r="185" spans="1:18" x14ac:dyDescent="0.25">
      <c r="A185" s="66" t="s">
        <v>352</v>
      </c>
      <c r="B185" s="66" t="s">
        <v>581</v>
      </c>
      <c r="C185" s="69">
        <f>SUMIF('SIGAF DIC 20'!$B$2:$B$849,$A185,'SIGAF DIC 20'!$F$2:$F$849)</f>
        <v>52862847</v>
      </c>
      <c r="D185" s="69">
        <f>SUMIF('SIGAF DIC 20'!$B$2:$B$849,$A185,'SIGAF DIC 20'!$G$2:$G$849)</f>
        <v>52862847</v>
      </c>
      <c r="E185" s="69">
        <f>SUMIF('SIGAF DIC 20'!$B$2:$B$849,$A185,'SIGAF DIC 20'!$H$2:$H$849)</f>
        <v>0</v>
      </c>
      <c r="F185" s="76">
        <f t="shared" si="0"/>
        <v>0</v>
      </c>
      <c r="G185" s="69">
        <f>SUMIF('SIGAF DIC 20'!$B$2:$B$849,$A185,'SIGAF DIC 20'!$I$2:$I$849)</f>
        <v>5865132.96</v>
      </c>
      <c r="H185" s="76">
        <f t="shared" si="1"/>
        <v>0.1109500016145555</v>
      </c>
      <c r="I185" s="69">
        <f>SUMIF('SIGAF DIC 20'!$B$2:$B$849,$A185,'SIGAF DIC 20'!$J$2:$J$849)</f>
        <v>0</v>
      </c>
      <c r="J185" s="76">
        <f t="shared" si="2"/>
        <v>0</v>
      </c>
      <c r="K185" s="69">
        <f>SUMIF('SIGAF DIC 20'!$B$2:$B$849,$A185,'SIGAF DIC 20'!$K$2:$K$849)</f>
        <v>42696589.240000002</v>
      </c>
      <c r="L185" s="77">
        <f t="shared" si="3"/>
        <v>0.80768614751301615</v>
      </c>
      <c r="M185" s="69">
        <f>SUMIF('SIGAF DIC 20'!$B$2:$B$849,$A185,'SIGAF DIC 20'!$M$2:$M$849)</f>
        <v>42696589.240000002</v>
      </c>
      <c r="N185" s="76">
        <f t="shared" si="4"/>
        <v>0.80768614751301615</v>
      </c>
      <c r="O185" s="68">
        <f>SUMIF('SIGAF DIC 20'!$B$2:$B$849,$A185,'SIGAF DIC 20'!$O$2:$O$849)</f>
        <v>4301124.8000000007</v>
      </c>
      <c r="P185" s="76">
        <f t="shared" si="5"/>
        <v>8.1363850872428437E-2</v>
      </c>
      <c r="Q185" s="69">
        <f>SUMIF('SIGAF DIC 20'!$B$2:$B$849,$A185,'SIGAF DIC 20'!$Q$2:$Q$849)</f>
        <v>4301124.8000000007</v>
      </c>
      <c r="R185" s="76">
        <f t="shared" si="6"/>
        <v>8.1363850872428437E-2</v>
      </c>
    </row>
    <row r="186" spans="1:18" x14ac:dyDescent="0.25">
      <c r="A186" s="66" t="s">
        <v>200</v>
      </c>
      <c r="B186" s="66" t="s">
        <v>582</v>
      </c>
      <c r="C186" s="69">
        <f>SUMIF('SIGAF DIC 20'!$B$2:$B$849,$A186,'SIGAF DIC 20'!$F$2:$F$849)</f>
        <v>546440107</v>
      </c>
      <c r="D186" s="69">
        <f>SUMIF('SIGAF DIC 20'!$B$2:$B$849,$A186,'SIGAF DIC 20'!$G$2:$G$849)</f>
        <v>546440107</v>
      </c>
      <c r="E186" s="69">
        <f>SUMIF('SIGAF DIC 20'!$B$2:$B$849,$A186,'SIGAF DIC 20'!$H$2:$H$849)</f>
        <v>0</v>
      </c>
      <c r="F186" s="76">
        <f t="shared" si="0"/>
        <v>0</v>
      </c>
      <c r="G186" s="69">
        <f>SUMIF('SIGAF DIC 20'!$B$2:$B$849,$A186,'SIGAF DIC 20'!$I$2:$I$849)</f>
        <v>17084951.259999998</v>
      </c>
      <c r="H186" s="76">
        <f t="shared" si="1"/>
        <v>3.1265917419198513E-2</v>
      </c>
      <c r="I186" s="69">
        <f>SUMIF('SIGAF DIC 20'!$B$2:$B$849,$A186,'SIGAF DIC 20'!$J$2:$J$849)</f>
        <v>0</v>
      </c>
      <c r="J186" s="76">
        <f t="shared" si="2"/>
        <v>0</v>
      </c>
      <c r="K186" s="69">
        <f>SUMIF('SIGAF DIC 20'!$B$2:$B$849,$A186,'SIGAF DIC 20'!$K$2:$K$849)</f>
        <v>506881386.86999995</v>
      </c>
      <c r="L186" s="77">
        <f t="shared" si="3"/>
        <v>0.92760648491345077</v>
      </c>
      <c r="M186" s="69">
        <f>SUMIF('SIGAF DIC 20'!$B$2:$B$849,$A186,'SIGAF DIC 20'!$M$2:$M$849)</f>
        <v>472810181.75</v>
      </c>
      <c r="N186" s="76">
        <f t="shared" si="4"/>
        <v>0.86525526895484628</v>
      </c>
      <c r="O186" s="68">
        <f>SUMIF('SIGAF DIC 20'!$B$2:$B$849,$A186,'SIGAF DIC 20'!$O$2:$O$849)</f>
        <v>22473768.870000001</v>
      </c>
      <c r="P186" s="76">
        <f t="shared" si="5"/>
        <v>4.1127597667350579E-2</v>
      </c>
      <c r="Q186" s="69">
        <f>SUMIF('SIGAF DIC 20'!$B$2:$B$849,$A186,'SIGAF DIC 20'!$Q$2:$Q$849)</f>
        <v>22473768.870000001</v>
      </c>
      <c r="R186" s="76">
        <f t="shared" si="6"/>
        <v>4.1127597667350579E-2</v>
      </c>
    </row>
    <row r="187" spans="1:18" x14ac:dyDescent="0.25">
      <c r="A187" s="66" t="s">
        <v>314</v>
      </c>
      <c r="B187" s="66" t="s">
        <v>583</v>
      </c>
      <c r="C187" s="69">
        <f>SUMIF('SIGAF DIC 20'!$B$2:$B$849,$A187,'SIGAF DIC 20'!$F$2:$F$849)</f>
        <v>142625131</v>
      </c>
      <c r="D187" s="69">
        <f>SUMIF('SIGAF DIC 20'!$B$2:$B$849,$A187,'SIGAF DIC 20'!$G$2:$G$849)</f>
        <v>142625131</v>
      </c>
      <c r="E187" s="69">
        <f>SUMIF('SIGAF DIC 20'!$B$2:$B$849,$A187,'SIGAF DIC 20'!$H$2:$H$849)</f>
        <v>0</v>
      </c>
      <c r="F187" s="76">
        <f t="shared" si="0"/>
        <v>0</v>
      </c>
      <c r="G187" s="69">
        <f>SUMIF('SIGAF DIC 20'!$B$2:$B$849,$A187,'SIGAF DIC 20'!$I$2:$I$849)</f>
        <v>1508679.8399999999</v>
      </c>
      <c r="H187" s="76">
        <f t="shared" si="1"/>
        <v>1.0577938329816503E-2</v>
      </c>
      <c r="I187" s="69">
        <f>SUMIF('SIGAF DIC 20'!$B$2:$B$849,$A187,'SIGAF DIC 20'!$J$2:$J$849)</f>
        <v>0</v>
      </c>
      <c r="J187" s="76">
        <f t="shared" si="2"/>
        <v>0</v>
      </c>
      <c r="K187" s="69">
        <f>SUMIF('SIGAF DIC 20'!$B$2:$B$849,$A187,'SIGAF DIC 20'!$K$2:$K$849)</f>
        <v>132646357.83</v>
      </c>
      <c r="L187" s="77">
        <f t="shared" si="3"/>
        <v>0.93003495877595377</v>
      </c>
      <c r="M187" s="69">
        <f>SUMIF('SIGAF DIC 20'!$B$2:$B$849,$A187,'SIGAF DIC 20'!$M$2:$M$849)</f>
        <v>124319057.93000001</v>
      </c>
      <c r="N187" s="76">
        <f t="shared" si="4"/>
        <v>0.87164903589115728</v>
      </c>
      <c r="O187" s="68">
        <f>SUMIF('SIGAF DIC 20'!$B$2:$B$849,$A187,'SIGAF DIC 20'!$O$2:$O$849)</f>
        <v>8470093.3300000001</v>
      </c>
      <c r="P187" s="76">
        <f t="shared" si="5"/>
        <v>5.9387102894229771E-2</v>
      </c>
      <c r="Q187" s="69">
        <f>SUMIF('SIGAF DIC 20'!$B$2:$B$849,$A187,'SIGAF DIC 20'!$Q$2:$Q$849)</f>
        <v>8470093.3300000001</v>
      </c>
      <c r="R187" s="76">
        <f t="shared" si="6"/>
        <v>5.9387102894229771E-2</v>
      </c>
    </row>
    <row r="188" spans="1:18" x14ac:dyDescent="0.25">
      <c r="A188" s="66" t="s">
        <v>316</v>
      </c>
      <c r="B188" s="66" t="s">
        <v>584</v>
      </c>
      <c r="C188" s="69">
        <f>SUMIF('SIGAF DIC 20'!$B$2:$B$849,$A188,'SIGAF DIC 20'!$F$2:$F$849)</f>
        <v>100478000</v>
      </c>
      <c r="D188" s="69">
        <f>SUMIF('SIGAF DIC 20'!$B$2:$B$849,$A188,'SIGAF DIC 20'!$G$2:$G$849)</f>
        <v>100478000</v>
      </c>
      <c r="E188" s="69">
        <f>SUMIF('SIGAF DIC 20'!$B$2:$B$849,$A188,'SIGAF DIC 20'!$H$2:$H$849)</f>
        <v>0</v>
      </c>
      <c r="F188" s="76">
        <f t="shared" si="0"/>
        <v>0</v>
      </c>
      <c r="G188" s="69">
        <f>SUMIF('SIGAF DIC 20'!$B$2:$B$849,$A188,'SIGAF DIC 20'!$I$2:$I$849)</f>
        <v>9173543.4000000004</v>
      </c>
      <c r="H188" s="76">
        <f t="shared" si="1"/>
        <v>9.1299024662115091E-2</v>
      </c>
      <c r="I188" s="69">
        <f>SUMIF('SIGAF DIC 20'!$B$2:$B$849,$A188,'SIGAF DIC 20'!$J$2:$J$849)</f>
        <v>0</v>
      </c>
      <c r="J188" s="76">
        <f t="shared" si="2"/>
        <v>0</v>
      </c>
      <c r="K188" s="69">
        <f>SUMIF('SIGAF DIC 20'!$B$2:$B$849,$A188,'SIGAF DIC 20'!$K$2:$K$849)</f>
        <v>89317464.859999999</v>
      </c>
      <c r="L188" s="77">
        <f t="shared" si="3"/>
        <v>0.88892558430701252</v>
      </c>
      <c r="M188" s="69">
        <f>SUMIF('SIGAF DIC 20'!$B$2:$B$849,$A188,'SIGAF DIC 20'!$M$2:$M$849)</f>
        <v>84250635.260000005</v>
      </c>
      <c r="N188" s="76">
        <f t="shared" si="4"/>
        <v>0.83849833057982848</v>
      </c>
      <c r="O188" s="68">
        <f>SUMIF('SIGAF DIC 20'!$B$2:$B$849,$A188,'SIGAF DIC 20'!$O$2:$O$849)</f>
        <v>1986991.74</v>
      </c>
      <c r="P188" s="76">
        <f t="shared" si="5"/>
        <v>1.9775391030872429E-2</v>
      </c>
      <c r="Q188" s="69">
        <f>SUMIF('SIGAF DIC 20'!$B$2:$B$849,$A188,'SIGAF DIC 20'!$Q$2:$Q$849)</f>
        <v>1986991.74</v>
      </c>
      <c r="R188" s="76">
        <f t="shared" si="6"/>
        <v>1.9775391030872429E-2</v>
      </c>
    </row>
    <row r="189" spans="1:18" x14ac:dyDescent="0.25">
      <c r="A189" s="66" t="s">
        <v>318</v>
      </c>
      <c r="B189" s="66" t="s">
        <v>585</v>
      </c>
      <c r="C189" s="69">
        <f>SUMIF('SIGAF DIC 20'!$B$2:$B$849,$A189,'SIGAF DIC 20'!$F$2:$F$849)</f>
        <v>124771598</v>
      </c>
      <c r="D189" s="69">
        <f>SUMIF('SIGAF DIC 20'!$B$2:$B$849,$A189,'SIGAF DIC 20'!$G$2:$G$849)</f>
        <v>124771598</v>
      </c>
      <c r="E189" s="69">
        <f>SUMIF('SIGAF DIC 20'!$B$2:$B$849,$A189,'SIGAF DIC 20'!$H$2:$H$849)</f>
        <v>0</v>
      </c>
      <c r="F189" s="76">
        <f t="shared" si="0"/>
        <v>0</v>
      </c>
      <c r="G189" s="69">
        <f>SUMIF('SIGAF DIC 20'!$B$2:$B$849,$A189,'SIGAF DIC 20'!$I$2:$I$849)</f>
        <v>0</v>
      </c>
      <c r="H189" s="76">
        <f t="shared" si="1"/>
        <v>0</v>
      </c>
      <c r="I189" s="69">
        <f>SUMIF('SIGAF DIC 20'!$B$2:$B$849,$A189,'SIGAF DIC 20'!$J$2:$J$849)</f>
        <v>0</v>
      </c>
      <c r="J189" s="76">
        <f t="shared" si="2"/>
        <v>0</v>
      </c>
      <c r="K189" s="69">
        <f>SUMIF('SIGAF DIC 20'!$B$2:$B$849,$A189,'SIGAF DIC 20'!$K$2:$K$849)</f>
        <v>124567850.02999999</v>
      </c>
      <c r="L189" s="77">
        <f t="shared" si="3"/>
        <v>0.99836703245557523</v>
      </c>
      <c r="M189" s="69">
        <f>SUMIF('SIGAF DIC 20'!$B$2:$B$849,$A189,'SIGAF DIC 20'!$M$2:$M$849)</f>
        <v>106808182.42999999</v>
      </c>
      <c r="N189" s="76">
        <f t="shared" si="4"/>
        <v>0.85602961044067094</v>
      </c>
      <c r="O189" s="68">
        <f>SUMIF('SIGAF DIC 20'!$B$2:$B$849,$A189,'SIGAF DIC 20'!$O$2:$O$849)</f>
        <v>203747.97</v>
      </c>
      <c r="P189" s="76">
        <f t="shared" si="5"/>
        <v>1.6329675444246535E-3</v>
      </c>
      <c r="Q189" s="69">
        <f>SUMIF('SIGAF DIC 20'!$B$2:$B$849,$A189,'SIGAF DIC 20'!$Q$2:$Q$849)</f>
        <v>203747.97</v>
      </c>
      <c r="R189" s="76">
        <f t="shared" si="6"/>
        <v>1.6329675444246535E-3</v>
      </c>
    </row>
    <row r="190" spans="1:18" x14ac:dyDescent="0.25">
      <c r="A190" s="66" t="s">
        <v>202</v>
      </c>
      <c r="B190" s="66" t="s">
        <v>586</v>
      </c>
      <c r="C190" s="69">
        <f>SUMIF('SIGAF DIC 20'!$B$2:$B$849,$A190,'SIGAF DIC 20'!$F$2:$F$849)</f>
        <v>108668764</v>
      </c>
      <c r="D190" s="69">
        <f>SUMIF('SIGAF DIC 20'!$B$2:$B$849,$A190,'SIGAF DIC 20'!$G$2:$G$849)</f>
        <v>108668764</v>
      </c>
      <c r="E190" s="69">
        <f>SUMIF('SIGAF DIC 20'!$B$2:$B$849,$A190,'SIGAF DIC 20'!$H$2:$H$849)</f>
        <v>0</v>
      </c>
      <c r="F190" s="76">
        <f t="shared" si="0"/>
        <v>0</v>
      </c>
      <c r="G190" s="69">
        <f>SUMIF('SIGAF DIC 20'!$B$2:$B$849,$A190,'SIGAF DIC 20'!$I$2:$I$849)</f>
        <v>6402728.0199999996</v>
      </c>
      <c r="H190" s="76">
        <f t="shared" si="1"/>
        <v>5.8919672814167642E-2</v>
      </c>
      <c r="I190" s="69">
        <f>SUMIF('SIGAF DIC 20'!$B$2:$B$849,$A190,'SIGAF DIC 20'!$J$2:$J$849)</f>
        <v>0</v>
      </c>
      <c r="J190" s="76">
        <f t="shared" si="2"/>
        <v>0</v>
      </c>
      <c r="K190" s="69">
        <f>SUMIF('SIGAF DIC 20'!$B$2:$B$849,$A190,'SIGAF DIC 20'!$K$2:$K$849)</f>
        <v>95433544.690000013</v>
      </c>
      <c r="L190" s="77">
        <f t="shared" si="3"/>
        <v>0.87820585398394713</v>
      </c>
      <c r="M190" s="69">
        <f>SUMIF('SIGAF DIC 20'!$B$2:$B$849,$A190,'SIGAF DIC 20'!$M$2:$M$849)</f>
        <v>92930794.690000013</v>
      </c>
      <c r="N190" s="76">
        <f t="shared" si="4"/>
        <v>0.85517485677853122</v>
      </c>
      <c r="O190" s="68">
        <f>SUMIF('SIGAF DIC 20'!$B$2:$B$849,$A190,'SIGAF DIC 20'!$O$2:$O$849)</f>
        <v>6832491.2899999991</v>
      </c>
      <c r="P190" s="76">
        <f t="shared" si="5"/>
        <v>6.2874473201885314E-2</v>
      </c>
      <c r="Q190" s="69">
        <f>SUMIF('SIGAF DIC 20'!$B$2:$B$849,$A190,'SIGAF DIC 20'!$Q$2:$Q$849)</f>
        <v>6832491.2899999991</v>
      </c>
      <c r="R190" s="76">
        <f t="shared" si="6"/>
        <v>6.2874473201885314E-2</v>
      </c>
    </row>
    <row r="191" spans="1:18" x14ac:dyDescent="0.25">
      <c r="A191" s="66" t="s">
        <v>320</v>
      </c>
      <c r="B191" s="66" t="s">
        <v>587</v>
      </c>
      <c r="C191" s="69">
        <f>SUMIF('SIGAF DIC 20'!$B$2:$B$849,$A191,'SIGAF DIC 20'!$F$2:$F$849)</f>
        <v>1091036</v>
      </c>
      <c r="D191" s="69">
        <f>SUMIF('SIGAF DIC 20'!$B$2:$B$849,$A191,'SIGAF DIC 20'!$G$2:$G$849)</f>
        <v>1091036</v>
      </c>
      <c r="E191" s="69">
        <f>SUMIF('SIGAF DIC 20'!$B$2:$B$849,$A191,'SIGAF DIC 20'!$H$2:$H$849)</f>
        <v>0</v>
      </c>
      <c r="F191" s="76">
        <f t="shared" si="0"/>
        <v>0</v>
      </c>
      <c r="G191" s="69">
        <f>SUMIF('SIGAF DIC 20'!$B$2:$B$849,$A191,'SIGAF DIC 20'!$I$2:$I$849)</f>
        <v>0</v>
      </c>
      <c r="H191" s="76">
        <f t="shared" si="1"/>
        <v>0</v>
      </c>
      <c r="I191" s="69">
        <f>SUMIF('SIGAF DIC 20'!$B$2:$B$849,$A191,'SIGAF DIC 20'!$J$2:$J$849)</f>
        <v>0</v>
      </c>
      <c r="J191" s="76">
        <f t="shared" si="2"/>
        <v>0</v>
      </c>
      <c r="K191" s="69">
        <f>SUMIF('SIGAF DIC 20'!$B$2:$B$849,$A191,'SIGAF DIC 20'!$K$2:$K$849)</f>
        <v>1016898.3</v>
      </c>
      <c r="L191" s="77">
        <f t="shared" si="3"/>
        <v>0.93204834670899961</v>
      </c>
      <c r="M191" s="69">
        <f>SUMIF('SIGAF DIC 20'!$B$2:$B$849,$A191,'SIGAF DIC 20'!$M$2:$M$849)</f>
        <v>1016898.3</v>
      </c>
      <c r="N191" s="76">
        <f t="shared" si="4"/>
        <v>0.93204834670899961</v>
      </c>
      <c r="O191" s="68">
        <f>SUMIF('SIGAF DIC 20'!$B$2:$B$849,$A191,'SIGAF DIC 20'!$O$2:$O$849)</f>
        <v>74137.7</v>
      </c>
      <c r="P191" s="76">
        <f t="shared" si="5"/>
        <v>6.7951653291000474E-2</v>
      </c>
      <c r="Q191" s="69">
        <f>SUMIF('SIGAF DIC 20'!$B$2:$B$849,$A191,'SIGAF DIC 20'!$Q$2:$Q$849)</f>
        <v>74137.7</v>
      </c>
      <c r="R191" s="76">
        <f t="shared" si="6"/>
        <v>6.7951653291000474E-2</v>
      </c>
    </row>
    <row r="192" spans="1:18" x14ac:dyDescent="0.25">
      <c r="A192" s="66" t="s">
        <v>204</v>
      </c>
      <c r="B192" s="66" t="s">
        <v>588</v>
      </c>
      <c r="C192" s="69">
        <f>SUMIF('SIGAF DIC 20'!$B$2:$B$849,$A192,'SIGAF DIC 20'!$F$2:$F$849)</f>
        <v>44953920</v>
      </c>
      <c r="D192" s="69">
        <f>SUMIF('SIGAF DIC 20'!$B$2:$B$849,$A192,'SIGAF DIC 20'!$G$2:$G$849)</f>
        <v>44953920</v>
      </c>
      <c r="E192" s="69">
        <f>SUMIF('SIGAF DIC 20'!$B$2:$B$849,$A192,'SIGAF DIC 20'!$H$2:$H$849)</f>
        <v>0</v>
      </c>
      <c r="F192" s="76">
        <f t="shared" si="0"/>
        <v>0</v>
      </c>
      <c r="G192" s="69">
        <f>SUMIF('SIGAF DIC 20'!$B$2:$B$849,$A192,'SIGAF DIC 20'!$I$2:$I$849)</f>
        <v>0</v>
      </c>
      <c r="H192" s="76">
        <f t="shared" si="1"/>
        <v>0</v>
      </c>
      <c r="I192" s="69">
        <f>SUMIF('SIGAF DIC 20'!$B$2:$B$849,$A192,'SIGAF DIC 20'!$J$2:$J$849)</f>
        <v>0</v>
      </c>
      <c r="J192" s="76">
        <f t="shared" si="2"/>
        <v>0</v>
      </c>
      <c r="K192" s="69">
        <f>SUMIF('SIGAF DIC 20'!$B$2:$B$849,$A192,'SIGAF DIC 20'!$K$2:$K$849)</f>
        <v>40806140.509999998</v>
      </c>
      <c r="L192" s="77">
        <f t="shared" si="3"/>
        <v>0.90773264066848891</v>
      </c>
      <c r="M192" s="69">
        <f>SUMIF('SIGAF DIC 20'!$B$2:$B$849,$A192,'SIGAF DIC 20'!$M$2:$M$849)</f>
        <v>40806140.509999998</v>
      </c>
      <c r="N192" s="76">
        <f t="shared" si="4"/>
        <v>0.90773264066848891</v>
      </c>
      <c r="O192" s="68">
        <f>SUMIF('SIGAF DIC 20'!$B$2:$B$849,$A192,'SIGAF DIC 20'!$O$2:$O$849)</f>
        <v>4147779.49</v>
      </c>
      <c r="P192" s="76">
        <f t="shared" si="5"/>
        <v>9.2267359331511034E-2</v>
      </c>
      <c r="Q192" s="69">
        <f>SUMIF('SIGAF DIC 20'!$B$2:$B$849,$A192,'SIGAF DIC 20'!$Q$2:$Q$849)</f>
        <v>4147779.49</v>
      </c>
      <c r="R192" s="76">
        <f t="shared" si="6"/>
        <v>9.2267359331511034E-2</v>
      </c>
    </row>
    <row r="193" spans="1:18" x14ac:dyDescent="0.25">
      <c r="A193" s="66" t="s">
        <v>322</v>
      </c>
      <c r="B193" s="66" t="s">
        <v>589</v>
      </c>
      <c r="C193" s="69">
        <f>SUMIF('SIGAF DIC 20'!$B$2:$B$849,$A193,'SIGAF DIC 20'!$F$2:$F$849)</f>
        <v>23851658</v>
      </c>
      <c r="D193" s="69">
        <f>SUMIF('SIGAF DIC 20'!$B$2:$B$849,$A193,'SIGAF DIC 20'!$G$2:$G$849)</f>
        <v>23851658</v>
      </c>
      <c r="E193" s="69">
        <f>SUMIF('SIGAF DIC 20'!$B$2:$B$849,$A193,'SIGAF DIC 20'!$H$2:$H$849)</f>
        <v>0</v>
      </c>
      <c r="F193" s="76">
        <f t="shared" si="0"/>
        <v>0</v>
      </c>
      <c r="G193" s="69">
        <f>SUMIF('SIGAF DIC 20'!$B$2:$B$849,$A193,'SIGAF DIC 20'!$I$2:$I$849)</f>
        <v>0</v>
      </c>
      <c r="H193" s="76">
        <f t="shared" si="1"/>
        <v>0</v>
      </c>
      <c r="I193" s="69">
        <f>SUMIF('SIGAF DIC 20'!$B$2:$B$849,$A193,'SIGAF DIC 20'!$J$2:$J$849)</f>
        <v>0</v>
      </c>
      <c r="J193" s="76">
        <f t="shared" si="2"/>
        <v>0</v>
      </c>
      <c r="K193" s="69">
        <f>SUMIF('SIGAF DIC 20'!$B$2:$B$849,$A193,'SIGAF DIC 20'!$K$2:$K$849)</f>
        <v>23093130.650000002</v>
      </c>
      <c r="L193" s="77">
        <f t="shared" si="3"/>
        <v>0.96819812903572577</v>
      </c>
      <c r="M193" s="69">
        <f>SUMIF('SIGAF DIC 20'!$B$2:$B$849,$A193,'SIGAF DIC 20'!$M$2:$M$849)</f>
        <v>22678472.630000003</v>
      </c>
      <c r="N193" s="76">
        <f t="shared" si="4"/>
        <v>0.95081325709097464</v>
      </c>
      <c r="O193" s="68">
        <f>SUMIF('SIGAF DIC 20'!$B$2:$B$849,$A193,'SIGAF DIC 20'!$O$2:$O$849)</f>
        <v>758527.35</v>
      </c>
      <c r="P193" s="76">
        <f t="shared" si="5"/>
        <v>3.1801870964274268E-2</v>
      </c>
      <c r="Q193" s="69">
        <f>SUMIF('SIGAF DIC 20'!$B$2:$B$849,$A193,'SIGAF DIC 20'!$Q$2:$Q$849)</f>
        <v>758527.35</v>
      </c>
      <c r="R193" s="76">
        <f t="shared" si="6"/>
        <v>3.1801870964274268E-2</v>
      </c>
    </row>
    <row r="194" spans="1:18" x14ac:dyDescent="0.25">
      <c r="A194" s="66" t="s">
        <v>206</v>
      </c>
      <c r="B194" s="66" t="s">
        <v>590</v>
      </c>
      <c r="C194" s="69">
        <f>SUMIF('SIGAF DIC 20'!$B$2:$B$849,$A194,'SIGAF DIC 20'!$F$2:$F$849)</f>
        <v>150042990</v>
      </c>
      <c r="D194" s="69">
        <f>SUMIF('SIGAF DIC 20'!$B$2:$B$849,$A194,'SIGAF DIC 20'!$G$2:$G$849)</f>
        <v>150042990</v>
      </c>
      <c r="E194" s="69">
        <f>SUMIF('SIGAF DIC 20'!$B$2:$B$849,$A194,'SIGAF DIC 20'!$H$2:$H$849)</f>
        <v>0</v>
      </c>
      <c r="F194" s="76">
        <f t="shared" si="0"/>
        <v>0</v>
      </c>
      <c r="G194" s="69">
        <f>SUMIF('SIGAF DIC 20'!$B$2:$B$849,$A194,'SIGAF DIC 20'!$I$2:$I$849)</f>
        <v>19732129.379999999</v>
      </c>
      <c r="H194" s="76">
        <f t="shared" si="1"/>
        <v>0.13150983848029155</v>
      </c>
      <c r="I194" s="69">
        <f>SUMIF('SIGAF DIC 20'!$B$2:$B$849,$A194,'SIGAF DIC 20'!$J$2:$J$849)</f>
        <v>0</v>
      </c>
      <c r="J194" s="76">
        <f t="shared" si="2"/>
        <v>0</v>
      </c>
      <c r="K194" s="69">
        <f>SUMIF('SIGAF DIC 20'!$B$2:$B$849,$A194,'SIGAF DIC 20'!$K$2:$K$849)</f>
        <v>116739677.42999999</v>
      </c>
      <c r="L194" s="77">
        <f t="shared" si="3"/>
        <v>0.77804152949764593</v>
      </c>
      <c r="M194" s="69">
        <f>SUMIF('SIGAF DIC 20'!$B$2:$B$849,$A194,'SIGAF DIC 20'!$M$2:$M$849)</f>
        <v>108382576.78999999</v>
      </c>
      <c r="N194" s="76">
        <f t="shared" si="4"/>
        <v>0.7223434882895895</v>
      </c>
      <c r="O194" s="68">
        <f>SUMIF('SIGAF DIC 20'!$B$2:$B$849,$A194,'SIGAF DIC 20'!$O$2:$O$849)</f>
        <v>13571183.190000001</v>
      </c>
      <c r="P194" s="76">
        <f t="shared" si="5"/>
        <v>9.0448632022062492E-2</v>
      </c>
      <c r="Q194" s="69">
        <f>SUMIF('SIGAF DIC 20'!$B$2:$B$849,$A194,'SIGAF DIC 20'!$Q$2:$Q$849)</f>
        <v>13571183.190000001</v>
      </c>
      <c r="R194" s="76">
        <f t="shared" si="6"/>
        <v>9.0448632022062492E-2</v>
      </c>
    </row>
    <row r="195" spans="1:18" x14ac:dyDescent="0.25">
      <c r="A195" s="66" t="s">
        <v>208</v>
      </c>
      <c r="B195" s="66" t="s">
        <v>591</v>
      </c>
      <c r="C195" s="69">
        <f>SUMIF('SIGAF DIC 20'!$B$2:$B$849,$A195,'SIGAF DIC 20'!$F$2:$F$849)</f>
        <v>23465695</v>
      </c>
      <c r="D195" s="69">
        <f>SUMIF('SIGAF DIC 20'!$B$2:$B$849,$A195,'SIGAF DIC 20'!$G$2:$G$849)</f>
        <v>23465695</v>
      </c>
      <c r="E195" s="69">
        <f>SUMIF('SIGAF DIC 20'!$B$2:$B$849,$A195,'SIGAF DIC 20'!$H$2:$H$849)</f>
        <v>0</v>
      </c>
      <c r="F195" s="76">
        <f t="shared" si="0"/>
        <v>0</v>
      </c>
      <c r="G195" s="69">
        <f>SUMIF('SIGAF DIC 20'!$B$2:$B$849,$A195,'SIGAF DIC 20'!$I$2:$I$849)</f>
        <v>0</v>
      </c>
      <c r="H195" s="76">
        <f t="shared" si="1"/>
        <v>0</v>
      </c>
      <c r="I195" s="69">
        <f>SUMIF('SIGAF DIC 20'!$B$2:$B$849,$A195,'SIGAF DIC 20'!$J$2:$J$849)</f>
        <v>0</v>
      </c>
      <c r="J195" s="76">
        <f t="shared" si="2"/>
        <v>0</v>
      </c>
      <c r="K195" s="69">
        <f>SUMIF('SIGAF DIC 20'!$B$2:$B$849,$A195,'SIGAF DIC 20'!$K$2:$K$849)</f>
        <v>16739852.390000001</v>
      </c>
      <c r="L195" s="77">
        <f t="shared" si="3"/>
        <v>0.71337552073356447</v>
      </c>
      <c r="M195" s="69">
        <f>SUMIF('SIGAF DIC 20'!$B$2:$B$849,$A195,'SIGAF DIC 20'!$M$2:$M$849)</f>
        <v>16247869.48</v>
      </c>
      <c r="N195" s="76">
        <f t="shared" si="4"/>
        <v>0.69240947178423651</v>
      </c>
      <c r="O195" s="68">
        <f>SUMIF('SIGAF DIC 20'!$B$2:$B$849,$A195,'SIGAF DIC 20'!$O$2:$O$849)</f>
        <v>6725842.6099999994</v>
      </c>
      <c r="P195" s="76">
        <f t="shared" si="5"/>
        <v>0.28662447926643553</v>
      </c>
      <c r="Q195" s="69">
        <f>SUMIF('SIGAF DIC 20'!$B$2:$B$849,$A195,'SIGAF DIC 20'!$Q$2:$Q$849)</f>
        <v>6725842.6099999994</v>
      </c>
      <c r="R195" s="76">
        <f t="shared" si="6"/>
        <v>0.28662447926643553</v>
      </c>
    </row>
    <row r="196" spans="1:18" x14ac:dyDescent="0.25">
      <c r="A196" s="66" t="s">
        <v>210</v>
      </c>
      <c r="B196" s="66" t="s">
        <v>592</v>
      </c>
      <c r="C196" s="69">
        <f>SUMIF('SIGAF DIC 20'!$B$2:$B$849,$A196,'SIGAF DIC 20'!$F$2:$F$849)</f>
        <v>126577295</v>
      </c>
      <c r="D196" s="69">
        <f>SUMIF('SIGAF DIC 20'!$B$2:$B$849,$A196,'SIGAF DIC 20'!$G$2:$G$849)</f>
        <v>126577295</v>
      </c>
      <c r="E196" s="69">
        <f>SUMIF('SIGAF DIC 20'!$B$2:$B$849,$A196,'SIGAF DIC 20'!$H$2:$H$849)</f>
        <v>0</v>
      </c>
      <c r="F196" s="76">
        <f t="shared" si="0"/>
        <v>0</v>
      </c>
      <c r="G196" s="69">
        <f>SUMIF('SIGAF DIC 20'!$B$2:$B$849,$A196,'SIGAF DIC 20'!$I$2:$I$849)</f>
        <v>19732129.379999999</v>
      </c>
      <c r="H196" s="76">
        <f t="shared" si="1"/>
        <v>0.15588995941175704</v>
      </c>
      <c r="I196" s="69">
        <f>SUMIF('SIGAF DIC 20'!$B$2:$B$849,$A196,'SIGAF DIC 20'!$J$2:$J$849)</f>
        <v>0</v>
      </c>
      <c r="J196" s="76">
        <f t="shared" si="2"/>
        <v>0</v>
      </c>
      <c r="K196" s="69">
        <f>SUMIF('SIGAF DIC 20'!$B$2:$B$849,$A196,'SIGAF DIC 20'!$K$2:$K$849)</f>
        <v>99999825.039999992</v>
      </c>
      <c r="L196" s="77">
        <f t="shared" si="3"/>
        <v>0.79002972089109658</v>
      </c>
      <c r="M196" s="69">
        <f>SUMIF('SIGAF DIC 20'!$B$2:$B$849,$A196,'SIGAF DIC 20'!$M$2:$M$849)</f>
        <v>92134707.310000002</v>
      </c>
      <c r="N196" s="76">
        <f t="shared" si="4"/>
        <v>0.72789284452634262</v>
      </c>
      <c r="O196" s="68">
        <f>SUMIF('SIGAF DIC 20'!$B$2:$B$849,$A196,'SIGAF DIC 20'!$O$2:$O$849)</f>
        <v>6845340.5800000001</v>
      </c>
      <c r="P196" s="76">
        <f t="shared" si="5"/>
        <v>5.4080319697146315E-2</v>
      </c>
      <c r="Q196" s="69">
        <f>SUMIF('SIGAF DIC 20'!$B$2:$B$849,$A196,'SIGAF DIC 20'!$Q$2:$Q$849)</f>
        <v>6845340.5800000001</v>
      </c>
      <c r="R196" s="76">
        <f t="shared" si="6"/>
        <v>5.4080319697146315E-2</v>
      </c>
    </row>
    <row r="197" spans="1:18" x14ac:dyDescent="0.25">
      <c r="A197" s="66" t="s">
        <v>354</v>
      </c>
      <c r="B197" s="66" t="s">
        <v>355</v>
      </c>
      <c r="C197" s="69">
        <f>SUMIF('SIGAF DIC 20'!$B$2:$B$849,$A197,'SIGAF DIC 20'!$F$2:$F$849)</f>
        <v>6277196</v>
      </c>
      <c r="D197" s="69">
        <f>SUMIF('SIGAF DIC 20'!$B$2:$B$849,$A197,'SIGAF DIC 20'!$G$2:$G$849)</f>
        <v>6277196</v>
      </c>
      <c r="E197" s="69">
        <f>SUMIF('SIGAF DIC 20'!$B$2:$B$849,$A197,'SIGAF DIC 20'!$H$2:$H$849)</f>
        <v>0</v>
      </c>
      <c r="F197" s="76">
        <f t="shared" si="0"/>
        <v>0</v>
      </c>
      <c r="G197" s="69">
        <f>SUMIF('SIGAF DIC 20'!$B$2:$B$849,$A197,'SIGAF DIC 20'!$I$2:$I$849)</f>
        <v>0</v>
      </c>
      <c r="H197" s="76">
        <f t="shared" si="1"/>
        <v>0</v>
      </c>
      <c r="I197" s="69">
        <f>SUMIF('SIGAF DIC 20'!$B$2:$B$849,$A197,'SIGAF DIC 20'!$J$2:$J$849)</f>
        <v>0</v>
      </c>
      <c r="J197" s="76">
        <f t="shared" si="2"/>
        <v>0</v>
      </c>
      <c r="K197" s="69">
        <f>SUMIF('SIGAF DIC 20'!$B$2:$B$849,$A197,'SIGAF DIC 20'!$K$2:$K$849)</f>
        <v>6277195.2000000002</v>
      </c>
      <c r="L197" s="77">
        <f t="shared" si="3"/>
        <v>0.99999987255456102</v>
      </c>
      <c r="M197" s="69">
        <f>SUMIF('SIGAF DIC 20'!$B$2:$B$849,$A197,'SIGAF DIC 20'!$M$2:$M$849)</f>
        <v>6277195.2000000002</v>
      </c>
      <c r="N197" s="76">
        <f t="shared" si="4"/>
        <v>0.99999987255456102</v>
      </c>
      <c r="O197" s="68">
        <f>SUMIF('SIGAF DIC 20'!$B$2:$B$849,$A197,'SIGAF DIC 20'!$O$2:$O$849)</f>
        <v>0.8</v>
      </c>
      <c r="P197" s="76">
        <f t="shared" si="5"/>
        <v>1.2744543901448992E-7</v>
      </c>
      <c r="Q197" s="69">
        <f>SUMIF('SIGAF DIC 20'!$B$2:$B$849,$A197,'SIGAF DIC 20'!$Q$2:$Q$849)</f>
        <v>0.8</v>
      </c>
      <c r="R197" s="76">
        <f t="shared" si="6"/>
        <v>1.2744543901448992E-7</v>
      </c>
    </row>
    <row r="198" spans="1:18" x14ac:dyDescent="0.25">
      <c r="A198" s="66" t="s">
        <v>356</v>
      </c>
      <c r="B198" s="66" t="s">
        <v>357</v>
      </c>
      <c r="C198" s="69">
        <f>SUMIF('SIGAF DIC 20'!$B$2:$B$849,$A198,'SIGAF DIC 20'!$F$2:$F$849)</f>
        <v>6277196</v>
      </c>
      <c r="D198" s="69">
        <f>SUMIF('SIGAF DIC 20'!$B$2:$B$849,$A198,'SIGAF DIC 20'!$G$2:$G$849)</f>
        <v>6277196</v>
      </c>
      <c r="E198" s="69">
        <f>SUMIF('SIGAF DIC 20'!$B$2:$B$849,$A198,'SIGAF DIC 20'!$H$2:$H$849)</f>
        <v>0</v>
      </c>
      <c r="F198" s="76">
        <f t="shared" si="0"/>
        <v>0</v>
      </c>
      <c r="G198" s="69">
        <f>SUMIF('SIGAF DIC 20'!$B$2:$B$849,$A198,'SIGAF DIC 20'!$I$2:$I$849)</f>
        <v>0</v>
      </c>
      <c r="H198" s="76">
        <f t="shared" si="1"/>
        <v>0</v>
      </c>
      <c r="I198" s="69">
        <f>SUMIF('SIGAF DIC 20'!$B$2:$B$849,$A198,'SIGAF DIC 20'!$J$2:$J$849)</f>
        <v>0</v>
      </c>
      <c r="J198" s="76">
        <f t="shared" si="2"/>
        <v>0</v>
      </c>
      <c r="K198" s="69">
        <f>SUMIF('SIGAF DIC 20'!$B$2:$B$849,$A198,'SIGAF DIC 20'!$K$2:$K$849)</f>
        <v>6277195.2000000002</v>
      </c>
      <c r="L198" s="77">
        <f t="shared" si="3"/>
        <v>0.99999987255456102</v>
      </c>
      <c r="M198" s="69">
        <f>SUMIF('SIGAF DIC 20'!$B$2:$B$849,$A198,'SIGAF DIC 20'!$M$2:$M$849)</f>
        <v>6277195.2000000002</v>
      </c>
      <c r="N198" s="76">
        <f t="shared" si="4"/>
        <v>0.99999987255456102</v>
      </c>
      <c r="O198" s="68">
        <f>SUMIF('SIGAF DIC 20'!$B$2:$B$849,$A198,'SIGAF DIC 20'!$O$2:$O$849)</f>
        <v>0.8</v>
      </c>
      <c r="P198" s="76">
        <f t="shared" si="5"/>
        <v>1.2744543901448992E-7</v>
      </c>
      <c r="Q198" s="69">
        <f>SUMIF('SIGAF DIC 20'!$B$2:$B$849,$A198,'SIGAF DIC 20'!$Q$2:$Q$849)</f>
        <v>0.8</v>
      </c>
      <c r="R198" s="76">
        <f t="shared" si="6"/>
        <v>1.2744543901448992E-7</v>
      </c>
    </row>
    <row r="199" spans="1:18" x14ac:dyDescent="0.25">
      <c r="A199" s="66" t="s">
        <v>212</v>
      </c>
      <c r="B199" s="66" t="s">
        <v>593</v>
      </c>
      <c r="C199" s="69">
        <f>SUMIF('SIGAF DIC 20'!$B$2:$B$849,$A199,'SIGAF DIC 20'!$F$2:$F$849)</f>
        <v>2972440708</v>
      </c>
      <c r="D199" s="69">
        <f>SUMIF('SIGAF DIC 20'!$B$2:$B$849,$A199,'SIGAF DIC 20'!$G$2:$G$849)</f>
        <v>2972440708</v>
      </c>
      <c r="E199" s="69">
        <f>SUMIF('SIGAF DIC 20'!$B$2:$B$849,$A199,'SIGAF DIC 20'!$H$2:$H$849)</f>
        <v>0</v>
      </c>
      <c r="F199" s="76">
        <f t="shared" si="0"/>
        <v>0</v>
      </c>
      <c r="G199" s="69">
        <f>SUMIF('SIGAF DIC 20'!$B$2:$B$849,$A199,'SIGAF DIC 20'!$I$2:$I$849)</f>
        <v>87412846.689999998</v>
      </c>
      <c r="H199" s="76">
        <f t="shared" si="1"/>
        <v>2.9407767984988852E-2</v>
      </c>
      <c r="I199" s="69">
        <f>SUMIF('SIGAF DIC 20'!$B$2:$B$849,$A199,'SIGAF DIC 20'!$J$2:$J$849)</f>
        <v>0</v>
      </c>
      <c r="J199" s="76">
        <f t="shared" si="2"/>
        <v>0</v>
      </c>
      <c r="K199" s="69">
        <f>SUMIF('SIGAF DIC 20'!$B$2:$B$849,$A199,'SIGAF DIC 20'!$K$2:$K$849)</f>
        <v>2748021962.8000002</v>
      </c>
      <c r="L199" s="77">
        <f t="shared" si="3"/>
        <v>0.92450017771725401</v>
      </c>
      <c r="M199" s="69">
        <f>SUMIF('SIGAF DIC 20'!$B$2:$B$849,$A199,'SIGAF DIC 20'!$M$2:$M$849)</f>
        <v>2148146961.54</v>
      </c>
      <c r="N199" s="76">
        <f t="shared" si="4"/>
        <v>0.72268790955476314</v>
      </c>
      <c r="O199" s="68">
        <f>SUMIF('SIGAF DIC 20'!$B$2:$B$849,$A199,'SIGAF DIC 20'!$O$2:$O$849)</f>
        <v>137005898.50999999</v>
      </c>
      <c r="P199" s="76">
        <f t="shared" si="5"/>
        <v>4.6092054297757243E-2</v>
      </c>
      <c r="Q199" s="69">
        <f>SUMIF('SIGAF DIC 20'!$B$2:$B$849,$A199,'SIGAF DIC 20'!$Q$2:$Q$849)</f>
        <v>137005898.50999999</v>
      </c>
      <c r="R199" s="76">
        <f t="shared" si="6"/>
        <v>4.6092054297757243E-2</v>
      </c>
    </row>
    <row r="200" spans="1:18" x14ac:dyDescent="0.25">
      <c r="A200" s="66" t="s">
        <v>214</v>
      </c>
      <c r="B200" s="66" t="s">
        <v>594</v>
      </c>
      <c r="C200" s="69">
        <f>SUMIF('SIGAF DIC 20'!$B$2:$B$849,$A200,'SIGAF DIC 20'!$F$2:$F$849)</f>
        <v>26309805</v>
      </c>
      <c r="D200" s="69">
        <f>SUMIF('SIGAF DIC 20'!$B$2:$B$849,$A200,'SIGAF DIC 20'!$G$2:$G$849)</f>
        <v>26309805</v>
      </c>
      <c r="E200" s="69">
        <f>SUMIF('SIGAF DIC 20'!$B$2:$B$849,$A200,'SIGAF DIC 20'!$H$2:$H$849)</f>
        <v>0</v>
      </c>
      <c r="F200" s="76">
        <f t="shared" si="0"/>
        <v>0</v>
      </c>
      <c r="G200" s="69">
        <f>SUMIF('SIGAF DIC 20'!$B$2:$B$849,$A200,'SIGAF DIC 20'!$I$2:$I$849)</f>
        <v>1595168.26</v>
      </c>
      <c r="H200" s="76">
        <f t="shared" si="1"/>
        <v>6.0630181789640782E-2</v>
      </c>
      <c r="I200" s="69">
        <f>SUMIF('SIGAF DIC 20'!$B$2:$B$849,$A200,'SIGAF DIC 20'!$J$2:$J$849)</f>
        <v>0</v>
      </c>
      <c r="J200" s="76">
        <f t="shared" si="2"/>
        <v>0</v>
      </c>
      <c r="K200" s="69">
        <f>SUMIF('SIGAF DIC 20'!$B$2:$B$849,$A200,'SIGAF DIC 20'!$K$2:$K$849)</f>
        <v>23425090.860000003</v>
      </c>
      <c r="L200" s="77">
        <f t="shared" si="3"/>
        <v>0.8903559285217052</v>
      </c>
      <c r="M200" s="69">
        <f>SUMIF('SIGAF DIC 20'!$B$2:$B$849,$A200,'SIGAF DIC 20'!$M$2:$M$849)</f>
        <v>22589794.860000003</v>
      </c>
      <c r="N200" s="76">
        <f t="shared" si="4"/>
        <v>0.85860746060261572</v>
      </c>
      <c r="O200" s="68">
        <f>SUMIF('SIGAF DIC 20'!$B$2:$B$849,$A200,'SIGAF DIC 20'!$O$2:$O$849)</f>
        <v>1289545.8800000001</v>
      </c>
      <c r="P200" s="76">
        <f t="shared" si="5"/>
        <v>4.9013889688654104E-2</v>
      </c>
      <c r="Q200" s="69">
        <f>SUMIF('SIGAF DIC 20'!$B$2:$B$849,$A200,'SIGAF DIC 20'!$Q$2:$Q$849)</f>
        <v>1289545.8800000001</v>
      </c>
      <c r="R200" s="76">
        <f t="shared" si="6"/>
        <v>4.9013889688654104E-2</v>
      </c>
    </row>
    <row r="201" spans="1:18" x14ac:dyDescent="0.25">
      <c r="A201" s="66" t="s">
        <v>216</v>
      </c>
      <c r="B201" s="66" t="s">
        <v>595</v>
      </c>
      <c r="C201" s="69">
        <f>SUMIF('SIGAF DIC 20'!$B$2:$B$849,$A201,'SIGAF DIC 20'!$F$2:$F$849)</f>
        <v>34292411</v>
      </c>
      <c r="D201" s="69">
        <f>SUMIF('SIGAF DIC 20'!$B$2:$B$849,$A201,'SIGAF DIC 20'!$G$2:$G$849)</f>
        <v>34292411</v>
      </c>
      <c r="E201" s="69">
        <f>SUMIF('SIGAF DIC 20'!$B$2:$B$849,$A201,'SIGAF DIC 20'!$H$2:$H$849)</f>
        <v>0</v>
      </c>
      <c r="F201" s="76">
        <f t="shared" si="0"/>
        <v>0</v>
      </c>
      <c r="G201" s="69">
        <f>SUMIF('SIGAF DIC 20'!$B$2:$B$849,$A201,'SIGAF DIC 20'!$I$2:$I$849)</f>
        <v>846249.95</v>
      </c>
      <c r="H201" s="76">
        <f t="shared" si="1"/>
        <v>2.4677470184292376E-2</v>
      </c>
      <c r="I201" s="69">
        <f>SUMIF('SIGAF DIC 20'!$B$2:$B$849,$A201,'SIGAF DIC 20'!$J$2:$J$849)</f>
        <v>0</v>
      </c>
      <c r="J201" s="76">
        <f t="shared" si="2"/>
        <v>0</v>
      </c>
      <c r="K201" s="69">
        <f>SUMIF('SIGAF DIC 20'!$B$2:$B$849,$A201,'SIGAF DIC 20'!$K$2:$K$849)</f>
        <v>22530019.469999999</v>
      </c>
      <c r="L201" s="77">
        <f t="shared" si="3"/>
        <v>0.65699724262607251</v>
      </c>
      <c r="M201" s="69">
        <f>SUMIF('SIGAF DIC 20'!$B$2:$B$849,$A201,'SIGAF DIC 20'!$M$2:$M$849)</f>
        <v>19294731.289999999</v>
      </c>
      <c r="N201" s="76">
        <f t="shared" si="4"/>
        <v>0.56265309808633746</v>
      </c>
      <c r="O201" s="68">
        <f>SUMIF('SIGAF DIC 20'!$B$2:$B$849,$A201,'SIGAF DIC 20'!$O$2:$O$849)</f>
        <v>10916141.58</v>
      </c>
      <c r="P201" s="76">
        <f t="shared" si="5"/>
        <v>0.31832528718963504</v>
      </c>
      <c r="Q201" s="69">
        <f>SUMIF('SIGAF DIC 20'!$B$2:$B$849,$A201,'SIGAF DIC 20'!$Q$2:$Q$849)</f>
        <v>10916141.58</v>
      </c>
      <c r="R201" s="76">
        <f t="shared" si="6"/>
        <v>0.31832528718963504</v>
      </c>
    </row>
    <row r="202" spans="1:18" x14ac:dyDescent="0.25">
      <c r="A202" s="66" t="s">
        <v>218</v>
      </c>
      <c r="B202" s="66" t="s">
        <v>596</v>
      </c>
      <c r="C202" s="69">
        <f>SUMIF('SIGAF DIC 20'!$B$2:$B$849,$A202,'SIGAF DIC 20'!$F$2:$F$849)</f>
        <v>101825391</v>
      </c>
      <c r="D202" s="69">
        <f>SUMIF('SIGAF DIC 20'!$B$2:$B$849,$A202,'SIGAF DIC 20'!$G$2:$G$849)</f>
        <v>101825391</v>
      </c>
      <c r="E202" s="69">
        <f>SUMIF('SIGAF DIC 20'!$B$2:$B$849,$A202,'SIGAF DIC 20'!$H$2:$H$849)</f>
        <v>0</v>
      </c>
      <c r="F202" s="76">
        <f t="shared" si="0"/>
        <v>0</v>
      </c>
      <c r="G202" s="69">
        <f>SUMIF('SIGAF DIC 20'!$B$2:$B$849,$A202,'SIGAF DIC 20'!$I$2:$I$849)</f>
        <v>76086.7</v>
      </c>
      <c r="H202" s="76">
        <f t="shared" si="1"/>
        <v>7.4722718226537428E-4</v>
      </c>
      <c r="I202" s="69">
        <f>SUMIF('SIGAF DIC 20'!$B$2:$B$849,$A202,'SIGAF DIC 20'!$J$2:$J$849)</f>
        <v>0</v>
      </c>
      <c r="J202" s="76">
        <f t="shared" si="2"/>
        <v>0</v>
      </c>
      <c r="K202" s="69">
        <f>SUMIF('SIGAF DIC 20'!$B$2:$B$849,$A202,'SIGAF DIC 20'!$K$2:$K$849)</f>
        <v>76247080.239999995</v>
      </c>
      <c r="L202" s="77">
        <f t="shared" si="3"/>
        <v>0.74880223381612154</v>
      </c>
      <c r="M202" s="69">
        <f>SUMIF('SIGAF DIC 20'!$B$2:$B$849,$A202,'SIGAF DIC 20'!$M$2:$M$849)</f>
        <v>74105092.780000016</v>
      </c>
      <c r="N202" s="76">
        <f t="shared" si="4"/>
        <v>0.72776634641157445</v>
      </c>
      <c r="O202" s="68">
        <f>SUMIF('SIGAF DIC 20'!$B$2:$B$849,$A202,'SIGAF DIC 20'!$O$2:$O$849)</f>
        <v>25502224.059999995</v>
      </c>
      <c r="P202" s="76">
        <f t="shared" si="5"/>
        <v>0.25045053900161302</v>
      </c>
      <c r="Q202" s="69">
        <f>SUMIF('SIGAF DIC 20'!$B$2:$B$849,$A202,'SIGAF DIC 20'!$Q$2:$Q$849)</f>
        <v>25502224.059999995</v>
      </c>
      <c r="R202" s="76">
        <f t="shared" si="6"/>
        <v>0.25045053900161302</v>
      </c>
    </row>
    <row r="203" spans="1:18" x14ac:dyDescent="0.25">
      <c r="A203" s="66" t="s">
        <v>220</v>
      </c>
      <c r="B203" s="66" t="s">
        <v>221</v>
      </c>
      <c r="C203" s="69">
        <f>SUMIF('SIGAF DIC 20'!$B$2:$B$849,$A203,'SIGAF DIC 20'!$F$2:$F$849)</f>
        <v>1246468498</v>
      </c>
      <c r="D203" s="69">
        <f>SUMIF('SIGAF DIC 20'!$B$2:$B$849,$A203,'SIGAF DIC 20'!$G$2:$G$849)</f>
        <v>1246468498</v>
      </c>
      <c r="E203" s="69">
        <f>SUMIF('SIGAF DIC 20'!$B$2:$B$849,$A203,'SIGAF DIC 20'!$H$2:$H$849)</f>
        <v>0</v>
      </c>
      <c r="F203" s="76">
        <f t="shared" si="0"/>
        <v>0</v>
      </c>
      <c r="G203" s="69">
        <f>SUMIF('SIGAF DIC 20'!$B$2:$B$849,$A203,'SIGAF DIC 20'!$I$2:$I$849)</f>
        <v>77025776.389999986</v>
      </c>
      <c r="H203" s="76">
        <f t="shared" si="1"/>
        <v>6.1795205024106424E-2</v>
      </c>
      <c r="I203" s="69">
        <f>SUMIF('SIGAF DIC 20'!$B$2:$B$849,$A203,'SIGAF DIC 20'!$J$2:$J$849)</f>
        <v>0</v>
      </c>
      <c r="J203" s="76">
        <f t="shared" si="2"/>
        <v>0</v>
      </c>
      <c r="K203" s="69">
        <f>SUMIF('SIGAF DIC 20'!$B$2:$B$849,$A203,'SIGAF DIC 20'!$K$2:$K$849)</f>
        <v>1112971683.1799998</v>
      </c>
      <c r="L203" s="77">
        <f t="shared" si="3"/>
        <v>0.8928999689649596</v>
      </c>
      <c r="M203" s="69">
        <f>SUMIF('SIGAF DIC 20'!$B$2:$B$849,$A203,'SIGAF DIC 20'!$M$2:$M$849)</f>
        <v>625828109.94000006</v>
      </c>
      <c r="N203" s="76">
        <f t="shared" si="4"/>
        <v>0.50208096790585721</v>
      </c>
      <c r="O203" s="68">
        <f>SUMIF('SIGAF DIC 20'!$B$2:$B$849,$A203,'SIGAF DIC 20'!$O$2:$O$849)</f>
        <v>56471038.429999992</v>
      </c>
      <c r="P203" s="76">
        <f t="shared" si="5"/>
        <v>4.5304826010933809E-2</v>
      </c>
      <c r="Q203" s="69">
        <f>SUMIF('SIGAF DIC 20'!$B$2:$B$849,$A203,'SIGAF DIC 20'!$Q$2:$Q$849)</f>
        <v>56471038.429999992</v>
      </c>
      <c r="R203" s="76">
        <f t="shared" si="6"/>
        <v>4.5304826010933809E-2</v>
      </c>
    </row>
    <row r="204" spans="1:18" x14ac:dyDescent="0.25">
      <c r="A204" s="66" t="s">
        <v>222</v>
      </c>
      <c r="B204" s="66" t="s">
        <v>597</v>
      </c>
      <c r="C204" s="69">
        <f>SUMIF('SIGAF DIC 20'!$B$2:$B$849,$A204,'SIGAF DIC 20'!$F$2:$F$849)</f>
        <v>380052645</v>
      </c>
      <c r="D204" s="69">
        <f>SUMIF('SIGAF DIC 20'!$B$2:$B$849,$A204,'SIGAF DIC 20'!$G$2:$G$849)</f>
        <v>380052645</v>
      </c>
      <c r="E204" s="69">
        <f>SUMIF('SIGAF DIC 20'!$B$2:$B$849,$A204,'SIGAF DIC 20'!$H$2:$H$849)</f>
        <v>0</v>
      </c>
      <c r="F204" s="76">
        <f t="shared" si="0"/>
        <v>0</v>
      </c>
      <c r="G204" s="69">
        <f>SUMIF('SIGAF DIC 20'!$B$2:$B$849,$A204,'SIGAF DIC 20'!$I$2:$I$849)</f>
        <v>1354719.16</v>
      </c>
      <c r="H204" s="76">
        <f t="shared" si="1"/>
        <v>3.5645565892588379E-3</v>
      </c>
      <c r="I204" s="69">
        <f>SUMIF('SIGAF DIC 20'!$B$2:$B$849,$A204,'SIGAF DIC 20'!$J$2:$J$849)</f>
        <v>0</v>
      </c>
      <c r="J204" s="76">
        <f t="shared" si="2"/>
        <v>0</v>
      </c>
      <c r="K204" s="69">
        <f>SUMIF('SIGAF DIC 20'!$B$2:$B$849,$A204,'SIGAF DIC 20'!$K$2:$K$849)</f>
        <v>376886989.07999998</v>
      </c>
      <c r="L204" s="77">
        <f t="shared" si="3"/>
        <v>0.99167048049356421</v>
      </c>
      <c r="M204" s="69">
        <f>SUMIF('SIGAF DIC 20'!$B$2:$B$849,$A204,'SIGAF DIC 20'!$M$2:$M$849)</f>
        <v>309333531</v>
      </c>
      <c r="N204" s="76">
        <f t="shared" si="4"/>
        <v>0.8139228474518313</v>
      </c>
      <c r="O204" s="68">
        <f>SUMIF('SIGAF DIC 20'!$B$2:$B$849,$A204,'SIGAF DIC 20'!$O$2:$O$849)</f>
        <v>1810936.76</v>
      </c>
      <c r="P204" s="76">
        <f t="shared" si="5"/>
        <v>4.7649629171769084E-3</v>
      </c>
      <c r="Q204" s="69">
        <f>SUMIF('SIGAF DIC 20'!$B$2:$B$849,$A204,'SIGAF DIC 20'!$Q$2:$Q$849)</f>
        <v>1810936.76</v>
      </c>
      <c r="R204" s="76">
        <f t="shared" si="6"/>
        <v>4.7649629171769084E-3</v>
      </c>
    </row>
    <row r="205" spans="1:18" x14ac:dyDescent="0.25">
      <c r="A205" s="66" t="s">
        <v>224</v>
      </c>
      <c r="B205" s="66" t="s">
        <v>598</v>
      </c>
      <c r="C205" s="69">
        <f>SUMIF('SIGAF DIC 20'!$B$2:$B$849,$A205,'SIGAF DIC 20'!$F$2:$F$849)</f>
        <v>890861693</v>
      </c>
      <c r="D205" s="69">
        <f>SUMIF('SIGAF DIC 20'!$B$2:$B$849,$A205,'SIGAF DIC 20'!$G$2:$G$849)</f>
        <v>890861693</v>
      </c>
      <c r="E205" s="69">
        <f>SUMIF('SIGAF DIC 20'!$B$2:$B$849,$A205,'SIGAF DIC 20'!$H$2:$H$849)</f>
        <v>0</v>
      </c>
      <c r="F205" s="76">
        <f t="shared" si="0"/>
        <v>0</v>
      </c>
      <c r="G205" s="69">
        <f>SUMIF('SIGAF DIC 20'!$B$2:$B$849,$A205,'SIGAF DIC 20'!$I$2:$I$849)</f>
        <v>0</v>
      </c>
      <c r="H205" s="76">
        <f t="shared" si="1"/>
        <v>0</v>
      </c>
      <c r="I205" s="69">
        <f>SUMIF('SIGAF DIC 20'!$B$2:$B$849,$A205,'SIGAF DIC 20'!$J$2:$J$849)</f>
        <v>0</v>
      </c>
      <c r="J205" s="76">
        <f t="shared" si="2"/>
        <v>0</v>
      </c>
      <c r="K205" s="69">
        <f>SUMIF('SIGAF DIC 20'!$B$2:$B$849,$A205,'SIGAF DIC 20'!$K$2:$K$849)</f>
        <v>857195208.00999987</v>
      </c>
      <c r="L205" s="77">
        <f t="shared" si="3"/>
        <v>0.96220907773391018</v>
      </c>
      <c r="M205" s="69">
        <f>SUMIF('SIGAF DIC 20'!$B$2:$B$849,$A205,'SIGAF DIC 20'!$M$2:$M$849)</f>
        <v>856400387.69999993</v>
      </c>
      <c r="N205" s="76">
        <f t="shared" si="4"/>
        <v>0.96131688502179191</v>
      </c>
      <c r="O205" s="68">
        <f>SUMIF('SIGAF DIC 20'!$B$2:$B$849,$A205,'SIGAF DIC 20'!$O$2:$O$849)</f>
        <v>33666484.990000002</v>
      </c>
      <c r="P205" s="76">
        <f t="shared" si="5"/>
        <v>3.7790922266089627E-2</v>
      </c>
      <c r="Q205" s="69">
        <f>SUMIF('SIGAF DIC 20'!$B$2:$B$849,$A205,'SIGAF DIC 20'!$Q$2:$Q$849)</f>
        <v>33666484.990000002</v>
      </c>
      <c r="R205" s="76">
        <f t="shared" si="6"/>
        <v>3.7790922266089627E-2</v>
      </c>
    </row>
    <row r="206" spans="1:18" x14ac:dyDescent="0.25">
      <c r="A206" s="66" t="s">
        <v>226</v>
      </c>
      <c r="B206" s="66" t="s">
        <v>599</v>
      </c>
      <c r="C206" s="69">
        <f>SUMIF('SIGAF DIC 20'!$B$2:$B$849,$A206,'SIGAF DIC 20'!$F$2:$F$849)</f>
        <v>108118713</v>
      </c>
      <c r="D206" s="69">
        <f>SUMIF('SIGAF DIC 20'!$B$2:$B$849,$A206,'SIGAF DIC 20'!$G$2:$G$849)</f>
        <v>108118713</v>
      </c>
      <c r="E206" s="69">
        <f>SUMIF('SIGAF DIC 20'!$B$2:$B$849,$A206,'SIGAF DIC 20'!$H$2:$H$849)</f>
        <v>0</v>
      </c>
      <c r="F206" s="76">
        <f t="shared" si="0"/>
        <v>0</v>
      </c>
      <c r="G206" s="69">
        <f>SUMIF('SIGAF DIC 20'!$B$2:$B$849,$A206,'SIGAF DIC 20'!$I$2:$I$849)</f>
        <v>6514846.2300000004</v>
      </c>
      <c r="H206" s="76">
        <f t="shared" si="1"/>
        <v>6.0256416759233905E-2</v>
      </c>
      <c r="I206" s="69">
        <f>SUMIF('SIGAF DIC 20'!$B$2:$B$849,$A206,'SIGAF DIC 20'!$J$2:$J$849)</f>
        <v>0</v>
      </c>
      <c r="J206" s="76">
        <f t="shared" si="2"/>
        <v>0</v>
      </c>
      <c r="K206" s="69">
        <f>SUMIF('SIGAF DIC 20'!$B$2:$B$849,$A206,'SIGAF DIC 20'!$K$2:$K$849)</f>
        <v>100785741.17999999</v>
      </c>
      <c r="L206" s="77">
        <f t="shared" si="3"/>
        <v>0.93217666381211917</v>
      </c>
      <c r="M206" s="69">
        <f>SUMIF('SIGAF DIC 20'!$B$2:$B$849,$A206,'SIGAF DIC 20'!$M$2:$M$849)</f>
        <v>91395469.109999999</v>
      </c>
      <c r="N206" s="76">
        <f t="shared" si="4"/>
        <v>0.84532516688392323</v>
      </c>
      <c r="O206" s="68">
        <f>SUMIF('SIGAF DIC 20'!$B$2:$B$849,$A206,'SIGAF DIC 20'!$O$2:$O$849)</f>
        <v>818125.59</v>
      </c>
      <c r="P206" s="76">
        <f t="shared" si="5"/>
        <v>7.5669194286469166E-3</v>
      </c>
      <c r="Q206" s="69">
        <f>SUMIF('SIGAF DIC 20'!$B$2:$B$849,$A206,'SIGAF DIC 20'!$Q$2:$Q$849)</f>
        <v>818125.59</v>
      </c>
      <c r="R206" s="76">
        <f t="shared" si="6"/>
        <v>7.5669194286469166E-3</v>
      </c>
    </row>
    <row r="207" spans="1:18" x14ac:dyDescent="0.25">
      <c r="A207" s="66" t="s">
        <v>228</v>
      </c>
      <c r="B207" s="66" t="s">
        <v>600</v>
      </c>
      <c r="C207" s="69">
        <f>SUMIF('SIGAF DIC 20'!$B$2:$B$849,$A207,'SIGAF DIC 20'!$F$2:$F$849)</f>
        <v>184511552</v>
      </c>
      <c r="D207" s="69">
        <f>SUMIF('SIGAF DIC 20'!$B$2:$B$849,$A207,'SIGAF DIC 20'!$G$2:$G$849)</f>
        <v>184511552</v>
      </c>
      <c r="E207" s="69">
        <f>SUMIF('SIGAF DIC 20'!$B$2:$B$849,$A207,'SIGAF DIC 20'!$H$2:$H$849)</f>
        <v>0</v>
      </c>
      <c r="F207" s="76">
        <f t="shared" si="0"/>
        <v>0</v>
      </c>
      <c r="G207" s="69">
        <f>SUMIF('SIGAF DIC 20'!$B$2:$B$849,$A207,'SIGAF DIC 20'!$I$2:$I$849)</f>
        <v>0</v>
      </c>
      <c r="H207" s="76">
        <f t="shared" si="1"/>
        <v>0</v>
      </c>
      <c r="I207" s="69">
        <f>SUMIF('SIGAF DIC 20'!$B$2:$B$849,$A207,'SIGAF DIC 20'!$J$2:$J$849)</f>
        <v>0</v>
      </c>
      <c r="J207" s="76">
        <f t="shared" si="2"/>
        <v>0</v>
      </c>
      <c r="K207" s="69">
        <f>SUMIF('SIGAF DIC 20'!$B$2:$B$849,$A207,'SIGAF DIC 20'!$K$2:$K$849)</f>
        <v>177980150.78</v>
      </c>
      <c r="L207" s="77">
        <f t="shared" si="3"/>
        <v>0.96460166775899214</v>
      </c>
      <c r="M207" s="69">
        <f>SUMIF('SIGAF DIC 20'!$B$2:$B$849,$A207,'SIGAF DIC 20'!$M$2:$M$849)</f>
        <v>149199844.86000001</v>
      </c>
      <c r="N207" s="76">
        <f t="shared" si="4"/>
        <v>0.80862061612272396</v>
      </c>
      <c r="O207" s="68">
        <f>SUMIF('SIGAF DIC 20'!$B$2:$B$849,$A207,'SIGAF DIC 20'!$O$2:$O$849)</f>
        <v>6531401.2199999997</v>
      </c>
      <c r="P207" s="76">
        <f t="shared" si="5"/>
        <v>3.5398332241007871E-2</v>
      </c>
      <c r="Q207" s="69">
        <f>SUMIF('SIGAF DIC 20'!$B$2:$B$849,$A207,'SIGAF DIC 20'!$Q$2:$Q$849)</f>
        <v>6531401.2199999997</v>
      </c>
      <c r="R207" s="76">
        <f t="shared" si="6"/>
        <v>3.5398332241007871E-2</v>
      </c>
    </row>
    <row r="208" spans="1:18" s="74" customFormat="1" x14ac:dyDescent="0.25">
      <c r="A208" s="70" t="s">
        <v>230</v>
      </c>
      <c r="B208" s="70" t="s">
        <v>231</v>
      </c>
      <c r="C208" s="69">
        <f>SUMIF('SIGAF DIC 20'!$B$2:$B$849,$A208,'SIGAF DIC 20'!$F$2:$F$849)</f>
        <v>2276506415</v>
      </c>
      <c r="D208" s="69">
        <f>SUMIF('SIGAF DIC 20'!$B$2:$B$849,$A208,'SIGAF DIC 20'!$G$2:$G$849)</f>
        <v>2276506415</v>
      </c>
      <c r="E208" s="69">
        <f>SUMIF('SIGAF DIC 20'!$B$2:$B$849,$A208,'SIGAF DIC 20'!$H$2:$H$849)</f>
        <v>0</v>
      </c>
      <c r="F208" s="72">
        <f t="shared" si="0"/>
        <v>0</v>
      </c>
      <c r="G208" s="69">
        <f>SUMIF('SIGAF DIC 20'!$B$2:$B$849,$A208,'SIGAF DIC 20'!$I$2:$I$849)</f>
        <v>114707718.10000001</v>
      </c>
      <c r="H208" s="72">
        <f t="shared" si="1"/>
        <v>5.0387610306821824E-2</v>
      </c>
      <c r="I208" s="69">
        <f>SUMIF('SIGAF DIC 20'!$B$2:$B$849,$A208,'SIGAF DIC 20'!$J$2:$J$849)</f>
        <v>0</v>
      </c>
      <c r="J208" s="72">
        <f t="shared" si="2"/>
        <v>0</v>
      </c>
      <c r="K208" s="69">
        <f>SUMIF('SIGAF DIC 20'!$B$2:$B$849,$A208,'SIGAF DIC 20'!$K$2:$K$849)</f>
        <v>1511782895.3500001</v>
      </c>
      <c r="L208" s="73">
        <f t="shared" si="3"/>
        <v>0.66408022634541974</v>
      </c>
      <c r="M208" s="69">
        <f>SUMIF('SIGAF DIC 20'!$B$2:$B$849,$A208,'SIGAF DIC 20'!$M$2:$M$849)</f>
        <v>1401134036.53</v>
      </c>
      <c r="N208" s="72">
        <f t="shared" si="4"/>
        <v>0.61547554941987714</v>
      </c>
      <c r="O208" s="68">
        <f>SUMIF('SIGAF DIC 20'!$B$2:$B$849,$A208,'SIGAF DIC 20'!$O$2:$O$849)</f>
        <v>650015801.55000019</v>
      </c>
      <c r="P208" s="72">
        <f t="shared" si="5"/>
        <v>0.28553216334775855</v>
      </c>
      <c r="Q208" s="69">
        <f>SUMIF('SIGAF DIC 20'!$B$2:$B$849,$A208,'SIGAF DIC 20'!$Q$2:$Q$849)</f>
        <v>650015801.55000019</v>
      </c>
      <c r="R208" s="72">
        <f t="shared" si="6"/>
        <v>0.28553216334775855</v>
      </c>
    </row>
    <row r="209" spans="1:18" x14ac:dyDescent="0.25">
      <c r="A209" s="66" t="s">
        <v>232</v>
      </c>
      <c r="B209" s="66" t="s">
        <v>601</v>
      </c>
      <c r="C209" s="69">
        <f>SUMIF('SIGAF DIC 20'!$B$2:$B$849,$A209,'SIGAF DIC 20'!$F$2:$F$849)</f>
        <v>1592177015</v>
      </c>
      <c r="D209" s="69">
        <f>SUMIF('SIGAF DIC 20'!$B$2:$B$849,$A209,'SIGAF DIC 20'!$G$2:$G$849)</f>
        <v>1592177015</v>
      </c>
      <c r="E209" s="69">
        <f>SUMIF('SIGAF DIC 20'!$B$2:$B$849,$A209,'SIGAF DIC 20'!$H$2:$H$849)</f>
        <v>0</v>
      </c>
      <c r="F209" s="76">
        <f t="shared" si="0"/>
        <v>0</v>
      </c>
      <c r="G209" s="69">
        <f>SUMIF('SIGAF DIC 20'!$B$2:$B$849,$A209,'SIGAF DIC 20'!$I$2:$I$849)</f>
        <v>36985993.640000001</v>
      </c>
      <c r="H209" s="76">
        <f t="shared" si="1"/>
        <v>2.3229825133482412E-2</v>
      </c>
      <c r="I209" s="69">
        <f>SUMIF('SIGAF DIC 20'!$B$2:$B$849,$A209,'SIGAF DIC 20'!$J$2:$J$849)</f>
        <v>0</v>
      </c>
      <c r="J209" s="76">
        <f t="shared" si="2"/>
        <v>0</v>
      </c>
      <c r="K209" s="69">
        <f>SUMIF('SIGAF DIC 20'!$B$2:$B$849,$A209,'SIGAF DIC 20'!$K$2:$K$849)</f>
        <v>1216068070.02</v>
      </c>
      <c r="L209" s="77">
        <f t="shared" si="3"/>
        <v>0.76377692842149214</v>
      </c>
      <c r="M209" s="69">
        <f>SUMIF('SIGAF DIC 20'!$B$2:$B$849,$A209,'SIGAF DIC 20'!$M$2:$M$849)</f>
        <v>1150866904.2900002</v>
      </c>
      <c r="N209" s="76">
        <f t="shared" si="4"/>
        <v>0.7228259756594968</v>
      </c>
      <c r="O209" s="68">
        <f>SUMIF('SIGAF DIC 20'!$B$2:$B$849,$A209,'SIGAF DIC 20'!$O$2:$O$849)</f>
        <v>339122951.34000009</v>
      </c>
      <c r="P209" s="76">
        <f t="shared" si="5"/>
        <v>0.21299324644502551</v>
      </c>
      <c r="Q209" s="69">
        <f>SUMIF('SIGAF DIC 20'!$B$2:$B$849,$A209,'SIGAF DIC 20'!$Q$2:$Q$849)</f>
        <v>339122951.34000009</v>
      </c>
      <c r="R209" s="76">
        <f t="shared" si="6"/>
        <v>0.21299324644502551</v>
      </c>
    </row>
    <row r="210" spans="1:18" x14ac:dyDescent="0.25">
      <c r="A210" s="66" t="s">
        <v>234</v>
      </c>
      <c r="B210" s="66" t="s">
        <v>602</v>
      </c>
      <c r="C210" s="69">
        <f>SUMIF('SIGAF DIC 20'!$B$2:$B$849,$A210,'SIGAF DIC 20'!$F$2:$F$849)</f>
        <v>54705000</v>
      </c>
      <c r="D210" s="69">
        <f>SUMIF('SIGAF DIC 20'!$B$2:$B$849,$A210,'SIGAF DIC 20'!$G$2:$G$849)</f>
        <v>54705000</v>
      </c>
      <c r="E210" s="69">
        <f>SUMIF('SIGAF DIC 20'!$B$2:$B$849,$A210,'SIGAF DIC 20'!$H$2:$H$849)</f>
        <v>0</v>
      </c>
      <c r="F210" s="76">
        <f t="shared" si="0"/>
        <v>0</v>
      </c>
      <c r="G210" s="69">
        <f>SUMIF('SIGAF DIC 20'!$B$2:$B$849,$A210,'SIGAF DIC 20'!$I$2:$I$849)</f>
        <v>0</v>
      </c>
      <c r="H210" s="76">
        <f t="shared" si="1"/>
        <v>0</v>
      </c>
      <c r="I210" s="69">
        <f>SUMIF('SIGAF DIC 20'!$B$2:$B$849,$A210,'SIGAF DIC 20'!$J$2:$J$849)</f>
        <v>0</v>
      </c>
      <c r="J210" s="76">
        <f t="shared" si="2"/>
        <v>0</v>
      </c>
      <c r="K210" s="69">
        <f>SUMIF('SIGAF DIC 20'!$B$2:$B$849,$A210,'SIGAF DIC 20'!$K$2:$K$849)</f>
        <v>42965380.960000008</v>
      </c>
      <c r="L210" s="77">
        <f t="shared" si="3"/>
        <v>0.78540135197879546</v>
      </c>
      <c r="M210" s="69">
        <f>SUMIF('SIGAF DIC 20'!$B$2:$B$849,$A210,'SIGAF DIC 20'!$M$2:$M$849)</f>
        <v>42385629.940000005</v>
      </c>
      <c r="N210" s="76">
        <f t="shared" si="4"/>
        <v>0.77480358175669506</v>
      </c>
      <c r="O210" s="68">
        <f>SUMIF('SIGAF DIC 20'!$B$2:$B$849,$A210,'SIGAF DIC 20'!$O$2:$O$849)</f>
        <v>11739619.040000001</v>
      </c>
      <c r="P210" s="76">
        <f t="shared" si="5"/>
        <v>0.21459864802120465</v>
      </c>
      <c r="Q210" s="69">
        <f>SUMIF('SIGAF DIC 20'!$B$2:$B$849,$A210,'SIGAF DIC 20'!$Q$2:$Q$849)</f>
        <v>11739619.040000001</v>
      </c>
      <c r="R210" s="76">
        <f t="shared" si="6"/>
        <v>0.21459864802120465</v>
      </c>
    </row>
    <row r="211" spans="1:18" x14ac:dyDescent="0.25">
      <c r="A211" s="66" t="s">
        <v>324</v>
      </c>
      <c r="B211" s="66" t="s">
        <v>325</v>
      </c>
      <c r="C211" s="69">
        <f>SUMIF('SIGAF DIC 20'!$B$2:$B$849,$A211,'SIGAF DIC 20'!$F$2:$F$849)</f>
        <v>815400</v>
      </c>
      <c r="D211" s="69">
        <f>SUMIF('SIGAF DIC 20'!$B$2:$B$849,$A211,'SIGAF DIC 20'!$G$2:$G$849)</f>
        <v>815400</v>
      </c>
      <c r="E211" s="69">
        <f>SUMIF('SIGAF DIC 20'!$B$2:$B$849,$A211,'SIGAF DIC 20'!$H$2:$H$849)</f>
        <v>0</v>
      </c>
      <c r="F211" s="76">
        <f t="shared" si="0"/>
        <v>0</v>
      </c>
      <c r="G211" s="69">
        <f>SUMIF('SIGAF DIC 20'!$B$2:$B$849,$A211,'SIGAF DIC 20'!$I$2:$I$849)</f>
        <v>0</v>
      </c>
      <c r="H211" s="76">
        <f t="shared" si="1"/>
        <v>0</v>
      </c>
      <c r="I211" s="69">
        <f>SUMIF('SIGAF DIC 20'!$B$2:$B$849,$A211,'SIGAF DIC 20'!$J$2:$J$849)</f>
        <v>0</v>
      </c>
      <c r="J211" s="76">
        <f t="shared" si="2"/>
        <v>0</v>
      </c>
      <c r="K211" s="69">
        <f>SUMIF('SIGAF DIC 20'!$B$2:$B$849,$A211,'SIGAF DIC 20'!$K$2:$K$849)</f>
        <v>0</v>
      </c>
      <c r="L211" s="77">
        <f t="shared" si="3"/>
        <v>0</v>
      </c>
      <c r="M211" s="69">
        <f>SUMIF('SIGAF DIC 20'!$B$2:$B$849,$A211,'SIGAF DIC 20'!$M$2:$M$849)</f>
        <v>0</v>
      </c>
      <c r="N211" s="76">
        <f t="shared" si="4"/>
        <v>0</v>
      </c>
      <c r="O211" s="68">
        <f>SUMIF('SIGAF DIC 20'!$B$2:$B$849,$A211,'SIGAF DIC 20'!$O$2:$O$849)</f>
        <v>815400</v>
      </c>
      <c r="P211" s="76">
        <f t="shared" si="5"/>
        <v>1</v>
      </c>
      <c r="Q211" s="69">
        <f>SUMIF('SIGAF DIC 20'!$B$2:$B$849,$A211,'SIGAF DIC 20'!$Q$2:$Q$849)</f>
        <v>815400</v>
      </c>
      <c r="R211" s="76">
        <f t="shared" si="6"/>
        <v>1</v>
      </c>
    </row>
    <row r="212" spans="1:18" x14ac:dyDescent="0.25">
      <c r="A212" s="66" t="s">
        <v>236</v>
      </c>
      <c r="B212" s="66" t="s">
        <v>603</v>
      </c>
      <c r="C212" s="69">
        <f>SUMIF('SIGAF DIC 20'!$B$2:$B$849,$A212,'SIGAF DIC 20'!$F$2:$F$849)</f>
        <v>288013606</v>
      </c>
      <c r="D212" s="69">
        <f>SUMIF('SIGAF DIC 20'!$B$2:$B$849,$A212,'SIGAF DIC 20'!$G$2:$G$849)</f>
        <v>288013606</v>
      </c>
      <c r="E212" s="69">
        <f>SUMIF('SIGAF DIC 20'!$B$2:$B$849,$A212,'SIGAF DIC 20'!$H$2:$H$849)</f>
        <v>0</v>
      </c>
      <c r="F212" s="76">
        <f t="shared" si="0"/>
        <v>0</v>
      </c>
      <c r="G212" s="69">
        <f>SUMIF('SIGAF DIC 20'!$B$2:$B$849,$A212,'SIGAF DIC 20'!$I$2:$I$849)</f>
        <v>0</v>
      </c>
      <c r="H212" s="76">
        <f t="shared" si="1"/>
        <v>0</v>
      </c>
      <c r="I212" s="69">
        <f>SUMIF('SIGAF DIC 20'!$B$2:$B$849,$A212,'SIGAF DIC 20'!$J$2:$J$849)</f>
        <v>0</v>
      </c>
      <c r="J212" s="76">
        <f t="shared" si="2"/>
        <v>0</v>
      </c>
      <c r="K212" s="69">
        <f>SUMIF('SIGAF DIC 20'!$B$2:$B$849,$A212,'SIGAF DIC 20'!$K$2:$K$849)</f>
        <v>261985859.01000002</v>
      </c>
      <c r="L212" s="77">
        <f t="shared" si="3"/>
        <v>0.90963014785488994</v>
      </c>
      <c r="M212" s="69">
        <f>SUMIF('SIGAF DIC 20'!$B$2:$B$849,$A212,'SIGAF DIC 20'!$M$2:$M$849)</f>
        <v>261985859.01000002</v>
      </c>
      <c r="N212" s="76">
        <f t="shared" si="4"/>
        <v>0.90963014785488994</v>
      </c>
      <c r="O212" s="68">
        <f>SUMIF('SIGAF DIC 20'!$B$2:$B$849,$A212,'SIGAF DIC 20'!$O$2:$O$849)</f>
        <v>26027746.990000002</v>
      </c>
      <c r="P212" s="76">
        <f t="shared" si="5"/>
        <v>9.0369852145110119E-2</v>
      </c>
      <c r="Q212" s="69">
        <f>SUMIF('SIGAF DIC 20'!$B$2:$B$849,$A212,'SIGAF DIC 20'!$Q$2:$Q$849)</f>
        <v>26027746.990000002</v>
      </c>
      <c r="R212" s="76">
        <f t="shared" si="6"/>
        <v>9.0369852145110119E-2</v>
      </c>
    </row>
    <row r="213" spans="1:18" x14ac:dyDescent="0.25">
      <c r="A213" s="66" t="s">
        <v>238</v>
      </c>
      <c r="B213" s="66" t="s">
        <v>604</v>
      </c>
      <c r="C213" s="69">
        <f>SUMIF('SIGAF DIC 20'!$B$2:$B$849,$A213,'SIGAF DIC 20'!$F$2:$F$849)</f>
        <v>150544519</v>
      </c>
      <c r="D213" s="69">
        <f>SUMIF('SIGAF DIC 20'!$B$2:$B$849,$A213,'SIGAF DIC 20'!$G$2:$G$849)</f>
        <v>150544519</v>
      </c>
      <c r="E213" s="69">
        <f>SUMIF('SIGAF DIC 20'!$B$2:$B$849,$A213,'SIGAF DIC 20'!$H$2:$H$849)</f>
        <v>0</v>
      </c>
      <c r="F213" s="76">
        <f t="shared" si="0"/>
        <v>0</v>
      </c>
      <c r="G213" s="69">
        <f>SUMIF('SIGAF DIC 20'!$B$2:$B$849,$A213,'SIGAF DIC 20'!$I$2:$I$849)</f>
        <v>0</v>
      </c>
      <c r="H213" s="76">
        <f t="shared" si="1"/>
        <v>0</v>
      </c>
      <c r="I213" s="69">
        <f>SUMIF('SIGAF DIC 20'!$B$2:$B$849,$A213,'SIGAF DIC 20'!$J$2:$J$849)</f>
        <v>0</v>
      </c>
      <c r="J213" s="76">
        <f t="shared" si="2"/>
        <v>0</v>
      </c>
      <c r="K213" s="69">
        <f>SUMIF('SIGAF DIC 20'!$B$2:$B$849,$A213,'SIGAF DIC 20'!$K$2:$K$849)</f>
        <v>127164871.00999999</v>
      </c>
      <c r="L213" s="77">
        <f t="shared" si="3"/>
        <v>0.84469944076808268</v>
      </c>
      <c r="M213" s="69">
        <f>SUMIF('SIGAF DIC 20'!$B$2:$B$849,$A213,'SIGAF DIC 20'!$M$2:$M$849)</f>
        <v>124355239.00999999</v>
      </c>
      <c r="N213" s="76">
        <f t="shared" si="4"/>
        <v>0.82603631029569391</v>
      </c>
      <c r="O213" s="68">
        <f>SUMIF('SIGAF DIC 20'!$B$2:$B$849,$A213,'SIGAF DIC 20'!$O$2:$O$849)</f>
        <v>23379647.990000002</v>
      </c>
      <c r="P213" s="76">
        <f t="shared" si="5"/>
        <v>0.15530055923191732</v>
      </c>
      <c r="Q213" s="69">
        <f>SUMIF('SIGAF DIC 20'!$B$2:$B$849,$A213,'SIGAF DIC 20'!$Q$2:$Q$849)</f>
        <v>23379647.990000002</v>
      </c>
      <c r="R213" s="76">
        <f t="shared" si="6"/>
        <v>0.15530055923191732</v>
      </c>
    </row>
    <row r="214" spans="1:18" x14ac:dyDescent="0.25">
      <c r="A214" s="66" t="s">
        <v>282</v>
      </c>
      <c r="B214" s="66" t="s">
        <v>605</v>
      </c>
      <c r="C214" s="69">
        <f>SUMIF('SIGAF DIC 20'!$B$2:$B$849,$A214,'SIGAF DIC 20'!$F$2:$F$849)</f>
        <v>135500480</v>
      </c>
      <c r="D214" s="69">
        <f>SUMIF('SIGAF DIC 20'!$B$2:$B$849,$A214,'SIGAF DIC 20'!$G$2:$G$849)</f>
        <v>135500480</v>
      </c>
      <c r="E214" s="69">
        <f>SUMIF('SIGAF DIC 20'!$B$2:$B$849,$A214,'SIGAF DIC 20'!$H$2:$H$849)</f>
        <v>0</v>
      </c>
      <c r="F214" s="76">
        <f t="shared" si="0"/>
        <v>0</v>
      </c>
      <c r="G214" s="69">
        <f>SUMIF('SIGAF DIC 20'!$B$2:$B$849,$A214,'SIGAF DIC 20'!$I$2:$I$849)</f>
        <v>0</v>
      </c>
      <c r="H214" s="76">
        <f t="shared" si="1"/>
        <v>0</v>
      </c>
      <c r="I214" s="69">
        <f>SUMIF('SIGAF DIC 20'!$B$2:$B$849,$A214,'SIGAF DIC 20'!$J$2:$J$849)</f>
        <v>0</v>
      </c>
      <c r="J214" s="76">
        <f t="shared" si="2"/>
        <v>0</v>
      </c>
      <c r="K214" s="69">
        <f>SUMIF('SIGAF DIC 20'!$B$2:$B$849,$A214,'SIGAF DIC 20'!$K$2:$K$849)</f>
        <v>129193277.26000001</v>
      </c>
      <c r="L214" s="77">
        <f t="shared" si="3"/>
        <v>0.95345254319394301</v>
      </c>
      <c r="M214" s="69">
        <f>SUMIF('SIGAF DIC 20'!$B$2:$B$849,$A214,'SIGAF DIC 20'!$M$2:$M$849)</f>
        <v>114508799.21000001</v>
      </c>
      <c r="N214" s="76">
        <f t="shared" si="4"/>
        <v>0.84508039536096113</v>
      </c>
      <c r="O214" s="68">
        <f>SUMIF('SIGAF DIC 20'!$B$2:$B$849,$A214,'SIGAF DIC 20'!$O$2:$O$849)</f>
        <v>6307202.7400000002</v>
      </c>
      <c r="P214" s="76">
        <f t="shared" si="5"/>
        <v>4.6547456806057069E-2</v>
      </c>
      <c r="Q214" s="69">
        <f>SUMIF('SIGAF DIC 20'!$B$2:$B$849,$A214,'SIGAF DIC 20'!$Q$2:$Q$849)</f>
        <v>6307202.7400000002</v>
      </c>
      <c r="R214" s="76">
        <f t="shared" si="6"/>
        <v>4.6547456806057069E-2</v>
      </c>
    </row>
    <row r="215" spans="1:18" x14ac:dyDescent="0.25">
      <c r="A215" s="66" t="s">
        <v>326</v>
      </c>
      <c r="B215" s="66" t="s">
        <v>606</v>
      </c>
      <c r="C215" s="69">
        <f>SUMIF('SIGAF DIC 20'!$B$2:$B$849,$A215,'SIGAF DIC 20'!$F$2:$F$849)</f>
        <v>44040000</v>
      </c>
      <c r="D215" s="69">
        <f>SUMIF('SIGAF DIC 20'!$B$2:$B$849,$A215,'SIGAF DIC 20'!$G$2:$G$849)</f>
        <v>44040000</v>
      </c>
      <c r="E215" s="69">
        <f>SUMIF('SIGAF DIC 20'!$B$2:$B$849,$A215,'SIGAF DIC 20'!$H$2:$H$849)</f>
        <v>0</v>
      </c>
      <c r="F215" s="76">
        <f t="shared" si="0"/>
        <v>0</v>
      </c>
      <c r="G215" s="69">
        <f>SUMIF('SIGAF DIC 20'!$B$2:$B$849,$A215,'SIGAF DIC 20'!$I$2:$I$849)</f>
        <v>0</v>
      </c>
      <c r="H215" s="76">
        <f t="shared" si="1"/>
        <v>0</v>
      </c>
      <c r="I215" s="69">
        <f>SUMIF('SIGAF DIC 20'!$B$2:$B$849,$A215,'SIGAF DIC 20'!$J$2:$J$849)</f>
        <v>0</v>
      </c>
      <c r="J215" s="76">
        <f t="shared" si="2"/>
        <v>0</v>
      </c>
      <c r="K215" s="69">
        <f>SUMIF('SIGAF DIC 20'!$B$2:$B$849,$A215,'SIGAF DIC 20'!$K$2:$K$849)</f>
        <v>1943790.56</v>
      </c>
      <c r="L215" s="77">
        <f t="shared" si="3"/>
        <v>4.4136933696639423E-2</v>
      </c>
      <c r="M215" s="69">
        <f>SUMIF('SIGAF DIC 20'!$B$2:$B$849,$A215,'SIGAF DIC 20'!$M$2:$M$849)</f>
        <v>1943790.56</v>
      </c>
      <c r="N215" s="76">
        <f t="shared" si="4"/>
        <v>4.4136933696639423E-2</v>
      </c>
      <c r="O215" s="68">
        <f>SUMIF('SIGAF DIC 20'!$B$2:$B$849,$A215,'SIGAF DIC 20'!$O$2:$O$849)</f>
        <v>42096209.439999998</v>
      </c>
      <c r="P215" s="76">
        <f t="shared" si="5"/>
        <v>0.95586306630336049</v>
      </c>
      <c r="Q215" s="69">
        <f>SUMIF('SIGAF DIC 20'!$B$2:$B$849,$A215,'SIGAF DIC 20'!$Q$2:$Q$849)</f>
        <v>42096209.439999998</v>
      </c>
      <c r="R215" s="76">
        <f t="shared" si="6"/>
        <v>0.95586306630336049</v>
      </c>
    </row>
    <row r="216" spans="1:18" x14ac:dyDescent="0.25">
      <c r="A216" s="66" t="s">
        <v>240</v>
      </c>
      <c r="B216" s="66" t="s">
        <v>607</v>
      </c>
      <c r="C216" s="69">
        <f>SUMIF('SIGAF DIC 20'!$B$2:$B$849,$A216,'SIGAF DIC 20'!$F$2:$F$849)</f>
        <v>10710660</v>
      </c>
      <c r="D216" s="69">
        <f>SUMIF('SIGAF DIC 20'!$B$2:$B$849,$A216,'SIGAF DIC 20'!$G$2:$G$849)</f>
        <v>10710660</v>
      </c>
      <c r="E216" s="69">
        <f>SUMIF('SIGAF DIC 20'!$B$2:$B$849,$A216,'SIGAF DIC 20'!$H$2:$H$849)</f>
        <v>0</v>
      </c>
      <c r="F216" s="76">
        <f t="shared" si="0"/>
        <v>0</v>
      </c>
      <c r="G216" s="69">
        <f>SUMIF('SIGAF DIC 20'!$B$2:$B$849,$A216,'SIGAF DIC 20'!$I$2:$I$849)</f>
        <v>0</v>
      </c>
      <c r="H216" s="76">
        <f t="shared" si="1"/>
        <v>0</v>
      </c>
      <c r="I216" s="69">
        <f>SUMIF('SIGAF DIC 20'!$B$2:$B$849,$A216,'SIGAF DIC 20'!$J$2:$J$849)</f>
        <v>0</v>
      </c>
      <c r="J216" s="76">
        <f t="shared" si="2"/>
        <v>0</v>
      </c>
      <c r="K216" s="69">
        <f>SUMIF('SIGAF DIC 20'!$B$2:$B$849,$A216,'SIGAF DIC 20'!$K$2:$K$849)</f>
        <v>10129452.48</v>
      </c>
      <c r="L216" s="77">
        <f t="shared" si="3"/>
        <v>0.94573560172762472</v>
      </c>
      <c r="M216" s="69">
        <f>SUMIF('SIGAF DIC 20'!$B$2:$B$849,$A216,'SIGAF DIC 20'!$M$2:$M$849)</f>
        <v>5904156.4800000004</v>
      </c>
      <c r="N216" s="76">
        <f t="shared" si="4"/>
        <v>0.55124114480340147</v>
      </c>
      <c r="O216" s="68">
        <f>SUMIF('SIGAF DIC 20'!$B$2:$B$849,$A216,'SIGAF DIC 20'!$O$2:$O$849)</f>
        <v>581207.52</v>
      </c>
      <c r="P216" s="76">
        <f t="shared" si="5"/>
        <v>5.4264398272375371E-2</v>
      </c>
      <c r="Q216" s="69">
        <f>SUMIF('SIGAF DIC 20'!$B$2:$B$849,$A216,'SIGAF DIC 20'!$Q$2:$Q$849)</f>
        <v>581207.52</v>
      </c>
      <c r="R216" s="76">
        <f t="shared" si="6"/>
        <v>5.4264398272375371E-2</v>
      </c>
    </row>
    <row r="217" spans="1:18" x14ac:dyDescent="0.25">
      <c r="A217" s="66" t="s">
        <v>242</v>
      </c>
      <c r="B217" s="66" t="s">
        <v>608</v>
      </c>
      <c r="C217" s="69">
        <f>SUMIF('SIGAF DIC 20'!$B$2:$B$849,$A217,'SIGAF DIC 20'!$F$2:$F$849)</f>
        <v>907847350</v>
      </c>
      <c r="D217" s="69">
        <f>SUMIF('SIGAF DIC 20'!$B$2:$B$849,$A217,'SIGAF DIC 20'!$G$2:$G$849)</f>
        <v>907847350</v>
      </c>
      <c r="E217" s="69">
        <f>SUMIF('SIGAF DIC 20'!$B$2:$B$849,$A217,'SIGAF DIC 20'!$H$2:$H$849)</f>
        <v>0</v>
      </c>
      <c r="F217" s="76">
        <f t="shared" si="0"/>
        <v>0</v>
      </c>
      <c r="G217" s="69">
        <f>SUMIF('SIGAF DIC 20'!$B$2:$B$849,$A217,'SIGAF DIC 20'!$I$2:$I$849)</f>
        <v>36985993.640000001</v>
      </c>
      <c r="H217" s="76">
        <f t="shared" si="1"/>
        <v>4.0740322301981713E-2</v>
      </c>
      <c r="I217" s="69">
        <f>SUMIF('SIGAF DIC 20'!$B$2:$B$849,$A217,'SIGAF DIC 20'!$J$2:$J$849)</f>
        <v>0</v>
      </c>
      <c r="J217" s="76">
        <f t="shared" si="2"/>
        <v>0</v>
      </c>
      <c r="K217" s="69">
        <f>SUMIF('SIGAF DIC 20'!$B$2:$B$849,$A217,'SIGAF DIC 20'!$K$2:$K$849)</f>
        <v>642685438.73999989</v>
      </c>
      <c r="L217" s="77">
        <f t="shared" si="3"/>
        <v>0.70792236022939303</v>
      </c>
      <c r="M217" s="69">
        <f>SUMIF('SIGAF DIC 20'!$B$2:$B$849,$A217,'SIGAF DIC 20'!$M$2:$M$849)</f>
        <v>599783430.07999992</v>
      </c>
      <c r="N217" s="76">
        <f t="shared" si="4"/>
        <v>0.66066550734548046</v>
      </c>
      <c r="O217" s="68">
        <f>SUMIF('SIGAF DIC 20'!$B$2:$B$849,$A217,'SIGAF DIC 20'!$O$2:$O$849)</f>
        <v>228175917.62</v>
      </c>
      <c r="P217" s="76">
        <f t="shared" si="5"/>
        <v>0.25133731746862509</v>
      </c>
      <c r="Q217" s="69">
        <f>SUMIF('SIGAF DIC 20'!$B$2:$B$849,$A217,'SIGAF DIC 20'!$Q$2:$Q$849)</f>
        <v>228175917.62</v>
      </c>
      <c r="R217" s="76">
        <f t="shared" si="6"/>
        <v>0.25133731746862509</v>
      </c>
    </row>
    <row r="218" spans="1:18" x14ac:dyDescent="0.25">
      <c r="A218" s="66" t="s">
        <v>328</v>
      </c>
      <c r="B218" s="66" t="s">
        <v>609</v>
      </c>
      <c r="C218" s="69">
        <f>SUMIF('SIGAF DIC 20'!$B$2:$B$849,$A218,'SIGAF DIC 20'!$F$2:$F$849)</f>
        <v>124148000</v>
      </c>
      <c r="D218" s="69">
        <f>SUMIF('SIGAF DIC 20'!$B$2:$B$849,$A218,'SIGAF DIC 20'!$G$2:$G$849)</f>
        <v>124148000</v>
      </c>
      <c r="E218" s="69">
        <f>SUMIF('SIGAF DIC 20'!$B$2:$B$849,$A218,'SIGAF DIC 20'!$H$2:$H$849)</f>
        <v>0</v>
      </c>
      <c r="F218" s="76">
        <f t="shared" si="0"/>
        <v>0</v>
      </c>
      <c r="G218" s="69">
        <f>SUMIF('SIGAF DIC 20'!$B$2:$B$849,$A218,'SIGAF DIC 20'!$I$2:$I$849)</f>
        <v>77695620.25</v>
      </c>
      <c r="H218" s="76">
        <f t="shared" si="1"/>
        <v>0.62583062352998031</v>
      </c>
      <c r="I218" s="69">
        <f>SUMIF('SIGAF DIC 20'!$B$2:$B$849,$A218,'SIGAF DIC 20'!$J$2:$J$849)</f>
        <v>0</v>
      </c>
      <c r="J218" s="76">
        <f t="shared" si="2"/>
        <v>0</v>
      </c>
      <c r="K218" s="69">
        <f>SUMIF('SIGAF DIC 20'!$B$2:$B$849,$A218,'SIGAF DIC 20'!$K$2:$K$849)</f>
        <v>27861498.52</v>
      </c>
      <c r="L218" s="77">
        <f t="shared" si="3"/>
        <v>0.22442164609981635</v>
      </c>
      <c r="M218" s="69">
        <f>SUMIF('SIGAF DIC 20'!$B$2:$B$849,$A218,'SIGAF DIC 20'!$M$2:$M$849)</f>
        <v>27861498.52</v>
      </c>
      <c r="N218" s="76">
        <f t="shared" si="4"/>
        <v>0.22442164609981635</v>
      </c>
      <c r="O218" s="68">
        <f>SUMIF('SIGAF DIC 20'!$B$2:$B$849,$A218,'SIGAF DIC 20'!$O$2:$O$849)</f>
        <v>18590881.23</v>
      </c>
      <c r="P218" s="76">
        <f t="shared" si="5"/>
        <v>0.14974773037020331</v>
      </c>
      <c r="Q218" s="69">
        <f>SUMIF('SIGAF DIC 20'!$B$2:$B$849,$A218,'SIGAF DIC 20'!$Q$2:$Q$849)</f>
        <v>18590881.23</v>
      </c>
      <c r="R218" s="76">
        <f t="shared" si="6"/>
        <v>0.14974773037020331</v>
      </c>
    </row>
    <row r="219" spans="1:18" x14ac:dyDescent="0.25">
      <c r="A219" s="66" t="s">
        <v>330</v>
      </c>
      <c r="B219" s="66" t="s">
        <v>331</v>
      </c>
      <c r="C219" s="69">
        <f>SUMIF('SIGAF DIC 20'!$B$2:$B$849,$A219,'SIGAF DIC 20'!$F$2:$F$849)</f>
        <v>122800000</v>
      </c>
      <c r="D219" s="69">
        <f>SUMIF('SIGAF DIC 20'!$B$2:$B$849,$A219,'SIGAF DIC 20'!$G$2:$G$849)</f>
        <v>122800000</v>
      </c>
      <c r="E219" s="69">
        <f>SUMIF('SIGAF DIC 20'!$B$2:$B$849,$A219,'SIGAF DIC 20'!$H$2:$H$849)</f>
        <v>0</v>
      </c>
      <c r="F219" s="76">
        <f t="shared" si="0"/>
        <v>0</v>
      </c>
      <c r="G219" s="69">
        <f>SUMIF('SIGAF DIC 20'!$B$2:$B$849,$A219,'SIGAF DIC 20'!$I$2:$I$849)</f>
        <v>77695620.25</v>
      </c>
      <c r="H219" s="76">
        <f t="shared" si="1"/>
        <v>0.63270049063517919</v>
      </c>
      <c r="I219" s="69">
        <f>SUMIF('SIGAF DIC 20'!$B$2:$B$849,$A219,'SIGAF DIC 20'!$J$2:$J$849)</f>
        <v>0</v>
      </c>
      <c r="J219" s="76">
        <f t="shared" si="2"/>
        <v>0</v>
      </c>
      <c r="K219" s="69">
        <f>SUMIF('SIGAF DIC 20'!$B$2:$B$849,$A219,'SIGAF DIC 20'!$K$2:$K$849)</f>
        <v>27431430.34</v>
      </c>
      <c r="L219" s="77">
        <f t="shared" si="3"/>
        <v>0.22338298322475569</v>
      </c>
      <c r="M219" s="69">
        <f>SUMIF('SIGAF DIC 20'!$B$2:$B$849,$A219,'SIGAF DIC 20'!$M$2:$M$849)</f>
        <v>27431430.34</v>
      </c>
      <c r="N219" s="76">
        <f t="shared" si="4"/>
        <v>0.22338298322475569</v>
      </c>
      <c r="O219" s="68">
        <f>SUMIF('SIGAF DIC 20'!$B$2:$B$849,$A219,'SIGAF DIC 20'!$O$2:$O$849)</f>
        <v>17672949.41</v>
      </c>
      <c r="P219" s="76">
        <f t="shared" si="5"/>
        <v>0.14391652614006514</v>
      </c>
      <c r="Q219" s="69">
        <f>SUMIF('SIGAF DIC 20'!$B$2:$B$849,$A219,'SIGAF DIC 20'!$Q$2:$Q$849)</f>
        <v>17672949.41</v>
      </c>
      <c r="R219" s="76">
        <f t="shared" si="6"/>
        <v>0.14391652614006514</v>
      </c>
    </row>
    <row r="220" spans="1:18" x14ac:dyDescent="0.25">
      <c r="A220" s="66" t="s">
        <v>358</v>
      </c>
      <c r="B220" s="66" t="s">
        <v>359</v>
      </c>
      <c r="C220" s="69">
        <f>SUMIF('SIGAF DIC 20'!$B$2:$B$849,$A220,'SIGAF DIC 20'!$F$2:$F$849)</f>
        <v>1348000</v>
      </c>
      <c r="D220" s="69">
        <f>SUMIF('SIGAF DIC 20'!$B$2:$B$849,$A220,'SIGAF DIC 20'!$G$2:$G$849)</f>
        <v>1348000</v>
      </c>
      <c r="E220" s="69">
        <f>SUMIF('SIGAF DIC 20'!$B$2:$B$849,$A220,'SIGAF DIC 20'!$H$2:$H$849)</f>
        <v>0</v>
      </c>
      <c r="F220" s="76">
        <f t="shared" si="0"/>
        <v>0</v>
      </c>
      <c r="G220" s="69">
        <f>SUMIF('SIGAF DIC 20'!$B$2:$B$849,$A220,'SIGAF DIC 20'!$I$2:$I$849)</f>
        <v>0</v>
      </c>
      <c r="H220" s="76">
        <f t="shared" si="1"/>
        <v>0</v>
      </c>
      <c r="I220" s="69">
        <f>SUMIF('SIGAF DIC 20'!$B$2:$B$849,$A220,'SIGAF DIC 20'!$J$2:$J$849)</f>
        <v>0</v>
      </c>
      <c r="J220" s="76">
        <f t="shared" si="2"/>
        <v>0</v>
      </c>
      <c r="K220" s="69">
        <f>SUMIF('SIGAF DIC 20'!$B$2:$B$849,$A220,'SIGAF DIC 20'!$K$2:$K$849)</f>
        <v>430068.18</v>
      </c>
      <c r="L220" s="77">
        <f t="shared" si="3"/>
        <v>0.31904167655786347</v>
      </c>
      <c r="M220" s="69">
        <f>SUMIF('SIGAF DIC 20'!$B$2:$B$849,$A220,'SIGAF DIC 20'!$M$2:$M$849)</f>
        <v>430068.18</v>
      </c>
      <c r="N220" s="76">
        <f t="shared" si="4"/>
        <v>0.31904167655786347</v>
      </c>
      <c r="O220" s="68">
        <f>SUMIF('SIGAF DIC 20'!$B$2:$B$849,$A220,'SIGAF DIC 20'!$O$2:$O$849)</f>
        <v>917931.82</v>
      </c>
      <c r="P220" s="76">
        <f t="shared" si="5"/>
        <v>0.68095832344213647</v>
      </c>
      <c r="Q220" s="69">
        <f>SUMIF('SIGAF DIC 20'!$B$2:$B$849,$A220,'SIGAF DIC 20'!$Q$2:$Q$849)</f>
        <v>917931.82</v>
      </c>
      <c r="R220" s="76">
        <f t="shared" si="6"/>
        <v>0.68095832344213647</v>
      </c>
    </row>
    <row r="221" spans="1:18" x14ac:dyDescent="0.25">
      <c r="A221" s="66" t="s">
        <v>244</v>
      </c>
      <c r="B221" s="66" t="s">
        <v>610</v>
      </c>
      <c r="C221" s="69">
        <f>SUMIF('SIGAF DIC 20'!$B$2:$B$849,$A221,'SIGAF DIC 20'!$F$2:$F$849)</f>
        <v>560181400</v>
      </c>
      <c r="D221" s="69">
        <f>SUMIF('SIGAF DIC 20'!$B$2:$B$849,$A221,'SIGAF DIC 20'!$G$2:$G$849)</f>
        <v>560181400</v>
      </c>
      <c r="E221" s="69">
        <f>SUMIF('SIGAF DIC 20'!$B$2:$B$849,$A221,'SIGAF DIC 20'!$H$2:$H$849)</f>
        <v>0</v>
      </c>
      <c r="F221" s="76">
        <f t="shared" si="0"/>
        <v>0</v>
      </c>
      <c r="G221" s="69">
        <f>SUMIF('SIGAF DIC 20'!$B$2:$B$849,$A221,'SIGAF DIC 20'!$I$2:$I$849)</f>
        <v>26104.21</v>
      </c>
      <c r="H221" s="76">
        <f t="shared" si="1"/>
        <v>4.6599565783512271E-5</v>
      </c>
      <c r="I221" s="69">
        <f>SUMIF('SIGAF DIC 20'!$B$2:$B$849,$A221,'SIGAF DIC 20'!$J$2:$J$849)</f>
        <v>0</v>
      </c>
      <c r="J221" s="76">
        <f t="shared" si="2"/>
        <v>0</v>
      </c>
      <c r="K221" s="69">
        <f>SUMIF('SIGAF DIC 20'!$B$2:$B$849,$A221,'SIGAF DIC 20'!$K$2:$K$849)</f>
        <v>267853326.81</v>
      </c>
      <c r="L221" s="77">
        <f t="shared" si="3"/>
        <v>0.47815462421636989</v>
      </c>
      <c r="M221" s="69">
        <f>SUMIF('SIGAF DIC 20'!$B$2:$B$849,$A221,'SIGAF DIC 20'!$M$2:$M$849)</f>
        <v>222405633.72</v>
      </c>
      <c r="N221" s="76">
        <f t="shared" si="4"/>
        <v>0.3970243098396341</v>
      </c>
      <c r="O221" s="68">
        <f>SUMIF('SIGAF DIC 20'!$B$2:$B$849,$A221,'SIGAF DIC 20'!$O$2:$O$849)</f>
        <v>292301968.98000002</v>
      </c>
      <c r="P221" s="76">
        <f t="shared" si="5"/>
        <v>0.52179877621784665</v>
      </c>
      <c r="Q221" s="69">
        <f>SUMIF('SIGAF DIC 20'!$B$2:$B$849,$A221,'SIGAF DIC 20'!$Q$2:$Q$849)</f>
        <v>292301968.98000002</v>
      </c>
      <c r="R221" s="76">
        <f t="shared" si="6"/>
        <v>0.52179877621784665</v>
      </c>
    </row>
    <row r="222" spans="1:18" x14ac:dyDescent="0.25">
      <c r="A222" s="66" t="s">
        <v>611</v>
      </c>
      <c r="B222" s="66" t="s">
        <v>612</v>
      </c>
      <c r="C222" s="69">
        <f>SUMIF('SIGAF DIC 20'!$B$2:$B$849,$A222,'SIGAF DIC 20'!$F$2:$F$849)</f>
        <v>8892000</v>
      </c>
      <c r="D222" s="69">
        <f>SUMIF('SIGAF DIC 20'!$B$2:$B$849,$A222,'SIGAF DIC 20'!$G$2:$G$849)</f>
        <v>8892000</v>
      </c>
      <c r="E222" s="69">
        <f>SUMIF('SIGAF DIC 20'!$B$2:$B$849,$A222,'SIGAF DIC 20'!$H$2:$H$849)</f>
        <v>0</v>
      </c>
      <c r="F222" s="76">
        <f t="shared" si="0"/>
        <v>0</v>
      </c>
      <c r="G222" s="69">
        <f>SUMIF('SIGAF DIC 20'!$B$2:$B$849,$A222,'SIGAF DIC 20'!$I$2:$I$849)</f>
        <v>0</v>
      </c>
      <c r="H222" s="76">
        <f t="shared" si="1"/>
        <v>0</v>
      </c>
      <c r="I222" s="69">
        <f>SUMIF('SIGAF DIC 20'!$B$2:$B$849,$A222,'SIGAF DIC 20'!$J$2:$J$849)</f>
        <v>0</v>
      </c>
      <c r="J222" s="76">
        <f t="shared" si="2"/>
        <v>0</v>
      </c>
      <c r="K222" s="69">
        <f>SUMIF('SIGAF DIC 20'!$B$2:$B$849,$A222,'SIGAF DIC 20'!$K$2:$K$849)</f>
        <v>8875000</v>
      </c>
      <c r="L222" s="77">
        <f t="shared" si="3"/>
        <v>0.99808816914080067</v>
      </c>
      <c r="M222" s="69">
        <f>SUMIF('SIGAF DIC 20'!$B$2:$B$849,$A222,'SIGAF DIC 20'!$M$2:$M$849)</f>
        <v>8875000</v>
      </c>
      <c r="N222" s="76">
        <f t="shared" si="4"/>
        <v>0.99808816914080067</v>
      </c>
      <c r="O222" s="68">
        <f>SUMIF('SIGAF DIC 20'!$B$2:$B$849,$A222,'SIGAF DIC 20'!$O$2:$O$849)</f>
        <v>17000</v>
      </c>
      <c r="P222" s="76">
        <f t="shared" si="5"/>
        <v>1.9118308591992803E-3</v>
      </c>
      <c r="Q222" s="69">
        <f>SUMIF('SIGAF DIC 20'!$B$2:$B$849,$A222,'SIGAF DIC 20'!$Q$2:$Q$849)</f>
        <v>17000</v>
      </c>
      <c r="R222" s="76">
        <f t="shared" si="6"/>
        <v>1.9118308591992803E-3</v>
      </c>
    </row>
    <row r="223" spans="1:18" x14ac:dyDescent="0.25">
      <c r="A223" s="66" t="s">
        <v>246</v>
      </c>
      <c r="B223" s="66" t="s">
        <v>247</v>
      </c>
      <c r="C223" s="69">
        <f>SUMIF('SIGAF DIC 20'!$B$2:$B$849,$A223,'SIGAF DIC 20'!$F$2:$F$849)</f>
        <v>551289400</v>
      </c>
      <c r="D223" s="69">
        <f>SUMIF('SIGAF DIC 20'!$B$2:$B$849,$A223,'SIGAF DIC 20'!$G$2:$G$849)</f>
        <v>551289400</v>
      </c>
      <c r="E223" s="69">
        <f>SUMIF('SIGAF DIC 20'!$B$2:$B$849,$A223,'SIGAF DIC 20'!$H$2:$H$849)</f>
        <v>0</v>
      </c>
      <c r="F223" s="76">
        <f t="shared" si="0"/>
        <v>0</v>
      </c>
      <c r="G223" s="69">
        <f>SUMIF('SIGAF DIC 20'!$B$2:$B$849,$A223,'SIGAF DIC 20'!$I$2:$I$849)</f>
        <v>26104.21</v>
      </c>
      <c r="H223" s="76">
        <f t="shared" si="1"/>
        <v>4.7351191588301899E-5</v>
      </c>
      <c r="I223" s="69">
        <f>SUMIF('SIGAF DIC 20'!$B$2:$B$849,$A223,'SIGAF DIC 20'!$J$2:$J$849)</f>
        <v>0</v>
      </c>
      <c r="J223" s="76">
        <f t="shared" si="2"/>
        <v>0</v>
      </c>
      <c r="K223" s="69">
        <f>SUMIF('SIGAF DIC 20'!$B$2:$B$849,$A223,'SIGAF DIC 20'!$K$2:$K$849)</f>
        <v>258978326.81</v>
      </c>
      <c r="L223" s="77">
        <f t="shared" si="3"/>
        <v>0.46976837720805081</v>
      </c>
      <c r="M223" s="69">
        <f>SUMIF('SIGAF DIC 20'!$B$2:$B$849,$A223,'SIGAF DIC 20'!$M$2:$M$849)</f>
        <v>213530633.72</v>
      </c>
      <c r="N223" s="76">
        <f t="shared" si="4"/>
        <v>0.38732947471872303</v>
      </c>
      <c r="O223" s="68">
        <f>SUMIF('SIGAF DIC 20'!$B$2:$B$849,$A223,'SIGAF DIC 20'!$O$2:$O$849)</f>
        <v>292284968.98000002</v>
      </c>
      <c r="P223" s="76">
        <f t="shared" si="5"/>
        <v>0.53018427160036097</v>
      </c>
      <c r="Q223" s="69">
        <f>SUMIF('SIGAF DIC 20'!$B$2:$B$849,$A223,'SIGAF DIC 20'!$Q$2:$Q$849)</f>
        <v>292284968.98000002</v>
      </c>
      <c r="R223" s="76">
        <f t="shared" si="6"/>
        <v>0.53018427160036097</v>
      </c>
    </row>
    <row r="224" spans="1:18" s="89" customFormat="1" x14ac:dyDescent="0.25">
      <c r="A224" s="85" t="s">
        <v>248</v>
      </c>
      <c r="B224" s="85" t="s">
        <v>613</v>
      </c>
      <c r="C224" s="86">
        <f>+C225+C260+C262+C265+C268</f>
        <v>15226061857.5</v>
      </c>
      <c r="D224" s="86">
        <f>+D225+D260+D262+D265+D268</f>
        <v>15226061857.5</v>
      </c>
      <c r="E224" s="86">
        <f>+E225+E260+E262+E265+E268</f>
        <v>0</v>
      </c>
      <c r="F224" s="87">
        <f t="shared" si="0"/>
        <v>0</v>
      </c>
      <c r="G224" s="86">
        <f>+G225+G260+G262+G265+G268</f>
        <v>202182548.19999999</v>
      </c>
      <c r="H224" s="87">
        <f t="shared" si="1"/>
        <v>1.3278715802695207E-2</v>
      </c>
      <c r="I224" s="86">
        <f>+I225+I260+I262+I265+I268</f>
        <v>0</v>
      </c>
      <c r="J224" s="87">
        <f t="shared" si="2"/>
        <v>0</v>
      </c>
      <c r="K224" s="86">
        <f>+K225+K260+K262+K265+K268</f>
        <v>14044527566.980001</v>
      </c>
      <c r="L224" s="88">
        <f t="shared" si="3"/>
        <v>0.92240053261454458</v>
      </c>
      <c r="M224" s="86">
        <f>+M225+M260+M262+M265+M268</f>
        <v>14044527566.980001</v>
      </c>
      <c r="N224" s="87">
        <f t="shared" si="4"/>
        <v>0.92240053261454458</v>
      </c>
      <c r="O224" s="86">
        <f>+O225+O260+O262+O265+O268</f>
        <v>979351742.32000005</v>
      </c>
      <c r="P224" s="87">
        <f t="shared" si="5"/>
        <v>6.4320751582760349E-2</v>
      </c>
      <c r="Q224" s="86">
        <f>+Q225+Q260+Q262+Q265+Q268</f>
        <v>979351742.32000005</v>
      </c>
      <c r="R224" s="87">
        <f t="shared" si="6"/>
        <v>6.4320751582760349E-2</v>
      </c>
    </row>
    <row r="225" spans="1:18" x14ac:dyDescent="0.25">
      <c r="A225" s="66" t="s">
        <v>250</v>
      </c>
      <c r="B225" s="66" t="s">
        <v>614</v>
      </c>
      <c r="C225" s="69">
        <f>SUMIF('SIGAF DIC 20'!$B$2:$B$849,$A225,'SIGAF DIC 20'!$F$2:$F$849)</f>
        <v>11928087754</v>
      </c>
      <c r="D225" s="69">
        <f>SUMIF('SIGAF DIC 20'!$B$2:$B$849,$A225,'SIGAF DIC 20'!$G$2:$G$849)</f>
        <v>11928087754</v>
      </c>
      <c r="E225" s="69">
        <f>SUMIF('SIGAF DIC 20'!$B$2:$B$849,$A225,'SIGAF DIC 20'!$H$2:$H$849)</f>
        <v>0</v>
      </c>
      <c r="F225" s="76">
        <f t="shared" si="0"/>
        <v>0</v>
      </c>
      <c r="G225" s="69">
        <f>SUMIF('SIGAF DIC 20'!$B$2:$B$849,$A225,'SIGAF DIC 20'!$I$2:$I$849)</f>
        <v>0</v>
      </c>
      <c r="H225" s="76">
        <f t="shared" si="1"/>
        <v>0</v>
      </c>
      <c r="I225" s="69">
        <f>SUMIF('SIGAF DIC 20'!$B$2:$B$849,$A225,'SIGAF DIC 20'!$J$2:$J$849)</f>
        <v>0</v>
      </c>
      <c r="J225" s="76">
        <f t="shared" si="2"/>
        <v>0</v>
      </c>
      <c r="K225" s="69">
        <f>SUMIF('SIGAF DIC 20'!$B$2:$B$849,$A225,'SIGAF DIC 20'!$K$2:$K$849)</f>
        <v>11442966464.09</v>
      </c>
      <c r="L225" s="77">
        <f t="shared" si="3"/>
        <v>0.95932950025897334</v>
      </c>
      <c r="M225" s="69">
        <f>SUMIF('SIGAF DIC 20'!$B$2:$B$849,$A225,'SIGAF DIC 20'!$M$2:$M$849)</f>
        <v>11442966464.09</v>
      </c>
      <c r="N225" s="76">
        <f t="shared" si="4"/>
        <v>0.95932950025897334</v>
      </c>
      <c r="O225" s="68">
        <f>SUMIF('SIGAF DIC 20'!$B$2:$B$849,$A225,'SIGAF DIC 20'!$O$2:$O$849)</f>
        <v>485121289.91000003</v>
      </c>
      <c r="P225" s="76">
        <f t="shared" si="5"/>
        <v>4.0670499741026642E-2</v>
      </c>
      <c r="Q225" s="69">
        <f>SUMIF('SIGAF DIC 20'!$B$2:$B$849,$A225,'SIGAF DIC 20'!$Q$2:$Q$849)</f>
        <v>485121289.91000003</v>
      </c>
      <c r="R225" s="76">
        <f t="shared" si="6"/>
        <v>4.0670499741026642E-2</v>
      </c>
    </row>
    <row r="226" spans="1:18" s="82" customFormat="1" x14ac:dyDescent="0.25">
      <c r="A226" s="78" t="s">
        <v>615</v>
      </c>
      <c r="B226" s="78" t="s">
        <v>616</v>
      </c>
      <c r="C226" s="79">
        <f>SUM(C227:C229)</f>
        <v>303500000</v>
      </c>
      <c r="D226" s="79">
        <f>SUM(D227:D229)</f>
        <v>303500000</v>
      </c>
      <c r="E226" s="79">
        <f>SUM(E227:E229)</f>
        <v>0</v>
      </c>
      <c r="F226" s="80">
        <f t="shared" si="0"/>
        <v>0</v>
      </c>
      <c r="G226" s="79">
        <f>SUM(G227:G229)</f>
        <v>0</v>
      </c>
      <c r="H226" s="80">
        <f t="shared" si="1"/>
        <v>0</v>
      </c>
      <c r="I226" s="79">
        <f>SUM(I227:I229)</f>
        <v>0</v>
      </c>
      <c r="J226" s="80">
        <f t="shared" si="2"/>
        <v>0</v>
      </c>
      <c r="K226" s="79">
        <f>SUM(K227:K229)</f>
        <v>283509137.94</v>
      </c>
      <c r="L226" s="81">
        <f t="shared" si="3"/>
        <v>0.93413225021416801</v>
      </c>
      <c r="M226" s="79">
        <f>SUM(M227:M229)</f>
        <v>283509137.94</v>
      </c>
      <c r="N226" s="80">
        <f t="shared" si="4"/>
        <v>0.93413225021416801</v>
      </c>
      <c r="O226" s="79">
        <f>SUM(O227:O229)</f>
        <v>19990862.059999999</v>
      </c>
      <c r="P226" s="80">
        <f t="shared" si="5"/>
        <v>6.5867749785831958E-2</v>
      </c>
      <c r="Q226" s="79">
        <f>SUM(Q227:Q229)</f>
        <v>19990862.059999999</v>
      </c>
      <c r="R226" s="80">
        <f t="shared" si="6"/>
        <v>6.5867749785831958E-2</v>
      </c>
    </row>
    <row r="227" spans="1:18" x14ac:dyDescent="0.25">
      <c r="A227" s="66" t="s">
        <v>617</v>
      </c>
      <c r="B227" s="66" t="s">
        <v>618</v>
      </c>
      <c r="C227" s="69">
        <f>SUMIF('SIGAF DIC 20'!$B$2:$B$849,$A227,'SIGAF DIC 20'!$F$2:$F$849)</f>
        <v>2000000</v>
      </c>
      <c r="D227" s="69">
        <f>SUMIF('SIGAF DIC 20'!$B$2:$B$849,$A227,'SIGAF DIC 20'!$G$2:$G$849)</f>
        <v>2000000</v>
      </c>
      <c r="E227" s="69">
        <f>SUMIF('SIGAF DIC 20'!$B$2:$B$849,$A227,'SIGAF DIC 20'!$H$2:$H$849)</f>
        <v>0</v>
      </c>
      <c r="F227" s="76">
        <f t="shared" si="0"/>
        <v>0</v>
      </c>
      <c r="G227" s="69">
        <f>SUMIF('SIGAF DIC 20'!$B$2:$B$849,$A227,'SIGAF DIC 20'!$I$2:$I$849)</f>
        <v>0</v>
      </c>
      <c r="H227" s="76">
        <f t="shared" si="1"/>
        <v>0</v>
      </c>
      <c r="I227" s="69">
        <f>SUMIF('SIGAF DIC 20'!$B$2:$B$849,$A227,'SIGAF DIC 20'!$J$2:$J$849)</f>
        <v>0</v>
      </c>
      <c r="J227" s="76">
        <f t="shared" si="2"/>
        <v>0</v>
      </c>
      <c r="K227" s="69">
        <f>SUMIF('SIGAF DIC 20'!$B$2:$B$849,$A227,'SIGAF DIC 20'!$K$2:$K$849)</f>
        <v>2000000</v>
      </c>
      <c r="L227" s="77">
        <f t="shared" si="3"/>
        <v>1</v>
      </c>
      <c r="M227" s="69">
        <f>SUMIF('SIGAF DIC 20'!$B$2:$B$849,$A227,'SIGAF DIC 20'!$M$2:$M$849)</f>
        <v>2000000</v>
      </c>
      <c r="N227" s="76">
        <f t="shared" si="4"/>
        <v>1</v>
      </c>
      <c r="O227" s="68">
        <f>SUMIF('SIGAF DIC 20'!$B$2:$B$849,$A227,'SIGAF DIC 20'!$O$2:$O$849)</f>
        <v>0</v>
      </c>
      <c r="P227" s="76">
        <f t="shared" si="5"/>
        <v>0</v>
      </c>
      <c r="Q227" s="69">
        <f>SUMIF('SIGAF DIC 20'!$B$2:$B$849,$A227,'SIGAF DIC 20'!$Q$2:$Q$849)</f>
        <v>0</v>
      </c>
      <c r="R227" s="76">
        <f t="shared" si="6"/>
        <v>0</v>
      </c>
    </row>
    <row r="228" spans="1:18" x14ac:dyDescent="0.25">
      <c r="A228" s="66" t="s">
        <v>619</v>
      </c>
      <c r="B228" s="66" t="s">
        <v>620</v>
      </c>
      <c r="C228" s="69">
        <f>SUMIF('SIGAF DIC 20'!$B$2:$B$849,$A228,'SIGAF DIC 20'!$F$2:$F$849)</f>
        <v>257500000</v>
      </c>
      <c r="D228" s="69">
        <f>SUMIF('SIGAF DIC 20'!$B$2:$B$849,$A228,'SIGAF DIC 20'!$G$2:$G$849)</f>
        <v>257500000</v>
      </c>
      <c r="E228" s="69">
        <f>SUMIF('SIGAF DIC 20'!$B$2:$B$849,$A228,'SIGAF DIC 20'!$H$2:$H$849)</f>
        <v>0</v>
      </c>
      <c r="F228" s="76">
        <f t="shared" si="0"/>
        <v>0</v>
      </c>
      <c r="G228" s="69">
        <f>SUMIF('SIGAF DIC 20'!$B$2:$B$849,$A228,'SIGAF DIC 20'!$I$2:$I$849)</f>
        <v>0</v>
      </c>
      <c r="H228" s="76">
        <f t="shared" si="1"/>
        <v>0</v>
      </c>
      <c r="I228" s="69">
        <f>SUMIF('SIGAF DIC 20'!$B$2:$B$849,$A228,'SIGAF DIC 20'!$J$2:$J$849)</f>
        <v>0</v>
      </c>
      <c r="J228" s="76">
        <f t="shared" si="2"/>
        <v>0</v>
      </c>
      <c r="K228" s="69">
        <f>SUMIF('SIGAF DIC 20'!$B$2:$B$849,$A228,'SIGAF DIC 20'!$K$2:$K$849)</f>
        <v>256509137.94</v>
      </c>
      <c r="L228" s="77">
        <f t="shared" si="3"/>
        <v>0.99615199200000004</v>
      </c>
      <c r="M228" s="69">
        <f>SUMIF('SIGAF DIC 20'!$B$2:$B$849,$A228,'SIGAF DIC 20'!$M$2:$M$849)</f>
        <v>256509137.94</v>
      </c>
      <c r="N228" s="76">
        <f t="shared" si="4"/>
        <v>0.99615199200000004</v>
      </c>
      <c r="O228" s="68">
        <f>SUMIF('SIGAF DIC 20'!$B$2:$B$849,$A228,'SIGAF DIC 20'!$O$2:$O$849)</f>
        <v>990862.06</v>
      </c>
      <c r="P228" s="76">
        <f t="shared" si="5"/>
        <v>3.8480080000000004E-3</v>
      </c>
      <c r="Q228" s="69">
        <f>SUMIF('SIGAF DIC 20'!$B$2:$B$849,$A228,'SIGAF DIC 20'!$Q$2:$Q$849)</f>
        <v>990862.06</v>
      </c>
      <c r="R228" s="76">
        <f t="shared" si="6"/>
        <v>3.8480080000000004E-3</v>
      </c>
    </row>
    <row r="229" spans="1:18" x14ac:dyDescent="0.25">
      <c r="A229" s="66" t="s">
        <v>621</v>
      </c>
      <c r="B229" s="66" t="s">
        <v>622</v>
      </c>
      <c r="C229" s="69">
        <f>SUMIF('SIGAF DIC 20'!$B$2:$B$849,$A229,'SIGAF DIC 20'!$F$2:$F$849)</f>
        <v>44000000</v>
      </c>
      <c r="D229" s="69">
        <f>SUMIF('SIGAF DIC 20'!$B$2:$B$849,$A229,'SIGAF DIC 20'!$G$2:$G$849)</f>
        <v>44000000</v>
      </c>
      <c r="E229" s="69">
        <f>SUMIF('SIGAF DIC 20'!$B$2:$B$849,$A229,'SIGAF DIC 20'!$H$2:$H$849)</f>
        <v>0</v>
      </c>
      <c r="F229" s="76">
        <f t="shared" si="0"/>
        <v>0</v>
      </c>
      <c r="G229" s="69">
        <f>SUMIF('SIGAF DIC 20'!$B$2:$B$849,$A229,'SIGAF DIC 20'!$I$2:$I$849)</f>
        <v>0</v>
      </c>
      <c r="H229" s="76">
        <f t="shared" si="1"/>
        <v>0</v>
      </c>
      <c r="I229" s="69">
        <f>SUMIF('SIGAF DIC 20'!$B$2:$B$849,$A229,'SIGAF DIC 20'!$J$2:$J$849)</f>
        <v>0</v>
      </c>
      <c r="J229" s="76">
        <f t="shared" si="2"/>
        <v>0</v>
      </c>
      <c r="K229" s="69">
        <f>SUMIF('SIGAF DIC 20'!$B$2:$B$849,$A229,'SIGAF DIC 20'!$K$2:$K$849)</f>
        <v>25000000</v>
      </c>
      <c r="L229" s="77">
        <f t="shared" si="3"/>
        <v>0.56818181818181823</v>
      </c>
      <c r="M229" s="69">
        <f>SUMIF('SIGAF DIC 20'!$B$2:$B$849,$A229,'SIGAF DIC 20'!$M$2:$M$849)</f>
        <v>25000000</v>
      </c>
      <c r="N229" s="76">
        <f t="shared" si="4"/>
        <v>0.56818181818181823</v>
      </c>
      <c r="O229" s="68">
        <f>SUMIF('SIGAF DIC 20'!$B$2:$B$849,$A229,'SIGAF DIC 20'!$O$2:$O$849)</f>
        <v>19000000</v>
      </c>
      <c r="P229" s="76">
        <f t="shared" si="5"/>
        <v>0.43181818181818182</v>
      </c>
      <c r="Q229" s="69">
        <f>SUMIF('SIGAF DIC 20'!$B$2:$B$849,$A229,'SIGAF DIC 20'!$Q$2:$Q$849)</f>
        <v>19000000</v>
      </c>
      <c r="R229" s="76">
        <f t="shared" si="6"/>
        <v>0.43181818181818182</v>
      </c>
    </row>
    <row r="230" spans="1:18" s="82" customFormat="1" x14ac:dyDescent="0.25">
      <c r="A230" s="78" t="s">
        <v>623</v>
      </c>
      <c r="B230" s="78" t="s">
        <v>624</v>
      </c>
      <c r="C230" s="79">
        <f>SUM(C231:C259)</f>
        <v>11624587754</v>
      </c>
      <c r="D230" s="79">
        <f>SUM(D231:D259)</f>
        <v>11624587754</v>
      </c>
      <c r="E230" s="79">
        <f>SUM(E231:E259)</f>
        <v>0</v>
      </c>
      <c r="F230" s="80">
        <f t="shared" si="0"/>
        <v>0</v>
      </c>
      <c r="G230" s="79">
        <f>SUM(G231:G259)</f>
        <v>0</v>
      </c>
      <c r="H230" s="80">
        <f t="shared" si="1"/>
        <v>0</v>
      </c>
      <c r="I230" s="79">
        <f>SUM(I231:I259)</f>
        <v>0</v>
      </c>
      <c r="J230" s="80">
        <f t="shared" si="2"/>
        <v>0</v>
      </c>
      <c r="K230" s="79">
        <f>SUM(K231:K259)</f>
        <v>11159457326.15</v>
      </c>
      <c r="L230" s="81">
        <f t="shared" si="3"/>
        <v>0.95998736147095198</v>
      </c>
      <c r="M230" s="79">
        <f>SUM(M231:M259)</f>
        <v>11159457326.15</v>
      </c>
      <c r="N230" s="80">
        <f t="shared" si="4"/>
        <v>0.95998736147095198</v>
      </c>
      <c r="O230" s="79">
        <f>SUM(O231:O259)</f>
        <v>465130427.85000002</v>
      </c>
      <c r="P230" s="80">
        <f t="shared" si="5"/>
        <v>4.0012638529048003E-2</v>
      </c>
      <c r="Q230" s="79">
        <f>SUM(Q231:Q259)</f>
        <v>465130427.85000002</v>
      </c>
      <c r="R230" s="80">
        <f t="shared" si="6"/>
        <v>4.0012638529048003E-2</v>
      </c>
    </row>
    <row r="231" spans="1:18" x14ac:dyDescent="0.25">
      <c r="A231" s="66" t="s">
        <v>625</v>
      </c>
      <c r="B231" s="66" t="s">
        <v>626</v>
      </c>
      <c r="C231" s="69">
        <f>SUMIF('SIGAF DIC 20'!$B$2:$B$849,$A231,'SIGAF DIC 20'!$F$2:$F$849)</f>
        <v>19365163</v>
      </c>
      <c r="D231" s="69">
        <f>SUMIF('SIGAF DIC 20'!$B$2:$B$849,$A231,'SIGAF DIC 20'!$G$2:$G$849)</f>
        <v>19365163</v>
      </c>
      <c r="E231" s="69">
        <f>SUMIF('SIGAF DIC 20'!$B$2:$B$849,$A231,'SIGAF DIC 20'!$H$2:$H$849)</f>
        <v>0</v>
      </c>
      <c r="F231" s="76">
        <f t="shared" si="0"/>
        <v>0</v>
      </c>
      <c r="G231" s="69">
        <f>SUMIF('SIGAF DIC 20'!$B$2:$B$849,$A231,'SIGAF DIC 20'!$I$2:$I$849)</f>
        <v>0</v>
      </c>
      <c r="H231" s="76">
        <f t="shared" si="1"/>
        <v>0</v>
      </c>
      <c r="I231" s="69">
        <f>SUMIF('SIGAF DIC 20'!$B$2:$B$849,$A231,'SIGAF DIC 20'!$J$2:$J$849)</f>
        <v>0</v>
      </c>
      <c r="J231" s="76">
        <f t="shared" si="2"/>
        <v>0</v>
      </c>
      <c r="K231" s="69">
        <f>SUMIF('SIGAF DIC 20'!$B$2:$B$849,$A231,'SIGAF DIC 20'!$K$2:$K$849)</f>
        <v>15353408</v>
      </c>
      <c r="L231" s="77">
        <f t="shared" si="3"/>
        <v>0.79283649716762006</v>
      </c>
      <c r="M231" s="69">
        <f>SUMIF('SIGAF DIC 20'!$B$2:$B$849,$A231,'SIGAF DIC 20'!$M$2:$M$849)</f>
        <v>15353408</v>
      </c>
      <c r="N231" s="76">
        <f t="shared" si="4"/>
        <v>0.79283649716762006</v>
      </c>
      <c r="O231" s="68">
        <f>SUMIF('SIGAF DIC 20'!$B$2:$B$849,$A231,'SIGAF DIC 20'!$O$2:$O$849)</f>
        <v>4011755</v>
      </c>
      <c r="P231" s="76">
        <f t="shared" si="5"/>
        <v>0.20716350283237997</v>
      </c>
      <c r="Q231" s="69">
        <f>SUMIF('SIGAF DIC 20'!$B$2:$B$849,$A231,'SIGAF DIC 20'!$Q$2:$Q$849)</f>
        <v>4011755</v>
      </c>
      <c r="R231" s="76">
        <f t="shared" si="6"/>
        <v>0.20716350283237997</v>
      </c>
    </row>
    <row r="232" spans="1:18" x14ac:dyDescent="0.25">
      <c r="A232" s="66" t="s">
        <v>627</v>
      </c>
      <c r="B232" s="66" t="s">
        <v>626</v>
      </c>
      <c r="C232" s="69">
        <f>SUMIF('SIGAF DIC 20'!$B$2:$B$849,$A232,'SIGAF DIC 20'!$F$2:$F$849)</f>
        <v>30513436</v>
      </c>
      <c r="D232" s="69">
        <f>SUMIF('SIGAF DIC 20'!$B$2:$B$849,$A232,'SIGAF DIC 20'!$G$2:$G$849)</f>
        <v>30513436</v>
      </c>
      <c r="E232" s="69">
        <f>SUMIF('SIGAF DIC 20'!$B$2:$B$849,$A232,'SIGAF DIC 20'!$H$2:$H$849)</f>
        <v>0</v>
      </c>
      <c r="F232" s="76">
        <f t="shared" si="0"/>
        <v>0</v>
      </c>
      <c r="G232" s="69">
        <f>SUMIF('SIGAF DIC 20'!$B$2:$B$849,$A232,'SIGAF DIC 20'!$I$2:$I$849)</f>
        <v>0</v>
      </c>
      <c r="H232" s="76">
        <f t="shared" si="1"/>
        <v>0</v>
      </c>
      <c r="I232" s="69">
        <f>SUMIF('SIGAF DIC 20'!$B$2:$B$849,$A232,'SIGAF DIC 20'!$J$2:$J$849)</f>
        <v>0</v>
      </c>
      <c r="J232" s="76">
        <f t="shared" si="2"/>
        <v>0</v>
      </c>
      <c r="K232" s="69">
        <f>SUMIF('SIGAF DIC 20'!$B$2:$B$849,$A232,'SIGAF DIC 20'!$K$2:$K$849)</f>
        <v>27174665</v>
      </c>
      <c r="L232" s="77">
        <f t="shared" si="3"/>
        <v>0.89058030042896508</v>
      </c>
      <c r="M232" s="69">
        <f>SUMIF('SIGAF DIC 20'!$B$2:$B$849,$A232,'SIGAF DIC 20'!$M$2:$M$849)</f>
        <v>27174665</v>
      </c>
      <c r="N232" s="76">
        <f t="shared" si="4"/>
        <v>0.89058030042896508</v>
      </c>
      <c r="O232" s="68">
        <f>SUMIF('SIGAF DIC 20'!$B$2:$B$849,$A232,'SIGAF DIC 20'!$O$2:$O$849)</f>
        <v>3338771</v>
      </c>
      <c r="P232" s="76">
        <f t="shared" si="5"/>
        <v>0.10941969957103487</v>
      </c>
      <c r="Q232" s="69">
        <f>SUMIF('SIGAF DIC 20'!$B$2:$B$849,$A232,'SIGAF DIC 20'!$Q$2:$Q$849)</f>
        <v>3338771</v>
      </c>
      <c r="R232" s="76">
        <f t="shared" si="6"/>
        <v>0.10941969957103487</v>
      </c>
    </row>
    <row r="233" spans="1:18" x14ac:dyDescent="0.25">
      <c r="A233" s="66" t="s">
        <v>628</v>
      </c>
      <c r="B233" s="66" t="s">
        <v>626</v>
      </c>
      <c r="C233" s="69">
        <f>SUMIF('SIGAF DIC 20'!$B$2:$B$849,$A233,'SIGAF DIC 20'!$F$2:$F$849)</f>
        <v>14256172</v>
      </c>
      <c r="D233" s="69">
        <f>SUMIF('SIGAF DIC 20'!$B$2:$B$849,$A233,'SIGAF DIC 20'!$G$2:$G$849)</f>
        <v>14256172</v>
      </c>
      <c r="E233" s="69">
        <f>SUMIF('SIGAF DIC 20'!$B$2:$B$849,$A233,'SIGAF DIC 20'!$H$2:$H$849)</f>
        <v>0</v>
      </c>
      <c r="F233" s="76">
        <f t="shared" si="0"/>
        <v>0</v>
      </c>
      <c r="G233" s="69">
        <f>SUMIF('SIGAF DIC 20'!$B$2:$B$849,$A233,'SIGAF DIC 20'!$I$2:$I$849)</f>
        <v>0</v>
      </c>
      <c r="H233" s="76">
        <f t="shared" si="1"/>
        <v>0</v>
      </c>
      <c r="I233" s="69">
        <f>SUMIF('SIGAF DIC 20'!$B$2:$B$849,$A233,'SIGAF DIC 20'!$J$2:$J$849)</f>
        <v>0</v>
      </c>
      <c r="J233" s="76">
        <f t="shared" si="2"/>
        <v>0</v>
      </c>
      <c r="K233" s="69">
        <f>SUMIF('SIGAF DIC 20'!$B$2:$B$849,$A233,'SIGAF DIC 20'!$K$2:$K$849)</f>
        <v>12188462</v>
      </c>
      <c r="L233" s="77">
        <f t="shared" si="3"/>
        <v>0.8549603638339941</v>
      </c>
      <c r="M233" s="69">
        <f>SUMIF('SIGAF DIC 20'!$B$2:$B$849,$A233,'SIGAF DIC 20'!$M$2:$M$849)</f>
        <v>12188462</v>
      </c>
      <c r="N233" s="76">
        <f t="shared" si="4"/>
        <v>0.8549603638339941</v>
      </c>
      <c r="O233" s="68">
        <f>SUMIF('SIGAF DIC 20'!$B$2:$B$849,$A233,'SIGAF DIC 20'!$O$2:$O$849)</f>
        <v>2067710</v>
      </c>
      <c r="P233" s="76">
        <f t="shared" si="5"/>
        <v>0.14503963616600585</v>
      </c>
      <c r="Q233" s="69">
        <f>SUMIF('SIGAF DIC 20'!$B$2:$B$849,$A233,'SIGAF DIC 20'!$Q$2:$Q$849)</f>
        <v>2067710</v>
      </c>
      <c r="R233" s="76">
        <f t="shared" si="6"/>
        <v>0.14503963616600585</v>
      </c>
    </row>
    <row r="234" spans="1:18" x14ac:dyDescent="0.25">
      <c r="A234" s="66" t="s">
        <v>629</v>
      </c>
      <c r="B234" s="66" t="s">
        <v>626</v>
      </c>
      <c r="C234" s="69">
        <f>SUMIF('SIGAF DIC 20'!$B$2:$B$849,$A234,'SIGAF DIC 20'!$F$2:$F$849)</f>
        <v>532109838</v>
      </c>
      <c r="D234" s="69">
        <f>SUMIF('SIGAF DIC 20'!$B$2:$B$849,$A234,'SIGAF DIC 20'!$G$2:$G$849)</f>
        <v>532109838</v>
      </c>
      <c r="E234" s="69">
        <f>SUMIF('SIGAF DIC 20'!$B$2:$B$849,$A234,'SIGAF DIC 20'!$H$2:$H$849)</f>
        <v>0</v>
      </c>
      <c r="F234" s="76">
        <f t="shared" si="0"/>
        <v>0</v>
      </c>
      <c r="G234" s="69">
        <f>SUMIF('SIGAF DIC 20'!$B$2:$B$849,$A234,'SIGAF DIC 20'!$I$2:$I$849)</f>
        <v>0</v>
      </c>
      <c r="H234" s="76">
        <f t="shared" si="1"/>
        <v>0</v>
      </c>
      <c r="I234" s="69">
        <f>SUMIF('SIGAF DIC 20'!$B$2:$B$849,$A234,'SIGAF DIC 20'!$J$2:$J$849)</f>
        <v>0</v>
      </c>
      <c r="J234" s="76">
        <f t="shared" si="2"/>
        <v>0</v>
      </c>
      <c r="K234" s="69">
        <f>SUMIF('SIGAF DIC 20'!$B$2:$B$849,$A234,'SIGAF DIC 20'!$K$2:$K$849)</f>
        <v>509647780</v>
      </c>
      <c r="L234" s="77">
        <f t="shared" si="3"/>
        <v>0.95778680190460974</v>
      </c>
      <c r="M234" s="69">
        <f>SUMIF('SIGAF DIC 20'!$B$2:$B$849,$A234,'SIGAF DIC 20'!$M$2:$M$849)</f>
        <v>509647780</v>
      </c>
      <c r="N234" s="76">
        <f t="shared" si="4"/>
        <v>0.95778680190460974</v>
      </c>
      <c r="O234" s="68">
        <f>SUMIF('SIGAF DIC 20'!$B$2:$B$849,$A234,'SIGAF DIC 20'!$O$2:$O$849)</f>
        <v>22462058</v>
      </c>
      <c r="P234" s="76">
        <f t="shared" si="5"/>
        <v>4.2213198095390224E-2</v>
      </c>
      <c r="Q234" s="69">
        <f>SUMIF('SIGAF DIC 20'!$B$2:$B$849,$A234,'SIGAF DIC 20'!$Q$2:$Q$849)</f>
        <v>22462058</v>
      </c>
      <c r="R234" s="76">
        <f t="shared" si="6"/>
        <v>4.2213198095390224E-2</v>
      </c>
    </row>
    <row r="235" spans="1:18" x14ac:dyDescent="0.25">
      <c r="A235" s="66" t="s">
        <v>630</v>
      </c>
      <c r="B235" s="66" t="s">
        <v>626</v>
      </c>
      <c r="C235" s="69">
        <f>SUMIF('SIGAF DIC 20'!$B$2:$B$849,$A235,'SIGAF DIC 20'!$F$2:$F$849)</f>
        <v>149506644</v>
      </c>
      <c r="D235" s="69">
        <f>SUMIF('SIGAF DIC 20'!$B$2:$B$849,$A235,'SIGAF DIC 20'!$G$2:$G$849)</f>
        <v>149506644</v>
      </c>
      <c r="E235" s="69">
        <f>SUMIF('SIGAF DIC 20'!$B$2:$B$849,$A235,'SIGAF DIC 20'!$H$2:$H$849)</f>
        <v>0</v>
      </c>
      <c r="F235" s="76">
        <f t="shared" si="0"/>
        <v>0</v>
      </c>
      <c r="G235" s="69">
        <f>SUMIF('SIGAF DIC 20'!$B$2:$B$849,$A235,'SIGAF DIC 20'!$I$2:$I$849)</f>
        <v>0</v>
      </c>
      <c r="H235" s="76">
        <f t="shared" si="1"/>
        <v>0</v>
      </c>
      <c r="I235" s="69">
        <f>SUMIF('SIGAF DIC 20'!$B$2:$B$849,$A235,'SIGAF DIC 20'!$J$2:$J$849)</f>
        <v>0</v>
      </c>
      <c r="J235" s="76">
        <f t="shared" si="2"/>
        <v>0</v>
      </c>
      <c r="K235" s="69">
        <f>SUMIF('SIGAF DIC 20'!$B$2:$B$849,$A235,'SIGAF DIC 20'!$K$2:$K$849)</f>
        <v>124390126</v>
      </c>
      <c r="L235" s="77">
        <f t="shared" si="3"/>
        <v>0.83200400110646588</v>
      </c>
      <c r="M235" s="69">
        <f>SUMIF('SIGAF DIC 20'!$B$2:$B$849,$A235,'SIGAF DIC 20'!$M$2:$M$849)</f>
        <v>124390126</v>
      </c>
      <c r="N235" s="76">
        <f t="shared" si="4"/>
        <v>0.83200400110646588</v>
      </c>
      <c r="O235" s="68">
        <f>SUMIF('SIGAF DIC 20'!$B$2:$B$849,$A235,'SIGAF DIC 20'!$O$2:$O$849)</f>
        <v>25116518</v>
      </c>
      <c r="P235" s="76">
        <f t="shared" si="5"/>
        <v>0.16799599889353412</v>
      </c>
      <c r="Q235" s="69">
        <f>SUMIF('SIGAF DIC 20'!$B$2:$B$849,$A235,'SIGAF DIC 20'!$Q$2:$Q$849)</f>
        <v>25116518</v>
      </c>
      <c r="R235" s="76">
        <f t="shared" si="6"/>
        <v>0.16799599889353412</v>
      </c>
    </row>
    <row r="236" spans="1:18" x14ac:dyDescent="0.25">
      <c r="A236" s="66" t="s">
        <v>631</v>
      </c>
      <c r="B236" s="66" t="s">
        <v>626</v>
      </c>
      <c r="C236" s="69">
        <f>SUMIF('SIGAF DIC 20'!$B$2:$B$849,$A236,'SIGAF DIC 20'!$F$2:$F$849)</f>
        <v>13549019</v>
      </c>
      <c r="D236" s="69">
        <f>SUMIF('SIGAF DIC 20'!$B$2:$B$849,$A236,'SIGAF DIC 20'!$G$2:$G$849)</f>
        <v>13549019</v>
      </c>
      <c r="E236" s="69">
        <f>SUMIF('SIGAF DIC 20'!$B$2:$B$849,$A236,'SIGAF DIC 20'!$H$2:$H$849)</f>
        <v>0</v>
      </c>
      <c r="F236" s="76">
        <f t="shared" si="0"/>
        <v>0</v>
      </c>
      <c r="G236" s="69">
        <f>SUMIF('SIGAF DIC 20'!$B$2:$B$849,$A236,'SIGAF DIC 20'!$I$2:$I$849)</f>
        <v>0</v>
      </c>
      <c r="H236" s="76">
        <f t="shared" si="1"/>
        <v>0</v>
      </c>
      <c r="I236" s="69">
        <f>SUMIF('SIGAF DIC 20'!$B$2:$B$849,$A236,'SIGAF DIC 20'!$J$2:$J$849)</f>
        <v>0</v>
      </c>
      <c r="J236" s="76">
        <f t="shared" si="2"/>
        <v>0</v>
      </c>
      <c r="K236" s="69">
        <f>SUMIF('SIGAF DIC 20'!$B$2:$B$849,$A236,'SIGAF DIC 20'!$K$2:$K$849)</f>
        <v>12073189</v>
      </c>
      <c r="L236" s="77">
        <f t="shared" si="3"/>
        <v>0.89107477080074948</v>
      </c>
      <c r="M236" s="69">
        <f>SUMIF('SIGAF DIC 20'!$B$2:$B$849,$A236,'SIGAF DIC 20'!$M$2:$M$849)</f>
        <v>12073189</v>
      </c>
      <c r="N236" s="76">
        <f t="shared" si="4"/>
        <v>0.89107477080074948</v>
      </c>
      <c r="O236" s="68">
        <f>SUMIF('SIGAF DIC 20'!$B$2:$B$849,$A236,'SIGAF DIC 20'!$O$2:$O$849)</f>
        <v>1475830</v>
      </c>
      <c r="P236" s="76">
        <f t="shared" si="5"/>
        <v>0.10892522919925052</v>
      </c>
      <c r="Q236" s="69">
        <f>SUMIF('SIGAF DIC 20'!$B$2:$B$849,$A236,'SIGAF DIC 20'!$Q$2:$Q$849)</f>
        <v>1475830</v>
      </c>
      <c r="R236" s="76">
        <f t="shared" si="6"/>
        <v>0.10892522919925052</v>
      </c>
    </row>
    <row r="237" spans="1:18" x14ac:dyDescent="0.25">
      <c r="A237" s="66" t="s">
        <v>632</v>
      </c>
      <c r="B237" s="66" t="s">
        <v>626</v>
      </c>
      <c r="C237" s="69">
        <f>SUMIF('SIGAF DIC 20'!$B$2:$B$849,$A237,'SIGAF DIC 20'!$F$2:$F$849)</f>
        <v>12804860</v>
      </c>
      <c r="D237" s="69">
        <f>SUMIF('SIGAF DIC 20'!$B$2:$B$849,$A237,'SIGAF DIC 20'!$G$2:$G$849)</f>
        <v>12804860</v>
      </c>
      <c r="E237" s="69">
        <f>SUMIF('SIGAF DIC 20'!$B$2:$B$849,$A237,'SIGAF DIC 20'!$H$2:$H$849)</f>
        <v>0</v>
      </c>
      <c r="F237" s="76">
        <f t="shared" si="0"/>
        <v>0</v>
      </c>
      <c r="G237" s="69">
        <f>SUMIF('SIGAF DIC 20'!$B$2:$B$849,$A237,'SIGAF DIC 20'!$I$2:$I$849)</f>
        <v>0</v>
      </c>
      <c r="H237" s="76">
        <f t="shared" si="1"/>
        <v>0</v>
      </c>
      <c r="I237" s="69">
        <f>SUMIF('SIGAF DIC 20'!$B$2:$B$849,$A237,'SIGAF DIC 20'!$J$2:$J$849)</f>
        <v>0</v>
      </c>
      <c r="J237" s="76">
        <f t="shared" si="2"/>
        <v>0</v>
      </c>
      <c r="K237" s="69">
        <f>SUMIF('SIGAF DIC 20'!$B$2:$B$849,$A237,'SIGAF DIC 20'!$K$2:$K$849)</f>
        <v>10641051</v>
      </c>
      <c r="L237" s="77">
        <f t="shared" si="3"/>
        <v>0.83101658276623092</v>
      </c>
      <c r="M237" s="69">
        <f>SUMIF('SIGAF DIC 20'!$B$2:$B$849,$A237,'SIGAF DIC 20'!$M$2:$M$849)</f>
        <v>10641051</v>
      </c>
      <c r="N237" s="76">
        <f t="shared" si="4"/>
        <v>0.83101658276623092</v>
      </c>
      <c r="O237" s="68">
        <f>SUMIF('SIGAF DIC 20'!$B$2:$B$849,$A237,'SIGAF DIC 20'!$O$2:$O$849)</f>
        <v>2163809</v>
      </c>
      <c r="P237" s="76">
        <f t="shared" si="5"/>
        <v>0.16898341723376906</v>
      </c>
      <c r="Q237" s="69">
        <f>SUMIF('SIGAF DIC 20'!$B$2:$B$849,$A237,'SIGAF DIC 20'!$Q$2:$Q$849)</f>
        <v>2163809</v>
      </c>
      <c r="R237" s="76">
        <f t="shared" si="6"/>
        <v>0.16898341723376906</v>
      </c>
    </row>
    <row r="238" spans="1:18" x14ac:dyDescent="0.25">
      <c r="A238" s="66" t="s">
        <v>633</v>
      </c>
      <c r="B238" s="66" t="s">
        <v>626</v>
      </c>
      <c r="C238" s="69">
        <f>SUMIF('SIGAF DIC 20'!$B$2:$B$849,$A238,'SIGAF DIC 20'!$F$2:$F$849)</f>
        <v>20675471</v>
      </c>
      <c r="D238" s="69">
        <f>SUMIF('SIGAF DIC 20'!$B$2:$B$849,$A238,'SIGAF DIC 20'!$G$2:$G$849)</f>
        <v>20675471</v>
      </c>
      <c r="E238" s="69">
        <f>SUMIF('SIGAF DIC 20'!$B$2:$B$849,$A238,'SIGAF DIC 20'!$H$2:$H$849)</f>
        <v>0</v>
      </c>
      <c r="F238" s="76">
        <f t="shared" si="0"/>
        <v>0</v>
      </c>
      <c r="G238" s="69">
        <f>SUMIF('SIGAF DIC 20'!$B$2:$B$849,$A238,'SIGAF DIC 20'!$I$2:$I$849)</f>
        <v>0</v>
      </c>
      <c r="H238" s="76">
        <f t="shared" si="1"/>
        <v>0</v>
      </c>
      <c r="I238" s="69">
        <f>SUMIF('SIGAF DIC 20'!$B$2:$B$849,$A238,'SIGAF DIC 20'!$J$2:$J$849)</f>
        <v>0</v>
      </c>
      <c r="J238" s="76">
        <f t="shared" si="2"/>
        <v>0</v>
      </c>
      <c r="K238" s="69">
        <f>SUMIF('SIGAF DIC 20'!$B$2:$B$849,$A238,'SIGAF DIC 20'!$K$2:$K$849)</f>
        <v>17954885</v>
      </c>
      <c r="L238" s="77">
        <f t="shared" si="3"/>
        <v>0.86841479935330135</v>
      </c>
      <c r="M238" s="69">
        <f>SUMIF('SIGAF DIC 20'!$B$2:$B$849,$A238,'SIGAF DIC 20'!$M$2:$M$849)</f>
        <v>17954885</v>
      </c>
      <c r="N238" s="76">
        <f t="shared" si="4"/>
        <v>0.86841479935330135</v>
      </c>
      <c r="O238" s="68">
        <f>SUMIF('SIGAF DIC 20'!$B$2:$B$849,$A238,'SIGAF DIC 20'!$O$2:$O$849)</f>
        <v>2720586</v>
      </c>
      <c r="P238" s="76">
        <f t="shared" si="5"/>
        <v>0.13158520064669868</v>
      </c>
      <c r="Q238" s="69">
        <f>SUMIF('SIGAF DIC 20'!$B$2:$B$849,$A238,'SIGAF DIC 20'!$Q$2:$Q$849)</f>
        <v>2720586</v>
      </c>
      <c r="R238" s="76">
        <f t="shared" si="6"/>
        <v>0.13158520064669868</v>
      </c>
    </row>
    <row r="239" spans="1:18" x14ac:dyDescent="0.25">
      <c r="A239" s="66" t="s">
        <v>634</v>
      </c>
      <c r="B239" s="66" t="s">
        <v>626</v>
      </c>
      <c r="C239" s="69">
        <f>SUMIF('SIGAF DIC 20'!$B$2:$B$849,$A239,'SIGAF DIC 20'!$F$2:$F$849)</f>
        <v>12307739</v>
      </c>
      <c r="D239" s="69">
        <f>SUMIF('SIGAF DIC 20'!$B$2:$B$849,$A239,'SIGAF DIC 20'!$G$2:$G$849)</f>
        <v>12307739</v>
      </c>
      <c r="E239" s="69">
        <f>SUMIF('SIGAF DIC 20'!$B$2:$B$849,$A239,'SIGAF DIC 20'!$H$2:$H$849)</f>
        <v>0</v>
      </c>
      <c r="F239" s="76">
        <f t="shared" si="0"/>
        <v>0</v>
      </c>
      <c r="G239" s="69">
        <f>SUMIF('SIGAF DIC 20'!$B$2:$B$849,$A239,'SIGAF DIC 20'!$I$2:$I$849)</f>
        <v>0</v>
      </c>
      <c r="H239" s="76">
        <f t="shared" si="1"/>
        <v>0</v>
      </c>
      <c r="I239" s="69">
        <f>SUMIF('SIGAF DIC 20'!$B$2:$B$849,$A239,'SIGAF DIC 20'!$J$2:$J$849)</f>
        <v>0</v>
      </c>
      <c r="J239" s="76">
        <f t="shared" si="2"/>
        <v>0</v>
      </c>
      <c r="K239" s="69">
        <f>SUMIF('SIGAF DIC 20'!$B$2:$B$849,$A239,'SIGAF DIC 20'!$K$2:$K$849)</f>
        <v>10209562</v>
      </c>
      <c r="L239" s="77">
        <f t="shared" si="3"/>
        <v>0.82952376549421469</v>
      </c>
      <c r="M239" s="69">
        <f>SUMIF('SIGAF DIC 20'!$B$2:$B$849,$A239,'SIGAF DIC 20'!$M$2:$M$849)</f>
        <v>10209562</v>
      </c>
      <c r="N239" s="76">
        <f t="shared" si="4"/>
        <v>0.82952376549421469</v>
      </c>
      <c r="O239" s="68">
        <f>SUMIF('SIGAF DIC 20'!$B$2:$B$849,$A239,'SIGAF DIC 20'!$O$2:$O$849)</f>
        <v>2098177</v>
      </c>
      <c r="P239" s="76">
        <f t="shared" si="5"/>
        <v>0.17047623450578533</v>
      </c>
      <c r="Q239" s="69">
        <f>SUMIF('SIGAF DIC 20'!$B$2:$B$849,$A239,'SIGAF DIC 20'!$Q$2:$Q$849)</f>
        <v>2098177</v>
      </c>
      <c r="R239" s="76">
        <f t="shared" si="6"/>
        <v>0.17047623450578533</v>
      </c>
    </row>
    <row r="240" spans="1:18" x14ac:dyDescent="0.25">
      <c r="A240" s="66" t="s">
        <v>635</v>
      </c>
      <c r="B240" s="66" t="s">
        <v>626</v>
      </c>
      <c r="C240" s="69">
        <f>SUMIF('SIGAF DIC 20'!$B$2:$B$849,$A240,'SIGAF DIC 20'!$F$2:$F$849)</f>
        <v>2995065</v>
      </c>
      <c r="D240" s="69">
        <f>SUMIF('SIGAF DIC 20'!$B$2:$B$849,$A240,'SIGAF DIC 20'!$G$2:$G$849)</f>
        <v>2995065</v>
      </c>
      <c r="E240" s="69">
        <f>SUMIF('SIGAF DIC 20'!$B$2:$B$849,$A240,'SIGAF DIC 20'!$H$2:$H$849)</f>
        <v>0</v>
      </c>
      <c r="F240" s="76">
        <f t="shared" si="0"/>
        <v>0</v>
      </c>
      <c r="G240" s="69">
        <f>SUMIF('SIGAF DIC 20'!$B$2:$B$849,$A240,'SIGAF DIC 20'!$I$2:$I$849)</f>
        <v>0</v>
      </c>
      <c r="H240" s="76">
        <f t="shared" si="1"/>
        <v>0</v>
      </c>
      <c r="I240" s="69">
        <f>SUMIF('SIGAF DIC 20'!$B$2:$B$849,$A240,'SIGAF DIC 20'!$J$2:$J$849)</f>
        <v>0</v>
      </c>
      <c r="J240" s="76">
        <f t="shared" si="2"/>
        <v>0</v>
      </c>
      <c r="K240" s="69">
        <f>SUMIF('SIGAF DIC 20'!$B$2:$B$849,$A240,'SIGAF DIC 20'!$K$2:$K$849)</f>
        <v>2567786</v>
      </c>
      <c r="L240" s="77">
        <f t="shared" si="3"/>
        <v>0.85733898930407182</v>
      </c>
      <c r="M240" s="69">
        <f>SUMIF('SIGAF DIC 20'!$B$2:$B$849,$A240,'SIGAF DIC 20'!$M$2:$M$849)</f>
        <v>2567786</v>
      </c>
      <c r="N240" s="76">
        <f t="shared" si="4"/>
        <v>0.85733898930407182</v>
      </c>
      <c r="O240" s="68">
        <f>SUMIF('SIGAF DIC 20'!$B$2:$B$849,$A240,'SIGAF DIC 20'!$O$2:$O$849)</f>
        <v>427279</v>
      </c>
      <c r="P240" s="76">
        <f t="shared" si="5"/>
        <v>0.14266101069592813</v>
      </c>
      <c r="Q240" s="69">
        <f>SUMIF('SIGAF DIC 20'!$B$2:$B$849,$A240,'SIGAF DIC 20'!$Q$2:$Q$849)</f>
        <v>427279</v>
      </c>
      <c r="R240" s="76">
        <f t="shared" si="6"/>
        <v>0.14266101069592813</v>
      </c>
    </row>
    <row r="241" spans="1:18" x14ac:dyDescent="0.25">
      <c r="A241" s="66" t="s">
        <v>636</v>
      </c>
      <c r="B241" s="66" t="s">
        <v>626</v>
      </c>
      <c r="C241" s="69">
        <f>SUMIF('SIGAF DIC 20'!$B$2:$B$849,$A241,'SIGAF DIC 20'!$F$2:$F$849)</f>
        <v>11952435</v>
      </c>
      <c r="D241" s="69">
        <f>SUMIF('SIGAF DIC 20'!$B$2:$B$849,$A241,'SIGAF DIC 20'!$G$2:$G$849)</f>
        <v>11952435</v>
      </c>
      <c r="E241" s="69">
        <f>SUMIF('SIGAF DIC 20'!$B$2:$B$849,$A241,'SIGAF DIC 20'!$H$2:$H$849)</f>
        <v>0</v>
      </c>
      <c r="F241" s="76">
        <f t="shared" si="0"/>
        <v>0</v>
      </c>
      <c r="G241" s="69">
        <f>SUMIF('SIGAF DIC 20'!$B$2:$B$849,$A241,'SIGAF DIC 20'!$I$2:$I$849)</f>
        <v>0</v>
      </c>
      <c r="H241" s="76">
        <f t="shared" si="1"/>
        <v>0</v>
      </c>
      <c r="I241" s="69">
        <f>SUMIF('SIGAF DIC 20'!$B$2:$B$849,$A241,'SIGAF DIC 20'!$J$2:$J$849)</f>
        <v>0</v>
      </c>
      <c r="J241" s="76">
        <f t="shared" si="2"/>
        <v>0</v>
      </c>
      <c r="K241" s="69">
        <f>SUMIF('SIGAF DIC 20'!$B$2:$B$849,$A241,'SIGAF DIC 20'!$K$2:$K$849)</f>
        <v>10695201</v>
      </c>
      <c r="L241" s="77">
        <f t="shared" si="3"/>
        <v>0.89481356727729533</v>
      </c>
      <c r="M241" s="69">
        <f>SUMIF('SIGAF DIC 20'!$B$2:$B$849,$A241,'SIGAF DIC 20'!$M$2:$M$849)</f>
        <v>10695201</v>
      </c>
      <c r="N241" s="76">
        <f t="shared" si="4"/>
        <v>0.89481356727729533</v>
      </c>
      <c r="O241" s="68">
        <f>SUMIF('SIGAF DIC 20'!$B$2:$B$849,$A241,'SIGAF DIC 20'!$O$2:$O$849)</f>
        <v>1257234</v>
      </c>
      <c r="P241" s="76">
        <f t="shared" si="5"/>
        <v>0.10518643272270461</v>
      </c>
      <c r="Q241" s="69">
        <f>SUMIF('SIGAF DIC 20'!$B$2:$B$849,$A241,'SIGAF DIC 20'!$Q$2:$Q$849)</f>
        <v>1257234</v>
      </c>
      <c r="R241" s="76">
        <f t="shared" si="6"/>
        <v>0.10518643272270461</v>
      </c>
    </row>
    <row r="242" spans="1:18" x14ac:dyDescent="0.25">
      <c r="A242" s="66" t="s">
        <v>637</v>
      </c>
      <c r="B242" s="66" t="s">
        <v>626</v>
      </c>
      <c r="C242" s="69">
        <f>SUMIF('SIGAF DIC 20'!$B$2:$B$849,$A242,'SIGAF DIC 20'!$F$2:$F$849)</f>
        <v>81884214</v>
      </c>
      <c r="D242" s="69">
        <f>SUMIF('SIGAF DIC 20'!$B$2:$B$849,$A242,'SIGAF DIC 20'!$G$2:$G$849)</f>
        <v>81884214</v>
      </c>
      <c r="E242" s="69">
        <f>SUMIF('SIGAF DIC 20'!$B$2:$B$849,$A242,'SIGAF DIC 20'!$H$2:$H$849)</f>
        <v>0</v>
      </c>
      <c r="F242" s="76">
        <f t="shared" si="0"/>
        <v>0</v>
      </c>
      <c r="G242" s="69">
        <f>SUMIF('SIGAF DIC 20'!$B$2:$B$849,$A242,'SIGAF DIC 20'!$I$2:$I$849)</f>
        <v>0</v>
      </c>
      <c r="H242" s="76">
        <f t="shared" si="1"/>
        <v>0</v>
      </c>
      <c r="I242" s="69">
        <f>SUMIF('SIGAF DIC 20'!$B$2:$B$849,$A242,'SIGAF DIC 20'!$J$2:$J$849)</f>
        <v>0</v>
      </c>
      <c r="J242" s="76">
        <f t="shared" si="2"/>
        <v>0</v>
      </c>
      <c r="K242" s="69">
        <f>SUMIF('SIGAF DIC 20'!$B$2:$B$849,$A242,'SIGAF DIC 20'!$K$2:$K$849)</f>
        <v>76525961.450000003</v>
      </c>
      <c r="L242" s="77">
        <f t="shared" si="3"/>
        <v>0.9345630581494011</v>
      </c>
      <c r="M242" s="69">
        <f>SUMIF('SIGAF DIC 20'!$B$2:$B$849,$A242,'SIGAF DIC 20'!$M$2:$M$849)</f>
        <v>76525961.450000003</v>
      </c>
      <c r="N242" s="76">
        <f t="shared" si="4"/>
        <v>0.9345630581494011</v>
      </c>
      <c r="O242" s="68">
        <f>SUMIF('SIGAF DIC 20'!$B$2:$B$849,$A242,'SIGAF DIC 20'!$O$2:$O$849)</f>
        <v>5358252.55</v>
      </c>
      <c r="P242" s="76">
        <f t="shared" si="5"/>
        <v>6.5436941850598937E-2</v>
      </c>
      <c r="Q242" s="69">
        <f>SUMIF('SIGAF DIC 20'!$B$2:$B$849,$A242,'SIGAF DIC 20'!$Q$2:$Q$849)</f>
        <v>5358252.55</v>
      </c>
      <c r="R242" s="76">
        <f t="shared" si="6"/>
        <v>6.5436941850598937E-2</v>
      </c>
    </row>
    <row r="243" spans="1:18" x14ac:dyDescent="0.25">
      <c r="A243" s="66" t="s">
        <v>638</v>
      </c>
      <c r="B243" s="66" t="s">
        <v>626</v>
      </c>
      <c r="C243" s="69">
        <f>SUMIF('SIGAF DIC 20'!$B$2:$B$849,$A243,'SIGAF DIC 20'!$F$2:$F$849)</f>
        <v>9698859</v>
      </c>
      <c r="D243" s="69">
        <f>SUMIF('SIGAF DIC 20'!$B$2:$B$849,$A243,'SIGAF DIC 20'!$G$2:$G$849)</f>
        <v>9698859</v>
      </c>
      <c r="E243" s="69">
        <f>SUMIF('SIGAF DIC 20'!$B$2:$B$849,$A243,'SIGAF DIC 20'!$H$2:$H$849)</f>
        <v>0</v>
      </c>
      <c r="F243" s="76">
        <f t="shared" si="0"/>
        <v>0</v>
      </c>
      <c r="G243" s="69">
        <f>SUMIF('SIGAF DIC 20'!$B$2:$B$849,$A243,'SIGAF DIC 20'!$I$2:$I$849)</f>
        <v>0</v>
      </c>
      <c r="H243" s="76">
        <f t="shared" si="1"/>
        <v>0</v>
      </c>
      <c r="I243" s="69">
        <f>SUMIF('SIGAF DIC 20'!$B$2:$B$849,$A243,'SIGAF DIC 20'!$J$2:$J$849)</f>
        <v>0</v>
      </c>
      <c r="J243" s="76">
        <f t="shared" si="2"/>
        <v>0</v>
      </c>
      <c r="K243" s="69">
        <f>SUMIF('SIGAF DIC 20'!$B$2:$B$849,$A243,'SIGAF DIC 20'!$K$2:$K$849)</f>
        <v>9468473.4000000004</v>
      </c>
      <c r="L243" s="77">
        <f t="shared" si="3"/>
        <v>0.97624611307371312</v>
      </c>
      <c r="M243" s="69">
        <f>SUMIF('SIGAF DIC 20'!$B$2:$B$849,$A243,'SIGAF DIC 20'!$M$2:$M$849)</f>
        <v>9468473.4000000004</v>
      </c>
      <c r="N243" s="76">
        <f t="shared" si="4"/>
        <v>0.97624611307371312</v>
      </c>
      <c r="O243" s="68">
        <f>SUMIF('SIGAF DIC 20'!$B$2:$B$849,$A243,'SIGAF DIC 20'!$O$2:$O$849)</f>
        <v>230385.6</v>
      </c>
      <c r="P243" s="76">
        <f t="shared" si="5"/>
        <v>2.3753886926286896E-2</v>
      </c>
      <c r="Q243" s="69">
        <f>SUMIF('SIGAF DIC 20'!$B$2:$B$849,$A243,'SIGAF DIC 20'!$Q$2:$Q$849)</f>
        <v>230385.6</v>
      </c>
      <c r="R243" s="76">
        <f t="shared" si="6"/>
        <v>2.3753886926286896E-2</v>
      </c>
    </row>
    <row r="244" spans="1:18" x14ac:dyDescent="0.25">
      <c r="A244" s="66" t="s">
        <v>639</v>
      </c>
      <c r="B244" s="66" t="s">
        <v>626</v>
      </c>
      <c r="C244" s="69">
        <f>SUMIF('SIGAF DIC 20'!$B$2:$B$849,$A244,'SIGAF DIC 20'!$F$2:$F$849)</f>
        <v>134104605</v>
      </c>
      <c r="D244" s="69">
        <f>SUMIF('SIGAF DIC 20'!$B$2:$B$849,$A244,'SIGAF DIC 20'!$G$2:$G$849)</f>
        <v>134104605</v>
      </c>
      <c r="E244" s="69">
        <f>SUMIF('SIGAF DIC 20'!$B$2:$B$849,$A244,'SIGAF DIC 20'!$H$2:$H$849)</f>
        <v>0</v>
      </c>
      <c r="F244" s="76">
        <f t="shared" si="0"/>
        <v>0</v>
      </c>
      <c r="G244" s="69">
        <f>SUMIF('SIGAF DIC 20'!$B$2:$B$849,$A244,'SIGAF DIC 20'!$I$2:$I$849)</f>
        <v>0</v>
      </c>
      <c r="H244" s="76">
        <f t="shared" si="1"/>
        <v>0</v>
      </c>
      <c r="I244" s="69">
        <f>SUMIF('SIGAF DIC 20'!$B$2:$B$849,$A244,'SIGAF DIC 20'!$J$2:$J$849)</f>
        <v>0</v>
      </c>
      <c r="J244" s="76">
        <f t="shared" si="2"/>
        <v>0</v>
      </c>
      <c r="K244" s="69">
        <f>SUMIF('SIGAF DIC 20'!$B$2:$B$849,$A244,'SIGAF DIC 20'!$K$2:$K$849)</f>
        <v>124339620.72</v>
      </c>
      <c r="L244" s="77">
        <f t="shared" si="3"/>
        <v>0.92718382579032244</v>
      </c>
      <c r="M244" s="69">
        <f>SUMIF('SIGAF DIC 20'!$B$2:$B$849,$A244,'SIGAF DIC 20'!$M$2:$M$849)</f>
        <v>124339620.72</v>
      </c>
      <c r="N244" s="76">
        <f t="shared" si="4"/>
        <v>0.92718382579032244</v>
      </c>
      <c r="O244" s="68">
        <f>SUMIF('SIGAF DIC 20'!$B$2:$B$849,$A244,'SIGAF DIC 20'!$O$2:$O$849)</f>
        <v>9764984.2799999993</v>
      </c>
      <c r="P244" s="76">
        <f t="shared" si="5"/>
        <v>7.2816174209677578E-2</v>
      </c>
      <c r="Q244" s="69">
        <f>SUMIF('SIGAF DIC 20'!$B$2:$B$849,$A244,'SIGAF DIC 20'!$Q$2:$Q$849)</f>
        <v>9764984.2799999993</v>
      </c>
      <c r="R244" s="76">
        <f t="shared" si="6"/>
        <v>7.2816174209677578E-2</v>
      </c>
    </row>
    <row r="245" spans="1:18" x14ac:dyDescent="0.25">
      <c r="A245" s="66" t="s">
        <v>640</v>
      </c>
      <c r="B245" s="66" t="s">
        <v>641</v>
      </c>
      <c r="C245" s="69">
        <f>SUMIF('SIGAF DIC 20'!$B$2:$B$849,$A245,'SIGAF DIC 20'!$F$2:$F$849)</f>
        <v>3433479</v>
      </c>
      <c r="D245" s="69">
        <f>SUMIF('SIGAF DIC 20'!$B$2:$B$849,$A245,'SIGAF DIC 20'!$G$2:$G$849)</f>
        <v>3433479</v>
      </c>
      <c r="E245" s="69">
        <f>SUMIF('SIGAF DIC 20'!$B$2:$B$849,$A245,'SIGAF DIC 20'!$H$2:$H$849)</f>
        <v>0</v>
      </c>
      <c r="F245" s="76">
        <f t="shared" si="0"/>
        <v>0</v>
      </c>
      <c r="G245" s="69">
        <f>SUMIF('SIGAF DIC 20'!$B$2:$B$849,$A245,'SIGAF DIC 20'!$I$2:$I$849)</f>
        <v>0</v>
      </c>
      <c r="H245" s="76">
        <f t="shared" si="1"/>
        <v>0</v>
      </c>
      <c r="I245" s="69">
        <f>SUMIF('SIGAF DIC 20'!$B$2:$B$849,$A245,'SIGAF DIC 20'!$J$2:$J$849)</f>
        <v>0</v>
      </c>
      <c r="J245" s="76">
        <f t="shared" si="2"/>
        <v>0</v>
      </c>
      <c r="K245" s="69">
        <f>SUMIF('SIGAF DIC 20'!$B$2:$B$849,$A245,'SIGAF DIC 20'!$K$2:$K$849)</f>
        <v>2750846</v>
      </c>
      <c r="L245" s="77">
        <f t="shared" si="3"/>
        <v>0.80118328960217899</v>
      </c>
      <c r="M245" s="69">
        <f>SUMIF('SIGAF DIC 20'!$B$2:$B$849,$A245,'SIGAF DIC 20'!$M$2:$M$849)</f>
        <v>2750846</v>
      </c>
      <c r="N245" s="76">
        <f t="shared" si="4"/>
        <v>0.80118328960217899</v>
      </c>
      <c r="O245" s="68">
        <f>SUMIF('SIGAF DIC 20'!$B$2:$B$849,$A245,'SIGAF DIC 20'!$O$2:$O$849)</f>
        <v>682633</v>
      </c>
      <c r="P245" s="76">
        <f t="shared" si="5"/>
        <v>0.19881671039782098</v>
      </c>
      <c r="Q245" s="69">
        <f>SUMIF('SIGAF DIC 20'!$B$2:$B$849,$A245,'SIGAF DIC 20'!$Q$2:$Q$849)</f>
        <v>682633</v>
      </c>
      <c r="R245" s="76">
        <f t="shared" si="6"/>
        <v>0.19881671039782098</v>
      </c>
    </row>
    <row r="246" spans="1:18" x14ac:dyDescent="0.25">
      <c r="A246" s="66" t="s">
        <v>642</v>
      </c>
      <c r="B246" s="66" t="s">
        <v>641</v>
      </c>
      <c r="C246" s="69">
        <f>SUMIF('SIGAF DIC 20'!$B$2:$B$849,$A246,'SIGAF DIC 20'!$F$2:$F$849)</f>
        <v>5410131</v>
      </c>
      <c r="D246" s="69">
        <f>SUMIF('SIGAF DIC 20'!$B$2:$B$849,$A246,'SIGAF DIC 20'!$G$2:$G$849)</f>
        <v>5410131</v>
      </c>
      <c r="E246" s="69">
        <f>SUMIF('SIGAF DIC 20'!$B$2:$B$849,$A246,'SIGAF DIC 20'!$H$2:$H$849)</f>
        <v>0</v>
      </c>
      <c r="F246" s="76">
        <f t="shared" si="0"/>
        <v>0</v>
      </c>
      <c r="G246" s="69">
        <f>SUMIF('SIGAF DIC 20'!$B$2:$B$849,$A246,'SIGAF DIC 20'!$I$2:$I$849)</f>
        <v>0</v>
      </c>
      <c r="H246" s="76">
        <f t="shared" si="1"/>
        <v>0</v>
      </c>
      <c r="I246" s="69">
        <f>SUMIF('SIGAF DIC 20'!$B$2:$B$849,$A246,'SIGAF DIC 20'!$J$2:$J$849)</f>
        <v>0</v>
      </c>
      <c r="J246" s="76">
        <f t="shared" si="2"/>
        <v>0</v>
      </c>
      <c r="K246" s="69">
        <f>SUMIF('SIGAF DIC 20'!$B$2:$B$849,$A246,'SIGAF DIC 20'!$K$2:$K$849)</f>
        <v>4884795</v>
      </c>
      <c r="L246" s="77">
        <f t="shared" si="3"/>
        <v>0.90289773020283615</v>
      </c>
      <c r="M246" s="69">
        <f>SUMIF('SIGAF DIC 20'!$B$2:$B$849,$A246,'SIGAF DIC 20'!$M$2:$M$849)</f>
        <v>4884795</v>
      </c>
      <c r="N246" s="76">
        <f t="shared" si="4"/>
        <v>0.90289773020283615</v>
      </c>
      <c r="O246" s="68">
        <f>SUMIF('SIGAF DIC 20'!$B$2:$B$849,$A246,'SIGAF DIC 20'!$O$2:$O$849)</f>
        <v>525336</v>
      </c>
      <c r="P246" s="76">
        <f t="shared" si="5"/>
        <v>9.7102269797163882E-2</v>
      </c>
      <c r="Q246" s="69">
        <f>SUMIF('SIGAF DIC 20'!$B$2:$B$849,$A246,'SIGAF DIC 20'!$Q$2:$Q$849)</f>
        <v>525336</v>
      </c>
      <c r="R246" s="76">
        <f t="shared" si="6"/>
        <v>9.7102269797163882E-2</v>
      </c>
    </row>
    <row r="247" spans="1:18" x14ac:dyDescent="0.25">
      <c r="A247" s="66" t="s">
        <v>643</v>
      </c>
      <c r="B247" s="66" t="s">
        <v>641</v>
      </c>
      <c r="C247" s="69">
        <f>SUMIF('SIGAF DIC 20'!$B$2:$B$849,$A247,'SIGAF DIC 20'!$F$2:$F$849)</f>
        <v>2527631</v>
      </c>
      <c r="D247" s="69">
        <f>SUMIF('SIGAF DIC 20'!$B$2:$B$849,$A247,'SIGAF DIC 20'!$G$2:$G$849)</f>
        <v>2527631</v>
      </c>
      <c r="E247" s="69">
        <f>SUMIF('SIGAF DIC 20'!$B$2:$B$849,$A247,'SIGAF DIC 20'!$H$2:$H$849)</f>
        <v>0</v>
      </c>
      <c r="F247" s="76">
        <f t="shared" si="0"/>
        <v>0</v>
      </c>
      <c r="G247" s="69">
        <f>SUMIF('SIGAF DIC 20'!$B$2:$B$849,$A247,'SIGAF DIC 20'!$I$2:$I$849)</f>
        <v>0</v>
      </c>
      <c r="H247" s="76">
        <f t="shared" si="1"/>
        <v>0</v>
      </c>
      <c r="I247" s="69">
        <f>SUMIF('SIGAF DIC 20'!$B$2:$B$849,$A247,'SIGAF DIC 20'!$J$2:$J$849)</f>
        <v>0</v>
      </c>
      <c r="J247" s="76">
        <f t="shared" si="2"/>
        <v>0</v>
      </c>
      <c r="K247" s="69">
        <f>SUMIF('SIGAF DIC 20'!$B$2:$B$849,$A247,'SIGAF DIC 20'!$K$2:$K$849)</f>
        <v>2199724.0699999998</v>
      </c>
      <c r="L247" s="77">
        <f t="shared" si="3"/>
        <v>0.87027104430986957</v>
      </c>
      <c r="M247" s="69">
        <f>SUMIF('SIGAF DIC 20'!$B$2:$B$849,$A247,'SIGAF DIC 20'!$M$2:$M$849)</f>
        <v>2199724.0699999998</v>
      </c>
      <c r="N247" s="76">
        <f t="shared" si="4"/>
        <v>0.87027104430986957</v>
      </c>
      <c r="O247" s="68">
        <f>SUMIF('SIGAF DIC 20'!$B$2:$B$849,$A247,'SIGAF DIC 20'!$O$2:$O$849)</f>
        <v>327906.93</v>
      </c>
      <c r="P247" s="76">
        <f t="shared" si="5"/>
        <v>0.1297289556901304</v>
      </c>
      <c r="Q247" s="69">
        <f>SUMIF('SIGAF DIC 20'!$B$2:$B$849,$A247,'SIGAF DIC 20'!$Q$2:$Q$849)</f>
        <v>327906.93</v>
      </c>
      <c r="R247" s="76">
        <f t="shared" si="6"/>
        <v>0.1297289556901304</v>
      </c>
    </row>
    <row r="248" spans="1:18" x14ac:dyDescent="0.25">
      <c r="A248" s="66" t="s">
        <v>644</v>
      </c>
      <c r="B248" s="66" t="s">
        <v>641</v>
      </c>
      <c r="C248" s="69">
        <f>SUMIF('SIGAF DIC 20'!$B$2:$B$849,$A248,'SIGAF DIC 20'!$F$2:$F$849)</f>
        <v>94345687</v>
      </c>
      <c r="D248" s="69">
        <f>SUMIF('SIGAF DIC 20'!$B$2:$B$849,$A248,'SIGAF DIC 20'!$G$2:$G$849)</f>
        <v>94345687</v>
      </c>
      <c r="E248" s="69">
        <f>SUMIF('SIGAF DIC 20'!$B$2:$B$849,$A248,'SIGAF DIC 20'!$H$2:$H$849)</f>
        <v>0</v>
      </c>
      <c r="F248" s="76">
        <f t="shared" si="0"/>
        <v>0</v>
      </c>
      <c r="G248" s="69">
        <f>SUMIF('SIGAF DIC 20'!$B$2:$B$849,$A248,'SIGAF DIC 20'!$I$2:$I$849)</f>
        <v>0</v>
      </c>
      <c r="H248" s="76">
        <f t="shared" si="1"/>
        <v>0</v>
      </c>
      <c r="I248" s="69">
        <f>SUMIF('SIGAF DIC 20'!$B$2:$B$849,$A248,'SIGAF DIC 20'!$J$2:$J$849)</f>
        <v>0</v>
      </c>
      <c r="J248" s="76">
        <f t="shared" si="2"/>
        <v>0</v>
      </c>
      <c r="K248" s="69">
        <f>SUMIF('SIGAF DIC 20'!$B$2:$B$849,$A248,'SIGAF DIC 20'!$K$2:$K$849)</f>
        <v>92372387</v>
      </c>
      <c r="L248" s="77">
        <f t="shared" si="3"/>
        <v>0.97908436450306413</v>
      </c>
      <c r="M248" s="69">
        <f>SUMIF('SIGAF DIC 20'!$B$2:$B$849,$A248,'SIGAF DIC 20'!$M$2:$M$849)</f>
        <v>92372387</v>
      </c>
      <c r="N248" s="76">
        <f t="shared" si="4"/>
        <v>0.97908436450306413</v>
      </c>
      <c r="O248" s="68">
        <f>SUMIF('SIGAF DIC 20'!$B$2:$B$849,$A248,'SIGAF DIC 20'!$O$2:$O$849)</f>
        <v>1973300</v>
      </c>
      <c r="P248" s="76">
        <f t="shared" si="5"/>
        <v>2.0915635496935859E-2</v>
      </c>
      <c r="Q248" s="69">
        <f>SUMIF('SIGAF DIC 20'!$B$2:$B$849,$A248,'SIGAF DIC 20'!$Q$2:$Q$849)</f>
        <v>1973300</v>
      </c>
      <c r="R248" s="76">
        <f t="shared" si="6"/>
        <v>2.0915635496935859E-2</v>
      </c>
    </row>
    <row r="249" spans="1:18" x14ac:dyDescent="0.25">
      <c r="A249" s="66" t="s">
        <v>645</v>
      </c>
      <c r="B249" s="66" t="s">
        <v>641</v>
      </c>
      <c r="C249" s="69">
        <f>SUMIF('SIGAF DIC 20'!$B$2:$B$849,$A249,'SIGAF DIC 20'!$F$2:$F$849)</f>
        <v>26508199</v>
      </c>
      <c r="D249" s="69">
        <f>SUMIF('SIGAF DIC 20'!$B$2:$B$849,$A249,'SIGAF DIC 20'!$G$2:$G$849)</f>
        <v>26508199</v>
      </c>
      <c r="E249" s="69">
        <f>SUMIF('SIGAF DIC 20'!$B$2:$B$849,$A249,'SIGAF DIC 20'!$H$2:$H$849)</f>
        <v>0</v>
      </c>
      <c r="F249" s="76">
        <f t="shared" si="0"/>
        <v>0</v>
      </c>
      <c r="G249" s="69">
        <f>SUMIF('SIGAF DIC 20'!$B$2:$B$849,$A249,'SIGAF DIC 20'!$I$2:$I$849)</f>
        <v>0</v>
      </c>
      <c r="H249" s="76">
        <f t="shared" si="1"/>
        <v>0</v>
      </c>
      <c r="I249" s="69">
        <f>SUMIF('SIGAF DIC 20'!$B$2:$B$849,$A249,'SIGAF DIC 20'!$J$2:$J$849)</f>
        <v>0</v>
      </c>
      <c r="J249" s="76">
        <f t="shared" si="2"/>
        <v>0</v>
      </c>
      <c r="K249" s="69">
        <f>SUMIF('SIGAF DIC 20'!$B$2:$B$849,$A249,'SIGAF DIC 20'!$K$2:$K$849)</f>
        <v>22276620</v>
      </c>
      <c r="L249" s="77">
        <f t="shared" si="3"/>
        <v>0.8403671633821671</v>
      </c>
      <c r="M249" s="69">
        <f>SUMIF('SIGAF DIC 20'!$B$2:$B$849,$A249,'SIGAF DIC 20'!$M$2:$M$849)</f>
        <v>22276620</v>
      </c>
      <c r="N249" s="76">
        <f t="shared" si="4"/>
        <v>0.8403671633821671</v>
      </c>
      <c r="O249" s="68">
        <f>SUMIF('SIGAF DIC 20'!$B$2:$B$849,$A249,'SIGAF DIC 20'!$O$2:$O$849)</f>
        <v>4231579</v>
      </c>
      <c r="P249" s="76">
        <f t="shared" si="5"/>
        <v>0.15963283661783284</v>
      </c>
      <c r="Q249" s="69">
        <f>SUMIF('SIGAF DIC 20'!$B$2:$B$849,$A249,'SIGAF DIC 20'!$Q$2:$Q$849)</f>
        <v>4231579</v>
      </c>
      <c r="R249" s="76">
        <f t="shared" si="6"/>
        <v>0.15963283661783284</v>
      </c>
    </row>
    <row r="250" spans="1:18" x14ac:dyDescent="0.25">
      <c r="A250" s="66" t="s">
        <v>646</v>
      </c>
      <c r="B250" s="66" t="s">
        <v>641</v>
      </c>
      <c r="C250" s="69">
        <f>SUMIF('SIGAF DIC 20'!$B$2:$B$849,$A250,'SIGAF DIC 20'!$F$2:$F$849)</f>
        <v>2402245</v>
      </c>
      <c r="D250" s="69">
        <f>SUMIF('SIGAF DIC 20'!$B$2:$B$849,$A250,'SIGAF DIC 20'!$G$2:$G$849)</f>
        <v>2402245</v>
      </c>
      <c r="E250" s="69">
        <f>SUMIF('SIGAF DIC 20'!$B$2:$B$849,$A250,'SIGAF DIC 20'!$H$2:$H$849)</f>
        <v>0</v>
      </c>
      <c r="F250" s="76">
        <f t="shared" si="0"/>
        <v>0</v>
      </c>
      <c r="G250" s="69">
        <f>SUMIF('SIGAF DIC 20'!$B$2:$B$849,$A250,'SIGAF DIC 20'!$I$2:$I$849)</f>
        <v>0</v>
      </c>
      <c r="H250" s="76">
        <f t="shared" si="1"/>
        <v>0</v>
      </c>
      <c r="I250" s="69">
        <f>SUMIF('SIGAF DIC 20'!$B$2:$B$849,$A250,'SIGAF DIC 20'!$J$2:$J$849)</f>
        <v>0</v>
      </c>
      <c r="J250" s="76">
        <f t="shared" si="2"/>
        <v>0</v>
      </c>
      <c r="K250" s="69">
        <f>SUMIF('SIGAF DIC 20'!$B$2:$B$849,$A250,'SIGAF DIC 20'!$K$2:$K$849)</f>
        <v>2163064</v>
      </c>
      <c r="L250" s="77">
        <f t="shared" si="3"/>
        <v>0.90043438533538422</v>
      </c>
      <c r="M250" s="69">
        <f>SUMIF('SIGAF DIC 20'!$B$2:$B$849,$A250,'SIGAF DIC 20'!$M$2:$M$849)</f>
        <v>2163064</v>
      </c>
      <c r="N250" s="76">
        <f t="shared" si="4"/>
        <v>0.90043438533538422</v>
      </c>
      <c r="O250" s="68">
        <f>SUMIF('SIGAF DIC 20'!$B$2:$B$849,$A250,'SIGAF DIC 20'!$O$2:$O$849)</f>
        <v>239181</v>
      </c>
      <c r="P250" s="76">
        <f t="shared" si="5"/>
        <v>9.9565614664615804E-2</v>
      </c>
      <c r="Q250" s="69">
        <f>SUMIF('SIGAF DIC 20'!$B$2:$B$849,$A250,'SIGAF DIC 20'!$Q$2:$Q$849)</f>
        <v>239181</v>
      </c>
      <c r="R250" s="76">
        <f t="shared" si="6"/>
        <v>9.9565614664615804E-2</v>
      </c>
    </row>
    <row r="251" spans="1:18" x14ac:dyDescent="0.25">
      <c r="A251" s="66" t="s">
        <v>647</v>
      </c>
      <c r="B251" s="66" t="s">
        <v>641</v>
      </c>
      <c r="C251" s="69">
        <f>SUMIF('SIGAF DIC 20'!$B$2:$B$849,$A251,'SIGAF DIC 20'!$F$2:$F$849)</f>
        <v>2270336</v>
      </c>
      <c r="D251" s="69">
        <f>SUMIF('SIGAF DIC 20'!$B$2:$B$849,$A251,'SIGAF DIC 20'!$G$2:$G$849)</f>
        <v>2270336</v>
      </c>
      <c r="E251" s="69">
        <f>SUMIF('SIGAF DIC 20'!$B$2:$B$849,$A251,'SIGAF DIC 20'!$H$2:$H$849)</f>
        <v>0</v>
      </c>
      <c r="F251" s="76">
        <f t="shared" si="0"/>
        <v>0</v>
      </c>
      <c r="G251" s="69">
        <f>SUMIF('SIGAF DIC 20'!$B$2:$B$849,$A251,'SIGAF DIC 20'!$I$2:$I$849)</f>
        <v>0</v>
      </c>
      <c r="H251" s="76">
        <f t="shared" si="1"/>
        <v>0</v>
      </c>
      <c r="I251" s="69">
        <f>SUMIF('SIGAF DIC 20'!$B$2:$B$849,$A251,'SIGAF DIC 20'!$J$2:$J$849)</f>
        <v>0</v>
      </c>
      <c r="J251" s="76">
        <f t="shared" si="2"/>
        <v>0</v>
      </c>
      <c r="K251" s="69">
        <f>SUMIF('SIGAF DIC 20'!$B$2:$B$849,$A251,'SIGAF DIC 20'!$K$2:$K$849)</f>
        <v>1905804</v>
      </c>
      <c r="L251" s="77">
        <f t="shared" si="3"/>
        <v>0.83943698201499695</v>
      </c>
      <c r="M251" s="69">
        <f>SUMIF('SIGAF DIC 20'!$B$2:$B$849,$A251,'SIGAF DIC 20'!$M$2:$M$849)</f>
        <v>1905804</v>
      </c>
      <c r="N251" s="76">
        <f t="shared" si="4"/>
        <v>0.83943698201499695</v>
      </c>
      <c r="O251" s="68">
        <f>SUMIF('SIGAF DIC 20'!$B$2:$B$849,$A251,'SIGAF DIC 20'!$O$2:$O$849)</f>
        <v>364532</v>
      </c>
      <c r="P251" s="76">
        <f t="shared" si="5"/>
        <v>0.16056301798500311</v>
      </c>
      <c r="Q251" s="69">
        <f>SUMIF('SIGAF DIC 20'!$B$2:$B$849,$A251,'SIGAF DIC 20'!$Q$2:$Q$849)</f>
        <v>364532</v>
      </c>
      <c r="R251" s="76">
        <f t="shared" si="6"/>
        <v>0.16056301798500311</v>
      </c>
    </row>
    <row r="252" spans="1:18" x14ac:dyDescent="0.25">
      <c r="A252" s="66" t="s">
        <v>648</v>
      </c>
      <c r="B252" s="66" t="s">
        <v>641</v>
      </c>
      <c r="C252" s="69">
        <f>SUMIF('SIGAF DIC 20'!$B$2:$B$849,$A252,'SIGAF DIC 20'!$F$2:$F$849)</f>
        <v>3665817</v>
      </c>
      <c r="D252" s="69">
        <f>SUMIF('SIGAF DIC 20'!$B$2:$B$849,$A252,'SIGAF DIC 20'!$G$2:$G$849)</f>
        <v>3665817</v>
      </c>
      <c r="E252" s="69">
        <f>SUMIF('SIGAF DIC 20'!$B$2:$B$849,$A252,'SIGAF DIC 20'!$H$2:$H$849)</f>
        <v>0</v>
      </c>
      <c r="F252" s="76">
        <f t="shared" si="0"/>
        <v>0</v>
      </c>
      <c r="G252" s="69">
        <f>SUMIF('SIGAF DIC 20'!$B$2:$B$849,$A252,'SIGAF DIC 20'!$I$2:$I$849)</f>
        <v>0</v>
      </c>
      <c r="H252" s="76">
        <f t="shared" si="1"/>
        <v>0</v>
      </c>
      <c r="I252" s="69">
        <f>SUMIF('SIGAF DIC 20'!$B$2:$B$849,$A252,'SIGAF DIC 20'!$J$2:$J$849)</f>
        <v>0</v>
      </c>
      <c r="J252" s="76">
        <f t="shared" si="2"/>
        <v>0</v>
      </c>
      <c r="K252" s="69">
        <f>SUMIF('SIGAF DIC 20'!$B$2:$B$849,$A252,'SIGAF DIC 20'!$K$2:$K$849)</f>
        <v>3216663</v>
      </c>
      <c r="L252" s="77">
        <f t="shared" si="3"/>
        <v>0.87747506217577143</v>
      </c>
      <c r="M252" s="69">
        <f>SUMIF('SIGAF DIC 20'!$B$2:$B$849,$A252,'SIGAF DIC 20'!$M$2:$M$849)</f>
        <v>3216663</v>
      </c>
      <c r="N252" s="76">
        <f t="shared" si="4"/>
        <v>0.87747506217577143</v>
      </c>
      <c r="O252" s="68">
        <f>SUMIF('SIGAF DIC 20'!$B$2:$B$849,$A252,'SIGAF DIC 20'!$O$2:$O$849)</f>
        <v>449154</v>
      </c>
      <c r="P252" s="76">
        <f t="shared" si="5"/>
        <v>0.12252493782422855</v>
      </c>
      <c r="Q252" s="69">
        <f>SUMIF('SIGAF DIC 20'!$B$2:$B$849,$A252,'SIGAF DIC 20'!$Q$2:$Q$849)</f>
        <v>449154</v>
      </c>
      <c r="R252" s="76">
        <f t="shared" si="6"/>
        <v>0.12252493782422855</v>
      </c>
    </row>
    <row r="253" spans="1:18" x14ac:dyDescent="0.25">
      <c r="A253" s="66" t="s">
        <v>649</v>
      </c>
      <c r="B253" s="66" t="s">
        <v>641</v>
      </c>
      <c r="C253" s="69">
        <f>SUMIF('SIGAF DIC 20'!$B$2:$B$849,$A253,'SIGAF DIC 20'!$F$2:$F$849)</f>
        <v>2182138</v>
      </c>
      <c r="D253" s="69">
        <f>SUMIF('SIGAF DIC 20'!$B$2:$B$849,$A253,'SIGAF DIC 20'!$G$2:$G$849)</f>
        <v>2182138</v>
      </c>
      <c r="E253" s="69">
        <f>SUMIF('SIGAF DIC 20'!$B$2:$B$849,$A253,'SIGAF DIC 20'!$H$2:$H$849)</f>
        <v>0</v>
      </c>
      <c r="F253" s="76">
        <f t="shared" si="0"/>
        <v>0</v>
      </c>
      <c r="G253" s="69">
        <f>SUMIF('SIGAF DIC 20'!$B$2:$B$849,$A253,'SIGAF DIC 20'!$I$2:$I$849)</f>
        <v>0</v>
      </c>
      <c r="H253" s="76">
        <f t="shared" si="1"/>
        <v>0</v>
      </c>
      <c r="I253" s="69">
        <f>SUMIF('SIGAF DIC 20'!$B$2:$B$849,$A253,'SIGAF DIC 20'!$J$2:$J$849)</f>
        <v>0</v>
      </c>
      <c r="J253" s="76">
        <f t="shared" si="2"/>
        <v>0</v>
      </c>
      <c r="K253" s="69">
        <f>SUMIF('SIGAF DIC 20'!$B$2:$B$849,$A253,'SIGAF DIC 20'!$K$2:$K$849)</f>
        <v>1829832</v>
      </c>
      <c r="L253" s="77">
        <f t="shared" si="3"/>
        <v>0.83855008253373531</v>
      </c>
      <c r="M253" s="69">
        <f>SUMIF('SIGAF DIC 20'!$B$2:$B$849,$A253,'SIGAF DIC 20'!$M$2:$M$849)</f>
        <v>1829832</v>
      </c>
      <c r="N253" s="76">
        <f t="shared" si="4"/>
        <v>0.83855008253373531</v>
      </c>
      <c r="O253" s="68">
        <f>SUMIF('SIGAF DIC 20'!$B$2:$B$849,$A253,'SIGAF DIC 20'!$O$2:$O$849)</f>
        <v>352306</v>
      </c>
      <c r="P253" s="76">
        <f t="shared" si="5"/>
        <v>0.16144991746626475</v>
      </c>
      <c r="Q253" s="69">
        <f>SUMIF('SIGAF DIC 20'!$B$2:$B$849,$A253,'SIGAF DIC 20'!$Q$2:$Q$849)</f>
        <v>352306</v>
      </c>
      <c r="R253" s="76">
        <f t="shared" si="6"/>
        <v>0.16144991746626475</v>
      </c>
    </row>
    <row r="254" spans="1:18" x14ac:dyDescent="0.25">
      <c r="A254" s="66" t="s">
        <v>650</v>
      </c>
      <c r="B254" s="66" t="s">
        <v>641</v>
      </c>
      <c r="C254" s="69">
        <f>SUMIF('SIGAF DIC 20'!$B$2:$B$849,$A254,'SIGAF DIC 20'!$F$2:$F$849)</f>
        <v>530956</v>
      </c>
      <c r="D254" s="69">
        <f>SUMIF('SIGAF DIC 20'!$B$2:$B$849,$A254,'SIGAF DIC 20'!$G$2:$G$849)</f>
        <v>530956</v>
      </c>
      <c r="E254" s="69">
        <f>SUMIF('SIGAF DIC 20'!$B$2:$B$849,$A254,'SIGAF DIC 20'!$H$2:$H$849)</f>
        <v>0</v>
      </c>
      <c r="F254" s="76">
        <f t="shared" si="0"/>
        <v>0</v>
      </c>
      <c r="G254" s="69">
        <f>SUMIF('SIGAF DIC 20'!$B$2:$B$849,$A254,'SIGAF DIC 20'!$I$2:$I$849)</f>
        <v>0</v>
      </c>
      <c r="H254" s="76">
        <f t="shared" si="1"/>
        <v>0</v>
      </c>
      <c r="I254" s="69">
        <f>SUMIF('SIGAF DIC 20'!$B$2:$B$849,$A254,'SIGAF DIC 20'!$J$2:$J$849)</f>
        <v>0</v>
      </c>
      <c r="J254" s="76">
        <f t="shared" si="2"/>
        <v>0</v>
      </c>
      <c r="K254" s="69">
        <f>SUMIF('SIGAF DIC 20'!$B$2:$B$849,$A254,'SIGAF DIC 20'!$K$2:$K$849)</f>
        <v>460038</v>
      </c>
      <c r="L254" s="77">
        <f t="shared" si="3"/>
        <v>0.8664333767769834</v>
      </c>
      <c r="M254" s="69">
        <f>SUMIF('SIGAF DIC 20'!$B$2:$B$849,$A254,'SIGAF DIC 20'!$M$2:$M$849)</f>
        <v>460038</v>
      </c>
      <c r="N254" s="76">
        <f t="shared" si="4"/>
        <v>0.8664333767769834</v>
      </c>
      <c r="O254" s="68">
        <f>SUMIF('SIGAF DIC 20'!$B$2:$B$849,$A254,'SIGAF DIC 20'!$O$2:$O$849)</f>
        <v>70918</v>
      </c>
      <c r="P254" s="76">
        <f t="shared" si="5"/>
        <v>0.1335666232230166</v>
      </c>
      <c r="Q254" s="69">
        <f>SUMIF('SIGAF DIC 20'!$B$2:$B$849,$A254,'SIGAF DIC 20'!$Q$2:$Q$849)</f>
        <v>70918</v>
      </c>
      <c r="R254" s="76">
        <f t="shared" si="6"/>
        <v>0.1335666232230166</v>
      </c>
    </row>
    <row r="255" spans="1:18" x14ac:dyDescent="0.25">
      <c r="A255" s="66" t="s">
        <v>651</v>
      </c>
      <c r="B255" s="66" t="s">
        <v>641</v>
      </c>
      <c r="C255" s="69">
        <f>SUMIF('SIGAF DIC 20'!$B$2:$B$849,$A255,'SIGAF DIC 20'!$F$2:$F$849)</f>
        <v>2119212</v>
      </c>
      <c r="D255" s="69">
        <f>SUMIF('SIGAF DIC 20'!$B$2:$B$849,$A255,'SIGAF DIC 20'!$G$2:$G$849)</f>
        <v>2119212</v>
      </c>
      <c r="E255" s="69">
        <f>SUMIF('SIGAF DIC 20'!$B$2:$B$849,$A255,'SIGAF DIC 20'!$H$2:$H$849)</f>
        <v>0</v>
      </c>
      <c r="F255" s="76">
        <f t="shared" si="0"/>
        <v>0</v>
      </c>
      <c r="G255" s="69">
        <f>SUMIF('SIGAF DIC 20'!$B$2:$B$849,$A255,'SIGAF DIC 20'!$I$2:$I$849)</f>
        <v>0</v>
      </c>
      <c r="H255" s="76">
        <f t="shared" si="1"/>
        <v>0</v>
      </c>
      <c r="I255" s="69">
        <f>SUMIF('SIGAF DIC 20'!$B$2:$B$849,$A255,'SIGAF DIC 20'!$J$2:$J$849)</f>
        <v>0</v>
      </c>
      <c r="J255" s="76">
        <f t="shared" si="2"/>
        <v>0</v>
      </c>
      <c r="K255" s="69">
        <f>SUMIF('SIGAF DIC 20'!$B$2:$B$849,$A255,'SIGAF DIC 20'!$K$2:$K$849)</f>
        <v>1929107</v>
      </c>
      <c r="L255" s="77">
        <f t="shared" si="3"/>
        <v>0.91029448681868541</v>
      </c>
      <c r="M255" s="69">
        <f>SUMIF('SIGAF DIC 20'!$B$2:$B$849,$A255,'SIGAF DIC 20'!$M$2:$M$849)</f>
        <v>1929107</v>
      </c>
      <c r="N255" s="76">
        <f t="shared" si="4"/>
        <v>0.91029448681868541</v>
      </c>
      <c r="O255" s="68">
        <f>SUMIF('SIGAF DIC 20'!$B$2:$B$849,$A255,'SIGAF DIC 20'!$O$2:$O$849)</f>
        <v>190105</v>
      </c>
      <c r="P255" s="76">
        <f t="shared" si="5"/>
        <v>8.9705513181314561E-2</v>
      </c>
      <c r="Q255" s="69">
        <f>SUMIF('SIGAF DIC 20'!$B$2:$B$849,$A255,'SIGAF DIC 20'!$Q$2:$Q$849)</f>
        <v>190105</v>
      </c>
      <c r="R255" s="76">
        <f t="shared" si="6"/>
        <v>8.9705513181314561E-2</v>
      </c>
    </row>
    <row r="256" spans="1:18" x14ac:dyDescent="0.25">
      <c r="A256" s="66" t="s">
        <v>652</v>
      </c>
      <c r="B256" s="66" t="s">
        <v>641</v>
      </c>
      <c r="C256" s="69">
        <f>SUMIF('SIGAF DIC 20'!$B$2:$B$849,$A256,'SIGAF DIC 20'!$F$2:$F$849)</f>
        <v>14518417</v>
      </c>
      <c r="D256" s="69">
        <f>SUMIF('SIGAF DIC 20'!$B$2:$B$849,$A256,'SIGAF DIC 20'!$G$2:$G$849)</f>
        <v>14518417</v>
      </c>
      <c r="E256" s="69">
        <f>SUMIF('SIGAF DIC 20'!$B$2:$B$849,$A256,'SIGAF DIC 20'!$H$2:$H$849)</f>
        <v>0</v>
      </c>
      <c r="F256" s="76">
        <f t="shared" si="0"/>
        <v>0</v>
      </c>
      <c r="G256" s="69">
        <f>SUMIF('SIGAF DIC 20'!$B$2:$B$849,$A256,'SIGAF DIC 20'!$I$2:$I$849)</f>
        <v>0</v>
      </c>
      <c r="H256" s="76">
        <f t="shared" si="1"/>
        <v>0</v>
      </c>
      <c r="I256" s="69">
        <f>SUMIF('SIGAF DIC 20'!$B$2:$B$849,$A256,'SIGAF DIC 20'!$J$2:$J$849)</f>
        <v>0</v>
      </c>
      <c r="J256" s="76">
        <f t="shared" si="2"/>
        <v>0</v>
      </c>
      <c r="K256" s="69">
        <f>SUMIF('SIGAF DIC 20'!$B$2:$B$849,$A256,'SIGAF DIC 20'!$K$2:$K$849)</f>
        <v>13818374.470000001</v>
      </c>
      <c r="L256" s="77">
        <f t="shared" si="3"/>
        <v>0.95178244776961574</v>
      </c>
      <c r="M256" s="69">
        <f>SUMIF('SIGAF DIC 20'!$B$2:$B$849,$A256,'SIGAF DIC 20'!$M$2:$M$849)</f>
        <v>13818374.470000001</v>
      </c>
      <c r="N256" s="76">
        <f t="shared" si="4"/>
        <v>0.95178244776961574</v>
      </c>
      <c r="O256" s="68">
        <f>SUMIF('SIGAF DIC 20'!$B$2:$B$849,$A256,'SIGAF DIC 20'!$O$2:$O$849)</f>
        <v>700042.53</v>
      </c>
      <c r="P256" s="76">
        <f t="shared" si="5"/>
        <v>4.8217552230384347E-2</v>
      </c>
      <c r="Q256" s="69">
        <f>SUMIF('SIGAF DIC 20'!$B$2:$B$849,$A256,'SIGAF DIC 20'!$Q$2:$Q$849)</f>
        <v>700042.53</v>
      </c>
      <c r="R256" s="76">
        <f t="shared" si="6"/>
        <v>4.8217552230384347E-2</v>
      </c>
    </row>
    <row r="257" spans="1:18" x14ac:dyDescent="0.25">
      <c r="A257" s="66" t="s">
        <v>653</v>
      </c>
      <c r="B257" s="66" t="s">
        <v>641</v>
      </c>
      <c r="C257" s="69">
        <f>SUMIF('SIGAF DIC 20'!$B$2:$B$849,$A257,'SIGAF DIC 20'!$F$2:$F$849)</f>
        <v>1719597</v>
      </c>
      <c r="D257" s="69">
        <f>SUMIF('SIGAF DIC 20'!$B$2:$B$849,$A257,'SIGAF DIC 20'!$G$2:$G$849)</f>
        <v>1719597</v>
      </c>
      <c r="E257" s="69">
        <f>SUMIF('SIGAF DIC 20'!$B$2:$B$849,$A257,'SIGAF DIC 20'!$H$2:$H$849)</f>
        <v>0</v>
      </c>
      <c r="F257" s="76">
        <f t="shared" si="0"/>
        <v>0</v>
      </c>
      <c r="G257" s="69">
        <f>SUMIF('SIGAF DIC 20'!$B$2:$B$849,$A257,'SIGAF DIC 20'!$I$2:$I$849)</f>
        <v>0</v>
      </c>
      <c r="H257" s="76">
        <f t="shared" si="1"/>
        <v>0</v>
      </c>
      <c r="I257" s="69">
        <f>SUMIF('SIGAF DIC 20'!$B$2:$B$849,$A257,'SIGAF DIC 20'!$J$2:$J$849)</f>
        <v>0</v>
      </c>
      <c r="J257" s="76">
        <f t="shared" si="2"/>
        <v>0</v>
      </c>
      <c r="K257" s="69">
        <f>SUMIF('SIGAF DIC 20'!$B$2:$B$849,$A257,'SIGAF DIC 20'!$K$2:$K$849)</f>
        <v>1710500.85</v>
      </c>
      <c r="L257" s="77">
        <f t="shared" si="3"/>
        <v>0.99471030130896954</v>
      </c>
      <c r="M257" s="69">
        <f>SUMIF('SIGAF DIC 20'!$B$2:$B$849,$A257,'SIGAF DIC 20'!$M$2:$M$849)</f>
        <v>1710500.85</v>
      </c>
      <c r="N257" s="76">
        <f t="shared" si="4"/>
        <v>0.99471030130896954</v>
      </c>
      <c r="O257" s="68">
        <f>SUMIF('SIGAF DIC 20'!$B$2:$B$849,$A257,'SIGAF DIC 20'!$O$2:$O$849)</f>
        <v>9096.15</v>
      </c>
      <c r="P257" s="76">
        <f t="shared" si="5"/>
        <v>5.2896986910305147E-3</v>
      </c>
      <c r="Q257" s="69">
        <f>SUMIF('SIGAF DIC 20'!$B$2:$B$849,$A257,'SIGAF DIC 20'!$Q$2:$Q$849)</f>
        <v>9096.15</v>
      </c>
      <c r="R257" s="76">
        <f t="shared" si="6"/>
        <v>5.2896986910305147E-3</v>
      </c>
    </row>
    <row r="258" spans="1:18" x14ac:dyDescent="0.25">
      <c r="A258" s="66" t="s">
        <v>654</v>
      </c>
      <c r="B258" s="66" t="s">
        <v>641</v>
      </c>
      <c r="C258" s="69">
        <f>SUMIF('SIGAF DIC 20'!$B$2:$B$849,$A258,'SIGAF DIC 20'!$F$2:$F$849)</f>
        <v>23840389</v>
      </c>
      <c r="D258" s="69">
        <f>SUMIF('SIGAF DIC 20'!$B$2:$B$849,$A258,'SIGAF DIC 20'!$G$2:$G$849)</f>
        <v>23840389</v>
      </c>
      <c r="E258" s="69">
        <f>SUMIF('SIGAF DIC 20'!$B$2:$B$849,$A258,'SIGAF DIC 20'!$H$2:$H$849)</f>
        <v>0</v>
      </c>
      <c r="F258" s="76">
        <f t="shared" si="0"/>
        <v>0</v>
      </c>
      <c r="G258" s="69">
        <f>SUMIF('SIGAF DIC 20'!$B$2:$B$849,$A258,'SIGAF DIC 20'!$I$2:$I$849)</f>
        <v>0</v>
      </c>
      <c r="H258" s="76">
        <f t="shared" si="1"/>
        <v>0</v>
      </c>
      <c r="I258" s="69">
        <f>SUMIF('SIGAF DIC 20'!$B$2:$B$849,$A258,'SIGAF DIC 20'!$J$2:$J$849)</f>
        <v>0</v>
      </c>
      <c r="J258" s="76">
        <f t="shared" si="2"/>
        <v>0</v>
      </c>
      <c r="K258" s="69">
        <f>SUMIF('SIGAF DIC 20'!$B$2:$B$849,$A258,'SIGAF DIC 20'!$K$2:$K$849)</f>
        <v>22475539.120000001</v>
      </c>
      <c r="L258" s="77">
        <f t="shared" si="3"/>
        <v>0.94275051971677148</v>
      </c>
      <c r="M258" s="69">
        <f>SUMIF('SIGAF DIC 20'!$B$2:$B$849,$A258,'SIGAF DIC 20'!$M$2:$M$849)</f>
        <v>22475539.120000001</v>
      </c>
      <c r="N258" s="76">
        <f t="shared" si="4"/>
        <v>0.94275051971677148</v>
      </c>
      <c r="O258" s="68">
        <f>SUMIF('SIGAF DIC 20'!$B$2:$B$849,$A258,'SIGAF DIC 20'!$O$2:$O$849)</f>
        <v>1364849.88</v>
      </c>
      <c r="P258" s="76">
        <f t="shared" si="5"/>
        <v>5.7249480283228599E-2</v>
      </c>
      <c r="Q258" s="69">
        <f>SUMIF('SIGAF DIC 20'!$B$2:$B$849,$A258,'SIGAF DIC 20'!$Q$2:$Q$849)</f>
        <v>1364849.88</v>
      </c>
      <c r="R258" s="76">
        <f t="shared" si="6"/>
        <v>5.7249480283228599E-2</v>
      </c>
    </row>
    <row r="259" spans="1:18" x14ac:dyDescent="0.25">
      <c r="A259" s="66" t="s">
        <v>655</v>
      </c>
      <c r="B259" s="66" t="s">
        <v>656</v>
      </c>
      <c r="C259" s="69">
        <f>SUMIF('SIGAF DIC 20'!$B$2:$B$849,$A259,'SIGAF DIC 20'!$F$2:$F$849)</f>
        <v>10393390000</v>
      </c>
      <c r="D259" s="69">
        <f>SUMIF('SIGAF DIC 20'!$B$2:$B$849,$A259,'SIGAF DIC 20'!$G$2:$G$849)</f>
        <v>10393390000</v>
      </c>
      <c r="E259" s="69">
        <f>SUMIF('SIGAF DIC 20'!$B$2:$B$849,$A259,'SIGAF DIC 20'!$H$2:$H$849)</f>
        <v>0</v>
      </c>
      <c r="F259" s="76">
        <f t="shared" si="0"/>
        <v>0</v>
      </c>
      <c r="G259" s="69">
        <f>SUMIF('SIGAF DIC 20'!$B$2:$B$849,$A259,'SIGAF DIC 20'!$I$2:$I$849)</f>
        <v>0</v>
      </c>
      <c r="H259" s="76">
        <f t="shared" si="1"/>
        <v>0</v>
      </c>
      <c r="I259" s="69">
        <f>SUMIF('SIGAF DIC 20'!$B$2:$B$849,$A259,'SIGAF DIC 20'!$J$2:$J$849)</f>
        <v>0</v>
      </c>
      <c r="J259" s="76">
        <f t="shared" si="2"/>
        <v>0</v>
      </c>
      <c r="K259" s="69">
        <f>SUMIF('SIGAF DIC 20'!$B$2:$B$849,$A259,'SIGAF DIC 20'!$K$2:$K$849)</f>
        <v>10022233861.07</v>
      </c>
      <c r="L259" s="77">
        <f t="shared" si="3"/>
        <v>0.96428921276599833</v>
      </c>
      <c r="M259" s="69">
        <f>SUMIF('SIGAF DIC 20'!$B$2:$B$849,$A259,'SIGAF DIC 20'!$M$2:$M$849)</f>
        <v>10022233861.07</v>
      </c>
      <c r="N259" s="76">
        <f t="shared" si="4"/>
        <v>0.96428921276599833</v>
      </c>
      <c r="O259" s="68">
        <f>SUMIF('SIGAF DIC 20'!$B$2:$B$849,$A259,'SIGAF DIC 20'!$O$2:$O$849)</f>
        <v>371156138.93000001</v>
      </c>
      <c r="P259" s="76">
        <f t="shared" si="5"/>
        <v>3.5710787234001611E-2</v>
      </c>
      <c r="Q259" s="69">
        <f>SUMIF('SIGAF DIC 20'!$B$2:$B$849,$A259,'SIGAF DIC 20'!$Q$2:$Q$849)</f>
        <v>371156138.93000001</v>
      </c>
      <c r="R259" s="76">
        <f t="shared" si="6"/>
        <v>3.5710787234001611E-2</v>
      </c>
    </row>
    <row r="260" spans="1:18" x14ac:dyDescent="0.25">
      <c r="A260" s="66" t="s">
        <v>366</v>
      </c>
      <c r="B260" s="66" t="s">
        <v>657</v>
      </c>
      <c r="C260" s="69">
        <f>SUMIF('SIGAF DIC 20'!$B$2:$B$849,$A260,'SIGAF DIC 20'!$F$2:$F$849)</f>
        <v>666000000</v>
      </c>
      <c r="D260" s="69">
        <f>SUMIF('SIGAF DIC 20'!$B$2:$B$849,$A260,'SIGAF DIC 20'!$G$2:$G$849)</f>
        <v>666000000</v>
      </c>
      <c r="E260" s="69">
        <f>SUMIF('SIGAF DIC 20'!$B$2:$B$849,$A260,'SIGAF DIC 20'!$H$2:$H$849)</f>
        <v>0</v>
      </c>
      <c r="F260" s="76">
        <f t="shared" si="0"/>
        <v>0</v>
      </c>
      <c r="G260" s="69">
        <f>SUMIF('SIGAF DIC 20'!$B$2:$B$849,$A260,'SIGAF DIC 20'!$I$2:$I$849)</f>
        <v>49950000</v>
      </c>
      <c r="H260" s="76">
        <f t="shared" si="1"/>
        <v>7.4999999999999997E-2</v>
      </c>
      <c r="I260" s="69">
        <f>SUMIF('SIGAF DIC 20'!$B$2:$B$849,$A260,'SIGAF DIC 20'!$J$2:$J$849)</f>
        <v>0</v>
      </c>
      <c r="J260" s="76">
        <f t="shared" si="2"/>
        <v>0</v>
      </c>
      <c r="K260" s="69">
        <f>SUMIF('SIGAF DIC 20'!$B$2:$B$849,$A260,'SIGAF DIC 20'!$K$2:$K$849)</f>
        <v>599400000</v>
      </c>
      <c r="L260" s="77">
        <f t="shared" si="3"/>
        <v>0.9</v>
      </c>
      <c r="M260" s="69">
        <f>SUMIF('SIGAF DIC 20'!$B$2:$B$849,$A260,'SIGAF DIC 20'!$M$2:$M$849)</f>
        <v>599400000</v>
      </c>
      <c r="N260" s="76">
        <f t="shared" si="4"/>
        <v>0.9</v>
      </c>
      <c r="O260" s="68">
        <f>SUMIF('SIGAF DIC 20'!$B$2:$B$849,$A260,'SIGAF DIC 20'!$O$2:$O$849)</f>
        <v>16650000</v>
      </c>
      <c r="P260" s="76">
        <f t="shared" si="5"/>
        <v>2.5000000000000001E-2</v>
      </c>
      <c r="Q260" s="69">
        <f>SUMIF('SIGAF DIC 20'!$B$2:$B$849,$A260,'SIGAF DIC 20'!$Q$2:$Q$849)</f>
        <v>16650000</v>
      </c>
      <c r="R260" s="76">
        <f t="shared" si="6"/>
        <v>2.5000000000000001E-2</v>
      </c>
    </row>
    <row r="261" spans="1:18" x14ac:dyDescent="0.25">
      <c r="A261" s="66" t="s">
        <v>368</v>
      </c>
      <c r="B261" s="66" t="s">
        <v>658</v>
      </c>
      <c r="C261" s="69">
        <f>SUMIF('SIGAF DIC 20'!$B$2:$B$849,$A261,'SIGAF DIC 20'!$F$2:$F$849)</f>
        <v>666000000</v>
      </c>
      <c r="D261" s="69">
        <f>SUMIF('SIGAF DIC 20'!$B$2:$B$849,$A261,'SIGAF DIC 20'!$G$2:$G$849)</f>
        <v>666000000</v>
      </c>
      <c r="E261" s="69">
        <f>SUMIF('SIGAF DIC 20'!$B$2:$B$849,$A261,'SIGAF DIC 20'!$H$2:$H$849)</f>
        <v>0</v>
      </c>
      <c r="F261" s="76">
        <f t="shared" si="0"/>
        <v>0</v>
      </c>
      <c r="G261" s="69">
        <f>SUMIF('SIGAF DIC 20'!$B$2:$B$849,$A261,'SIGAF DIC 20'!$I$2:$I$849)</f>
        <v>49950000</v>
      </c>
      <c r="H261" s="76">
        <f t="shared" si="1"/>
        <v>7.4999999999999997E-2</v>
      </c>
      <c r="I261" s="69">
        <f>SUMIF('SIGAF DIC 20'!$B$2:$B$849,$A261,'SIGAF DIC 20'!$J$2:$J$849)</f>
        <v>0</v>
      </c>
      <c r="J261" s="76">
        <f t="shared" si="2"/>
        <v>0</v>
      </c>
      <c r="K261" s="69">
        <f>SUMIF('SIGAF DIC 20'!$B$2:$B$849,$A261,'SIGAF DIC 20'!$K$2:$K$849)</f>
        <v>599400000</v>
      </c>
      <c r="L261" s="77">
        <f t="shared" si="3"/>
        <v>0.9</v>
      </c>
      <c r="M261" s="69">
        <f>SUMIF('SIGAF DIC 20'!$B$2:$B$849,$A261,'SIGAF DIC 20'!$M$2:$M$849)</f>
        <v>599400000</v>
      </c>
      <c r="N261" s="76">
        <f t="shared" si="4"/>
        <v>0.9</v>
      </c>
      <c r="O261" s="68">
        <f>SUMIF('SIGAF DIC 20'!$B$2:$B$849,$A261,'SIGAF DIC 20'!$O$2:$O$849)</f>
        <v>16650000</v>
      </c>
      <c r="P261" s="76">
        <f t="shared" si="5"/>
        <v>2.5000000000000001E-2</v>
      </c>
      <c r="Q261" s="69">
        <f>SUMIF('SIGAF DIC 20'!$B$2:$B$849,$A261,'SIGAF DIC 20'!$Q$2:$Q$849)</f>
        <v>16650000</v>
      </c>
      <c r="R261" s="76">
        <f t="shared" si="6"/>
        <v>2.5000000000000001E-2</v>
      </c>
    </row>
    <row r="262" spans="1:18" x14ac:dyDescent="0.25">
      <c r="A262" s="66" t="s">
        <v>260</v>
      </c>
      <c r="B262" s="66" t="s">
        <v>261</v>
      </c>
      <c r="C262" s="69">
        <f>SUMIF('SIGAF DIC 20'!$B$2:$B$849,$A262,'SIGAF DIC 20'!$F$2:$F$849)</f>
        <v>2020779208.5</v>
      </c>
      <c r="D262" s="69">
        <f>SUMIF('SIGAF DIC 20'!$B$2:$B$849,$A262,'SIGAF DIC 20'!$G$2:$G$849)</f>
        <v>2020779208.5</v>
      </c>
      <c r="E262" s="69">
        <f>SUMIF('SIGAF DIC 20'!$B$2:$B$849,$A262,'SIGAF DIC 20'!$H$2:$H$849)</f>
        <v>0</v>
      </c>
      <c r="F262" s="76">
        <f t="shared" si="0"/>
        <v>0</v>
      </c>
      <c r="G262" s="69">
        <f>SUMIF('SIGAF DIC 20'!$B$2:$B$849,$A262,'SIGAF DIC 20'!$I$2:$I$849)</f>
        <v>151786645.44</v>
      </c>
      <c r="H262" s="76">
        <f t="shared" si="1"/>
        <v>7.51129291124632E-2</v>
      </c>
      <c r="I262" s="69">
        <f>SUMIF('SIGAF DIC 20'!$B$2:$B$849,$A262,'SIGAF DIC 20'!$J$2:$J$849)</f>
        <v>0</v>
      </c>
      <c r="J262" s="76">
        <f t="shared" si="2"/>
        <v>0</v>
      </c>
      <c r="K262" s="69">
        <f>SUMIF('SIGAF DIC 20'!$B$2:$B$849,$A262,'SIGAF DIC 20'!$K$2:$K$849)</f>
        <v>1536659224.76</v>
      </c>
      <c r="L262" s="77">
        <f t="shared" si="3"/>
        <v>0.76042905543384109</v>
      </c>
      <c r="M262" s="69">
        <f>SUMIF('SIGAF DIC 20'!$B$2:$B$849,$A262,'SIGAF DIC 20'!$M$2:$M$849)</f>
        <v>1536659224.76</v>
      </c>
      <c r="N262" s="76">
        <f t="shared" si="4"/>
        <v>0.76042905543384109</v>
      </c>
      <c r="O262" s="68">
        <f>SUMIF('SIGAF DIC 20'!$B$2:$B$849,$A262,'SIGAF DIC 20'!$O$2:$O$849)</f>
        <v>332333338.29999995</v>
      </c>
      <c r="P262" s="76">
        <f t="shared" si="5"/>
        <v>0.16445801545369571</v>
      </c>
      <c r="Q262" s="69">
        <f>SUMIF('SIGAF DIC 20'!$B$2:$B$849,$A262,'SIGAF DIC 20'!$Q$2:$Q$849)</f>
        <v>332333338.29999995</v>
      </c>
      <c r="R262" s="76">
        <f t="shared" si="6"/>
        <v>0.16445801545369571</v>
      </c>
    </row>
    <row r="263" spans="1:18" x14ac:dyDescent="0.25">
      <c r="A263" s="66" t="s">
        <v>262</v>
      </c>
      <c r="B263" s="66" t="s">
        <v>263</v>
      </c>
      <c r="C263" s="69">
        <f>SUMIF('SIGAF DIC 20'!$B$2:$B$849,$A263,'SIGAF DIC 20'!$F$2:$F$849)</f>
        <v>1469891208.5</v>
      </c>
      <c r="D263" s="69">
        <f>SUMIF('SIGAF DIC 20'!$B$2:$B$849,$A263,'SIGAF DIC 20'!$G$2:$G$849)</f>
        <v>1469891208.5</v>
      </c>
      <c r="E263" s="69">
        <f>SUMIF('SIGAF DIC 20'!$B$2:$B$849,$A263,'SIGAF DIC 20'!$H$2:$H$849)</f>
        <v>0</v>
      </c>
      <c r="F263" s="76">
        <f t="shared" si="0"/>
        <v>0</v>
      </c>
      <c r="G263" s="69">
        <f>SUMIF('SIGAF DIC 20'!$B$2:$B$849,$A263,'SIGAF DIC 20'!$I$2:$I$849)</f>
        <v>151786645.44</v>
      </c>
      <c r="H263" s="76">
        <f t="shared" si="1"/>
        <v>0.10326386372151705</v>
      </c>
      <c r="I263" s="69">
        <f>SUMIF('SIGAF DIC 20'!$B$2:$B$849,$A263,'SIGAF DIC 20'!$J$2:$J$849)</f>
        <v>0</v>
      </c>
      <c r="J263" s="76">
        <f t="shared" si="2"/>
        <v>0</v>
      </c>
      <c r="K263" s="69">
        <f>SUMIF('SIGAF DIC 20'!$B$2:$B$849,$A263,'SIGAF DIC 20'!$K$2:$K$849)</f>
        <v>1181622018.9000001</v>
      </c>
      <c r="L263" s="77">
        <f t="shared" si="3"/>
        <v>0.80388399635768015</v>
      </c>
      <c r="M263" s="69">
        <f>SUMIF('SIGAF DIC 20'!$B$2:$B$849,$A263,'SIGAF DIC 20'!$M$2:$M$849)</f>
        <v>1181622018.9000001</v>
      </c>
      <c r="N263" s="76">
        <f t="shared" si="4"/>
        <v>0.80388399635768015</v>
      </c>
      <c r="O263" s="68">
        <f>SUMIF('SIGAF DIC 20'!$B$2:$B$849,$A263,'SIGAF DIC 20'!$O$2:$O$849)</f>
        <v>136482544.16</v>
      </c>
      <c r="P263" s="76">
        <f t="shared" si="5"/>
        <v>9.2852139920802851E-2</v>
      </c>
      <c r="Q263" s="69">
        <f>SUMIF('SIGAF DIC 20'!$B$2:$B$849,$A263,'SIGAF DIC 20'!$Q$2:$Q$849)</f>
        <v>136482544.16</v>
      </c>
      <c r="R263" s="76">
        <f t="shared" si="6"/>
        <v>9.2852139920802851E-2</v>
      </c>
    </row>
    <row r="264" spans="1:18" x14ac:dyDescent="0.25">
      <c r="A264" s="66" t="s">
        <v>264</v>
      </c>
      <c r="B264" s="66" t="s">
        <v>265</v>
      </c>
      <c r="C264" s="69">
        <f>SUMIF('SIGAF DIC 20'!$B$2:$B$849,$A264,'SIGAF DIC 20'!$F$2:$F$849)</f>
        <v>550888000</v>
      </c>
      <c r="D264" s="69">
        <f>SUMIF('SIGAF DIC 20'!$B$2:$B$849,$A264,'SIGAF DIC 20'!$G$2:$G$849)</f>
        <v>550888000</v>
      </c>
      <c r="E264" s="69">
        <f>SUMIF('SIGAF DIC 20'!$B$2:$B$849,$A264,'SIGAF DIC 20'!$H$2:$H$849)</f>
        <v>0</v>
      </c>
      <c r="F264" s="76">
        <f t="shared" si="0"/>
        <v>0</v>
      </c>
      <c r="G264" s="69">
        <f>SUMIF('SIGAF DIC 20'!$B$2:$B$849,$A264,'SIGAF DIC 20'!$I$2:$I$849)</f>
        <v>0</v>
      </c>
      <c r="H264" s="76">
        <f t="shared" si="1"/>
        <v>0</v>
      </c>
      <c r="I264" s="69">
        <f>SUMIF('SIGAF DIC 20'!$B$2:$B$849,$A264,'SIGAF DIC 20'!$J$2:$J$849)</f>
        <v>0</v>
      </c>
      <c r="J264" s="76">
        <f t="shared" si="2"/>
        <v>0</v>
      </c>
      <c r="K264" s="69">
        <f>SUMIF('SIGAF DIC 20'!$B$2:$B$849,$A264,'SIGAF DIC 20'!$K$2:$K$849)</f>
        <v>355037205.86000001</v>
      </c>
      <c r="L264" s="77">
        <f t="shared" si="3"/>
        <v>0.64448164755812432</v>
      </c>
      <c r="M264" s="69">
        <f>SUMIF('SIGAF DIC 20'!$B$2:$B$849,$A264,'SIGAF DIC 20'!$M$2:$M$849)</f>
        <v>355037205.86000001</v>
      </c>
      <c r="N264" s="76">
        <f t="shared" si="4"/>
        <v>0.64448164755812432</v>
      </c>
      <c r="O264" s="68">
        <f>SUMIF('SIGAF DIC 20'!$B$2:$B$849,$A264,'SIGAF DIC 20'!$O$2:$O$849)</f>
        <v>195850794.13999999</v>
      </c>
      <c r="P264" s="76">
        <f t="shared" si="5"/>
        <v>0.35551835244187563</v>
      </c>
      <c r="Q264" s="69">
        <f>SUMIF('SIGAF DIC 20'!$B$2:$B$849,$A264,'SIGAF DIC 20'!$Q$2:$Q$849)</f>
        <v>195850794.13999999</v>
      </c>
      <c r="R264" s="76">
        <f t="shared" si="6"/>
        <v>0.35551835244187563</v>
      </c>
    </row>
    <row r="265" spans="1:18" x14ac:dyDescent="0.25">
      <c r="A265" s="66" t="s">
        <v>286</v>
      </c>
      <c r="B265" s="66" t="s">
        <v>659</v>
      </c>
      <c r="C265" s="69">
        <f>SUMIF('SIGAF DIC 20'!$B$2:$B$849,$A265,'SIGAF DIC 20'!$F$2:$F$849)</f>
        <v>188500000</v>
      </c>
      <c r="D265" s="69">
        <f>SUMIF('SIGAF DIC 20'!$B$2:$B$849,$A265,'SIGAF DIC 20'!$G$2:$G$849)</f>
        <v>188500000</v>
      </c>
      <c r="E265" s="69">
        <f>SUMIF('SIGAF DIC 20'!$B$2:$B$849,$A265,'SIGAF DIC 20'!$H$2:$H$849)</f>
        <v>0</v>
      </c>
      <c r="F265" s="76">
        <f t="shared" si="0"/>
        <v>0</v>
      </c>
      <c r="G265" s="69">
        <f>SUMIF('SIGAF DIC 20'!$B$2:$B$849,$A265,'SIGAF DIC 20'!$I$2:$I$849)</f>
        <v>0</v>
      </c>
      <c r="H265" s="76">
        <f t="shared" si="1"/>
        <v>0</v>
      </c>
      <c r="I265" s="69">
        <f>SUMIF('SIGAF DIC 20'!$B$2:$B$849,$A265,'SIGAF DIC 20'!$J$2:$J$849)</f>
        <v>0</v>
      </c>
      <c r="J265" s="76">
        <f t="shared" si="2"/>
        <v>0</v>
      </c>
      <c r="K265" s="69">
        <f>SUMIF('SIGAF DIC 20'!$B$2:$B$849,$A265,'SIGAF DIC 20'!$K$2:$K$849)</f>
        <v>43260305.789999999</v>
      </c>
      <c r="L265" s="77">
        <f t="shared" si="3"/>
        <v>0.22949764344827586</v>
      </c>
      <c r="M265" s="69">
        <f>SUMIF('SIGAF DIC 20'!$B$2:$B$849,$A265,'SIGAF DIC 20'!$M$2:$M$849)</f>
        <v>43260305.789999999</v>
      </c>
      <c r="N265" s="76">
        <f t="shared" si="4"/>
        <v>0.22949764344827586</v>
      </c>
      <c r="O265" s="68">
        <f>SUMIF('SIGAF DIC 20'!$B$2:$B$849,$A265,'SIGAF DIC 20'!$O$2:$O$849)</f>
        <v>145239694.21000001</v>
      </c>
      <c r="P265" s="76">
        <f t="shared" si="5"/>
        <v>0.77050235655172417</v>
      </c>
      <c r="Q265" s="69">
        <f>SUMIF('SIGAF DIC 20'!$B$2:$B$849,$A265,'SIGAF DIC 20'!$Q$2:$Q$849)</f>
        <v>145239694.21000001</v>
      </c>
      <c r="R265" s="76">
        <f t="shared" si="6"/>
        <v>0.77050235655172417</v>
      </c>
    </row>
    <row r="266" spans="1:18" x14ac:dyDescent="0.25">
      <c r="A266" s="66" t="s">
        <v>288</v>
      </c>
      <c r="B266" s="66" t="s">
        <v>289</v>
      </c>
      <c r="C266" s="69">
        <f>SUMIF('SIGAF DIC 20'!$B$2:$B$849,$A266,'SIGAF DIC 20'!$F$2:$F$849)</f>
        <v>123500000</v>
      </c>
      <c r="D266" s="69">
        <f>SUMIF('SIGAF DIC 20'!$B$2:$B$849,$A266,'SIGAF DIC 20'!$G$2:$G$849)</f>
        <v>123500000</v>
      </c>
      <c r="E266" s="69">
        <f>SUMIF('SIGAF DIC 20'!$B$2:$B$849,$A266,'SIGAF DIC 20'!$H$2:$H$849)</f>
        <v>0</v>
      </c>
      <c r="F266" s="76">
        <f t="shared" si="0"/>
        <v>0</v>
      </c>
      <c r="G266" s="69">
        <f>SUMIF('SIGAF DIC 20'!$B$2:$B$849,$A266,'SIGAF DIC 20'!$I$2:$I$849)</f>
        <v>0</v>
      </c>
      <c r="H266" s="76">
        <f t="shared" si="1"/>
        <v>0</v>
      </c>
      <c r="I266" s="69">
        <f>SUMIF('SIGAF DIC 20'!$B$2:$B$849,$A266,'SIGAF DIC 20'!$J$2:$J$849)</f>
        <v>0</v>
      </c>
      <c r="J266" s="76">
        <f t="shared" si="2"/>
        <v>0</v>
      </c>
      <c r="K266" s="69">
        <f>SUMIF('SIGAF DIC 20'!$B$2:$B$849,$A266,'SIGAF DIC 20'!$K$2:$K$849)</f>
        <v>8350065.6699999999</v>
      </c>
      <c r="L266" s="77">
        <f t="shared" si="3"/>
        <v>6.7611867773279349E-2</v>
      </c>
      <c r="M266" s="69">
        <f>SUMIF('SIGAF DIC 20'!$B$2:$B$849,$A266,'SIGAF DIC 20'!$M$2:$M$849)</f>
        <v>8350065.6699999999</v>
      </c>
      <c r="N266" s="76">
        <f t="shared" si="4"/>
        <v>6.7611867773279349E-2</v>
      </c>
      <c r="O266" s="68">
        <f>SUMIF('SIGAF DIC 20'!$B$2:$B$849,$A266,'SIGAF DIC 20'!$O$2:$O$849)</f>
        <v>115149934.33</v>
      </c>
      <c r="P266" s="76">
        <f t="shared" si="5"/>
        <v>0.93238813222672068</v>
      </c>
      <c r="Q266" s="69">
        <f>SUMIF('SIGAF DIC 20'!$B$2:$B$849,$A266,'SIGAF DIC 20'!$Q$2:$Q$849)</f>
        <v>115149934.33</v>
      </c>
      <c r="R266" s="76">
        <f t="shared" si="6"/>
        <v>0.93238813222672068</v>
      </c>
    </row>
    <row r="267" spans="1:18" x14ac:dyDescent="0.25">
      <c r="A267" s="66" t="s">
        <v>370</v>
      </c>
      <c r="B267" s="66" t="s">
        <v>660</v>
      </c>
      <c r="C267" s="69">
        <f>SUMIF('SIGAF DIC 20'!$B$2:$B$849,$A267,'SIGAF DIC 20'!$F$2:$F$849)</f>
        <v>65000000</v>
      </c>
      <c r="D267" s="69">
        <f>SUMIF('SIGAF DIC 20'!$B$2:$B$849,$A267,'SIGAF DIC 20'!$G$2:$G$849)</f>
        <v>65000000</v>
      </c>
      <c r="E267" s="69">
        <f>SUMIF('SIGAF DIC 20'!$B$2:$B$849,$A267,'SIGAF DIC 20'!$H$2:$H$849)</f>
        <v>0</v>
      </c>
      <c r="F267" s="76">
        <f t="shared" si="0"/>
        <v>0</v>
      </c>
      <c r="G267" s="69">
        <f>SUMIF('SIGAF DIC 20'!$B$2:$B$849,$A267,'SIGAF DIC 20'!$I$2:$I$849)</f>
        <v>0</v>
      </c>
      <c r="H267" s="76">
        <f t="shared" si="1"/>
        <v>0</v>
      </c>
      <c r="I267" s="69">
        <f>SUMIF('SIGAF DIC 20'!$B$2:$B$849,$A267,'SIGAF DIC 20'!$J$2:$J$849)</f>
        <v>0</v>
      </c>
      <c r="J267" s="76">
        <f t="shared" si="2"/>
        <v>0</v>
      </c>
      <c r="K267" s="69">
        <f>SUMIF('SIGAF DIC 20'!$B$2:$B$849,$A267,'SIGAF DIC 20'!$K$2:$K$849)</f>
        <v>34910240.119999997</v>
      </c>
      <c r="L267" s="77">
        <f t="shared" si="3"/>
        <v>0.53708061723076916</v>
      </c>
      <c r="M267" s="69">
        <f>SUMIF('SIGAF DIC 20'!$B$2:$B$849,$A267,'SIGAF DIC 20'!$M$2:$M$849)</f>
        <v>34910240.119999997</v>
      </c>
      <c r="N267" s="76">
        <f t="shared" si="4"/>
        <v>0.53708061723076916</v>
      </c>
      <c r="O267" s="68">
        <f>SUMIF('SIGAF DIC 20'!$B$2:$B$849,$A267,'SIGAF DIC 20'!$O$2:$O$849)</f>
        <v>30089759.880000003</v>
      </c>
      <c r="P267" s="76">
        <f t="shared" si="5"/>
        <v>0.46291938276923084</v>
      </c>
      <c r="Q267" s="69">
        <f>SUMIF('SIGAF DIC 20'!$B$2:$B$849,$A267,'SIGAF DIC 20'!$Q$2:$Q$849)</f>
        <v>30089759.880000003</v>
      </c>
      <c r="R267" s="76">
        <f t="shared" si="6"/>
        <v>0.46291938276923084</v>
      </c>
    </row>
    <row r="268" spans="1:18" x14ac:dyDescent="0.25">
      <c r="A268" s="66" t="s">
        <v>266</v>
      </c>
      <c r="B268" s="66" t="s">
        <v>661</v>
      </c>
      <c r="C268" s="69">
        <f>SUMIF('SIGAF DIC 20'!$B$2:$B$849,$A268,'SIGAF DIC 20'!$F$2:$F$849)</f>
        <v>422694895</v>
      </c>
      <c r="D268" s="69">
        <f>SUMIF('SIGAF DIC 20'!$B$2:$B$849,$A268,'SIGAF DIC 20'!$G$2:$G$849)</f>
        <v>422694895</v>
      </c>
      <c r="E268" s="69">
        <f>SUMIF('SIGAF DIC 20'!$B$2:$B$849,$A268,'SIGAF DIC 20'!$H$2:$H$849)</f>
        <v>0</v>
      </c>
      <c r="F268" s="76">
        <f t="shared" si="0"/>
        <v>0</v>
      </c>
      <c r="G268" s="69">
        <f>SUMIF('SIGAF DIC 20'!$B$2:$B$849,$A268,'SIGAF DIC 20'!$I$2:$I$849)</f>
        <v>445902.76</v>
      </c>
      <c r="H268" s="76">
        <f t="shared" si="1"/>
        <v>1.0549045310802724E-3</v>
      </c>
      <c r="I268" s="69">
        <f>SUMIF('SIGAF DIC 20'!$B$2:$B$849,$A268,'SIGAF DIC 20'!$J$2:$J$849)</f>
        <v>0</v>
      </c>
      <c r="J268" s="76">
        <f t="shared" si="2"/>
        <v>0</v>
      </c>
      <c r="K268" s="69">
        <f>SUMIF('SIGAF DIC 20'!$B$2:$B$849,$A268,'SIGAF DIC 20'!$K$2:$K$849)</f>
        <v>422241572.33999997</v>
      </c>
      <c r="L268" s="77">
        <f t="shared" si="3"/>
        <v>0.99892754167281805</v>
      </c>
      <c r="M268" s="69">
        <f>SUMIF('SIGAF DIC 20'!$B$2:$B$849,$A268,'SIGAF DIC 20'!$M$2:$M$849)</f>
        <v>422241572.33999997</v>
      </c>
      <c r="N268" s="76">
        <f t="shared" si="4"/>
        <v>0.99892754167281805</v>
      </c>
      <c r="O268" s="68">
        <f>SUMIF('SIGAF DIC 20'!$B$2:$B$849,$A268,'SIGAF DIC 20'!$O$2:$O$849)</f>
        <v>7419.9</v>
      </c>
      <c r="P268" s="76">
        <f t="shared" si="5"/>
        <v>1.7553796101559257E-5</v>
      </c>
      <c r="Q268" s="69">
        <f>SUMIF('SIGAF DIC 20'!$B$2:$B$849,$A268,'SIGAF DIC 20'!$Q$2:$Q$849)</f>
        <v>7419.9</v>
      </c>
      <c r="R268" s="76">
        <f t="shared" si="6"/>
        <v>1.7553796101559257E-5</v>
      </c>
    </row>
    <row r="269" spans="1:18" s="82" customFormat="1" x14ac:dyDescent="0.25">
      <c r="A269" s="78" t="s">
        <v>662</v>
      </c>
      <c r="B269" s="78" t="s">
        <v>663</v>
      </c>
      <c r="C269" s="79">
        <f>SUM(C270:C272)</f>
        <v>422694895</v>
      </c>
      <c r="D269" s="79">
        <f>SUM(D270:D272)</f>
        <v>422694895</v>
      </c>
      <c r="E269" s="79">
        <f>SUM(E270:E272)</f>
        <v>0</v>
      </c>
      <c r="F269" s="80">
        <f t="shared" si="0"/>
        <v>0</v>
      </c>
      <c r="G269" s="79">
        <f>SUM(G270:G272)</f>
        <v>445902.76</v>
      </c>
      <c r="H269" s="80">
        <f t="shared" si="1"/>
        <v>1.0549045310802724E-3</v>
      </c>
      <c r="I269" s="79">
        <f>SUM(I270:I272)</f>
        <v>0</v>
      </c>
      <c r="J269" s="80">
        <f t="shared" si="2"/>
        <v>0</v>
      </c>
      <c r="K269" s="79">
        <f>SUM(K270:K272)</f>
        <v>422241572.34000003</v>
      </c>
      <c r="L269" s="81">
        <f t="shared" si="3"/>
        <v>0.99892754167281828</v>
      </c>
      <c r="M269" s="79">
        <f>SUM(M270:M272)</f>
        <v>422241572.34000003</v>
      </c>
      <c r="N269" s="80">
        <f t="shared" si="4"/>
        <v>0.99892754167281828</v>
      </c>
      <c r="O269" s="79">
        <f>SUM(O270:O272)</f>
        <v>7419.9</v>
      </c>
      <c r="P269" s="80">
        <f t="shared" si="5"/>
        <v>1.7553796101559257E-5</v>
      </c>
      <c r="Q269" s="79">
        <f>SUM(Q270:Q272)</f>
        <v>7419.9</v>
      </c>
      <c r="R269" s="80">
        <f t="shared" si="6"/>
        <v>1.7553796101559257E-5</v>
      </c>
    </row>
    <row r="270" spans="1:18" x14ac:dyDescent="0.25">
      <c r="A270" s="66" t="s">
        <v>664</v>
      </c>
      <c r="B270" s="66" t="s">
        <v>665</v>
      </c>
      <c r="C270" s="69">
        <f>SUMIF('SIGAF DIC 20'!$B$2:$B$849,$A270,'SIGAF DIC 20'!$F$2:$F$849)</f>
        <v>406300000</v>
      </c>
      <c r="D270" s="69">
        <f>SUMIF('SIGAF DIC 20'!$B$2:$B$843,$A270,'SIGAF DIC 20'!$G$2:$G$843)</f>
        <v>406300000</v>
      </c>
      <c r="E270" s="69">
        <f>SUMIF('SIGAF DIC 20'!$B$2:$B$849,$A270,'SIGAF DIC 20'!$H$2:$H$849)</f>
        <v>0</v>
      </c>
      <c r="F270" s="76">
        <f t="shared" si="0"/>
        <v>0</v>
      </c>
      <c r="G270" s="69">
        <f>SUMIF('SIGAF DIC 20'!$B$2:$B$849,$A270,'SIGAF DIC 20'!$I$2:$I$849)</f>
        <v>0</v>
      </c>
      <c r="H270" s="76">
        <f t="shared" si="1"/>
        <v>0</v>
      </c>
      <c r="I270" s="69">
        <f>SUMIF('SIGAF DIC 20'!$B$2:$B$849,$A270,'SIGAF DIC 20'!$J$2:$J$849)</f>
        <v>0</v>
      </c>
      <c r="J270" s="76">
        <f t="shared" si="2"/>
        <v>0</v>
      </c>
      <c r="K270" s="69">
        <f>SUMIF('SIGAF DIC 20'!$B$2:$B$849,$A270,'SIGAF DIC 20'!$K$2:$K$849)</f>
        <v>406300000</v>
      </c>
      <c r="L270" s="77">
        <f t="shared" si="3"/>
        <v>1</v>
      </c>
      <c r="M270" s="69">
        <f>SUMIF('SIGAF DIC 20'!$B$2:$B$849,$A270,'SIGAF DIC 20'!$M$2:$M$849)</f>
        <v>406300000</v>
      </c>
      <c r="N270" s="76">
        <f t="shared" si="4"/>
        <v>1</v>
      </c>
      <c r="O270" s="68">
        <f>SUMIF('SIGAF DIC 20'!$B$2:$B$849,$A270,'SIGAF DIC 20'!$O$2:$O$849)</f>
        <v>0</v>
      </c>
      <c r="P270" s="76">
        <f t="shared" si="5"/>
        <v>0</v>
      </c>
      <c r="Q270" s="69">
        <f>SUMIF('SIGAF DIC 20'!$B$2:$B$849,$A270,'SIGAF DIC 20'!$Q$2:$Q$849)</f>
        <v>0</v>
      </c>
      <c r="R270" s="76">
        <f t="shared" si="6"/>
        <v>0</v>
      </c>
    </row>
    <row r="271" spans="1:18" x14ac:dyDescent="0.25">
      <c r="A271" s="66" t="s">
        <v>666</v>
      </c>
      <c r="B271" s="66" t="s">
        <v>667</v>
      </c>
      <c r="C271" s="69">
        <f>SUMIF('SIGAF DIC 20'!$B$2:$B$849,$A271,'SIGAF DIC 20'!$F$2:$F$849)</f>
        <v>13007200</v>
      </c>
      <c r="D271" s="69">
        <f>SUMIF('SIGAF DIC 20'!$B$2:$B$843,$A271,'SIGAF DIC 20'!$G$2:$G$843)</f>
        <v>13007200</v>
      </c>
      <c r="E271" s="69">
        <f>SUMIF('SIGAF DIC 20'!$B$2:$B$849,$A271,'SIGAF DIC 20'!$H$2:$H$849)</f>
        <v>0</v>
      </c>
      <c r="F271" s="76">
        <f t="shared" si="0"/>
        <v>0</v>
      </c>
      <c r="G271" s="69">
        <f>SUMIF('SIGAF DIC 20'!$B$2:$B$849,$A271,'SIGAF DIC 20'!$I$2:$I$849)</f>
        <v>445902.76</v>
      </c>
      <c r="H271" s="76">
        <f t="shared" si="1"/>
        <v>3.4281225782643462E-2</v>
      </c>
      <c r="I271" s="69">
        <f>SUMIF('SIGAF DIC 20'!$B$2:$B$849,$A271,'SIGAF DIC 20'!$J$2:$J$849)</f>
        <v>0</v>
      </c>
      <c r="J271" s="76">
        <f t="shared" si="2"/>
        <v>0</v>
      </c>
      <c r="K271" s="69">
        <f>SUMIF('SIGAF DIC 20'!$B$2:$B$849,$A271,'SIGAF DIC 20'!$K$2:$K$849)</f>
        <v>12561297.24</v>
      </c>
      <c r="L271" s="77">
        <f t="shared" si="3"/>
        <v>0.96571877421735652</v>
      </c>
      <c r="M271" s="69">
        <f>SUMIF('SIGAF DIC 20'!$B$2:$B$849,$A271,'SIGAF DIC 20'!$M$2:$M$849)</f>
        <v>12561297.24</v>
      </c>
      <c r="N271" s="76">
        <f t="shared" si="4"/>
        <v>0.96571877421735652</v>
      </c>
      <c r="O271" s="68">
        <f>SUMIF('SIGAF DIC 20'!$B$2:$B$849,$A271,'SIGAF DIC 20'!$O$2:$O$849)</f>
        <v>0</v>
      </c>
      <c r="P271" s="76">
        <f t="shared" si="5"/>
        <v>0</v>
      </c>
      <c r="Q271" s="69">
        <f>SUMIF('SIGAF DIC 20'!$B$2:$B$849,$A271,'SIGAF DIC 20'!$Q$2:$Q$849)</f>
        <v>0</v>
      </c>
      <c r="R271" s="76">
        <f t="shared" si="6"/>
        <v>0</v>
      </c>
    </row>
    <row r="272" spans="1:18" x14ac:dyDescent="0.25">
      <c r="A272" s="66" t="s">
        <v>668</v>
      </c>
      <c r="B272" s="66" t="s">
        <v>669</v>
      </c>
      <c r="C272" s="69">
        <f>SUMIF('SIGAF DIC 20'!$B$2:$B$849,$A272,'SIGAF DIC 20'!$F$2:$F$849)</f>
        <v>3387695</v>
      </c>
      <c r="D272" s="69">
        <f>SUMIF('SIGAF DIC 20'!$B$2:$B$843,$A272,'SIGAF DIC 20'!$G$2:$G$843)</f>
        <v>3387695</v>
      </c>
      <c r="E272" s="69">
        <f>SUMIF('SIGAF DIC 20'!$B$2:$B$849,$A272,'SIGAF DIC 20'!$H$2:$H$849)</f>
        <v>0</v>
      </c>
      <c r="F272" s="76">
        <f t="shared" si="0"/>
        <v>0</v>
      </c>
      <c r="G272" s="69">
        <f>SUMIF('SIGAF DIC 20'!$B$2:$B$849,$A272,'SIGAF DIC 20'!$I$2:$I$849)</f>
        <v>0</v>
      </c>
      <c r="H272" s="76">
        <f t="shared" si="1"/>
        <v>0</v>
      </c>
      <c r="I272" s="69">
        <f>SUMIF('SIGAF DIC 20'!$B$2:$B$849,$A272,'SIGAF DIC 20'!$J$2:$J$849)</f>
        <v>0</v>
      </c>
      <c r="J272" s="76">
        <f t="shared" si="2"/>
        <v>0</v>
      </c>
      <c r="K272" s="69">
        <f>SUMIF('SIGAF DIC 20'!$B$2:$B$849,$A272,'SIGAF DIC 20'!$K$2:$K$849)</f>
        <v>3380275.1</v>
      </c>
      <c r="L272" s="77">
        <f t="shared" si="3"/>
        <v>0.99780974969706548</v>
      </c>
      <c r="M272" s="69">
        <f>SUMIF('SIGAF DIC 20'!$B$2:$B$849,$A272,'SIGAF DIC 20'!$M$2:$M$849)</f>
        <v>3380275.1</v>
      </c>
      <c r="N272" s="76">
        <f t="shared" si="4"/>
        <v>0.99780974969706548</v>
      </c>
      <c r="O272" s="68">
        <f>SUMIF('SIGAF DIC 20'!$B$2:$B$849,$A272,'SIGAF DIC 20'!$O$2:$O$849)</f>
        <v>7419.9</v>
      </c>
      <c r="P272" s="76">
        <f t="shared" si="5"/>
        <v>2.190250302934591E-3</v>
      </c>
      <c r="Q272" s="69">
        <f>SUMIF('SIGAF DIC 20'!$B$2:$B$849,$A272,'SIGAF DIC 20'!$Q$2:$Q$849)</f>
        <v>7419.9</v>
      </c>
      <c r="R272" s="76">
        <f t="shared" si="6"/>
        <v>2.190250302934591E-3</v>
      </c>
    </row>
    <row r="273" spans="1:18" s="89" customFormat="1" x14ac:dyDescent="0.25">
      <c r="A273" s="85" t="s">
        <v>372</v>
      </c>
      <c r="B273" s="85" t="s">
        <v>670</v>
      </c>
      <c r="C273" s="86">
        <f>+C274</f>
        <v>581400000</v>
      </c>
      <c r="D273" s="86">
        <f>+D274</f>
        <v>581400000</v>
      </c>
      <c r="E273" s="86">
        <f>+E274</f>
        <v>0</v>
      </c>
      <c r="F273" s="87">
        <f t="shared" si="0"/>
        <v>0</v>
      </c>
      <c r="G273" s="86">
        <f>+G274</f>
        <v>0</v>
      </c>
      <c r="H273" s="87">
        <f t="shared" si="1"/>
        <v>0</v>
      </c>
      <c r="I273" s="86">
        <f>+I274</f>
        <v>0</v>
      </c>
      <c r="J273" s="87">
        <f t="shared" si="2"/>
        <v>0</v>
      </c>
      <c r="K273" s="86">
        <f>+K274</f>
        <v>125786735.68000001</v>
      </c>
      <c r="L273" s="88">
        <f t="shared" si="3"/>
        <v>0.21635145455796354</v>
      </c>
      <c r="M273" s="86">
        <f>+M274</f>
        <v>125786735.68000001</v>
      </c>
      <c r="N273" s="87">
        <f t="shared" si="4"/>
        <v>0.21635145455796354</v>
      </c>
      <c r="O273" s="86">
        <f>+O274</f>
        <v>455613264.31999999</v>
      </c>
      <c r="P273" s="87">
        <f t="shared" si="5"/>
        <v>0.78364854544203644</v>
      </c>
      <c r="Q273" s="86">
        <f>+Q274</f>
        <v>455613264.31999999</v>
      </c>
      <c r="R273" s="87">
        <f t="shared" si="6"/>
        <v>0.78364854544203644</v>
      </c>
    </row>
    <row r="274" spans="1:18" x14ac:dyDescent="0.25">
      <c r="A274" s="66" t="s">
        <v>374</v>
      </c>
      <c r="B274" s="66" t="s">
        <v>671</v>
      </c>
      <c r="C274" s="69">
        <f>SUMIF('SIGAF DIC 20'!$B$2:$B$849,$A274,'SIGAF DIC 20'!$F$2:$F$849)</f>
        <v>581400000</v>
      </c>
      <c r="D274" s="69">
        <f>SUMIF('SIGAF DIC 20'!$B$2:$B$843,$A274,'SIGAF DIC 20'!$G$2:$G$843)</f>
        <v>581400000</v>
      </c>
      <c r="E274" s="69">
        <f>SUMIF('SIGAF DIC 20'!$B$2:$B$849,$A274,'SIGAF DIC 20'!$H$2:$H$849)</f>
        <v>0</v>
      </c>
      <c r="F274" s="76">
        <f t="shared" si="0"/>
        <v>0</v>
      </c>
      <c r="G274" s="69">
        <f>SUMIF('SIGAF DIC 20'!$B$2:$B$849,$A274,'SIGAF DIC 20'!$I$2:$I$849)</f>
        <v>0</v>
      </c>
      <c r="H274" s="76">
        <f t="shared" si="1"/>
        <v>0</v>
      </c>
      <c r="I274" s="69">
        <f>SUMIF('SIGAF DIC 20'!$B$2:$B$849,$A274,'SIGAF DIC 20'!$J$2:$J$849)</f>
        <v>0</v>
      </c>
      <c r="J274" s="76">
        <f t="shared" si="2"/>
        <v>0</v>
      </c>
      <c r="K274" s="69">
        <f>SUMIF('SIGAF DIC 20'!$B$2:$B$849,$A274,'SIGAF DIC 20'!$K$2:$K$849)</f>
        <v>125786735.68000001</v>
      </c>
      <c r="L274" s="77">
        <f t="shared" si="3"/>
        <v>0.21635145455796354</v>
      </c>
      <c r="M274" s="69">
        <f>SUMIF('SIGAF DIC 20'!$B$2:$B$849,$A274,'SIGAF DIC 20'!$M$2:$M$849)</f>
        <v>125786735.68000001</v>
      </c>
      <c r="N274" s="76">
        <f t="shared" si="4"/>
        <v>0.21635145455796354</v>
      </c>
      <c r="O274" s="68">
        <f>SUMIF('SIGAF DIC 20'!$B$2:$B$849,$A274,'SIGAF DIC 20'!$O$2:$O$849)</f>
        <v>455613264.31999999</v>
      </c>
      <c r="P274" s="76">
        <f t="shared" si="5"/>
        <v>0.78364854544203644</v>
      </c>
      <c r="Q274" s="69">
        <f>SUMIF('SIGAF DIC 20'!$B$2:$B$849,$A274,'SIGAF DIC 20'!$Q$2:$Q$849)</f>
        <v>455613264.31999999</v>
      </c>
      <c r="R274" s="76">
        <f t="shared" si="6"/>
        <v>0.78364854544203644</v>
      </c>
    </row>
    <row r="275" spans="1:18" s="82" customFormat="1" x14ac:dyDescent="0.25">
      <c r="A275" s="78" t="s">
        <v>672</v>
      </c>
      <c r="B275" s="78" t="s">
        <v>673</v>
      </c>
      <c r="C275" s="79">
        <f>SUM(C276:C277)</f>
        <v>581400000</v>
      </c>
      <c r="D275" s="79">
        <f>SUM(D276:D277)</f>
        <v>581400000</v>
      </c>
      <c r="E275" s="79">
        <f>SUM(E276:E277)</f>
        <v>0</v>
      </c>
      <c r="F275" s="80">
        <f t="shared" si="0"/>
        <v>0</v>
      </c>
      <c r="G275" s="79">
        <f>SUM(G276:G277)</f>
        <v>0</v>
      </c>
      <c r="H275" s="80">
        <f t="shared" si="1"/>
        <v>0</v>
      </c>
      <c r="I275" s="79">
        <f>SUM(I276:I277)</f>
        <v>0</v>
      </c>
      <c r="J275" s="80">
        <f t="shared" si="2"/>
        <v>0</v>
      </c>
      <c r="K275" s="79">
        <f>SUM(K276:K277)</f>
        <v>125786735.68000001</v>
      </c>
      <c r="L275" s="81">
        <f t="shared" si="3"/>
        <v>0.21635145455796354</v>
      </c>
      <c r="M275" s="79">
        <f>SUM(M276:M277)</f>
        <v>125786735.68000001</v>
      </c>
      <c r="N275" s="80">
        <f t="shared" si="4"/>
        <v>0.21635145455796354</v>
      </c>
      <c r="O275" s="79">
        <f>SUM(O276:O277)</f>
        <v>455613264.31999999</v>
      </c>
      <c r="P275" s="80">
        <f t="shared" si="5"/>
        <v>0.78364854544203644</v>
      </c>
      <c r="Q275" s="79">
        <f>SUM(Q276:Q277)</f>
        <v>455613264.31999999</v>
      </c>
      <c r="R275" s="80">
        <f t="shared" si="6"/>
        <v>0.78364854544203644</v>
      </c>
    </row>
    <row r="276" spans="1:18" x14ac:dyDescent="0.25">
      <c r="A276" s="66" t="s">
        <v>674</v>
      </c>
      <c r="B276" s="66" t="s">
        <v>675</v>
      </c>
      <c r="C276" s="69">
        <f>SUMIF('SIGAF DIC 20'!$B$2:$B$849,$A276,'SIGAF DIC 20'!$F$2:$F$849)</f>
        <v>581400000</v>
      </c>
      <c r="D276" s="69">
        <f>SUMIF('SIGAF DIC 20'!$B$2:$B$843,$A276,'SIGAF DIC 20'!$G$2:$G$843)</f>
        <v>581400000</v>
      </c>
      <c r="E276" s="69">
        <f>SUMIF('SIGAF DIC 20'!$B$2:$B$849,$A276,'SIGAF DIC 20'!$H$2:$H$849)</f>
        <v>0</v>
      </c>
      <c r="F276" s="76">
        <f t="shared" si="0"/>
        <v>0</v>
      </c>
      <c r="G276" s="69">
        <f>SUMIF('SIGAF DIC 20'!$B$2:$B$849,$A276,'SIGAF DIC 20'!$I$2:$I$849)</f>
        <v>0</v>
      </c>
      <c r="H276" s="76">
        <f t="shared" si="1"/>
        <v>0</v>
      </c>
      <c r="I276" s="69">
        <f>SUMIF('SIGAF DIC 20'!$B$2:$B$849,$A276,'SIGAF DIC 20'!$J$2:$J$849)</f>
        <v>0</v>
      </c>
      <c r="J276" s="76">
        <f t="shared" si="2"/>
        <v>0</v>
      </c>
      <c r="K276" s="69">
        <f>SUMIF('SIGAF DIC 20'!$B$2:$B$849,$A276,'SIGAF DIC 20'!$K$2:$K$849)</f>
        <v>125786735.68000001</v>
      </c>
      <c r="L276" s="77">
        <f t="shared" si="3"/>
        <v>0.21635145455796354</v>
      </c>
      <c r="M276" s="69">
        <f>SUMIF('SIGAF DIC 20'!$B$2:$B$849,$A276,'SIGAF DIC 20'!$M$2:$M$849)</f>
        <v>125786735.68000001</v>
      </c>
      <c r="N276" s="76">
        <f t="shared" si="4"/>
        <v>0.21635145455796354</v>
      </c>
      <c r="O276" s="68">
        <f>SUMIF('SIGAF DIC 20'!$B$2:$B$849,$A276,'SIGAF DIC 20'!$O$2:$O$849)</f>
        <v>455613264.31999999</v>
      </c>
      <c r="P276" s="76">
        <f t="shared" si="5"/>
        <v>0.78364854544203644</v>
      </c>
      <c r="Q276" s="69">
        <f>SUMIF('SIGAF DIC 20'!$B$2:$B$849,$A276,'SIGAF DIC 20'!$Q$2:$Q$849)</f>
        <v>455613264.31999999</v>
      </c>
      <c r="R276" s="76">
        <f t="shared" si="6"/>
        <v>0.78364854544203644</v>
      </c>
    </row>
    <row r="277" spans="1:18" x14ac:dyDescent="0.25">
      <c r="A277" s="66" t="s">
        <v>676</v>
      </c>
      <c r="B277" s="66" t="s">
        <v>677</v>
      </c>
      <c r="C277" s="69">
        <f>SUMIF('SIGAF DIC 20'!$B$2:$B$849,$A277,'SIGAF DIC 20'!$F$2:$F$849)</f>
        <v>0</v>
      </c>
      <c r="D277" s="69">
        <f>SUMIF('SIGAF DIC 20'!$B$2:$B$843,$A277,'SIGAF DIC 20'!$G$2:$G$843)</f>
        <v>0</v>
      </c>
      <c r="E277" s="69">
        <f>SUMIF('SIGAF DIC 20'!$B$2:$B$849,$A277,'SIGAF DIC 20'!$H$2:$H$849)</f>
        <v>0</v>
      </c>
      <c r="F277" s="76">
        <f t="shared" si="0"/>
        <v>0</v>
      </c>
      <c r="G277" s="69">
        <f>SUMIF('SIGAF DIC 20'!$B$2:$B$849,$A277,'SIGAF DIC 20'!$I$2:$I$849)</f>
        <v>0</v>
      </c>
      <c r="H277" s="76">
        <f t="shared" si="1"/>
        <v>0</v>
      </c>
      <c r="I277" s="69">
        <f>SUMIF('SIGAF DIC 20'!$B$2:$B$849,$A277,'SIGAF DIC 20'!$J$2:$J$849)</f>
        <v>0</v>
      </c>
      <c r="J277" s="76">
        <f t="shared" si="2"/>
        <v>0</v>
      </c>
      <c r="K277" s="69">
        <f>SUMIF('SIGAF DIC 20'!$B$2:$B$849,$A277,'SIGAF DIC 20'!$K$2:$K$849)</f>
        <v>0</v>
      </c>
      <c r="L277" s="77">
        <f t="shared" si="3"/>
        <v>0</v>
      </c>
      <c r="M277" s="69">
        <f>SUMIF('SIGAF DIC 20'!$B$2:$B$849,$A277,'SIGAF DIC 20'!$M$2:$M$849)</f>
        <v>0</v>
      </c>
      <c r="N277" s="76">
        <f t="shared" si="4"/>
        <v>0</v>
      </c>
      <c r="O277" s="68">
        <f>SUMIF('SIGAF DIC 20'!$B$2:$B$849,$A277,'SIGAF DIC 20'!$O$2:$O$849)</f>
        <v>0</v>
      </c>
      <c r="P277" s="76">
        <f t="shared" si="5"/>
        <v>0</v>
      </c>
      <c r="Q277" s="69">
        <f>SUMIF('SIGAF DIC 20'!$B$2:$B$849,$A277,'SIGAF DIC 20'!$Q$2:$Q$849)</f>
        <v>0</v>
      </c>
      <c r="R277" s="76">
        <f t="shared" si="6"/>
        <v>0</v>
      </c>
    </row>
    <row r="278" spans="1:18" s="89" customFormat="1" x14ac:dyDescent="0.25">
      <c r="A278" s="85" t="s">
        <v>678</v>
      </c>
      <c r="B278" s="85" t="s">
        <v>679</v>
      </c>
      <c r="C278" s="86">
        <f t="shared" ref="C278:C279" si="7">+C279</f>
        <v>0</v>
      </c>
      <c r="D278" s="86">
        <f t="shared" ref="D278:D279" si="8">+D279</f>
        <v>0</v>
      </c>
      <c r="E278" s="86">
        <f t="shared" ref="E278:E279" si="9">+E279</f>
        <v>0</v>
      </c>
      <c r="F278" s="80">
        <f t="shared" si="0"/>
        <v>0</v>
      </c>
      <c r="G278" s="86">
        <f t="shared" ref="G278:G279" si="10">+G279</f>
        <v>0</v>
      </c>
      <c r="H278" s="80">
        <f t="shared" si="1"/>
        <v>0</v>
      </c>
      <c r="I278" s="86">
        <f t="shared" ref="I278:I279" si="11">+I279</f>
        <v>0</v>
      </c>
      <c r="J278" s="80">
        <f t="shared" si="2"/>
        <v>0</v>
      </c>
      <c r="K278" s="86">
        <f t="shared" ref="K278:K279" si="12">+K279</f>
        <v>0</v>
      </c>
      <c r="L278" s="81">
        <f t="shared" si="3"/>
        <v>0</v>
      </c>
      <c r="M278" s="86">
        <f t="shared" ref="M278:M279" si="13">+M279</f>
        <v>0</v>
      </c>
      <c r="N278" s="80">
        <f t="shared" si="4"/>
        <v>0</v>
      </c>
      <c r="O278" s="86">
        <f t="shared" ref="O278:O279" si="14">+O279</f>
        <v>0</v>
      </c>
      <c r="P278" s="80">
        <f t="shared" si="5"/>
        <v>0</v>
      </c>
      <c r="Q278" s="86">
        <f t="shared" ref="Q278:Q279" si="15">+Q279</f>
        <v>0</v>
      </c>
      <c r="R278" s="80">
        <f t="shared" si="6"/>
        <v>0</v>
      </c>
    </row>
    <row r="279" spans="1:18" s="82" customFormat="1" ht="26.25" x14ac:dyDescent="0.25">
      <c r="A279" s="78" t="s">
        <v>680</v>
      </c>
      <c r="B279" s="90" t="s">
        <v>681</v>
      </c>
      <c r="C279" s="79">
        <f t="shared" si="7"/>
        <v>0</v>
      </c>
      <c r="D279" s="79">
        <f t="shared" si="8"/>
        <v>0</v>
      </c>
      <c r="E279" s="79">
        <f t="shared" si="9"/>
        <v>0</v>
      </c>
      <c r="F279" s="80">
        <f t="shared" si="0"/>
        <v>0</v>
      </c>
      <c r="G279" s="79">
        <f t="shared" si="10"/>
        <v>0</v>
      </c>
      <c r="H279" s="80">
        <f t="shared" si="1"/>
        <v>0</v>
      </c>
      <c r="I279" s="79">
        <f t="shared" si="11"/>
        <v>0</v>
      </c>
      <c r="J279" s="80">
        <f t="shared" si="2"/>
        <v>0</v>
      </c>
      <c r="K279" s="79">
        <f t="shared" si="12"/>
        <v>0</v>
      </c>
      <c r="L279" s="81">
        <f t="shared" si="3"/>
        <v>0</v>
      </c>
      <c r="M279" s="79">
        <f t="shared" si="13"/>
        <v>0</v>
      </c>
      <c r="N279" s="80">
        <f t="shared" si="4"/>
        <v>0</v>
      </c>
      <c r="O279" s="79">
        <f t="shared" si="14"/>
        <v>0</v>
      </c>
      <c r="P279" s="80">
        <f t="shared" si="5"/>
        <v>0</v>
      </c>
      <c r="Q279" s="79">
        <f t="shared" si="15"/>
        <v>0</v>
      </c>
      <c r="R279" s="80">
        <f t="shared" si="6"/>
        <v>0</v>
      </c>
    </row>
    <row r="280" spans="1:18" ht="26.25" x14ac:dyDescent="0.25">
      <c r="A280" s="66" t="s">
        <v>682</v>
      </c>
      <c r="B280" s="91" t="s">
        <v>683</v>
      </c>
      <c r="C280" s="69">
        <f>SUMIF('SIGAF DIC 20'!$B$2:$B$849,$A280,'SIGAF DIC 20'!$F$2:$F$849)</f>
        <v>0</v>
      </c>
      <c r="D280" s="69">
        <f>SUMIF('SIGAF DIC 20'!$B$2:$B$843,$A280,'SIGAF DIC 20'!$G$2:$G$843)</f>
        <v>0</v>
      </c>
      <c r="E280" s="69">
        <f>SUMIF('SIGAF DIC 20'!$B$2:$B$849,$A280,'SIGAF DIC 20'!$H$2:$H$849)</f>
        <v>0</v>
      </c>
      <c r="F280" s="76">
        <f t="shared" si="0"/>
        <v>0</v>
      </c>
      <c r="G280" s="69">
        <f>SUMIF('SIGAF DIC 20'!$B$2:$B$849,$A280,'SIGAF DIC 20'!$I$2:$I$849)</f>
        <v>0</v>
      </c>
      <c r="H280" s="76">
        <f t="shared" si="1"/>
        <v>0</v>
      </c>
      <c r="I280" s="69">
        <f>SUMIF('SIGAF DIC 20'!$B$2:$B$849,$A280,'SIGAF DIC 20'!$J$2:$J$849)</f>
        <v>0</v>
      </c>
      <c r="J280" s="76">
        <f t="shared" si="2"/>
        <v>0</v>
      </c>
      <c r="K280" s="69">
        <f>SUMIF('SIGAF DIC 20'!$B$2:$B$849,$A280,'SIGAF DIC 20'!$K$2:$K$849)</f>
        <v>0</v>
      </c>
      <c r="L280" s="77">
        <f t="shared" si="3"/>
        <v>0</v>
      </c>
      <c r="M280" s="69">
        <f>SUMIF('SIGAF DIC 20'!$B$2:$B$849,$A280,'SIGAF DIC 20'!$M$2:$M$849)</f>
        <v>0</v>
      </c>
      <c r="N280" s="76">
        <f t="shared" si="4"/>
        <v>0</v>
      </c>
      <c r="O280" s="68">
        <f>SUMIF('SIGAF DIC 20'!$B$2:$B$849,$A280,'SIGAF DIC 20'!$O$2:$O$849)</f>
        <v>0</v>
      </c>
      <c r="P280" s="76">
        <f t="shared" si="5"/>
        <v>0</v>
      </c>
      <c r="Q280" s="69">
        <f>SUMIF('SIGAF DIC 20'!$B$2:$B$849,$A280,'SIGAF DIC 20'!$Q$2:$Q$849)</f>
        <v>0</v>
      </c>
      <c r="R280" s="76">
        <f t="shared" si="6"/>
        <v>0</v>
      </c>
    </row>
    <row r="281" spans="1:18" x14ac:dyDescent="0.25">
      <c r="A281" s="35">
        <v>214</v>
      </c>
      <c r="B281" s="35" t="s">
        <v>684</v>
      </c>
      <c r="C281" s="36">
        <f>+C11+C121+C175+C208+C224+C273+C278</f>
        <v>148398411720</v>
      </c>
      <c r="D281" s="36">
        <f>+D11+D121+D175+D208+D224+D273+D278</f>
        <v>148398411720</v>
      </c>
      <c r="E281" s="36">
        <f>+E11+E121+E175+E208+E224+E273+E278</f>
        <v>0</v>
      </c>
      <c r="F281" s="37">
        <f t="shared" si="0"/>
        <v>0</v>
      </c>
      <c r="G281" s="36">
        <f>+G11+G121+G175+G208+G224+G273+G278</f>
        <v>2231171633.8499999</v>
      </c>
      <c r="H281" s="37">
        <f t="shared" si="1"/>
        <v>1.5035010199838276E-2</v>
      </c>
      <c r="I281" s="36">
        <f>+I11+I121+I175+I208+I224+I273+I278</f>
        <v>0</v>
      </c>
      <c r="J281" s="37">
        <f t="shared" si="2"/>
        <v>0</v>
      </c>
      <c r="K281" s="36">
        <f>+K11+K121+K175+K208+K224+K273+K278</f>
        <v>136630086152.52998</v>
      </c>
      <c r="L281" s="38">
        <f t="shared" si="3"/>
        <v>0.92069776602680464</v>
      </c>
      <c r="M281" s="36">
        <f>+M11+M121+M175+M208+M224+M273+M278</f>
        <v>132483980382.72997</v>
      </c>
      <c r="N281" s="37">
        <f t="shared" si="4"/>
        <v>0.89275874887867679</v>
      </c>
      <c r="O281" s="36">
        <f>+O11+O121+O175+O208+O224+O273+O278</f>
        <v>9537153933.6200008</v>
      </c>
      <c r="P281" s="37">
        <f t="shared" si="5"/>
        <v>6.4267223773356974E-2</v>
      </c>
      <c r="Q281" s="36">
        <f>+Q11+Q121+Q175+Q208+Q224+Q273+Q278</f>
        <v>9537153933.6200008</v>
      </c>
      <c r="R281" s="37">
        <f t="shared" si="6"/>
        <v>6.4267223773356974E-2</v>
      </c>
    </row>
    <row r="282" spans="1:18" x14ac:dyDescent="0.25">
      <c r="C282" s="92">
        <f>+C281-'SIGAF DIC 20'!F2</f>
        <v>0</v>
      </c>
      <c r="D282" s="92">
        <f>+D281-'SIGAF DIC 20'!G2</f>
        <v>0</v>
      </c>
      <c r="E282" s="92">
        <f>+E281-'SIGAF DIC 20'!H2</f>
        <v>0</v>
      </c>
      <c r="F282" s="92"/>
      <c r="G282" s="92">
        <f>+G281-'SIGAF DIC 20'!I2</f>
        <v>0</v>
      </c>
      <c r="I282" s="92">
        <f>+I281-'SIGAF DIC 20'!J2</f>
        <v>0</v>
      </c>
      <c r="K282" s="92">
        <f>+K281-'SIGAF DIC 20'!K2</f>
        <v>0</v>
      </c>
      <c r="M282" s="92">
        <f>+M281-'SIGAF DIC 20'!M2</f>
        <v>0</v>
      </c>
      <c r="O282" s="92">
        <f>+O281-'SIGAF DIC 20'!O2</f>
        <v>0</v>
      </c>
      <c r="Q282" s="92">
        <f>+Q281-'SIGAF DIC 20'!Q2</f>
        <v>0</v>
      </c>
    </row>
    <row r="284" spans="1:18" x14ac:dyDescent="0.25">
      <c r="K284" s="93" t="s">
        <v>685</v>
      </c>
      <c r="L284" s="94"/>
      <c r="O284" s="95" t="s">
        <v>686</v>
      </c>
      <c r="P284" s="82"/>
    </row>
    <row r="294" spans="11:11" x14ac:dyDescent="0.25">
      <c r="K294" s="22"/>
    </row>
    <row r="295" spans="11:11" x14ac:dyDescent="0.25">
      <c r="K295" s="33"/>
    </row>
  </sheetData>
  <sheetProtection selectLockedCells="1" selectUnlockedCells="1"/>
  <mergeCells count="6">
    <mergeCell ref="A1:R1"/>
    <mergeCell ref="A2:R2"/>
    <mergeCell ref="A3:R3"/>
    <mergeCell ref="A4:R4"/>
    <mergeCell ref="A5:R5"/>
    <mergeCell ref="A6:R6"/>
  </mergeCells>
  <conditionalFormatting sqref="L10:L31 L42:L47 L57:L63 L73:L75 L84:L85 L88 L100:L105 L119:L196 L199:L221 L257:L280 L223:L228 L230:L235">
    <cfRule type="cellIs" dxfId="74" priority="1" stopIfTrue="1" operator="lessThan">
      <formula>0.75</formula>
    </cfRule>
  </conditionalFormatting>
  <conditionalFormatting sqref="P10:P31 P42:P47 P57:P63 P73:P75 P84:P85 P88 P100:P105 P119:P196 P199:P221 P257:P280 P223:P228 P230:P235">
    <cfRule type="cellIs" dxfId="73" priority="2" stopIfTrue="1" operator="greaterThan">
      <formula>0.25</formula>
    </cfRule>
  </conditionalFormatting>
  <conditionalFormatting sqref="R278">
    <cfRule type="cellIs" dxfId="72" priority="3" stopIfTrue="1" operator="greaterThan">
      <formula>0.5</formula>
    </cfRule>
  </conditionalFormatting>
  <conditionalFormatting sqref="R279">
    <cfRule type="cellIs" dxfId="71" priority="4" stopIfTrue="1" operator="greaterThan">
      <formula>0.5</formula>
    </cfRule>
  </conditionalFormatting>
  <conditionalFormatting sqref="R280">
    <cfRule type="cellIs" dxfId="70" priority="5" stopIfTrue="1" operator="greaterThan">
      <formula>0.5</formula>
    </cfRule>
  </conditionalFormatting>
  <conditionalFormatting sqref="L197:L198">
    <cfRule type="cellIs" dxfId="69" priority="6" stopIfTrue="1" operator="lessThan">
      <formula>0.75</formula>
    </cfRule>
  </conditionalFormatting>
  <conditionalFormatting sqref="P197:P198">
    <cfRule type="cellIs" dxfId="68" priority="7" stopIfTrue="1" operator="greaterThan">
      <formula>0.25</formula>
    </cfRule>
  </conditionalFormatting>
  <conditionalFormatting sqref="L32:L39">
    <cfRule type="cellIs" dxfId="67" priority="8" stopIfTrue="1" operator="lessThan">
      <formula>0.75</formula>
    </cfRule>
  </conditionalFormatting>
  <conditionalFormatting sqref="P32:P39">
    <cfRule type="cellIs" dxfId="66" priority="9" stopIfTrue="1" operator="greaterThan">
      <formula>0.25</formula>
    </cfRule>
  </conditionalFormatting>
  <conditionalFormatting sqref="L40">
    <cfRule type="cellIs" dxfId="65" priority="10" stopIfTrue="1" operator="lessThan">
      <formula>0.75</formula>
    </cfRule>
  </conditionalFormatting>
  <conditionalFormatting sqref="P40">
    <cfRule type="cellIs" dxfId="64" priority="11" stopIfTrue="1" operator="greaterThan">
      <formula>0.25</formula>
    </cfRule>
  </conditionalFormatting>
  <conditionalFormatting sqref="L41">
    <cfRule type="cellIs" dxfId="63" priority="12" stopIfTrue="1" operator="lessThan">
      <formula>0.75</formula>
    </cfRule>
  </conditionalFormatting>
  <conditionalFormatting sqref="P41">
    <cfRule type="cellIs" dxfId="62" priority="13" stopIfTrue="1" operator="greaterThan">
      <formula>0.25</formula>
    </cfRule>
  </conditionalFormatting>
  <conditionalFormatting sqref="L48:L52">
    <cfRule type="cellIs" dxfId="61" priority="14" stopIfTrue="1" operator="lessThan">
      <formula>0.75</formula>
    </cfRule>
  </conditionalFormatting>
  <conditionalFormatting sqref="P48:P52">
    <cfRule type="cellIs" dxfId="60" priority="15" stopIfTrue="1" operator="greaterThan">
      <formula>0.25</formula>
    </cfRule>
  </conditionalFormatting>
  <conditionalFormatting sqref="L53:L56">
    <cfRule type="cellIs" dxfId="59" priority="16" stopIfTrue="1" operator="lessThan">
      <formula>0.75</formula>
    </cfRule>
  </conditionalFormatting>
  <conditionalFormatting sqref="P53:P56">
    <cfRule type="cellIs" dxfId="58" priority="17" stopIfTrue="1" operator="greaterThan">
      <formula>0.25</formula>
    </cfRule>
  </conditionalFormatting>
  <conditionalFormatting sqref="L64:L72">
    <cfRule type="cellIs" dxfId="57" priority="18" stopIfTrue="1" operator="lessThan">
      <formula>0.75</formula>
    </cfRule>
  </conditionalFormatting>
  <conditionalFormatting sqref="P64:P72">
    <cfRule type="cellIs" dxfId="56" priority="19" stopIfTrue="1" operator="greaterThan">
      <formula>0.25</formula>
    </cfRule>
  </conditionalFormatting>
  <conditionalFormatting sqref="L76:L77">
    <cfRule type="cellIs" dxfId="55" priority="20" stopIfTrue="1" operator="lessThan">
      <formula>0.75</formula>
    </cfRule>
  </conditionalFormatting>
  <conditionalFormatting sqref="P76:P77">
    <cfRule type="cellIs" dxfId="54" priority="21" stopIfTrue="1" operator="greaterThan">
      <formula>0.25</formula>
    </cfRule>
  </conditionalFormatting>
  <conditionalFormatting sqref="L78:L83">
    <cfRule type="cellIs" dxfId="53" priority="22" stopIfTrue="1" operator="lessThan">
      <formula>0.75</formula>
    </cfRule>
  </conditionalFormatting>
  <conditionalFormatting sqref="P78:P83">
    <cfRule type="cellIs" dxfId="52" priority="23" stopIfTrue="1" operator="greaterThan">
      <formula>0.25</formula>
    </cfRule>
  </conditionalFormatting>
  <conditionalFormatting sqref="L86:L87">
    <cfRule type="cellIs" dxfId="51" priority="24" stopIfTrue="1" operator="lessThan">
      <formula>0.75</formula>
    </cfRule>
  </conditionalFormatting>
  <conditionalFormatting sqref="P86:P87">
    <cfRule type="cellIs" dxfId="50" priority="25" stopIfTrue="1" operator="greaterThan">
      <formula>0.25</formula>
    </cfRule>
  </conditionalFormatting>
  <conditionalFormatting sqref="L89:L99">
    <cfRule type="cellIs" dxfId="49" priority="26" stopIfTrue="1" operator="lessThan">
      <formula>0.75</formula>
    </cfRule>
  </conditionalFormatting>
  <conditionalFormatting sqref="P89:P99">
    <cfRule type="cellIs" dxfId="48" priority="27" stopIfTrue="1" operator="greaterThan">
      <formula>0.25</formula>
    </cfRule>
  </conditionalFormatting>
  <conditionalFormatting sqref="L106:L118">
    <cfRule type="cellIs" dxfId="47" priority="28" stopIfTrue="1" operator="lessThan">
      <formula>0.75</formula>
    </cfRule>
  </conditionalFormatting>
  <conditionalFormatting sqref="P106:P118">
    <cfRule type="cellIs" dxfId="46" priority="29" stopIfTrue="1" operator="greaterThan">
      <formula>0.25</formula>
    </cfRule>
  </conditionalFormatting>
  <conditionalFormatting sqref="L236:L244">
    <cfRule type="cellIs" dxfId="45" priority="30" stopIfTrue="1" operator="lessThan">
      <formula>0.75</formula>
    </cfRule>
  </conditionalFormatting>
  <conditionalFormatting sqref="P236:P244">
    <cfRule type="cellIs" dxfId="44" priority="31" stopIfTrue="1" operator="greaterThan">
      <formula>0.25</formula>
    </cfRule>
  </conditionalFormatting>
  <conditionalFormatting sqref="L245:L256">
    <cfRule type="cellIs" dxfId="43" priority="32" stopIfTrue="1" operator="lessThan">
      <formula>0.75</formula>
    </cfRule>
  </conditionalFormatting>
  <conditionalFormatting sqref="P245:P256">
    <cfRule type="cellIs" dxfId="42" priority="33" stopIfTrue="1" operator="greaterThan">
      <formula>0.25</formula>
    </cfRule>
  </conditionalFormatting>
  <conditionalFormatting sqref="L222">
    <cfRule type="cellIs" dxfId="41" priority="34" stopIfTrue="1" operator="lessThan">
      <formula>0.75</formula>
    </cfRule>
  </conditionalFormatting>
  <conditionalFormatting sqref="P222">
    <cfRule type="cellIs" dxfId="40" priority="35" stopIfTrue="1" operator="greaterThan">
      <formula>0.25</formula>
    </cfRule>
  </conditionalFormatting>
  <conditionalFormatting sqref="L229">
    <cfRule type="cellIs" dxfId="39" priority="36" stopIfTrue="1" operator="lessThan">
      <formula>0.75</formula>
    </cfRule>
  </conditionalFormatting>
  <conditionalFormatting sqref="P229">
    <cfRule type="cellIs" dxfId="38" priority="37" stopIfTrue="1" operator="greaterThan">
      <formula>0.25</formula>
    </cfRule>
  </conditionalFormatting>
  <printOptions horizontalCentered="1"/>
  <pageMargins left="0.11805555555555555" right="0.11805555555555555" top="0.15763888888888888" bottom="0.15763888888888888" header="0.51180555555555551" footer="0.51180555555555551"/>
  <pageSetup firstPageNumber="0" fitToHeight="0" orientation="landscape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58"/>
  <sheetViews>
    <sheetView zoomScaleNormal="100" workbookViewId="0"/>
  </sheetViews>
  <sheetFormatPr baseColWidth="10" defaultColWidth="11" defaultRowHeight="15" x14ac:dyDescent="0.25"/>
  <cols>
    <col min="2" max="2" width="20.42578125" customWidth="1"/>
    <col min="3" max="3" width="36.85546875" customWidth="1"/>
    <col min="4" max="4" width="21" customWidth="1"/>
    <col min="5" max="5" width="23.140625" customWidth="1"/>
    <col min="6" max="6" width="17.140625" customWidth="1"/>
    <col min="7" max="7" width="18.28515625" customWidth="1"/>
    <col min="8" max="8" width="18.28515625" hidden="1" customWidth="1"/>
    <col min="9" max="9" width="19.42578125" customWidth="1"/>
    <col min="10" max="10" width="18.28515625" customWidth="1"/>
    <col min="11" max="11" width="28.140625" customWidth="1"/>
  </cols>
  <sheetData>
    <row r="1" spans="2:13" ht="18" customHeight="1" x14ac:dyDescent="0.25">
      <c r="C1" s="606" t="s">
        <v>2</v>
      </c>
      <c r="D1" s="607" t="s">
        <v>687</v>
      </c>
      <c r="E1" s="608" t="s">
        <v>4</v>
      </c>
      <c r="F1" s="608" t="s">
        <v>5</v>
      </c>
      <c r="G1" s="608" t="s">
        <v>6</v>
      </c>
      <c r="H1" s="608"/>
      <c r="I1" s="608"/>
      <c r="J1" s="608" t="s">
        <v>688</v>
      </c>
      <c r="K1" s="608" t="s">
        <v>7</v>
      </c>
      <c r="L1" s="608" t="s">
        <v>8</v>
      </c>
      <c r="M1" s="609" t="s">
        <v>689</v>
      </c>
    </row>
    <row r="2" spans="2:13" ht="17.25" x14ac:dyDescent="0.25">
      <c r="C2" s="606"/>
      <c r="D2" s="607"/>
      <c r="E2" s="608"/>
      <c r="F2" s="608"/>
      <c r="G2" s="100" t="s">
        <v>10</v>
      </c>
      <c r="H2" s="100" t="s">
        <v>11</v>
      </c>
      <c r="I2" s="98" t="s">
        <v>12</v>
      </c>
      <c r="J2" s="608"/>
      <c r="K2" s="608"/>
      <c r="L2" s="608"/>
      <c r="M2" s="609"/>
    </row>
    <row r="3" spans="2:13" s="74" customFormat="1" ht="17.25" x14ac:dyDescent="0.25">
      <c r="B3" s="101" t="str">
        <f>+Estado!A11</f>
        <v>E-0</v>
      </c>
      <c r="C3" s="102" t="str">
        <f>IFERROR(VLOOKUP(B3,Estado!$A$9:$B$586,2,FALSE),0)</f>
        <v>REMUNERACIONES</v>
      </c>
      <c r="D3" s="103">
        <f t="shared" ref="D3:K3" si="0">+D4+D8+D12+D18+D21+D26</f>
        <v>94465165805.5</v>
      </c>
      <c r="E3" s="103">
        <f t="shared" si="0"/>
        <v>58064915.509999998</v>
      </c>
      <c r="F3" s="103">
        <f t="shared" si="0"/>
        <v>0</v>
      </c>
      <c r="G3" s="103">
        <f t="shared" si="0"/>
        <v>58064915.509999998</v>
      </c>
      <c r="H3" s="103">
        <f t="shared" si="0"/>
        <v>0</v>
      </c>
      <c r="I3" s="103">
        <f t="shared" si="0"/>
        <v>89065354586.550003</v>
      </c>
      <c r="J3" s="103">
        <f t="shared" si="0"/>
        <v>89123419502.060013</v>
      </c>
      <c r="K3" s="103">
        <f t="shared" si="0"/>
        <v>5341746303.4399996</v>
      </c>
      <c r="L3" s="104">
        <f t="shared" ref="L3:L150" si="1">+IFERROR(SUM(G3:I3)/D3,0)</f>
        <v>0.94345273987621592</v>
      </c>
      <c r="M3" s="104">
        <f t="shared" ref="M3:M150" si="2">+IFERROR(+K3/D3,0)</f>
        <v>5.6547260123784061E-2</v>
      </c>
    </row>
    <row r="4" spans="2:13" s="23" customFormat="1" ht="16.5" x14ac:dyDescent="0.25">
      <c r="B4" s="105" t="str">
        <f>+Estado!A12</f>
        <v>E-001</v>
      </c>
      <c r="C4" s="106" t="str">
        <f>IFERROR(VLOOKUP(B4,Estado!$A$9:$B$586,2,FALSE),0)</f>
        <v>REMUNERACIONES BASIC</v>
      </c>
      <c r="D4" s="9">
        <f>SUMIF(Estado!$A$9:$A$449,$B4,Estado!$C$9:$C$449)</f>
        <v>33438929375.5</v>
      </c>
      <c r="E4" s="9">
        <f>SUMIF(Estado!$A$9:$A$449,$B4,Estado!$G$9:$G$449)</f>
        <v>0</v>
      </c>
      <c r="F4" s="9">
        <f>SUMIF(Estado!$A$9:$A$449,$B4,Estado!$E$9:$E$449)</f>
        <v>0</v>
      </c>
      <c r="G4" s="9">
        <f>SUMIF(Estado!$A$9:$A$449,$B4,Estado!$G$9:$G$449)</f>
        <v>0</v>
      </c>
      <c r="H4" s="9">
        <f>SUMIF(Estado!$A$9:$A$449,$B4,Estado!$I$9:$I$449)</f>
        <v>0</v>
      </c>
      <c r="I4" s="9">
        <f>SUMIF(Estado!$A$9:$A$449,$B4,Estado!$K$9:$K$449)</f>
        <v>31829423587.170002</v>
      </c>
      <c r="J4" s="9">
        <f t="shared" ref="J4:J27" si="3">SUM(G4:I4)</f>
        <v>31829423587.170002</v>
      </c>
      <c r="K4" s="9">
        <f>SUMIF(Estado!$A$9:$A$449,$B4,Estado!$O$9:$O$449)</f>
        <v>1609505788.3300002</v>
      </c>
      <c r="L4" s="107">
        <f t="shared" si="1"/>
        <v>0.95186730501278405</v>
      </c>
      <c r="M4" s="107">
        <f t="shared" si="2"/>
        <v>4.8132694987216042E-2</v>
      </c>
    </row>
    <row r="5" spans="2:13" s="23" customFormat="1" ht="16.5" x14ac:dyDescent="0.25">
      <c r="B5" s="105" t="str">
        <f>+Estado!A13</f>
        <v>E-00101</v>
      </c>
      <c r="C5" s="106" t="str">
        <f>IFERROR(VLOOKUP(B5,Estado!$A$9:$B$586,2,FALSE),0)</f>
        <v>SUELDOS P/ C. FIJOS</v>
      </c>
      <c r="D5" s="9">
        <f>SUMIF(Estado!$A$9:$A$449,$B5,Estado!$C$9:$C$449)</f>
        <v>33432229375.5</v>
      </c>
      <c r="E5" s="9">
        <f>SUMIF(Estado!$A$9:$A$449,$B5,Estado!$G$9:$G$449)</f>
        <v>0</v>
      </c>
      <c r="F5" s="9">
        <f>SUMIF(Estado!$A$9:$A$449,$B5,Estado!$E$9:$E$449)</f>
        <v>0</v>
      </c>
      <c r="G5" s="9">
        <f>SUMIF(Estado!$A$9:$A$449,$B5,Estado!$G$9:$G$449)</f>
        <v>0</v>
      </c>
      <c r="H5" s="9">
        <f>SUMIF(Estado!$A$9:$A$449,$B5,Estado!$I$9:$I$449)</f>
        <v>0</v>
      </c>
      <c r="I5" s="9">
        <f>SUMIF(Estado!$A$9:$A$449,$B5,Estado!$K$9:$K$449)</f>
        <v>31829423587.170002</v>
      </c>
      <c r="J5" s="9">
        <f t="shared" si="3"/>
        <v>31829423587.170002</v>
      </c>
      <c r="K5" s="9">
        <f>SUMIF(Estado!$A$9:$A$449,$B5,Estado!$O$9:$O$449)</f>
        <v>1602805788.3300002</v>
      </c>
      <c r="L5" s="107">
        <f t="shared" si="1"/>
        <v>0.95205806438069684</v>
      </c>
      <c r="M5" s="107">
        <f t="shared" si="2"/>
        <v>4.7941935619303259E-2</v>
      </c>
    </row>
    <row r="6" spans="2:13" s="23" customFormat="1" ht="16.5" x14ac:dyDescent="0.25">
      <c r="B6" s="105" t="str">
        <f>+Estado!A14</f>
        <v>E-00103</v>
      </c>
      <c r="C6" s="106" t="str">
        <f>IFERROR(VLOOKUP(B6,Estado!$A$9:$B$586,2,FALSE),0)</f>
        <v>SERVICIOS ESPECIALES</v>
      </c>
      <c r="D6" s="9">
        <f>SUMIF(Estado!$A$9:$A$449,$B6,Estado!$C$9:$C$449)</f>
        <v>0</v>
      </c>
      <c r="E6" s="9">
        <f>SUMIF(Estado!$A$9:$A$449,$B6,Estado!$G$9:$G$449)</f>
        <v>0</v>
      </c>
      <c r="F6" s="9">
        <f>SUMIF(Estado!$A$9:$A$449,$B6,Estado!$E$9:$E$449)</f>
        <v>0</v>
      </c>
      <c r="G6" s="9">
        <f>SUMIF(Estado!$A$9:$A$449,$B6,Estado!$G$9:$G$449)</f>
        <v>0</v>
      </c>
      <c r="H6" s="9">
        <f>SUMIF(Estado!$A$9:$A$449,$B6,Estado!$I$9:$I$449)</f>
        <v>0</v>
      </c>
      <c r="I6" s="9">
        <f>SUMIF(Estado!$A$9:$A$449,$B6,Estado!$K$9:$K$449)</f>
        <v>0</v>
      </c>
      <c r="J6" s="9">
        <f t="shared" si="3"/>
        <v>0</v>
      </c>
      <c r="K6" s="9">
        <f>SUMIF(Estado!$A$9:$A$449,$B6,Estado!$O$9:$O$449)</f>
        <v>0</v>
      </c>
      <c r="L6" s="107">
        <f t="shared" si="1"/>
        <v>0</v>
      </c>
      <c r="M6" s="107">
        <f t="shared" si="2"/>
        <v>0</v>
      </c>
    </row>
    <row r="7" spans="2:13" s="23" customFormat="1" ht="16.5" x14ac:dyDescent="0.25">
      <c r="B7" s="105" t="str">
        <f>+Estado!A15</f>
        <v>E-00105</v>
      </c>
      <c r="C7" s="106" t="str">
        <f>IFERROR(VLOOKUP(B7,Estado!$A$9:$B$586,2,FALSE),0)</f>
        <v>SUPLENCIAS</v>
      </c>
      <c r="D7" s="9">
        <f>SUMIF(Estado!$A$9:$A$449,$B7,Estado!$C$9:$C$449)</f>
        <v>6700000</v>
      </c>
      <c r="E7" s="9">
        <f>SUMIF(Estado!$A$9:$A$449,$B7,Estado!$G$9:$G$449)</f>
        <v>0</v>
      </c>
      <c r="F7" s="9">
        <f>SUMIF(Estado!$A$9:$A$449,$B7,Estado!$E$9:$E$449)</f>
        <v>0</v>
      </c>
      <c r="G7" s="9">
        <f>SUMIF(Estado!$A$9:$A$449,$B7,Estado!$G$9:$G$449)</f>
        <v>0</v>
      </c>
      <c r="H7" s="9">
        <f>SUMIF(Estado!$A$9:$A$449,$B7,Estado!$I$9:$I$449)</f>
        <v>0</v>
      </c>
      <c r="I7" s="9">
        <f>SUMIF(Estado!$A$9:$A$449,$B7,Estado!$K$9:$K$449)</f>
        <v>0</v>
      </c>
      <c r="J7" s="9">
        <f t="shared" si="3"/>
        <v>0</v>
      </c>
      <c r="K7" s="9">
        <f>SUMIF(Estado!$A$9:$A$449,$B7,Estado!$O$9:$O$449)</f>
        <v>6700000</v>
      </c>
      <c r="L7" s="107">
        <f t="shared" si="1"/>
        <v>0</v>
      </c>
      <c r="M7" s="107">
        <f t="shared" si="2"/>
        <v>1</v>
      </c>
    </row>
    <row r="8" spans="2:13" s="23" customFormat="1" ht="16.5" x14ac:dyDescent="0.25">
      <c r="B8" s="105" t="str">
        <f>+Estado!A16</f>
        <v>E-002</v>
      </c>
      <c r="C8" s="106" t="str">
        <f>IFERROR(VLOOKUP(B8,Estado!$A$9:$B$586,2,FALSE),0)</f>
        <v>REMUNERACIONES EVENT</v>
      </c>
      <c r="D8" s="9">
        <f>SUMIF(Estado!$A$9:$A$449,$B8,Estado!$C$9:$C$449)</f>
        <v>3726725900</v>
      </c>
      <c r="E8" s="9">
        <f>SUMIF(Estado!$A$9:$A$449,$B8,Estado!$G$9:$G$449)</f>
        <v>0</v>
      </c>
      <c r="F8" s="9">
        <f>SUMIF(Estado!$A$9:$A$449,$B8,Estado!$E$9:$E$449)</f>
        <v>0</v>
      </c>
      <c r="G8" s="9">
        <f>SUMIF(Estado!$A$9:$A$449,$B8,Estado!$G$9:$G$449)</f>
        <v>0</v>
      </c>
      <c r="H8" s="9">
        <f>SUMIF(Estado!$A$9:$A$449,$B8,Estado!$I$9:$I$449)</f>
        <v>0</v>
      </c>
      <c r="I8" s="9">
        <f>SUMIF(Estado!$A$9:$A$449,$B8,Estado!$K$9:$K$449)</f>
        <v>3626989544.98</v>
      </c>
      <c r="J8" s="9">
        <f t="shared" si="3"/>
        <v>3626989544.98</v>
      </c>
      <c r="K8" s="9">
        <f>SUMIF(Estado!$A$9:$A$449,$B8,Estado!$O$9:$O$449)</f>
        <v>99736355.019999996</v>
      </c>
      <c r="L8" s="107">
        <f t="shared" si="1"/>
        <v>0.97323753941227609</v>
      </c>
      <c r="M8" s="107">
        <f t="shared" si="2"/>
        <v>2.676246058772393E-2</v>
      </c>
    </row>
    <row r="9" spans="2:13" s="23" customFormat="1" ht="16.5" x14ac:dyDescent="0.25">
      <c r="B9" s="105" t="str">
        <f>+Estado!A17</f>
        <v>E-00201</v>
      </c>
      <c r="C9" s="106" t="str">
        <f>IFERROR(VLOOKUP(B9,Estado!$A$9:$B$586,2,FALSE),0)</f>
        <v>TIEMPO EXTRAORD.</v>
      </c>
      <c r="D9" s="9">
        <f>SUMIF(Estado!$A$9:$A$449,$B9,Estado!$C$9:$C$449)</f>
        <v>19000000</v>
      </c>
      <c r="E9" s="9">
        <f>SUMIF(Estado!$A$9:$A$449,$B9,Estado!$G$9:$G$449)</f>
        <v>0</v>
      </c>
      <c r="F9" s="9">
        <f>SUMIF(Estado!$A$9:$A$449,$B9,Estado!$E$9:$E$449)</f>
        <v>0</v>
      </c>
      <c r="G9" s="9">
        <f>SUMIF(Estado!$A$9:$A$449,$B9,Estado!$G$9:$G$449)</f>
        <v>0</v>
      </c>
      <c r="H9" s="9">
        <f>SUMIF(Estado!$A$9:$A$449,$B9,Estado!$I$9:$I$449)</f>
        <v>0</v>
      </c>
      <c r="I9" s="9">
        <f>SUMIF(Estado!$A$9:$A$449,$B9,Estado!$K$9:$K$449)</f>
        <v>9082088.370000001</v>
      </c>
      <c r="J9" s="9">
        <f t="shared" si="3"/>
        <v>9082088.370000001</v>
      </c>
      <c r="K9" s="9">
        <f>SUMIF(Estado!$A$9:$A$449,$B9,Estado!$O$9:$O$449)</f>
        <v>9917911.629999999</v>
      </c>
      <c r="L9" s="107">
        <f t="shared" si="1"/>
        <v>0.47800465105263162</v>
      </c>
      <c r="M9" s="107">
        <f t="shared" si="2"/>
        <v>0.52199534894736832</v>
      </c>
    </row>
    <row r="10" spans="2:13" s="23" customFormat="1" ht="16.5" x14ac:dyDescent="0.25">
      <c r="B10" s="105" t="str">
        <f>+Estado!A18</f>
        <v>E-00202</v>
      </c>
      <c r="C10" s="106" t="str">
        <f>IFERROR(VLOOKUP(B10,Estado!$A$9:$B$586,2,FALSE),0)</f>
        <v>RECARGO DE FUNCIONES</v>
      </c>
      <c r="D10" s="9">
        <f>SUMIF(Estado!$A$9:$A$449,$B10,Estado!$C$9:$C$449)</f>
        <v>25000000</v>
      </c>
      <c r="E10" s="9">
        <f>SUMIF(Estado!$A$9:$A$449,$B10,Estado!$G$9:$G$449)</f>
        <v>0</v>
      </c>
      <c r="F10" s="9">
        <f>SUMIF(Estado!$A$9:$A$449,$B10,Estado!$E$9:$E$449)</f>
        <v>0</v>
      </c>
      <c r="G10" s="9">
        <f>SUMIF(Estado!$A$9:$A$449,$B10,Estado!$G$9:$G$449)</f>
        <v>0</v>
      </c>
      <c r="H10" s="9">
        <f>SUMIF(Estado!$A$9:$A$449,$B10,Estado!$I$9:$I$449)</f>
        <v>0</v>
      </c>
      <c r="I10" s="9">
        <f>SUMIF(Estado!$A$9:$A$449,$B10,Estado!$K$9:$K$449)</f>
        <v>2126940</v>
      </c>
      <c r="J10" s="9">
        <f t="shared" si="3"/>
        <v>2126940</v>
      </c>
      <c r="K10" s="9">
        <f>SUMIF(Estado!$A$9:$A$449,$B10,Estado!$O$9:$O$449)</f>
        <v>22873060</v>
      </c>
      <c r="L10" s="107">
        <f t="shared" si="1"/>
        <v>8.5077600000000003E-2</v>
      </c>
      <c r="M10" s="107">
        <f t="shared" si="2"/>
        <v>0.91492240000000002</v>
      </c>
    </row>
    <row r="11" spans="2:13" s="23" customFormat="1" ht="16.5" x14ac:dyDescent="0.25">
      <c r="B11" s="105" t="str">
        <f>+Estado!A19</f>
        <v>E-00203</v>
      </c>
      <c r="C11" s="106" t="str">
        <f>IFERROR(VLOOKUP(B11,Estado!$A$9:$B$586,2,FALSE),0)</f>
        <v>DISPONIBILIDAD LAB.</v>
      </c>
      <c r="D11" s="9">
        <f>SUMIF(Estado!$A$9:$A$449,$B11,Estado!$C$9:$C$449)</f>
        <v>3682725900</v>
      </c>
      <c r="E11" s="9">
        <f>SUMIF(Estado!$A$9:$A$449,$B11,Estado!$G$9:$G$449)</f>
        <v>0</v>
      </c>
      <c r="F11" s="9">
        <f>SUMIF(Estado!$A$9:$A$449,$B11,Estado!$E$9:$E$449)</f>
        <v>0</v>
      </c>
      <c r="G11" s="9">
        <f>SUMIF(Estado!$A$9:$A$449,$B11,Estado!$G$9:$G$449)</f>
        <v>0</v>
      </c>
      <c r="H11" s="9">
        <f>SUMIF(Estado!$A$9:$A$449,$B11,Estado!$I$9:$I$449)</f>
        <v>0</v>
      </c>
      <c r="I11" s="9">
        <f>SUMIF(Estado!$A$9:$A$449,$B11,Estado!$K$9:$K$449)</f>
        <v>3615780516.6100001</v>
      </c>
      <c r="J11" s="9">
        <f t="shared" si="3"/>
        <v>3615780516.6100001</v>
      </c>
      <c r="K11" s="9">
        <f>SUMIF(Estado!$A$9:$A$449,$B11,Estado!$O$9:$O$449)</f>
        <v>66945383.390000001</v>
      </c>
      <c r="L11" s="107">
        <f t="shared" si="1"/>
        <v>0.98182178494739458</v>
      </c>
      <c r="M11" s="107">
        <f t="shared" si="2"/>
        <v>1.8178215052605463E-2</v>
      </c>
    </row>
    <row r="12" spans="2:13" s="23" customFormat="1" ht="16.5" x14ac:dyDescent="0.25">
      <c r="B12" s="105" t="str">
        <f>+Estado!A20</f>
        <v>E-003</v>
      </c>
      <c r="C12" s="106" t="str">
        <f>IFERROR(VLOOKUP(B12,Estado!$A$9:$B$586,2,FALSE),0)</f>
        <v>INCENTIVOS SALARIAL</v>
      </c>
      <c r="D12" s="9">
        <f>SUMIF(Estado!$A$9:$A$449,$B12,Estado!$C$9:$C$449)</f>
        <v>42769500212</v>
      </c>
      <c r="E12" s="9">
        <f>SUMIF(Estado!$A$9:$A$449,$B12,Estado!$G$9:$G$449)</f>
        <v>58064915.509999998</v>
      </c>
      <c r="F12" s="9">
        <f>SUMIF(Estado!$A$9:$A$449,$B12,Estado!$E$9:$E$449)</f>
        <v>0</v>
      </c>
      <c r="G12" s="9">
        <f>SUMIF(Estado!$A$9:$A$449,$B12,Estado!$G$9:$G$449)</f>
        <v>58064915.509999998</v>
      </c>
      <c r="H12" s="9">
        <f>SUMIF(Estado!$A$9:$A$449,$B12,Estado!$I$9:$I$449)</f>
        <v>0</v>
      </c>
      <c r="I12" s="9">
        <f>SUMIF(Estado!$A$9:$A$449,$B12,Estado!$K$9:$K$449)</f>
        <v>40018029022.379997</v>
      </c>
      <c r="J12" s="9">
        <f t="shared" si="3"/>
        <v>40076093937.889999</v>
      </c>
      <c r="K12" s="9">
        <f>SUMIF(Estado!$A$9:$A$449,$B12,Estado!$O$9:$O$449)</f>
        <v>2693406274.1099997</v>
      </c>
      <c r="L12" s="107">
        <f t="shared" si="1"/>
        <v>0.93702507018414249</v>
      </c>
      <c r="M12" s="107">
        <f t="shared" si="2"/>
        <v>6.2974929815857436E-2</v>
      </c>
    </row>
    <row r="13" spans="2:13" s="23" customFormat="1" ht="16.5" x14ac:dyDescent="0.25">
      <c r="B13" s="105" t="str">
        <f>+Estado!A21</f>
        <v>E-00301</v>
      </c>
      <c r="C13" s="106" t="str">
        <f>IFERROR(VLOOKUP(B13,Estado!$A$9:$B$586,2,FALSE),0)</f>
        <v>RETRIB AÑOS SERVIDOS</v>
      </c>
      <c r="D13" s="9">
        <f>SUMIF(Estado!$A$9:$A$449,$B13,Estado!$C$9:$C$449)</f>
        <v>12646955367</v>
      </c>
      <c r="E13" s="9">
        <f>SUMIF(Estado!$A$9:$A$449,$B13,Estado!$G$9:$G$449)</f>
        <v>0</v>
      </c>
      <c r="F13" s="9">
        <f>SUMIF(Estado!$A$9:$A$449,$B13,Estado!$E$9:$E$449)</f>
        <v>0</v>
      </c>
      <c r="G13" s="9">
        <f>SUMIF(Estado!$A$9:$A$449,$B13,Estado!$G$9:$G$449)</f>
        <v>0</v>
      </c>
      <c r="H13" s="9">
        <f>SUMIF(Estado!$A$9:$A$449,$B13,Estado!$I$9:$I$449)</f>
        <v>0</v>
      </c>
      <c r="I13" s="9">
        <f>SUMIF(Estado!$A$9:$A$449,$B13,Estado!$K$9:$K$449)</f>
        <v>11684025663.9</v>
      </c>
      <c r="J13" s="9">
        <f t="shared" si="3"/>
        <v>11684025663.9</v>
      </c>
      <c r="K13" s="9">
        <f>SUMIF(Estado!$A$9:$A$449,$B13,Estado!$O$9:$O$449)</f>
        <v>962929703.10000014</v>
      </c>
      <c r="L13" s="107">
        <f t="shared" si="1"/>
        <v>0.92386074947235164</v>
      </c>
      <c r="M13" s="107">
        <f t="shared" si="2"/>
        <v>7.6139250527648375E-2</v>
      </c>
    </row>
    <row r="14" spans="2:13" s="23" customFormat="1" ht="16.5" x14ac:dyDescent="0.25">
      <c r="B14" s="105" t="str">
        <f>+Estado!A22</f>
        <v>E-00302</v>
      </c>
      <c r="C14" s="106" t="str">
        <f>IFERROR(VLOOKUP(B14,Estado!$A$9:$B$586,2,FALSE),0)</f>
        <v>REST. EJERC LIB PROF</v>
      </c>
      <c r="D14" s="9">
        <f>SUMIF(Estado!$A$9:$A$449,$B14,Estado!$C$9:$C$449)</f>
        <v>8423589548</v>
      </c>
      <c r="E14" s="9">
        <f>SUMIF(Estado!$A$9:$A$449,$B14,Estado!$G$9:$G$449)</f>
        <v>0</v>
      </c>
      <c r="F14" s="9">
        <f>SUMIF(Estado!$A$9:$A$449,$B14,Estado!$E$9:$E$449)</f>
        <v>0</v>
      </c>
      <c r="G14" s="9">
        <f>SUMIF(Estado!$A$9:$A$449,$B14,Estado!$G$9:$G$449)</f>
        <v>0</v>
      </c>
      <c r="H14" s="9">
        <f>SUMIF(Estado!$A$9:$A$449,$B14,Estado!$I$9:$I$449)</f>
        <v>0</v>
      </c>
      <c r="I14" s="9">
        <f>SUMIF(Estado!$A$9:$A$449,$B14,Estado!$K$9:$K$449)</f>
        <v>7830008704.6499996</v>
      </c>
      <c r="J14" s="9">
        <f t="shared" si="3"/>
        <v>7830008704.6499996</v>
      </c>
      <c r="K14" s="9">
        <f>SUMIF(Estado!$A$9:$A$449,$B14,Estado!$O$9:$O$449)</f>
        <v>593580843.3499999</v>
      </c>
      <c r="L14" s="107">
        <f t="shared" si="1"/>
        <v>0.92953350350612307</v>
      </c>
      <c r="M14" s="107">
        <f t="shared" si="2"/>
        <v>7.0466496493876873E-2</v>
      </c>
    </row>
    <row r="15" spans="2:13" s="23" customFormat="1" ht="16.5" x14ac:dyDescent="0.25">
      <c r="B15" s="105" t="str">
        <f>+Estado!A23</f>
        <v>E-00303</v>
      </c>
      <c r="C15" s="106" t="str">
        <f>IFERROR(VLOOKUP(B15,Estado!$A$9:$B$586,2,FALSE),0)</f>
        <v>DECIMOTERCER MES</v>
      </c>
      <c r="D15" s="9">
        <f>SUMIF(Estado!$A$9:$A$449,$B15,Estado!$C$9:$C$449)</f>
        <v>6199358676</v>
      </c>
      <c r="E15" s="9">
        <f>SUMIF(Estado!$A$9:$A$449,$B15,Estado!$G$9:$G$449)</f>
        <v>0</v>
      </c>
      <c r="F15" s="9">
        <f>SUMIF(Estado!$A$9:$A$449,$B15,Estado!$E$9:$E$449)</f>
        <v>0</v>
      </c>
      <c r="G15" s="9">
        <f>SUMIF(Estado!$A$9:$A$449,$B15,Estado!$G$9:$G$449)</f>
        <v>0</v>
      </c>
      <c r="H15" s="9">
        <f>SUMIF(Estado!$A$9:$A$449,$B15,Estado!$I$9:$I$449)</f>
        <v>0</v>
      </c>
      <c r="I15" s="9">
        <f>SUMIF(Estado!$A$9:$A$449,$B15,Estado!$K$9:$K$449)</f>
        <v>5819261580.46</v>
      </c>
      <c r="J15" s="9">
        <f t="shared" si="3"/>
        <v>5819261580.46</v>
      </c>
      <c r="K15" s="9">
        <f>SUMIF(Estado!$A$9:$A$449,$B15,Estado!$O$9:$O$449)</f>
        <v>380097095.53999996</v>
      </c>
      <c r="L15" s="107">
        <f t="shared" si="1"/>
        <v>0.93868767474101866</v>
      </c>
      <c r="M15" s="107">
        <f t="shared" si="2"/>
        <v>6.1312325258981344E-2</v>
      </c>
    </row>
    <row r="16" spans="2:13" s="23" customFormat="1" ht="16.5" x14ac:dyDescent="0.25">
      <c r="B16" s="105" t="str">
        <f>+Estado!A24</f>
        <v>E-00304</v>
      </c>
      <c r="C16" s="106" t="str">
        <f>IFERROR(VLOOKUP(B16,Estado!$A$9:$B$586,2,FALSE),0)</f>
        <v>SALARIO ESCOLAR</v>
      </c>
      <c r="D16" s="9">
        <f>SUMIF(Estado!$A$9:$A$449,$B16,Estado!$C$9:$C$449)</f>
        <v>5588747198</v>
      </c>
      <c r="E16" s="9">
        <f>SUMIF(Estado!$A$9:$A$449,$B16,Estado!$G$9:$G$449)</f>
        <v>57864915.509999998</v>
      </c>
      <c r="F16" s="9">
        <f>SUMIF(Estado!$A$9:$A$449,$B16,Estado!$E$9:$E$449)</f>
        <v>0</v>
      </c>
      <c r="G16" s="9">
        <f>SUMIF(Estado!$A$9:$A$449,$B16,Estado!$G$9:$G$449)</f>
        <v>57864915.509999998</v>
      </c>
      <c r="H16" s="9">
        <f>SUMIF(Estado!$A$9:$A$449,$B16,Estado!$I$9:$I$449)</f>
        <v>0</v>
      </c>
      <c r="I16" s="9">
        <f>SUMIF(Estado!$A$9:$A$449,$B16,Estado!$K$9:$K$449)</f>
        <v>5371970164.8800011</v>
      </c>
      <c r="J16" s="9">
        <f t="shared" si="3"/>
        <v>5429835080.3900013</v>
      </c>
      <c r="K16" s="9">
        <f>SUMIF(Estado!$A$9:$A$449,$B16,Estado!$O$9:$O$449)</f>
        <v>158912117.60999998</v>
      </c>
      <c r="L16" s="107">
        <f t="shared" si="1"/>
        <v>0.97156569943495252</v>
      </c>
      <c r="M16" s="107">
        <f t="shared" si="2"/>
        <v>2.8434300565047671E-2</v>
      </c>
    </row>
    <row r="17" spans="2:13" s="23" customFormat="1" ht="16.5" x14ac:dyDescent="0.25">
      <c r="B17" s="105" t="str">
        <f>+Estado!A25</f>
        <v>E-00399</v>
      </c>
      <c r="C17" s="106" t="str">
        <f>IFERROR(VLOOKUP(B17,Estado!$A$9:$B$586,2,FALSE),0)</f>
        <v>OTROS INCENT SALAR.</v>
      </c>
      <c r="D17" s="9">
        <f>SUMIF(Estado!$A$9:$A$449,$B17,Estado!$C$9:$C$449)</f>
        <v>9910849423</v>
      </c>
      <c r="E17" s="9">
        <f>SUMIF(Estado!$A$9:$A$449,$B17,Estado!$G$9:$G$449)</f>
        <v>200000</v>
      </c>
      <c r="F17" s="9">
        <f>SUMIF(Estado!$A$9:$A$449,$B17,Estado!$E$9:$E$449)</f>
        <v>0</v>
      </c>
      <c r="G17" s="9">
        <f>SUMIF(Estado!$A$9:$A$449,$B17,Estado!$G$9:$G$449)</f>
        <v>200000</v>
      </c>
      <c r="H17" s="9">
        <f>SUMIF(Estado!$A$9:$A$449,$B17,Estado!$I$9:$I$449)</f>
        <v>0</v>
      </c>
      <c r="I17" s="9">
        <f>SUMIF(Estado!$A$9:$A$449,$B17,Estado!$K$9:$K$449)</f>
        <v>9312762908.4899998</v>
      </c>
      <c r="J17" s="9">
        <f t="shared" si="3"/>
        <v>9312962908.4899998</v>
      </c>
      <c r="K17" s="9">
        <f>SUMIF(Estado!$A$9:$A$449,$B17,Estado!$O$9:$O$449)</f>
        <v>597886514.50999999</v>
      </c>
      <c r="L17" s="107">
        <f t="shared" si="1"/>
        <v>0.93967353462938386</v>
      </c>
      <c r="M17" s="107">
        <f t="shared" si="2"/>
        <v>6.0326465370616096E-2</v>
      </c>
    </row>
    <row r="18" spans="2:13" s="23" customFormat="1" ht="16.5" x14ac:dyDescent="0.25">
      <c r="B18" s="105" t="str">
        <f>+Estado!A26</f>
        <v>E-004</v>
      </c>
      <c r="C18" s="106" t="str">
        <f>IFERROR(VLOOKUP(B18,Estado!$A$9:$B$586,2,FALSE),0)</f>
        <v>CONT PATR DESA S.SOC</v>
      </c>
      <c r="D18" s="9">
        <f>SUMIF(Estado!$A$9:$A$449,$B18,Estado!$C$9:$C$449)</f>
        <v>7233514296</v>
      </c>
      <c r="E18" s="9">
        <f>SUMIF(Estado!$A$9:$A$449,$B18,Estado!$G$9:$G$449)</f>
        <v>0</v>
      </c>
      <c r="F18" s="9">
        <f>SUMIF(Estado!$A$9:$A$449,$B18,Estado!$E$9:$E$449)</f>
        <v>0</v>
      </c>
      <c r="G18" s="9">
        <f>SUMIF(Estado!$A$9:$A$449,$B18,Estado!$G$9:$G$449)</f>
        <v>0</v>
      </c>
      <c r="H18" s="9">
        <f>SUMIF(Estado!$A$9:$A$449,$B18,Estado!$I$9:$I$449)</f>
        <v>0</v>
      </c>
      <c r="I18" s="9">
        <f>SUMIF(Estado!$A$9:$A$449,$B18,Estado!$K$9:$K$449)</f>
        <v>6787737623.7199993</v>
      </c>
      <c r="J18" s="9">
        <f t="shared" si="3"/>
        <v>6787737623.7199993</v>
      </c>
      <c r="K18" s="9">
        <f>SUMIF(Estado!$A$9:$A$449,$B18,Estado!$O$9:$O$449)</f>
        <v>445776672.28000003</v>
      </c>
      <c r="L18" s="107">
        <f t="shared" si="1"/>
        <v>0.93837343039101939</v>
      </c>
      <c r="M18" s="107">
        <f t="shared" si="2"/>
        <v>6.162656960898056E-2</v>
      </c>
    </row>
    <row r="19" spans="2:13" s="23" customFormat="1" ht="16.5" x14ac:dyDescent="0.25">
      <c r="B19" s="105" t="str">
        <f>+Estado!A27</f>
        <v>E-00401</v>
      </c>
      <c r="C19" s="106" t="str">
        <f>IFERROR(VLOOKUP(B19,Estado!$A$9:$B$586,2,FALSE),0)</f>
        <v>CONT P.SEG.S C.C.S.S</v>
      </c>
      <c r="D19" s="9">
        <f>SUMIF(Estado!$A$9:$A$449,$B19,Estado!$C$9:$C$449)</f>
        <v>6862565841</v>
      </c>
      <c r="E19" s="9">
        <f>SUMIF(Estado!$A$9:$A$449,$B19,Estado!$G$9:$G$449)</f>
        <v>0</v>
      </c>
      <c r="F19" s="9">
        <f>SUMIF(Estado!$A$9:$A$449,$B19,Estado!$E$9:$E$449)</f>
        <v>0</v>
      </c>
      <c r="G19" s="9">
        <f>SUMIF(Estado!$A$9:$A$449,$B19,Estado!$G$9:$G$449)</f>
        <v>0</v>
      </c>
      <c r="H19" s="9">
        <f>SUMIF(Estado!$A$9:$A$449,$B19,Estado!$I$9:$I$449)</f>
        <v>0</v>
      </c>
      <c r="I19" s="9">
        <f>SUMIF(Estado!$A$9:$A$449,$B19,Estado!$K$9:$K$449)</f>
        <v>6439730356.9499998</v>
      </c>
      <c r="J19" s="9">
        <f t="shared" si="3"/>
        <v>6439730356.9499998</v>
      </c>
      <c r="K19" s="9">
        <f>SUMIF(Estado!$A$9:$A$449,$B19,Estado!$O$9:$O$449)</f>
        <v>422835484.05000007</v>
      </c>
      <c r="L19" s="107">
        <f t="shared" si="1"/>
        <v>0.93838522006975955</v>
      </c>
      <c r="M19" s="107">
        <f t="shared" si="2"/>
        <v>6.1614779930240393E-2</v>
      </c>
    </row>
    <row r="20" spans="2:13" s="23" customFormat="1" ht="16.5" x14ac:dyDescent="0.25">
      <c r="B20" s="105" t="str">
        <f>+Estado!A42</f>
        <v>E-00405</v>
      </c>
      <c r="C20" s="106" t="str">
        <f>IFERROR(VLOOKUP(B20,Estado!$A$9:$B$586,2,FALSE),0)</f>
        <v>CONTRIB PAT B.P.D.C.</v>
      </c>
      <c r="D20" s="9">
        <f>SUMIF(Estado!$A$9:$A$449,$B20,Estado!$C$9:$C$449)</f>
        <v>370948455</v>
      </c>
      <c r="E20" s="9">
        <f>SUMIF(Estado!$A$9:$A$449,$B20,Estado!$G$9:$G$449)</f>
        <v>0</v>
      </c>
      <c r="F20" s="9">
        <f>SUMIF(Estado!$A$9:$A$449,$B20,Estado!$E$9:$E$449)</f>
        <v>0</v>
      </c>
      <c r="G20" s="9">
        <f>SUMIF(Estado!$A$9:$A$449,$B20,Estado!$G$9:$G$449)</f>
        <v>0</v>
      </c>
      <c r="H20" s="9">
        <f>SUMIF(Estado!$A$9:$A$449,$B20,Estado!$I$9:$I$449)</f>
        <v>0</v>
      </c>
      <c r="I20" s="9">
        <f>SUMIF(Estado!$A$9:$A$449,$B20,Estado!$K$9:$K$449)</f>
        <v>348007266.77000004</v>
      </c>
      <c r="J20" s="9">
        <f t="shared" si="3"/>
        <v>348007266.77000004</v>
      </c>
      <c r="K20" s="9">
        <f>SUMIF(Estado!$A$9:$A$449,$B20,Estado!$O$9:$O$449)</f>
        <v>22941188.23</v>
      </c>
      <c r="L20" s="107">
        <f t="shared" si="1"/>
        <v>0.93815532071699836</v>
      </c>
      <c r="M20" s="107">
        <f t="shared" si="2"/>
        <v>6.1844679283001733E-2</v>
      </c>
    </row>
    <row r="21" spans="2:13" s="23" customFormat="1" ht="16.5" x14ac:dyDescent="0.25">
      <c r="B21" s="105" t="str">
        <f>+Estado!A57</f>
        <v>E-005</v>
      </c>
      <c r="C21" s="106" t="str">
        <f>IFERROR(VLOOKUP(B21,Estado!$A$9:$B$586,2,FALSE),0)</f>
        <v>CONT PATR F.PENS OTR</v>
      </c>
      <c r="D21" s="9">
        <f>SUMIF(Estado!$A$9:$A$449,$B21,Estado!$C$9:$C$449)</f>
        <v>7296496022</v>
      </c>
      <c r="E21" s="9">
        <f>SUMIF(Estado!$A$9:$A$449,$B21,Estado!$G$9:$G$449)</f>
        <v>0</v>
      </c>
      <c r="F21" s="9">
        <f>SUMIF(Estado!$A$9:$A$449,$B21,Estado!$E$9:$E$449)</f>
        <v>0</v>
      </c>
      <c r="G21" s="9">
        <f>SUMIF(Estado!$A$9:$A$449,$B21,Estado!$G$9:$G$449)</f>
        <v>0</v>
      </c>
      <c r="H21" s="9">
        <f>SUMIF(Estado!$A$9:$A$449,$B21,Estado!$I$9:$I$449)</f>
        <v>0</v>
      </c>
      <c r="I21" s="9">
        <f>SUMIF(Estado!$A$9:$A$449,$B21,Estado!$K$9:$K$449)</f>
        <v>6803174808.2999992</v>
      </c>
      <c r="J21" s="9">
        <f t="shared" si="3"/>
        <v>6803174808.2999992</v>
      </c>
      <c r="K21" s="9">
        <f>SUMIF(Estado!$A$9:$A$449,$B21,Estado!$O$9:$O$449)</f>
        <v>493321213.69999999</v>
      </c>
      <c r="L21" s="107">
        <f t="shared" si="1"/>
        <v>0.93238929861503861</v>
      </c>
      <c r="M21" s="107">
        <f t="shared" si="2"/>
        <v>6.7610701384961294E-2</v>
      </c>
    </row>
    <row r="22" spans="2:13" s="74" customFormat="1" ht="16.5" x14ac:dyDescent="0.25">
      <c r="B22" s="105" t="str">
        <f>+Estado!A58</f>
        <v>E-00501</v>
      </c>
      <c r="C22" s="106" t="str">
        <f>IFERROR(VLOOKUP(B22,Estado!$A$9:$B$586,2,FALSE),0)</f>
        <v>CONT P.SPENS.C.C.S.S</v>
      </c>
      <c r="D22" s="9">
        <f>SUMIF(Estado!$A$9:$A$449,$B22,Estado!$C$9:$C$449)</f>
        <v>3869884965</v>
      </c>
      <c r="E22" s="9">
        <f>SUMIF(Estado!$A$9:$A$449,$B22,Estado!$G$9:$G$449)</f>
        <v>0</v>
      </c>
      <c r="F22" s="9">
        <f>SUMIF(Estado!$A$9:$A$449,$B22,Estado!$E$9:$E$449)</f>
        <v>0</v>
      </c>
      <c r="G22" s="9">
        <f>SUMIF(Estado!$A$9:$A$449,$B22,Estado!$G$9:$G$449)</f>
        <v>0</v>
      </c>
      <c r="H22" s="9">
        <f>SUMIF(Estado!$A$9:$A$449,$B22,Estado!$I$9:$I$449)</f>
        <v>0</v>
      </c>
      <c r="I22" s="9">
        <f>SUMIF(Estado!$A$9:$A$449,$B22,Estado!$K$9:$K$449)</f>
        <v>3592152439.9300003</v>
      </c>
      <c r="J22" s="9">
        <f t="shared" si="3"/>
        <v>3592152439.9300003</v>
      </c>
      <c r="K22" s="9">
        <f>SUMIF(Estado!$A$9:$A$449,$B22,Estado!$O$9:$O$449)</f>
        <v>277732525.07000005</v>
      </c>
      <c r="L22" s="107">
        <f t="shared" si="1"/>
        <v>0.92823235636669632</v>
      </c>
      <c r="M22" s="107">
        <f t="shared" si="2"/>
        <v>7.1767643633303721E-2</v>
      </c>
    </row>
    <row r="23" spans="2:13" s="23" customFormat="1" ht="16.5" x14ac:dyDescent="0.25">
      <c r="B23" s="105" t="str">
        <f>+Estado!A73</f>
        <v>E-00502</v>
      </c>
      <c r="C23" s="106" t="str">
        <f>IFERROR(VLOOKUP(B23,Estado!$A$9:$B$586,2,FALSE),0)</f>
        <v>APORT P.RÉG.OBLI.P.C</v>
      </c>
      <c r="D23" s="9">
        <f>SUMIF(Estado!$A$9:$A$449,$B23,Estado!$C$9:$C$449)</f>
        <v>1297482454</v>
      </c>
      <c r="E23" s="9">
        <f>SUMIF(Estado!$A$9:$A$449,$B23,Estado!$G$9:$G$449)</f>
        <v>0</v>
      </c>
      <c r="F23" s="9">
        <f>SUMIF(Estado!$A$9:$A$449,$B23,Estado!$E$9:$E$449)</f>
        <v>0</v>
      </c>
      <c r="G23" s="9">
        <f>SUMIF(Estado!$A$9:$A$449,$B23,Estado!$G$9:$G$449)</f>
        <v>0</v>
      </c>
      <c r="H23" s="9">
        <f>SUMIF(Estado!$A$9:$A$449,$B23,Estado!$I$9:$I$449)</f>
        <v>0</v>
      </c>
      <c r="I23" s="9">
        <f>SUMIF(Estado!$A$9:$A$449,$B23,Estado!$K$9:$K$449)</f>
        <v>1206406035.0699999</v>
      </c>
      <c r="J23" s="9">
        <f t="shared" si="3"/>
        <v>1206406035.0699999</v>
      </c>
      <c r="K23" s="9">
        <f>SUMIF(Estado!$A$9:$A$449,$B23,Estado!$O$9:$O$449)</f>
        <v>91076418.930000007</v>
      </c>
      <c r="L23" s="107">
        <f t="shared" si="1"/>
        <v>0.92980527894676246</v>
      </c>
      <c r="M23" s="107">
        <f t="shared" si="2"/>
        <v>7.0194721053237458E-2</v>
      </c>
    </row>
    <row r="24" spans="2:13" s="23" customFormat="1" ht="16.5" x14ac:dyDescent="0.25">
      <c r="B24" s="105" t="str">
        <f>+Estado!A88</f>
        <v>E-00503</v>
      </c>
      <c r="C24" s="106" t="str">
        <f>IFERROR(VLOOKUP(B24,Estado!$A$9:$B$586,2,FALSE),0)</f>
        <v>APORT P.FOND.CAP.LAB</v>
      </c>
      <c r="D24" s="9">
        <f>SUMIF(Estado!$A$9:$A$449,$B24,Estado!$C$9:$C$449)</f>
        <v>2041061603</v>
      </c>
      <c r="E24" s="9">
        <f>SUMIF(Estado!$A$9:$A$449,$B24,Estado!$G$9:$G$449)</f>
        <v>0</v>
      </c>
      <c r="F24" s="9">
        <f>SUMIF(Estado!$A$9:$A$449,$B24,Estado!$E$9:$E$449)</f>
        <v>0</v>
      </c>
      <c r="G24" s="9">
        <f>SUMIF(Estado!$A$9:$A$449,$B24,Estado!$G$9:$G$449)</f>
        <v>0</v>
      </c>
      <c r="H24" s="9">
        <f>SUMIF(Estado!$A$9:$A$449,$B24,Estado!$I$9:$I$449)</f>
        <v>0</v>
      </c>
      <c r="I24" s="9">
        <f>SUMIF(Estado!$A$9:$A$449,$B24,Estado!$K$9:$K$449)</f>
        <v>1925653389.8600001</v>
      </c>
      <c r="J24" s="9">
        <f t="shared" si="3"/>
        <v>1925653389.8600001</v>
      </c>
      <c r="K24" s="9">
        <f>SUMIF(Estado!$A$9:$A$449,$B24,Estado!$O$9:$O$449)</f>
        <v>115408213.13999999</v>
      </c>
      <c r="L24" s="107">
        <f t="shared" si="1"/>
        <v>0.94345677123592442</v>
      </c>
      <c r="M24" s="107">
        <f t="shared" si="2"/>
        <v>5.6543228764075665E-2</v>
      </c>
    </row>
    <row r="25" spans="2:13" s="23" customFormat="1" ht="16.5" x14ac:dyDescent="0.25">
      <c r="B25" s="105" t="str">
        <f>+Estado!A104</f>
        <v>E-00505</v>
      </c>
      <c r="C25" s="106" t="str">
        <f>IFERROR(VLOOKUP(B25,Estado!$A$9:$B$586,2,FALSE),0)</f>
        <v>CONT.PAT.A.F.A.EPRIV</v>
      </c>
      <c r="D25" s="9">
        <f>SUMIF(Estado!$A$9:$A$449,$B25,Estado!$C$9:$C$449)</f>
        <v>88067000</v>
      </c>
      <c r="E25" s="9">
        <f>SUMIF(Estado!$A$9:$A$449,$B25,Estado!$G$9:$G$449)</f>
        <v>0</v>
      </c>
      <c r="F25" s="9">
        <f>SUMIF(Estado!$A$9:$A$449,$B25,Estado!$E$9:$E$449)</f>
        <v>0</v>
      </c>
      <c r="G25" s="9">
        <f>SUMIF(Estado!$A$9:$A$449,$B25,Estado!$G$9:$G$449)</f>
        <v>0</v>
      </c>
      <c r="H25" s="9">
        <f>SUMIF(Estado!$A$9:$A$449,$B25,Estado!$I$9:$I$449)</f>
        <v>0</v>
      </c>
      <c r="I25" s="9">
        <f>SUMIF(Estado!$A$9:$A$449,$B25,Estado!$K$9:$K$449)</f>
        <v>78962943.439999998</v>
      </c>
      <c r="J25" s="9">
        <f t="shared" si="3"/>
        <v>78962943.439999998</v>
      </c>
      <c r="K25" s="9">
        <f>SUMIF(Estado!$A$9:$A$449,$B25,Estado!$O$9:$O$449)</f>
        <v>9104056.5600000005</v>
      </c>
      <c r="L25" s="107">
        <f t="shared" si="1"/>
        <v>0.89662351891173764</v>
      </c>
      <c r="M25" s="107">
        <f t="shared" si="2"/>
        <v>0.10337648108826235</v>
      </c>
    </row>
    <row r="26" spans="2:13" s="23" customFormat="1" ht="16.5" x14ac:dyDescent="0.25">
      <c r="B26" s="105" t="str">
        <f>+Estado!A119</f>
        <v>E-099</v>
      </c>
      <c r="C26" s="106" t="str">
        <f>IFERROR(VLOOKUP(B26,Estado!$A$9:$B$586,2,FALSE),0)</f>
        <v>REMUNERACIONES DIVER</v>
      </c>
      <c r="D26" s="9">
        <f>SUMIF(Estado!$A$9:$A$449,$B26,Estado!$C$9:$C$449)</f>
        <v>0</v>
      </c>
      <c r="E26" s="9">
        <f>SUMIF(Estado!$A$9:$A$449,$B26,Estado!$G$9:$G$449)</f>
        <v>0</v>
      </c>
      <c r="F26" s="9">
        <f>SUMIF(Estado!$A$9:$A$449,$B26,Estado!$E$9:$E$449)</f>
        <v>0</v>
      </c>
      <c r="G26" s="9">
        <f>SUMIF(Estado!$A$9:$A$449,$B26,Estado!$G$9:$G$449)</f>
        <v>0</v>
      </c>
      <c r="H26" s="9">
        <f>SUMIF(Estado!$A$9:$A$449,$B26,Estado!$I$9:$I$449)</f>
        <v>0</v>
      </c>
      <c r="I26" s="9">
        <f>SUMIF(Estado!$A$9:$A$449,$B26,Estado!$K$9:$K$449)</f>
        <v>0</v>
      </c>
      <c r="J26" s="9">
        <f t="shared" si="3"/>
        <v>0</v>
      </c>
      <c r="K26" s="9">
        <f>SUMIF(Estado!$A$9:$A$449,$B26,Estado!$O$9:$O$449)</f>
        <v>0</v>
      </c>
      <c r="L26" s="107">
        <f t="shared" si="1"/>
        <v>0</v>
      </c>
      <c r="M26" s="107">
        <f t="shared" si="2"/>
        <v>0</v>
      </c>
    </row>
    <row r="27" spans="2:13" s="23" customFormat="1" ht="16.5" x14ac:dyDescent="0.25">
      <c r="B27" s="105" t="str">
        <f>+Estado!A120</f>
        <v>E-09901</v>
      </c>
      <c r="C27" s="106" t="str">
        <f>IFERROR(VLOOKUP(B27,Estado!$A$9:$B$586,2,FALSE),0)</f>
        <v>GASTOS REPRES.PERS.</v>
      </c>
      <c r="D27" s="9">
        <f>SUMIF(Estado!$A$9:$A$449,$B27,Estado!$C$9:$C$449)</f>
        <v>0</v>
      </c>
      <c r="E27" s="9">
        <f>SUMIF(Estado!$A$9:$A$449,$B27,Estado!$G$9:$G$449)</f>
        <v>0</v>
      </c>
      <c r="F27" s="9">
        <f>SUMIF(Estado!$A$9:$A$449,$B27,Estado!$E$9:$E$449)</f>
        <v>0</v>
      </c>
      <c r="G27" s="9">
        <f>SUMIF(Estado!$A$9:$A$449,$B27,Estado!$G$9:$G$449)</f>
        <v>0</v>
      </c>
      <c r="H27" s="9">
        <f>SUMIF(Estado!$A$9:$A$449,$B27,Estado!$I$9:$I$449)</f>
        <v>0</v>
      </c>
      <c r="I27" s="9">
        <f>SUMIF(Estado!$A$9:$A$449,$B27,Estado!$K$9:$K$449)</f>
        <v>0</v>
      </c>
      <c r="J27" s="9">
        <f t="shared" si="3"/>
        <v>0</v>
      </c>
      <c r="K27" s="9">
        <f>SUMIF(Estado!$A$9:$A$449,$B27,Estado!$O$9:$O$449)</f>
        <v>0</v>
      </c>
      <c r="L27" s="107">
        <f t="shared" si="1"/>
        <v>0</v>
      </c>
      <c r="M27" s="107">
        <f t="shared" si="2"/>
        <v>0</v>
      </c>
    </row>
    <row r="28" spans="2:13" s="23" customFormat="1" ht="17.25" x14ac:dyDescent="0.25">
      <c r="B28" s="101" t="str">
        <f>+Estado!A121</f>
        <v>E-1</v>
      </c>
      <c r="C28" s="102" t="str">
        <f>IFERROR(VLOOKUP(B28,Estado!$A$9:$B$586,2,FALSE),0)</f>
        <v>SERVICIOS</v>
      </c>
      <c r="D28" s="103">
        <f t="shared" ref="D28:K28" si="4">+D29+D35+D41+D48+D56+D61+D64+D68+D76+D78</f>
        <v>19336844595</v>
      </c>
      <c r="E28" s="103">
        <f t="shared" si="4"/>
        <v>821132059.80999994</v>
      </c>
      <c r="F28" s="103">
        <f t="shared" si="4"/>
        <v>0</v>
      </c>
      <c r="G28" s="103">
        <f t="shared" si="4"/>
        <v>821132059.80999994</v>
      </c>
      <c r="H28" s="103">
        <f t="shared" si="4"/>
        <v>0</v>
      </c>
      <c r="I28" s="103">
        <f t="shared" si="4"/>
        <v>16969395887.980003</v>
      </c>
      <c r="J28" s="103">
        <f t="shared" si="4"/>
        <v>17790527947.790001</v>
      </c>
      <c r="K28" s="103">
        <f t="shared" si="4"/>
        <v>1546316647.2100003</v>
      </c>
      <c r="L28" s="104">
        <f t="shared" si="1"/>
        <v>0.92003262788749762</v>
      </c>
      <c r="M28" s="104">
        <f t="shared" si="2"/>
        <v>7.9967372112502627E-2</v>
      </c>
    </row>
    <row r="29" spans="2:13" s="23" customFormat="1" ht="16.5" x14ac:dyDescent="0.25">
      <c r="B29" s="105" t="str">
        <f>+Estado!A122</f>
        <v>E-101</v>
      </c>
      <c r="C29" s="106" t="str">
        <f>IFERROR(VLOOKUP(B29,Estado!$A$9:$B$586,2,FALSE),0)</f>
        <v>ALQUILERES</v>
      </c>
      <c r="D29" s="9">
        <f>SUMIF(Estado!$A$9:$A$449,$B29,Estado!$C$9:$C$449)</f>
        <v>10260500876.9</v>
      </c>
      <c r="E29" s="9">
        <f>SUMIF(Estado!$A$9:$A$449,$B29,Estado!$G$9:$G$449)</f>
        <v>273349814.25999999</v>
      </c>
      <c r="F29" s="9">
        <f>SUMIF(Estado!$A$9:$A$449,$B29,Estado!$E$9:$E$449)</f>
        <v>0</v>
      </c>
      <c r="G29" s="9">
        <f>SUMIF(Estado!$A$9:$A$449,$B29,Estado!$G$9:$G$449)</f>
        <v>273349814.25999999</v>
      </c>
      <c r="H29" s="9">
        <f>SUMIF(Estado!$A$9:$A$449,$B29,Estado!$I$9:$I$449)</f>
        <v>0</v>
      </c>
      <c r="I29" s="9">
        <f>SUMIF(Estado!$A$9:$A$449,$B29,Estado!$K$9:$K$449)</f>
        <v>8834893259.9799995</v>
      </c>
      <c r="J29" s="9">
        <f t="shared" ref="J29:J81" si="5">SUM(G29:I29)</f>
        <v>9108243074.2399998</v>
      </c>
      <c r="K29" s="9">
        <f>SUMIF(Estado!$A$9:$A$449,$B29,Estado!$O$9:$O$449)</f>
        <v>1152257802.6600001</v>
      </c>
      <c r="L29" s="107">
        <f t="shared" si="1"/>
        <v>0.88769965360520187</v>
      </c>
      <c r="M29" s="107">
        <f t="shared" si="2"/>
        <v>0.11230034639479815</v>
      </c>
    </row>
    <row r="30" spans="2:13" s="23" customFormat="1" ht="16.5" x14ac:dyDescent="0.25">
      <c r="B30" s="105" t="str">
        <f>+Estado!A123</f>
        <v>E-10101</v>
      </c>
      <c r="C30" s="106" t="str">
        <f>IFERROR(VLOOKUP(B30,Estado!$A$9:$B$586,2,FALSE),0)</f>
        <v>ALQ EDIF, LOC.Y TERR</v>
      </c>
      <c r="D30" s="9">
        <f>SUMIF(Estado!$A$9:$A$449,$B30,Estado!$C$9:$C$449)</f>
        <v>680071979</v>
      </c>
      <c r="E30" s="9">
        <f>SUMIF(Estado!$A$9:$A$449,$B30,Estado!$G$9:$G$449)</f>
        <v>907209.6</v>
      </c>
      <c r="F30" s="9">
        <f>SUMIF(Estado!$A$9:$A$449,$B30,Estado!$E$9:$E$449)</f>
        <v>0</v>
      </c>
      <c r="G30" s="9">
        <f>SUMIF(Estado!$A$9:$A$449,$B30,Estado!$G$9:$G$449)</f>
        <v>907209.6</v>
      </c>
      <c r="H30" s="9">
        <f>SUMIF(Estado!$A$9:$A$449,$B30,Estado!$I$9:$I$449)</f>
        <v>0</v>
      </c>
      <c r="I30" s="9">
        <f>SUMIF(Estado!$A$9:$A$449,$B30,Estado!$K$9:$K$449)</f>
        <v>649152594.95000005</v>
      </c>
      <c r="J30" s="9">
        <f t="shared" si="5"/>
        <v>650059804.55000007</v>
      </c>
      <c r="K30" s="9">
        <f>SUMIF(Estado!$A$9:$A$449,$B30,Estado!$O$9:$O$449)</f>
        <v>30012174.449999999</v>
      </c>
      <c r="L30" s="107">
        <f t="shared" si="1"/>
        <v>0.95586912065671226</v>
      </c>
      <c r="M30" s="107">
        <f t="shared" si="2"/>
        <v>4.4130879343287868E-2</v>
      </c>
    </row>
    <row r="31" spans="2:13" s="23" customFormat="1" ht="16.5" x14ac:dyDescent="0.25">
      <c r="B31" s="105" t="str">
        <f>+Estado!A124</f>
        <v>E-10102</v>
      </c>
      <c r="C31" s="106" t="str">
        <f>IFERROR(VLOOKUP(B31,Estado!$A$9:$B$586,2,FALSE),0)</f>
        <v>ALQ DE MAQ, EQ Y MOB</v>
      </c>
      <c r="D31" s="9">
        <f>SUMIF(Estado!$A$9:$A$449,$B31,Estado!$C$9:$C$449)</f>
        <v>3869560</v>
      </c>
      <c r="E31" s="9">
        <f>SUMIF(Estado!$A$9:$A$449,$B31,Estado!$G$9:$G$449)</f>
        <v>0</v>
      </c>
      <c r="F31" s="9">
        <f>SUMIF(Estado!$A$9:$A$449,$B31,Estado!$E$9:$E$449)</f>
        <v>0</v>
      </c>
      <c r="G31" s="9">
        <f>SUMIF(Estado!$A$9:$A$449,$B31,Estado!$G$9:$G$449)</f>
        <v>0</v>
      </c>
      <c r="H31" s="9">
        <f>SUMIF(Estado!$A$9:$A$449,$B31,Estado!$I$9:$I$449)</f>
        <v>0</v>
      </c>
      <c r="I31" s="9">
        <f>SUMIF(Estado!$A$9:$A$449,$B31,Estado!$K$9:$K$449)</f>
        <v>2450327.0699999998</v>
      </c>
      <c r="J31" s="9">
        <f t="shared" si="5"/>
        <v>2450327.0699999998</v>
      </c>
      <c r="K31" s="9">
        <f>SUMIF(Estado!$A$9:$A$449,$B31,Estado!$O$9:$O$449)</f>
        <v>1419232.93</v>
      </c>
      <c r="L31" s="107">
        <f t="shared" si="1"/>
        <v>0.63323144491880212</v>
      </c>
      <c r="M31" s="107">
        <f t="shared" si="2"/>
        <v>0.36676855508119782</v>
      </c>
    </row>
    <row r="32" spans="2:13" s="23" customFormat="1" ht="16.5" x14ac:dyDescent="0.25">
      <c r="B32" s="105" t="str">
        <f>+Estado!A125</f>
        <v>E-10103</v>
      </c>
      <c r="C32" s="106" t="str">
        <f>IFERROR(VLOOKUP(B32,Estado!$A$9:$B$586,2,FALSE),0)</f>
        <v>ALQ. EQ. DE COMPUTO</v>
      </c>
      <c r="D32" s="9">
        <f>SUMIF(Estado!$A$9:$A$449,$B32,Estado!$C$9:$C$449)</f>
        <v>1394813025.8400002</v>
      </c>
      <c r="E32" s="9">
        <f>SUMIF(Estado!$A$9:$A$449,$B32,Estado!$G$9:$G$449)</f>
        <v>100189311.32999998</v>
      </c>
      <c r="F32" s="9">
        <f>SUMIF(Estado!$A$9:$A$449,$B32,Estado!$E$9:$E$449)</f>
        <v>0</v>
      </c>
      <c r="G32" s="9">
        <f>SUMIF(Estado!$A$9:$A$449,$B32,Estado!$G$9:$G$449)</f>
        <v>100189311.32999998</v>
      </c>
      <c r="H32" s="9">
        <f>SUMIF(Estado!$A$9:$A$449,$B32,Estado!$I$9:$I$449)</f>
        <v>0</v>
      </c>
      <c r="I32" s="9">
        <f>SUMIF(Estado!$A$9:$A$449,$B32,Estado!$K$9:$K$449)</f>
        <v>1039283701.4400001</v>
      </c>
      <c r="J32" s="9">
        <f t="shared" si="5"/>
        <v>1139473012.77</v>
      </c>
      <c r="K32" s="9">
        <f>SUMIF(Estado!$A$9:$A$449,$B32,Estado!$O$9:$O$449)</f>
        <v>255340013.06999999</v>
      </c>
      <c r="L32" s="107">
        <f t="shared" si="1"/>
        <v>0.81693602774018659</v>
      </c>
      <c r="M32" s="107">
        <f t="shared" si="2"/>
        <v>0.18306397225981327</v>
      </c>
    </row>
    <row r="33" spans="2:13" s="23" customFormat="1" ht="16.5" x14ac:dyDescent="0.25">
      <c r="B33" s="105" t="str">
        <f>+Estado!A126</f>
        <v>E-10104</v>
      </c>
      <c r="C33" s="106" t="str">
        <f>IFERROR(VLOOKUP(B33,Estado!$A$9:$B$586,2,FALSE),0)</f>
        <v>ALQ Y DERECH P.TELEC</v>
      </c>
      <c r="D33" s="9">
        <f>SUMIF(Estado!$A$9:$A$449,$B33,Estado!$C$9:$C$449)</f>
        <v>81981128.060000002</v>
      </c>
      <c r="E33" s="9">
        <f>SUMIF(Estado!$A$9:$A$449,$B33,Estado!$G$9:$G$449)</f>
        <v>7502550.1600000001</v>
      </c>
      <c r="F33" s="9">
        <f>SUMIF(Estado!$A$9:$A$449,$B33,Estado!$E$9:$E$449)</f>
        <v>0</v>
      </c>
      <c r="G33" s="9">
        <f>SUMIF(Estado!$A$9:$A$449,$B33,Estado!$G$9:$G$449)</f>
        <v>7502550.1600000001</v>
      </c>
      <c r="H33" s="9">
        <f>SUMIF(Estado!$A$9:$A$449,$B33,Estado!$I$9:$I$449)</f>
        <v>0</v>
      </c>
      <c r="I33" s="9">
        <f>SUMIF(Estado!$A$9:$A$449,$B33,Estado!$K$9:$K$449)</f>
        <v>67689796.609999999</v>
      </c>
      <c r="J33" s="9">
        <f t="shared" si="5"/>
        <v>75192346.769999996</v>
      </c>
      <c r="K33" s="9">
        <f>SUMIF(Estado!$A$9:$A$449,$B33,Estado!$O$9:$O$449)</f>
        <v>6788781.29</v>
      </c>
      <c r="L33" s="107">
        <f t="shared" si="1"/>
        <v>0.91719092612349196</v>
      </c>
      <c r="M33" s="107">
        <f t="shared" si="2"/>
        <v>8.280907387650796E-2</v>
      </c>
    </row>
    <row r="34" spans="2:13" s="23" customFormat="1" ht="16.5" x14ac:dyDescent="0.25">
      <c r="B34" s="105" t="str">
        <f>+Estado!A127</f>
        <v>E-10199</v>
      </c>
      <c r="C34" s="106" t="str">
        <f>IFERROR(VLOOKUP(B34,Estado!$A$9:$B$586,2,FALSE),0)</f>
        <v>OTROS ALQUILERES</v>
      </c>
      <c r="D34" s="9">
        <f>SUMIF(Estado!$A$9:$A$449,$B34,Estado!$C$9:$C$449)</f>
        <v>8099765184</v>
      </c>
      <c r="E34" s="9">
        <f>SUMIF(Estado!$A$9:$A$449,$B34,Estado!$G$9:$G$449)</f>
        <v>164750743.16999999</v>
      </c>
      <c r="F34" s="9">
        <f>SUMIF(Estado!$A$9:$A$449,$B34,Estado!$E$9:$E$449)</f>
        <v>0</v>
      </c>
      <c r="G34" s="9">
        <f>SUMIF(Estado!$A$9:$A$449,$B34,Estado!$G$9:$G$449)</f>
        <v>164750743.16999999</v>
      </c>
      <c r="H34" s="9">
        <f>SUMIF(Estado!$A$9:$A$449,$B34,Estado!$I$9:$I$449)</f>
        <v>0</v>
      </c>
      <c r="I34" s="9">
        <f>SUMIF(Estado!$A$9:$A$449,$B34,Estado!$K$9:$K$449)</f>
        <v>7076316839.9099998</v>
      </c>
      <c r="J34" s="9">
        <f t="shared" si="5"/>
        <v>7241067583.0799999</v>
      </c>
      <c r="K34" s="9">
        <f>SUMIF(Estado!$A$9:$A$449,$B34,Estado!$O$9:$O$449)</f>
        <v>858697600.91999996</v>
      </c>
      <c r="L34" s="107">
        <f t="shared" si="1"/>
        <v>0.89398487716455755</v>
      </c>
      <c r="M34" s="107">
        <f t="shared" si="2"/>
        <v>0.10601512283544243</v>
      </c>
    </row>
    <row r="35" spans="2:13" s="23" customFormat="1" ht="16.5" x14ac:dyDescent="0.25">
      <c r="B35" s="105" t="str">
        <f>+Estado!A128</f>
        <v>E-102</v>
      </c>
      <c r="C35" s="106" t="str">
        <f>IFERROR(VLOOKUP(B35,Estado!$A$9:$B$586,2,FALSE),0)</f>
        <v>SERVICIOS BÁSICOS</v>
      </c>
      <c r="D35" s="9">
        <f>SUMIF(Estado!$A$9:$A$449,$B35,Estado!$C$9:$C$449)</f>
        <v>5502895133</v>
      </c>
      <c r="E35" s="9">
        <f>SUMIF(Estado!$A$9:$A$449,$B35,Estado!$G$9:$G$449)</f>
        <v>223288500.27000004</v>
      </c>
      <c r="F35" s="9">
        <f>SUMIF(Estado!$A$9:$A$449,$B35,Estado!$E$9:$E$449)</f>
        <v>0</v>
      </c>
      <c r="G35" s="9">
        <f>SUMIF(Estado!$A$9:$A$449,$B35,Estado!$G$9:$G$449)</f>
        <v>223288500.27000004</v>
      </c>
      <c r="H35" s="9">
        <f>SUMIF(Estado!$A$9:$A$449,$B35,Estado!$I$9:$I$449)</f>
        <v>0</v>
      </c>
      <c r="I35" s="9">
        <f>SUMIF(Estado!$A$9:$A$449,$B35,Estado!$K$9:$K$449)</f>
        <v>5156973550.04</v>
      </c>
      <c r="J35" s="9">
        <f t="shared" si="5"/>
        <v>5380262050.3100004</v>
      </c>
      <c r="K35" s="9">
        <f>SUMIF(Estado!$A$9:$A$449,$B35,Estado!$O$9:$O$449)</f>
        <v>122633082.69</v>
      </c>
      <c r="L35" s="107">
        <f t="shared" si="1"/>
        <v>0.97771480652891452</v>
      </c>
      <c r="M35" s="107">
        <f t="shared" si="2"/>
        <v>2.228519347108554E-2</v>
      </c>
    </row>
    <row r="36" spans="2:13" s="23" customFormat="1" ht="16.5" x14ac:dyDescent="0.25">
      <c r="B36" s="105" t="str">
        <f>+Estado!A129</f>
        <v>E-10201</v>
      </c>
      <c r="C36" s="106" t="str">
        <f>IFERROR(VLOOKUP(B36,Estado!$A$9:$B$586,2,FALSE),0)</f>
        <v>SERV.AGUA Y ALCANT.</v>
      </c>
      <c r="D36" s="9">
        <f>SUMIF(Estado!$A$9:$A$449,$B36,Estado!$C$9:$C$449)</f>
        <v>3033891322</v>
      </c>
      <c r="E36" s="9">
        <f>SUMIF(Estado!$A$9:$A$449,$B36,Estado!$G$9:$G$449)</f>
        <v>15858143.83</v>
      </c>
      <c r="F36" s="9">
        <f>SUMIF(Estado!$A$9:$A$449,$B36,Estado!$E$9:$E$449)</f>
        <v>0</v>
      </c>
      <c r="G36" s="9">
        <f>SUMIF(Estado!$A$9:$A$449,$B36,Estado!$G$9:$G$449)</f>
        <v>15858143.83</v>
      </c>
      <c r="H36" s="9">
        <f>SUMIF(Estado!$A$9:$A$449,$B36,Estado!$I$9:$I$449)</f>
        <v>0</v>
      </c>
      <c r="I36" s="9">
        <f>SUMIF(Estado!$A$9:$A$449,$B36,Estado!$K$9:$K$449)</f>
        <v>3016814507.98</v>
      </c>
      <c r="J36" s="9">
        <f t="shared" si="5"/>
        <v>3032672651.8099999</v>
      </c>
      <c r="K36" s="9">
        <f>SUMIF(Estado!$A$9:$A$449,$B36,Estado!$O$9:$O$449)</f>
        <v>1218670.1900000002</v>
      </c>
      <c r="L36" s="107">
        <f t="shared" si="1"/>
        <v>0.99959831448768022</v>
      </c>
      <c r="M36" s="107">
        <f t="shared" si="2"/>
        <v>4.0168551231974559E-4</v>
      </c>
    </row>
    <row r="37" spans="2:13" s="23" customFormat="1" ht="16.5" x14ac:dyDescent="0.25">
      <c r="B37" s="105" t="str">
        <f>+Estado!A130</f>
        <v>E-10202</v>
      </c>
      <c r="C37" s="106" t="str">
        <f>IFERROR(VLOOKUP(B37,Estado!$A$9:$B$586,2,FALSE),0)</f>
        <v>SERV ENERGÍA ELÉCT</v>
      </c>
      <c r="D37" s="9">
        <f>SUMIF(Estado!$A$9:$A$449,$B37,Estado!$C$9:$C$449)</f>
        <v>1522895316</v>
      </c>
      <c r="E37" s="9">
        <f>SUMIF(Estado!$A$9:$A$449,$B37,Estado!$G$9:$G$449)</f>
        <v>119336550.21000002</v>
      </c>
      <c r="F37" s="9">
        <f>SUMIF(Estado!$A$9:$A$449,$B37,Estado!$E$9:$E$449)</f>
        <v>0</v>
      </c>
      <c r="G37" s="9">
        <f>SUMIF(Estado!$A$9:$A$449,$B37,Estado!$G$9:$G$449)</f>
        <v>119336550.21000002</v>
      </c>
      <c r="H37" s="9">
        <f>SUMIF(Estado!$A$9:$A$449,$B37,Estado!$I$9:$I$449)</f>
        <v>0</v>
      </c>
      <c r="I37" s="9">
        <f>SUMIF(Estado!$A$9:$A$449,$B37,Estado!$K$9:$K$449)</f>
        <v>1402767827.22</v>
      </c>
      <c r="J37" s="9">
        <f t="shared" si="5"/>
        <v>1522104377.4300001</v>
      </c>
      <c r="K37" s="9">
        <f>SUMIF(Estado!$A$9:$A$449,$B37,Estado!$O$9:$O$449)</f>
        <v>790938.57000000007</v>
      </c>
      <c r="L37" s="107">
        <f t="shared" si="1"/>
        <v>0.99948063497097261</v>
      </c>
      <c r="M37" s="107">
        <f t="shared" si="2"/>
        <v>5.1936502902737939E-4</v>
      </c>
    </row>
    <row r="38" spans="2:13" s="23" customFormat="1" ht="16.5" x14ac:dyDescent="0.25">
      <c r="B38" s="105" t="str">
        <f>+Estado!A131</f>
        <v>E-10203</v>
      </c>
      <c r="C38" s="106" t="str">
        <f>IFERROR(VLOOKUP(B38,Estado!$A$9:$B$586,2,FALSE),0)</f>
        <v>SERVICIO DE CORREO</v>
      </c>
      <c r="D38" s="9">
        <f>SUMIF(Estado!$A$9:$A$449,$B38,Estado!$C$9:$C$449)</f>
        <v>11719924</v>
      </c>
      <c r="E38" s="9">
        <f>SUMIF(Estado!$A$9:$A$449,$B38,Estado!$G$9:$G$449)</f>
        <v>1939962.25</v>
      </c>
      <c r="F38" s="9">
        <f>SUMIF(Estado!$A$9:$A$449,$B38,Estado!$E$9:$E$449)</f>
        <v>0</v>
      </c>
      <c r="G38" s="9">
        <f>SUMIF(Estado!$A$9:$A$449,$B38,Estado!$G$9:$G$449)</f>
        <v>1939962.25</v>
      </c>
      <c r="H38" s="9">
        <f>SUMIF(Estado!$A$9:$A$449,$B38,Estado!$I$9:$I$449)</f>
        <v>0</v>
      </c>
      <c r="I38" s="9">
        <f>SUMIF(Estado!$A$9:$A$449,$B38,Estado!$K$9:$K$449)</f>
        <v>2597361.4500000002</v>
      </c>
      <c r="J38" s="9">
        <f t="shared" si="5"/>
        <v>4537323.7</v>
      </c>
      <c r="K38" s="9">
        <f>SUMIF(Estado!$A$9:$A$449,$B38,Estado!$O$9:$O$449)</f>
        <v>7182600.2999999998</v>
      </c>
      <c r="L38" s="107">
        <f t="shared" si="1"/>
        <v>0.38714617091373632</v>
      </c>
      <c r="M38" s="107">
        <f t="shared" si="2"/>
        <v>0.61285382908626373</v>
      </c>
    </row>
    <row r="39" spans="2:13" s="23" customFormat="1" ht="16.5" x14ac:dyDescent="0.25">
      <c r="B39" s="105" t="str">
        <f>+Estado!A132</f>
        <v>E-10204</v>
      </c>
      <c r="C39" s="106" t="str">
        <f>IFERROR(VLOOKUP(B39,Estado!$A$9:$B$586,2,FALSE),0)</f>
        <v>SERV.TELECOMUNIC.</v>
      </c>
      <c r="D39" s="9">
        <f>SUMIF(Estado!$A$9:$A$449,$B39,Estado!$C$9:$C$449)</f>
        <v>743324152</v>
      </c>
      <c r="E39" s="9">
        <f>SUMIF(Estado!$A$9:$A$449,$B39,Estado!$G$9:$G$449)</f>
        <v>70023354.279999986</v>
      </c>
      <c r="F39" s="9">
        <f>SUMIF(Estado!$A$9:$A$449,$B39,Estado!$E$9:$E$449)</f>
        <v>0</v>
      </c>
      <c r="G39" s="9">
        <f>SUMIF(Estado!$A$9:$A$449,$B39,Estado!$G$9:$G$449)</f>
        <v>70023354.279999986</v>
      </c>
      <c r="H39" s="9">
        <f>SUMIF(Estado!$A$9:$A$449,$B39,Estado!$I$9:$I$449)</f>
        <v>0</v>
      </c>
      <c r="I39" s="9">
        <f>SUMIF(Estado!$A$9:$A$449,$B39,Estado!$K$9:$K$449)</f>
        <v>644779140.98000014</v>
      </c>
      <c r="J39" s="9">
        <f t="shared" si="5"/>
        <v>714802495.26000011</v>
      </c>
      <c r="K39" s="9">
        <f>SUMIF(Estado!$A$9:$A$449,$B39,Estado!$O$9:$O$449)</f>
        <v>28521656.739999998</v>
      </c>
      <c r="L39" s="107">
        <f t="shared" si="1"/>
        <v>0.9616295842624526</v>
      </c>
      <c r="M39" s="107">
        <f t="shared" si="2"/>
        <v>3.8370415737547563E-2</v>
      </c>
    </row>
    <row r="40" spans="2:13" s="23" customFormat="1" ht="16.5" x14ac:dyDescent="0.25">
      <c r="B40" s="105" t="str">
        <f>+Estado!A133</f>
        <v>E-10299</v>
      </c>
      <c r="C40" s="106" t="str">
        <f>IFERROR(VLOOKUP(B40,Estado!$A$9:$B$586,2,FALSE),0)</f>
        <v>OTROS SERV.BÁSICOS</v>
      </c>
      <c r="D40" s="9">
        <f>SUMIF(Estado!$A$9:$A$449,$B40,Estado!$C$9:$C$449)</f>
        <v>191064419</v>
      </c>
      <c r="E40" s="9">
        <f>SUMIF(Estado!$A$9:$A$449,$B40,Estado!$G$9:$G$449)</f>
        <v>16130489.699999999</v>
      </c>
      <c r="F40" s="9">
        <f>SUMIF(Estado!$A$9:$A$449,$B40,Estado!$E$9:$E$449)</f>
        <v>0</v>
      </c>
      <c r="G40" s="9">
        <f>SUMIF(Estado!$A$9:$A$449,$B40,Estado!$G$9:$G$449)</f>
        <v>16130489.699999999</v>
      </c>
      <c r="H40" s="9">
        <f>SUMIF(Estado!$A$9:$A$449,$B40,Estado!$I$9:$I$449)</f>
        <v>0</v>
      </c>
      <c r="I40" s="9">
        <f>SUMIF(Estado!$A$9:$A$449,$B40,Estado!$K$9:$K$449)</f>
        <v>90014712.409999996</v>
      </c>
      <c r="J40" s="9">
        <f t="shared" si="5"/>
        <v>106145202.11</v>
      </c>
      <c r="K40" s="9">
        <f>SUMIF(Estado!$A$9:$A$449,$B40,Estado!$O$9:$O$449)</f>
        <v>84919216.890000001</v>
      </c>
      <c r="L40" s="107">
        <f t="shared" si="1"/>
        <v>0.55554667198396579</v>
      </c>
      <c r="M40" s="107">
        <f t="shared" si="2"/>
        <v>0.44445332801603421</v>
      </c>
    </row>
    <row r="41" spans="2:13" s="23" customFormat="1" ht="16.5" x14ac:dyDescent="0.25">
      <c r="B41" s="105" t="str">
        <f>+Estado!A134</f>
        <v>E-103</v>
      </c>
      <c r="C41" s="106" t="str">
        <f>IFERROR(VLOOKUP(B41,Estado!$A$9:$B$586,2,FALSE),0)</f>
        <v>SERV COMERC Y FINANC</v>
      </c>
      <c r="D41" s="9">
        <f>SUMIF(Estado!$A$9:$A$449,$B41,Estado!$C$9:$C$449)</f>
        <v>29547040</v>
      </c>
      <c r="E41" s="9">
        <f>SUMIF(Estado!$A$9:$A$449,$B41,Estado!$G$9:$G$449)</f>
        <v>4271327.49</v>
      </c>
      <c r="F41" s="9">
        <f>SUMIF(Estado!$A$9:$A$449,$B41,Estado!$E$9:$E$449)</f>
        <v>0</v>
      </c>
      <c r="G41" s="9">
        <f>SUMIF(Estado!$A$9:$A$449,$B41,Estado!$G$9:$G$449)</f>
        <v>4271327.49</v>
      </c>
      <c r="H41" s="9">
        <f>SUMIF(Estado!$A$9:$A$449,$B41,Estado!$I$9:$I$449)</f>
        <v>0</v>
      </c>
      <c r="I41" s="9">
        <f>SUMIF(Estado!$A$9:$A$449,$B41,Estado!$K$9:$K$449)</f>
        <v>15682412.790000001</v>
      </c>
      <c r="J41" s="9">
        <f t="shared" si="5"/>
        <v>19953740.280000001</v>
      </c>
      <c r="K41" s="9">
        <f>SUMIF(Estado!$A$9:$A$449,$B41,Estado!$O$9:$O$449)</f>
        <v>9593299.7199999988</v>
      </c>
      <c r="L41" s="107">
        <f t="shared" si="1"/>
        <v>0.67532112455257787</v>
      </c>
      <c r="M41" s="107">
        <f t="shared" si="2"/>
        <v>0.32467887544742208</v>
      </c>
    </row>
    <row r="42" spans="2:13" s="23" customFormat="1" ht="16.5" x14ac:dyDescent="0.25">
      <c r="B42" s="105" t="str">
        <f>+Estado!A135</f>
        <v>E-10301</v>
      </c>
      <c r="C42" s="106" t="str">
        <f>IFERROR(VLOOKUP(B42,Estado!$A$9:$B$586,2,FALSE),0)</f>
        <v>INFORMACIÓN</v>
      </c>
      <c r="D42" s="9">
        <f>SUMIF(Estado!$A$9:$A$449,$B42,Estado!$C$9:$C$449)</f>
        <v>18313760</v>
      </c>
      <c r="E42" s="9">
        <f>SUMIF(Estado!$A$9:$A$449,$B42,Estado!$G$9:$G$449)</f>
        <v>3885220.4</v>
      </c>
      <c r="F42" s="9">
        <f>SUMIF(Estado!$A$9:$A$449,$B42,Estado!$E$9:$E$449)</f>
        <v>0</v>
      </c>
      <c r="G42" s="9">
        <f>SUMIF(Estado!$A$9:$A$449,$B42,Estado!$G$9:$G$449)</f>
        <v>3885220.4</v>
      </c>
      <c r="H42" s="9">
        <f>SUMIF(Estado!$A$9:$A$449,$B42,Estado!$I$9:$I$449)</f>
        <v>0</v>
      </c>
      <c r="I42" s="9">
        <f>SUMIF(Estado!$A$9:$A$449,$B42,Estado!$K$9:$K$449)</f>
        <v>10424783.49</v>
      </c>
      <c r="J42" s="9">
        <f t="shared" si="5"/>
        <v>14310003.890000001</v>
      </c>
      <c r="K42" s="9">
        <f>SUMIF(Estado!$A$9:$A$449,$B42,Estado!$O$9:$O$449)</f>
        <v>4003756.1100000003</v>
      </c>
      <c r="L42" s="107">
        <f t="shared" si="1"/>
        <v>0.78137989631839666</v>
      </c>
      <c r="M42" s="107">
        <f t="shared" si="2"/>
        <v>0.21862010368160337</v>
      </c>
    </row>
    <row r="43" spans="2:13" s="23" customFormat="1" ht="16.5" x14ac:dyDescent="0.25">
      <c r="B43" s="105" t="str">
        <f>+Estado!A136</f>
        <v>E-10302</v>
      </c>
      <c r="C43" s="106" t="str">
        <f>IFERROR(VLOOKUP(B43,Estado!$A$9:$B$586,2,FALSE),0)</f>
        <v>PUBLICIDAD Y PROPAG.</v>
      </c>
      <c r="D43" s="9">
        <f>SUMIF(Estado!$A$9:$A$449,$B43,Estado!$C$9:$C$449)</f>
        <v>209050</v>
      </c>
      <c r="E43" s="9">
        <f>SUMIF(Estado!$A$9:$A$449,$B43,Estado!$G$9:$G$449)</f>
        <v>0</v>
      </c>
      <c r="F43" s="9">
        <f>SUMIF(Estado!$A$9:$A$449,$B43,Estado!$E$9:$E$449)</f>
        <v>0</v>
      </c>
      <c r="G43" s="9">
        <f>SUMIF(Estado!$A$9:$A$449,$B43,Estado!$G$9:$G$449)</f>
        <v>0</v>
      </c>
      <c r="H43" s="9">
        <f>SUMIF(Estado!$A$9:$A$449,$B43,Estado!$I$9:$I$449)</f>
        <v>0</v>
      </c>
      <c r="I43" s="9">
        <f>SUMIF(Estado!$A$9:$A$449,$B43,Estado!$K$9:$K$449)</f>
        <v>209050</v>
      </c>
      <c r="J43" s="9">
        <f t="shared" si="5"/>
        <v>209050</v>
      </c>
      <c r="K43" s="9">
        <f>SUMIF(Estado!$A$9:$A$449,$B43,Estado!$O$9:$O$449)</f>
        <v>0</v>
      </c>
      <c r="L43" s="107">
        <f t="shared" si="1"/>
        <v>1</v>
      </c>
      <c r="M43" s="107">
        <f t="shared" si="2"/>
        <v>0</v>
      </c>
    </row>
    <row r="44" spans="2:13" s="23" customFormat="1" ht="16.5" x14ac:dyDescent="0.25">
      <c r="B44" s="105" t="str">
        <f>+Estado!A137</f>
        <v>E-10303</v>
      </c>
      <c r="C44" s="106" t="str">
        <f>IFERROR(VLOOKUP(B44,Estado!$A$9:$B$586,2,FALSE),0)</f>
        <v>IMP., ENCUAD Y OTROS</v>
      </c>
      <c r="D44" s="9">
        <f>SUMIF(Estado!$A$9:$A$449,$B44,Estado!$C$9:$C$449)</f>
        <v>5000000</v>
      </c>
      <c r="E44" s="9">
        <f>SUMIF(Estado!$A$9:$A$449,$B44,Estado!$G$9:$G$449)</f>
        <v>50000</v>
      </c>
      <c r="F44" s="9">
        <f>SUMIF(Estado!$A$9:$A$449,$B44,Estado!$E$9:$E$449)</f>
        <v>0</v>
      </c>
      <c r="G44" s="9">
        <f>SUMIF(Estado!$A$9:$A$449,$B44,Estado!$G$9:$G$449)</f>
        <v>50000</v>
      </c>
      <c r="H44" s="9">
        <f>SUMIF(Estado!$A$9:$A$449,$B44,Estado!$I$9:$I$449)</f>
        <v>0</v>
      </c>
      <c r="I44" s="9">
        <f>SUMIF(Estado!$A$9:$A$449,$B44,Estado!$K$9:$K$449)</f>
        <v>3131329.91</v>
      </c>
      <c r="J44" s="9">
        <f t="shared" si="5"/>
        <v>3181329.91</v>
      </c>
      <c r="K44" s="9">
        <f>SUMIF(Estado!$A$9:$A$449,$B44,Estado!$O$9:$O$449)</f>
        <v>1818670.09</v>
      </c>
      <c r="L44" s="107">
        <f t="shared" si="1"/>
        <v>0.63626598200000006</v>
      </c>
      <c r="M44" s="107">
        <f t="shared" si="2"/>
        <v>0.36373401799999999</v>
      </c>
    </row>
    <row r="45" spans="2:13" s="23" customFormat="1" ht="16.5" x14ac:dyDescent="0.25">
      <c r="B45" s="105" t="str">
        <f>+Estado!A138</f>
        <v>E-10304</v>
      </c>
      <c r="C45" s="106" t="str">
        <f>IFERROR(VLOOKUP(B45,Estado!$A$9:$B$586,2,FALSE),0)</f>
        <v>TRANSPORTE DE BIENES</v>
      </c>
      <c r="D45" s="9">
        <f>SUMIF(Estado!$A$9:$A$449,$B45,Estado!$C$9:$C$449)</f>
        <v>0</v>
      </c>
      <c r="E45" s="9">
        <f>SUMIF(Estado!$A$9:$A$449,$B45,Estado!$G$9:$G$449)</f>
        <v>0</v>
      </c>
      <c r="F45" s="9">
        <f>SUMIF(Estado!$A$9:$A$449,$B45,Estado!$E$9:$E$449)</f>
        <v>0</v>
      </c>
      <c r="G45" s="9">
        <f>SUMIF(Estado!$A$9:$A$449,$B45,Estado!$G$9:$G$449)</f>
        <v>0</v>
      </c>
      <c r="H45" s="9">
        <f>SUMIF(Estado!$A$9:$A$449,$B45,Estado!$I$9:$I$449)</f>
        <v>0</v>
      </c>
      <c r="I45" s="9">
        <f>SUMIF(Estado!$A$9:$A$449,$B45,Estado!$K$9:$K$449)</f>
        <v>0</v>
      </c>
      <c r="J45" s="9">
        <f t="shared" si="5"/>
        <v>0</v>
      </c>
      <c r="K45" s="9">
        <f>SUMIF(Estado!$A$9:$A$449,$B45,Estado!$O$9:$O$449)</f>
        <v>0</v>
      </c>
      <c r="L45" s="107">
        <f t="shared" si="1"/>
        <v>0</v>
      </c>
      <c r="M45" s="107">
        <f t="shared" si="2"/>
        <v>0</v>
      </c>
    </row>
    <row r="46" spans="2:13" s="23" customFormat="1" ht="16.5" x14ac:dyDescent="0.25">
      <c r="B46" s="105" t="str">
        <f>+Estado!A139</f>
        <v>E-10306</v>
      </c>
      <c r="C46" s="106" t="str">
        <f>IFERROR(VLOOKUP(B46,Estado!$A$9:$B$586,2,FALSE),0)</f>
        <v>COM G.P.S.FIN Y COM.</v>
      </c>
      <c r="D46" s="9">
        <f>SUMIF(Estado!$A$9:$A$449,$B46,Estado!$C$9:$C$449)</f>
        <v>138100</v>
      </c>
      <c r="E46" s="9">
        <f>SUMIF(Estado!$A$9:$A$449,$B46,Estado!$G$9:$G$449)</f>
        <v>17206.64</v>
      </c>
      <c r="F46" s="9">
        <f>SUMIF(Estado!$A$9:$A$449,$B46,Estado!$E$9:$E$449)</f>
        <v>0</v>
      </c>
      <c r="G46" s="9">
        <f>SUMIF(Estado!$A$9:$A$449,$B46,Estado!$G$9:$G$449)</f>
        <v>17206.64</v>
      </c>
      <c r="H46" s="9">
        <f>SUMIF(Estado!$A$9:$A$449,$B46,Estado!$I$9:$I$449)</f>
        <v>0</v>
      </c>
      <c r="I46" s="9">
        <f>SUMIF(Estado!$A$9:$A$449,$B46,Estado!$K$9:$K$449)</f>
        <v>90793.36</v>
      </c>
      <c r="J46" s="9">
        <f t="shared" si="5"/>
        <v>108000</v>
      </c>
      <c r="K46" s="9">
        <f>SUMIF(Estado!$A$9:$A$449,$B46,Estado!$O$9:$O$449)</f>
        <v>30100</v>
      </c>
      <c r="L46" s="107">
        <f t="shared" si="1"/>
        <v>0.78204199855177403</v>
      </c>
      <c r="M46" s="107">
        <f t="shared" si="2"/>
        <v>0.21795800144822591</v>
      </c>
    </row>
    <row r="47" spans="2:13" s="23" customFormat="1" ht="16.5" x14ac:dyDescent="0.25">
      <c r="B47" s="105" t="str">
        <f>+Estado!A140</f>
        <v>E-10307</v>
      </c>
      <c r="C47" s="106" t="str">
        <f>IFERROR(VLOOKUP(B47,Estado!$A$9:$B$586,2,FALSE),0)</f>
        <v>SERV TRANSF.ELEC.INF</v>
      </c>
      <c r="D47" s="9">
        <f>SUMIF(Estado!$A$9:$A$449,$B47,Estado!$C$9:$C$449)</f>
        <v>5886130</v>
      </c>
      <c r="E47" s="9">
        <f>SUMIF(Estado!$A$9:$A$449,$B47,Estado!$G$9:$G$449)</f>
        <v>318900.45</v>
      </c>
      <c r="F47" s="9">
        <f>SUMIF(Estado!$A$9:$A$449,$B47,Estado!$E$9:$E$449)</f>
        <v>0</v>
      </c>
      <c r="G47" s="9">
        <f>SUMIF(Estado!$A$9:$A$449,$B47,Estado!$G$9:$G$449)</f>
        <v>318900.45</v>
      </c>
      <c r="H47" s="9">
        <f>SUMIF(Estado!$A$9:$A$449,$B47,Estado!$I$9:$I$449)</f>
        <v>0</v>
      </c>
      <c r="I47" s="9">
        <f>SUMIF(Estado!$A$9:$A$449,$B47,Estado!$K$9:$K$449)</f>
        <v>1826456.0299999998</v>
      </c>
      <c r="J47" s="9">
        <f t="shared" si="5"/>
        <v>2145356.48</v>
      </c>
      <c r="K47" s="9">
        <f>SUMIF(Estado!$A$9:$A$449,$B47,Estado!$O$9:$O$449)</f>
        <v>3740773.52</v>
      </c>
      <c r="L47" s="107">
        <f t="shared" si="1"/>
        <v>0.36447657119363658</v>
      </c>
      <c r="M47" s="107">
        <f t="shared" si="2"/>
        <v>0.63552342880636348</v>
      </c>
    </row>
    <row r="48" spans="2:13" s="23" customFormat="1" ht="16.5" x14ac:dyDescent="0.25">
      <c r="B48" s="105" t="str">
        <f>+Estado!A141</f>
        <v>E-104</v>
      </c>
      <c r="C48" s="106" t="str">
        <f>IFERROR(VLOOKUP(B48,Estado!$A$9:$B$586,2,FALSE),0)</f>
        <v>SERV DE GEST Y APOYO</v>
      </c>
      <c r="D48" s="9">
        <f>SUMIF(Estado!$A$9:$A$449,$B48,Estado!$C$9:$C$449)</f>
        <v>708034133</v>
      </c>
      <c r="E48" s="9">
        <f>SUMIF(Estado!$A$9:$A$449,$B48,Estado!$G$9:$G$449)</f>
        <v>7262946.9400000004</v>
      </c>
      <c r="F48" s="9">
        <f>SUMIF(Estado!$A$9:$A$449,$B48,Estado!$E$9:$E$449)</f>
        <v>0</v>
      </c>
      <c r="G48" s="9">
        <f>SUMIF(Estado!$A$9:$A$449,$B48,Estado!$G$9:$G$449)</f>
        <v>7262946.9400000004</v>
      </c>
      <c r="H48" s="9">
        <f>SUMIF(Estado!$A$9:$A$449,$B48,Estado!$I$9:$I$449)</f>
        <v>0</v>
      </c>
      <c r="I48" s="9">
        <f>SUMIF(Estado!$A$9:$A$449,$B48,Estado!$K$9:$K$449)</f>
        <v>650722062.53000009</v>
      </c>
      <c r="J48" s="9">
        <f t="shared" si="5"/>
        <v>657985009.47000015</v>
      </c>
      <c r="K48" s="9">
        <f>SUMIF(Estado!$A$9:$A$449,$B48,Estado!$O$9:$O$449)</f>
        <v>50049123.529999994</v>
      </c>
      <c r="L48" s="107">
        <f t="shared" si="1"/>
        <v>0.92931255543014923</v>
      </c>
      <c r="M48" s="107">
        <f t="shared" si="2"/>
        <v>7.0687444569850974E-2</v>
      </c>
    </row>
    <row r="49" spans="2:13" s="23" customFormat="1" ht="16.5" x14ac:dyDescent="0.25">
      <c r="B49" s="105" t="str">
        <f>+Estado!A142</f>
        <v>E-10401</v>
      </c>
      <c r="C49" s="106" t="str">
        <f>IFERROR(VLOOKUP(B49,Estado!$A$9:$B$586,2,FALSE),0)</f>
        <v>SERV.MEDICOS YDE LAB</v>
      </c>
      <c r="D49" s="9">
        <f>SUMIF(Estado!$A$9:$A$449,$B49,Estado!$C$9:$C$449)</f>
        <v>14125550</v>
      </c>
      <c r="E49" s="9">
        <f>SUMIF(Estado!$A$9:$A$449,$B49,Estado!$G$9:$G$449)</f>
        <v>0</v>
      </c>
      <c r="F49" s="9">
        <f>SUMIF(Estado!$A$9:$A$449,$B49,Estado!$E$9:$E$449)</f>
        <v>0</v>
      </c>
      <c r="G49" s="9">
        <f>SUMIF(Estado!$A$9:$A$449,$B49,Estado!$G$9:$G$449)</f>
        <v>0</v>
      </c>
      <c r="H49" s="9">
        <f>SUMIF(Estado!$A$9:$A$449,$B49,Estado!$I$9:$I$449)</f>
        <v>0</v>
      </c>
      <c r="I49" s="9">
        <f>SUMIF(Estado!$A$9:$A$449,$B49,Estado!$K$9:$K$449)</f>
        <v>8897615.9900000002</v>
      </c>
      <c r="J49" s="9">
        <f t="shared" si="5"/>
        <v>8897615.9900000002</v>
      </c>
      <c r="K49" s="9">
        <f>SUMIF(Estado!$A$9:$A$449,$B49,Estado!$O$9:$O$449)</f>
        <v>5227934.01</v>
      </c>
      <c r="L49" s="107">
        <f t="shared" si="1"/>
        <v>0.62989518921387133</v>
      </c>
      <c r="M49" s="107">
        <f t="shared" si="2"/>
        <v>0.37010481078612867</v>
      </c>
    </row>
    <row r="50" spans="2:13" s="23" customFormat="1" ht="16.5" x14ac:dyDescent="0.25">
      <c r="B50" s="105" t="str">
        <f>+Estado!A143</f>
        <v>E-10402</v>
      </c>
      <c r="C50" s="106" t="str">
        <f>IFERROR(VLOOKUP(B50,Estado!$A$9:$B$586,2,FALSE),0)</f>
        <v>SERVICIOS JURÍDICOS</v>
      </c>
      <c r="D50" s="9">
        <f>SUMIF(Estado!$A$9:$A$449,$B50,Estado!$C$9:$C$449)</f>
        <v>2000000</v>
      </c>
      <c r="E50" s="9">
        <f>SUMIF(Estado!$A$9:$A$449,$B50,Estado!$G$9:$G$449)</f>
        <v>0</v>
      </c>
      <c r="F50" s="9">
        <f>SUMIF(Estado!$A$9:$A$449,$B50,Estado!$E$9:$E$449)</f>
        <v>0</v>
      </c>
      <c r="G50" s="9">
        <f>SUMIF(Estado!$A$9:$A$449,$B50,Estado!$G$9:$G$449)</f>
        <v>0</v>
      </c>
      <c r="H50" s="9">
        <f>SUMIF(Estado!$A$9:$A$449,$B50,Estado!$I$9:$I$449)</f>
        <v>0</v>
      </c>
      <c r="I50" s="9">
        <f>SUMIF(Estado!$A$9:$A$449,$B50,Estado!$K$9:$K$449)</f>
        <v>0</v>
      </c>
      <c r="J50" s="9">
        <f t="shared" si="5"/>
        <v>0</v>
      </c>
      <c r="K50" s="9">
        <f>SUMIF(Estado!$A$9:$A$449,$B50,Estado!$O$9:$O$449)</f>
        <v>2000000</v>
      </c>
      <c r="L50" s="107">
        <f t="shared" si="1"/>
        <v>0</v>
      </c>
      <c r="M50" s="107">
        <f t="shared" si="2"/>
        <v>1</v>
      </c>
    </row>
    <row r="51" spans="2:13" s="23" customFormat="1" ht="16.5" x14ac:dyDescent="0.25">
      <c r="B51" s="105" t="str">
        <f>+Estado!A144</f>
        <v>E-10403</v>
      </c>
      <c r="C51" s="106" t="str">
        <f>IFERROR(VLOOKUP(B51,Estado!$A$9:$B$586,2,FALSE),0)</f>
        <v>SERV. DE INGENIERÍA</v>
      </c>
      <c r="D51" s="9">
        <f>SUMIF(Estado!$A$9:$A$449,$B51,Estado!$C$9:$C$449)</f>
        <v>73506483</v>
      </c>
      <c r="E51" s="9">
        <f>SUMIF(Estado!$A$9:$A$449,$B51,Estado!$G$9:$G$449)</f>
        <v>1481644.34</v>
      </c>
      <c r="F51" s="9">
        <f>SUMIF(Estado!$A$9:$A$449,$B51,Estado!$E$9:$E$449)</f>
        <v>0</v>
      </c>
      <c r="G51" s="9">
        <f>SUMIF(Estado!$A$9:$A$449,$B51,Estado!$G$9:$G$449)</f>
        <v>1481644.34</v>
      </c>
      <c r="H51" s="9">
        <f>SUMIF(Estado!$A$9:$A$449,$B51,Estado!$I$9:$I$449)</f>
        <v>0</v>
      </c>
      <c r="I51" s="9">
        <f>SUMIF(Estado!$A$9:$A$449,$B51,Estado!$K$9:$K$449)</f>
        <v>69280522.569999993</v>
      </c>
      <c r="J51" s="9">
        <f t="shared" si="5"/>
        <v>70762166.909999996</v>
      </c>
      <c r="K51" s="9">
        <f>SUMIF(Estado!$A$9:$A$449,$B51,Estado!$O$9:$O$449)</f>
        <v>2744316.09</v>
      </c>
      <c r="L51" s="107">
        <f t="shared" si="1"/>
        <v>0.96266565916369573</v>
      </c>
      <c r="M51" s="107">
        <f t="shared" si="2"/>
        <v>3.7334340836304193E-2</v>
      </c>
    </row>
    <row r="52" spans="2:13" s="23" customFormat="1" ht="16.5" x14ac:dyDescent="0.25">
      <c r="B52" s="105" t="str">
        <f>+Estado!A145</f>
        <v>E-10404</v>
      </c>
      <c r="C52" s="106" t="str">
        <f>IFERROR(VLOOKUP(B52,Estado!$A$9:$B$586,2,FALSE),0)</f>
        <v>SERV.CIEN.ECON.Y SOC</v>
      </c>
      <c r="D52" s="9">
        <f>SUMIF(Estado!$A$9:$A$449,$B52,Estado!$C$9:$C$449)</f>
        <v>0</v>
      </c>
      <c r="E52" s="9">
        <f>SUMIF(Estado!$A$9:$A$449,$B52,Estado!$G$9:$G$449)</f>
        <v>0</v>
      </c>
      <c r="F52" s="9">
        <f>SUMIF(Estado!$A$9:$A$449,$B52,Estado!$E$9:$E$449)</f>
        <v>0</v>
      </c>
      <c r="G52" s="9">
        <f>SUMIF(Estado!$A$9:$A$449,$B52,Estado!$G$9:$G$449)</f>
        <v>0</v>
      </c>
      <c r="H52" s="9">
        <f>SUMIF(Estado!$A$9:$A$449,$B52,Estado!$I$9:$I$449)</f>
        <v>0</v>
      </c>
      <c r="I52" s="9">
        <f>SUMIF(Estado!$A$9:$A$449,$B52,Estado!$K$9:$K$449)</f>
        <v>0</v>
      </c>
      <c r="J52" s="9">
        <f t="shared" si="5"/>
        <v>0</v>
      </c>
      <c r="K52" s="9">
        <f>SUMIF(Estado!$A$9:$A$449,$B52,Estado!$O$9:$O$449)</f>
        <v>0</v>
      </c>
      <c r="L52" s="107">
        <f t="shared" si="1"/>
        <v>0</v>
      </c>
      <c r="M52" s="107">
        <f t="shared" si="2"/>
        <v>0</v>
      </c>
    </row>
    <row r="53" spans="2:13" s="23" customFormat="1" ht="16.5" x14ac:dyDescent="0.25">
      <c r="B53" s="105" t="str">
        <f>+Estado!A146</f>
        <v>E-10405</v>
      </c>
      <c r="C53" s="106" t="str">
        <f>IFERROR(VLOOKUP(B53,Estado!$A$9:$B$586,2,FALSE),0)</f>
        <v>SERV.DES.SIST.INFORM</v>
      </c>
      <c r="D53" s="9">
        <f>SUMIF(Estado!$A$9:$A$449,$B53,Estado!$C$9:$C$449)</f>
        <v>0</v>
      </c>
      <c r="E53" s="9">
        <f>SUMIF(Estado!$A$9:$A$449,$B53,Estado!$G$9:$G$449)</f>
        <v>0</v>
      </c>
      <c r="F53" s="9">
        <f>SUMIF(Estado!$A$9:$A$449,$B53,Estado!$E$9:$E$449)</f>
        <v>0</v>
      </c>
      <c r="G53" s="9">
        <f>SUMIF(Estado!$A$9:$A$449,$B53,Estado!$G$9:$G$449)</f>
        <v>0</v>
      </c>
      <c r="H53" s="9">
        <f>SUMIF(Estado!$A$9:$A$449,$B53,Estado!$I$9:$I$449)</f>
        <v>0</v>
      </c>
      <c r="I53" s="9">
        <f>SUMIF(Estado!$A$9:$A$449,$B53,Estado!$K$9:$K$449)</f>
        <v>0</v>
      </c>
      <c r="J53" s="9">
        <f t="shared" si="5"/>
        <v>0</v>
      </c>
      <c r="K53" s="9">
        <f>SUMIF(Estado!$A$9:$A$449,$B53,Estado!$O$9:$O$449)</f>
        <v>0</v>
      </c>
      <c r="L53" s="107">
        <f t="shared" si="1"/>
        <v>0</v>
      </c>
      <c r="M53" s="107">
        <f t="shared" si="2"/>
        <v>0</v>
      </c>
    </row>
    <row r="54" spans="2:13" s="23" customFormat="1" ht="16.5" x14ac:dyDescent="0.25">
      <c r="B54" s="105" t="str">
        <f>+Estado!A147</f>
        <v>E-10406</v>
      </c>
      <c r="C54" s="106" t="str">
        <f>IFERROR(VLOOKUP(B54,Estado!$A$9:$B$586,2,FALSE),0)</f>
        <v>SERVICIOS GENERALES</v>
      </c>
      <c r="D54" s="9">
        <f>SUMIF(Estado!$A$9:$A$449,$B54,Estado!$C$9:$C$449)</f>
        <v>548494205</v>
      </c>
      <c r="E54" s="9">
        <f>SUMIF(Estado!$A$9:$A$449,$B54,Estado!$G$9:$G$449)</f>
        <v>129842.67</v>
      </c>
      <c r="F54" s="9">
        <f>SUMIF(Estado!$A$9:$A$449,$B54,Estado!$E$9:$E$449)</f>
        <v>0</v>
      </c>
      <c r="G54" s="9">
        <f>SUMIF(Estado!$A$9:$A$449,$B54,Estado!$G$9:$G$449)</f>
        <v>129842.67</v>
      </c>
      <c r="H54" s="9">
        <f>SUMIF(Estado!$A$9:$A$449,$B54,Estado!$I$9:$I$449)</f>
        <v>0</v>
      </c>
      <c r="I54" s="9">
        <f>SUMIF(Estado!$A$9:$A$449,$B54,Estado!$K$9:$K$449)</f>
        <v>515702942.26999998</v>
      </c>
      <c r="J54" s="9">
        <f t="shared" si="5"/>
        <v>515832784.94</v>
      </c>
      <c r="K54" s="9">
        <f>SUMIF(Estado!$A$9:$A$449,$B54,Estado!$O$9:$O$449)</f>
        <v>32661420.060000002</v>
      </c>
      <c r="L54" s="107">
        <f t="shared" si="1"/>
        <v>0.94045257039680119</v>
      </c>
      <c r="M54" s="107">
        <f t="shared" si="2"/>
        <v>5.9547429603198823E-2</v>
      </c>
    </row>
    <row r="55" spans="2:13" s="23" customFormat="1" ht="16.5" x14ac:dyDescent="0.25">
      <c r="B55" s="105" t="str">
        <f>+Estado!A148</f>
        <v>E-10499</v>
      </c>
      <c r="C55" s="106" t="str">
        <f>IFERROR(VLOOKUP(B55,Estado!$A$9:$B$586,2,FALSE),0)</f>
        <v>OTROS SERV.GEST.APOY</v>
      </c>
      <c r="D55" s="9">
        <f>SUMIF(Estado!$A$9:$A$449,$B55,Estado!$C$9:$C$449)</f>
        <v>69907895</v>
      </c>
      <c r="E55" s="9">
        <f>SUMIF(Estado!$A$9:$A$449,$B55,Estado!$G$9:$G$449)</f>
        <v>5651459.9300000006</v>
      </c>
      <c r="F55" s="9">
        <f>SUMIF(Estado!$A$9:$A$449,$B55,Estado!$E$9:$E$449)</f>
        <v>0</v>
      </c>
      <c r="G55" s="9">
        <f>SUMIF(Estado!$A$9:$A$449,$B55,Estado!$G$9:$G$449)</f>
        <v>5651459.9300000006</v>
      </c>
      <c r="H55" s="9">
        <f>SUMIF(Estado!$A$9:$A$449,$B55,Estado!$I$9:$I$449)</f>
        <v>0</v>
      </c>
      <c r="I55" s="9">
        <f>SUMIF(Estado!$A$9:$A$449,$B55,Estado!$K$9:$K$449)</f>
        <v>56840981.699999996</v>
      </c>
      <c r="J55" s="9">
        <f t="shared" si="5"/>
        <v>62492441.629999995</v>
      </c>
      <c r="K55" s="9">
        <f>SUMIF(Estado!$A$9:$A$449,$B55,Estado!$O$9:$O$449)</f>
        <v>7415453.370000001</v>
      </c>
      <c r="L55" s="107">
        <f t="shared" si="1"/>
        <v>0.89392538038800906</v>
      </c>
      <c r="M55" s="107">
        <f t="shared" si="2"/>
        <v>0.10607461961199091</v>
      </c>
    </row>
    <row r="56" spans="2:13" s="23" customFormat="1" ht="16.5" x14ac:dyDescent="0.25">
      <c r="B56" s="105" t="str">
        <f>+Estado!A149</f>
        <v>E-105</v>
      </c>
      <c r="C56" s="106" t="str">
        <f>IFERROR(VLOOKUP(B56,Estado!$A$9:$B$586,2,FALSE),0)</f>
        <v>GAST. VIAJE Y TRANSP</v>
      </c>
      <c r="D56" s="9">
        <f>SUMIF(Estado!$A$9:$A$449,$B56,Estado!$C$9:$C$449)</f>
        <v>149613570</v>
      </c>
      <c r="E56" s="9">
        <f>SUMIF(Estado!$A$9:$A$449,$B56,Estado!$G$9:$G$449)</f>
        <v>8846513</v>
      </c>
      <c r="F56" s="9">
        <f>SUMIF(Estado!$A$9:$A$449,$B56,Estado!$E$9:$E$449)</f>
        <v>0</v>
      </c>
      <c r="G56" s="9">
        <f>SUMIF(Estado!$A$9:$A$449,$B56,Estado!$G$9:$G$449)</f>
        <v>8846513</v>
      </c>
      <c r="H56" s="9">
        <f>SUMIF(Estado!$A$9:$A$449,$B56,Estado!$I$9:$I$449)</f>
        <v>0</v>
      </c>
      <c r="I56" s="9">
        <f>SUMIF(Estado!$A$9:$A$449,$B56,Estado!$K$9:$K$449)</f>
        <v>89896546.370000005</v>
      </c>
      <c r="J56" s="9">
        <f t="shared" si="5"/>
        <v>98743059.370000005</v>
      </c>
      <c r="K56" s="9">
        <f>SUMIF(Estado!$A$9:$A$449,$B56,Estado!$O$9:$O$449)</f>
        <v>50870510.630000003</v>
      </c>
      <c r="L56" s="107">
        <f t="shared" si="1"/>
        <v>0.659987321805101</v>
      </c>
      <c r="M56" s="107">
        <f t="shared" si="2"/>
        <v>0.34001267819489905</v>
      </c>
    </row>
    <row r="57" spans="2:13" s="23" customFormat="1" ht="16.5" x14ac:dyDescent="0.25">
      <c r="B57" s="105" t="str">
        <f>+Estado!A150</f>
        <v>E-10501</v>
      </c>
      <c r="C57" s="106" t="str">
        <f>IFERROR(VLOOKUP(B57,Estado!$A$9:$B$586,2,FALSE),0)</f>
        <v>TRANSP.DENT.DEL PAÍS</v>
      </c>
      <c r="D57" s="9">
        <f>SUMIF(Estado!$A$9:$A$449,$B57,Estado!$C$9:$C$449)</f>
        <v>4431209</v>
      </c>
      <c r="E57" s="9">
        <f>SUMIF(Estado!$A$9:$A$449,$B57,Estado!$G$9:$G$449)</f>
        <v>763763</v>
      </c>
      <c r="F57" s="9">
        <f>SUMIF(Estado!$A$9:$A$449,$B57,Estado!$E$9:$E$449)</f>
        <v>0</v>
      </c>
      <c r="G57" s="9">
        <f>SUMIF(Estado!$A$9:$A$449,$B57,Estado!$G$9:$G$449)</f>
        <v>763763</v>
      </c>
      <c r="H57" s="9">
        <f>SUMIF(Estado!$A$9:$A$449,$B57,Estado!$I$9:$I$449)</f>
        <v>0</v>
      </c>
      <c r="I57" s="9">
        <f>SUMIF(Estado!$A$9:$A$449,$B57,Estado!$K$9:$K$449)</f>
        <v>2117854.73</v>
      </c>
      <c r="J57" s="9">
        <f t="shared" si="5"/>
        <v>2881617.73</v>
      </c>
      <c r="K57" s="9">
        <f>SUMIF(Estado!$A$9:$A$449,$B57,Estado!$O$9:$O$449)</f>
        <v>1549591.27</v>
      </c>
      <c r="L57" s="107">
        <f t="shared" si="1"/>
        <v>0.65030056808424064</v>
      </c>
      <c r="M57" s="107">
        <f t="shared" si="2"/>
        <v>0.34969943191575936</v>
      </c>
    </row>
    <row r="58" spans="2:13" s="23" customFormat="1" ht="16.5" x14ac:dyDescent="0.25">
      <c r="B58" s="105" t="str">
        <f>+Estado!A151</f>
        <v>E-10502</v>
      </c>
      <c r="C58" s="106" t="str">
        <f>IFERROR(VLOOKUP(B58,Estado!$A$9:$B$586,2,FALSE),0)</f>
        <v>VIÁTICOS DENTRO PAÍS</v>
      </c>
      <c r="D58" s="9">
        <f>SUMIF(Estado!$A$9:$A$449,$B58,Estado!$C$9:$C$449)</f>
        <v>138370575</v>
      </c>
      <c r="E58" s="9">
        <f>SUMIF(Estado!$A$9:$A$449,$B58,Estado!$G$9:$G$449)</f>
        <v>8082750</v>
      </c>
      <c r="F58" s="9">
        <f>SUMIF(Estado!$A$9:$A$449,$B58,Estado!$E$9:$E$449)</f>
        <v>0</v>
      </c>
      <c r="G58" s="9">
        <f>SUMIF(Estado!$A$9:$A$449,$B58,Estado!$G$9:$G$449)</f>
        <v>8082750</v>
      </c>
      <c r="H58" s="9">
        <f>SUMIF(Estado!$A$9:$A$449,$B58,Estado!$I$9:$I$449)</f>
        <v>0</v>
      </c>
      <c r="I58" s="9">
        <f>SUMIF(Estado!$A$9:$A$449,$B58,Estado!$K$9:$K$449)</f>
        <v>80973564</v>
      </c>
      <c r="J58" s="9">
        <f t="shared" si="5"/>
        <v>89056314</v>
      </c>
      <c r="K58" s="9">
        <f>SUMIF(Estado!$A$9:$A$449,$B58,Estado!$O$9:$O$449)</f>
        <v>49314261</v>
      </c>
      <c r="L58" s="107">
        <f t="shared" si="1"/>
        <v>0.64360731318779296</v>
      </c>
      <c r="M58" s="107">
        <f t="shared" si="2"/>
        <v>0.35639268681220698</v>
      </c>
    </row>
    <row r="59" spans="2:13" s="23" customFormat="1" ht="16.5" x14ac:dyDescent="0.25">
      <c r="B59" s="105" t="str">
        <f>+Estado!A152</f>
        <v>E-10503</v>
      </c>
      <c r="C59" s="106" t="str">
        <f>IFERROR(VLOOKUP(B59,Estado!$A$9:$B$586,2,FALSE),0)</f>
        <v>TRANSPORTE EN EL EXT</v>
      </c>
      <c r="D59" s="9">
        <f>SUMIF(Estado!$A$9:$A$449,$B59,Estado!$C$9:$C$449)</f>
        <v>2019386</v>
      </c>
      <c r="E59" s="9">
        <f>SUMIF(Estado!$A$9:$A$449,$B59,Estado!$G$9:$G$449)</f>
        <v>0</v>
      </c>
      <c r="F59" s="9">
        <f>SUMIF(Estado!$A$9:$A$449,$B59,Estado!$E$9:$E$449)</f>
        <v>0</v>
      </c>
      <c r="G59" s="9">
        <f>SUMIF(Estado!$A$9:$A$449,$B59,Estado!$G$9:$G$449)</f>
        <v>0</v>
      </c>
      <c r="H59" s="9">
        <f>SUMIF(Estado!$A$9:$A$449,$B59,Estado!$I$9:$I$449)</f>
        <v>0</v>
      </c>
      <c r="I59" s="9">
        <f>SUMIF(Estado!$A$9:$A$449,$B59,Estado!$K$9:$K$449)</f>
        <v>2012728.83</v>
      </c>
      <c r="J59" s="9">
        <f t="shared" si="5"/>
        <v>2012728.83</v>
      </c>
      <c r="K59" s="9">
        <f>SUMIF(Estado!$A$9:$A$449,$B59,Estado!$O$9:$O$449)</f>
        <v>6657.17</v>
      </c>
      <c r="L59" s="107">
        <f t="shared" si="1"/>
        <v>0.99670336924193792</v>
      </c>
      <c r="M59" s="107">
        <f t="shared" si="2"/>
        <v>3.296630758062104E-3</v>
      </c>
    </row>
    <row r="60" spans="2:13" s="23" customFormat="1" ht="16.5" x14ac:dyDescent="0.25">
      <c r="B60" s="105" t="str">
        <f>+Estado!A153</f>
        <v>E-10504</v>
      </c>
      <c r="C60" s="106" t="str">
        <f>IFERROR(VLOOKUP(B60,Estado!$A$9:$B$586,2,FALSE),0)</f>
        <v>VIÁTICOS EN EXTERIOR</v>
      </c>
      <c r="D60" s="9">
        <f>SUMIF(Estado!$A$9:$A$449,$B60,Estado!$C$9:$C$449)</f>
        <v>4792400</v>
      </c>
      <c r="E60" s="9">
        <f>SUMIF(Estado!$A$9:$A$449,$B60,Estado!$G$9:$G$449)</f>
        <v>0</v>
      </c>
      <c r="F60" s="9">
        <f>SUMIF(Estado!$A$9:$A$449,$B60,Estado!$E$9:$E$449)</f>
        <v>0</v>
      </c>
      <c r="G60" s="9">
        <f>SUMIF(Estado!$A$9:$A$449,$B60,Estado!$G$9:$G$449)</f>
        <v>0</v>
      </c>
      <c r="H60" s="9">
        <f>SUMIF(Estado!$A$9:$A$449,$B60,Estado!$I$9:$I$449)</f>
        <v>0</v>
      </c>
      <c r="I60" s="9">
        <f>SUMIF(Estado!$A$9:$A$449,$B60,Estado!$K$9:$K$449)</f>
        <v>4792398.8100000005</v>
      </c>
      <c r="J60" s="9">
        <f t="shared" si="5"/>
        <v>4792398.8100000005</v>
      </c>
      <c r="K60" s="9">
        <f>SUMIF(Estado!$A$9:$A$449,$B60,Estado!$O$9:$O$449)</f>
        <v>1.19</v>
      </c>
      <c r="L60" s="107">
        <f t="shared" si="1"/>
        <v>0.99999975169017619</v>
      </c>
      <c r="M60" s="107">
        <f t="shared" si="2"/>
        <v>2.4830982388782237E-7</v>
      </c>
    </row>
    <row r="61" spans="2:13" s="23" customFormat="1" ht="16.5" x14ac:dyDescent="0.25">
      <c r="B61" s="105" t="str">
        <f>+Estado!A154</f>
        <v>E-106</v>
      </c>
      <c r="C61" s="106" t="str">
        <f>IFERROR(VLOOKUP(B61,Estado!$A$9:$B$586,2,FALSE),0)</f>
        <v>SEGUROS REASEG Y OTR</v>
      </c>
      <c r="D61" s="9">
        <f>SUMIF(Estado!$A$9:$A$449,$B61,Estado!$C$9:$C$449)</f>
        <v>1487766179</v>
      </c>
      <c r="E61" s="9">
        <f>SUMIF(Estado!$A$9:$A$449,$B61,Estado!$G$9:$G$449)</f>
        <v>75583750</v>
      </c>
      <c r="F61" s="9">
        <f>SUMIF(Estado!$A$9:$A$449,$B61,Estado!$E$9:$E$449)</f>
        <v>0</v>
      </c>
      <c r="G61" s="9">
        <f>SUMIF(Estado!$A$9:$A$449,$B61,Estado!$G$9:$G$449)</f>
        <v>75583750</v>
      </c>
      <c r="H61" s="9">
        <f>SUMIF(Estado!$A$9:$A$449,$B61,Estado!$I$9:$I$449)</f>
        <v>0</v>
      </c>
      <c r="I61" s="9">
        <f>SUMIF(Estado!$A$9:$A$449,$B61,Estado!$K$9:$K$449)</f>
        <v>1361545626.8199999</v>
      </c>
      <c r="J61" s="9">
        <f t="shared" si="5"/>
        <v>1437129376.8199999</v>
      </c>
      <c r="K61" s="9">
        <f>SUMIF(Estado!$A$9:$A$449,$B61,Estado!$O$9:$O$449)</f>
        <v>50636802.18</v>
      </c>
      <c r="L61" s="107">
        <f t="shared" si="1"/>
        <v>0.96596454275225185</v>
      </c>
      <c r="M61" s="107">
        <f t="shared" si="2"/>
        <v>3.403545724774807E-2</v>
      </c>
    </row>
    <row r="62" spans="2:13" s="23" customFormat="1" ht="16.5" x14ac:dyDescent="0.25">
      <c r="B62" s="105" t="str">
        <f>+Estado!A155</f>
        <v>E-10601</v>
      </c>
      <c r="C62" s="106" t="str">
        <f>IFERROR(VLOOKUP(B62,Estado!$A$9:$B$586,2,FALSE),0)</f>
        <v>SEGUROS</v>
      </c>
      <c r="D62" s="9">
        <f>SUMIF(Estado!$A$9:$A$449,$B62,Estado!$C$9:$C$449)</f>
        <v>1487766179</v>
      </c>
      <c r="E62" s="9">
        <f>SUMIF(Estado!$A$9:$A$449,$B62,Estado!$G$9:$G$449)</f>
        <v>75583750</v>
      </c>
      <c r="F62" s="9">
        <f>SUMIF(Estado!$A$9:$A$449,$B62,Estado!$E$9:$E$449)</f>
        <v>0</v>
      </c>
      <c r="G62" s="9">
        <f>SUMIF(Estado!$A$9:$A$449,$B62,Estado!$G$9:$G$449)</f>
        <v>75583750</v>
      </c>
      <c r="H62" s="9">
        <f>SUMIF(Estado!$A$9:$A$449,$B62,Estado!$I$9:$I$449)</f>
        <v>0</v>
      </c>
      <c r="I62" s="9">
        <f>SUMIF(Estado!$A$9:$A$449,$B62,Estado!$K$9:$K$449)</f>
        <v>1361545626.8199999</v>
      </c>
      <c r="J62" s="9">
        <f t="shared" si="5"/>
        <v>1437129376.8199999</v>
      </c>
      <c r="K62" s="9">
        <f>SUMIF(Estado!$A$9:$A$449,$B62,Estado!$O$9:$O$449)</f>
        <v>50636802.18</v>
      </c>
      <c r="L62" s="107">
        <f t="shared" si="1"/>
        <v>0.96596454275225185</v>
      </c>
      <c r="M62" s="107">
        <f t="shared" si="2"/>
        <v>3.403545724774807E-2</v>
      </c>
    </row>
    <row r="63" spans="2:13" s="23" customFormat="1" ht="16.5" x14ac:dyDescent="0.25">
      <c r="B63" s="105" t="str">
        <f>+Estado!A156</f>
        <v>E-10602</v>
      </c>
      <c r="C63" s="106" t="str">
        <f>IFERROR(VLOOKUP(B63,Estado!$A$9:$B$586,2,FALSE),0)</f>
        <v>REASEGUROS</v>
      </c>
      <c r="D63" s="9">
        <f>SUMIF(Estado!$A$9:$A$449,$B63,Estado!$C$9:$C$449)</f>
        <v>0</v>
      </c>
      <c r="E63" s="9">
        <f>SUMIF(Estado!$A$9:$A$449,$B63,Estado!$G$9:$G$449)</f>
        <v>0</v>
      </c>
      <c r="F63" s="9">
        <f>SUMIF(Estado!$A$9:$A$449,$B63,Estado!$E$9:$E$449)</f>
        <v>0</v>
      </c>
      <c r="G63" s="9">
        <f>SUMIF(Estado!$A$9:$A$449,$B63,Estado!$G$9:$G$449)</f>
        <v>0</v>
      </c>
      <c r="H63" s="9">
        <f>SUMIF(Estado!$A$9:$A$449,$B63,Estado!$I$9:$I$449)</f>
        <v>0</v>
      </c>
      <c r="I63" s="9">
        <f>SUMIF(Estado!$A$9:$A$449,$B63,Estado!$K$9:$K$449)</f>
        <v>0</v>
      </c>
      <c r="J63" s="9">
        <f t="shared" si="5"/>
        <v>0</v>
      </c>
      <c r="K63" s="9">
        <f>SUMIF(Estado!$A$9:$A$449,$B63,Estado!$O$9:$O$449)</f>
        <v>0</v>
      </c>
      <c r="L63" s="107">
        <f t="shared" si="1"/>
        <v>0</v>
      </c>
      <c r="M63" s="107">
        <f t="shared" si="2"/>
        <v>0</v>
      </c>
    </row>
    <row r="64" spans="2:13" s="23" customFormat="1" ht="16.5" x14ac:dyDescent="0.25">
      <c r="B64" s="105" t="str">
        <f>+Estado!A157</f>
        <v>E-107</v>
      </c>
      <c r="C64" s="106" t="str">
        <f>IFERROR(VLOOKUP(B64,Estado!$A$9:$B$586,2,FALSE),0)</f>
        <v>CAPACIT. Y PROTOCOLO</v>
      </c>
      <c r="D64" s="9">
        <f>SUMIF(Estado!$A$9:$A$449,$B64,Estado!$C$9:$C$449)</f>
        <v>4721959</v>
      </c>
      <c r="E64" s="9">
        <f>SUMIF(Estado!$A$9:$A$449,$B64,Estado!$G$9:$G$449)</f>
        <v>295800</v>
      </c>
      <c r="F64" s="9">
        <f>SUMIF(Estado!$A$9:$A$449,$B64,Estado!$E$9:$E$449)</f>
        <v>0</v>
      </c>
      <c r="G64" s="9">
        <f>SUMIF(Estado!$A$9:$A$449,$B64,Estado!$G$9:$G$449)</f>
        <v>295800</v>
      </c>
      <c r="H64" s="9">
        <f>SUMIF(Estado!$A$9:$A$449,$B64,Estado!$I$9:$I$449)</f>
        <v>0</v>
      </c>
      <c r="I64" s="9">
        <f>SUMIF(Estado!$A$9:$A$449,$B64,Estado!$K$9:$K$449)</f>
        <v>1222400</v>
      </c>
      <c r="J64" s="9">
        <f t="shared" si="5"/>
        <v>1518200</v>
      </c>
      <c r="K64" s="9">
        <f>SUMIF(Estado!$A$9:$A$449,$B64,Estado!$O$9:$O$449)</f>
        <v>3203759</v>
      </c>
      <c r="L64" s="107">
        <f t="shared" si="1"/>
        <v>0.32151909832338654</v>
      </c>
      <c r="M64" s="107">
        <f t="shared" si="2"/>
        <v>0.67848090167661346</v>
      </c>
    </row>
    <row r="65" spans="2:13" s="23" customFormat="1" ht="16.5" x14ac:dyDescent="0.25">
      <c r="B65" s="105" t="str">
        <f>+Estado!A158</f>
        <v>E-10701</v>
      </c>
      <c r="C65" s="106" t="str">
        <f>IFERROR(VLOOKUP(B65,Estado!$A$9:$B$586,2,FALSE),0)</f>
        <v>ACTIV. CAPACITACIÓN</v>
      </c>
      <c r="D65" s="9">
        <f>SUMIF(Estado!$A$9:$A$449,$B65,Estado!$C$9:$C$449)</f>
        <v>4721959</v>
      </c>
      <c r="E65" s="9">
        <f>SUMIF(Estado!$A$9:$A$449,$B65,Estado!$G$9:$G$449)</f>
        <v>295800</v>
      </c>
      <c r="F65" s="9">
        <f>SUMIF(Estado!$A$9:$A$449,$B65,Estado!$E$9:$E$449)</f>
        <v>0</v>
      </c>
      <c r="G65" s="9">
        <f>SUMIF(Estado!$A$9:$A$449,$B65,Estado!$G$9:$G$449)</f>
        <v>295800</v>
      </c>
      <c r="H65" s="9">
        <f>SUMIF(Estado!$A$9:$A$449,$B65,Estado!$I$9:$I$449)</f>
        <v>0</v>
      </c>
      <c r="I65" s="9">
        <f>SUMIF(Estado!$A$9:$A$449,$B65,Estado!$K$9:$K$449)</f>
        <v>1222400</v>
      </c>
      <c r="J65" s="9">
        <f t="shared" si="5"/>
        <v>1518200</v>
      </c>
      <c r="K65" s="9">
        <f>SUMIF(Estado!$A$9:$A$449,$B65,Estado!$O$9:$O$449)</f>
        <v>3203759</v>
      </c>
      <c r="L65" s="107">
        <f t="shared" si="1"/>
        <v>0.32151909832338654</v>
      </c>
      <c r="M65" s="107">
        <f t="shared" si="2"/>
        <v>0.67848090167661346</v>
      </c>
    </row>
    <row r="66" spans="2:13" s="74" customFormat="1" ht="16.5" x14ac:dyDescent="0.25">
      <c r="B66" s="105" t="str">
        <f>+Estado!A159</f>
        <v>E-10702</v>
      </c>
      <c r="C66" s="106" t="str">
        <f>IFERROR(VLOOKUP(B66,Estado!$A$9:$B$586,2,FALSE),0)</f>
        <v>ACTIV.PROTOCOL Y SOC</v>
      </c>
      <c r="D66" s="9">
        <f>SUMIF(Estado!$A$9:$A$449,$B66,Estado!$C$9:$C$449)</f>
        <v>0</v>
      </c>
      <c r="E66" s="9">
        <f>SUMIF(Estado!$A$9:$A$449,$B66,Estado!$G$9:$G$449)</f>
        <v>0</v>
      </c>
      <c r="F66" s="9">
        <f>SUMIF(Estado!$A$9:$A$449,$B66,Estado!$E$9:$E$449)</f>
        <v>0</v>
      </c>
      <c r="G66" s="9">
        <f>SUMIF(Estado!$A$9:$A$449,$B66,Estado!$G$9:$G$449)</f>
        <v>0</v>
      </c>
      <c r="H66" s="9">
        <f>SUMIF(Estado!$A$9:$A$449,$B66,Estado!$I$9:$I$449)</f>
        <v>0</v>
      </c>
      <c r="I66" s="9">
        <f>SUMIF(Estado!$A$9:$A$449,$B66,Estado!$K$9:$K$449)</f>
        <v>0</v>
      </c>
      <c r="J66" s="9">
        <f t="shared" si="5"/>
        <v>0</v>
      </c>
      <c r="K66" s="9">
        <f>SUMIF(Estado!$A$9:$A$449,$B66,Estado!$O$9:$O$449)</f>
        <v>0</v>
      </c>
      <c r="L66" s="107">
        <f t="shared" si="1"/>
        <v>0</v>
      </c>
      <c r="M66" s="107">
        <f t="shared" si="2"/>
        <v>0</v>
      </c>
    </row>
    <row r="67" spans="2:13" s="23" customFormat="1" ht="16.5" x14ac:dyDescent="0.25">
      <c r="B67" s="105" t="str">
        <f>+Estado!A160</f>
        <v>E-10703</v>
      </c>
      <c r="C67" s="106" t="str">
        <f>IFERROR(VLOOKUP(B67,Estado!$A$9:$B$586,2,FALSE),0)</f>
        <v>GASTOS REPRES.INSTIT</v>
      </c>
      <c r="D67" s="9">
        <f>SUMIF(Estado!$A$9:$A$449,$B67,Estado!$C$9:$C$449)</f>
        <v>0</v>
      </c>
      <c r="E67" s="9">
        <f>SUMIF(Estado!$A$9:$A$449,$B67,Estado!$G$9:$G$449)</f>
        <v>0</v>
      </c>
      <c r="F67" s="9">
        <f>SUMIF(Estado!$A$9:$A$449,$B67,Estado!$E$9:$E$449)</f>
        <v>0</v>
      </c>
      <c r="G67" s="9">
        <f>SUMIF(Estado!$A$9:$A$449,$B67,Estado!$G$9:$G$449)</f>
        <v>0</v>
      </c>
      <c r="H67" s="9">
        <f>SUMIF(Estado!$A$9:$A$449,$B67,Estado!$I$9:$I$449)</f>
        <v>0</v>
      </c>
      <c r="I67" s="9">
        <f>SUMIF(Estado!$A$9:$A$449,$B67,Estado!$K$9:$K$449)</f>
        <v>0</v>
      </c>
      <c r="J67" s="9">
        <f t="shared" si="5"/>
        <v>0</v>
      </c>
      <c r="K67" s="9">
        <f>SUMIF(Estado!$A$9:$A$449,$B67,Estado!$O$9:$O$449)</f>
        <v>0</v>
      </c>
      <c r="L67" s="107">
        <f t="shared" si="1"/>
        <v>0</v>
      </c>
      <c r="M67" s="107">
        <f t="shared" si="2"/>
        <v>0</v>
      </c>
    </row>
    <row r="68" spans="2:13" s="23" customFormat="1" ht="16.5" x14ac:dyDescent="0.25">
      <c r="B68" s="105" t="str">
        <f>+Estado!A161</f>
        <v>E-108</v>
      </c>
      <c r="C68" s="106" t="str">
        <f>IFERROR(VLOOKUP(B68,Estado!$A$9:$B$586,2,FALSE),0)</f>
        <v>MANTEN. Y REPARACIÓN</v>
      </c>
      <c r="D68" s="9">
        <f>SUMIF(Estado!$A$9:$A$449,$B68,Estado!$C$9:$C$449)</f>
        <v>1106956654.0999999</v>
      </c>
      <c r="E68" s="9">
        <f>SUMIF(Estado!$A$9:$A$449,$B68,Estado!$G$9:$G$449)</f>
        <v>178683368.57999998</v>
      </c>
      <c r="F68" s="9">
        <f>SUMIF(Estado!$A$9:$A$449,$B68,Estado!$E$9:$E$449)</f>
        <v>0</v>
      </c>
      <c r="G68" s="9">
        <f>SUMIF(Estado!$A$9:$A$449,$B68,Estado!$G$9:$G$449)</f>
        <v>178683368.57999998</v>
      </c>
      <c r="H68" s="9">
        <f>SUMIF(Estado!$A$9:$A$449,$B68,Estado!$I$9:$I$449)</f>
        <v>0</v>
      </c>
      <c r="I68" s="9">
        <f>SUMIF(Estado!$A$9:$A$449,$B68,Estado!$K$9:$K$449)</f>
        <v>838433590.33000004</v>
      </c>
      <c r="J68" s="9">
        <f t="shared" si="5"/>
        <v>1017116958.9100001</v>
      </c>
      <c r="K68" s="9">
        <f>SUMIF(Estado!$A$9:$A$449,$B68,Estado!$O$9:$O$449)</f>
        <v>89839695.189999983</v>
      </c>
      <c r="L68" s="107">
        <f t="shared" si="1"/>
        <v>0.91884081923420657</v>
      </c>
      <c r="M68" s="107">
        <f t="shared" si="2"/>
        <v>8.1159180765793634E-2</v>
      </c>
    </row>
    <row r="69" spans="2:13" s="23" customFormat="1" ht="16.5" x14ac:dyDescent="0.25">
      <c r="B69" s="105" t="str">
        <f>+Estado!A162</f>
        <v>E-10801</v>
      </c>
      <c r="C69" s="106" t="str">
        <f>IFERROR(VLOOKUP(B69,Estado!$A$9:$B$586,2,FALSE),0)</f>
        <v>MANT.EDIF.,LOC.YTERR</v>
      </c>
      <c r="D69" s="9">
        <f>SUMIF(Estado!$A$9:$A$449,$B69,Estado!$C$9:$C$449)</f>
        <v>138472590</v>
      </c>
      <c r="E69" s="9">
        <f>SUMIF(Estado!$A$9:$A$449,$B69,Estado!$G$9:$G$449)</f>
        <v>12685918.789999999</v>
      </c>
      <c r="F69" s="9">
        <f>SUMIF(Estado!$A$9:$A$449,$B69,Estado!$E$9:$E$449)</f>
        <v>0</v>
      </c>
      <c r="G69" s="9">
        <f>SUMIF(Estado!$A$9:$A$449,$B69,Estado!$G$9:$G$449)</f>
        <v>12685918.789999999</v>
      </c>
      <c r="H69" s="9">
        <f>SUMIF(Estado!$A$9:$A$449,$B69,Estado!$I$9:$I$449)</f>
        <v>0</v>
      </c>
      <c r="I69" s="9">
        <f>SUMIF(Estado!$A$9:$A$449,$B69,Estado!$K$9:$K$449)</f>
        <v>111921931.75</v>
      </c>
      <c r="J69" s="9">
        <f t="shared" si="5"/>
        <v>124607850.53999999</v>
      </c>
      <c r="K69" s="9">
        <f>SUMIF(Estado!$A$9:$A$449,$B69,Estado!$O$9:$O$449)</f>
        <v>13864739.459999999</v>
      </c>
      <c r="L69" s="107">
        <f t="shared" si="1"/>
        <v>0.89987376230920491</v>
      </c>
      <c r="M69" s="107">
        <f t="shared" si="2"/>
        <v>0.10012623769079497</v>
      </c>
    </row>
    <row r="70" spans="2:13" s="23" customFormat="1" ht="16.5" x14ac:dyDescent="0.25">
      <c r="B70" s="105" t="str">
        <f>+Estado!A163</f>
        <v>E-10804</v>
      </c>
      <c r="C70" s="106" t="str">
        <f>IFERROR(VLOOKUP(B70,Estado!$A$9:$B$586,2,FALSE),0)</f>
        <v>MANT.Y REP.M.EQ.PROD</v>
      </c>
      <c r="D70" s="9">
        <f>SUMIF(Estado!$A$9:$A$449,$B70,Estado!$C$9:$C$449)</f>
        <v>545348138</v>
      </c>
      <c r="E70" s="9">
        <f>SUMIF(Estado!$A$9:$A$449,$B70,Estado!$G$9:$G$449)</f>
        <v>89986034.680000007</v>
      </c>
      <c r="F70" s="9">
        <f>SUMIF(Estado!$A$9:$A$449,$B70,Estado!$E$9:$E$449)</f>
        <v>0</v>
      </c>
      <c r="G70" s="9">
        <f>SUMIF(Estado!$A$9:$A$449,$B70,Estado!$G$9:$G$449)</f>
        <v>89986034.680000007</v>
      </c>
      <c r="H70" s="9">
        <f>SUMIF(Estado!$A$9:$A$449,$B70,Estado!$I$9:$I$449)</f>
        <v>0</v>
      </c>
      <c r="I70" s="9">
        <f>SUMIF(Estado!$A$9:$A$449,$B70,Estado!$K$9:$K$449)</f>
        <v>440080688.57999998</v>
      </c>
      <c r="J70" s="9">
        <f t="shared" si="5"/>
        <v>530066723.25999999</v>
      </c>
      <c r="K70" s="9">
        <f>SUMIF(Estado!$A$9:$A$449,$B70,Estado!$O$9:$O$449)</f>
        <v>15281414.74</v>
      </c>
      <c r="L70" s="107">
        <f t="shared" si="1"/>
        <v>0.97197860655389268</v>
      </c>
      <c r="M70" s="107">
        <f t="shared" si="2"/>
        <v>2.8021393446107264E-2</v>
      </c>
    </row>
    <row r="71" spans="2:13" s="23" customFormat="1" ht="16.5" x14ac:dyDescent="0.25">
      <c r="B71" s="105" t="str">
        <f>+Estado!A164</f>
        <v>E-10805</v>
      </c>
      <c r="C71" s="106" t="str">
        <f>IFERROR(VLOOKUP(B71,Estado!$A$9:$B$586,2,FALSE),0)</f>
        <v>MANT.Y REP.EQ.TRANSP</v>
      </c>
      <c r="D71" s="9">
        <f>SUMIF(Estado!$A$9:$A$449,$B71,Estado!$C$9:$C$449)</f>
        <v>150128724.09999999</v>
      </c>
      <c r="E71" s="9">
        <f>SUMIF(Estado!$A$9:$A$449,$B71,Estado!$G$9:$G$449)</f>
        <v>21944653.830000002</v>
      </c>
      <c r="F71" s="9">
        <f>SUMIF(Estado!$A$9:$A$449,$B71,Estado!$E$9:$E$449)</f>
        <v>0</v>
      </c>
      <c r="G71" s="9">
        <f>SUMIF(Estado!$A$9:$A$449,$B71,Estado!$G$9:$G$449)</f>
        <v>21944653.830000002</v>
      </c>
      <c r="H71" s="9">
        <f>SUMIF(Estado!$A$9:$A$449,$B71,Estado!$I$9:$I$449)</f>
        <v>0</v>
      </c>
      <c r="I71" s="9">
        <f>SUMIF(Estado!$A$9:$A$449,$B71,Estado!$K$9:$K$449)</f>
        <v>120651412.25</v>
      </c>
      <c r="J71" s="9">
        <f t="shared" si="5"/>
        <v>142596066.08000001</v>
      </c>
      <c r="K71" s="9">
        <f>SUMIF(Estado!$A$9:$A$449,$B71,Estado!$O$9:$O$449)</f>
        <v>7532658.0199999996</v>
      </c>
      <c r="L71" s="107">
        <f t="shared" si="1"/>
        <v>0.94982533778824019</v>
      </c>
      <c r="M71" s="107">
        <f t="shared" si="2"/>
        <v>5.0174662211759917E-2</v>
      </c>
    </row>
    <row r="72" spans="2:13" s="23" customFormat="1" ht="16.5" x14ac:dyDescent="0.25">
      <c r="B72" s="105" t="str">
        <f>+Estado!A165</f>
        <v>E-10806</v>
      </c>
      <c r="C72" s="106" t="str">
        <f>IFERROR(VLOOKUP(B72,Estado!$A$9:$B$586,2,FALSE),0)</f>
        <v>MANT.Y REP.EQ.COMUNI</v>
      </c>
      <c r="D72" s="9">
        <f>SUMIF(Estado!$A$9:$A$449,$B72,Estado!$C$9:$C$449)</f>
        <v>11695420</v>
      </c>
      <c r="E72" s="9">
        <f>SUMIF(Estado!$A$9:$A$449,$B72,Estado!$G$9:$G$449)</f>
        <v>2800479</v>
      </c>
      <c r="F72" s="9">
        <f>SUMIF(Estado!$A$9:$A$449,$B72,Estado!$E$9:$E$449)</f>
        <v>0</v>
      </c>
      <c r="G72" s="9">
        <f>SUMIF(Estado!$A$9:$A$449,$B72,Estado!$G$9:$G$449)</f>
        <v>2800479</v>
      </c>
      <c r="H72" s="9">
        <f>SUMIF(Estado!$A$9:$A$449,$B72,Estado!$I$9:$I$449)</f>
        <v>0</v>
      </c>
      <c r="I72" s="9">
        <f>SUMIF(Estado!$A$9:$A$449,$B72,Estado!$K$9:$K$449)</f>
        <v>4118016.49</v>
      </c>
      <c r="J72" s="9">
        <f t="shared" si="5"/>
        <v>6918495.4900000002</v>
      </c>
      <c r="K72" s="9">
        <f>SUMIF(Estado!$A$9:$A$449,$B72,Estado!$O$9:$O$449)</f>
        <v>4776924.51</v>
      </c>
      <c r="L72" s="107">
        <f t="shared" si="1"/>
        <v>0.59155596720767623</v>
      </c>
      <c r="M72" s="107">
        <f t="shared" si="2"/>
        <v>0.40844403279232383</v>
      </c>
    </row>
    <row r="73" spans="2:13" s="23" customFormat="1" ht="16.5" x14ac:dyDescent="0.25">
      <c r="B73" s="105" t="str">
        <f>+Estado!A166</f>
        <v>E-10807</v>
      </c>
      <c r="C73" s="106" t="str">
        <f>IFERROR(VLOOKUP(B73,Estado!$A$9:$B$586,2,FALSE),0)</f>
        <v>MANT.Y REP.EQ.MOB.OF</v>
      </c>
      <c r="D73" s="9">
        <f>SUMIF(Estado!$A$9:$A$449,$B73,Estado!$C$9:$C$449)</f>
        <v>31441322</v>
      </c>
      <c r="E73" s="9">
        <f>SUMIF(Estado!$A$9:$A$449,$B73,Estado!$G$9:$G$449)</f>
        <v>2910639.32</v>
      </c>
      <c r="F73" s="9">
        <f>SUMIF(Estado!$A$9:$A$449,$B73,Estado!$E$9:$E$449)</f>
        <v>0</v>
      </c>
      <c r="G73" s="9">
        <f>SUMIF(Estado!$A$9:$A$449,$B73,Estado!$G$9:$G$449)</f>
        <v>2910639.32</v>
      </c>
      <c r="H73" s="9">
        <f>SUMIF(Estado!$A$9:$A$449,$B73,Estado!$I$9:$I$449)</f>
        <v>0</v>
      </c>
      <c r="I73" s="9">
        <f>SUMIF(Estado!$A$9:$A$449,$B73,Estado!$K$9:$K$449)</f>
        <v>17270481.129999999</v>
      </c>
      <c r="J73" s="9">
        <f t="shared" si="5"/>
        <v>20181120.449999999</v>
      </c>
      <c r="K73" s="9">
        <f>SUMIF(Estado!$A$9:$A$449,$B73,Estado!$O$9:$O$449)</f>
        <v>11260201.550000001</v>
      </c>
      <c r="L73" s="107">
        <f t="shared" si="1"/>
        <v>0.64186615467377606</v>
      </c>
      <c r="M73" s="107">
        <f t="shared" si="2"/>
        <v>0.35813384532622389</v>
      </c>
    </row>
    <row r="74" spans="2:13" s="23" customFormat="1" ht="16.5" x14ac:dyDescent="0.25">
      <c r="B74" s="105" t="str">
        <f>+Estado!A167</f>
        <v>E-10808</v>
      </c>
      <c r="C74" s="106" t="str">
        <f>IFERROR(VLOOKUP(B74,Estado!$A$9:$B$586,2,FALSE),0)</f>
        <v>MANT.YREP.EQ.C.S.INF</v>
      </c>
      <c r="D74" s="9">
        <f>SUMIF(Estado!$A$9:$A$449,$B74,Estado!$C$9:$C$449)</f>
        <v>54875213</v>
      </c>
      <c r="E74" s="9">
        <f>SUMIF(Estado!$A$9:$A$449,$B74,Estado!$G$9:$G$449)</f>
        <v>14857618.029999999</v>
      </c>
      <c r="F74" s="9">
        <f>SUMIF(Estado!$A$9:$A$449,$B74,Estado!$E$9:$E$449)</f>
        <v>0</v>
      </c>
      <c r="G74" s="9">
        <f>SUMIF(Estado!$A$9:$A$449,$B74,Estado!$G$9:$G$449)</f>
        <v>14857618.029999999</v>
      </c>
      <c r="H74" s="9">
        <f>SUMIF(Estado!$A$9:$A$449,$B74,Estado!$I$9:$I$449)</f>
        <v>0</v>
      </c>
      <c r="I74" s="9">
        <f>SUMIF(Estado!$A$9:$A$449,$B74,Estado!$K$9:$K$449)</f>
        <v>31152591.73</v>
      </c>
      <c r="J74" s="9">
        <f t="shared" si="5"/>
        <v>46010209.759999998</v>
      </c>
      <c r="K74" s="9">
        <f>SUMIF(Estado!$A$9:$A$449,$B74,Estado!$O$9:$O$449)</f>
        <v>8865003.2399999984</v>
      </c>
      <c r="L74" s="107">
        <f t="shared" si="1"/>
        <v>0.83845159307172068</v>
      </c>
      <c r="M74" s="107">
        <f t="shared" si="2"/>
        <v>0.16154840692827924</v>
      </c>
    </row>
    <row r="75" spans="2:13" s="23" customFormat="1" ht="16.5" x14ac:dyDescent="0.25">
      <c r="B75" s="105" t="str">
        <f>+Estado!A168</f>
        <v>E-10899</v>
      </c>
      <c r="C75" s="106" t="str">
        <f>IFERROR(VLOOKUP(B75,Estado!$A$9:$B$586,2,FALSE),0)</f>
        <v>MANT.Y REP.OTROS EQ.</v>
      </c>
      <c r="D75" s="9">
        <f>SUMIF(Estado!$A$9:$A$449,$B75,Estado!$C$9:$C$449)</f>
        <v>174995247</v>
      </c>
      <c r="E75" s="9">
        <f>SUMIF(Estado!$A$9:$A$449,$B75,Estado!$G$9:$G$449)</f>
        <v>33498024.93</v>
      </c>
      <c r="F75" s="9">
        <f>SUMIF(Estado!$A$9:$A$449,$B75,Estado!$E$9:$E$449)</f>
        <v>0</v>
      </c>
      <c r="G75" s="9">
        <f>SUMIF(Estado!$A$9:$A$449,$B75,Estado!$G$9:$G$449)</f>
        <v>33498024.93</v>
      </c>
      <c r="H75" s="9">
        <f>SUMIF(Estado!$A$9:$A$449,$B75,Estado!$I$9:$I$449)</f>
        <v>0</v>
      </c>
      <c r="I75" s="9">
        <f>SUMIF(Estado!$A$9:$A$449,$B75,Estado!$K$9:$K$449)</f>
        <v>113238468.40000001</v>
      </c>
      <c r="J75" s="9">
        <f t="shared" si="5"/>
        <v>146736493.33000001</v>
      </c>
      <c r="K75" s="9">
        <f>SUMIF(Estado!$A$9:$A$449,$B75,Estado!$O$9:$O$449)</f>
        <v>28258753.669999998</v>
      </c>
      <c r="L75" s="107">
        <f t="shared" si="1"/>
        <v>0.83851702172231002</v>
      </c>
      <c r="M75" s="107">
        <f t="shared" si="2"/>
        <v>0.16148297827769001</v>
      </c>
    </row>
    <row r="76" spans="2:13" s="23" customFormat="1" ht="16.5" x14ac:dyDescent="0.25">
      <c r="B76" s="105" t="str">
        <f>+Estado!A169</f>
        <v>E-109</v>
      </c>
      <c r="C76" s="106" t="str">
        <f>IFERROR(VLOOKUP(B76,Estado!$A$9:$B$586,2,FALSE),0)</f>
        <v>IMPUESTOS</v>
      </c>
      <c r="D76" s="9">
        <f>SUMIF(Estado!$A$9:$A$449,$B76,Estado!$C$9:$C$449)</f>
        <v>20905000</v>
      </c>
      <c r="E76" s="9">
        <f>SUMIF(Estado!$A$9:$A$449,$B76,Estado!$G$9:$G$449)</f>
        <v>4585448</v>
      </c>
      <c r="F76" s="9">
        <f>SUMIF(Estado!$A$9:$A$449,$B76,Estado!$E$9:$E$449)</f>
        <v>0</v>
      </c>
      <c r="G76" s="9">
        <f>SUMIF(Estado!$A$9:$A$449,$B76,Estado!$G$9:$G$449)</f>
        <v>4585448</v>
      </c>
      <c r="H76" s="9">
        <f>SUMIF(Estado!$A$9:$A$449,$B76,Estado!$I$9:$I$449)</f>
        <v>0</v>
      </c>
      <c r="I76" s="9">
        <f>SUMIF(Estado!$A$9:$A$449,$B76,Estado!$K$9:$K$449)</f>
        <v>12633850</v>
      </c>
      <c r="J76" s="9">
        <f t="shared" si="5"/>
        <v>17219298</v>
      </c>
      <c r="K76" s="9">
        <f>SUMIF(Estado!$A$9:$A$449,$B76,Estado!$O$9:$O$449)</f>
        <v>3685702</v>
      </c>
      <c r="L76" s="107">
        <f t="shared" si="1"/>
        <v>0.82369280076536711</v>
      </c>
      <c r="M76" s="107">
        <f t="shared" si="2"/>
        <v>0.17630719923463287</v>
      </c>
    </row>
    <row r="77" spans="2:13" s="23" customFormat="1" ht="16.5" x14ac:dyDescent="0.25">
      <c r="B77" s="105" t="str">
        <f>+Estado!A170</f>
        <v>E-10999</v>
      </c>
      <c r="C77" s="106" t="str">
        <f>IFERROR(VLOOKUP(B77,Estado!$A$9:$B$586,2,FALSE),0)</f>
        <v>TROS IMPUESTOS</v>
      </c>
      <c r="D77" s="9">
        <f>SUMIF(Estado!$A$9:$A$449,$B77,Estado!$C$9:$C$449)</f>
        <v>20905000</v>
      </c>
      <c r="E77" s="9">
        <f>SUMIF(Estado!$A$9:$A$449,$B77,Estado!$G$9:$G$449)</f>
        <v>4585448</v>
      </c>
      <c r="F77" s="9">
        <f>SUMIF(Estado!$A$9:$A$449,$B77,Estado!$E$9:$E$449)</f>
        <v>0</v>
      </c>
      <c r="G77" s="9">
        <f>SUMIF(Estado!$A$9:$A$449,$B77,Estado!$G$9:$G$449)</f>
        <v>4585448</v>
      </c>
      <c r="H77" s="9">
        <f>SUMIF(Estado!$A$9:$A$449,$B77,Estado!$I$9:$I$449)</f>
        <v>0</v>
      </c>
      <c r="I77" s="9">
        <f>SUMIF(Estado!$A$9:$A$449,$B77,Estado!$K$9:$K$449)</f>
        <v>12633850</v>
      </c>
      <c r="J77" s="9">
        <f t="shared" si="5"/>
        <v>17219298</v>
      </c>
      <c r="K77" s="9">
        <f>SUMIF(Estado!$A$9:$A$449,$B77,Estado!$O$9:$O$449)</f>
        <v>3685702</v>
      </c>
      <c r="L77" s="107">
        <f t="shared" si="1"/>
        <v>0.82369280076536711</v>
      </c>
      <c r="M77" s="107">
        <f t="shared" si="2"/>
        <v>0.17630719923463287</v>
      </c>
    </row>
    <row r="78" spans="2:13" s="23" customFormat="1" ht="16.5" x14ac:dyDescent="0.25">
      <c r="B78" s="105" t="str">
        <f>+Estado!A171</f>
        <v>E-199</v>
      </c>
      <c r="C78" s="106" t="str">
        <f>IFERROR(VLOOKUP(B78,Estado!$A$9:$B$586,2,FALSE),0)</f>
        <v>SERVICIOS DIVERSOS</v>
      </c>
      <c r="D78" s="9">
        <f>SUMIF(Estado!$A$9:$A$449,$B78,Estado!$C$9:$C$449)</f>
        <v>65904050</v>
      </c>
      <c r="E78" s="9">
        <f>SUMIF(Estado!$A$9:$A$449,$B78,Estado!$G$9:$G$449)</f>
        <v>44964591.270000003</v>
      </c>
      <c r="F78" s="9">
        <f>SUMIF(Estado!$A$9:$A$449,$B78,Estado!$E$9:$E$449)</f>
        <v>0</v>
      </c>
      <c r="G78" s="9">
        <f>SUMIF(Estado!$A$9:$A$449,$B78,Estado!$G$9:$G$449)</f>
        <v>44964591.270000003</v>
      </c>
      <c r="H78" s="9">
        <f>SUMIF(Estado!$A$9:$A$449,$B78,Estado!$I$9:$I$449)</f>
        <v>0</v>
      </c>
      <c r="I78" s="9">
        <f>SUMIF(Estado!$A$9:$A$449,$B78,Estado!$K$9:$K$449)</f>
        <v>7392589.1199999992</v>
      </c>
      <c r="J78" s="9">
        <f t="shared" si="5"/>
        <v>52357180.390000001</v>
      </c>
      <c r="K78" s="9">
        <f>SUMIF(Estado!$A$9:$A$449,$B78,Estado!$O$9:$O$449)</f>
        <v>13546869.609999999</v>
      </c>
      <c r="L78" s="107">
        <f t="shared" si="1"/>
        <v>0.79444556730580296</v>
      </c>
      <c r="M78" s="107">
        <f t="shared" si="2"/>
        <v>0.2055544326941971</v>
      </c>
    </row>
    <row r="79" spans="2:13" s="23" customFormat="1" ht="16.5" x14ac:dyDescent="0.25">
      <c r="B79" s="105" t="str">
        <f>+Estado!A172</f>
        <v>E-19901</v>
      </c>
      <c r="C79" s="106" t="str">
        <f>IFERROR(VLOOKUP(B79,Estado!$A$9:$B$586,2,FALSE),0)</f>
        <v>SERV. DE REGULACIÓN</v>
      </c>
      <c r="D79" s="9">
        <f>SUMIF(Estado!$A$9:$A$449,$B79,Estado!$C$9:$C$449)</f>
        <v>5000000</v>
      </c>
      <c r="E79" s="9">
        <f>SUMIF(Estado!$A$9:$A$449,$B79,Estado!$G$9:$G$449)</f>
        <v>0</v>
      </c>
      <c r="F79" s="9">
        <f>SUMIF(Estado!$A$9:$A$449,$B79,Estado!$E$9:$E$449)</f>
        <v>0</v>
      </c>
      <c r="G79" s="9">
        <f>SUMIF(Estado!$A$9:$A$449,$B79,Estado!$G$9:$G$449)</f>
        <v>0</v>
      </c>
      <c r="H79" s="9">
        <f>SUMIF(Estado!$A$9:$A$449,$B79,Estado!$I$9:$I$449)</f>
        <v>0</v>
      </c>
      <c r="I79" s="9">
        <f>SUMIF(Estado!$A$9:$A$449,$B79,Estado!$K$9:$K$449)</f>
        <v>3617106.85</v>
      </c>
      <c r="J79" s="9">
        <f t="shared" si="5"/>
        <v>3617106.85</v>
      </c>
      <c r="K79" s="9">
        <f>SUMIF(Estado!$A$9:$A$449,$B79,Estado!$O$9:$O$449)</f>
        <v>1382893.15</v>
      </c>
      <c r="L79" s="107">
        <f t="shared" si="1"/>
        <v>0.72342137000000006</v>
      </c>
      <c r="M79" s="107">
        <f t="shared" si="2"/>
        <v>0.27657862999999999</v>
      </c>
    </row>
    <row r="80" spans="2:13" s="23" customFormat="1" ht="16.5" x14ac:dyDescent="0.25">
      <c r="B80" s="105" t="str">
        <f>+Estado!A173</f>
        <v>E-19902</v>
      </c>
      <c r="C80" s="106" t="str">
        <f>IFERROR(VLOOKUP(B80,Estado!$A$9:$B$586,2,FALSE),0)</f>
        <v>INT. MORAT. Y MULTAS</v>
      </c>
      <c r="D80" s="9">
        <f>SUMIF(Estado!$A$9:$A$449,$B80,Estado!$C$9:$C$449)</f>
        <v>8433455</v>
      </c>
      <c r="E80" s="9">
        <f>SUMIF(Estado!$A$9:$A$449,$B80,Estado!$G$9:$G$449)</f>
        <v>0</v>
      </c>
      <c r="F80" s="9">
        <f>SUMIF(Estado!$A$9:$A$449,$B80,Estado!$E$9:$E$449)</f>
        <v>0</v>
      </c>
      <c r="G80" s="9">
        <f>SUMIF(Estado!$A$9:$A$449,$B80,Estado!$G$9:$G$449)</f>
        <v>0</v>
      </c>
      <c r="H80" s="9">
        <f>SUMIF(Estado!$A$9:$A$449,$B80,Estado!$I$9:$I$449)</f>
        <v>0</v>
      </c>
      <c r="I80" s="9">
        <f>SUMIF(Estado!$A$9:$A$449,$B80,Estado!$K$9:$K$449)</f>
        <v>2875482.27</v>
      </c>
      <c r="J80" s="9">
        <f t="shared" si="5"/>
        <v>2875482.27</v>
      </c>
      <c r="K80" s="9">
        <f>SUMIF(Estado!$A$9:$A$449,$B80,Estado!$O$9:$O$449)</f>
        <v>5557972.7300000004</v>
      </c>
      <c r="L80" s="107">
        <f t="shared" si="1"/>
        <v>0.34096135806736383</v>
      </c>
      <c r="M80" s="107">
        <f t="shared" si="2"/>
        <v>0.65903864193263617</v>
      </c>
    </row>
    <row r="81" spans="2:13" s="23" customFormat="1" ht="16.5" x14ac:dyDescent="0.25">
      <c r="B81" s="105" t="str">
        <f>+Estado!A174</f>
        <v>E-19905</v>
      </c>
      <c r="C81" s="106" t="str">
        <f>IFERROR(VLOOKUP(B81,Estado!$A$9:$B$586,2,FALSE),0)</f>
        <v>DEDUCIBLES</v>
      </c>
      <c r="D81" s="9">
        <f>SUMIF(Estado!$A$9:$A$449,$B81,Estado!$C$9:$C$449)</f>
        <v>52470595</v>
      </c>
      <c r="E81" s="9">
        <f>SUMIF(Estado!$A$9:$A$449,$B81,Estado!$G$9:$G$449)</f>
        <v>44964591.270000003</v>
      </c>
      <c r="F81" s="9">
        <f>SUMIF(Estado!$A$9:$A$449,$B81,Estado!$E$9:$E$449)</f>
        <v>0</v>
      </c>
      <c r="G81" s="9">
        <f>SUMIF(Estado!$A$9:$A$449,$B81,Estado!$G$9:$G$449)</f>
        <v>44964591.270000003</v>
      </c>
      <c r="H81" s="9">
        <f>SUMIF(Estado!$A$9:$A$449,$B81,Estado!$I$9:$I$449)</f>
        <v>0</v>
      </c>
      <c r="I81" s="9">
        <f>SUMIF(Estado!$A$9:$A$449,$B81,Estado!$K$9:$K$449)</f>
        <v>900000</v>
      </c>
      <c r="J81" s="9">
        <f t="shared" si="5"/>
        <v>45864591.270000003</v>
      </c>
      <c r="K81" s="9">
        <f>SUMIF(Estado!$A$9:$A$449,$B81,Estado!$O$9:$O$449)</f>
        <v>6606003.7300000004</v>
      </c>
      <c r="L81" s="107">
        <f t="shared" si="1"/>
        <v>0.87410084200493632</v>
      </c>
      <c r="M81" s="107">
        <f t="shared" si="2"/>
        <v>0.12589915799506371</v>
      </c>
    </row>
    <row r="82" spans="2:13" s="74" customFormat="1" ht="17.25" x14ac:dyDescent="0.25">
      <c r="B82" s="101" t="str">
        <f>+Estado!A175</f>
        <v>E-2</v>
      </c>
      <c r="C82" s="102" t="str">
        <f>IFERROR(VLOOKUP(B82,Estado!$A$9:$B$586,2,FALSE),0)</f>
        <v>MATERIALES Y SUMINIS</v>
      </c>
      <c r="D82" s="103">
        <f>+D83+D89+D93+D101+D106+D104</f>
        <v>16512433047</v>
      </c>
      <c r="E82" s="103">
        <f>+E83+E89+E93+E101+E106+E104</f>
        <v>1035084392.23</v>
      </c>
      <c r="F82" s="103">
        <f>+F83+F89+F93+F101+F106</f>
        <v>0</v>
      </c>
      <c r="G82" s="103">
        <f>+G83+G89+G93+G101+G106</f>
        <v>1035084392.23</v>
      </c>
      <c r="H82" s="103">
        <f>+H83+H89+H93+H101+H106</f>
        <v>0</v>
      </c>
      <c r="I82" s="103">
        <f>+I83+I89+I93+I101+I106+I104</f>
        <v>14913238479.990002</v>
      </c>
      <c r="J82" s="103">
        <f>+J83+J89+J93+J101+J106+J104</f>
        <v>15948322872.219997</v>
      </c>
      <c r="K82" s="103">
        <f>+K83+K89+K93+K101+K106+K104</f>
        <v>564110174.77999997</v>
      </c>
      <c r="L82" s="104">
        <f t="shared" si="1"/>
        <v>0.96583724680824745</v>
      </c>
      <c r="M82" s="104">
        <f t="shared" si="2"/>
        <v>3.4162753191752576E-2</v>
      </c>
    </row>
    <row r="83" spans="2:13" s="23" customFormat="1" ht="16.5" x14ac:dyDescent="0.25">
      <c r="B83" s="105" t="str">
        <f>+Estado!A176</f>
        <v>E-201</v>
      </c>
      <c r="C83" s="106" t="str">
        <f>IFERROR(VLOOKUP(B83,Estado!$A$9:$B$586,2,FALSE),0)</f>
        <v>PRODUC QUÍM Y CONEX</v>
      </c>
      <c r="D83" s="9">
        <f>SUMIF(Estado!$A$9:$A$449,$B83,Estado!$C$9:$C$449)</f>
        <v>1017807274</v>
      </c>
      <c r="E83" s="9">
        <f>SUMIF(Estado!$A$9:$A$449,$B83,Estado!$G$9:$G$449)</f>
        <v>72412864.590000004</v>
      </c>
      <c r="F83" s="9">
        <f>SUMIF(Estado!$A$9:$A$449,$B83,Estado!$E$9:$E$449)</f>
        <v>0</v>
      </c>
      <c r="G83" s="9">
        <f>SUMIF(Estado!$A$9:$A$449,$B83,Estado!$G$9:$G$449)</f>
        <v>72412864.590000004</v>
      </c>
      <c r="H83" s="9">
        <f>SUMIF(Estado!$A$9:$A$449,$B83,Estado!$I$9:$I$449)</f>
        <v>0</v>
      </c>
      <c r="I83" s="9">
        <f>SUMIF(Estado!$A$9:$A$449,$B83,Estado!$K$9:$K$449)</f>
        <v>773944819.23000014</v>
      </c>
      <c r="J83" s="9">
        <f t="shared" ref="J83:J114" si="6">SUM(G83:I83)</f>
        <v>846357683.82000017</v>
      </c>
      <c r="K83" s="9">
        <f>SUMIF(Estado!$A$9:$A$449,$B83,Estado!$O$9:$O$449)</f>
        <v>171449590.17999998</v>
      </c>
      <c r="L83" s="107">
        <f t="shared" si="1"/>
        <v>0.83155004433580038</v>
      </c>
      <c r="M83" s="107">
        <f t="shared" si="2"/>
        <v>0.16844995566419971</v>
      </c>
    </row>
    <row r="84" spans="2:13" s="23" customFormat="1" ht="16.5" x14ac:dyDescent="0.25">
      <c r="B84" s="105" t="str">
        <f>+Estado!A177</f>
        <v>E-20101</v>
      </c>
      <c r="C84" s="106" t="str">
        <f>IFERROR(VLOOKUP(B84,Estado!$A$9:$B$586,2,FALSE),0)</f>
        <v>COMB Y LUBRICANTES</v>
      </c>
      <c r="D84" s="9">
        <f>SUMIF(Estado!$A$9:$A$449,$B84,Estado!$C$9:$C$449)</f>
        <v>720074289</v>
      </c>
      <c r="E84" s="9">
        <f>SUMIF(Estado!$A$9:$A$449,$B84,Estado!$G$9:$G$449)</f>
        <v>61267259.269999996</v>
      </c>
      <c r="F84" s="9">
        <f>SUMIF(Estado!$A$9:$A$449,$B84,Estado!$E$9:$E$449)</f>
        <v>0</v>
      </c>
      <c r="G84" s="9">
        <f>SUMIF(Estado!$A$9:$A$449,$B84,Estado!$G$9:$G$449)</f>
        <v>61267259.269999996</v>
      </c>
      <c r="H84" s="9">
        <f>SUMIF(Estado!$A$9:$A$449,$B84,Estado!$I$9:$I$449)</f>
        <v>0</v>
      </c>
      <c r="I84" s="9">
        <f>SUMIF(Estado!$A$9:$A$449,$B84,Estado!$K$9:$K$449)</f>
        <v>497640123.75</v>
      </c>
      <c r="J84" s="9">
        <f t="shared" si="6"/>
        <v>558907383.01999998</v>
      </c>
      <c r="K84" s="9">
        <f>SUMIF(Estado!$A$9:$A$449,$B84,Estado!$O$9:$O$449)</f>
        <v>161166905.97999999</v>
      </c>
      <c r="L84" s="107">
        <f t="shared" si="1"/>
        <v>0.77618016857146799</v>
      </c>
      <c r="M84" s="107">
        <f t="shared" si="2"/>
        <v>0.22381983142853193</v>
      </c>
    </row>
    <row r="85" spans="2:13" s="23" customFormat="1" ht="16.5" x14ac:dyDescent="0.25">
      <c r="B85" s="105" t="str">
        <f>+Estado!A178</f>
        <v>E-20102</v>
      </c>
      <c r="C85" s="106" t="str">
        <f>IFERROR(VLOOKUP(B85,Estado!$A$9:$B$586,2,FALSE),0)</f>
        <v>PROD FARMAC Y MEDIC.</v>
      </c>
      <c r="D85" s="9">
        <f>SUMIF(Estado!$A$9:$A$449,$B85,Estado!$C$9:$C$449)</f>
        <v>224986576</v>
      </c>
      <c r="E85" s="9">
        <f>SUMIF(Estado!$A$9:$A$449,$B85,Estado!$G$9:$G$449)</f>
        <v>98.9</v>
      </c>
      <c r="F85" s="9">
        <f>SUMIF(Estado!$A$9:$A$449,$B85,Estado!$E$9:$E$449)</f>
        <v>0</v>
      </c>
      <c r="G85" s="9">
        <f>SUMIF(Estado!$A$9:$A$449,$B85,Estado!$G$9:$G$449)</f>
        <v>98.9</v>
      </c>
      <c r="H85" s="9">
        <f>SUMIF(Estado!$A$9:$A$449,$B85,Estado!$I$9:$I$449)</f>
        <v>0</v>
      </c>
      <c r="I85" s="9">
        <f>SUMIF(Estado!$A$9:$A$449,$B85,Estado!$K$9:$K$449)</f>
        <v>221494122.95000002</v>
      </c>
      <c r="J85" s="9">
        <f t="shared" si="6"/>
        <v>221494221.85000002</v>
      </c>
      <c r="K85" s="9">
        <f>SUMIF(Estado!$A$9:$A$449,$B85,Estado!$O$9:$O$449)</f>
        <v>3492354.15</v>
      </c>
      <c r="L85" s="107">
        <f t="shared" si="1"/>
        <v>0.98447749989314925</v>
      </c>
      <c r="M85" s="107">
        <f t="shared" si="2"/>
        <v>1.552250010685082E-2</v>
      </c>
    </row>
    <row r="86" spans="2:13" s="23" customFormat="1" ht="16.5" x14ac:dyDescent="0.25">
      <c r="B86" s="105" t="str">
        <f>+Estado!A179</f>
        <v>E-20103</v>
      </c>
      <c r="C86" s="106" t="str">
        <f>IFERROR(VLOOKUP(B86,Estado!$A$9:$B$586,2,FALSE),0)</f>
        <v>PRODUCTOS VETERIN.</v>
      </c>
      <c r="D86" s="9">
        <f>SUMIF(Estado!$A$9:$A$449,$B86,Estado!$C$9:$C$449)</f>
        <v>14405151</v>
      </c>
      <c r="E86" s="9">
        <f>SUMIF(Estado!$A$9:$A$449,$B86,Estado!$G$9:$G$449)</f>
        <v>9454794.4199999999</v>
      </c>
      <c r="F86" s="9">
        <f>SUMIF(Estado!$A$9:$A$449,$B86,Estado!$E$9:$E$449)</f>
        <v>0</v>
      </c>
      <c r="G86" s="9">
        <f>SUMIF(Estado!$A$9:$A$449,$B86,Estado!$G$9:$G$449)</f>
        <v>9454794.4199999999</v>
      </c>
      <c r="H86" s="9">
        <f>SUMIF(Estado!$A$9:$A$449,$B86,Estado!$I$9:$I$449)</f>
        <v>0</v>
      </c>
      <c r="I86" s="9">
        <f>SUMIF(Estado!$A$9:$A$449,$B86,Estado!$K$9:$K$449)</f>
        <v>3186473.91</v>
      </c>
      <c r="J86" s="9">
        <f t="shared" si="6"/>
        <v>12641268.33</v>
      </c>
      <c r="K86" s="9">
        <f>SUMIF(Estado!$A$9:$A$449,$B86,Estado!$O$9:$O$449)</f>
        <v>1763882.67</v>
      </c>
      <c r="L86" s="107">
        <f t="shared" si="1"/>
        <v>0.87755194860505104</v>
      </c>
      <c r="M86" s="107">
        <f t="shared" si="2"/>
        <v>0.12244805139494892</v>
      </c>
    </row>
    <row r="87" spans="2:13" s="23" customFormat="1" ht="16.5" x14ac:dyDescent="0.25">
      <c r="B87" s="105" t="str">
        <f>+Estado!A180</f>
        <v>E-20104</v>
      </c>
      <c r="C87" s="106" t="str">
        <f>IFERROR(VLOOKUP(B87,Estado!$A$9:$B$586,2,FALSE),0)</f>
        <v>TINTAS, PINT.Y DILUY</v>
      </c>
      <c r="D87" s="9">
        <f>SUMIF(Estado!$A$9:$A$449,$B87,Estado!$C$9:$C$449)</f>
        <v>45310321</v>
      </c>
      <c r="E87" s="9">
        <f>SUMIF(Estado!$A$9:$A$449,$B87,Estado!$G$9:$G$449)</f>
        <v>1690712</v>
      </c>
      <c r="F87" s="9">
        <f>SUMIF(Estado!$A$9:$A$449,$B87,Estado!$E$9:$E$449)</f>
        <v>0</v>
      </c>
      <c r="G87" s="9">
        <f>SUMIF(Estado!$A$9:$A$449,$B87,Estado!$G$9:$G$449)</f>
        <v>1690712</v>
      </c>
      <c r="H87" s="9">
        <f>SUMIF(Estado!$A$9:$A$449,$B87,Estado!$I$9:$I$449)</f>
        <v>0</v>
      </c>
      <c r="I87" s="9">
        <f>SUMIF(Estado!$A$9:$A$449,$B87,Estado!$K$9:$K$449)</f>
        <v>42120785.100000001</v>
      </c>
      <c r="J87" s="9">
        <f t="shared" si="6"/>
        <v>43811497.100000001</v>
      </c>
      <c r="K87" s="9">
        <f>SUMIF(Estado!$A$9:$A$449,$B87,Estado!$O$9:$O$449)</f>
        <v>1498823.9</v>
      </c>
      <c r="L87" s="107">
        <f t="shared" si="1"/>
        <v>0.9669209163183814</v>
      </c>
      <c r="M87" s="107">
        <f t="shared" si="2"/>
        <v>3.3079083681618583E-2</v>
      </c>
    </row>
    <row r="88" spans="2:13" s="23" customFormat="1" ht="16.5" x14ac:dyDescent="0.25">
      <c r="B88" s="105" t="str">
        <f>+Estado!A181</f>
        <v>E-20199</v>
      </c>
      <c r="C88" s="106" t="str">
        <f>IFERROR(VLOOKUP(B88,Estado!$A$9:$B$586,2,FALSE),0)</f>
        <v>OTR.PROD.QUÍM YCONEX</v>
      </c>
      <c r="D88" s="9">
        <f>SUMIF(Estado!$A$9:$A$449,$B88,Estado!$C$9:$C$449)</f>
        <v>13030937</v>
      </c>
      <c r="E88" s="9">
        <f>SUMIF(Estado!$A$9:$A$449,$B88,Estado!$G$9:$G$449)</f>
        <v>0</v>
      </c>
      <c r="F88" s="9">
        <f>SUMIF(Estado!$A$9:$A$449,$B88,Estado!$E$9:$E$449)</f>
        <v>0</v>
      </c>
      <c r="G88" s="9">
        <f>SUMIF(Estado!$A$9:$A$449,$B88,Estado!$G$9:$G$449)</f>
        <v>0</v>
      </c>
      <c r="H88" s="9">
        <f>SUMIF(Estado!$A$9:$A$449,$B88,Estado!$I$9:$I$449)</f>
        <v>0</v>
      </c>
      <c r="I88" s="9">
        <f>SUMIF(Estado!$A$9:$A$449,$B88,Estado!$K$9:$K$449)</f>
        <v>9503313.5199999996</v>
      </c>
      <c r="J88" s="9">
        <f t="shared" si="6"/>
        <v>9503313.5199999996</v>
      </c>
      <c r="K88" s="9">
        <f>SUMIF(Estado!$A$9:$A$449,$B88,Estado!$O$9:$O$449)</f>
        <v>3527623.4799999995</v>
      </c>
      <c r="L88" s="107">
        <f t="shared" si="1"/>
        <v>0.72928857840383998</v>
      </c>
      <c r="M88" s="107">
        <f t="shared" si="2"/>
        <v>0.27071142159615991</v>
      </c>
    </row>
    <row r="89" spans="2:13" s="23" customFormat="1" ht="16.5" x14ac:dyDescent="0.25">
      <c r="B89" s="105" t="str">
        <f>+Estado!A182</f>
        <v>E-202</v>
      </c>
      <c r="C89" s="106" t="str">
        <f>IFERROR(VLOOKUP(B89,Estado!$A$9:$B$586,2,FALSE),0)</f>
        <v>ALIMEN Y PRODUC AGRO</v>
      </c>
      <c r="D89" s="9">
        <f>SUMIF(Estado!$A$9:$A$449,$B89,Estado!$C$9:$C$449)</f>
        <v>11819424772</v>
      </c>
      <c r="E89" s="9">
        <f>SUMIF(Estado!$A$9:$A$449,$B89,Estado!$G$9:$G$449)</f>
        <v>838441600.31000006</v>
      </c>
      <c r="F89" s="9">
        <f>SUMIF(Estado!$A$9:$A$449,$B89,Estado!$E$9:$E$449)</f>
        <v>0</v>
      </c>
      <c r="G89" s="9">
        <f>SUMIF(Estado!$A$9:$A$449,$B89,Estado!$G$9:$G$449)</f>
        <v>838441600.31000006</v>
      </c>
      <c r="H89" s="9">
        <f>SUMIF(Estado!$A$9:$A$449,$B89,Estado!$I$9:$I$449)</f>
        <v>0</v>
      </c>
      <c r="I89" s="9">
        <f>SUMIF(Estado!$A$9:$A$449,$B89,Estado!$K$9:$K$449)</f>
        <v>10761373438.459999</v>
      </c>
      <c r="J89" s="9">
        <f t="shared" si="6"/>
        <v>11599815038.769999</v>
      </c>
      <c r="K89" s="9">
        <f>SUMIF(Estado!$A$9:$A$449,$B89,Estado!$O$9:$O$449)</f>
        <v>219609733.23000002</v>
      </c>
      <c r="L89" s="107">
        <f t="shared" si="1"/>
        <v>0.98141959211498575</v>
      </c>
      <c r="M89" s="107">
        <f t="shared" si="2"/>
        <v>1.8580407885014121E-2</v>
      </c>
    </row>
    <row r="90" spans="2:13" s="23" customFormat="1" ht="16.5" x14ac:dyDescent="0.25">
      <c r="B90" s="108" t="str">
        <f>+Estado!A183</f>
        <v>E-20202</v>
      </c>
      <c r="C90" s="109" t="str">
        <f>IFERROR(VLOOKUP(B90,Estado!$A$9:$B$586,2,FALSE),0)</f>
        <v>PRODUCTOS AGROFORESTALES</v>
      </c>
      <c r="D90" s="110">
        <f>SUMIF(Estado!$A$9:$A$449,$B90,Estado!$C$9:$C$449)</f>
        <v>3985725</v>
      </c>
      <c r="E90" s="110">
        <f>SUMIF(Estado!$A$9:$A$449,$B90,Estado!$G$9:$G$449)</f>
        <v>0</v>
      </c>
      <c r="F90" s="110">
        <f>SUMIF(Estado!$A$9:$A$449,$B90,Estado!$E$9:$E$449)</f>
        <v>0</v>
      </c>
      <c r="G90" s="110">
        <f>SUMIF(Estado!$A$9:$A$449,$B90,Estado!$G$9:$G$449)</f>
        <v>0</v>
      </c>
      <c r="H90" s="110">
        <f>SUMIF(Estado!$A$9:$A$449,$B90,Estado!$I$9:$I$449)</f>
        <v>0</v>
      </c>
      <c r="I90" s="110">
        <f>SUMIF(Estado!$A$9:$A$449,$B90,Estado!$K$9:$K$449)</f>
        <v>2763775</v>
      </c>
      <c r="J90" s="110">
        <f t="shared" si="6"/>
        <v>2763775</v>
      </c>
      <c r="K90" s="110">
        <f>SUMIF(Estado!$A$9:$A$449,$B90,Estado!$O$9:$O$449)</f>
        <v>1221950</v>
      </c>
      <c r="L90" s="111">
        <f t="shared" si="1"/>
        <v>0.69341838686813562</v>
      </c>
      <c r="M90" s="111">
        <f t="shared" si="2"/>
        <v>0.30658161313186433</v>
      </c>
    </row>
    <row r="91" spans="2:13" s="23" customFormat="1" ht="16.5" x14ac:dyDescent="0.25">
      <c r="B91" s="105" t="str">
        <f>+Estado!A184</f>
        <v>E-20203</v>
      </c>
      <c r="C91" s="106" t="str">
        <f>IFERROR(VLOOKUP(B91,Estado!$A$9:$B$586,2,FALSE),0)</f>
        <v>ALIMENTOS Y BEBIDAS</v>
      </c>
      <c r="D91" s="9">
        <f>SUMIF(Estado!$A$9:$A$449,$B91,Estado!$C$9:$C$449)</f>
        <v>11762576200</v>
      </c>
      <c r="E91" s="9">
        <f>SUMIF(Estado!$A$9:$A$449,$B91,Estado!$G$9:$G$449)</f>
        <v>832576467.35000002</v>
      </c>
      <c r="F91" s="9">
        <f>SUMIF(Estado!$A$9:$A$449,$B91,Estado!$E$9:$E$449)</f>
        <v>0</v>
      </c>
      <c r="G91" s="9">
        <f>SUMIF(Estado!$A$9:$A$449,$B91,Estado!$G$9:$G$449)</f>
        <v>832576467.35000002</v>
      </c>
      <c r="H91" s="9">
        <f>SUMIF(Estado!$A$9:$A$449,$B91,Estado!$I$9:$I$449)</f>
        <v>0</v>
      </c>
      <c r="I91" s="9">
        <f>SUMIF(Estado!$A$9:$A$449,$B91,Estado!$K$9:$K$449)</f>
        <v>10715913074.219999</v>
      </c>
      <c r="J91" s="9">
        <f t="shared" si="6"/>
        <v>11548489541.57</v>
      </c>
      <c r="K91" s="9">
        <f>SUMIF(Estado!$A$9:$A$449,$B91,Estado!$O$9:$O$449)</f>
        <v>214086658.42999998</v>
      </c>
      <c r="L91" s="107">
        <f t="shared" si="1"/>
        <v>0.98179933929524721</v>
      </c>
      <c r="M91" s="107">
        <f t="shared" si="2"/>
        <v>1.8200660704752753E-2</v>
      </c>
    </row>
    <row r="92" spans="2:13" s="74" customFormat="1" ht="16.5" x14ac:dyDescent="0.25">
      <c r="B92" s="105" t="str">
        <f>+Estado!A185</f>
        <v>E-20204</v>
      </c>
      <c r="C92" s="106" t="str">
        <f>IFERROR(VLOOKUP(B92,Estado!$A$9:$B$586,2,FALSE),0)</f>
        <v>ALIM. PARA ANIMALES</v>
      </c>
      <c r="D92" s="9">
        <f>SUMIF(Estado!$A$9:$A$449,$B92,Estado!$C$9:$C$449)</f>
        <v>52862847</v>
      </c>
      <c r="E92" s="9">
        <f>SUMIF(Estado!$A$9:$A$449,$B92,Estado!$G$9:$G$449)</f>
        <v>5865132.96</v>
      </c>
      <c r="F92" s="9">
        <f>SUMIF(Estado!$A$9:$A$449,$B92,Estado!$E$9:$E$449)</f>
        <v>0</v>
      </c>
      <c r="G92" s="9">
        <f>SUMIF(Estado!$A$9:$A$449,$B92,Estado!$G$9:$G$449)</f>
        <v>5865132.96</v>
      </c>
      <c r="H92" s="9">
        <f>SUMIF(Estado!$A$9:$A$449,$B92,Estado!$I$9:$I$449)</f>
        <v>0</v>
      </c>
      <c r="I92" s="9">
        <f>SUMIF(Estado!$A$9:$A$449,$B92,Estado!$K$9:$K$449)</f>
        <v>42696589.240000002</v>
      </c>
      <c r="J92" s="9">
        <f t="shared" si="6"/>
        <v>48561722.200000003</v>
      </c>
      <c r="K92" s="9">
        <f>SUMIF(Estado!$A$9:$A$449,$B92,Estado!$O$9:$O$449)</f>
        <v>4301124.8000000007</v>
      </c>
      <c r="L92" s="107">
        <f t="shared" si="1"/>
        <v>0.91863614912757163</v>
      </c>
      <c r="M92" s="107">
        <f t="shared" si="2"/>
        <v>8.1363850872428437E-2</v>
      </c>
    </row>
    <row r="93" spans="2:13" s="23" customFormat="1" ht="16.5" x14ac:dyDescent="0.25">
      <c r="B93" s="105" t="str">
        <f>+Estado!A186</f>
        <v>E-203</v>
      </c>
      <c r="C93" s="106" t="str">
        <f>IFERROR(VLOOKUP(B93,Estado!$A$9:$B$586,2,FALSE),0)</f>
        <v>MATER P.CONST Y MANT</v>
      </c>
      <c r="D93" s="9">
        <f>SUMIF(Estado!$A$9:$A$449,$B93,Estado!$C$9:$C$449)</f>
        <v>546440107</v>
      </c>
      <c r="E93" s="9">
        <f>SUMIF(Estado!$A$9:$A$449,$B93,Estado!$G$9:$G$449)</f>
        <v>17084951.259999998</v>
      </c>
      <c r="F93" s="9">
        <f>SUMIF(Estado!$A$9:$A$449,$B93,Estado!$E$9:$E$449)</f>
        <v>0</v>
      </c>
      <c r="G93" s="9">
        <f>SUMIF(Estado!$A$9:$A$449,$B93,Estado!$G$9:$G$449)</f>
        <v>17084951.259999998</v>
      </c>
      <c r="H93" s="9">
        <f>SUMIF(Estado!$A$9:$A$449,$B93,Estado!$I$9:$I$449)</f>
        <v>0</v>
      </c>
      <c r="I93" s="9">
        <f>SUMIF(Estado!$A$9:$A$449,$B93,Estado!$K$9:$K$449)</f>
        <v>506881386.86999995</v>
      </c>
      <c r="J93" s="9">
        <f t="shared" si="6"/>
        <v>523966338.12999994</v>
      </c>
      <c r="K93" s="9">
        <f>SUMIF(Estado!$A$9:$A$449,$B93,Estado!$O$9:$O$449)</f>
        <v>22473768.870000001</v>
      </c>
      <c r="L93" s="107">
        <f t="shared" si="1"/>
        <v>0.95887240233264925</v>
      </c>
      <c r="M93" s="107">
        <f t="shared" si="2"/>
        <v>4.1127597667350579E-2</v>
      </c>
    </row>
    <row r="94" spans="2:13" s="23" customFormat="1" ht="16.5" x14ac:dyDescent="0.25">
      <c r="B94" s="105" t="str">
        <f>+Estado!A187</f>
        <v>E-20301</v>
      </c>
      <c r="C94" s="106" t="str">
        <f>IFERROR(VLOOKUP(B94,Estado!$A$9:$B$586,2,FALSE),0)</f>
        <v>MATERIALES YPROD MET</v>
      </c>
      <c r="D94" s="9">
        <f>SUMIF(Estado!$A$9:$A$449,$B94,Estado!$C$9:$C$449)</f>
        <v>142625131</v>
      </c>
      <c r="E94" s="9">
        <f>SUMIF(Estado!$A$9:$A$449,$B94,Estado!$G$9:$G$449)</f>
        <v>1508679.8399999999</v>
      </c>
      <c r="F94" s="9">
        <f>SUMIF(Estado!$A$9:$A$449,$B94,Estado!$E$9:$E$449)</f>
        <v>0</v>
      </c>
      <c r="G94" s="9">
        <f>SUMIF(Estado!$A$9:$A$449,$B94,Estado!$G$9:$G$449)</f>
        <v>1508679.8399999999</v>
      </c>
      <c r="H94" s="9">
        <f>SUMIF(Estado!$A$9:$A$449,$B94,Estado!$I$9:$I$449)</f>
        <v>0</v>
      </c>
      <c r="I94" s="9">
        <f>SUMIF(Estado!$A$9:$A$449,$B94,Estado!$K$9:$K$449)</f>
        <v>132646357.83</v>
      </c>
      <c r="J94" s="9">
        <f t="shared" si="6"/>
        <v>134155037.67</v>
      </c>
      <c r="K94" s="9">
        <f>SUMIF(Estado!$A$9:$A$449,$B94,Estado!$O$9:$O$449)</f>
        <v>8470093.3300000001</v>
      </c>
      <c r="L94" s="107">
        <f t="shared" si="1"/>
        <v>0.94061289710577023</v>
      </c>
      <c r="M94" s="107">
        <f t="shared" si="2"/>
        <v>5.9387102894229771E-2</v>
      </c>
    </row>
    <row r="95" spans="2:13" s="23" customFormat="1" ht="16.5" x14ac:dyDescent="0.25">
      <c r="B95" s="105" t="str">
        <f>+Estado!A188</f>
        <v>E-20302</v>
      </c>
      <c r="C95" s="106" t="str">
        <f>IFERROR(VLOOKUP(B95,Estado!$A$9:$B$586,2,FALSE),0)</f>
        <v>MAT Y PROD.MIN.Y ASF</v>
      </c>
      <c r="D95" s="9">
        <f>SUMIF(Estado!$A$9:$A$449,$B95,Estado!$C$9:$C$449)</f>
        <v>100478000</v>
      </c>
      <c r="E95" s="9">
        <f>SUMIF(Estado!$A$9:$A$449,$B95,Estado!$G$9:$G$449)</f>
        <v>9173543.4000000004</v>
      </c>
      <c r="F95" s="9">
        <f>SUMIF(Estado!$A$9:$A$449,$B95,Estado!$E$9:$E$449)</f>
        <v>0</v>
      </c>
      <c r="G95" s="9">
        <f>SUMIF(Estado!$A$9:$A$449,$B95,Estado!$G$9:$G$449)</f>
        <v>9173543.4000000004</v>
      </c>
      <c r="H95" s="9">
        <f>SUMIF(Estado!$A$9:$A$449,$B95,Estado!$I$9:$I$449)</f>
        <v>0</v>
      </c>
      <c r="I95" s="9">
        <f>SUMIF(Estado!$A$9:$A$449,$B95,Estado!$K$9:$K$449)</f>
        <v>89317464.859999999</v>
      </c>
      <c r="J95" s="9">
        <f t="shared" si="6"/>
        <v>98491008.260000005</v>
      </c>
      <c r="K95" s="9">
        <f>SUMIF(Estado!$A$9:$A$449,$B95,Estado!$O$9:$O$449)</f>
        <v>1986991.74</v>
      </c>
      <c r="L95" s="107">
        <f t="shared" si="1"/>
        <v>0.98022460896912766</v>
      </c>
      <c r="M95" s="107">
        <f t="shared" si="2"/>
        <v>1.9775391030872429E-2</v>
      </c>
    </row>
    <row r="96" spans="2:13" s="23" customFormat="1" ht="16.5" x14ac:dyDescent="0.25">
      <c r="B96" s="105" t="str">
        <f>+Estado!A189</f>
        <v>E-20303</v>
      </c>
      <c r="C96" s="106" t="str">
        <f>IFERROR(VLOOKUP(B96,Estado!$A$9:$B$586,2,FALSE),0)</f>
        <v>MADERA Y SUS DERIV</v>
      </c>
      <c r="D96" s="9">
        <f>SUMIF(Estado!$A$9:$A$449,$B96,Estado!$C$9:$C$449)</f>
        <v>124771598</v>
      </c>
      <c r="E96" s="9">
        <f>SUMIF(Estado!$A$9:$A$449,$B96,Estado!$G$9:$G$449)</f>
        <v>0</v>
      </c>
      <c r="F96" s="9">
        <f>SUMIF(Estado!$A$9:$A$449,$B96,Estado!$E$9:$E$449)</f>
        <v>0</v>
      </c>
      <c r="G96" s="9">
        <f>SUMIF(Estado!$A$9:$A$449,$B96,Estado!$G$9:$G$449)</f>
        <v>0</v>
      </c>
      <c r="H96" s="9">
        <f>SUMIF(Estado!$A$9:$A$449,$B96,Estado!$I$9:$I$449)</f>
        <v>0</v>
      </c>
      <c r="I96" s="9">
        <f>SUMIF(Estado!$A$9:$A$449,$B96,Estado!$K$9:$K$449)</f>
        <v>124567850.02999999</v>
      </c>
      <c r="J96" s="9">
        <f t="shared" si="6"/>
        <v>124567850.02999999</v>
      </c>
      <c r="K96" s="9">
        <f>SUMIF(Estado!$A$9:$A$449,$B96,Estado!$O$9:$O$449)</f>
        <v>203747.97</v>
      </c>
      <c r="L96" s="107">
        <f t="shared" si="1"/>
        <v>0.99836703245557523</v>
      </c>
      <c r="M96" s="107">
        <f t="shared" si="2"/>
        <v>1.6329675444246535E-3</v>
      </c>
    </row>
    <row r="97" spans="2:13" s="23" customFormat="1" ht="16.5" x14ac:dyDescent="0.25">
      <c r="B97" s="105" t="str">
        <f>+Estado!A190</f>
        <v>E-20304</v>
      </c>
      <c r="C97" s="106" t="str">
        <f>IFERROR(VLOOKUP(B97,Estado!$A$9:$B$586,2,FALSE),0)</f>
        <v>MAT.YPROD.ELÉC,TEL.C</v>
      </c>
      <c r="D97" s="9">
        <f>SUMIF(Estado!$A$9:$A$449,$B97,Estado!$C$9:$C$449)</f>
        <v>108668764</v>
      </c>
      <c r="E97" s="9">
        <f>SUMIF(Estado!$A$9:$A$449,$B97,Estado!$G$9:$G$449)</f>
        <v>6402728.0199999996</v>
      </c>
      <c r="F97" s="9">
        <f>SUMIF(Estado!$A$9:$A$449,$B97,Estado!$E$9:$E$449)</f>
        <v>0</v>
      </c>
      <c r="G97" s="9">
        <f>SUMIF(Estado!$A$9:$A$449,$B97,Estado!$G$9:$G$449)</f>
        <v>6402728.0199999996</v>
      </c>
      <c r="H97" s="9">
        <f>SUMIF(Estado!$A$9:$A$449,$B97,Estado!$I$9:$I$449)</f>
        <v>0</v>
      </c>
      <c r="I97" s="9">
        <f>SUMIF(Estado!$A$9:$A$449,$B97,Estado!$K$9:$K$449)</f>
        <v>95433544.690000013</v>
      </c>
      <c r="J97" s="9">
        <f t="shared" si="6"/>
        <v>101836272.71000001</v>
      </c>
      <c r="K97" s="9">
        <f>SUMIF(Estado!$A$9:$A$449,$B97,Estado!$O$9:$O$449)</f>
        <v>6832491.2899999991</v>
      </c>
      <c r="L97" s="107">
        <f t="shared" si="1"/>
        <v>0.93712552679811478</v>
      </c>
      <c r="M97" s="107">
        <f t="shared" si="2"/>
        <v>6.2874473201885314E-2</v>
      </c>
    </row>
    <row r="98" spans="2:13" s="23" customFormat="1" ht="16.5" x14ac:dyDescent="0.25">
      <c r="B98" s="105" t="str">
        <f>+Estado!A191</f>
        <v>E-20305</v>
      </c>
      <c r="C98" s="106" t="str">
        <f>IFERROR(VLOOKUP(B98,Estado!$A$9:$B$586,2,FALSE),0)</f>
        <v>MATER. Y PROD VIDRIO</v>
      </c>
      <c r="D98" s="9">
        <f>SUMIF(Estado!$A$9:$A$449,$B98,Estado!$C$9:$C$449)</f>
        <v>1091036</v>
      </c>
      <c r="E98" s="9">
        <f>SUMIF(Estado!$A$9:$A$449,$B98,Estado!$G$9:$G$449)</f>
        <v>0</v>
      </c>
      <c r="F98" s="9">
        <f>SUMIF(Estado!$A$9:$A$449,$B98,Estado!$E$9:$E$449)</f>
        <v>0</v>
      </c>
      <c r="G98" s="9">
        <f>SUMIF(Estado!$A$9:$A$449,$B98,Estado!$G$9:$G$449)</f>
        <v>0</v>
      </c>
      <c r="H98" s="9">
        <f>SUMIF(Estado!$A$9:$A$449,$B98,Estado!$I$9:$I$449)</f>
        <v>0</v>
      </c>
      <c r="I98" s="9">
        <f>SUMIF(Estado!$A$9:$A$449,$B98,Estado!$K$9:$K$449)</f>
        <v>1016898.3</v>
      </c>
      <c r="J98" s="9">
        <f t="shared" si="6"/>
        <v>1016898.3</v>
      </c>
      <c r="K98" s="9">
        <f>SUMIF(Estado!$A$9:$A$449,$B98,Estado!$O$9:$O$449)</f>
        <v>74137.7</v>
      </c>
      <c r="L98" s="107">
        <f t="shared" si="1"/>
        <v>0.93204834670899961</v>
      </c>
      <c r="M98" s="107">
        <f t="shared" si="2"/>
        <v>6.7951653291000474E-2</v>
      </c>
    </row>
    <row r="99" spans="2:13" s="23" customFormat="1" ht="16.5" x14ac:dyDescent="0.25">
      <c r="B99" s="105" t="str">
        <f>+Estado!A192</f>
        <v>E-20306</v>
      </c>
      <c r="C99" s="106" t="str">
        <f>IFERROR(VLOOKUP(B99,Estado!$A$9:$B$586,2,FALSE),0)</f>
        <v>MAT. Y PROD PLÁSTICO</v>
      </c>
      <c r="D99" s="9">
        <f>SUMIF(Estado!$A$9:$A$449,$B99,Estado!$C$9:$C$449)</f>
        <v>44953920</v>
      </c>
      <c r="E99" s="9">
        <f>SUMIF(Estado!$A$9:$A$449,$B99,Estado!$G$9:$G$449)</f>
        <v>0</v>
      </c>
      <c r="F99" s="9">
        <f>SUMIF(Estado!$A$9:$A$449,$B99,Estado!$E$9:$E$449)</f>
        <v>0</v>
      </c>
      <c r="G99" s="9">
        <f>SUMIF(Estado!$A$9:$A$449,$B99,Estado!$G$9:$G$449)</f>
        <v>0</v>
      </c>
      <c r="H99" s="9">
        <f>SUMIF(Estado!$A$9:$A$449,$B99,Estado!$I$9:$I$449)</f>
        <v>0</v>
      </c>
      <c r="I99" s="9">
        <f>SUMIF(Estado!$A$9:$A$449,$B99,Estado!$K$9:$K$449)</f>
        <v>40806140.509999998</v>
      </c>
      <c r="J99" s="9">
        <f t="shared" si="6"/>
        <v>40806140.509999998</v>
      </c>
      <c r="K99" s="9">
        <f>SUMIF(Estado!$A$9:$A$449,$B99,Estado!$O$9:$O$449)</f>
        <v>4147779.49</v>
      </c>
      <c r="L99" s="107">
        <f t="shared" si="1"/>
        <v>0.90773264066848891</v>
      </c>
      <c r="M99" s="107">
        <f t="shared" si="2"/>
        <v>9.2267359331511034E-2</v>
      </c>
    </row>
    <row r="100" spans="2:13" s="23" customFormat="1" ht="16.5" x14ac:dyDescent="0.25">
      <c r="B100" s="105" t="str">
        <f>+Estado!A193</f>
        <v>E-20399</v>
      </c>
      <c r="C100" s="106" t="str">
        <f>IFERROR(VLOOKUP(B100,Estado!$A$9:$B$586,2,FALSE),0)</f>
        <v>OTR.MAT.YP.USO CONST</v>
      </c>
      <c r="D100" s="9">
        <f>SUMIF(Estado!$A$9:$A$449,$B100,Estado!$C$9:$C$449)</f>
        <v>23851658</v>
      </c>
      <c r="E100" s="9">
        <f>SUMIF(Estado!$A$9:$A$449,$B100,Estado!$G$9:$G$449)</f>
        <v>0</v>
      </c>
      <c r="F100" s="9">
        <f>SUMIF(Estado!$A$9:$A$449,$B100,Estado!$E$9:$E$449)</f>
        <v>0</v>
      </c>
      <c r="G100" s="9">
        <f>SUMIF(Estado!$A$9:$A$449,$B100,Estado!$G$9:$G$449)</f>
        <v>0</v>
      </c>
      <c r="H100" s="9">
        <f>SUMIF(Estado!$A$9:$A$449,$B100,Estado!$I$9:$I$449)</f>
        <v>0</v>
      </c>
      <c r="I100" s="9">
        <f>SUMIF(Estado!$A$9:$A$449,$B100,Estado!$K$9:$K$449)</f>
        <v>23093130.650000002</v>
      </c>
      <c r="J100" s="9">
        <f t="shared" si="6"/>
        <v>23093130.650000002</v>
      </c>
      <c r="K100" s="9">
        <f>SUMIF(Estado!$A$9:$A$449,$B100,Estado!$O$9:$O$449)</f>
        <v>758527.35</v>
      </c>
      <c r="L100" s="107">
        <f t="shared" si="1"/>
        <v>0.96819812903572577</v>
      </c>
      <c r="M100" s="107">
        <f t="shared" si="2"/>
        <v>3.1801870964274268E-2</v>
      </c>
    </row>
    <row r="101" spans="2:13" s="23" customFormat="1" ht="16.5" x14ac:dyDescent="0.25">
      <c r="B101" s="105" t="str">
        <f>+Estado!A194</f>
        <v>E-204</v>
      </c>
      <c r="C101" s="106" t="str">
        <f>IFERROR(VLOOKUP(B101,Estado!$A$9:$B$586,2,FALSE),0)</f>
        <v>HERRAM REPUE Y ACCES</v>
      </c>
      <c r="D101" s="9">
        <f>SUMIF(Estado!$A$9:$A$449,$B101,Estado!$C$9:$C$449)</f>
        <v>150042990</v>
      </c>
      <c r="E101" s="9">
        <f>SUMIF(Estado!$A$9:$A$449,$B101,Estado!$G$9:$G$449)</f>
        <v>19732129.379999999</v>
      </c>
      <c r="F101" s="9">
        <f>SUMIF(Estado!$A$9:$A$449,$B101,Estado!$E$9:$E$449)</f>
        <v>0</v>
      </c>
      <c r="G101" s="9">
        <f>SUMIF(Estado!$A$9:$A$449,$B101,Estado!$G$9:$G$449)</f>
        <v>19732129.379999999</v>
      </c>
      <c r="H101" s="9">
        <f>SUMIF(Estado!$A$9:$A$449,$B101,Estado!$I$9:$I$449)</f>
        <v>0</v>
      </c>
      <c r="I101" s="9">
        <f>SUMIF(Estado!$A$9:$A$449,$B101,Estado!$K$9:$K$449)</f>
        <v>116739677.42999999</v>
      </c>
      <c r="J101" s="9">
        <f t="shared" si="6"/>
        <v>136471806.81</v>
      </c>
      <c r="K101" s="9">
        <f>SUMIF(Estado!$A$9:$A$449,$B101,Estado!$O$9:$O$449)</f>
        <v>13571183.190000001</v>
      </c>
      <c r="L101" s="107">
        <f t="shared" si="1"/>
        <v>0.90955136797793756</v>
      </c>
      <c r="M101" s="107">
        <f t="shared" si="2"/>
        <v>9.0448632022062492E-2</v>
      </c>
    </row>
    <row r="102" spans="2:13" s="23" customFormat="1" ht="16.5" x14ac:dyDescent="0.25">
      <c r="B102" s="105" t="str">
        <f>+Estado!A195</f>
        <v>E-20401</v>
      </c>
      <c r="C102" s="106" t="str">
        <f>IFERROR(VLOOKUP(B102,Estado!$A$9:$B$586,2,FALSE),0)</f>
        <v>HERRAM.E INSTRUMENTO</v>
      </c>
      <c r="D102" s="9">
        <f>SUMIF(Estado!$A$9:$A$449,$B102,Estado!$C$9:$C$449)</f>
        <v>23465695</v>
      </c>
      <c r="E102" s="9">
        <f>SUMIF(Estado!$A$9:$A$449,$B102,Estado!$G$9:$G$449)</f>
        <v>0</v>
      </c>
      <c r="F102" s="9">
        <f>SUMIF(Estado!$A$9:$A$449,$B102,Estado!$E$9:$E$449)</f>
        <v>0</v>
      </c>
      <c r="G102" s="9">
        <f>SUMIF(Estado!$A$9:$A$449,$B102,Estado!$G$9:$G$449)</f>
        <v>0</v>
      </c>
      <c r="H102" s="9">
        <f>SUMIF(Estado!$A$9:$A$449,$B102,Estado!$I$9:$I$449)</f>
        <v>0</v>
      </c>
      <c r="I102" s="9">
        <f>SUMIF(Estado!$A$9:$A$449,$B102,Estado!$K$9:$K$449)</f>
        <v>16739852.390000001</v>
      </c>
      <c r="J102" s="9">
        <f t="shared" si="6"/>
        <v>16739852.390000001</v>
      </c>
      <c r="K102" s="9">
        <f>SUMIF(Estado!$A$9:$A$449,$B102,Estado!$O$9:$O$449)</f>
        <v>6725842.6099999994</v>
      </c>
      <c r="L102" s="107">
        <f t="shared" si="1"/>
        <v>0.71337552073356447</v>
      </c>
      <c r="M102" s="107">
        <f t="shared" si="2"/>
        <v>0.28662447926643553</v>
      </c>
    </row>
    <row r="103" spans="2:13" s="23" customFormat="1" ht="16.5" x14ac:dyDescent="0.25">
      <c r="B103" s="105" t="str">
        <f>+Estado!A196</f>
        <v>E-20402</v>
      </c>
      <c r="C103" s="106" t="str">
        <f>IFERROR(VLOOKUP(B103,Estado!$A$9:$B$586,2,FALSE),0)</f>
        <v>REP.Y ACCESORIOS</v>
      </c>
      <c r="D103" s="9">
        <f>SUMIF(Estado!$A$9:$A$449,$B103,Estado!$C$9:$C$449)</f>
        <v>126577295</v>
      </c>
      <c r="E103" s="9">
        <f>SUMIF(Estado!$A$9:$A$449,$B103,Estado!$G$9:$G$449)</f>
        <v>19732129.379999999</v>
      </c>
      <c r="F103" s="9">
        <f>SUMIF(Estado!$A$9:$A$449,$B103,Estado!$E$9:$E$449)</f>
        <v>0</v>
      </c>
      <c r="G103" s="9">
        <f>SUMIF(Estado!$A$9:$A$449,$B103,Estado!$G$9:$G$449)</f>
        <v>19732129.379999999</v>
      </c>
      <c r="H103" s="9">
        <f>SUMIF(Estado!$A$9:$A$449,$B103,Estado!$I$9:$I$449)</f>
        <v>0</v>
      </c>
      <c r="I103" s="9">
        <f>SUMIF(Estado!$A$9:$A$449,$B103,Estado!$K$9:$K$449)</f>
        <v>99999825.039999992</v>
      </c>
      <c r="J103" s="9">
        <f t="shared" si="6"/>
        <v>119731954.41999999</v>
      </c>
      <c r="K103" s="9">
        <f>SUMIF(Estado!$A$9:$A$449,$B103,Estado!$O$9:$O$449)</f>
        <v>6845340.5800000001</v>
      </c>
      <c r="L103" s="107">
        <f t="shared" si="1"/>
        <v>0.94591968030285356</v>
      </c>
      <c r="M103" s="107">
        <f t="shared" si="2"/>
        <v>5.4080319697146315E-2</v>
      </c>
    </row>
    <row r="104" spans="2:13" s="23" customFormat="1" ht="25.5" x14ac:dyDescent="0.25">
      <c r="B104" s="105" t="s">
        <v>354</v>
      </c>
      <c r="C104" s="106" t="s">
        <v>355</v>
      </c>
      <c r="D104" s="9">
        <f>SUMIF(Estado!$A$9:$A$449,$B104,Estado!$C$9:$C$449)</f>
        <v>6277196</v>
      </c>
      <c r="E104" s="9">
        <f>SUMIF(Estado!$A$9:$A$449,$B104,Estado!$G$9:$G$449)</f>
        <v>0</v>
      </c>
      <c r="F104" s="9">
        <f>SUMIF(Estado!$A$9:$A$449,$B104,Estado!$E$9:$E$449)</f>
        <v>0</v>
      </c>
      <c r="G104" s="9">
        <f>SUMIF(Estado!$A$9:$A$449,$B104,Estado!$G$9:$G$449)</f>
        <v>0</v>
      </c>
      <c r="H104" s="9">
        <f>SUMIF(Estado!$A$9:$A$449,$B104,Estado!$I$9:$I$449)</f>
        <v>0</v>
      </c>
      <c r="I104" s="9">
        <f>SUMIF(Estado!$A$9:$A$449,$B104,Estado!$K$9:$K$449)</f>
        <v>6277195.2000000002</v>
      </c>
      <c r="J104" s="9">
        <f t="shared" si="6"/>
        <v>6277195.2000000002</v>
      </c>
      <c r="K104" s="9">
        <f>SUMIF(Estado!$A$9:$A$449,$B104,Estado!$O$9:$O$449)</f>
        <v>0.8</v>
      </c>
      <c r="L104" s="107">
        <f t="shared" si="1"/>
        <v>0.99999987255456102</v>
      </c>
      <c r="M104" s="107">
        <f t="shared" si="2"/>
        <v>1.2744543901448992E-7</v>
      </c>
    </row>
    <row r="105" spans="2:13" s="23" customFormat="1" ht="25.5" x14ac:dyDescent="0.25">
      <c r="B105" s="105" t="s">
        <v>356</v>
      </c>
      <c r="C105" s="106" t="s">
        <v>357</v>
      </c>
      <c r="D105" s="9">
        <f>SUMIF(Estado!$A$9:$A$449,$B105,Estado!$C$9:$C$449)</f>
        <v>6277196</v>
      </c>
      <c r="E105" s="9">
        <f>SUMIF(Estado!$A$9:$A$449,$B105,Estado!$G$9:$G$449)</f>
        <v>0</v>
      </c>
      <c r="F105" s="9">
        <f>SUMIF(Estado!$A$9:$A$449,$B105,Estado!$E$9:$E$449)</f>
        <v>0</v>
      </c>
      <c r="G105" s="9">
        <f>SUMIF(Estado!$A$9:$A$449,$B105,Estado!$G$9:$G$449)</f>
        <v>0</v>
      </c>
      <c r="H105" s="9">
        <f>SUMIF(Estado!$A$9:$A$449,$B105,Estado!$I$9:$I$449)</f>
        <v>0</v>
      </c>
      <c r="I105" s="9">
        <f>SUMIF(Estado!$A$9:$A$449,$B105,Estado!$K$9:$K$449)</f>
        <v>6277195.2000000002</v>
      </c>
      <c r="J105" s="9">
        <f t="shared" si="6"/>
        <v>6277195.2000000002</v>
      </c>
      <c r="K105" s="9">
        <f>SUMIF(Estado!$A$9:$A$449,$B105,Estado!$O$9:$O$449)</f>
        <v>0.8</v>
      </c>
      <c r="L105" s="107">
        <f t="shared" si="1"/>
        <v>0.99999987255456102</v>
      </c>
      <c r="M105" s="107">
        <f t="shared" si="2"/>
        <v>1.2744543901448992E-7</v>
      </c>
    </row>
    <row r="106" spans="2:13" s="23" customFormat="1" ht="16.5" x14ac:dyDescent="0.25">
      <c r="B106" s="105" t="str">
        <f>+Estado!A199</f>
        <v>E-299</v>
      </c>
      <c r="C106" s="106" t="str">
        <f>IFERROR(VLOOKUP(B106,Estado!$A$9:$B$586,2,FALSE),0)</f>
        <v>ÚTILES MAT Y SUM DIV</v>
      </c>
      <c r="D106" s="9">
        <f>SUMIF(Estado!$A$9:$A$449,$B106,Estado!$C$9:$C$449)</f>
        <v>2972440708</v>
      </c>
      <c r="E106" s="9">
        <f>SUMIF(Estado!$A$9:$A$449,$B106,Estado!$G$9:$G$449)</f>
        <v>87412846.689999998</v>
      </c>
      <c r="F106" s="9">
        <f>SUMIF(Estado!$A$9:$A$449,$B106,Estado!$E$9:$E$449)</f>
        <v>0</v>
      </c>
      <c r="G106" s="9">
        <f>SUMIF(Estado!$A$9:$A$449,$B106,Estado!$G$9:$G$449)</f>
        <v>87412846.689999998</v>
      </c>
      <c r="H106" s="9">
        <f>SUMIF(Estado!$A$9:$A$449,$B106,Estado!$I$9:$I$449)</f>
        <v>0</v>
      </c>
      <c r="I106" s="9">
        <f>SUMIF(Estado!$A$9:$A$449,$B106,Estado!$K$9:$K$449)</f>
        <v>2748021962.8000002</v>
      </c>
      <c r="J106" s="9">
        <f t="shared" si="6"/>
        <v>2835434809.4900002</v>
      </c>
      <c r="K106" s="9">
        <f>SUMIF(Estado!$A$9:$A$449,$B106,Estado!$O$9:$O$449)</f>
        <v>137005898.50999999</v>
      </c>
      <c r="L106" s="107">
        <f t="shared" si="1"/>
        <v>0.9539079457022428</v>
      </c>
      <c r="M106" s="107">
        <f t="shared" si="2"/>
        <v>4.6092054297757243E-2</v>
      </c>
    </row>
    <row r="107" spans="2:13" s="23" customFormat="1" ht="16.5" x14ac:dyDescent="0.25">
      <c r="B107" s="105" t="str">
        <f>+Estado!A200</f>
        <v>E-29901</v>
      </c>
      <c r="C107" s="106" t="str">
        <f>IFERROR(VLOOKUP(B107,Estado!$A$9:$B$586,2,FALSE),0)</f>
        <v>ÚT.Y MAT.OF.Y COMP.</v>
      </c>
      <c r="D107" s="9">
        <f>SUMIF(Estado!$A$9:$A$449,$B107,Estado!$C$9:$C$449)</f>
        <v>26309805</v>
      </c>
      <c r="E107" s="9">
        <f>SUMIF(Estado!$A$9:$A$449,$B107,Estado!$G$9:$G$449)</f>
        <v>1595168.26</v>
      </c>
      <c r="F107" s="9">
        <f>SUMIF(Estado!$A$9:$A$449,$B107,Estado!$E$9:$E$449)</f>
        <v>0</v>
      </c>
      <c r="G107" s="9">
        <f>SUMIF(Estado!$A$9:$A$449,$B107,Estado!$G$9:$G$449)</f>
        <v>1595168.26</v>
      </c>
      <c r="H107" s="9">
        <f>SUMIF(Estado!$A$9:$A$449,$B107,Estado!$I$9:$I$449)</f>
        <v>0</v>
      </c>
      <c r="I107" s="9">
        <f>SUMIF(Estado!$A$9:$A$449,$B107,Estado!$K$9:$K$449)</f>
        <v>23425090.860000003</v>
      </c>
      <c r="J107" s="9">
        <f t="shared" si="6"/>
        <v>25020259.120000005</v>
      </c>
      <c r="K107" s="9">
        <f>SUMIF(Estado!$A$9:$A$449,$B107,Estado!$O$9:$O$449)</f>
        <v>1289545.8800000001</v>
      </c>
      <c r="L107" s="107">
        <f t="shared" si="1"/>
        <v>0.95098611031134606</v>
      </c>
      <c r="M107" s="107">
        <f t="shared" si="2"/>
        <v>4.9013889688654104E-2</v>
      </c>
    </row>
    <row r="108" spans="2:13" s="23" customFormat="1" ht="16.5" x14ac:dyDescent="0.25">
      <c r="B108" s="105" t="str">
        <f>+Estado!A201</f>
        <v>E-29902</v>
      </c>
      <c r="C108" s="106" t="str">
        <f>IFERROR(VLOOKUP(B108,Estado!$A$9:$B$586,2,FALSE),0)</f>
        <v>UT.Y MAT.MÉD,H.Y INV</v>
      </c>
      <c r="D108" s="9">
        <f>SUMIF(Estado!$A$9:$A$449,$B108,Estado!$C$9:$C$449)</f>
        <v>34292411</v>
      </c>
      <c r="E108" s="9">
        <f>SUMIF(Estado!$A$9:$A$449,$B108,Estado!$G$9:$G$449)</f>
        <v>846249.95</v>
      </c>
      <c r="F108" s="9">
        <f>SUMIF(Estado!$A$9:$A$449,$B108,Estado!$E$9:$E$449)</f>
        <v>0</v>
      </c>
      <c r="G108" s="9">
        <f>SUMIF(Estado!$A$9:$A$449,$B108,Estado!$G$9:$G$449)</f>
        <v>846249.95</v>
      </c>
      <c r="H108" s="9">
        <f>SUMIF(Estado!$A$9:$A$449,$B108,Estado!$I$9:$I$449)</f>
        <v>0</v>
      </c>
      <c r="I108" s="9">
        <f>SUMIF(Estado!$A$9:$A$449,$B108,Estado!$K$9:$K$449)</f>
        <v>22530019.469999999</v>
      </c>
      <c r="J108" s="9">
        <f t="shared" si="6"/>
        <v>23376269.419999998</v>
      </c>
      <c r="K108" s="9">
        <f>SUMIF(Estado!$A$9:$A$449,$B108,Estado!$O$9:$O$449)</f>
        <v>10916141.58</v>
      </c>
      <c r="L108" s="107">
        <f t="shared" si="1"/>
        <v>0.68167471281036485</v>
      </c>
      <c r="M108" s="107">
        <f t="shared" si="2"/>
        <v>0.31832528718963504</v>
      </c>
    </row>
    <row r="109" spans="2:13" s="23" customFormat="1" ht="16.5" x14ac:dyDescent="0.25">
      <c r="B109" s="105" t="str">
        <f>+Estado!A202</f>
        <v>E-29903</v>
      </c>
      <c r="C109" s="106" t="str">
        <f>IFERROR(VLOOKUP(B109,Estado!$A$9:$B$586,2,FALSE),0)</f>
        <v>PROD.PAPEL,CART.EIMP</v>
      </c>
      <c r="D109" s="9">
        <f>SUMIF(Estado!$A$9:$A$449,$B109,Estado!$C$9:$C$449)</f>
        <v>101825391</v>
      </c>
      <c r="E109" s="9">
        <f>SUMIF(Estado!$A$9:$A$449,$B109,Estado!$G$9:$G$449)</f>
        <v>76086.7</v>
      </c>
      <c r="F109" s="9">
        <f>SUMIF(Estado!$A$9:$A$449,$B109,Estado!$E$9:$E$449)</f>
        <v>0</v>
      </c>
      <c r="G109" s="9">
        <f>SUMIF(Estado!$A$9:$A$449,$B109,Estado!$G$9:$G$449)</f>
        <v>76086.7</v>
      </c>
      <c r="H109" s="9">
        <f>SUMIF(Estado!$A$9:$A$449,$B109,Estado!$I$9:$I$449)</f>
        <v>0</v>
      </c>
      <c r="I109" s="9">
        <f>SUMIF(Estado!$A$9:$A$449,$B109,Estado!$K$9:$K$449)</f>
        <v>76247080.239999995</v>
      </c>
      <c r="J109" s="9">
        <f t="shared" si="6"/>
        <v>76323166.939999998</v>
      </c>
      <c r="K109" s="9">
        <f>SUMIF(Estado!$A$9:$A$449,$B109,Estado!$O$9:$O$449)</f>
        <v>25502224.059999995</v>
      </c>
      <c r="L109" s="107">
        <f t="shared" si="1"/>
        <v>0.74954946099838693</v>
      </c>
      <c r="M109" s="107">
        <f t="shared" si="2"/>
        <v>0.25045053900161302</v>
      </c>
    </row>
    <row r="110" spans="2:13" s="23" customFormat="1" ht="16.5" x14ac:dyDescent="0.25">
      <c r="B110" s="105" t="str">
        <f>+Estado!A203</f>
        <v>E-29904</v>
      </c>
      <c r="C110" s="106" t="str">
        <f>IFERROR(VLOOKUP(B110,Estado!$A$9:$B$586,2,FALSE),0)</f>
        <v>TEXTILES Y VESTUARIO</v>
      </c>
      <c r="D110" s="9">
        <f>SUMIF(Estado!$A$9:$A$449,$B110,Estado!$C$9:$C$449)</f>
        <v>1246468498</v>
      </c>
      <c r="E110" s="9">
        <f>SUMIF(Estado!$A$9:$A$449,$B110,Estado!$G$9:$G$449)</f>
        <v>77025776.389999986</v>
      </c>
      <c r="F110" s="9">
        <f>SUMIF(Estado!$A$9:$A$449,$B110,Estado!$E$9:$E$449)</f>
        <v>0</v>
      </c>
      <c r="G110" s="9">
        <f>SUMIF(Estado!$A$9:$A$449,$B110,Estado!$G$9:$G$449)</f>
        <v>77025776.389999986</v>
      </c>
      <c r="H110" s="9">
        <f>SUMIF(Estado!$A$9:$A$449,$B110,Estado!$I$9:$I$449)</f>
        <v>0</v>
      </c>
      <c r="I110" s="9">
        <f>SUMIF(Estado!$A$9:$A$449,$B110,Estado!$K$9:$K$449)</f>
        <v>1112971683.1799998</v>
      </c>
      <c r="J110" s="9">
        <f t="shared" si="6"/>
        <v>1189997459.5699997</v>
      </c>
      <c r="K110" s="9">
        <f>SUMIF(Estado!$A$9:$A$449,$B110,Estado!$O$9:$O$449)</f>
        <v>56471038.429999992</v>
      </c>
      <c r="L110" s="107">
        <f t="shared" si="1"/>
        <v>0.95469517398906589</v>
      </c>
      <c r="M110" s="107">
        <f t="shared" si="2"/>
        <v>4.5304826010933809E-2</v>
      </c>
    </row>
    <row r="111" spans="2:13" s="23" customFormat="1" ht="16.5" x14ac:dyDescent="0.25">
      <c r="B111" s="105" t="str">
        <f>+Estado!A204</f>
        <v>E-29905</v>
      </c>
      <c r="C111" s="106" t="str">
        <f>IFERROR(VLOOKUP(B111,Estado!$A$9:$B$586,2,FALSE),0)</f>
        <v>ÚTILES Y MATER.LIMP</v>
      </c>
      <c r="D111" s="9">
        <f>SUMIF(Estado!$A$9:$A$449,$B111,Estado!$C$9:$C$449)</f>
        <v>380052645</v>
      </c>
      <c r="E111" s="9">
        <f>SUMIF(Estado!$A$9:$A$449,$B111,Estado!$G$9:$G$449)</f>
        <v>1354719.16</v>
      </c>
      <c r="F111" s="9">
        <f>SUMIF(Estado!$A$9:$A$449,$B111,Estado!$E$9:$E$449)</f>
        <v>0</v>
      </c>
      <c r="G111" s="9">
        <f>SUMIF(Estado!$A$9:$A$449,$B111,Estado!$G$9:$G$449)</f>
        <v>1354719.16</v>
      </c>
      <c r="H111" s="9">
        <f>SUMIF(Estado!$A$9:$A$449,$B111,Estado!$I$9:$I$449)</f>
        <v>0</v>
      </c>
      <c r="I111" s="9">
        <f>SUMIF(Estado!$A$9:$A$449,$B111,Estado!$K$9:$K$449)</f>
        <v>376886989.07999998</v>
      </c>
      <c r="J111" s="9">
        <f t="shared" si="6"/>
        <v>378241708.24000001</v>
      </c>
      <c r="K111" s="9">
        <f>SUMIF(Estado!$A$9:$A$449,$B111,Estado!$O$9:$O$449)</f>
        <v>1810936.76</v>
      </c>
      <c r="L111" s="107">
        <f t="shared" si="1"/>
        <v>0.99523503708282313</v>
      </c>
      <c r="M111" s="107">
        <f t="shared" si="2"/>
        <v>4.7649629171769084E-3</v>
      </c>
    </row>
    <row r="112" spans="2:13" s="23" customFormat="1" ht="16.5" x14ac:dyDescent="0.25">
      <c r="B112" s="105" t="str">
        <f>+Estado!A205</f>
        <v>E-29906</v>
      </c>
      <c r="C112" s="106" t="str">
        <f>IFERROR(VLOOKUP(B112,Estado!$A$9:$B$586,2,FALSE),0)</f>
        <v>ÚTILES YMAT.RESG.SEG</v>
      </c>
      <c r="D112" s="9">
        <f>SUMIF(Estado!$A$9:$A$449,$B112,Estado!$C$9:$C$449)</f>
        <v>890861693</v>
      </c>
      <c r="E112" s="9">
        <f>SUMIF(Estado!$A$9:$A$449,$B112,Estado!$G$9:$G$449)</f>
        <v>0</v>
      </c>
      <c r="F112" s="9">
        <f>SUMIF(Estado!$A$9:$A$449,$B112,Estado!$E$9:$E$449)</f>
        <v>0</v>
      </c>
      <c r="G112" s="9">
        <f>SUMIF(Estado!$A$9:$A$449,$B112,Estado!$G$9:$G$449)</f>
        <v>0</v>
      </c>
      <c r="H112" s="9">
        <f>SUMIF(Estado!$A$9:$A$449,$B112,Estado!$I$9:$I$449)</f>
        <v>0</v>
      </c>
      <c r="I112" s="9">
        <f>SUMIF(Estado!$A$9:$A$449,$B112,Estado!$K$9:$K$449)</f>
        <v>857195208.00999987</v>
      </c>
      <c r="J112" s="9">
        <f t="shared" si="6"/>
        <v>857195208.00999987</v>
      </c>
      <c r="K112" s="9">
        <f>SUMIF(Estado!$A$9:$A$449,$B112,Estado!$O$9:$O$449)</f>
        <v>33666484.990000002</v>
      </c>
      <c r="L112" s="107">
        <f t="shared" si="1"/>
        <v>0.96220907773391018</v>
      </c>
      <c r="M112" s="107">
        <f t="shared" si="2"/>
        <v>3.7790922266089627E-2</v>
      </c>
    </row>
    <row r="113" spans="2:13" s="23" customFormat="1" ht="16.5" x14ac:dyDescent="0.25">
      <c r="B113" s="105" t="str">
        <f>+Estado!A206</f>
        <v>E-29907</v>
      </c>
      <c r="C113" s="106" t="str">
        <f>IFERROR(VLOOKUP(B113,Estado!$A$9:$B$586,2,FALSE),0)</f>
        <v>ÚTILES YMAT.COC.YCOM</v>
      </c>
      <c r="D113" s="9">
        <f>SUMIF(Estado!$A$9:$A$449,$B113,Estado!$C$9:$C$449)</f>
        <v>108118713</v>
      </c>
      <c r="E113" s="9">
        <f>SUMIF(Estado!$A$9:$A$449,$B113,Estado!$G$9:$G$449)</f>
        <v>6514846.2300000004</v>
      </c>
      <c r="F113" s="9">
        <f>SUMIF(Estado!$A$9:$A$449,$B113,Estado!$E$9:$E$449)</f>
        <v>0</v>
      </c>
      <c r="G113" s="9">
        <f>SUMIF(Estado!$A$9:$A$449,$B113,Estado!$G$9:$G$449)</f>
        <v>6514846.2300000004</v>
      </c>
      <c r="H113" s="9">
        <f>SUMIF(Estado!$A$9:$A$449,$B113,Estado!$I$9:$I$449)</f>
        <v>0</v>
      </c>
      <c r="I113" s="9">
        <f>SUMIF(Estado!$A$9:$A$449,$B113,Estado!$K$9:$K$449)</f>
        <v>100785741.17999999</v>
      </c>
      <c r="J113" s="9">
        <f t="shared" si="6"/>
        <v>107300587.41</v>
      </c>
      <c r="K113" s="9">
        <f>SUMIF(Estado!$A$9:$A$449,$B113,Estado!$O$9:$O$449)</f>
        <v>818125.59</v>
      </c>
      <c r="L113" s="107">
        <f t="shared" si="1"/>
        <v>0.99243308057135304</v>
      </c>
      <c r="M113" s="107">
        <f t="shared" si="2"/>
        <v>7.5669194286469166E-3</v>
      </c>
    </row>
    <row r="114" spans="2:13" s="23" customFormat="1" ht="16.5" x14ac:dyDescent="0.25">
      <c r="B114" s="105" t="str">
        <f>+Estado!A207</f>
        <v>E-29999</v>
      </c>
      <c r="C114" s="106" t="str">
        <f>IFERROR(VLOOKUP(B114,Estado!$A$9:$B$586,2,FALSE),0)</f>
        <v>OTR.UT,MAT Y SUM.DIV</v>
      </c>
      <c r="D114" s="9">
        <f>SUMIF(Estado!$A$9:$A$449,$B114,Estado!$C$9:$C$449)</f>
        <v>184511552</v>
      </c>
      <c r="E114" s="9">
        <f>SUMIF(Estado!$A$9:$A$449,$B114,Estado!$G$9:$G$449)</f>
        <v>0</v>
      </c>
      <c r="F114" s="9">
        <f>SUMIF(Estado!$A$9:$A$449,$B114,Estado!$E$9:$E$449)</f>
        <v>0</v>
      </c>
      <c r="G114" s="9">
        <f>SUMIF(Estado!$A$9:$A$449,$B114,Estado!$G$9:$G$449)</f>
        <v>0</v>
      </c>
      <c r="H114" s="9">
        <f>SUMIF(Estado!$A$9:$A$449,$B114,Estado!$I$9:$I$449)</f>
        <v>0</v>
      </c>
      <c r="I114" s="9">
        <f>SUMIF(Estado!$A$9:$A$449,$B114,Estado!$K$9:$K$449)</f>
        <v>177980150.78</v>
      </c>
      <c r="J114" s="9">
        <f t="shared" si="6"/>
        <v>177980150.78</v>
      </c>
      <c r="K114" s="9">
        <f>SUMIF(Estado!$A$9:$A$449,$B114,Estado!$O$9:$O$449)</f>
        <v>6531401.2199999997</v>
      </c>
      <c r="L114" s="107">
        <f t="shared" si="1"/>
        <v>0.96460166775899214</v>
      </c>
      <c r="M114" s="107">
        <f t="shared" si="2"/>
        <v>3.5398332241007871E-2</v>
      </c>
    </row>
    <row r="115" spans="2:13" s="74" customFormat="1" ht="17.25" x14ac:dyDescent="0.25">
      <c r="B115" s="101" t="str">
        <f>+Estado!A208</f>
        <v>E-5</v>
      </c>
      <c r="C115" s="102" t="str">
        <f>IFERROR(VLOOKUP(B115,Estado!$A$9:$B$586,2,FALSE),0)</f>
        <v>BIENES DURADEROS</v>
      </c>
      <c r="D115" s="103">
        <f t="shared" ref="D115:K115" si="7">+D116+D125+D128</f>
        <v>2276506415</v>
      </c>
      <c r="E115" s="103">
        <f t="shared" si="7"/>
        <v>114707718.09999999</v>
      </c>
      <c r="F115" s="103">
        <f t="shared" si="7"/>
        <v>0</v>
      </c>
      <c r="G115" s="103">
        <f t="shared" si="7"/>
        <v>114707718.09999999</v>
      </c>
      <c r="H115" s="103">
        <f t="shared" si="7"/>
        <v>0</v>
      </c>
      <c r="I115" s="103">
        <f t="shared" si="7"/>
        <v>1511782895.3499999</v>
      </c>
      <c r="J115" s="103">
        <f t="shared" si="7"/>
        <v>1626490613.45</v>
      </c>
      <c r="K115" s="103">
        <f t="shared" si="7"/>
        <v>650015801.55000019</v>
      </c>
      <c r="L115" s="104">
        <f t="shared" si="1"/>
        <v>0.71446783665224145</v>
      </c>
      <c r="M115" s="104">
        <f t="shared" si="2"/>
        <v>0.28553216334775855</v>
      </c>
    </row>
    <row r="116" spans="2:13" s="23" customFormat="1" ht="16.5" x14ac:dyDescent="0.25">
      <c r="B116" s="105" t="str">
        <f>+Estado!A209</f>
        <v>E-501</v>
      </c>
      <c r="C116" s="106" t="str">
        <f>IFERROR(VLOOKUP(B116,Estado!$A$9:$B$586,2,FALSE),0)</f>
        <v>MAQ, EQUIPO Y MOB</v>
      </c>
      <c r="D116" s="9">
        <f>SUMIF(Estado!$A$9:$A$449,$B116,Estado!$C$9:$C$449)</f>
        <v>1592177015</v>
      </c>
      <c r="E116" s="9">
        <f>SUMIF(Estado!$A$9:$A$449,$B116,Estado!$G$9:$G$449)</f>
        <v>36985993.640000001</v>
      </c>
      <c r="F116" s="9">
        <f>SUMIF(Estado!$A$9:$A$449,$B116,Estado!$E$9:$E$449)</f>
        <v>0</v>
      </c>
      <c r="G116" s="9">
        <f>SUMIF(Estado!$A$9:$A$449,$B116,Estado!$G$9:$G$449)</f>
        <v>36985993.640000001</v>
      </c>
      <c r="H116" s="9">
        <f>SUMIF(Estado!$A$9:$A$449,$B116,Estado!$I$9:$I$449)</f>
        <v>0</v>
      </c>
      <c r="I116" s="9">
        <f>SUMIF(Estado!$A$9:$A$449,$B116,Estado!$K$9:$K$449)</f>
        <v>1216068070.02</v>
      </c>
      <c r="J116" s="9">
        <f t="shared" ref="J116:J130" si="8">SUM(G116:I116)</f>
        <v>1253054063.6600001</v>
      </c>
      <c r="K116" s="9">
        <f>SUMIF(Estado!$A$9:$A$449,$B116,Estado!$O$9:$O$449)</f>
        <v>339122951.34000009</v>
      </c>
      <c r="L116" s="107">
        <f t="shared" si="1"/>
        <v>0.78700675355497463</v>
      </c>
      <c r="M116" s="107">
        <f t="shared" si="2"/>
        <v>0.21299324644502551</v>
      </c>
    </row>
    <row r="117" spans="2:13" s="23" customFormat="1" ht="16.5" x14ac:dyDescent="0.25">
      <c r="B117" s="105" t="str">
        <f>+Estado!A210</f>
        <v>E-50101</v>
      </c>
      <c r="C117" s="106" t="str">
        <f>IFERROR(VLOOKUP(B117,Estado!$A$9:$B$586,2,FALSE),0)</f>
        <v>MAQ.Y EQ. PRODUCCIÓN</v>
      </c>
      <c r="D117" s="9">
        <f>SUMIF(Estado!$A$9:$A$449,$B117,Estado!$C$9:$C$449)</f>
        <v>54705000</v>
      </c>
      <c r="E117" s="9">
        <f>SUMIF(Estado!$A$9:$A$449,$B117,Estado!$G$9:$G$449)</f>
        <v>0</v>
      </c>
      <c r="F117" s="9">
        <f>SUMIF(Estado!$A$9:$A$449,$B117,Estado!$E$9:$E$449)</f>
        <v>0</v>
      </c>
      <c r="G117" s="9">
        <f>SUMIF(Estado!$A$9:$A$449,$B117,Estado!$G$9:$G$449)</f>
        <v>0</v>
      </c>
      <c r="H117" s="9">
        <f>SUMIF(Estado!$A$9:$A$449,$B117,Estado!$I$9:$I$449)</f>
        <v>0</v>
      </c>
      <c r="I117" s="9">
        <f>SUMIF(Estado!$A$9:$A$449,$B117,Estado!$K$9:$K$449)</f>
        <v>42965380.960000008</v>
      </c>
      <c r="J117" s="9">
        <f t="shared" si="8"/>
        <v>42965380.960000008</v>
      </c>
      <c r="K117" s="9">
        <f>SUMIF(Estado!$A$9:$A$449,$B117,Estado!$O$9:$O$449)</f>
        <v>11739619.040000001</v>
      </c>
      <c r="L117" s="107">
        <f t="shared" si="1"/>
        <v>0.78540135197879546</v>
      </c>
      <c r="M117" s="107">
        <f t="shared" si="2"/>
        <v>0.21459864802120465</v>
      </c>
    </row>
    <row r="118" spans="2:13" s="23" customFormat="1" ht="16.5" x14ac:dyDescent="0.25">
      <c r="B118" s="105" t="str">
        <f>+Estado!A211</f>
        <v>E-50102</v>
      </c>
      <c r="C118" s="106" t="str">
        <f>IFERROR(VLOOKUP(B118,Estado!$A$9:$B$586,2,FALSE),0)</f>
        <v>EQUIPO DE TRANSPORTE</v>
      </c>
      <c r="D118" s="9">
        <f>SUMIF(Estado!$A$9:$A$449,$B118,Estado!$C$9:$C$449)</f>
        <v>815400</v>
      </c>
      <c r="E118" s="9">
        <f>SUMIF(Estado!$A$9:$A$449,$B118,Estado!$G$9:$G$449)</f>
        <v>0</v>
      </c>
      <c r="F118" s="9">
        <f>SUMIF(Estado!$A$9:$A$449,$B118,Estado!$E$9:$E$449)</f>
        <v>0</v>
      </c>
      <c r="G118" s="9">
        <f>SUMIF(Estado!$A$9:$A$449,$B118,Estado!$G$9:$G$449)</f>
        <v>0</v>
      </c>
      <c r="H118" s="9">
        <f>SUMIF(Estado!$A$9:$A$449,$B118,Estado!$I$9:$I$449)</f>
        <v>0</v>
      </c>
      <c r="I118" s="9">
        <f>SUMIF(Estado!$A$9:$A$449,$B118,Estado!$K$9:$K$449)</f>
        <v>0</v>
      </c>
      <c r="J118" s="9">
        <f t="shared" si="8"/>
        <v>0</v>
      </c>
      <c r="K118" s="9">
        <f>SUMIF(Estado!$A$9:$A$449,$B118,Estado!$O$9:$O$449)</f>
        <v>815400</v>
      </c>
      <c r="L118" s="107">
        <f t="shared" si="1"/>
        <v>0</v>
      </c>
      <c r="M118" s="107">
        <f t="shared" si="2"/>
        <v>1</v>
      </c>
    </row>
    <row r="119" spans="2:13" s="23" customFormat="1" ht="16.5" x14ac:dyDescent="0.25">
      <c r="B119" s="105" t="str">
        <f>+Estado!A212</f>
        <v>E-50103</v>
      </c>
      <c r="C119" s="106" t="str">
        <f>IFERROR(VLOOKUP(B119,Estado!$A$9:$B$586,2,FALSE),0)</f>
        <v>EQ. DE COMUNICACIÓN</v>
      </c>
      <c r="D119" s="9">
        <f>SUMIF(Estado!$A$9:$A$449,$B119,Estado!$C$9:$C$449)</f>
        <v>288013606</v>
      </c>
      <c r="E119" s="9">
        <f>SUMIF(Estado!$A$9:$A$449,$B119,Estado!$G$9:$G$449)</f>
        <v>0</v>
      </c>
      <c r="F119" s="9">
        <f>SUMIF(Estado!$A$9:$A$449,$B119,Estado!$E$9:$E$449)</f>
        <v>0</v>
      </c>
      <c r="G119" s="9">
        <f>SUMIF(Estado!$A$9:$A$449,$B119,Estado!$G$9:$G$449)</f>
        <v>0</v>
      </c>
      <c r="H119" s="9">
        <f>SUMIF(Estado!$A$9:$A$449,$B119,Estado!$I$9:$I$449)</f>
        <v>0</v>
      </c>
      <c r="I119" s="9">
        <f>SUMIF(Estado!$A$9:$A$449,$B119,Estado!$K$9:$K$449)</f>
        <v>261985859.01000002</v>
      </c>
      <c r="J119" s="9">
        <f t="shared" si="8"/>
        <v>261985859.01000002</v>
      </c>
      <c r="K119" s="9">
        <f>SUMIF(Estado!$A$9:$A$449,$B119,Estado!$O$9:$O$449)</f>
        <v>26027746.990000002</v>
      </c>
      <c r="L119" s="107">
        <f t="shared" si="1"/>
        <v>0.90963014785488994</v>
      </c>
      <c r="M119" s="107">
        <f t="shared" si="2"/>
        <v>9.0369852145110119E-2</v>
      </c>
    </row>
    <row r="120" spans="2:13" s="23" customFormat="1" ht="16.5" x14ac:dyDescent="0.25">
      <c r="B120" s="105" t="str">
        <f>+Estado!A213</f>
        <v>E-50104</v>
      </c>
      <c r="C120" s="106" t="str">
        <f>IFERROR(VLOOKUP(B120,Estado!$A$9:$B$586,2,FALSE),0)</f>
        <v>EQUIPO Y MOB. OFIC.</v>
      </c>
      <c r="D120" s="9">
        <f>SUMIF(Estado!$A$9:$A$449,$B120,Estado!$C$9:$C$449)</f>
        <v>150544519</v>
      </c>
      <c r="E120" s="9">
        <f>SUMIF(Estado!$A$9:$A$449,$B120,Estado!$G$9:$G$449)</f>
        <v>0</v>
      </c>
      <c r="F120" s="9">
        <f>SUMIF(Estado!$A$9:$A$449,$B120,Estado!$E$9:$E$449)</f>
        <v>0</v>
      </c>
      <c r="G120" s="9">
        <f>SUMIF(Estado!$A$9:$A$449,$B120,Estado!$G$9:$G$449)</f>
        <v>0</v>
      </c>
      <c r="H120" s="9">
        <f>SUMIF(Estado!$A$9:$A$449,$B120,Estado!$I$9:$I$449)</f>
        <v>0</v>
      </c>
      <c r="I120" s="9">
        <f>SUMIF(Estado!$A$9:$A$449,$B120,Estado!$K$9:$K$449)</f>
        <v>127164871.00999999</v>
      </c>
      <c r="J120" s="9">
        <f t="shared" si="8"/>
        <v>127164871.00999999</v>
      </c>
      <c r="K120" s="9">
        <f>SUMIF(Estado!$A$9:$A$449,$B120,Estado!$O$9:$O$449)</f>
        <v>23379647.990000002</v>
      </c>
      <c r="L120" s="107">
        <f t="shared" si="1"/>
        <v>0.84469944076808268</v>
      </c>
      <c r="M120" s="107">
        <f t="shared" si="2"/>
        <v>0.15530055923191732</v>
      </c>
    </row>
    <row r="121" spans="2:13" s="23" customFormat="1" ht="16.5" x14ac:dyDescent="0.25">
      <c r="B121" s="105" t="str">
        <f>+Estado!A214</f>
        <v>E-50105</v>
      </c>
      <c r="C121" s="106" t="str">
        <f>IFERROR(VLOOKUP(B121,Estado!$A$9:$B$586,2,FALSE),0)</f>
        <v>EQ.Y PROGR. CÓMPUTO</v>
      </c>
      <c r="D121" s="9">
        <f>SUMIF(Estado!$A$9:$A$449,$B121,Estado!$C$9:$C$449)</f>
        <v>135500480</v>
      </c>
      <c r="E121" s="9">
        <f>SUMIF(Estado!$A$9:$A$449,$B121,Estado!$G$9:$G$449)</f>
        <v>0</v>
      </c>
      <c r="F121" s="9">
        <f>SUMIF(Estado!$A$9:$A$449,$B121,Estado!$E$9:$E$449)</f>
        <v>0</v>
      </c>
      <c r="G121" s="9">
        <f>SUMIF(Estado!$A$9:$A$449,$B121,Estado!$G$9:$G$449)</f>
        <v>0</v>
      </c>
      <c r="H121" s="9">
        <f>SUMIF(Estado!$A$9:$A$449,$B121,Estado!$I$9:$I$449)</f>
        <v>0</v>
      </c>
      <c r="I121" s="9">
        <f>SUMIF(Estado!$A$9:$A$449,$B121,Estado!$K$9:$K$449)</f>
        <v>129193277.26000001</v>
      </c>
      <c r="J121" s="9">
        <f t="shared" si="8"/>
        <v>129193277.26000001</v>
      </c>
      <c r="K121" s="9">
        <f>SUMIF(Estado!$A$9:$A$449,$B121,Estado!$O$9:$O$449)</f>
        <v>6307202.7400000002</v>
      </c>
      <c r="L121" s="107">
        <f t="shared" si="1"/>
        <v>0.95345254319394301</v>
      </c>
      <c r="M121" s="107">
        <f t="shared" si="2"/>
        <v>4.6547456806057069E-2</v>
      </c>
    </row>
    <row r="122" spans="2:13" s="23" customFormat="1" ht="16.5" x14ac:dyDescent="0.25">
      <c r="B122" s="105" t="str">
        <f>+Estado!A215</f>
        <v>E-50106</v>
      </c>
      <c r="C122" s="106" t="str">
        <f>IFERROR(VLOOKUP(B122,Estado!$A$9:$B$586,2,FALSE),0)</f>
        <v>EQ.SANIT, LAB. E INV</v>
      </c>
      <c r="D122" s="9">
        <f>SUMIF(Estado!$A$9:$A$449,$B122,Estado!$C$9:$C$449)</f>
        <v>44040000</v>
      </c>
      <c r="E122" s="9">
        <f>SUMIF(Estado!$A$9:$A$449,$B122,Estado!$G$9:$G$449)</f>
        <v>0</v>
      </c>
      <c r="F122" s="9">
        <f>SUMIF(Estado!$A$9:$A$449,$B122,Estado!$E$9:$E$449)</f>
        <v>0</v>
      </c>
      <c r="G122" s="9">
        <f>SUMIF(Estado!$A$9:$A$449,$B122,Estado!$G$9:$G$449)</f>
        <v>0</v>
      </c>
      <c r="H122" s="9">
        <f>SUMIF(Estado!$A$9:$A$449,$B122,Estado!$I$9:$I$449)</f>
        <v>0</v>
      </c>
      <c r="I122" s="9">
        <f>SUMIF(Estado!$A$9:$A$449,$B122,Estado!$K$9:$K$449)</f>
        <v>1943790.56</v>
      </c>
      <c r="J122" s="9">
        <f t="shared" si="8"/>
        <v>1943790.56</v>
      </c>
      <c r="K122" s="9">
        <f>SUMIF(Estado!$A$9:$A$449,$B122,Estado!$O$9:$O$449)</f>
        <v>42096209.439999998</v>
      </c>
      <c r="L122" s="107">
        <f t="shared" si="1"/>
        <v>4.4136933696639423E-2</v>
      </c>
      <c r="M122" s="107">
        <f t="shared" si="2"/>
        <v>0.95586306630336049</v>
      </c>
    </row>
    <row r="123" spans="2:13" s="23" customFormat="1" ht="16.5" x14ac:dyDescent="0.25">
      <c r="B123" s="105" t="str">
        <f>+Estado!A216</f>
        <v>E-50107</v>
      </c>
      <c r="C123" s="106" t="str">
        <f>IFERROR(VLOOKUP(B123,Estado!$A$9:$B$586,2,FALSE),0)</f>
        <v>EQ.YMOB.EDUC,DEP.Y R</v>
      </c>
      <c r="D123" s="9">
        <f>SUMIF(Estado!$A$9:$A$449,$B123,Estado!$C$9:$C$449)</f>
        <v>10710660</v>
      </c>
      <c r="E123" s="9">
        <f>SUMIF(Estado!$A$9:$A$449,$B123,Estado!$G$9:$G$449)</f>
        <v>0</v>
      </c>
      <c r="F123" s="9">
        <f>SUMIF(Estado!$A$9:$A$449,$B123,Estado!$E$9:$E$449)</f>
        <v>0</v>
      </c>
      <c r="G123" s="9">
        <f>SUMIF(Estado!$A$9:$A$449,$B123,Estado!$G$9:$G$449)</f>
        <v>0</v>
      </c>
      <c r="H123" s="9">
        <f>SUMIF(Estado!$A$9:$A$449,$B123,Estado!$I$9:$I$449)</f>
        <v>0</v>
      </c>
      <c r="I123" s="9">
        <f>SUMIF(Estado!$A$9:$A$449,$B123,Estado!$K$9:$K$449)</f>
        <v>10129452.48</v>
      </c>
      <c r="J123" s="9">
        <f t="shared" si="8"/>
        <v>10129452.48</v>
      </c>
      <c r="K123" s="9">
        <f>SUMIF(Estado!$A$9:$A$449,$B123,Estado!$O$9:$O$449)</f>
        <v>581207.52</v>
      </c>
      <c r="L123" s="107">
        <f t="shared" si="1"/>
        <v>0.94573560172762472</v>
      </c>
      <c r="M123" s="107">
        <f t="shared" si="2"/>
        <v>5.4264398272375371E-2</v>
      </c>
    </row>
    <row r="124" spans="2:13" s="23" customFormat="1" ht="16.5" x14ac:dyDescent="0.25">
      <c r="B124" s="105" t="str">
        <f>+Estado!A217</f>
        <v>E-50199</v>
      </c>
      <c r="C124" s="106" t="str">
        <f>IFERROR(VLOOKUP(B124,Estado!$A$9:$B$586,2,FALSE),0)</f>
        <v>MAQ,EQ Y MOV.DIVERSO</v>
      </c>
      <c r="D124" s="9">
        <f>SUMIF(Estado!$A$9:$A$449,$B124,Estado!$C$9:$C$449)</f>
        <v>907847350</v>
      </c>
      <c r="E124" s="9">
        <f>SUMIF(Estado!$A$9:$A$449,$B124,Estado!$G$9:$G$449)</f>
        <v>36985993.640000001</v>
      </c>
      <c r="F124" s="9">
        <f>SUMIF(Estado!$A$9:$A$449,$B124,Estado!$E$9:$E$449)</f>
        <v>0</v>
      </c>
      <c r="G124" s="9">
        <f>SUMIF(Estado!$A$9:$A$449,$B124,Estado!$G$9:$G$449)</f>
        <v>36985993.640000001</v>
      </c>
      <c r="H124" s="9">
        <f>SUMIF(Estado!$A$9:$A$449,$B124,Estado!$I$9:$I$449)</f>
        <v>0</v>
      </c>
      <c r="I124" s="9">
        <f>SUMIF(Estado!$A$9:$A$449,$B124,Estado!$K$9:$K$449)</f>
        <v>642685438.73999989</v>
      </c>
      <c r="J124" s="9">
        <f t="shared" si="8"/>
        <v>679671432.37999988</v>
      </c>
      <c r="K124" s="9">
        <f>SUMIF(Estado!$A$9:$A$449,$B124,Estado!$O$9:$O$449)</f>
        <v>228175917.62</v>
      </c>
      <c r="L124" s="107">
        <f t="shared" si="1"/>
        <v>0.7486626825313748</v>
      </c>
      <c r="M124" s="107">
        <f t="shared" si="2"/>
        <v>0.25133731746862509</v>
      </c>
    </row>
    <row r="125" spans="2:13" s="23" customFormat="1" ht="16.5" x14ac:dyDescent="0.25">
      <c r="B125" s="105" t="str">
        <f>+Estado!A218</f>
        <v>E-502</v>
      </c>
      <c r="C125" s="106" t="str">
        <f>IFERROR(VLOOKUP(B125,Estado!$A$9:$B$586,2,FALSE),0)</f>
        <v>CONST, ADIC YMEJORAS</v>
      </c>
      <c r="D125" s="9">
        <f>SUMIF(Estado!$A$9:$A$449,$B125,Estado!$C$9:$C$449)</f>
        <v>124148000</v>
      </c>
      <c r="E125" s="9">
        <f>SUMIF(Estado!$A$9:$A$449,$B125,Estado!$G$9:$G$449)</f>
        <v>77695620.25</v>
      </c>
      <c r="F125" s="9">
        <f>SUMIF(Estado!$A$9:$A$449,$B125,Estado!$E$9:$E$449)</f>
        <v>0</v>
      </c>
      <c r="G125" s="9">
        <f>SUMIF(Estado!$A$9:$A$449,$B125,Estado!$G$9:$G$449)</f>
        <v>77695620.25</v>
      </c>
      <c r="H125" s="9">
        <f>SUMIF(Estado!$A$9:$A$449,$B125,Estado!$I$9:$I$449)</f>
        <v>0</v>
      </c>
      <c r="I125" s="9">
        <f>SUMIF(Estado!$A$9:$A$449,$B125,Estado!$K$9:$K$449)</f>
        <v>27861498.52</v>
      </c>
      <c r="J125" s="9">
        <f t="shared" si="8"/>
        <v>105557118.77</v>
      </c>
      <c r="K125" s="9">
        <f>SUMIF(Estado!$A$9:$A$449,$B125,Estado!$O$9:$O$449)</f>
        <v>18590881.23</v>
      </c>
      <c r="L125" s="107">
        <f t="shared" si="1"/>
        <v>0.85025226962979661</v>
      </c>
      <c r="M125" s="107">
        <f t="shared" si="2"/>
        <v>0.14974773037020331</v>
      </c>
    </row>
    <row r="126" spans="2:13" s="74" customFormat="1" ht="16.5" x14ac:dyDescent="0.25">
      <c r="B126" s="105" t="str">
        <f>+Estado!A219</f>
        <v>E-50201</v>
      </c>
      <c r="C126" s="106" t="str">
        <f>IFERROR(VLOOKUP(B126,Estado!$A$9:$B$586,2,FALSE),0)</f>
        <v>EDIFICIOS</v>
      </c>
      <c r="D126" s="9">
        <f>SUMIF(Estado!$A$9:$A$449,$B126,Estado!$C$9:$C$449)</f>
        <v>122800000</v>
      </c>
      <c r="E126" s="9">
        <f>SUMIF(Estado!$A$9:$A$449,$B126,Estado!$G$9:$G$449)</f>
        <v>77695620.25</v>
      </c>
      <c r="F126" s="9">
        <f>SUMIF(Estado!$A$9:$A$449,$B126,Estado!$E$9:$E$449)</f>
        <v>0</v>
      </c>
      <c r="G126" s="9">
        <f>SUMIF(Estado!$A$9:$A$449,$B126,Estado!$G$9:$G$449)</f>
        <v>77695620.25</v>
      </c>
      <c r="H126" s="9">
        <f>SUMIF(Estado!$A$9:$A$449,$B126,Estado!$I$9:$I$449)</f>
        <v>0</v>
      </c>
      <c r="I126" s="9">
        <f>SUMIF(Estado!$A$9:$A$449,$B126,Estado!$K$9:$K$449)</f>
        <v>27431430.34</v>
      </c>
      <c r="J126" s="9">
        <f t="shared" si="8"/>
        <v>105127050.59</v>
      </c>
      <c r="K126" s="9">
        <f>SUMIF(Estado!$A$9:$A$449,$B126,Estado!$O$9:$O$449)</f>
        <v>17672949.41</v>
      </c>
      <c r="L126" s="107">
        <f t="shared" si="1"/>
        <v>0.85608347385993488</v>
      </c>
      <c r="M126" s="107">
        <f t="shared" si="2"/>
        <v>0.14391652614006514</v>
      </c>
    </row>
    <row r="127" spans="2:13" s="23" customFormat="1" ht="16.5" x14ac:dyDescent="0.25">
      <c r="B127" s="105" t="str">
        <f>+Estado!A220</f>
        <v>E-50207</v>
      </c>
      <c r="C127" s="106" t="str">
        <f>IFERROR(VLOOKUP(B127,Estado!$A$9:$B$586,2,FALSE),0)</f>
        <v>INSTALACIONES</v>
      </c>
      <c r="D127" s="9">
        <f>SUMIF(Estado!$A$9:$A$449,$B127,Estado!$C$9:$C$449)</f>
        <v>1348000</v>
      </c>
      <c r="E127" s="9">
        <f>SUMIF(Estado!$A$9:$A$449,$B127,Estado!$G$9:$G$449)</f>
        <v>0</v>
      </c>
      <c r="F127" s="9">
        <f>SUMIF(Estado!$A$9:$A$449,$B127,Estado!$E$9:$E$449)</f>
        <v>0</v>
      </c>
      <c r="G127" s="9">
        <f>SUMIF(Estado!$A$9:$A$449,$B127,Estado!$G$9:$G$449)</f>
        <v>0</v>
      </c>
      <c r="H127" s="9">
        <f>SUMIF(Estado!$A$9:$A$449,$B127,Estado!$I$9:$I$449)</f>
        <v>0</v>
      </c>
      <c r="I127" s="9">
        <f>SUMIF(Estado!$A$9:$A$449,$B127,Estado!$K$9:$K$449)</f>
        <v>430068.18</v>
      </c>
      <c r="J127" s="9">
        <f t="shared" si="8"/>
        <v>430068.18</v>
      </c>
      <c r="K127" s="9">
        <f>SUMIF(Estado!$A$9:$A$449,$B127,Estado!$O$9:$O$449)</f>
        <v>917931.82</v>
      </c>
      <c r="L127" s="107">
        <f t="shared" si="1"/>
        <v>0.31904167655786347</v>
      </c>
      <c r="M127" s="107">
        <f t="shared" si="2"/>
        <v>0.68095832344213647</v>
      </c>
    </row>
    <row r="128" spans="2:13" s="23" customFormat="1" ht="16.5" x14ac:dyDescent="0.25">
      <c r="B128" s="105" t="str">
        <f>+Estado!A221</f>
        <v>E-599</v>
      </c>
      <c r="C128" s="106" t="str">
        <f>IFERROR(VLOOKUP(B128,Estado!$A$9:$B$586,2,FALSE),0)</f>
        <v>BIENES DURADEROS DIV</v>
      </c>
      <c r="D128" s="9">
        <f>SUMIF(Estado!$A$9:$A$449,$B128,Estado!$C$9:$C$449)</f>
        <v>560181400</v>
      </c>
      <c r="E128" s="9">
        <f>SUMIF(Estado!$A$9:$A$449,$B128,Estado!$G$9:$G$449)</f>
        <v>26104.21</v>
      </c>
      <c r="F128" s="9">
        <f>SUMIF(Estado!$A$9:$A$449,$B128,Estado!$E$9:$E$449)</f>
        <v>0</v>
      </c>
      <c r="G128" s="9">
        <f>SUMIF(Estado!$A$9:$A$449,$B128,Estado!$G$9:$G$449)</f>
        <v>26104.21</v>
      </c>
      <c r="H128" s="9">
        <f>SUMIF(Estado!$A$9:$A$449,$B128,Estado!$I$9:$I$449)</f>
        <v>0</v>
      </c>
      <c r="I128" s="9">
        <f>SUMIF(Estado!$A$9:$A$449,$B128,Estado!$K$9:$K$449)</f>
        <v>267853326.81</v>
      </c>
      <c r="J128" s="9">
        <f t="shared" si="8"/>
        <v>267879431.02000001</v>
      </c>
      <c r="K128" s="9">
        <f>SUMIF(Estado!$A$9:$A$449,$B128,Estado!$O$9:$O$449)</f>
        <v>292301968.98000002</v>
      </c>
      <c r="L128" s="107">
        <f t="shared" si="1"/>
        <v>0.47820122378215346</v>
      </c>
      <c r="M128" s="107">
        <f t="shared" si="2"/>
        <v>0.52179877621784665</v>
      </c>
    </row>
    <row r="129" spans="2:13" s="23" customFormat="1" ht="16.5" x14ac:dyDescent="0.25">
      <c r="B129" s="105" t="str">
        <f>+Estado!A222</f>
        <v>E-59901</v>
      </c>
      <c r="C129" s="106" t="str">
        <f>IFERROR(VLOOKUP(B129,Estado!$A$9:$B$586,2,FALSE),0)</f>
        <v>SEMOVIENTES</v>
      </c>
      <c r="D129" s="9">
        <f>SUMIF(Estado!$A$9:$A$449,$B129,Estado!$C$9:$C$449)</f>
        <v>8892000</v>
      </c>
      <c r="E129" s="9">
        <f>SUMIF(Estado!$A$9:$A$449,$B129,Estado!$G$9:$G$449)</f>
        <v>0</v>
      </c>
      <c r="F129" s="9">
        <f>SUMIF(Estado!$A$9:$A$449,$B129,Estado!$E$9:$E$449)</f>
        <v>0</v>
      </c>
      <c r="G129" s="9">
        <f>SUMIF(Estado!$A$9:$A$449,$B129,Estado!$G$9:$G$449)</f>
        <v>0</v>
      </c>
      <c r="H129" s="9">
        <f>SUMIF(Estado!$A$9:$A$449,$B129,Estado!$I$9:$I$449)</f>
        <v>0</v>
      </c>
      <c r="I129" s="9">
        <f>SUMIF(Estado!$A$9:$A$449,$B129,Estado!$K$9:$K$449)</f>
        <v>8875000</v>
      </c>
      <c r="J129" s="9">
        <f t="shared" si="8"/>
        <v>8875000</v>
      </c>
      <c r="K129" s="9">
        <f>SUMIF(Estado!$A$9:$A$449,$B129,Estado!$O$9:$O$449)</f>
        <v>17000</v>
      </c>
      <c r="L129" s="107">
        <f t="shared" si="1"/>
        <v>0.99808816914080067</v>
      </c>
      <c r="M129" s="107">
        <f t="shared" si="2"/>
        <v>1.9118308591992803E-3</v>
      </c>
    </row>
    <row r="130" spans="2:13" s="23" customFormat="1" ht="16.5" x14ac:dyDescent="0.25">
      <c r="B130" s="105" t="str">
        <f>+Estado!A223</f>
        <v>E-59903</v>
      </c>
      <c r="C130" s="106" t="str">
        <f>IFERROR(VLOOKUP(B130,Estado!$A$9:$B$586,2,FALSE),0)</f>
        <v>BIENES INTANGIBLES</v>
      </c>
      <c r="D130" s="9">
        <f>SUMIF(Estado!$A$9:$A$449,$B130,Estado!$C$9:$C$449)</f>
        <v>551289400</v>
      </c>
      <c r="E130" s="9">
        <f>SUMIF(Estado!$A$9:$A$449,$B130,Estado!$G$9:$G$449)</f>
        <v>26104.21</v>
      </c>
      <c r="F130" s="9">
        <f>SUMIF(Estado!$A$9:$A$449,$B130,Estado!$E$9:$E$449)</f>
        <v>0</v>
      </c>
      <c r="G130" s="9">
        <f>SUMIF(Estado!$A$9:$A$449,$B130,Estado!$G$9:$G$449)</f>
        <v>26104.21</v>
      </c>
      <c r="H130" s="9">
        <f>SUMIF(Estado!$A$9:$A$449,$B130,Estado!$I$9:$I$449)</f>
        <v>0</v>
      </c>
      <c r="I130" s="9">
        <f>SUMIF(Estado!$A$9:$A$449,$B130,Estado!$K$9:$K$449)</f>
        <v>258978326.81</v>
      </c>
      <c r="J130" s="9">
        <f t="shared" si="8"/>
        <v>259004431.02000001</v>
      </c>
      <c r="K130" s="9">
        <f>SUMIF(Estado!$A$9:$A$449,$B130,Estado!$O$9:$O$449)</f>
        <v>292284968.98000002</v>
      </c>
      <c r="L130" s="107">
        <f t="shared" si="1"/>
        <v>0.46981572839963914</v>
      </c>
      <c r="M130" s="107">
        <f t="shared" si="2"/>
        <v>0.53018427160036097</v>
      </c>
    </row>
    <row r="131" spans="2:13" s="74" customFormat="1" ht="17.25" x14ac:dyDescent="0.25">
      <c r="B131" s="101" t="str">
        <f>+Estado!A224</f>
        <v>E-6</v>
      </c>
      <c r="C131" s="102" t="str">
        <f>IFERROR(VLOOKUP(B131,Estado!$A$9:$B$586,2,FALSE),0)</f>
        <v>TRANSF. CORRIENTES</v>
      </c>
      <c r="D131" s="103">
        <f t="shared" ref="D131:K131" si="9">+D132+D135+D137+D140+D143</f>
        <v>15226061857.5</v>
      </c>
      <c r="E131" s="103">
        <f t="shared" si="9"/>
        <v>202182548.19999999</v>
      </c>
      <c r="F131" s="103">
        <f t="shared" si="9"/>
        <v>0</v>
      </c>
      <c r="G131" s="103">
        <f t="shared" si="9"/>
        <v>202182548.19999999</v>
      </c>
      <c r="H131" s="103">
        <f t="shared" si="9"/>
        <v>0</v>
      </c>
      <c r="I131" s="103">
        <f t="shared" si="9"/>
        <v>14044527566.980001</v>
      </c>
      <c r="J131" s="103">
        <f t="shared" si="9"/>
        <v>14246710115.180002</v>
      </c>
      <c r="K131" s="103">
        <f t="shared" si="9"/>
        <v>979351742.32000005</v>
      </c>
      <c r="L131" s="104">
        <f t="shared" si="1"/>
        <v>0.93567924841723982</v>
      </c>
      <c r="M131" s="104">
        <f t="shared" si="2"/>
        <v>6.4320751582760349E-2</v>
      </c>
    </row>
    <row r="132" spans="2:13" s="23" customFormat="1" ht="16.5" x14ac:dyDescent="0.25">
      <c r="B132" s="105" t="str">
        <f>+Estado!A225</f>
        <v>E-601</v>
      </c>
      <c r="C132" s="106" t="str">
        <f>IFERROR(VLOOKUP(B132,Estado!$A$9:$B$586,2,FALSE),0)</f>
        <v>TRANSF CTES S. PUB</v>
      </c>
      <c r="D132" s="9">
        <f>SUMIF(Estado!$A$9:$A$449,$B132,Estado!$C$9:$C$449)</f>
        <v>11928087754</v>
      </c>
      <c r="E132" s="9">
        <f>SUMIF(Estado!$A$9:$A$449,$B132,Estado!$G$9:$G$449)</f>
        <v>0</v>
      </c>
      <c r="F132" s="9">
        <f>SUMIF(Estado!$A$9:$A$449,$B132,Estado!$E$9:$E$449)</f>
        <v>0</v>
      </c>
      <c r="G132" s="9">
        <f>SUMIF(Estado!$A$9:$A$449,$B132,Estado!$G$9:$G$449)</f>
        <v>0</v>
      </c>
      <c r="H132" s="9">
        <f>SUMIF(Estado!$A$9:$A$449,$B132,Estado!$I$9:$I$449)</f>
        <v>0</v>
      </c>
      <c r="I132" s="9">
        <f>SUMIF(Estado!$A$9:$A$449,$B132,Estado!$K$9:$K$449)</f>
        <v>11442966464.09</v>
      </c>
      <c r="J132" s="9">
        <f t="shared" ref="J132:J144" si="10">SUM(G132:I132)</f>
        <v>11442966464.09</v>
      </c>
      <c r="K132" s="9">
        <f>SUMIF(Estado!$A$9:$A$449,$B132,Estado!$O$9:$O$449)</f>
        <v>485121289.91000003</v>
      </c>
      <c r="L132" s="107">
        <f t="shared" si="1"/>
        <v>0.95932950025897334</v>
      </c>
      <c r="M132" s="107">
        <f t="shared" si="2"/>
        <v>4.0670499741026642E-2</v>
      </c>
    </row>
    <row r="133" spans="2:13" s="23" customFormat="1" ht="16.5" x14ac:dyDescent="0.25">
      <c r="B133" s="105" t="str">
        <f>+Estado!A226</f>
        <v>E-60102</v>
      </c>
      <c r="C133" s="106" t="str">
        <f>IFERROR(VLOOKUP(B133,Estado!$A$9:$B$586,2,FALSE),0)</f>
        <v>TRANSF.CTE ORG.DESC</v>
      </c>
      <c r="D133" s="9">
        <f>SUMIF(Estado!$A$9:$A$449,$B133,Estado!$C$9:$C$449)</f>
        <v>303500000</v>
      </c>
      <c r="E133" s="9">
        <f>SUMIF(Estado!$A$9:$A$449,$B133,Estado!$G$9:$G$449)</f>
        <v>0</v>
      </c>
      <c r="F133" s="9">
        <f>SUMIF(Estado!$A$9:$A$449,$B133,Estado!$E$9:$E$449)</f>
        <v>0</v>
      </c>
      <c r="G133" s="9">
        <f>SUMIF(Estado!$A$9:$A$449,$B133,Estado!$G$9:$G$449)</f>
        <v>0</v>
      </c>
      <c r="H133" s="9">
        <f>SUMIF(Estado!$A$9:$A$449,$B133,Estado!$I$9:$I$449)</f>
        <v>0</v>
      </c>
      <c r="I133" s="9">
        <f>SUMIF(Estado!$A$9:$A$449,$B133,Estado!$K$9:$K$449)</f>
        <v>283509137.94</v>
      </c>
      <c r="J133" s="9">
        <f t="shared" si="10"/>
        <v>283509137.94</v>
      </c>
      <c r="K133" s="9">
        <f>SUMIF(Estado!$A$9:$A$449,$B133,Estado!$O$9:$O$449)</f>
        <v>19990862.059999999</v>
      </c>
      <c r="L133" s="107">
        <f t="shared" si="1"/>
        <v>0.93413225021416801</v>
      </c>
      <c r="M133" s="107">
        <f t="shared" si="2"/>
        <v>6.5867749785831958E-2</v>
      </c>
    </row>
    <row r="134" spans="2:13" s="23" customFormat="1" ht="16.5" x14ac:dyDescent="0.25">
      <c r="B134" s="105" t="str">
        <f>+Estado!A230</f>
        <v>E-60103</v>
      </c>
      <c r="C134" s="106" t="str">
        <f>IFERROR(VLOOKUP(B134,Estado!$A$9:$B$586,2,FALSE),0)</f>
        <v>TRANSF.CTE I.D.NOE</v>
      </c>
      <c r="D134" s="9">
        <f>SUMIF(Estado!$A$9:$A$449,$B134,Estado!$C$9:$C$449)</f>
        <v>11624587754</v>
      </c>
      <c r="E134" s="9">
        <f>SUMIF(Estado!$A$9:$A$449,$B134,Estado!$G$9:$G$449)</f>
        <v>0</v>
      </c>
      <c r="F134" s="9">
        <f>SUMIF(Estado!$A$9:$A$449,$B134,Estado!$E$9:$E$449)</f>
        <v>0</v>
      </c>
      <c r="G134" s="9">
        <f>SUMIF(Estado!$A$9:$A$449,$B134,Estado!$G$9:$G$449)</f>
        <v>0</v>
      </c>
      <c r="H134" s="9">
        <f>SUMIF(Estado!$A$9:$A$449,$B134,Estado!$I$9:$I$449)</f>
        <v>0</v>
      </c>
      <c r="I134" s="9">
        <f>SUMIF(Estado!$A$9:$A$449,$B134,Estado!$K$9:$K$449)</f>
        <v>11159457326.15</v>
      </c>
      <c r="J134" s="9">
        <f t="shared" si="10"/>
        <v>11159457326.15</v>
      </c>
      <c r="K134" s="9">
        <f>SUMIF(Estado!$A$9:$A$449,$B134,Estado!$O$9:$O$449)</f>
        <v>465130427.85000002</v>
      </c>
      <c r="L134" s="107">
        <f t="shared" si="1"/>
        <v>0.95998736147095198</v>
      </c>
      <c r="M134" s="107">
        <f t="shared" si="2"/>
        <v>4.0012638529048003E-2</v>
      </c>
    </row>
    <row r="135" spans="2:13" s="23" customFormat="1" ht="16.5" x14ac:dyDescent="0.25">
      <c r="B135" s="105" t="str">
        <f>+Estado!A260</f>
        <v>E-602</v>
      </c>
      <c r="C135" s="106" t="str">
        <f>IFERROR(VLOOKUP(B135,Estado!$A$9:$B$586,2,FALSE),0)</f>
        <v>TRANSF CTES A PERS</v>
      </c>
      <c r="D135" s="9">
        <f>SUMIF(Estado!$A$9:$A$449,$B135,Estado!$C$9:$C$449)</f>
        <v>666000000</v>
      </c>
      <c r="E135" s="9">
        <f>SUMIF(Estado!$A$9:$A$449,$B135,Estado!$G$9:$G$449)</f>
        <v>49950000</v>
      </c>
      <c r="F135" s="9">
        <f>SUMIF(Estado!$A$9:$A$449,$B135,Estado!$E$9:$E$449)</f>
        <v>0</v>
      </c>
      <c r="G135" s="9">
        <f>SUMIF(Estado!$A$9:$A$449,$B135,Estado!$G$9:$G$449)</f>
        <v>49950000</v>
      </c>
      <c r="H135" s="9">
        <f>SUMIF(Estado!$A$9:$A$449,$B135,Estado!$I$9:$I$449)</f>
        <v>0</v>
      </c>
      <c r="I135" s="9">
        <f>SUMIF(Estado!$A$9:$A$449,$B135,Estado!$K$9:$K$449)</f>
        <v>599400000</v>
      </c>
      <c r="J135" s="9">
        <f t="shared" si="10"/>
        <v>649350000</v>
      </c>
      <c r="K135" s="9">
        <f>SUMIF(Estado!$A$9:$A$449,$B135,Estado!$O$9:$O$449)</f>
        <v>16650000</v>
      </c>
      <c r="L135" s="107">
        <f t="shared" si="1"/>
        <v>0.97499999999999998</v>
      </c>
      <c r="M135" s="107">
        <f t="shared" si="2"/>
        <v>2.5000000000000001E-2</v>
      </c>
    </row>
    <row r="136" spans="2:13" s="23" customFormat="1" ht="16.5" x14ac:dyDescent="0.25">
      <c r="B136" s="105" t="str">
        <f>+Estado!A261</f>
        <v>E-60299</v>
      </c>
      <c r="C136" s="106" t="str">
        <f>IFERROR(VLOOKUP(B136,Estado!$A$9:$B$586,2,FALSE),0)</f>
        <v>OTRAS TRANSF. A PERS</v>
      </c>
      <c r="D136" s="9">
        <f>SUMIF(Estado!$A$9:$A$449,$B136,Estado!$C$9:$C$449)</f>
        <v>666000000</v>
      </c>
      <c r="E136" s="9">
        <f>SUMIF(Estado!$A$9:$A$449,$B136,Estado!$G$9:$G$449)</f>
        <v>49950000</v>
      </c>
      <c r="F136" s="9">
        <f>SUMIF(Estado!$A$9:$A$449,$B136,Estado!$E$9:$E$449)</f>
        <v>0</v>
      </c>
      <c r="G136" s="9">
        <f>SUMIF(Estado!$A$9:$A$449,$B136,Estado!$G$9:$G$449)</f>
        <v>49950000</v>
      </c>
      <c r="H136" s="9">
        <f>SUMIF(Estado!$A$9:$A$449,$B136,Estado!$I$9:$I$449)</f>
        <v>0</v>
      </c>
      <c r="I136" s="9">
        <f>SUMIF(Estado!$A$9:$A$449,$B136,Estado!$K$9:$K$449)</f>
        <v>599400000</v>
      </c>
      <c r="J136" s="9">
        <f t="shared" si="10"/>
        <v>649350000</v>
      </c>
      <c r="K136" s="9">
        <f>SUMIF(Estado!$A$9:$A$449,$B136,Estado!$O$9:$O$449)</f>
        <v>16650000</v>
      </c>
      <c r="L136" s="107">
        <f t="shared" si="1"/>
        <v>0.97499999999999998</v>
      </c>
      <c r="M136" s="107">
        <f t="shared" si="2"/>
        <v>2.5000000000000001E-2</v>
      </c>
    </row>
    <row r="137" spans="2:13" s="23" customFormat="1" ht="16.5" x14ac:dyDescent="0.25">
      <c r="B137" s="105" t="str">
        <f>+Estado!A262</f>
        <v>E-603</v>
      </c>
      <c r="C137" s="106" t="str">
        <f>IFERROR(VLOOKUP(B137,Estado!$A$9:$B$586,2,FALSE),0)</f>
        <v>PRESTACIONES</v>
      </c>
      <c r="D137" s="9">
        <f>SUMIF(Estado!$A$9:$A$449,$B137,Estado!$C$9:$C$449)</f>
        <v>2020779208.5</v>
      </c>
      <c r="E137" s="9">
        <f>SUMIF(Estado!$A$9:$A$449,$B137,Estado!$G$9:$G$449)</f>
        <v>151786645.44</v>
      </c>
      <c r="F137" s="9">
        <f>SUMIF(Estado!$A$9:$A$449,$B137,Estado!$E$9:$E$449)</f>
        <v>0</v>
      </c>
      <c r="G137" s="9">
        <f>SUMIF(Estado!$A$9:$A$449,$B137,Estado!$G$9:$G$449)</f>
        <v>151786645.44</v>
      </c>
      <c r="H137" s="9">
        <f>SUMIF(Estado!$A$9:$A$449,$B137,Estado!$I$9:$I$449)</f>
        <v>0</v>
      </c>
      <c r="I137" s="9">
        <f>SUMIF(Estado!$A$9:$A$449,$B137,Estado!$K$9:$K$449)</f>
        <v>1536659224.76</v>
      </c>
      <c r="J137" s="9">
        <f t="shared" si="10"/>
        <v>1688445870.2</v>
      </c>
      <c r="K137" s="9">
        <f>SUMIF(Estado!$A$9:$A$449,$B137,Estado!$O$9:$O$449)</f>
        <v>332333338.29999995</v>
      </c>
      <c r="L137" s="107">
        <f t="shared" si="1"/>
        <v>0.83554198454630435</v>
      </c>
      <c r="M137" s="107">
        <f t="shared" si="2"/>
        <v>0.16445801545369571</v>
      </c>
    </row>
    <row r="138" spans="2:13" s="23" customFormat="1" ht="16.5" x14ac:dyDescent="0.25">
      <c r="B138" s="105" t="str">
        <f>+Estado!A263</f>
        <v>E-60301</v>
      </c>
      <c r="C138" s="106" t="str">
        <f>IFERROR(VLOOKUP(B138,Estado!$A$9:$B$586,2,FALSE),0)</f>
        <v>PRESTACIONES LEGALES</v>
      </c>
      <c r="D138" s="9">
        <f>SUMIF(Estado!$A$9:$A$449,$B138,Estado!$C$9:$C$449)</f>
        <v>1469891208.5</v>
      </c>
      <c r="E138" s="9">
        <f>SUMIF(Estado!$A$9:$A$449,$B138,Estado!$G$9:$G$449)</f>
        <v>151786645.44</v>
      </c>
      <c r="F138" s="9">
        <f>SUMIF(Estado!$A$9:$A$449,$B138,Estado!$E$9:$E$449)</f>
        <v>0</v>
      </c>
      <c r="G138" s="9">
        <f>SUMIF(Estado!$A$9:$A$449,$B138,Estado!$G$9:$G$449)</f>
        <v>151786645.44</v>
      </c>
      <c r="H138" s="9">
        <f>SUMIF(Estado!$A$9:$A$449,$B138,Estado!$I$9:$I$449)</f>
        <v>0</v>
      </c>
      <c r="I138" s="9">
        <f>SUMIF(Estado!$A$9:$A$449,$B138,Estado!$K$9:$K$449)</f>
        <v>1181622018.9000001</v>
      </c>
      <c r="J138" s="9">
        <f t="shared" si="10"/>
        <v>1333408664.3400002</v>
      </c>
      <c r="K138" s="9">
        <f>SUMIF(Estado!$A$9:$A$449,$B138,Estado!$O$9:$O$449)</f>
        <v>136482544.16</v>
      </c>
      <c r="L138" s="107">
        <f t="shared" si="1"/>
        <v>0.90714786007919723</v>
      </c>
      <c r="M138" s="107">
        <f t="shared" si="2"/>
        <v>9.2852139920802851E-2</v>
      </c>
    </row>
    <row r="139" spans="2:13" s="23" customFormat="1" ht="16.5" x14ac:dyDescent="0.25">
      <c r="B139" s="105" t="str">
        <f>+Estado!A264</f>
        <v>E-60399</v>
      </c>
      <c r="C139" s="106" t="str">
        <f>IFERROR(VLOOKUP(B139,Estado!$A$9:$B$586,2,FALSE),0)</f>
        <v>OTRAS PRESTACIONES</v>
      </c>
      <c r="D139" s="9">
        <f>SUMIF(Estado!$A$9:$A$449,$B139,Estado!$C$9:$C$449)</f>
        <v>550888000</v>
      </c>
      <c r="E139" s="9">
        <f>SUMIF(Estado!$A$9:$A$449,$B139,Estado!$G$9:$G$449)</f>
        <v>0</v>
      </c>
      <c r="F139" s="9">
        <f>SUMIF(Estado!$A$9:$A$449,$B139,Estado!$E$9:$E$449)</f>
        <v>0</v>
      </c>
      <c r="G139" s="9">
        <f>SUMIF(Estado!$A$9:$A$449,$B139,Estado!$G$9:$G$449)</f>
        <v>0</v>
      </c>
      <c r="H139" s="9">
        <f>SUMIF(Estado!$A$9:$A$449,$B139,Estado!$I$9:$I$449)</f>
        <v>0</v>
      </c>
      <c r="I139" s="9">
        <f>SUMIF(Estado!$A$9:$A$449,$B139,Estado!$K$9:$K$449)</f>
        <v>355037205.86000001</v>
      </c>
      <c r="J139" s="9">
        <f t="shared" si="10"/>
        <v>355037205.86000001</v>
      </c>
      <c r="K139" s="9">
        <f>SUMIF(Estado!$A$9:$A$449,$B139,Estado!$O$9:$O$449)</f>
        <v>195850794.13999999</v>
      </c>
      <c r="L139" s="107">
        <f t="shared" si="1"/>
        <v>0.64448164755812432</v>
      </c>
      <c r="M139" s="107">
        <f t="shared" si="2"/>
        <v>0.35551835244187563</v>
      </c>
    </row>
    <row r="140" spans="2:13" s="23" customFormat="1" ht="16.5" x14ac:dyDescent="0.25">
      <c r="B140" s="105" t="str">
        <f>+Estado!A265</f>
        <v>E-606</v>
      </c>
      <c r="C140" s="106" t="str">
        <f>IFERROR(VLOOKUP(B140,Estado!$A$9:$B$586,2,FALSE),0)</f>
        <v>OTR.TRANSF.CTE SPRIV</v>
      </c>
      <c r="D140" s="9">
        <f>SUMIF(Estado!$A$9:$A$449,$B140,Estado!$C$9:$C$449)</f>
        <v>188500000</v>
      </c>
      <c r="E140" s="9">
        <f>SUMIF(Estado!$A$9:$A$449,$B140,Estado!$G$9:$G$449)</f>
        <v>0</v>
      </c>
      <c r="F140" s="9">
        <f>SUMIF(Estado!$A$9:$A$449,$B140,Estado!$E$9:$E$449)</f>
        <v>0</v>
      </c>
      <c r="G140" s="9">
        <f>SUMIF(Estado!$A$9:$A$449,$B140,Estado!$G$9:$G$449)</f>
        <v>0</v>
      </c>
      <c r="H140" s="9">
        <f>SUMIF(Estado!$A$9:$A$449,$B140,Estado!$I$9:$I$449)</f>
        <v>0</v>
      </c>
      <c r="I140" s="9">
        <f>SUMIF(Estado!$A$9:$A$449,$B140,Estado!$K$9:$K$449)</f>
        <v>43260305.789999999</v>
      </c>
      <c r="J140" s="9">
        <f t="shared" si="10"/>
        <v>43260305.789999999</v>
      </c>
      <c r="K140" s="9">
        <f>SUMIF(Estado!$A$9:$A$449,$B140,Estado!$O$9:$O$449)</f>
        <v>145239694.21000001</v>
      </c>
      <c r="L140" s="107">
        <f t="shared" si="1"/>
        <v>0.22949764344827586</v>
      </c>
      <c r="M140" s="107">
        <f t="shared" si="2"/>
        <v>0.77050235655172417</v>
      </c>
    </row>
    <row r="141" spans="2:13" s="23" customFormat="1" ht="16.5" x14ac:dyDescent="0.25">
      <c r="B141" s="105" t="str">
        <f>+Estado!A266</f>
        <v>E-60601</v>
      </c>
      <c r="C141" s="106" t="str">
        <f>IFERROR(VLOOKUP(B141,Estado!$A$9:$B$586,2,FALSE),0)</f>
        <v>INDEMNIZACIONES</v>
      </c>
      <c r="D141" s="9">
        <f>SUMIF(Estado!$A$9:$A$449,$B141,Estado!$C$9:$C$449)</f>
        <v>123500000</v>
      </c>
      <c r="E141" s="9">
        <f>SUMIF(Estado!$A$9:$A$449,$B141,Estado!$G$9:$G$449)</f>
        <v>0</v>
      </c>
      <c r="F141" s="9">
        <f>SUMIF(Estado!$A$9:$A$449,$B141,Estado!$E$9:$E$449)</f>
        <v>0</v>
      </c>
      <c r="G141" s="9">
        <f>SUMIF(Estado!$A$9:$A$449,$B141,Estado!$G$9:$G$449)</f>
        <v>0</v>
      </c>
      <c r="H141" s="9">
        <f>SUMIF(Estado!$A$9:$A$449,$B141,Estado!$I$9:$I$449)</f>
        <v>0</v>
      </c>
      <c r="I141" s="9">
        <f>SUMIF(Estado!$A$9:$A$449,$B141,Estado!$K$9:$K$449)</f>
        <v>8350065.6699999999</v>
      </c>
      <c r="J141" s="9">
        <f t="shared" si="10"/>
        <v>8350065.6699999999</v>
      </c>
      <c r="K141" s="9">
        <f>SUMIF(Estado!$A$9:$A$449,$B141,Estado!$O$9:$O$449)</f>
        <v>115149934.33</v>
      </c>
      <c r="L141" s="107">
        <f t="shared" si="1"/>
        <v>6.7611867773279349E-2</v>
      </c>
      <c r="M141" s="107">
        <f t="shared" si="2"/>
        <v>0.93238813222672068</v>
      </c>
    </row>
    <row r="142" spans="2:13" s="23" customFormat="1" ht="16.5" x14ac:dyDescent="0.25">
      <c r="B142" s="105" t="str">
        <f>+Estado!A267</f>
        <v>E-60602</v>
      </c>
      <c r="C142" s="106" t="str">
        <f>IFERROR(VLOOKUP(B142,Estado!$A$9:$B$586,2,FALSE),0)</f>
        <v>REINTEGROS O DEVOL.</v>
      </c>
      <c r="D142" s="9">
        <f>SUMIF(Estado!$A$9:$A$449,$B142,Estado!$C$9:$C$449)</f>
        <v>65000000</v>
      </c>
      <c r="E142" s="9">
        <f>SUMIF(Estado!$A$9:$A$449,$B142,Estado!$G$9:$G$449)</f>
        <v>0</v>
      </c>
      <c r="F142" s="9">
        <f>SUMIF(Estado!$A$9:$A$449,$B142,Estado!$E$9:$E$449)</f>
        <v>0</v>
      </c>
      <c r="G142" s="9">
        <f>SUMIF(Estado!$A$9:$A$449,$B142,Estado!$G$9:$G$449)</f>
        <v>0</v>
      </c>
      <c r="H142" s="9">
        <f>SUMIF(Estado!$A$9:$A$449,$B142,Estado!$I$9:$I$449)</f>
        <v>0</v>
      </c>
      <c r="I142" s="9">
        <f>SUMIF(Estado!$A$9:$A$449,$B142,Estado!$K$9:$K$449)</f>
        <v>34910240.119999997</v>
      </c>
      <c r="J142" s="9">
        <f t="shared" si="10"/>
        <v>34910240.119999997</v>
      </c>
      <c r="K142" s="9">
        <f>SUMIF(Estado!$A$9:$A$449,$B142,Estado!$O$9:$O$449)</f>
        <v>30089759.880000003</v>
      </c>
      <c r="L142" s="107">
        <f t="shared" si="1"/>
        <v>0.53708061723076916</v>
      </c>
      <c r="M142" s="107">
        <f t="shared" si="2"/>
        <v>0.46291938276923084</v>
      </c>
    </row>
    <row r="143" spans="2:13" s="23" customFormat="1" ht="16.5" x14ac:dyDescent="0.25">
      <c r="B143" s="105" t="str">
        <f>+Estado!A268</f>
        <v>E-607</v>
      </c>
      <c r="C143" s="106" t="str">
        <f>IFERROR(VLOOKUP(B143,Estado!$A$9:$B$586,2,FALSE),0)</f>
        <v>TRANSF CTES AL S.EXT</v>
      </c>
      <c r="D143" s="9">
        <f>SUMIF(Estado!$A$9:$A$449,$B143,Estado!$C$9:$C$449)</f>
        <v>422694895</v>
      </c>
      <c r="E143" s="9">
        <f>SUMIF(Estado!$A$9:$A$449,$B143,Estado!$G$9:$G$449)</f>
        <v>445902.76</v>
      </c>
      <c r="F143" s="9">
        <f>SUMIF(Estado!$A$9:$A$449,$B143,Estado!$E$9:$E$449)</f>
        <v>0</v>
      </c>
      <c r="G143" s="9">
        <f>SUMIF(Estado!$A$9:$A$449,$B143,Estado!$G$9:$G$449)</f>
        <v>445902.76</v>
      </c>
      <c r="H143" s="9">
        <f>SUMIF(Estado!$A$9:$A$449,$B143,Estado!$I$9:$I$449)</f>
        <v>0</v>
      </c>
      <c r="I143" s="9">
        <f>SUMIF(Estado!$A$9:$A$449,$B143,Estado!$K$9:$K$449)</f>
        <v>422241572.33999997</v>
      </c>
      <c r="J143" s="9">
        <f t="shared" si="10"/>
        <v>422687475.09999996</v>
      </c>
      <c r="K143" s="9">
        <f>SUMIF(Estado!$A$9:$A$449,$B143,Estado!$O$9:$O$449)</f>
        <v>7419.9</v>
      </c>
      <c r="L143" s="107">
        <f t="shared" si="1"/>
        <v>0.99998244620389831</v>
      </c>
      <c r="M143" s="107">
        <f t="shared" si="2"/>
        <v>1.7553796101559257E-5</v>
      </c>
    </row>
    <row r="144" spans="2:13" s="23" customFormat="1" ht="16.5" x14ac:dyDescent="0.25">
      <c r="B144" s="105" t="str">
        <f>+Estado!A269</f>
        <v>E-60701</v>
      </c>
      <c r="C144" s="106" t="str">
        <f>IFERROR(VLOOKUP(B144,Estado!$A$9:$B$586,2,FALSE),0)</f>
        <v>TRANSF.C.TE ORG.INT.</v>
      </c>
      <c r="D144" s="9">
        <f>SUMIF(Estado!$A$9:$A$449,$B144,Estado!$C$9:$C$449)</f>
        <v>422694895</v>
      </c>
      <c r="E144" s="9">
        <f>SUMIF(Estado!$A$9:$A$449,$B144,Estado!$G$9:$G$449)</f>
        <v>445902.76</v>
      </c>
      <c r="F144" s="9">
        <f>SUMIF(Estado!$A$9:$A$449,$B144,Estado!$E$9:$E$449)</f>
        <v>0</v>
      </c>
      <c r="G144" s="9">
        <f>SUMIF(Estado!$A$9:$A$449,$B144,Estado!$G$9:$G$449)</f>
        <v>445902.76</v>
      </c>
      <c r="H144" s="9">
        <f>SUMIF(Estado!$A$9:$A$449,$B144,Estado!$I$9:$I$449)</f>
        <v>0</v>
      </c>
      <c r="I144" s="9">
        <f>SUMIF(Estado!$A$9:$A$449,$B144,Estado!$K$9:$K$449)</f>
        <v>422241572.34000003</v>
      </c>
      <c r="J144" s="9">
        <f t="shared" si="10"/>
        <v>422687475.10000002</v>
      </c>
      <c r="K144" s="9">
        <f>SUMIF(Estado!$A$9:$A$449,$B144,Estado!$O$9:$O$449)</f>
        <v>7419.9</v>
      </c>
      <c r="L144" s="107">
        <f t="shared" si="1"/>
        <v>0.99998244620389853</v>
      </c>
      <c r="M144" s="107">
        <f t="shared" si="2"/>
        <v>1.7553796101559257E-5</v>
      </c>
    </row>
    <row r="145" spans="2:13" s="74" customFormat="1" ht="17.25" x14ac:dyDescent="0.25">
      <c r="B145" s="101" t="str">
        <f>+Estado!A273</f>
        <v>E-7</v>
      </c>
      <c r="C145" s="102" t="str">
        <f>IFERROR(VLOOKUP(B145,Estado!$A$9:$B$586,2,FALSE),0)</f>
        <v>TRANSF. DE CAPITAL</v>
      </c>
      <c r="D145" s="103">
        <f t="shared" ref="D145:K145" si="11">SUM(D146)</f>
        <v>581400000</v>
      </c>
      <c r="E145" s="103">
        <f t="shared" si="11"/>
        <v>0</v>
      </c>
      <c r="F145" s="103">
        <f t="shared" si="11"/>
        <v>0</v>
      </c>
      <c r="G145" s="103">
        <f t="shared" si="11"/>
        <v>0</v>
      </c>
      <c r="H145" s="103">
        <f t="shared" si="11"/>
        <v>0</v>
      </c>
      <c r="I145" s="103">
        <f t="shared" si="11"/>
        <v>125786735.68000001</v>
      </c>
      <c r="J145" s="103">
        <f t="shared" si="11"/>
        <v>125786735.68000001</v>
      </c>
      <c r="K145" s="103">
        <f t="shared" si="11"/>
        <v>455613264.31999999</v>
      </c>
      <c r="L145" s="104">
        <f t="shared" si="1"/>
        <v>0.21635145455796354</v>
      </c>
      <c r="M145" s="104">
        <f t="shared" si="2"/>
        <v>0.78364854544203644</v>
      </c>
    </row>
    <row r="146" spans="2:13" s="23" customFormat="1" ht="16.5" x14ac:dyDescent="0.25">
      <c r="B146" s="105" t="str">
        <f>+Estado!A274</f>
        <v>E-701</v>
      </c>
      <c r="C146" s="106" t="str">
        <f>IFERROR(VLOOKUP(B146,Estado!$A$9:$B$586,2,FALSE),0)</f>
        <v>TRANSF DE CTAL S PUB</v>
      </c>
      <c r="D146" s="9">
        <f>SUMIF(Estado!$A$9:$A$449,$B146,Estado!$C$9:$C$449)</f>
        <v>581400000</v>
      </c>
      <c r="E146" s="9">
        <f>SUMIF(Estado!$A$9:$A$449,$B146,Estado!$G$9:$G$449)</f>
        <v>0</v>
      </c>
      <c r="F146" s="9">
        <f>SUMIF(Estado!$A$9:$A$449,$B146,Estado!$E$9:$E$449)</f>
        <v>0</v>
      </c>
      <c r="G146" s="9">
        <f>SUMIF(Estado!$A$9:$A$449,$B146,Estado!$G$9:$G$449)</f>
        <v>0</v>
      </c>
      <c r="H146" s="9">
        <f>SUMIF(Estado!$A$9:$A$449,$B146,Estado!$I$9:$I$449)</f>
        <v>0</v>
      </c>
      <c r="I146" s="9">
        <f>SUMIF(Estado!$A$9:$A$449,$B146,Estado!$K$9:$K$449)</f>
        <v>125786735.68000001</v>
      </c>
      <c r="J146" s="9">
        <f t="shared" ref="J146:J147" si="12">SUM(G146:I146)</f>
        <v>125786735.68000001</v>
      </c>
      <c r="K146" s="9">
        <f>SUMIF(Estado!$A$9:$A$449,$B146,Estado!$O$9:$O$449)</f>
        <v>455613264.31999999</v>
      </c>
      <c r="L146" s="107">
        <f t="shared" si="1"/>
        <v>0.21635145455796354</v>
      </c>
      <c r="M146" s="107">
        <f t="shared" si="2"/>
        <v>0.78364854544203644</v>
      </c>
    </row>
    <row r="147" spans="2:13" s="23" customFormat="1" ht="16.5" x14ac:dyDescent="0.25">
      <c r="B147" s="105" t="str">
        <f>+Estado!A275</f>
        <v>E-70102</v>
      </c>
      <c r="C147" s="106" t="str">
        <f>IFERROR(VLOOKUP(B147,Estado!$A$9:$B$586,2,FALSE),0)</f>
        <v>TRANSF.CTAL ORG.DESC</v>
      </c>
      <c r="D147" s="9">
        <f>SUMIF(Estado!$A$9:$A$449,$B147,Estado!$C$9:$C$449)</f>
        <v>581400000</v>
      </c>
      <c r="E147" s="9">
        <f>SUMIF(Estado!$A$9:$A$449,$B147,Estado!$G$9:$G$449)</f>
        <v>0</v>
      </c>
      <c r="F147" s="9">
        <f>SUMIF(Estado!$A$9:$A$449,$B147,Estado!$E$9:$E$449)</f>
        <v>0</v>
      </c>
      <c r="G147" s="9">
        <f>SUMIF(Estado!$A$9:$A$449,$B147,Estado!$G$9:$G$449)</f>
        <v>0</v>
      </c>
      <c r="H147" s="9">
        <f>SUMIF(Estado!$A$9:$A$449,$B147,Estado!$I$9:$I$449)</f>
        <v>0</v>
      </c>
      <c r="I147" s="9">
        <f>SUMIF(Estado!$A$9:$A$449,$B147,Estado!$K$9:$K$449)</f>
        <v>125786735.68000001</v>
      </c>
      <c r="J147" s="9">
        <f t="shared" si="12"/>
        <v>125786735.68000001</v>
      </c>
      <c r="K147" s="9">
        <f>SUMIF(Estado!$A$9:$A$449,$B147,Estado!$O$9:$O$449)</f>
        <v>455613264.31999999</v>
      </c>
      <c r="L147" s="107">
        <f t="shared" si="1"/>
        <v>0.21635145455796354</v>
      </c>
      <c r="M147" s="107">
        <f t="shared" si="2"/>
        <v>0.78364854544203644</v>
      </c>
    </row>
    <row r="148" spans="2:13" s="74" customFormat="1" ht="17.25" x14ac:dyDescent="0.25">
      <c r="B148" s="101" t="s">
        <v>678</v>
      </c>
      <c r="C148" s="102" t="s">
        <v>679</v>
      </c>
      <c r="D148" s="103">
        <f t="shared" ref="D148:K148" si="13">SUM(D149)</f>
        <v>0</v>
      </c>
      <c r="E148" s="103">
        <f t="shared" si="13"/>
        <v>0</v>
      </c>
      <c r="F148" s="103">
        <f t="shared" si="13"/>
        <v>0</v>
      </c>
      <c r="G148" s="103">
        <f t="shared" si="13"/>
        <v>0</v>
      </c>
      <c r="H148" s="103">
        <f t="shared" si="13"/>
        <v>0</v>
      </c>
      <c r="I148" s="103">
        <f t="shared" si="13"/>
        <v>0</v>
      </c>
      <c r="J148" s="103">
        <f t="shared" si="13"/>
        <v>0</v>
      </c>
      <c r="K148" s="103">
        <f t="shared" si="13"/>
        <v>0</v>
      </c>
      <c r="L148" s="107">
        <f t="shared" si="1"/>
        <v>0</v>
      </c>
      <c r="M148" s="107">
        <f t="shared" si="2"/>
        <v>0</v>
      </c>
    </row>
    <row r="149" spans="2:13" s="23" customFormat="1" ht="25.5" x14ac:dyDescent="0.25">
      <c r="B149" s="105" t="s">
        <v>680</v>
      </c>
      <c r="C149" s="106" t="s">
        <v>681</v>
      </c>
      <c r="D149" s="9">
        <f>+D150</f>
        <v>0</v>
      </c>
      <c r="E149" s="9">
        <f>SUMIF(Estado!$A$9:$A$449,$B149,Estado!$G$9:$G$449)</f>
        <v>0</v>
      </c>
      <c r="F149" s="9">
        <f t="shared" ref="F149:K149" si="14">+F150</f>
        <v>0</v>
      </c>
      <c r="G149" s="9">
        <f t="shared" si="14"/>
        <v>0</v>
      </c>
      <c r="H149" s="9">
        <f t="shared" si="14"/>
        <v>0</v>
      </c>
      <c r="I149" s="9">
        <f t="shared" si="14"/>
        <v>0</v>
      </c>
      <c r="J149" s="9">
        <f t="shared" si="14"/>
        <v>0</v>
      </c>
      <c r="K149" s="9">
        <f t="shared" si="14"/>
        <v>0</v>
      </c>
      <c r="L149" s="107">
        <f t="shared" si="1"/>
        <v>0</v>
      </c>
      <c r="M149" s="107">
        <f t="shared" si="2"/>
        <v>0</v>
      </c>
    </row>
    <row r="150" spans="2:13" s="23" customFormat="1" ht="25.5" x14ac:dyDescent="0.25">
      <c r="B150" s="105" t="s">
        <v>682</v>
      </c>
      <c r="C150" s="106" t="s">
        <v>683</v>
      </c>
      <c r="D150" s="9">
        <f>SUMIF(Estado!$A$9:$A$449,$B150,Estado!$C$9:$C$449)</f>
        <v>0</v>
      </c>
      <c r="E150" s="9">
        <f>SUMIF(Estado!$A$9:$A$449,$B150,Estado!$G$9:$G$449)</f>
        <v>0</v>
      </c>
      <c r="F150" s="9">
        <f>SUMIF(Estado!$A$9:$A$449,$B150,Estado!$E$9:$E$449)</f>
        <v>0</v>
      </c>
      <c r="G150" s="9">
        <f>SUMIF(Estado!$A$9:$A$449,$B150,Estado!$G$9:$G$449)</f>
        <v>0</v>
      </c>
      <c r="H150" s="9">
        <f>SUMIF(Estado!$A$9:$A$449,$B150,Estado!$I$9:$I$449)</f>
        <v>0</v>
      </c>
      <c r="I150" s="9">
        <f>SUMIF(Estado!$A$9:$A$449,$B150,Estado!$K$9:$K$449)</f>
        <v>0</v>
      </c>
      <c r="J150" s="9">
        <f>SUM(G150:I150)</f>
        <v>0</v>
      </c>
      <c r="K150" s="9">
        <f>SUMIF(Estado!$A$9:$A$449,$B150,Estado!$O$9:$O$449)</f>
        <v>0</v>
      </c>
      <c r="L150" s="107">
        <f t="shared" si="1"/>
        <v>0</v>
      </c>
      <c r="M150" s="107">
        <f t="shared" si="2"/>
        <v>0</v>
      </c>
    </row>
    <row r="151" spans="2:13" ht="17.25" x14ac:dyDescent="0.25">
      <c r="B151" s="112"/>
      <c r="C151" s="112" t="s">
        <v>23</v>
      </c>
      <c r="D151" s="113">
        <f>+D3+D28+D82+D115+D131+D145+D148</f>
        <v>148398411720</v>
      </c>
      <c r="E151" s="113">
        <f>+E3+E28+E82+E115+E131+E145+E148</f>
        <v>2231171633.8499999</v>
      </c>
      <c r="F151" s="113">
        <f>+F3+F28+F82+F115+F131+F145+F148</f>
        <v>0</v>
      </c>
      <c r="G151" s="113">
        <f>+G3+G28+G82+G115+G131+G145+G148</f>
        <v>2231171633.8499999</v>
      </c>
      <c r="H151" s="113">
        <f>+H3+H28+H82+H115+H131+H145</f>
        <v>0</v>
      </c>
      <c r="I151" s="113">
        <f>+I3+I28+I82+I115+I131+I145+I148</f>
        <v>136630086152.53</v>
      </c>
      <c r="J151" s="113">
        <f>+J3+J28+J82+J115+J131+J145+J148</f>
        <v>138861257786.38</v>
      </c>
      <c r="K151" s="113">
        <f>+K3+K28+K82+K115+K131+K145+K148</f>
        <v>9537153933.6199989</v>
      </c>
      <c r="L151" s="114">
        <f>SUM(G151:I151)/D151</f>
        <v>0.93573277622664308</v>
      </c>
      <c r="M151" s="114">
        <f>+K151/D151</f>
        <v>6.426722377335696E-2</v>
      </c>
    </row>
    <row r="152" spans="2:13" x14ac:dyDescent="0.25">
      <c r="D152" s="92">
        <f>+D151-Estado!C10</f>
        <v>0</v>
      </c>
      <c r="E152" s="92">
        <f>+E151-Estado!G10</f>
        <v>0</v>
      </c>
      <c r="F152" s="92">
        <f>+F151-Estado!E10</f>
        <v>0</v>
      </c>
      <c r="G152" s="92">
        <f>+G151-Estado!G10</f>
        <v>0</v>
      </c>
      <c r="H152" s="92"/>
      <c r="I152" s="92">
        <f>+I151-Estado!K10</f>
        <v>0</v>
      </c>
      <c r="J152" s="92"/>
      <c r="K152" s="92">
        <f>+K151-Estado!O10</f>
        <v>0</v>
      </c>
      <c r="L152" s="92"/>
    </row>
    <row r="157" spans="2:13" x14ac:dyDescent="0.25">
      <c r="J157" s="22">
        <f>+G151+I151</f>
        <v>138861257786.38</v>
      </c>
    </row>
    <row r="158" spans="2:13" x14ac:dyDescent="0.25">
      <c r="J158" s="22">
        <f>+J151-J157</f>
        <v>0</v>
      </c>
    </row>
  </sheetData>
  <sheetProtection selectLockedCells="1" selectUnlockedCells="1"/>
  <mergeCells count="9">
    <mergeCell ref="K1:K2"/>
    <mergeCell ref="L1:L2"/>
    <mergeCell ref="M1:M2"/>
    <mergeCell ref="C1:C2"/>
    <mergeCell ref="D1:D2"/>
    <mergeCell ref="E1:E2"/>
    <mergeCell ref="F1:F2"/>
    <mergeCell ref="G1:I1"/>
    <mergeCell ref="J1:J2"/>
  </mergeCells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7"/>
  <sheetViews>
    <sheetView topLeftCell="A148" zoomScaleNormal="100" workbookViewId="0">
      <selection sqref="A1:I1"/>
    </sheetView>
  </sheetViews>
  <sheetFormatPr baseColWidth="10" defaultRowHeight="15" x14ac:dyDescent="0.25"/>
  <cols>
    <col min="1" max="1" width="8.5703125" style="23" customWidth="1"/>
    <col min="2" max="2" width="45.7109375" style="23" customWidth="1"/>
    <col min="3" max="4" width="20.28515625" style="23" customWidth="1"/>
    <col min="5" max="5" width="19.7109375" style="23" customWidth="1"/>
    <col min="6" max="6" width="20.28515625" style="23" customWidth="1"/>
    <col min="7" max="7" width="20.7109375" style="115" customWidth="1"/>
    <col min="8" max="8" width="12.85546875" style="23" customWidth="1"/>
    <col min="9" max="9" width="14.28515625" style="23" customWidth="1"/>
    <col min="10" max="10" width="26.28515625" style="34" customWidth="1"/>
    <col min="11" max="11" width="20" style="34" customWidth="1"/>
    <col min="12" max="256" width="9.140625" style="23" customWidth="1"/>
    <col min="257" max="16384" width="11.42578125" style="23"/>
  </cols>
  <sheetData>
    <row r="1" spans="1:11" ht="15.75" x14ac:dyDescent="0.25">
      <c r="A1" s="600" t="s">
        <v>0</v>
      </c>
      <c r="B1" s="600"/>
      <c r="C1" s="600"/>
      <c r="D1" s="600"/>
      <c r="E1" s="600"/>
      <c r="F1" s="600"/>
      <c r="G1" s="600"/>
      <c r="H1" s="600"/>
      <c r="I1" s="600"/>
    </row>
    <row r="2" spans="1:11" ht="15.75" x14ac:dyDescent="0.25">
      <c r="A2" s="600" t="str">
        <f>+Estado!A4</f>
        <v xml:space="preserve">AL 31 DE DICIEMBRE 2020        </v>
      </c>
      <c r="B2" s="600"/>
      <c r="C2" s="600"/>
      <c r="D2" s="600"/>
      <c r="E2" s="600"/>
      <c r="F2" s="600"/>
      <c r="G2" s="600"/>
      <c r="H2" s="600"/>
      <c r="I2" s="600"/>
    </row>
    <row r="3" spans="1:11" ht="15.75" x14ac:dyDescent="0.25">
      <c r="A3" s="600" t="s">
        <v>1</v>
      </c>
      <c r="B3" s="600"/>
      <c r="C3" s="600"/>
      <c r="D3" s="600"/>
      <c r="E3" s="600"/>
      <c r="F3" s="600"/>
      <c r="G3" s="600"/>
      <c r="H3" s="600"/>
      <c r="I3" s="600"/>
    </row>
    <row r="5" spans="1:11" ht="15" customHeight="1" x14ac:dyDescent="0.25">
      <c r="A5" s="610" t="s">
        <v>2</v>
      </c>
      <c r="B5" s="607" t="s">
        <v>394</v>
      </c>
      <c r="C5" s="607" t="s">
        <v>687</v>
      </c>
      <c r="D5" s="607" t="s">
        <v>4</v>
      </c>
      <c r="E5" s="607" t="s">
        <v>5</v>
      </c>
      <c r="F5" s="97" t="s">
        <v>6</v>
      </c>
      <c r="G5" s="611" t="s">
        <v>7</v>
      </c>
      <c r="H5" s="607" t="s">
        <v>8</v>
      </c>
      <c r="I5" s="612" t="s">
        <v>689</v>
      </c>
    </row>
    <row r="6" spans="1:11" x14ac:dyDescent="0.25">
      <c r="A6" s="610"/>
      <c r="B6" s="607"/>
      <c r="C6" s="607"/>
      <c r="D6" s="607"/>
      <c r="E6" s="607"/>
      <c r="F6" s="116" t="s">
        <v>690</v>
      </c>
      <c r="G6" s="611"/>
      <c r="H6" s="607"/>
      <c r="I6" s="612"/>
    </row>
    <row r="7" spans="1:11" s="74" customFormat="1" x14ac:dyDescent="0.25">
      <c r="A7" s="117" t="str">
        <f>+Hoja4!B3</f>
        <v>E-0</v>
      </c>
      <c r="B7" s="118" t="str">
        <f>+Hoja4!C3</f>
        <v>REMUNERACIONES</v>
      </c>
      <c r="C7" s="119">
        <f>+C8+C12+C16+C22+C25+C30</f>
        <v>94465165805.5</v>
      </c>
      <c r="D7" s="119">
        <f>+D8+D12+D16+D22+D25+D30</f>
        <v>58064915.509999998</v>
      </c>
      <c r="E7" s="119">
        <f>+E8+E12+E16+E22+E25+E30</f>
        <v>0</v>
      </c>
      <c r="F7" s="119">
        <f>+F8+F12+F16+F22+F25+F30</f>
        <v>89123419502.060013</v>
      </c>
      <c r="G7" s="119">
        <f>+G8+G12+G16+G22+G25+G30</f>
        <v>5341746303.4399996</v>
      </c>
      <c r="H7" s="120">
        <f>+IFERROR(Hoja4!L3,0)</f>
        <v>0.94345273987621592</v>
      </c>
      <c r="I7" s="120">
        <f>+IFERROR(Hoja4!M3,0)</f>
        <v>5.6547260123784061E-2</v>
      </c>
      <c r="J7" s="121">
        <f>+F7-Hoja4!J3</f>
        <v>0</v>
      </c>
      <c r="K7" s="121">
        <f>+C7-Estado!C11</f>
        <v>0</v>
      </c>
    </row>
    <row r="8" spans="1:11" x14ac:dyDescent="0.25">
      <c r="A8" s="122" t="str">
        <f>+Hoja4!B4</f>
        <v>E-001</v>
      </c>
      <c r="B8" s="123" t="str">
        <f>+Hoja4!C4</f>
        <v>REMUNERACIONES BASIC</v>
      </c>
      <c r="C8" s="124">
        <f>SUM(C9:C11)</f>
        <v>33438929375.5</v>
      </c>
      <c r="D8" s="124">
        <f>SUM(D9:D11)</f>
        <v>0</v>
      </c>
      <c r="E8" s="124">
        <f>SUM(E9:E11)</f>
        <v>0</v>
      </c>
      <c r="F8" s="124">
        <f>SUM(F9:F11)</f>
        <v>31829423587.170002</v>
      </c>
      <c r="G8" s="124">
        <f>SUM(G9:G11)</f>
        <v>1609505788.3300002</v>
      </c>
      <c r="H8" s="125">
        <f>+IFERROR(Hoja4!L4,0)</f>
        <v>0.95186730501278405</v>
      </c>
      <c r="I8" s="125">
        <f>+IFERROR(Hoja4!M4,0)</f>
        <v>4.8132694987216042E-2</v>
      </c>
    </row>
    <row r="9" spans="1:11" x14ac:dyDescent="0.25">
      <c r="A9" s="126" t="str">
        <f>+Hoja4!B5</f>
        <v>E-00101</v>
      </c>
      <c r="B9" s="127" t="str">
        <f>+Hoja4!C5</f>
        <v>SUELDOS P/ C. FIJOS</v>
      </c>
      <c r="C9" s="128">
        <f>+SUMIF(Hoja4!$B$3:$B$168,$A9,Hoja4!$D$3:$D$168)</f>
        <v>33432229375.5</v>
      </c>
      <c r="D9" s="128">
        <f>+SUMIF(Hoja4!$B$3:$B$168,$A9,Hoja4!$E$3:$E$168)</f>
        <v>0</v>
      </c>
      <c r="E9" s="128">
        <f>+SUMIF(Hoja4!$B$3:$B$168,$A9,Hoja4!$F$3:$F$168)</f>
        <v>0</v>
      </c>
      <c r="F9" s="128">
        <f>+SUMIF(Hoja4!$B$3:$B$168,$A9,Hoja4!$J$3:$J$168)</f>
        <v>31829423587.170002</v>
      </c>
      <c r="G9" s="128">
        <f>+SUMIF(Hoja4!$B$3:$B$168,$A9,Hoja4!$K$3:$K$168)</f>
        <v>1602805788.3300002</v>
      </c>
      <c r="H9" s="30">
        <f>+IFERROR(Hoja4!L5,0)</f>
        <v>0.95205806438069684</v>
      </c>
      <c r="I9" s="30">
        <f>+IFERROR(Hoja4!M5,0)</f>
        <v>4.7941935619303259E-2</v>
      </c>
    </row>
    <row r="10" spans="1:11" x14ac:dyDescent="0.25">
      <c r="A10" s="126" t="str">
        <f>+Hoja4!B6</f>
        <v>E-00103</v>
      </c>
      <c r="B10" s="127" t="str">
        <f>+Hoja4!C6</f>
        <v>SERVICIOS ESPECIALES</v>
      </c>
      <c r="C10" s="128">
        <f>+SUMIF(Hoja4!$B$3:$B$168,$A10,Hoja4!$D$3:$D$168)</f>
        <v>0</v>
      </c>
      <c r="D10" s="128">
        <f>+SUMIF(Hoja4!$B$3:$B$168,$A10,Hoja4!$E$3:$E$168)</f>
        <v>0</v>
      </c>
      <c r="E10" s="128">
        <f>+SUMIF(Hoja4!$B$3:$B$168,$A10,Hoja4!$F$3:$F$168)</f>
        <v>0</v>
      </c>
      <c r="F10" s="128">
        <f>+SUMIF(Hoja4!$B$3:$B$168,$A10,Hoja4!$J$3:$J$168)</f>
        <v>0</v>
      </c>
      <c r="G10" s="128">
        <f>+SUMIF(Hoja4!$B$3:$B$168,$A10,Hoja4!$K$3:$K$168)</f>
        <v>0</v>
      </c>
      <c r="H10" s="30">
        <f>+IFERROR(Hoja4!L6,0)</f>
        <v>0</v>
      </c>
      <c r="I10" s="30">
        <f>+IFERROR(Hoja4!M6,0)</f>
        <v>0</v>
      </c>
    </row>
    <row r="11" spans="1:11" x14ac:dyDescent="0.25">
      <c r="A11" s="126" t="str">
        <f>+Hoja4!B7</f>
        <v>E-00105</v>
      </c>
      <c r="B11" s="127" t="str">
        <f>+Hoja4!C7</f>
        <v>SUPLENCIAS</v>
      </c>
      <c r="C11" s="128">
        <f>+SUMIF(Hoja4!$B$3:$B$168,$A11,Hoja4!$D$3:$D$168)</f>
        <v>6700000</v>
      </c>
      <c r="D11" s="128">
        <f>+SUMIF(Hoja4!$B$3:$B$168,$A11,Hoja4!$E$3:$E$168)</f>
        <v>0</v>
      </c>
      <c r="E11" s="128">
        <f>+SUMIF(Hoja4!$B$3:$B$168,$A11,Hoja4!$F$3:$F$168)</f>
        <v>0</v>
      </c>
      <c r="F11" s="128">
        <f>+SUMIF(Hoja4!$B$3:$B$168,$A11,Hoja4!$J$3:$J$168)</f>
        <v>0</v>
      </c>
      <c r="G11" s="128">
        <f>+SUMIF(Hoja4!$B$3:$B$168,$A11,Hoja4!$K$3:$K$168)</f>
        <v>6700000</v>
      </c>
      <c r="H11" s="30">
        <f>+IFERROR(Hoja4!L7,0)</f>
        <v>0</v>
      </c>
      <c r="I11" s="30">
        <f>+IFERROR(Hoja4!M7,0)</f>
        <v>1</v>
      </c>
    </row>
    <row r="12" spans="1:11" x14ac:dyDescent="0.25">
      <c r="A12" s="122" t="str">
        <f>+Hoja4!B8</f>
        <v>E-002</v>
      </c>
      <c r="B12" s="123" t="str">
        <f>+Hoja4!C8</f>
        <v>REMUNERACIONES EVENT</v>
      </c>
      <c r="C12" s="124">
        <f>SUM(C13:C15)</f>
        <v>3726725900</v>
      </c>
      <c r="D12" s="124">
        <f>SUM(D13:D15)</f>
        <v>0</v>
      </c>
      <c r="E12" s="124">
        <f>SUM(E13:E15)</f>
        <v>0</v>
      </c>
      <c r="F12" s="124">
        <f>SUM(F13:F15)</f>
        <v>3626989544.98</v>
      </c>
      <c r="G12" s="124">
        <f>SUM(G13:G15)</f>
        <v>99736355.019999996</v>
      </c>
      <c r="H12" s="125">
        <f>+IFERROR(Hoja4!L8,0)</f>
        <v>0.97323753941227609</v>
      </c>
      <c r="I12" s="125">
        <f>+IFERROR(Hoja4!M8,0)</f>
        <v>2.676246058772393E-2</v>
      </c>
    </row>
    <row r="13" spans="1:11" x14ac:dyDescent="0.25">
      <c r="A13" s="126" t="str">
        <f>+Hoja4!B9</f>
        <v>E-00201</v>
      </c>
      <c r="B13" s="127" t="str">
        <f>+Hoja4!C9</f>
        <v>TIEMPO EXTRAORD.</v>
      </c>
      <c r="C13" s="128">
        <f>+SUMIF(Hoja4!$B$3:$B$168,$A13,Hoja4!$D$3:$D$168)</f>
        <v>19000000</v>
      </c>
      <c r="D13" s="128">
        <f>+SUMIF(Hoja4!$B$3:$B$168,$A13,Hoja4!$E$3:$E$168)</f>
        <v>0</v>
      </c>
      <c r="E13" s="128">
        <f>+SUMIF(Hoja4!$B$3:$B$168,$A13,Hoja4!$F$3:$F$168)</f>
        <v>0</v>
      </c>
      <c r="F13" s="128">
        <f>+SUMIF(Hoja4!$B$3:$B$168,$A13,Hoja4!$J$3:$J$168)</f>
        <v>9082088.370000001</v>
      </c>
      <c r="G13" s="128">
        <f>+SUMIF(Hoja4!$B$3:$B$168,$A13,Hoja4!$K$3:$K$168)</f>
        <v>9917911.629999999</v>
      </c>
      <c r="H13" s="30">
        <f>+IFERROR(Hoja4!L9,0)</f>
        <v>0.47800465105263162</v>
      </c>
      <c r="I13" s="30">
        <f>+IFERROR(Hoja4!M9,0)</f>
        <v>0.52199534894736832</v>
      </c>
    </row>
    <row r="14" spans="1:11" x14ac:dyDescent="0.25">
      <c r="A14" s="126" t="str">
        <f>+Hoja4!B10</f>
        <v>E-00202</v>
      </c>
      <c r="B14" s="127" t="str">
        <f>+Hoja4!C10</f>
        <v>RECARGO DE FUNCIONES</v>
      </c>
      <c r="C14" s="128">
        <f>+SUMIF(Hoja4!$B$3:$B$168,$A14,Hoja4!$D$3:$D$168)</f>
        <v>25000000</v>
      </c>
      <c r="D14" s="128">
        <f>+SUMIF(Hoja4!$B$3:$B$168,$A14,Hoja4!$E$3:$E$168)</f>
        <v>0</v>
      </c>
      <c r="E14" s="128">
        <f>+SUMIF(Hoja4!$B$3:$B$168,$A14,Hoja4!$F$3:$F$168)</f>
        <v>0</v>
      </c>
      <c r="F14" s="128">
        <f>+SUMIF(Hoja4!$B$3:$B$168,$A14,Hoja4!$J$3:$J$168)</f>
        <v>2126940</v>
      </c>
      <c r="G14" s="128">
        <f>+SUMIF(Hoja4!$B$3:$B$168,$A14,Hoja4!$K$3:$K$168)</f>
        <v>22873060</v>
      </c>
      <c r="H14" s="30">
        <f>+IFERROR(Hoja4!L10,0)</f>
        <v>8.5077600000000003E-2</v>
      </c>
      <c r="I14" s="30">
        <f>+IFERROR(Hoja4!M10,0)</f>
        <v>0.91492240000000002</v>
      </c>
    </row>
    <row r="15" spans="1:11" x14ac:dyDescent="0.25">
      <c r="A15" s="126" t="str">
        <f>+Hoja4!B11</f>
        <v>E-00203</v>
      </c>
      <c r="B15" s="127" t="str">
        <f>+Hoja4!C11</f>
        <v>DISPONIBILIDAD LAB.</v>
      </c>
      <c r="C15" s="128">
        <f>+SUMIF(Hoja4!$B$3:$B$168,$A15,Hoja4!$D$3:$D$168)</f>
        <v>3682725900</v>
      </c>
      <c r="D15" s="128">
        <f>+SUMIF(Hoja4!$B$3:$B$168,$A15,Hoja4!$E$3:$E$168)</f>
        <v>0</v>
      </c>
      <c r="E15" s="128">
        <f>+SUMIF(Hoja4!$B$3:$B$168,$A15,Hoja4!$F$3:$F$168)</f>
        <v>0</v>
      </c>
      <c r="F15" s="128">
        <f>+SUMIF(Hoja4!$B$3:$B$168,$A15,Hoja4!$J$3:$J$168)</f>
        <v>3615780516.6100001</v>
      </c>
      <c r="G15" s="128">
        <f>+SUMIF(Hoja4!$B$3:$B$168,$A15,Hoja4!$K$3:$K$168)</f>
        <v>66945383.390000001</v>
      </c>
      <c r="H15" s="30">
        <f>+IFERROR(Hoja4!L11,0)</f>
        <v>0.98182178494739458</v>
      </c>
      <c r="I15" s="30">
        <f>+IFERROR(Hoja4!M11,0)</f>
        <v>1.8178215052605463E-2</v>
      </c>
    </row>
    <row r="16" spans="1:11" x14ac:dyDescent="0.25">
      <c r="A16" s="122" t="str">
        <f>+Hoja4!B12</f>
        <v>E-003</v>
      </c>
      <c r="B16" s="123" t="str">
        <f>+Hoja4!C12</f>
        <v>INCENTIVOS SALARIAL</v>
      </c>
      <c r="C16" s="124">
        <f>SUM(C17:C21)</f>
        <v>42769500212</v>
      </c>
      <c r="D16" s="124">
        <f>SUM(D17:D21)</f>
        <v>58064915.509999998</v>
      </c>
      <c r="E16" s="124">
        <f>SUM(E17:E21)</f>
        <v>0</v>
      </c>
      <c r="F16" s="124">
        <f>SUM(F17:F21)</f>
        <v>40076093937.889999</v>
      </c>
      <c r="G16" s="124">
        <f>SUM(G17:G21)</f>
        <v>2693406274.1099997</v>
      </c>
      <c r="H16" s="125">
        <f>+IFERROR(Hoja4!L12,0)</f>
        <v>0.93702507018414249</v>
      </c>
      <c r="I16" s="125">
        <f>+IFERROR(Hoja4!M12,0)</f>
        <v>6.2974929815857436E-2</v>
      </c>
    </row>
    <row r="17" spans="1:11" x14ac:dyDescent="0.25">
      <c r="A17" s="126" t="str">
        <f>+Hoja4!B13</f>
        <v>E-00301</v>
      </c>
      <c r="B17" s="127" t="str">
        <f>+Hoja4!C13</f>
        <v>RETRIB AÑOS SERVIDOS</v>
      </c>
      <c r="C17" s="128">
        <f>+SUMIF(Hoja4!$B$3:$B$168,$A17,Hoja4!$D$3:$D$168)</f>
        <v>12646955367</v>
      </c>
      <c r="D17" s="128">
        <f>+SUMIF(Hoja4!$B$3:$B$168,$A17,Hoja4!$E$3:$E$168)</f>
        <v>0</v>
      </c>
      <c r="E17" s="128">
        <f>+SUMIF(Hoja4!$B$3:$B$168,$A17,Hoja4!$F$3:$F$168)</f>
        <v>0</v>
      </c>
      <c r="F17" s="128">
        <f>+SUMIF(Hoja4!$B$3:$B$168,$A17,Hoja4!$J$3:$J$168)</f>
        <v>11684025663.9</v>
      </c>
      <c r="G17" s="128">
        <f>+SUMIF(Hoja4!$B$3:$B$168,$A17,Hoja4!$K$3:$K$168)</f>
        <v>962929703.10000014</v>
      </c>
      <c r="H17" s="30">
        <f>+IFERROR(Hoja4!L13,0)</f>
        <v>0.92386074947235164</v>
      </c>
      <c r="I17" s="30">
        <f>+IFERROR(Hoja4!M13,0)</f>
        <v>7.6139250527648375E-2</v>
      </c>
    </row>
    <row r="18" spans="1:11" x14ac:dyDescent="0.25">
      <c r="A18" s="126" t="str">
        <f>+Hoja4!B14</f>
        <v>E-00302</v>
      </c>
      <c r="B18" s="127" t="str">
        <f>+Hoja4!C14</f>
        <v>REST. EJERC LIB PROF</v>
      </c>
      <c r="C18" s="128">
        <f>+SUMIF(Hoja4!$B$3:$B$168,$A18,Hoja4!$D$3:$D$168)</f>
        <v>8423589548</v>
      </c>
      <c r="D18" s="128">
        <f>+SUMIF(Hoja4!$B$3:$B$168,$A18,Hoja4!$E$3:$E$168)</f>
        <v>0</v>
      </c>
      <c r="E18" s="128">
        <f>+SUMIF(Hoja4!$B$3:$B$168,$A18,Hoja4!$F$3:$F$168)</f>
        <v>0</v>
      </c>
      <c r="F18" s="128">
        <f>+SUMIF(Hoja4!$B$3:$B$168,$A18,Hoja4!$J$3:$J$168)</f>
        <v>7830008704.6499996</v>
      </c>
      <c r="G18" s="128">
        <f>+SUMIF(Hoja4!$B$3:$B$168,$A18,Hoja4!$K$3:$K$168)</f>
        <v>593580843.3499999</v>
      </c>
      <c r="H18" s="30">
        <f>+IFERROR(Hoja4!L14,0)</f>
        <v>0.92953350350612307</v>
      </c>
      <c r="I18" s="30">
        <f>+IFERROR(Hoja4!M14,0)</f>
        <v>7.0466496493876873E-2</v>
      </c>
    </row>
    <row r="19" spans="1:11" x14ac:dyDescent="0.25">
      <c r="A19" s="126" t="str">
        <f>+Hoja4!B15</f>
        <v>E-00303</v>
      </c>
      <c r="B19" s="127" t="str">
        <f>+Hoja4!C15</f>
        <v>DECIMOTERCER MES</v>
      </c>
      <c r="C19" s="128">
        <f>+SUMIF(Hoja4!$B$3:$B$168,$A19,Hoja4!$D$3:$D$168)</f>
        <v>6199358676</v>
      </c>
      <c r="D19" s="128">
        <f>+SUMIF(Hoja4!$B$3:$B$168,$A19,Hoja4!$E$3:$E$168)</f>
        <v>0</v>
      </c>
      <c r="E19" s="128">
        <f>+SUMIF(Hoja4!$B$3:$B$168,$A19,Hoja4!$F$3:$F$168)</f>
        <v>0</v>
      </c>
      <c r="F19" s="128">
        <f>+SUMIF(Hoja4!$B$3:$B$168,$A19,Hoja4!$J$3:$J$168)</f>
        <v>5819261580.46</v>
      </c>
      <c r="G19" s="128">
        <f>+SUMIF(Hoja4!$B$3:$B$168,$A19,Hoja4!$K$3:$K$168)</f>
        <v>380097095.53999996</v>
      </c>
      <c r="H19" s="30">
        <f>+IFERROR(Hoja4!L15,0)</f>
        <v>0.93868767474101866</v>
      </c>
      <c r="I19" s="30">
        <f>+IFERROR(Hoja4!M15,0)</f>
        <v>6.1312325258981344E-2</v>
      </c>
    </row>
    <row r="20" spans="1:11" x14ac:dyDescent="0.25">
      <c r="A20" s="126" t="str">
        <f>+Hoja4!B16</f>
        <v>E-00304</v>
      </c>
      <c r="B20" s="127" t="str">
        <f>+Hoja4!C16</f>
        <v>SALARIO ESCOLAR</v>
      </c>
      <c r="C20" s="128">
        <f>+SUMIF(Hoja4!$B$3:$B$168,$A20,Hoja4!$D$3:$D$168)</f>
        <v>5588747198</v>
      </c>
      <c r="D20" s="128">
        <f>+SUMIF(Hoja4!$B$3:$B$168,$A20,Hoja4!$E$3:$E$168)</f>
        <v>57864915.509999998</v>
      </c>
      <c r="E20" s="128">
        <f>+SUMIF(Hoja4!$B$3:$B$168,$A20,Hoja4!$F$3:$F$168)</f>
        <v>0</v>
      </c>
      <c r="F20" s="128">
        <f>+SUMIF(Hoja4!$B$3:$B$168,$A20,Hoja4!$J$3:$J$168)</f>
        <v>5429835080.3900013</v>
      </c>
      <c r="G20" s="128">
        <f>+SUMIF(Hoja4!$B$3:$B$168,$A20,Hoja4!$K$3:$K$168)</f>
        <v>158912117.60999998</v>
      </c>
      <c r="H20" s="30">
        <f>+IFERROR(Hoja4!L16,0)</f>
        <v>0.97156569943495252</v>
      </c>
      <c r="I20" s="30">
        <f>+IFERROR(Hoja4!M16,0)</f>
        <v>2.8434300565047671E-2</v>
      </c>
    </row>
    <row r="21" spans="1:11" x14ac:dyDescent="0.25">
      <c r="A21" s="126" t="str">
        <f>+Hoja4!B17</f>
        <v>E-00399</v>
      </c>
      <c r="B21" s="127" t="str">
        <f>+Hoja4!C17</f>
        <v>OTROS INCENT SALAR.</v>
      </c>
      <c r="C21" s="128">
        <f>+SUMIF(Hoja4!$B$3:$B$168,$A21,Hoja4!$D$3:$D$168)</f>
        <v>9910849423</v>
      </c>
      <c r="D21" s="128">
        <f>+SUMIF(Hoja4!$B$3:$B$168,$A21,Hoja4!$E$3:$E$168)</f>
        <v>200000</v>
      </c>
      <c r="E21" s="128">
        <f>+SUMIF(Hoja4!$B$3:$B$168,$A21,Hoja4!$F$3:$F$168)</f>
        <v>0</v>
      </c>
      <c r="F21" s="128">
        <f>+SUMIF(Hoja4!$B$3:$B$168,$A21,Hoja4!$J$3:$J$168)</f>
        <v>9312962908.4899998</v>
      </c>
      <c r="G21" s="128">
        <f>+SUMIF(Hoja4!$B$3:$B$168,$A21,Hoja4!$K$3:$K$168)</f>
        <v>597886514.50999999</v>
      </c>
      <c r="H21" s="30">
        <f>+IFERROR(Hoja4!L17,0)</f>
        <v>0.93967353462938386</v>
      </c>
      <c r="I21" s="30">
        <f>+IFERROR(Hoja4!M17,0)</f>
        <v>6.0326465370616096E-2</v>
      </c>
    </row>
    <row r="22" spans="1:11" x14ac:dyDescent="0.25">
      <c r="A22" s="122" t="str">
        <f>+Hoja4!B18</f>
        <v>E-004</v>
      </c>
      <c r="B22" s="123" t="str">
        <f>+Hoja4!C18</f>
        <v>CONT PATR DESA S.SOC</v>
      </c>
      <c r="C22" s="124">
        <f>SUM(C23:C24)</f>
        <v>7233514296</v>
      </c>
      <c r="D22" s="124">
        <f>SUM(D23:D24)</f>
        <v>0</v>
      </c>
      <c r="E22" s="124">
        <f>SUM(E23:E24)</f>
        <v>0</v>
      </c>
      <c r="F22" s="124">
        <f>SUM(F23:F24)</f>
        <v>6787737623.7200003</v>
      </c>
      <c r="G22" s="124">
        <f>SUM(G23:G24)</f>
        <v>445776672.28000009</v>
      </c>
      <c r="H22" s="125">
        <f>+IFERROR(Hoja4!L18,0)</f>
        <v>0.93837343039101939</v>
      </c>
      <c r="I22" s="125">
        <f>+IFERROR(Hoja4!M18,0)</f>
        <v>6.162656960898056E-2</v>
      </c>
    </row>
    <row r="23" spans="1:11" x14ac:dyDescent="0.25">
      <c r="A23" s="126" t="str">
        <f>+Hoja4!B19</f>
        <v>E-00401</v>
      </c>
      <c r="B23" s="127" t="str">
        <f>+Hoja4!C19</f>
        <v>CONT P.SEG.S C.C.S.S</v>
      </c>
      <c r="C23" s="128">
        <f>+SUMIF(Hoja4!$B$3:$B$168,$A23,Hoja4!$D$3:$D$168)</f>
        <v>6862565841</v>
      </c>
      <c r="D23" s="128">
        <f>+SUMIF(Hoja4!$B$3:$B$168,$A23,Hoja4!$E$3:$E$168)</f>
        <v>0</v>
      </c>
      <c r="E23" s="128">
        <f>+SUMIF(Hoja4!$B$3:$B$168,$A23,Hoja4!$F$3:$F$168)</f>
        <v>0</v>
      </c>
      <c r="F23" s="128">
        <f>+SUMIF(Hoja4!$B$3:$B$168,$A23,Hoja4!$J$3:$J$168)</f>
        <v>6439730356.9499998</v>
      </c>
      <c r="G23" s="128">
        <f>+SUMIF(Hoja4!$B$3:$B$168,$A23,Hoja4!$K$3:$K$168)</f>
        <v>422835484.05000007</v>
      </c>
      <c r="H23" s="30">
        <f>+IFERROR(Hoja4!L19,0)</f>
        <v>0.93838522006975955</v>
      </c>
      <c r="I23" s="30">
        <f>+IFERROR(Hoja4!M19,0)</f>
        <v>6.1614779930240393E-2</v>
      </c>
    </row>
    <row r="24" spans="1:11" x14ac:dyDescent="0.25">
      <c r="A24" s="126" t="str">
        <f>+Hoja4!B20</f>
        <v>E-00405</v>
      </c>
      <c r="B24" s="127" t="str">
        <f>+Hoja4!C20</f>
        <v>CONTRIB PAT B.P.D.C.</v>
      </c>
      <c r="C24" s="128">
        <f>+SUMIF(Hoja4!$B$3:$B$168,$A24,Hoja4!$D$3:$D$168)</f>
        <v>370948455</v>
      </c>
      <c r="D24" s="128">
        <f>+SUMIF(Hoja4!$B$3:$B$168,$A24,Hoja4!$E$3:$E$168)</f>
        <v>0</v>
      </c>
      <c r="E24" s="128">
        <f>+SUMIF(Hoja4!$B$3:$B$168,$A24,Hoja4!$F$3:$F$168)</f>
        <v>0</v>
      </c>
      <c r="F24" s="128">
        <f>+SUMIF(Hoja4!$B$3:$B$168,$A24,Hoja4!$J$3:$J$168)</f>
        <v>348007266.77000004</v>
      </c>
      <c r="G24" s="128">
        <f>+SUMIF(Hoja4!$B$3:$B$168,$A24,Hoja4!$K$3:$K$168)</f>
        <v>22941188.23</v>
      </c>
      <c r="H24" s="30">
        <f>+IFERROR(Hoja4!L20,0)</f>
        <v>0.93815532071699836</v>
      </c>
      <c r="I24" s="30">
        <f>+IFERROR(Hoja4!M20,0)</f>
        <v>6.1844679283001733E-2</v>
      </c>
    </row>
    <row r="25" spans="1:11" x14ac:dyDescent="0.25">
      <c r="A25" s="122" t="str">
        <f>+Hoja4!B21</f>
        <v>E-005</v>
      </c>
      <c r="B25" s="123" t="str">
        <f>+Hoja4!C21</f>
        <v>CONT PATR F.PENS OTR</v>
      </c>
      <c r="C25" s="124">
        <f>SUM(C26:C29)</f>
        <v>7296496022</v>
      </c>
      <c r="D25" s="124">
        <f>SUM(D26:D29)</f>
        <v>0</v>
      </c>
      <c r="E25" s="124">
        <f>SUM(E26:E29)</f>
        <v>0</v>
      </c>
      <c r="F25" s="124">
        <f>SUM(F26:F29)</f>
        <v>6803174808.3000002</v>
      </c>
      <c r="G25" s="124">
        <f>SUM(G26:G29)</f>
        <v>493321213.70000005</v>
      </c>
      <c r="H25" s="125">
        <f>+IFERROR(Hoja4!L21,0)</f>
        <v>0.93238929861503861</v>
      </c>
      <c r="I25" s="125">
        <f>+IFERROR(Hoja4!M21,0)</f>
        <v>6.7610701384961294E-2</v>
      </c>
    </row>
    <row r="26" spans="1:11" s="74" customFormat="1" x14ac:dyDescent="0.25">
      <c r="A26" s="126" t="str">
        <f>+Hoja4!B22</f>
        <v>E-00501</v>
      </c>
      <c r="B26" s="127" t="str">
        <f>+Hoja4!C22</f>
        <v>CONT P.SPENS.C.C.S.S</v>
      </c>
      <c r="C26" s="128">
        <f>+SUMIF(Hoja4!$B$3:$B$168,$A26,Hoja4!$D$3:$D$168)</f>
        <v>3869884965</v>
      </c>
      <c r="D26" s="128">
        <f>+SUMIF(Hoja4!$B$3:$B$168,$A26,Hoja4!$E$3:$E$168)</f>
        <v>0</v>
      </c>
      <c r="E26" s="128">
        <f>+SUMIF(Hoja4!$B$3:$B$168,$A26,Hoja4!$F$3:$F$168)</f>
        <v>0</v>
      </c>
      <c r="F26" s="128">
        <f>+SUMIF(Hoja4!$B$3:$B$168,$A26,Hoja4!$J$3:$J$168)</f>
        <v>3592152439.9300003</v>
      </c>
      <c r="G26" s="128">
        <f>+SUMIF(Hoja4!$B$3:$B$168,$A26,Hoja4!$K$3:$K$168)</f>
        <v>277732525.07000005</v>
      </c>
      <c r="H26" s="125">
        <f>+IFERROR(Hoja4!L22,0)</f>
        <v>0.92823235636669632</v>
      </c>
      <c r="I26" s="125">
        <f>+IFERROR(Hoja4!M22,0)</f>
        <v>7.1767643633303721E-2</v>
      </c>
      <c r="J26" s="121"/>
      <c r="K26" s="121"/>
    </row>
    <row r="27" spans="1:11" x14ac:dyDescent="0.25">
      <c r="A27" s="126" t="str">
        <f>+Hoja4!B23</f>
        <v>E-00502</v>
      </c>
      <c r="B27" s="127" t="str">
        <f>+Hoja4!C23</f>
        <v>APORT P.RÉG.OBLI.P.C</v>
      </c>
      <c r="C27" s="128">
        <f>+SUMIF(Hoja4!$B$3:$B$168,$A27,Hoja4!$D$3:$D$168)</f>
        <v>1297482454</v>
      </c>
      <c r="D27" s="128">
        <f>+SUMIF(Hoja4!$B$3:$B$168,$A27,Hoja4!$E$3:$E$168)</f>
        <v>0</v>
      </c>
      <c r="E27" s="128">
        <f>+SUMIF(Hoja4!$B$3:$B$168,$A27,Hoja4!$F$3:$F$168)</f>
        <v>0</v>
      </c>
      <c r="F27" s="128">
        <f>+SUMIF(Hoja4!$B$3:$B$168,$A27,Hoja4!$J$3:$J$168)</f>
        <v>1206406035.0699999</v>
      </c>
      <c r="G27" s="128">
        <f>+SUMIF(Hoja4!$B$3:$B$168,$A27,Hoja4!$K$3:$K$168)</f>
        <v>91076418.930000007</v>
      </c>
      <c r="H27" s="30">
        <f>+IFERROR(Hoja4!L23,0)</f>
        <v>0.92980527894676246</v>
      </c>
      <c r="I27" s="30">
        <f>+IFERROR(Hoja4!M23,0)</f>
        <v>7.0194721053237458E-2</v>
      </c>
    </row>
    <row r="28" spans="1:11" x14ac:dyDescent="0.25">
      <c r="A28" s="126" t="str">
        <f>+Hoja4!B24</f>
        <v>E-00503</v>
      </c>
      <c r="B28" s="127" t="str">
        <f>+Hoja4!C24</f>
        <v>APORT P.FOND.CAP.LAB</v>
      </c>
      <c r="C28" s="128">
        <f>+SUMIF(Hoja4!$B$3:$B$168,$A28,Hoja4!$D$3:$D$168)</f>
        <v>2041061603</v>
      </c>
      <c r="D28" s="128">
        <f>+SUMIF(Hoja4!$B$3:$B$168,$A28,Hoja4!$E$3:$E$168)</f>
        <v>0</v>
      </c>
      <c r="E28" s="128">
        <f>+SUMIF(Hoja4!$B$3:$B$168,$A28,Hoja4!$F$3:$F$168)</f>
        <v>0</v>
      </c>
      <c r="F28" s="128">
        <f>+SUMIF(Hoja4!$B$3:$B$168,$A28,Hoja4!$J$3:$J$168)</f>
        <v>1925653389.8600001</v>
      </c>
      <c r="G28" s="128">
        <f>+SUMIF(Hoja4!$B$3:$B$168,$A28,Hoja4!$K$3:$K$168)</f>
        <v>115408213.13999999</v>
      </c>
      <c r="H28" s="30">
        <f>+IFERROR(Hoja4!L24,0)</f>
        <v>0.94345677123592442</v>
      </c>
      <c r="I28" s="30">
        <f>+IFERROR(Hoja4!M24,0)</f>
        <v>5.6543228764075665E-2</v>
      </c>
    </row>
    <row r="29" spans="1:11" x14ac:dyDescent="0.25">
      <c r="A29" s="126" t="str">
        <f>+Hoja4!B25</f>
        <v>E-00505</v>
      </c>
      <c r="B29" s="127" t="str">
        <f>+Hoja4!C25</f>
        <v>CONT.PAT.A.F.A.EPRIV</v>
      </c>
      <c r="C29" s="128">
        <f>+SUMIF(Hoja4!$B$3:$B$168,$A29,Hoja4!$D$3:$D$168)</f>
        <v>88067000</v>
      </c>
      <c r="D29" s="128">
        <f>+SUMIF(Hoja4!$B$3:$B$168,$A29,Hoja4!$E$3:$E$168)</f>
        <v>0</v>
      </c>
      <c r="E29" s="128">
        <f>+SUMIF(Hoja4!$B$3:$B$168,$A29,Hoja4!$F$3:$F$168)</f>
        <v>0</v>
      </c>
      <c r="F29" s="128">
        <f>+SUMIF(Hoja4!$B$3:$B$168,$A29,Hoja4!$J$3:$J$168)</f>
        <v>78962943.439999998</v>
      </c>
      <c r="G29" s="128">
        <f>+SUMIF(Hoja4!$B$3:$B$168,$A29,Hoja4!$K$3:$K$168)</f>
        <v>9104056.5600000005</v>
      </c>
      <c r="H29" s="30">
        <f>+IFERROR(Hoja4!L25,0)</f>
        <v>0.89662351891173764</v>
      </c>
      <c r="I29" s="30">
        <f>+IFERROR(Hoja4!M25,0)</f>
        <v>0.10337648108826235</v>
      </c>
    </row>
    <row r="30" spans="1:11" x14ac:dyDescent="0.25">
      <c r="A30" s="122" t="str">
        <f>+Hoja4!B26</f>
        <v>E-099</v>
      </c>
      <c r="B30" s="123" t="str">
        <f>+Hoja4!C26</f>
        <v>REMUNERACIONES DIVER</v>
      </c>
      <c r="C30" s="124">
        <f>+C31</f>
        <v>0</v>
      </c>
      <c r="D30" s="124">
        <f>+D31</f>
        <v>0</v>
      </c>
      <c r="E30" s="124">
        <f>+E31</f>
        <v>0</v>
      </c>
      <c r="F30" s="124">
        <f>+F31</f>
        <v>0</v>
      </c>
      <c r="G30" s="124">
        <f>+G31</f>
        <v>0</v>
      </c>
      <c r="H30" s="125">
        <f>+IFERROR(Hoja4!L26,0)</f>
        <v>0</v>
      </c>
      <c r="I30" s="125">
        <f>+IFERROR(Hoja4!M26,0)</f>
        <v>0</v>
      </c>
    </row>
    <row r="31" spans="1:11" x14ac:dyDescent="0.25">
      <c r="A31" s="126" t="str">
        <f>+Hoja4!B27</f>
        <v>E-09901</v>
      </c>
      <c r="B31" s="127" t="str">
        <f>+Hoja4!C27</f>
        <v>GASTOS REPRES.PERS.</v>
      </c>
      <c r="C31" s="128">
        <f>+SUMIF(Hoja4!$B$3:$B$168,$A31,Hoja4!$D$3:$D$168)</f>
        <v>0</v>
      </c>
      <c r="D31" s="128">
        <f>+SUMIF(Hoja4!$B$3:$B$168,$A31,Hoja4!$E$3:$E$168)</f>
        <v>0</v>
      </c>
      <c r="E31" s="128">
        <f>+SUMIF(Hoja4!$B$3:$B$168,$A31,Hoja4!$F$3:$F$168)</f>
        <v>0</v>
      </c>
      <c r="F31" s="128">
        <f>+SUMIF(Hoja4!$B$3:$B$168,$A31,Hoja4!$J$3:$J$168)</f>
        <v>0</v>
      </c>
      <c r="G31" s="128">
        <f>+SUMIF(Hoja4!$B$3:$B$168,$A31,Hoja4!$K$3:$K$168)</f>
        <v>0</v>
      </c>
      <c r="H31" s="30">
        <f>+IFERROR(Hoja4!L27,0)</f>
        <v>0</v>
      </c>
      <c r="I31" s="30">
        <f>+IFERROR(Hoja4!M27,0)</f>
        <v>0</v>
      </c>
    </row>
    <row r="32" spans="1:11" x14ac:dyDescent="0.25">
      <c r="A32" s="117" t="str">
        <f>+Hoja4!B28</f>
        <v>E-1</v>
      </c>
      <c r="B32" s="118" t="str">
        <f>+Hoja4!C28</f>
        <v>SERVICIOS</v>
      </c>
      <c r="C32" s="129">
        <f>+C33+C39+C45+C52+C60+C65+C68+C72+C80+C82</f>
        <v>19336844595</v>
      </c>
      <c r="D32" s="129">
        <f>+D33+D39+D45+D52+D60+D65+D68+D72+D80+D82</f>
        <v>821132059.80999994</v>
      </c>
      <c r="E32" s="129">
        <f>+E33+E39+E45+E52+E60+E65+E68+E72+E80+E82</f>
        <v>0</v>
      </c>
      <c r="F32" s="129">
        <f>+F33+F39+F45+F52+F60+F65+F68+F72+F80+F82</f>
        <v>17790527947.790001</v>
      </c>
      <c r="G32" s="129">
        <f>+G33+G39+G45+G52+G60+G65+G68+G72+G80+G82</f>
        <v>1546316647.21</v>
      </c>
      <c r="H32" s="120">
        <f>+IFERROR(Hoja4!L28,0)</f>
        <v>0.92003262788749762</v>
      </c>
      <c r="I32" s="120">
        <f>+IFERROR(Hoja4!M28,0)</f>
        <v>7.9967372112502627E-2</v>
      </c>
      <c r="K32" s="34">
        <f>+C32-Estado!C121</f>
        <v>0</v>
      </c>
    </row>
    <row r="33" spans="1:11" x14ac:dyDescent="0.25">
      <c r="A33" s="122" t="str">
        <f>+Hoja4!B29</f>
        <v>E-101</v>
      </c>
      <c r="B33" s="123" t="str">
        <f>+Hoja4!C29</f>
        <v>ALQUILERES</v>
      </c>
      <c r="C33" s="124">
        <f>SUM(C34:C38)</f>
        <v>10260500876.9</v>
      </c>
      <c r="D33" s="124">
        <f>SUM(D34:D38)</f>
        <v>273349814.25999999</v>
      </c>
      <c r="E33" s="124">
        <f>SUM(E34:E38)</f>
        <v>0</v>
      </c>
      <c r="F33" s="124">
        <f>SUM(F34:F38)</f>
        <v>9108243074.2399998</v>
      </c>
      <c r="G33" s="124">
        <f>SUM(G34:G38)</f>
        <v>1152257802.6599998</v>
      </c>
      <c r="H33" s="125">
        <f>+IFERROR(Hoja4!L29,0)</f>
        <v>0.88769965360520187</v>
      </c>
      <c r="I33" s="125">
        <f>+IFERROR(Hoja4!M29,0)</f>
        <v>0.11230034639479815</v>
      </c>
      <c r="K33" s="34">
        <f>+C33-Estado!C122</f>
        <v>0</v>
      </c>
    </row>
    <row r="34" spans="1:11" x14ac:dyDescent="0.25">
      <c r="A34" s="126" t="str">
        <f>+Hoja4!B30</f>
        <v>E-10101</v>
      </c>
      <c r="B34" s="127" t="str">
        <f>+Hoja4!C30</f>
        <v>ALQ EDIF, LOC.Y TERR</v>
      </c>
      <c r="C34" s="128">
        <f>+SUMIF(Hoja4!$B$3:$B$168,$A34,Hoja4!$D$3:$D$168)</f>
        <v>680071979</v>
      </c>
      <c r="D34" s="128">
        <f>+SUMIF(Hoja4!$B$3:$B$168,$A34,Hoja4!$E$3:$E$168)</f>
        <v>907209.6</v>
      </c>
      <c r="E34" s="128">
        <f>+SUMIF(Hoja4!$B$3:$B$168,$A34,Hoja4!$F$3:$F$168)</f>
        <v>0</v>
      </c>
      <c r="F34" s="128">
        <f>+SUMIF(Hoja4!$B$3:$B$168,$A34,Hoja4!$J$3:$J$168)</f>
        <v>650059804.55000007</v>
      </c>
      <c r="G34" s="128">
        <f>+SUMIF(Hoja4!$B$3:$B$168,$A34,Hoja4!$K$3:$K$168)</f>
        <v>30012174.449999999</v>
      </c>
      <c r="H34" s="30">
        <f>+IFERROR(Hoja4!L30,0)</f>
        <v>0.95586912065671226</v>
      </c>
      <c r="I34" s="30">
        <f>+IFERROR(Hoja4!M30,0)</f>
        <v>4.4130879343287868E-2</v>
      </c>
    </row>
    <row r="35" spans="1:11" x14ac:dyDescent="0.25">
      <c r="A35" s="126" t="str">
        <f>+Hoja4!B31</f>
        <v>E-10102</v>
      </c>
      <c r="B35" s="127" t="str">
        <f>+Hoja4!C31</f>
        <v>ALQ DE MAQ, EQ Y MOB</v>
      </c>
      <c r="C35" s="128">
        <f>+SUMIF(Hoja4!$B$3:$B$168,$A35,Hoja4!$D$3:$D$168)</f>
        <v>3869560</v>
      </c>
      <c r="D35" s="128">
        <f>+SUMIF(Hoja4!$B$3:$B$168,$A35,Hoja4!$E$3:$E$168)</f>
        <v>0</v>
      </c>
      <c r="E35" s="128">
        <f>+SUMIF(Hoja4!$B$3:$B$168,$A35,Hoja4!$F$3:$F$168)</f>
        <v>0</v>
      </c>
      <c r="F35" s="128">
        <f>+SUMIF(Hoja4!$B$3:$B$168,$A35,Hoja4!$J$3:$J$168)</f>
        <v>2450327.0699999998</v>
      </c>
      <c r="G35" s="128">
        <f>+SUMIF(Hoja4!$B$3:$B$168,$A35,Hoja4!$K$3:$K$168)</f>
        <v>1419232.93</v>
      </c>
      <c r="H35" s="30">
        <f>+IFERROR(Hoja4!L31,0)</f>
        <v>0.63323144491880212</v>
      </c>
      <c r="I35" s="30">
        <f>+IFERROR(Hoja4!M31,0)</f>
        <v>0.36676855508119782</v>
      </c>
    </row>
    <row r="36" spans="1:11" x14ac:dyDescent="0.25">
      <c r="A36" s="126" t="str">
        <f>+Hoja4!B32</f>
        <v>E-10103</v>
      </c>
      <c r="B36" s="127" t="str">
        <f>+Hoja4!C32</f>
        <v>ALQ. EQ. DE COMPUTO</v>
      </c>
      <c r="C36" s="128">
        <f>+SUMIF(Hoja4!$B$3:$B$168,$A36,Hoja4!$D$3:$D$168)</f>
        <v>1394813025.8400002</v>
      </c>
      <c r="D36" s="128">
        <f>+SUMIF(Hoja4!$B$3:$B$168,$A36,Hoja4!$E$3:$E$168)</f>
        <v>100189311.32999998</v>
      </c>
      <c r="E36" s="128">
        <f>+SUMIF(Hoja4!$B$3:$B$168,$A36,Hoja4!$F$3:$F$168)</f>
        <v>0</v>
      </c>
      <c r="F36" s="128">
        <f>+SUMIF(Hoja4!$B$3:$B$168,$A36,Hoja4!$J$3:$J$168)</f>
        <v>1139473012.77</v>
      </c>
      <c r="G36" s="128">
        <f>+SUMIF(Hoja4!$B$3:$B$168,$A36,Hoja4!$K$3:$K$168)</f>
        <v>255340013.06999999</v>
      </c>
      <c r="H36" s="30">
        <f>+IFERROR(Hoja4!L32,0)</f>
        <v>0.81693602774018659</v>
      </c>
      <c r="I36" s="30">
        <f>+IFERROR(Hoja4!M32,0)</f>
        <v>0.18306397225981327</v>
      </c>
    </row>
    <row r="37" spans="1:11" x14ac:dyDescent="0.25">
      <c r="A37" s="126" t="str">
        <f>+Hoja4!B33</f>
        <v>E-10104</v>
      </c>
      <c r="B37" s="127" t="str">
        <f>+Hoja4!C33</f>
        <v>ALQ Y DERECH P.TELEC</v>
      </c>
      <c r="C37" s="128">
        <f>+SUMIF(Hoja4!$B$3:$B$168,$A37,Hoja4!$D$3:$D$168)</f>
        <v>81981128.060000002</v>
      </c>
      <c r="D37" s="128">
        <f>+SUMIF(Hoja4!$B$3:$B$168,$A37,Hoja4!$E$3:$E$168)</f>
        <v>7502550.1600000001</v>
      </c>
      <c r="E37" s="128">
        <f>+SUMIF(Hoja4!$B$3:$B$168,$A37,Hoja4!$F$3:$F$168)</f>
        <v>0</v>
      </c>
      <c r="F37" s="128">
        <f>+SUMIF(Hoja4!$B$3:$B$168,$A37,Hoja4!$J$3:$J$168)</f>
        <v>75192346.769999996</v>
      </c>
      <c r="G37" s="128">
        <f>+SUMIF(Hoja4!$B$3:$B$168,$A37,Hoja4!$K$3:$K$168)</f>
        <v>6788781.29</v>
      </c>
      <c r="H37" s="30">
        <f>+IFERROR(Hoja4!L33,0)</f>
        <v>0.91719092612349196</v>
      </c>
      <c r="I37" s="30">
        <f>+IFERROR(Hoja4!M33,0)</f>
        <v>8.280907387650796E-2</v>
      </c>
    </row>
    <row r="38" spans="1:11" x14ac:dyDescent="0.25">
      <c r="A38" s="126" t="str">
        <f>+Hoja4!B34</f>
        <v>E-10199</v>
      </c>
      <c r="B38" s="127" t="str">
        <f>+Hoja4!C34</f>
        <v>OTROS ALQUILERES</v>
      </c>
      <c r="C38" s="128">
        <f>+SUMIF(Hoja4!$B$3:$B$168,$A38,Hoja4!$D$3:$D$168)</f>
        <v>8099765184</v>
      </c>
      <c r="D38" s="128">
        <f>+SUMIF(Hoja4!$B$3:$B$168,$A38,Hoja4!$E$3:$E$168)</f>
        <v>164750743.16999999</v>
      </c>
      <c r="E38" s="128">
        <f>+SUMIF(Hoja4!$B$3:$B$168,$A38,Hoja4!$F$3:$F$168)</f>
        <v>0</v>
      </c>
      <c r="F38" s="128">
        <f>+SUMIF(Hoja4!$B$3:$B$168,$A38,Hoja4!$J$3:$J$168)</f>
        <v>7241067583.0799999</v>
      </c>
      <c r="G38" s="128">
        <f>+SUMIF(Hoja4!$B$3:$B$168,$A38,Hoja4!$K$3:$K$168)</f>
        <v>858697600.91999996</v>
      </c>
      <c r="H38" s="30">
        <f>+IFERROR(Hoja4!L34,0)</f>
        <v>0.89398487716455755</v>
      </c>
      <c r="I38" s="30">
        <f>+IFERROR(Hoja4!M34,0)</f>
        <v>0.10601512283544243</v>
      </c>
    </row>
    <row r="39" spans="1:11" s="74" customFormat="1" x14ac:dyDescent="0.25">
      <c r="A39" s="122" t="str">
        <f>+Hoja4!B35</f>
        <v>E-102</v>
      </c>
      <c r="B39" s="123" t="str">
        <f>+Hoja4!C35</f>
        <v>SERVICIOS BÁSICOS</v>
      </c>
      <c r="C39" s="124">
        <f>SUM(C40:C44)</f>
        <v>5502895133</v>
      </c>
      <c r="D39" s="124">
        <f>SUM(D40:D44)</f>
        <v>223288500.26999998</v>
      </c>
      <c r="E39" s="124">
        <f>SUM(E40:E44)</f>
        <v>0</v>
      </c>
      <c r="F39" s="124">
        <f>SUM(F40:F44)</f>
        <v>5380262050.3099995</v>
      </c>
      <c r="G39" s="124">
        <f>SUM(G40:G44)</f>
        <v>122633082.69</v>
      </c>
      <c r="H39" s="125">
        <f>+IFERROR(Hoja4!L35,0)</f>
        <v>0.97771480652891452</v>
      </c>
      <c r="I39" s="125">
        <f>+IFERROR(Hoja4!M35,0)</f>
        <v>2.228519347108554E-2</v>
      </c>
      <c r="J39" s="121"/>
      <c r="K39" s="121">
        <f>+C39-Estado!C128</f>
        <v>0</v>
      </c>
    </row>
    <row r="40" spans="1:11" x14ac:dyDescent="0.25">
      <c r="A40" s="126" t="str">
        <f>+Hoja4!B36</f>
        <v>E-10201</v>
      </c>
      <c r="B40" s="127" t="str">
        <f>+Hoja4!C36</f>
        <v>SERV.AGUA Y ALCANT.</v>
      </c>
      <c r="C40" s="128">
        <f>+SUMIF(Hoja4!$B$3:$B$168,$A40,Hoja4!$D$3:$D$168)</f>
        <v>3033891322</v>
      </c>
      <c r="D40" s="128">
        <f>+SUMIF(Hoja4!$B$3:$B$168,$A40,Hoja4!$E$3:$E$168)</f>
        <v>15858143.83</v>
      </c>
      <c r="E40" s="128">
        <f>+SUMIF(Hoja4!$B$3:$B$168,$A40,Hoja4!$F$3:$F$168)</f>
        <v>0</v>
      </c>
      <c r="F40" s="128">
        <f>+SUMIF(Hoja4!$B$3:$B$168,$A40,Hoja4!$J$3:$J$168)</f>
        <v>3032672651.8099999</v>
      </c>
      <c r="G40" s="128">
        <f>+SUMIF(Hoja4!$B$3:$B$168,$A40,Hoja4!$K$3:$K$168)</f>
        <v>1218670.1900000002</v>
      </c>
      <c r="H40" s="30">
        <f>+IFERROR(Hoja4!L36,0)</f>
        <v>0.99959831448768022</v>
      </c>
      <c r="I40" s="30">
        <f>+IFERROR(Hoja4!M36,0)</f>
        <v>4.0168551231974559E-4</v>
      </c>
    </row>
    <row r="41" spans="1:11" x14ac:dyDescent="0.25">
      <c r="A41" s="126" t="str">
        <f>+Hoja4!B37</f>
        <v>E-10202</v>
      </c>
      <c r="B41" s="127" t="str">
        <f>+Hoja4!C37</f>
        <v>SERV ENERGÍA ELÉCT</v>
      </c>
      <c r="C41" s="128">
        <f>+SUMIF(Hoja4!$B$3:$B$168,$A41,Hoja4!$D$3:$D$168)</f>
        <v>1522895316</v>
      </c>
      <c r="D41" s="128">
        <f>+SUMIF(Hoja4!$B$3:$B$168,$A41,Hoja4!$E$3:$E$168)</f>
        <v>119336550.21000002</v>
      </c>
      <c r="E41" s="128">
        <f>+SUMIF(Hoja4!$B$3:$B$168,$A41,Hoja4!$F$3:$F$168)</f>
        <v>0</v>
      </c>
      <c r="F41" s="128">
        <f>+SUMIF(Hoja4!$B$3:$B$168,$A41,Hoja4!$J$3:$J$168)</f>
        <v>1522104377.4300001</v>
      </c>
      <c r="G41" s="128">
        <f>+SUMIF(Hoja4!$B$3:$B$168,$A41,Hoja4!$K$3:$K$168)</f>
        <v>790938.57000000007</v>
      </c>
      <c r="H41" s="30">
        <f>+IFERROR(Hoja4!L37,0)</f>
        <v>0.99948063497097261</v>
      </c>
      <c r="I41" s="30">
        <f>+IFERROR(Hoja4!M37,0)</f>
        <v>5.1936502902737939E-4</v>
      </c>
    </row>
    <row r="42" spans="1:11" x14ac:dyDescent="0.25">
      <c r="A42" s="126" t="str">
        <f>+Hoja4!B38</f>
        <v>E-10203</v>
      </c>
      <c r="B42" s="127" t="str">
        <f>+Hoja4!C38</f>
        <v>SERVICIO DE CORREO</v>
      </c>
      <c r="C42" s="128">
        <f>+SUMIF(Hoja4!$B$3:$B$168,$A42,Hoja4!$D$3:$D$168)</f>
        <v>11719924</v>
      </c>
      <c r="D42" s="128">
        <f>+SUMIF(Hoja4!$B$3:$B$168,$A42,Hoja4!$E$3:$E$168)</f>
        <v>1939962.25</v>
      </c>
      <c r="E42" s="128">
        <f>+SUMIF(Hoja4!$B$3:$B$168,$A42,Hoja4!$F$3:$F$168)</f>
        <v>0</v>
      </c>
      <c r="F42" s="128">
        <f>+SUMIF(Hoja4!$B$3:$B$168,$A42,Hoja4!$J$3:$J$168)</f>
        <v>4537323.7</v>
      </c>
      <c r="G42" s="128">
        <f>+SUMIF(Hoja4!$B$3:$B$168,$A42,Hoja4!$K$3:$K$168)</f>
        <v>7182600.2999999998</v>
      </c>
      <c r="H42" s="30">
        <f>+IFERROR(Hoja4!L38,0)</f>
        <v>0.38714617091373632</v>
      </c>
      <c r="I42" s="30">
        <f>+IFERROR(Hoja4!M38,0)</f>
        <v>0.61285382908626373</v>
      </c>
    </row>
    <row r="43" spans="1:11" x14ac:dyDescent="0.25">
      <c r="A43" s="126" t="str">
        <f>+Hoja4!B39</f>
        <v>E-10204</v>
      </c>
      <c r="B43" s="127" t="str">
        <f>+Hoja4!C39</f>
        <v>SERV.TELECOMUNIC.</v>
      </c>
      <c r="C43" s="128">
        <f>+SUMIF(Hoja4!$B$3:$B$168,$A43,Hoja4!$D$3:$D$168)</f>
        <v>743324152</v>
      </c>
      <c r="D43" s="128">
        <f>+SUMIF(Hoja4!$B$3:$B$168,$A43,Hoja4!$E$3:$E$168)</f>
        <v>70023354.279999986</v>
      </c>
      <c r="E43" s="128">
        <f>+SUMIF(Hoja4!$B$3:$B$168,$A43,Hoja4!$F$3:$F$168)</f>
        <v>0</v>
      </c>
      <c r="F43" s="128">
        <f>+SUMIF(Hoja4!$B$3:$B$168,$A43,Hoja4!$J$3:$J$168)</f>
        <v>714802495.26000011</v>
      </c>
      <c r="G43" s="128">
        <f>+SUMIF(Hoja4!$B$3:$B$168,$A43,Hoja4!$K$3:$K$168)</f>
        <v>28521656.739999998</v>
      </c>
      <c r="H43" s="30">
        <f>+IFERROR(Hoja4!L39,0)</f>
        <v>0.9616295842624526</v>
      </c>
      <c r="I43" s="30">
        <f>+IFERROR(Hoja4!M39,0)</f>
        <v>3.8370415737547563E-2</v>
      </c>
    </row>
    <row r="44" spans="1:11" x14ac:dyDescent="0.25">
      <c r="A44" s="126" t="str">
        <f>+Hoja4!B40</f>
        <v>E-10299</v>
      </c>
      <c r="B44" s="127" t="str">
        <f>+Hoja4!C40</f>
        <v>OTROS SERV.BÁSICOS</v>
      </c>
      <c r="C44" s="128">
        <f>+SUMIF(Hoja4!$B$3:$B$168,$A44,Hoja4!$D$3:$D$168)</f>
        <v>191064419</v>
      </c>
      <c r="D44" s="128">
        <f>+SUMIF(Hoja4!$B$3:$B$168,$A44,Hoja4!$E$3:$E$168)</f>
        <v>16130489.699999999</v>
      </c>
      <c r="E44" s="128">
        <f>+SUMIF(Hoja4!$B$3:$B$168,$A44,Hoja4!$F$3:$F$168)</f>
        <v>0</v>
      </c>
      <c r="F44" s="128">
        <f>+SUMIF(Hoja4!$B$3:$B$168,$A44,Hoja4!$J$3:$J$168)</f>
        <v>106145202.11</v>
      </c>
      <c r="G44" s="128">
        <f>+SUMIF(Hoja4!$B$3:$B$168,$A44,Hoja4!$K$3:$K$168)</f>
        <v>84919216.890000001</v>
      </c>
      <c r="H44" s="30">
        <f>+IFERROR(Hoja4!L40,0)</f>
        <v>0.55554667198396579</v>
      </c>
      <c r="I44" s="30">
        <f>+IFERROR(Hoja4!M40,0)</f>
        <v>0.44445332801603421</v>
      </c>
    </row>
    <row r="45" spans="1:11" s="74" customFormat="1" x14ac:dyDescent="0.25">
      <c r="A45" s="122" t="str">
        <f>+Hoja4!B41</f>
        <v>E-103</v>
      </c>
      <c r="B45" s="123" t="str">
        <f>+Hoja4!C41</f>
        <v>SERV COMERC Y FINANC</v>
      </c>
      <c r="C45" s="124">
        <f>SUM(C46:C51)</f>
        <v>29547040</v>
      </c>
      <c r="D45" s="124">
        <f>SUM(D46:D51)</f>
        <v>4271327.49</v>
      </c>
      <c r="E45" s="124">
        <f>SUM(E46:E51)</f>
        <v>0</v>
      </c>
      <c r="F45" s="124">
        <f>SUM(F46:F51)</f>
        <v>19953740.280000001</v>
      </c>
      <c r="G45" s="124">
        <f>SUM(G46:G51)</f>
        <v>9593299.7200000007</v>
      </c>
      <c r="H45" s="125">
        <f>+IFERROR(Hoja4!L41,0)</f>
        <v>0.67532112455257787</v>
      </c>
      <c r="I45" s="125">
        <f>+IFERROR(Hoja4!M41,0)</f>
        <v>0.32467887544742208</v>
      </c>
      <c r="J45" s="121"/>
      <c r="K45" s="121">
        <f>+C45-Estado!C134</f>
        <v>0</v>
      </c>
    </row>
    <row r="46" spans="1:11" x14ac:dyDescent="0.25">
      <c r="A46" s="126" t="str">
        <f>+Hoja4!B42</f>
        <v>E-10301</v>
      </c>
      <c r="B46" s="127" t="str">
        <f>+Hoja4!C42</f>
        <v>INFORMACIÓN</v>
      </c>
      <c r="C46" s="128">
        <f>+SUMIF(Hoja4!$B$3:$B$168,$A46,Hoja4!$D$3:$D$168)</f>
        <v>18313760</v>
      </c>
      <c r="D46" s="128">
        <f>+SUMIF(Hoja4!$B$3:$B$168,$A46,Hoja4!$E$3:$E$168)</f>
        <v>3885220.4</v>
      </c>
      <c r="E46" s="128">
        <f>+SUMIF(Hoja4!$B$3:$B$168,$A46,Hoja4!$F$3:$F$168)</f>
        <v>0</v>
      </c>
      <c r="F46" s="128">
        <f>+SUMIF(Hoja4!$B$3:$B$168,$A46,Hoja4!$J$3:$J$168)</f>
        <v>14310003.890000001</v>
      </c>
      <c r="G46" s="128">
        <f>+SUMIF(Hoja4!$B$3:$B$168,$A46,Hoja4!$K$3:$K$168)</f>
        <v>4003756.1100000003</v>
      </c>
      <c r="H46" s="30">
        <f>+IFERROR(Hoja4!L42,0)</f>
        <v>0.78137989631839666</v>
      </c>
      <c r="I46" s="30">
        <f>+IFERROR(Hoja4!M42,0)</f>
        <v>0.21862010368160337</v>
      </c>
    </row>
    <row r="47" spans="1:11" x14ac:dyDescent="0.25">
      <c r="A47" s="126" t="str">
        <f>+Hoja4!B43</f>
        <v>E-10302</v>
      </c>
      <c r="B47" s="127" t="str">
        <f>+Hoja4!C43</f>
        <v>PUBLICIDAD Y PROPAG.</v>
      </c>
      <c r="C47" s="128">
        <f>+SUMIF(Hoja4!$B$3:$B$168,$A47,Hoja4!$D$3:$D$168)</f>
        <v>209050</v>
      </c>
      <c r="D47" s="128">
        <f>+SUMIF(Hoja4!$B$3:$B$168,$A47,Hoja4!$E$3:$E$168)</f>
        <v>0</v>
      </c>
      <c r="E47" s="128">
        <f>+SUMIF(Hoja4!$B$3:$B$168,$A47,Hoja4!$F$3:$F$168)</f>
        <v>0</v>
      </c>
      <c r="F47" s="128">
        <f>+SUMIF(Hoja4!$B$3:$B$168,$A47,Hoja4!$J$3:$J$168)</f>
        <v>209050</v>
      </c>
      <c r="G47" s="128">
        <f>+SUMIF(Hoja4!$B$3:$B$168,$A47,Hoja4!$K$3:$K$168)</f>
        <v>0</v>
      </c>
      <c r="H47" s="30">
        <f>+IFERROR(Hoja4!L43,0)</f>
        <v>1</v>
      </c>
      <c r="I47" s="30">
        <f>+IFERROR(Hoja4!M43,0)</f>
        <v>0</v>
      </c>
    </row>
    <row r="48" spans="1:11" x14ac:dyDescent="0.25">
      <c r="A48" s="126" t="str">
        <f>+Hoja4!B44</f>
        <v>E-10303</v>
      </c>
      <c r="B48" s="127" t="str">
        <f>+Hoja4!C44</f>
        <v>IMP., ENCUAD Y OTROS</v>
      </c>
      <c r="C48" s="128">
        <f>+SUMIF(Hoja4!$B$3:$B$168,$A48,Hoja4!$D$3:$D$168)</f>
        <v>5000000</v>
      </c>
      <c r="D48" s="128">
        <f>+SUMIF(Hoja4!$B$3:$B$168,$A48,Hoja4!$E$3:$E$168)</f>
        <v>50000</v>
      </c>
      <c r="E48" s="128">
        <f>+SUMIF(Hoja4!$B$3:$B$168,$A48,Hoja4!$F$3:$F$168)</f>
        <v>0</v>
      </c>
      <c r="F48" s="128">
        <f>+SUMIF(Hoja4!$B$3:$B$168,$A48,Hoja4!$J$3:$J$168)</f>
        <v>3181329.91</v>
      </c>
      <c r="G48" s="128">
        <f>+SUMIF(Hoja4!$B$3:$B$168,$A48,Hoja4!$K$3:$K$168)</f>
        <v>1818670.09</v>
      </c>
      <c r="H48" s="30">
        <f>+IFERROR(Hoja4!L44,0)</f>
        <v>0.63626598200000006</v>
      </c>
      <c r="I48" s="30">
        <f>+IFERROR(Hoja4!M44,0)</f>
        <v>0.36373401799999999</v>
      </c>
    </row>
    <row r="49" spans="1:11" x14ac:dyDescent="0.25">
      <c r="A49" s="126" t="str">
        <f>+Hoja4!B45</f>
        <v>E-10304</v>
      </c>
      <c r="B49" s="127" t="str">
        <f>+Hoja4!C45</f>
        <v>TRANSPORTE DE BIENES</v>
      </c>
      <c r="C49" s="128">
        <f>+SUMIF(Hoja4!$B$3:$B$168,$A49,Hoja4!$D$3:$D$168)</f>
        <v>0</v>
      </c>
      <c r="D49" s="128">
        <f>+SUMIF(Hoja4!$B$3:$B$168,$A49,Hoja4!$E$3:$E$168)</f>
        <v>0</v>
      </c>
      <c r="E49" s="128">
        <f>+SUMIF(Hoja4!$B$3:$B$168,$A49,Hoja4!$F$3:$F$168)</f>
        <v>0</v>
      </c>
      <c r="F49" s="128">
        <f>+SUMIF(Hoja4!$B$3:$B$168,$A49,Hoja4!$J$3:$J$168)</f>
        <v>0</v>
      </c>
      <c r="G49" s="128">
        <f>+SUMIF(Hoja4!$B$3:$B$168,$A49,Hoja4!$K$3:$K$168)</f>
        <v>0</v>
      </c>
      <c r="H49" s="30">
        <f>+IFERROR(Hoja4!L45,0)</f>
        <v>0</v>
      </c>
      <c r="I49" s="30">
        <f>+IFERROR(Hoja4!M45,0)</f>
        <v>0</v>
      </c>
    </row>
    <row r="50" spans="1:11" x14ac:dyDescent="0.25">
      <c r="A50" s="126" t="str">
        <f>+Hoja4!B46</f>
        <v>E-10306</v>
      </c>
      <c r="B50" s="127" t="str">
        <f>+Hoja4!C46</f>
        <v>COM G.P.S.FIN Y COM.</v>
      </c>
      <c r="C50" s="128">
        <f>+SUMIF(Hoja4!$B$3:$B$168,$A50,Hoja4!$D$3:$D$168)</f>
        <v>138100</v>
      </c>
      <c r="D50" s="128">
        <f>+SUMIF(Hoja4!$B$3:$B$168,$A50,Hoja4!$E$3:$E$168)</f>
        <v>17206.64</v>
      </c>
      <c r="E50" s="128">
        <f>+SUMIF(Hoja4!$B$3:$B$168,$A50,Hoja4!$F$3:$F$168)</f>
        <v>0</v>
      </c>
      <c r="F50" s="128">
        <f>+SUMIF(Hoja4!$B$3:$B$168,$A50,Hoja4!$J$3:$J$168)</f>
        <v>108000</v>
      </c>
      <c r="G50" s="128">
        <f>+SUMIF(Hoja4!$B$3:$B$168,$A50,Hoja4!$K$3:$K$168)</f>
        <v>30100</v>
      </c>
      <c r="H50" s="30">
        <f>+IFERROR(Hoja4!L46,0)</f>
        <v>0.78204199855177403</v>
      </c>
      <c r="I50" s="30">
        <f>+IFERROR(Hoja4!M46,0)</f>
        <v>0.21795800144822591</v>
      </c>
    </row>
    <row r="51" spans="1:11" x14ac:dyDescent="0.25">
      <c r="A51" s="126" t="str">
        <f>+Hoja4!B47</f>
        <v>E-10307</v>
      </c>
      <c r="B51" s="127" t="str">
        <f>+Hoja4!C47</f>
        <v>SERV TRANSF.ELEC.INF</v>
      </c>
      <c r="C51" s="128">
        <f>+SUMIF(Hoja4!$B$3:$B$168,$A51,Hoja4!$D$3:$D$168)</f>
        <v>5886130</v>
      </c>
      <c r="D51" s="128">
        <f>+SUMIF(Hoja4!$B$3:$B$168,$A51,Hoja4!$E$3:$E$168)</f>
        <v>318900.45</v>
      </c>
      <c r="E51" s="128">
        <f>+SUMIF(Hoja4!$B$3:$B$168,$A51,Hoja4!$F$3:$F$168)</f>
        <v>0</v>
      </c>
      <c r="F51" s="128">
        <f>+SUMIF(Hoja4!$B$3:$B$168,$A51,Hoja4!$J$3:$J$168)</f>
        <v>2145356.48</v>
      </c>
      <c r="G51" s="128">
        <f>+SUMIF(Hoja4!$B$3:$B$168,$A51,Hoja4!$K$3:$K$168)</f>
        <v>3740773.52</v>
      </c>
      <c r="H51" s="30">
        <f>+IFERROR(Hoja4!L47,0)</f>
        <v>0.36447657119363658</v>
      </c>
      <c r="I51" s="30">
        <f>+IFERROR(Hoja4!M47,0)</f>
        <v>0.63552342880636348</v>
      </c>
    </row>
    <row r="52" spans="1:11" s="74" customFormat="1" x14ac:dyDescent="0.25">
      <c r="A52" s="122" t="str">
        <f>+Hoja4!B48</f>
        <v>E-104</v>
      </c>
      <c r="B52" s="123" t="str">
        <f>+Hoja4!C48</f>
        <v>SERV DE GEST Y APOYO</v>
      </c>
      <c r="C52" s="124">
        <f>SUM(C53:C59)</f>
        <v>708034133</v>
      </c>
      <c r="D52" s="124">
        <f>SUM(D53:D59)</f>
        <v>7262946.9400000004</v>
      </c>
      <c r="E52" s="124">
        <f>SUM(E53:E59)</f>
        <v>0</v>
      </c>
      <c r="F52" s="124">
        <f>SUM(F53:F59)</f>
        <v>657985009.47000003</v>
      </c>
      <c r="G52" s="124">
        <f>SUM(G53:G59)</f>
        <v>50049123.530000001</v>
      </c>
      <c r="H52" s="125">
        <f>+IFERROR(Hoja4!L48,0)</f>
        <v>0.92931255543014923</v>
      </c>
      <c r="I52" s="125">
        <f>+IFERROR(Hoja4!M48,0)</f>
        <v>7.0687444569850974E-2</v>
      </c>
      <c r="J52" s="121"/>
      <c r="K52" s="121">
        <f>+C52-Estado!C141</f>
        <v>0</v>
      </c>
    </row>
    <row r="53" spans="1:11" x14ac:dyDescent="0.25">
      <c r="A53" s="126" t="str">
        <f>+Hoja4!B49</f>
        <v>E-10401</v>
      </c>
      <c r="B53" s="127" t="str">
        <f>+Hoja4!C49</f>
        <v>SERV.MEDICOS YDE LAB</v>
      </c>
      <c r="C53" s="128">
        <f>+SUMIF(Hoja4!$B$3:$B$168,$A53,Hoja4!$D$3:$D$168)</f>
        <v>14125550</v>
      </c>
      <c r="D53" s="128">
        <f>+SUMIF(Hoja4!$B$3:$B$168,$A53,Hoja4!$E$3:$E$168)</f>
        <v>0</v>
      </c>
      <c r="E53" s="128">
        <f>+SUMIF(Hoja4!$B$3:$B$168,$A53,Hoja4!$F$3:$F$168)</f>
        <v>0</v>
      </c>
      <c r="F53" s="128">
        <f>+SUMIF(Hoja4!$B$3:$B$168,$A53,Hoja4!$J$3:$J$168)</f>
        <v>8897615.9900000002</v>
      </c>
      <c r="G53" s="128">
        <f>+SUMIF(Hoja4!$B$3:$B$168,$A53,Hoja4!$K$3:$K$168)</f>
        <v>5227934.01</v>
      </c>
      <c r="H53" s="30">
        <f>+IFERROR(Hoja4!L49,0)</f>
        <v>0.62989518921387133</v>
      </c>
      <c r="I53" s="30">
        <f>+IFERROR(Hoja4!M49,0)</f>
        <v>0.37010481078612867</v>
      </c>
    </row>
    <row r="54" spans="1:11" x14ac:dyDescent="0.25">
      <c r="A54" s="126" t="str">
        <f>+Hoja4!B50</f>
        <v>E-10402</v>
      </c>
      <c r="B54" s="127" t="str">
        <f>+Hoja4!C50</f>
        <v>SERVICIOS JURÍDICOS</v>
      </c>
      <c r="C54" s="128">
        <f>+SUMIF(Hoja4!$B$3:$B$168,$A54,Hoja4!$D$3:$D$168)</f>
        <v>2000000</v>
      </c>
      <c r="D54" s="128">
        <f>+SUMIF(Hoja4!$B$3:$B$168,$A54,Hoja4!$E$3:$E$168)</f>
        <v>0</v>
      </c>
      <c r="E54" s="128">
        <f>+SUMIF(Hoja4!$B$3:$B$168,$A54,Hoja4!$F$3:$F$168)</f>
        <v>0</v>
      </c>
      <c r="F54" s="128">
        <f>+SUMIF(Hoja4!$B$3:$B$168,$A54,Hoja4!$J$3:$J$168)</f>
        <v>0</v>
      </c>
      <c r="G54" s="128">
        <f>+SUMIF(Hoja4!$B$3:$B$168,$A54,Hoja4!$K$3:$K$168)</f>
        <v>2000000</v>
      </c>
      <c r="H54" s="30">
        <f>+IFERROR(Hoja4!L50,0)</f>
        <v>0</v>
      </c>
      <c r="I54" s="30">
        <f>+IFERROR(Hoja4!M50,0)</f>
        <v>1</v>
      </c>
    </row>
    <row r="55" spans="1:11" x14ac:dyDescent="0.25">
      <c r="A55" s="126" t="str">
        <f>+Hoja4!B51</f>
        <v>E-10403</v>
      </c>
      <c r="B55" s="127" t="str">
        <f>+Hoja4!C51</f>
        <v>SERV. DE INGENIERÍA</v>
      </c>
      <c r="C55" s="128">
        <f>+SUMIF(Hoja4!$B$3:$B$168,$A55,Hoja4!$D$3:$D$168)</f>
        <v>73506483</v>
      </c>
      <c r="D55" s="128">
        <f>+SUMIF(Hoja4!$B$3:$B$168,$A55,Hoja4!$E$3:$E$168)</f>
        <v>1481644.34</v>
      </c>
      <c r="E55" s="128">
        <f>+SUMIF(Hoja4!$B$3:$B$168,$A55,Hoja4!$F$3:$F$168)</f>
        <v>0</v>
      </c>
      <c r="F55" s="128">
        <f>+SUMIF(Hoja4!$B$3:$B$168,$A55,Hoja4!$J$3:$J$168)</f>
        <v>70762166.909999996</v>
      </c>
      <c r="G55" s="128">
        <f>+SUMIF(Hoja4!$B$3:$B$168,$A55,Hoja4!$K$3:$K$168)</f>
        <v>2744316.09</v>
      </c>
      <c r="H55" s="30">
        <f>+IFERROR(Hoja4!L51,0)</f>
        <v>0.96266565916369573</v>
      </c>
      <c r="I55" s="30">
        <f>+IFERROR(Hoja4!M51,0)</f>
        <v>3.7334340836304193E-2</v>
      </c>
    </row>
    <row r="56" spans="1:11" x14ac:dyDescent="0.25">
      <c r="A56" s="126" t="str">
        <f>+Hoja4!B52</f>
        <v>E-10404</v>
      </c>
      <c r="B56" s="127" t="str">
        <f>+Hoja4!C52</f>
        <v>SERV.CIEN.ECON.Y SOC</v>
      </c>
      <c r="C56" s="128">
        <f>+SUMIF(Hoja4!$B$3:$B$168,$A56,Hoja4!$D$3:$D$168)</f>
        <v>0</v>
      </c>
      <c r="D56" s="128">
        <f>+SUMIF(Hoja4!$B$3:$B$168,$A56,Hoja4!$E$3:$E$168)</f>
        <v>0</v>
      </c>
      <c r="E56" s="128">
        <f>+SUMIF(Hoja4!$B$3:$B$168,$A56,Hoja4!$F$3:$F$168)</f>
        <v>0</v>
      </c>
      <c r="F56" s="128">
        <f>+SUMIF(Hoja4!$B$3:$B$168,$A56,Hoja4!$J$3:$J$168)</f>
        <v>0</v>
      </c>
      <c r="G56" s="128">
        <f>+SUMIF(Hoja4!$B$3:$B$168,$A56,Hoja4!$K$3:$K$168)</f>
        <v>0</v>
      </c>
      <c r="H56" s="30">
        <f>+IFERROR(Hoja4!L52,0)</f>
        <v>0</v>
      </c>
      <c r="I56" s="30">
        <f>+IFERROR(Hoja4!M52,0)</f>
        <v>0</v>
      </c>
    </row>
    <row r="57" spans="1:11" x14ac:dyDescent="0.25">
      <c r="A57" s="126" t="str">
        <f>+Hoja4!B53</f>
        <v>E-10405</v>
      </c>
      <c r="B57" s="127" t="str">
        <f>+Hoja4!C53</f>
        <v>SERV.DES.SIST.INFORM</v>
      </c>
      <c r="C57" s="128">
        <f>+SUMIF(Hoja4!$B$3:$B$168,$A57,Hoja4!$D$3:$D$168)</f>
        <v>0</v>
      </c>
      <c r="D57" s="128">
        <f>+SUMIF(Hoja4!$B$3:$B$168,$A57,Hoja4!$E$3:$E$168)</f>
        <v>0</v>
      </c>
      <c r="E57" s="128">
        <f>+SUMIF(Hoja4!$B$3:$B$168,$A57,Hoja4!$F$3:$F$168)</f>
        <v>0</v>
      </c>
      <c r="F57" s="128">
        <f>+SUMIF(Hoja4!$B$3:$B$168,$A57,Hoja4!$J$3:$J$168)</f>
        <v>0</v>
      </c>
      <c r="G57" s="128">
        <f>+SUMIF(Hoja4!$B$3:$B$168,$A57,Hoja4!$K$3:$K$168)</f>
        <v>0</v>
      </c>
      <c r="H57" s="30">
        <f>+IFERROR(Hoja4!L53,0)</f>
        <v>0</v>
      </c>
      <c r="I57" s="30">
        <f>+IFERROR(Hoja4!M53,0)</f>
        <v>0</v>
      </c>
    </row>
    <row r="58" spans="1:11" x14ac:dyDescent="0.25">
      <c r="A58" s="126" t="str">
        <f>+Hoja4!B54</f>
        <v>E-10406</v>
      </c>
      <c r="B58" s="127" t="str">
        <f>+Hoja4!C54</f>
        <v>SERVICIOS GENERALES</v>
      </c>
      <c r="C58" s="128">
        <f>+SUMIF(Hoja4!$B$3:$B$168,$A58,Hoja4!$D$3:$D$168)</f>
        <v>548494205</v>
      </c>
      <c r="D58" s="128">
        <f>+SUMIF(Hoja4!$B$3:$B$168,$A58,Hoja4!$E$3:$E$168)</f>
        <v>129842.67</v>
      </c>
      <c r="E58" s="128">
        <f>+SUMIF(Hoja4!$B$3:$B$168,$A58,Hoja4!$F$3:$F$168)</f>
        <v>0</v>
      </c>
      <c r="F58" s="128">
        <f>+SUMIF(Hoja4!$B$3:$B$168,$A58,Hoja4!$J$3:$J$168)</f>
        <v>515832784.94</v>
      </c>
      <c r="G58" s="128">
        <f>+SUMIF(Hoja4!$B$3:$B$168,$A58,Hoja4!$K$3:$K$168)</f>
        <v>32661420.060000002</v>
      </c>
      <c r="H58" s="30">
        <f>+IFERROR(Hoja4!L54,0)</f>
        <v>0.94045257039680119</v>
      </c>
      <c r="I58" s="30">
        <f>+IFERROR(Hoja4!M54,0)</f>
        <v>5.9547429603198823E-2</v>
      </c>
    </row>
    <row r="59" spans="1:11" x14ac:dyDescent="0.25">
      <c r="A59" s="126" t="str">
        <f>+Hoja4!B55</f>
        <v>E-10499</v>
      </c>
      <c r="B59" s="127" t="str">
        <f>+Hoja4!C55</f>
        <v>OTROS SERV.GEST.APOY</v>
      </c>
      <c r="C59" s="128">
        <f>+SUMIF(Hoja4!$B$3:$B$168,$A59,Hoja4!$D$3:$D$168)</f>
        <v>69907895</v>
      </c>
      <c r="D59" s="128">
        <f>+SUMIF(Hoja4!$B$3:$B$168,$A59,Hoja4!$E$3:$E$168)</f>
        <v>5651459.9300000006</v>
      </c>
      <c r="E59" s="128">
        <f>+SUMIF(Hoja4!$B$3:$B$168,$A59,Hoja4!$F$3:$F$168)</f>
        <v>0</v>
      </c>
      <c r="F59" s="128">
        <f>+SUMIF(Hoja4!$B$3:$B$168,$A59,Hoja4!$J$3:$J$168)</f>
        <v>62492441.629999995</v>
      </c>
      <c r="G59" s="128">
        <f>+SUMIF(Hoja4!$B$3:$B$168,$A59,Hoja4!$K$3:$K$168)</f>
        <v>7415453.370000001</v>
      </c>
      <c r="H59" s="30">
        <f>+IFERROR(Hoja4!L55,0)</f>
        <v>0.89392538038800906</v>
      </c>
      <c r="I59" s="30">
        <f>+IFERROR(Hoja4!M55,0)</f>
        <v>0.10607461961199091</v>
      </c>
    </row>
    <row r="60" spans="1:11" s="74" customFormat="1" x14ac:dyDescent="0.25">
      <c r="A60" s="122" t="str">
        <f>+Hoja4!B56</f>
        <v>E-105</v>
      </c>
      <c r="B60" s="123" t="str">
        <f>+Hoja4!C56</f>
        <v>GAST. VIAJE Y TRANSP</v>
      </c>
      <c r="C60" s="124">
        <f>SUM(C61:C64)</f>
        <v>149613570</v>
      </c>
      <c r="D60" s="124">
        <f>SUM(D61:D64)</f>
        <v>8846513</v>
      </c>
      <c r="E60" s="124">
        <f>SUM(E61:E64)</f>
        <v>0</v>
      </c>
      <c r="F60" s="124">
        <f>SUM(F61:F64)</f>
        <v>98743059.370000005</v>
      </c>
      <c r="G60" s="124">
        <f>SUM(G61:G64)</f>
        <v>50870510.630000003</v>
      </c>
      <c r="H60" s="125">
        <f>+IFERROR(Hoja4!L56,0)</f>
        <v>0.659987321805101</v>
      </c>
      <c r="I60" s="125">
        <f>+IFERROR(Hoja4!M56,0)</f>
        <v>0.34001267819489905</v>
      </c>
      <c r="J60" s="121"/>
      <c r="K60" s="121">
        <f>+C60-Estado!C149</f>
        <v>0</v>
      </c>
    </row>
    <row r="61" spans="1:11" x14ac:dyDescent="0.25">
      <c r="A61" s="126" t="str">
        <f>+Hoja4!B57</f>
        <v>E-10501</v>
      </c>
      <c r="B61" s="127" t="str">
        <f>+Hoja4!C57</f>
        <v>TRANSP.DENT.DEL PAÍS</v>
      </c>
      <c r="C61" s="128">
        <f>+SUMIF(Hoja4!$B$3:$B$168,$A61,Hoja4!$D$3:$D$168)</f>
        <v>4431209</v>
      </c>
      <c r="D61" s="128">
        <f>+SUMIF(Hoja4!$B$3:$B$168,$A61,Hoja4!$E$3:$E$168)</f>
        <v>763763</v>
      </c>
      <c r="E61" s="128">
        <f>+SUMIF(Hoja4!$B$3:$B$168,$A61,Hoja4!$F$3:$F$168)</f>
        <v>0</v>
      </c>
      <c r="F61" s="128">
        <f>+SUMIF(Hoja4!$B$3:$B$168,$A61,Hoja4!$J$3:$J$168)</f>
        <v>2881617.73</v>
      </c>
      <c r="G61" s="128">
        <f>+SUMIF(Hoja4!$B$3:$B$168,$A61,Hoja4!$K$3:$K$168)</f>
        <v>1549591.27</v>
      </c>
      <c r="H61" s="30">
        <f>+IFERROR(Hoja4!L57,0)</f>
        <v>0.65030056808424064</v>
      </c>
      <c r="I61" s="30">
        <f>+IFERROR(Hoja4!M57,0)</f>
        <v>0.34969943191575936</v>
      </c>
    </row>
    <row r="62" spans="1:11" x14ac:dyDescent="0.25">
      <c r="A62" s="126" t="str">
        <f>+Hoja4!B58</f>
        <v>E-10502</v>
      </c>
      <c r="B62" s="127" t="str">
        <f>+Hoja4!C58</f>
        <v>VIÁTICOS DENTRO PAÍS</v>
      </c>
      <c r="C62" s="128">
        <f>+SUMIF(Hoja4!$B$3:$B$168,$A62,Hoja4!$D$3:$D$168)</f>
        <v>138370575</v>
      </c>
      <c r="D62" s="128">
        <f>+SUMIF(Hoja4!$B$3:$B$168,$A62,Hoja4!$E$3:$E$168)</f>
        <v>8082750</v>
      </c>
      <c r="E62" s="128">
        <f>+SUMIF(Hoja4!$B$3:$B$168,$A62,Hoja4!$F$3:$F$168)</f>
        <v>0</v>
      </c>
      <c r="F62" s="128">
        <f>+SUMIF(Hoja4!$B$3:$B$168,$A62,Hoja4!$J$3:$J$168)</f>
        <v>89056314</v>
      </c>
      <c r="G62" s="128">
        <f>+SUMIF(Hoja4!$B$3:$B$168,$A62,Hoja4!$K$3:$K$168)</f>
        <v>49314261</v>
      </c>
      <c r="H62" s="30">
        <f>+IFERROR(Hoja4!L58,0)</f>
        <v>0.64360731318779296</v>
      </c>
      <c r="I62" s="30">
        <f>+IFERROR(Hoja4!M58,0)</f>
        <v>0.35639268681220698</v>
      </c>
    </row>
    <row r="63" spans="1:11" x14ac:dyDescent="0.25">
      <c r="A63" s="126" t="str">
        <f>+Hoja4!B59</f>
        <v>E-10503</v>
      </c>
      <c r="B63" s="127" t="str">
        <f>+Hoja4!C59</f>
        <v>TRANSPORTE EN EL EXT</v>
      </c>
      <c r="C63" s="128">
        <f>+SUMIF(Hoja4!$B$3:$B$168,$A63,Hoja4!$D$3:$D$168)</f>
        <v>2019386</v>
      </c>
      <c r="D63" s="128">
        <f>+SUMIF(Hoja4!$B$3:$B$168,$A63,Hoja4!$E$3:$E$168)</f>
        <v>0</v>
      </c>
      <c r="E63" s="128">
        <f>+SUMIF(Hoja4!$B$3:$B$168,$A63,Hoja4!$F$3:$F$168)</f>
        <v>0</v>
      </c>
      <c r="F63" s="128">
        <f>+SUMIF(Hoja4!$B$3:$B$168,$A63,Hoja4!$J$3:$J$168)</f>
        <v>2012728.83</v>
      </c>
      <c r="G63" s="128">
        <f>+SUMIF(Hoja4!$B$3:$B$168,$A63,Hoja4!$K$3:$K$168)</f>
        <v>6657.17</v>
      </c>
      <c r="H63" s="30">
        <f>+IFERROR(Hoja4!L59,0)</f>
        <v>0.99670336924193792</v>
      </c>
      <c r="I63" s="30">
        <f>+IFERROR(Hoja4!M59,0)</f>
        <v>3.296630758062104E-3</v>
      </c>
    </row>
    <row r="64" spans="1:11" x14ac:dyDescent="0.25">
      <c r="A64" s="126" t="str">
        <f>+Hoja4!B60</f>
        <v>E-10504</v>
      </c>
      <c r="B64" s="127" t="str">
        <f>+Hoja4!C60</f>
        <v>VIÁTICOS EN EXTERIOR</v>
      </c>
      <c r="C64" s="128">
        <f>+SUMIF(Hoja4!$B$3:$B$168,$A64,Hoja4!$D$3:$D$168)</f>
        <v>4792400</v>
      </c>
      <c r="D64" s="128">
        <f>+SUMIF(Hoja4!$B$3:$B$168,$A64,Hoja4!$E$3:$E$168)</f>
        <v>0</v>
      </c>
      <c r="E64" s="128">
        <f>+SUMIF(Hoja4!$B$3:$B$168,$A64,Hoja4!$F$3:$F$168)</f>
        <v>0</v>
      </c>
      <c r="F64" s="128">
        <f>+SUMIF(Hoja4!$B$3:$B$168,$A64,Hoja4!$J$3:$J$168)</f>
        <v>4792398.8100000005</v>
      </c>
      <c r="G64" s="128">
        <f>+SUMIF(Hoja4!$B$3:$B$168,$A64,Hoja4!$K$3:$K$168)</f>
        <v>1.19</v>
      </c>
      <c r="H64" s="30">
        <f>+IFERROR(Hoja4!L60,0)</f>
        <v>0.99999975169017619</v>
      </c>
      <c r="I64" s="30">
        <f>+IFERROR(Hoja4!M60,0)</f>
        <v>2.4830982388782237E-7</v>
      </c>
    </row>
    <row r="65" spans="1:11" s="74" customFormat="1" x14ac:dyDescent="0.25">
      <c r="A65" s="122" t="str">
        <f>+Hoja4!B61</f>
        <v>E-106</v>
      </c>
      <c r="B65" s="123" t="str">
        <f>+Hoja4!C61</f>
        <v>SEGUROS REASEG Y OTR</v>
      </c>
      <c r="C65" s="124">
        <f>SUM(C66:C67)</f>
        <v>1487766179</v>
      </c>
      <c r="D65" s="124">
        <f>SUM(D66:D67)</f>
        <v>75583750</v>
      </c>
      <c r="E65" s="124">
        <f>SUM(E66:E67)</f>
        <v>0</v>
      </c>
      <c r="F65" s="124">
        <f>SUM(F66:F67)</f>
        <v>1437129376.8199999</v>
      </c>
      <c r="G65" s="124">
        <f>SUM(G66:G67)</f>
        <v>50636802.18</v>
      </c>
      <c r="H65" s="125">
        <f>+IFERROR(Hoja4!L61,0)</f>
        <v>0.96596454275225185</v>
      </c>
      <c r="I65" s="125">
        <f>+IFERROR(Hoja4!M61,0)</f>
        <v>3.403545724774807E-2</v>
      </c>
      <c r="J65" s="121"/>
      <c r="K65" s="121">
        <f>+C65-Estado!C154</f>
        <v>0</v>
      </c>
    </row>
    <row r="66" spans="1:11" x14ac:dyDescent="0.25">
      <c r="A66" s="126" t="str">
        <f>+Hoja4!B62</f>
        <v>E-10601</v>
      </c>
      <c r="B66" s="127" t="str">
        <f>+Hoja4!C62</f>
        <v>SEGUROS</v>
      </c>
      <c r="C66" s="128">
        <f>+SUMIF(Hoja4!$B$3:$B$168,$A66,Hoja4!$D$3:$D$168)</f>
        <v>1487766179</v>
      </c>
      <c r="D66" s="128">
        <f>+SUMIF(Hoja4!$B$3:$B$168,$A66,Hoja4!$E$3:$E$168)</f>
        <v>75583750</v>
      </c>
      <c r="E66" s="128">
        <f>+SUMIF(Hoja4!$B$3:$B$168,$A66,Hoja4!$F$3:$F$168)</f>
        <v>0</v>
      </c>
      <c r="F66" s="128">
        <f>+SUMIF(Hoja4!$B$3:$B$168,$A66,Hoja4!$J$3:$J$168)</f>
        <v>1437129376.8199999</v>
      </c>
      <c r="G66" s="128">
        <f>+SUMIF(Hoja4!$B$3:$B$168,$A66,Hoja4!$K$3:$K$168)</f>
        <v>50636802.18</v>
      </c>
      <c r="H66" s="30">
        <f>+IFERROR(Hoja4!L62,0)</f>
        <v>0.96596454275225185</v>
      </c>
      <c r="I66" s="30">
        <f>+IFERROR(Hoja4!M62,0)</f>
        <v>3.403545724774807E-2</v>
      </c>
    </row>
    <row r="67" spans="1:11" x14ac:dyDescent="0.25">
      <c r="A67" s="126" t="str">
        <f>+Hoja4!B63</f>
        <v>E-10602</v>
      </c>
      <c r="B67" s="127" t="str">
        <f>+Hoja4!C63</f>
        <v>REASEGUROS</v>
      </c>
      <c r="C67" s="128">
        <f>+SUMIF(Hoja4!$B$3:$B$168,$A67,Hoja4!$D$3:$D$168)</f>
        <v>0</v>
      </c>
      <c r="D67" s="128">
        <f>+SUMIF(Hoja4!$B$3:$B$168,$A67,Hoja4!$E$3:$E$168)</f>
        <v>0</v>
      </c>
      <c r="E67" s="128">
        <f>+SUMIF(Hoja4!$B$3:$B$168,$A67,Hoja4!$F$3:$F$168)</f>
        <v>0</v>
      </c>
      <c r="F67" s="128">
        <f>+SUMIF(Hoja4!$B$3:$B$168,$A67,Hoja4!$J$3:$J$168)</f>
        <v>0</v>
      </c>
      <c r="G67" s="128">
        <f>+SUMIF(Hoja4!$B$3:$B$168,$A67,Hoja4!$K$3:$K$168)</f>
        <v>0</v>
      </c>
      <c r="H67" s="30">
        <f>+IFERROR(Hoja4!L63,0)</f>
        <v>0</v>
      </c>
      <c r="I67" s="30">
        <f>+IFERROR(Hoja4!M63,0)</f>
        <v>0</v>
      </c>
    </row>
    <row r="68" spans="1:11" s="74" customFormat="1" x14ac:dyDescent="0.25">
      <c r="A68" s="122" t="str">
        <f>+Hoja4!B64</f>
        <v>E-107</v>
      </c>
      <c r="B68" s="123" t="str">
        <f>+Hoja4!C64</f>
        <v>CAPACIT. Y PROTOCOLO</v>
      </c>
      <c r="C68" s="124">
        <f>SUM(C69:C71)</f>
        <v>4721959</v>
      </c>
      <c r="D68" s="124">
        <f>SUM(D69:D71)</f>
        <v>295800</v>
      </c>
      <c r="E68" s="124">
        <f>SUM(E69:E71)</f>
        <v>0</v>
      </c>
      <c r="F68" s="124">
        <f>SUM(F69:F71)</f>
        <v>1518200</v>
      </c>
      <c r="G68" s="124">
        <f>SUM(G69:G71)</f>
        <v>3203759</v>
      </c>
      <c r="H68" s="125">
        <f>+IFERROR(Hoja4!L64,0)</f>
        <v>0.32151909832338654</v>
      </c>
      <c r="I68" s="125">
        <f>+IFERROR(Hoja4!M64,0)</f>
        <v>0.67848090167661346</v>
      </c>
      <c r="J68" s="121"/>
      <c r="K68" s="121"/>
    </row>
    <row r="69" spans="1:11" x14ac:dyDescent="0.25">
      <c r="A69" s="126" t="str">
        <f>+Hoja4!B65</f>
        <v>E-10701</v>
      </c>
      <c r="B69" s="127" t="str">
        <f>+Hoja4!C65</f>
        <v>ACTIV. CAPACITACIÓN</v>
      </c>
      <c r="C69" s="128">
        <f>+SUMIF(Hoja4!$B$3:$B$168,$A69,Hoja4!$D$3:$D$168)</f>
        <v>4721959</v>
      </c>
      <c r="D69" s="128">
        <f>+SUMIF(Hoja4!$B$3:$B$168,$A69,Hoja4!$E$3:$E$168)</f>
        <v>295800</v>
      </c>
      <c r="E69" s="128">
        <f>+SUMIF(Hoja4!$B$3:$B$168,$A69,Hoja4!$F$3:$F$168)</f>
        <v>0</v>
      </c>
      <c r="F69" s="128">
        <f>+SUMIF(Hoja4!$B$3:$B$168,$A69,Hoja4!$J$3:$J$168)</f>
        <v>1518200</v>
      </c>
      <c r="G69" s="128">
        <f>+SUMIF(Hoja4!$B$3:$B$168,$A69,Hoja4!$K$3:$K$168)</f>
        <v>3203759</v>
      </c>
      <c r="H69" s="30">
        <f>+IFERROR(Hoja4!L65,0)</f>
        <v>0.32151909832338654</v>
      </c>
      <c r="I69" s="30">
        <f>+IFERROR(Hoja4!M65,0)</f>
        <v>0.67848090167661346</v>
      </c>
    </row>
    <row r="70" spans="1:11" s="74" customFormat="1" x14ac:dyDescent="0.25">
      <c r="A70" s="126" t="str">
        <f>+Hoja4!B66</f>
        <v>E-10702</v>
      </c>
      <c r="B70" s="127" t="str">
        <f>+Hoja4!C66</f>
        <v>ACTIV.PROTOCOL Y SOC</v>
      </c>
      <c r="C70" s="128">
        <f>+SUMIF(Hoja4!$B$3:$B$168,$A70,Hoja4!$D$3:$D$168)</f>
        <v>0</v>
      </c>
      <c r="D70" s="128">
        <f>+SUMIF(Hoja4!$B$3:$B$168,$A70,Hoja4!$E$3:$E$168)</f>
        <v>0</v>
      </c>
      <c r="E70" s="128">
        <f>+SUMIF(Hoja4!$B$3:$B$168,$A70,Hoja4!$F$3:$F$168)</f>
        <v>0</v>
      </c>
      <c r="F70" s="128">
        <f>+SUMIF(Hoja4!$B$3:$B$168,$A70,Hoja4!$J$3:$J$168)</f>
        <v>0</v>
      </c>
      <c r="G70" s="128">
        <f>+SUMIF(Hoja4!$B$3:$B$168,$A70,Hoja4!$K$3:$K$168)</f>
        <v>0</v>
      </c>
      <c r="H70" s="30">
        <f>+IFERROR(Hoja4!L66,0)</f>
        <v>0</v>
      </c>
      <c r="I70" s="30">
        <f>+IFERROR(Hoja4!M66,0)</f>
        <v>0</v>
      </c>
      <c r="J70" s="121"/>
      <c r="K70" s="121"/>
    </row>
    <row r="71" spans="1:11" x14ac:dyDescent="0.25">
      <c r="A71" s="126" t="str">
        <f>+Hoja4!B67</f>
        <v>E-10703</v>
      </c>
      <c r="B71" s="127" t="str">
        <f>+Hoja4!C67</f>
        <v>GASTOS REPRES.INSTIT</v>
      </c>
      <c r="C71" s="128">
        <f>+SUMIF(Hoja4!$B$3:$B$168,$A71,Hoja4!$D$3:$D$168)</f>
        <v>0</v>
      </c>
      <c r="D71" s="128">
        <f>+SUMIF(Hoja4!$B$3:$B$168,$A71,Hoja4!$E$3:$E$168)</f>
        <v>0</v>
      </c>
      <c r="E71" s="128">
        <f>+SUMIF(Hoja4!$B$3:$B$168,$A71,Hoja4!$F$3:$F$168)</f>
        <v>0</v>
      </c>
      <c r="F71" s="128">
        <f>+SUMIF(Hoja4!$B$3:$B$168,$A71,Hoja4!$J$3:$J$168)</f>
        <v>0</v>
      </c>
      <c r="G71" s="128">
        <f>+SUMIF(Hoja4!$B$3:$B$168,$A71,Hoja4!$K$3:$K$168)</f>
        <v>0</v>
      </c>
      <c r="H71" s="30">
        <f>+IFERROR(Hoja4!L67,0)</f>
        <v>0</v>
      </c>
      <c r="I71" s="30">
        <f>+IFERROR(Hoja4!M67,0)</f>
        <v>0</v>
      </c>
    </row>
    <row r="72" spans="1:11" s="74" customFormat="1" x14ac:dyDescent="0.25">
      <c r="A72" s="122" t="str">
        <f>+Hoja4!B68</f>
        <v>E-108</v>
      </c>
      <c r="B72" s="123" t="str">
        <f>+Hoja4!C68</f>
        <v>MANTEN. Y REPARACIÓN</v>
      </c>
      <c r="C72" s="124">
        <f>SUM(C73:C79)</f>
        <v>1106956654.0999999</v>
      </c>
      <c r="D72" s="124">
        <f>SUM(D73:D79)</f>
        <v>178683368.57999998</v>
      </c>
      <c r="E72" s="124">
        <f>SUM(E73:E79)</f>
        <v>0</v>
      </c>
      <c r="F72" s="124">
        <f>SUM(F73:F79)</f>
        <v>1017116958.9100001</v>
      </c>
      <c r="G72" s="124">
        <f>SUM(G73:G79)</f>
        <v>89839695.189999998</v>
      </c>
      <c r="H72" s="125">
        <f>+IFERROR(Hoja4!L68,0)</f>
        <v>0.91884081923420657</v>
      </c>
      <c r="I72" s="125">
        <f>+IFERROR(Hoja4!M68,0)</f>
        <v>8.1159180765793634E-2</v>
      </c>
      <c r="J72" s="121"/>
      <c r="K72" s="121"/>
    </row>
    <row r="73" spans="1:11" x14ac:dyDescent="0.25">
      <c r="A73" s="126" t="str">
        <f>+Hoja4!B69</f>
        <v>E-10801</v>
      </c>
      <c r="B73" s="127" t="str">
        <f>+Hoja4!C69</f>
        <v>MANT.EDIF.,LOC.YTERR</v>
      </c>
      <c r="C73" s="128">
        <f>+SUMIF(Hoja4!$B$3:$B$168,$A73,Hoja4!$D$3:$D$168)</f>
        <v>138472590</v>
      </c>
      <c r="D73" s="128">
        <f>+SUMIF(Hoja4!$B$3:$B$168,$A73,Hoja4!$E$3:$E$168)</f>
        <v>12685918.789999999</v>
      </c>
      <c r="E73" s="128">
        <f>+SUMIF(Hoja4!$B$3:$B$168,$A73,Hoja4!$F$3:$F$168)</f>
        <v>0</v>
      </c>
      <c r="F73" s="128">
        <f>+SUMIF(Hoja4!$B$3:$B$168,$A73,Hoja4!$J$3:$J$168)</f>
        <v>124607850.53999999</v>
      </c>
      <c r="G73" s="128">
        <f>+SUMIF(Hoja4!$B$3:$B$168,$A73,Hoja4!$K$3:$K$168)</f>
        <v>13864739.459999999</v>
      </c>
      <c r="H73" s="30">
        <f>+IFERROR(Hoja4!L69,0)</f>
        <v>0.89987376230920491</v>
      </c>
      <c r="I73" s="30">
        <f>+IFERROR(Hoja4!M69,0)</f>
        <v>0.10012623769079497</v>
      </c>
    </row>
    <row r="74" spans="1:11" x14ac:dyDescent="0.25">
      <c r="A74" s="126" t="str">
        <f>+Hoja4!B70</f>
        <v>E-10804</v>
      </c>
      <c r="B74" s="127" t="str">
        <f>+Hoja4!C70</f>
        <v>MANT.Y REP.M.EQ.PROD</v>
      </c>
      <c r="C74" s="128">
        <f>+SUMIF(Hoja4!$B$3:$B$168,$A74,Hoja4!$D$3:$D$168)</f>
        <v>545348138</v>
      </c>
      <c r="D74" s="128">
        <f>+SUMIF(Hoja4!$B$3:$B$168,$A74,Hoja4!$E$3:$E$168)</f>
        <v>89986034.680000007</v>
      </c>
      <c r="E74" s="128">
        <f>+SUMIF(Hoja4!$B$3:$B$168,$A74,Hoja4!$F$3:$F$168)</f>
        <v>0</v>
      </c>
      <c r="F74" s="128">
        <f>+SUMIF(Hoja4!$B$3:$B$168,$A74,Hoja4!$J$3:$J$168)</f>
        <v>530066723.25999999</v>
      </c>
      <c r="G74" s="128">
        <f>+SUMIF(Hoja4!$B$3:$B$168,$A74,Hoja4!$K$3:$K$168)</f>
        <v>15281414.74</v>
      </c>
      <c r="H74" s="30">
        <f>+IFERROR(Hoja4!L70,0)</f>
        <v>0.97197860655389268</v>
      </c>
      <c r="I74" s="30">
        <f>+IFERROR(Hoja4!M70,0)</f>
        <v>2.8021393446107264E-2</v>
      </c>
    </row>
    <row r="75" spans="1:11" x14ac:dyDescent="0.25">
      <c r="A75" s="126" t="str">
        <f>+Hoja4!B71</f>
        <v>E-10805</v>
      </c>
      <c r="B75" s="127" t="str">
        <f>+Hoja4!C71</f>
        <v>MANT.Y REP.EQ.TRANSP</v>
      </c>
      <c r="C75" s="128">
        <f>+SUMIF(Hoja4!$B$3:$B$168,$A75,Hoja4!$D$3:$D$168)</f>
        <v>150128724.09999999</v>
      </c>
      <c r="D75" s="128">
        <f>+SUMIF(Hoja4!$B$3:$B$168,$A75,Hoja4!$E$3:$E$168)</f>
        <v>21944653.830000002</v>
      </c>
      <c r="E75" s="128">
        <f>+SUMIF(Hoja4!$B$3:$B$168,$A75,Hoja4!$F$3:$F$168)</f>
        <v>0</v>
      </c>
      <c r="F75" s="128">
        <f>+SUMIF(Hoja4!$B$3:$B$168,$A75,Hoja4!$J$3:$J$168)</f>
        <v>142596066.08000001</v>
      </c>
      <c r="G75" s="128">
        <f>+SUMIF(Hoja4!$B$3:$B$168,$A75,Hoja4!$K$3:$K$168)</f>
        <v>7532658.0199999996</v>
      </c>
      <c r="H75" s="30">
        <f>+IFERROR(Hoja4!L71,0)</f>
        <v>0.94982533778824019</v>
      </c>
      <c r="I75" s="30">
        <f>+IFERROR(Hoja4!M71,0)</f>
        <v>5.0174662211759917E-2</v>
      </c>
    </row>
    <row r="76" spans="1:11" x14ac:dyDescent="0.25">
      <c r="A76" s="126" t="str">
        <f>+Hoja4!B72</f>
        <v>E-10806</v>
      </c>
      <c r="B76" s="127" t="str">
        <f>+Hoja4!C72</f>
        <v>MANT.Y REP.EQ.COMUNI</v>
      </c>
      <c r="C76" s="128">
        <f>+SUMIF(Hoja4!$B$3:$B$168,$A76,Hoja4!$D$3:$D$168)</f>
        <v>11695420</v>
      </c>
      <c r="D76" s="128">
        <f>+SUMIF(Hoja4!$B$3:$B$168,$A76,Hoja4!$E$3:$E$168)</f>
        <v>2800479</v>
      </c>
      <c r="E76" s="128">
        <f>+SUMIF(Hoja4!$B$3:$B$168,$A76,Hoja4!$F$3:$F$168)</f>
        <v>0</v>
      </c>
      <c r="F76" s="128">
        <f>+SUMIF(Hoja4!$B$3:$B$168,$A76,Hoja4!$J$3:$J$168)</f>
        <v>6918495.4900000002</v>
      </c>
      <c r="G76" s="128">
        <f>+SUMIF(Hoja4!$B$3:$B$168,$A76,Hoja4!$K$3:$K$168)</f>
        <v>4776924.51</v>
      </c>
      <c r="H76" s="30">
        <f>+IFERROR(Hoja4!L72,0)</f>
        <v>0.59155596720767623</v>
      </c>
      <c r="I76" s="30">
        <f>+IFERROR(Hoja4!M72,0)</f>
        <v>0.40844403279232383</v>
      </c>
    </row>
    <row r="77" spans="1:11" x14ac:dyDescent="0.25">
      <c r="A77" s="126" t="str">
        <f>+Hoja4!B73</f>
        <v>E-10807</v>
      </c>
      <c r="B77" s="127" t="str">
        <f>+Hoja4!C73</f>
        <v>MANT.Y REP.EQ.MOB.OF</v>
      </c>
      <c r="C77" s="128">
        <f>+SUMIF(Hoja4!$B$3:$B$168,$A77,Hoja4!$D$3:$D$168)</f>
        <v>31441322</v>
      </c>
      <c r="D77" s="128">
        <f>+SUMIF(Hoja4!$B$3:$B$168,$A77,Hoja4!$E$3:$E$168)</f>
        <v>2910639.32</v>
      </c>
      <c r="E77" s="128">
        <f>+SUMIF(Hoja4!$B$3:$B$168,$A77,Hoja4!$F$3:$F$168)</f>
        <v>0</v>
      </c>
      <c r="F77" s="128">
        <f>+SUMIF(Hoja4!$B$3:$B$168,$A77,Hoja4!$J$3:$J$168)</f>
        <v>20181120.449999999</v>
      </c>
      <c r="G77" s="128">
        <f>+SUMIF(Hoja4!$B$3:$B$168,$A77,Hoja4!$K$3:$K$168)</f>
        <v>11260201.550000001</v>
      </c>
      <c r="H77" s="30">
        <f>+IFERROR(Hoja4!L73,0)</f>
        <v>0.64186615467377606</v>
      </c>
      <c r="I77" s="30">
        <f>+IFERROR(Hoja4!M73,0)</f>
        <v>0.35813384532622389</v>
      </c>
    </row>
    <row r="78" spans="1:11" x14ac:dyDescent="0.25">
      <c r="A78" s="126" t="str">
        <f>+Hoja4!B74</f>
        <v>E-10808</v>
      </c>
      <c r="B78" s="127" t="str">
        <f>+Hoja4!C74</f>
        <v>MANT.YREP.EQ.C.S.INF</v>
      </c>
      <c r="C78" s="128">
        <f>+SUMIF(Hoja4!$B$3:$B$168,$A78,Hoja4!$D$3:$D$168)</f>
        <v>54875213</v>
      </c>
      <c r="D78" s="128">
        <f>+SUMIF(Hoja4!$B$3:$B$168,$A78,Hoja4!$E$3:$E$168)</f>
        <v>14857618.029999999</v>
      </c>
      <c r="E78" s="128">
        <f>+SUMIF(Hoja4!$B$3:$B$168,$A78,Hoja4!$F$3:$F$168)</f>
        <v>0</v>
      </c>
      <c r="F78" s="128">
        <f>+SUMIF(Hoja4!$B$3:$B$168,$A78,Hoja4!$J$3:$J$168)</f>
        <v>46010209.759999998</v>
      </c>
      <c r="G78" s="128">
        <f>+SUMIF(Hoja4!$B$3:$B$168,$A78,Hoja4!$K$3:$K$168)</f>
        <v>8865003.2399999984</v>
      </c>
      <c r="H78" s="30">
        <f>+IFERROR(Hoja4!L74,0)</f>
        <v>0.83845159307172068</v>
      </c>
      <c r="I78" s="30">
        <f>+IFERROR(Hoja4!M74,0)</f>
        <v>0.16154840692827924</v>
      </c>
    </row>
    <row r="79" spans="1:11" x14ac:dyDescent="0.25">
      <c r="A79" s="126" t="str">
        <f>+Hoja4!B75</f>
        <v>E-10899</v>
      </c>
      <c r="B79" s="127" t="str">
        <f>+Hoja4!C75</f>
        <v>MANT.Y REP.OTROS EQ.</v>
      </c>
      <c r="C79" s="128">
        <f>+SUMIF(Hoja4!$B$3:$B$168,$A79,Hoja4!$D$3:$D$168)</f>
        <v>174995247</v>
      </c>
      <c r="D79" s="128">
        <f>+SUMIF(Hoja4!$B$3:$B$168,$A79,Hoja4!$E$3:$E$168)</f>
        <v>33498024.93</v>
      </c>
      <c r="E79" s="128">
        <f>+SUMIF(Hoja4!$B$3:$B$168,$A79,Hoja4!$F$3:$F$168)</f>
        <v>0</v>
      </c>
      <c r="F79" s="128">
        <f>+SUMIF(Hoja4!$B$3:$B$168,$A79,Hoja4!$J$3:$J$168)</f>
        <v>146736493.33000001</v>
      </c>
      <c r="G79" s="128">
        <f>+SUMIF(Hoja4!$B$3:$B$168,$A79,Hoja4!$K$3:$K$168)</f>
        <v>28258753.669999998</v>
      </c>
      <c r="H79" s="30">
        <f>+IFERROR(Hoja4!L75,0)</f>
        <v>0.83851702172231002</v>
      </c>
      <c r="I79" s="30">
        <f>+IFERROR(Hoja4!M75,0)</f>
        <v>0.16148297827769001</v>
      </c>
    </row>
    <row r="80" spans="1:11" s="74" customFormat="1" x14ac:dyDescent="0.25">
      <c r="A80" s="122" t="str">
        <f>+Hoja4!B76</f>
        <v>E-109</v>
      </c>
      <c r="B80" s="123" t="str">
        <f>+Hoja4!C76</f>
        <v>IMPUESTOS</v>
      </c>
      <c r="C80" s="124">
        <f>+C81</f>
        <v>20905000</v>
      </c>
      <c r="D80" s="124">
        <f>+D81</f>
        <v>4585448</v>
      </c>
      <c r="E80" s="124">
        <f>+E81</f>
        <v>0</v>
      </c>
      <c r="F80" s="124">
        <f>+F81</f>
        <v>17219298</v>
      </c>
      <c r="G80" s="124">
        <f>+G81</f>
        <v>3685702</v>
      </c>
      <c r="H80" s="125">
        <f>+IFERROR(Hoja4!L76,0)</f>
        <v>0.82369280076536711</v>
      </c>
      <c r="I80" s="125">
        <f>+IFERROR(Hoja4!M76,0)</f>
        <v>0.17630719923463287</v>
      </c>
      <c r="J80" s="121"/>
      <c r="K80" s="121"/>
    </row>
    <row r="81" spans="1:11" x14ac:dyDescent="0.25">
      <c r="A81" s="126" t="str">
        <f>+Hoja4!B77</f>
        <v>E-10999</v>
      </c>
      <c r="B81" s="127" t="str">
        <f>+Hoja4!C77</f>
        <v>TROS IMPUESTOS</v>
      </c>
      <c r="C81" s="128">
        <f>+SUMIF(Hoja4!$B$3:$B$168,$A81,Hoja4!$D$3:$D$168)</f>
        <v>20905000</v>
      </c>
      <c r="D81" s="128">
        <f>+SUMIF(Hoja4!$B$3:$B$168,$A81,Hoja4!$E$3:$E$168)</f>
        <v>4585448</v>
      </c>
      <c r="E81" s="128">
        <f>+SUMIF(Hoja4!$B$3:$B$168,$A81,Hoja4!$F$3:$F$168)</f>
        <v>0</v>
      </c>
      <c r="F81" s="128">
        <f>+SUMIF(Hoja4!$B$3:$B$168,$A81,Hoja4!$J$3:$J$168)</f>
        <v>17219298</v>
      </c>
      <c r="G81" s="128">
        <f>+SUMIF(Hoja4!$B$3:$B$168,$A81,Hoja4!$K$3:$K$168)</f>
        <v>3685702</v>
      </c>
      <c r="H81" s="30">
        <f>+IFERROR(Hoja4!L77,0)</f>
        <v>0.82369280076536711</v>
      </c>
      <c r="I81" s="30">
        <f>+IFERROR(Hoja4!M77,0)</f>
        <v>0.17630719923463287</v>
      </c>
    </row>
    <row r="82" spans="1:11" s="74" customFormat="1" x14ac:dyDescent="0.25">
      <c r="A82" s="122" t="str">
        <f>+Hoja4!B78</f>
        <v>E-199</v>
      </c>
      <c r="B82" s="123" t="str">
        <f>+Hoja4!C78</f>
        <v>SERVICIOS DIVERSOS</v>
      </c>
      <c r="C82" s="124">
        <f>SUM(C83:C85)</f>
        <v>65904050</v>
      </c>
      <c r="D82" s="124">
        <f>SUM(D83:D85)</f>
        <v>44964591.270000003</v>
      </c>
      <c r="E82" s="124">
        <f>SUM(E83:E85)</f>
        <v>0</v>
      </c>
      <c r="F82" s="124">
        <f>SUM(F83:F85)</f>
        <v>52357180.390000001</v>
      </c>
      <c r="G82" s="124">
        <f>SUM(G83:G85)</f>
        <v>13546869.610000001</v>
      </c>
      <c r="H82" s="125">
        <f>+IFERROR(Hoja4!L78,0)</f>
        <v>0.79444556730580296</v>
      </c>
      <c r="I82" s="125">
        <f>+IFERROR(Hoja4!M78,0)</f>
        <v>0.2055544326941971</v>
      </c>
      <c r="J82" s="121"/>
      <c r="K82" s="121"/>
    </row>
    <row r="83" spans="1:11" x14ac:dyDescent="0.25">
      <c r="A83" s="126" t="str">
        <f>+Hoja4!B79</f>
        <v>E-19901</v>
      </c>
      <c r="B83" s="127" t="str">
        <f>+Hoja4!C79</f>
        <v>SERV. DE REGULACIÓN</v>
      </c>
      <c r="C83" s="128">
        <f>+SUMIF(Hoja4!$B$3:$B$168,$A83,Hoja4!$D$3:$D$168)</f>
        <v>5000000</v>
      </c>
      <c r="D83" s="128">
        <f>+SUMIF(Hoja4!$B$3:$B$168,$A83,Hoja4!$E$3:$E$168)</f>
        <v>0</v>
      </c>
      <c r="E83" s="128">
        <f>+SUMIF(Hoja4!$B$3:$B$168,$A83,Hoja4!$F$3:$F$168)</f>
        <v>0</v>
      </c>
      <c r="F83" s="128">
        <f>+SUMIF(Hoja4!$B$3:$B$168,$A83,Hoja4!$J$3:$J$168)</f>
        <v>3617106.85</v>
      </c>
      <c r="G83" s="128">
        <f>+SUMIF(Hoja4!$B$3:$B$168,$A83,Hoja4!$K$3:$K$168)</f>
        <v>1382893.15</v>
      </c>
      <c r="H83" s="30">
        <f>+IFERROR(Hoja4!L79,0)</f>
        <v>0.72342137000000006</v>
      </c>
      <c r="I83" s="30">
        <f>+IFERROR(Hoja4!M79,0)</f>
        <v>0.27657862999999999</v>
      </c>
    </row>
    <row r="84" spans="1:11" x14ac:dyDescent="0.25">
      <c r="A84" s="126" t="str">
        <f>+Hoja4!B80</f>
        <v>E-19902</v>
      </c>
      <c r="B84" s="127" t="str">
        <f>+Hoja4!C80</f>
        <v>INT. MORAT. Y MULTAS</v>
      </c>
      <c r="C84" s="128">
        <f>+SUMIF(Hoja4!$B$3:$B$168,$A84,Hoja4!$D$3:$D$168)</f>
        <v>8433455</v>
      </c>
      <c r="D84" s="128">
        <f>+SUMIF(Hoja4!$B$3:$B$168,$A84,Hoja4!$E$3:$E$168)</f>
        <v>0</v>
      </c>
      <c r="E84" s="128">
        <f>+SUMIF(Hoja4!$B$3:$B$168,$A84,Hoja4!$F$3:$F$168)</f>
        <v>0</v>
      </c>
      <c r="F84" s="128">
        <f>+SUMIF(Hoja4!$B$3:$B$168,$A84,Hoja4!$J$3:$J$168)</f>
        <v>2875482.27</v>
      </c>
      <c r="G84" s="128">
        <f>+SUMIF(Hoja4!$B$3:$B$168,$A84,Hoja4!$K$3:$K$168)</f>
        <v>5557972.7300000004</v>
      </c>
      <c r="H84" s="30">
        <f>+IFERROR(Hoja4!L80,0)</f>
        <v>0.34096135806736383</v>
      </c>
      <c r="I84" s="30">
        <f>+IFERROR(Hoja4!M80,0)</f>
        <v>0.65903864193263617</v>
      </c>
    </row>
    <row r="85" spans="1:11" x14ac:dyDescent="0.25">
      <c r="A85" s="126" t="str">
        <f>+Hoja4!B81</f>
        <v>E-19905</v>
      </c>
      <c r="B85" s="127" t="str">
        <f>+Hoja4!C81</f>
        <v>DEDUCIBLES</v>
      </c>
      <c r="C85" s="128">
        <f>+SUMIF(Hoja4!$B$3:$B$168,$A85,Hoja4!$D$3:$D$168)</f>
        <v>52470595</v>
      </c>
      <c r="D85" s="128">
        <f>+SUMIF(Hoja4!$B$3:$B$168,$A85,Hoja4!$E$3:$E$168)</f>
        <v>44964591.270000003</v>
      </c>
      <c r="E85" s="128">
        <f>+SUMIF(Hoja4!$B$3:$B$168,$A85,Hoja4!$F$3:$F$168)</f>
        <v>0</v>
      </c>
      <c r="F85" s="128">
        <f>+SUMIF(Hoja4!$B$3:$B$168,$A85,Hoja4!$J$3:$J$168)</f>
        <v>45864591.270000003</v>
      </c>
      <c r="G85" s="128">
        <f>+SUMIF(Hoja4!$B$3:$B$168,$A85,Hoja4!$K$3:$K$168)</f>
        <v>6606003.7300000004</v>
      </c>
      <c r="H85" s="30">
        <f>+IFERROR(Hoja4!L81,0)</f>
        <v>0.87410084200493632</v>
      </c>
      <c r="I85" s="30">
        <f>+IFERROR(Hoja4!M81,0)</f>
        <v>0.12589915799506371</v>
      </c>
    </row>
    <row r="86" spans="1:11" x14ac:dyDescent="0.25">
      <c r="A86" s="117" t="str">
        <f>+Hoja4!B82</f>
        <v>E-2</v>
      </c>
      <c r="B86" s="118" t="str">
        <f>+Hoja4!C82</f>
        <v>MATERIALES Y SUMINIS</v>
      </c>
      <c r="C86" s="119">
        <f>+C87+C93+C97+C105+C110+C108</f>
        <v>16512433047</v>
      </c>
      <c r="D86" s="119">
        <f>+Hoja4!E82</f>
        <v>1035084392.23</v>
      </c>
      <c r="E86" s="119">
        <f>+Hoja4!F82</f>
        <v>0</v>
      </c>
      <c r="F86" s="119">
        <f>SUM(Hoja4!G82:I82)</f>
        <v>15948322872.220001</v>
      </c>
      <c r="G86" s="130">
        <f>+Hoja4!K82</f>
        <v>564110174.77999997</v>
      </c>
      <c r="H86" s="120">
        <f>+IFERROR(Hoja4!L82,0)</f>
        <v>0.96583724680824745</v>
      </c>
      <c r="I86" s="120">
        <f>+IFERROR(Hoja4!M82,0)</f>
        <v>3.4162753191752576E-2</v>
      </c>
      <c r="K86" s="34">
        <f>+C86-Estado!C175</f>
        <v>0</v>
      </c>
    </row>
    <row r="87" spans="1:11" s="74" customFormat="1" x14ac:dyDescent="0.25">
      <c r="A87" s="122" t="str">
        <f>+Hoja4!B83</f>
        <v>E-201</v>
      </c>
      <c r="B87" s="123" t="str">
        <f>+Hoja4!C83</f>
        <v>PRODUC QUÍM Y CONEX</v>
      </c>
      <c r="C87" s="124">
        <f>SUM(C88:C92)</f>
        <v>1017807274</v>
      </c>
      <c r="D87" s="124">
        <f>SUM(D88:D92)</f>
        <v>72412864.589999989</v>
      </c>
      <c r="E87" s="124">
        <f>SUM(E88:E92)</f>
        <v>0</v>
      </c>
      <c r="F87" s="124">
        <f>SUM(F88:F92)</f>
        <v>846357683.82000005</v>
      </c>
      <c r="G87" s="124">
        <f>SUM(G88:G92)</f>
        <v>171449590.17999998</v>
      </c>
      <c r="H87" s="125">
        <f>+IFERROR(Hoja4!L83,0)</f>
        <v>0.83155004433580038</v>
      </c>
      <c r="I87" s="125">
        <f>+IFERROR(Hoja4!M83,0)</f>
        <v>0.16844995566419971</v>
      </c>
      <c r="J87" s="121"/>
      <c r="K87" s="121"/>
    </row>
    <row r="88" spans="1:11" x14ac:dyDescent="0.25">
      <c r="A88" s="126" t="str">
        <f>+Hoja4!B84</f>
        <v>E-20101</v>
      </c>
      <c r="B88" s="127" t="str">
        <f>+Hoja4!C84</f>
        <v>COMB Y LUBRICANTES</v>
      </c>
      <c r="C88" s="128">
        <f>+SUMIF(Hoja4!$B$3:$B$168,$A88,Hoja4!$D$3:$D$168)</f>
        <v>720074289</v>
      </c>
      <c r="D88" s="128">
        <f>+SUMIF(Hoja4!$B$3:$B$168,$A88,Hoja4!$E$3:$E$168)</f>
        <v>61267259.269999996</v>
      </c>
      <c r="E88" s="128">
        <f>+SUMIF(Hoja4!$B$3:$B$168,$A88,Hoja4!$F$3:$F$168)</f>
        <v>0</v>
      </c>
      <c r="F88" s="128">
        <f>+SUMIF(Hoja4!$B$3:$B$168,$A88,Hoja4!$J$3:$J$168)</f>
        <v>558907383.01999998</v>
      </c>
      <c r="G88" s="128">
        <f>+SUMIF(Hoja4!$B$3:$B$168,$A88,Hoja4!$K$3:$K$168)</f>
        <v>161166905.97999999</v>
      </c>
      <c r="H88" s="30">
        <f>+IFERROR(Hoja4!L84,0)</f>
        <v>0.77618016857146799</v>
      </c>
      <c r="I88" s="30">
        <f>+IFERROR(Hoja4!M84,0)</f>
        <v>0.22381983142853193</v>
      </c>
    </row>
    <row r="89" spans="1:11" x14ac:dyDescent="0.25">
      <c r="A89" s="126" t="str">
        <f>+Hoja4!B85</f>
        <v>E-20102</v>
      </c>
      <c r="B89" s="127" t="str">
        <f>+Hoja4!C85</f>
        <v>PROD FARMAC Y MEDIC.</v>
      </c>
      <c r="C89" s="128">
        <f>+SUMIF(Hoja4!$B$3:$B$168,$A89,Hoja4!$D$3:$D$168)</f>
        <v>224986576</v>
      </c>
      <c r="D89" s="128">
        <f>+SUMIF(Hoja4!$B$3:$B$168,$A89,Hoja4!$E$3:$E$168)</f>
        <v>98.9</v>
      </c>
      <c r="E89" s="128">
        <f>+SUMIF(Hoja4!$B$3:$B$168,$A89,Hoja4!$F$3:$F$168)</f>
        <v>0</v>
      </c>
      <c r="F89" s="128">
        <f>+SUMIF(Hoja4!$B$3:$B$168,$A89,Hoja4!$J$3:$J$168)</f>
        <v>221494221.85000002</v>
      </c>
      <c r="G89" s="128">
        <f>+SUMIF(Hoja4!$B$3:$B$168,$A89,Hoja4!$K$3:$K$168)</f>
        <v>3492354.15</v>
      </c>
      <c r="H89" s="30">
        <f>+IFERROR(Hoja4!L85,0)</f>
        <v>0.98447749989314925</v>
      </c>
      <c r="I89" s="30">
        <f>+IFERROR(Hoja4!M85,0)</f>
        <v>1.552250010685082E-2</v>
      </c>
    </row>
    <row r="90" spans="1:11" x14ac:dyDescent="0.25">
      <c r="A90" s="126" t="str">
        <f>+Hoja4!B86</f>
        <v>E-20103</v>
      </c>
      <c r="B90" s="127" t="str">
        <f>+Hoja4!C86</f>
        <v>PRODUCTOS VETERIN.</v>
      </c>
      <c r="C90" s="128">
        <f>+SUMIF(Hoja4!$B$3:$B$168,$A90,Hoja4!$D$3:$D$168)</f>
        <v>14405151</v>
      </c>
      <c r="D90" s="128">
        <f>+SUMIF(Hoja4!$B$3:$B$168,$A90,Hoja4!$E$3:$E$168)</f>
        <v>9454794.4199999999</v>
      </c>
      <c r="E90" s="128">
        <f>+SUMIF(Hoja4!$B$3:$B$168,$A90,Hoja4!$F$3:$F$168)</f>
        <v>0</v>
      </c>
      <c r="F90" s="128">
        <f>+SUMIF(Hoja4!$B$3:$B$168,$A90,Hoja4!$J$3:$J$168)</f>
        <v>12641268.33</v>
      </c>
      <c r="G90" s="128">
        <f>+SUMIF(Hoja4!$B$3:$B$168,$A90,Hoja4!$K$3:$K$168)</f>
        <v>1763882.67</v>
      </c>
      <c r="H90" s="30">
        <f>+IFERROR(Hoja4!L86,0)</f>
        <v>0.87755194860505104</v>
      </c>
      <c r="I90" s="30">
        <f>+IFERROR(Hoja4!M86,0)</f>
        <v>0.12244805139494892</v>
      </c>
    </row>
    <row r="91" spans="1:11" x14ac:dyDescent="0.25">
      <c r="A91" s="126" t="str">
        <f>+Hoja4!B87</f>
        <v>E-20104</v>
      </c>
      <c r="B91" s="127" t="str">
        <f>+Hoja4!C87</f>
        <v>TINTAS, PINT.Y DILUY</v>
      </c>
      <c r="C91" s="128">
        <f>+SUMIF(Hoja4!$B$3:$B$168,$A91,Hoja4!$D$3:$D$168)</f>
        <v>45310321</v>
      </c>
      <c r="D91" s="128">
        <f>+SUMIF(Hoja4!$B$3:$B$168,$A91,Hoja4!$E$3:$E$168)</f>
        <v>1690712</v>
      </c>
      <c r="E91" s="128">
        <f>+SUMIF(Hoja4!$B$3:$B$168,$A91,Hoja4!$F$3:$F$168)</f>
        <v>0</v>
      </c>
      <c r="F91" s="128">
        <f>+SUMIF(Hoja4!$B$3:$B$168,$A91,Hoja4!$J$3:$J$168)</f>
        <v>43811497.100000001</v>
      </c>
      <c r="G91" s="128">
        <f>+SUMIF(Hoja4!$B$3:$B$168,$A91,Hoja4!$K$3:$K$168)</f>
        <v>1498823.9</v>
      </c>
      <c r="H91" s="30">
        <f>+IFERROR(Hoja4!L87,0)</f>
        <v>0.9669209163183814</v>
      </c>
      <c r="I91" s="30">
        <f>+IFERROR(Hoja4!M87,0)</f>
        <v>3.3079083681618583E-2</v>
      </c>
    </row>
    <row r="92" spans="1:11" x14ac:dyDescent="0.25">
      <c r="A92" s="126" t="str">
        <f>+Hoja4!B88</f>
        <v>E-20199</v>
      </c>
      <c r="B92" s="127" t="str">
        <f>+Hoja4!C88</f>
        <v>OTR.PROD.QUÍM YCONEX</v>
      </c>
      <c r="C92" s="128">
        <f>+SUMIF(Hoja4!$B$3:$B$168,$A92,Hoja4!$D$3:$D$168)</f>
        <v>13030937</v>
      </c>
      <c r="D92" s="128">
        <f>+SUMIF(Hoja4!$B$3:$B$168,$A92,Hoja4!$E$3:$E$168)</f>
        <v>0</v>
      </c>
      <c r="E92" s="128">
        <f>+SUMIF(Hoja4!$B$3:$B$168,$A92,Hoja4!$F$3:$F$168)</f>
        <v>0</v>
      </c>
      <c r="F92" s="128">
        <f>+SUMIF(Hoja4!$B$3:$B$168,$A92,Hoja4!$J$3:$J$168)</f>
        <v>9503313.5199999996</v>
      </c>
      <c r="G92" s="128">
        <f>+SUMIF(Hoja4!$B$3:$B$168,$A92,Hoja4!$K$3:$K$168)</f>
        <v>3527623.4799999995</v>
      </c>
      <c r="H92" s="30">
        <f>+IFERROR(Hoja4!L88,0)</f>
        <v>0.72928857840383998</v>
      </c>
      <c r="I92" s="30">
        <f>+IFERROR(Hoja4!M88,0)</f>
        <v>0.27071142159615991</v>
      </c>
    </row>
    <row r="93" spans="1:11" s="74" customFormat="1" x14ac:dyDescent="0.25">
      <c r="A93" s="122" t="str">
        <f>+Hoja4!B89</f>
        <v>E-202</v>
      </c>
      <c r="B93" s="123" t="str">
        <f>+Hoja4!C89</f>
        <v>ALIMEN Y PRODUC AGRO</v>
      </c>
      <c r="C93" s="124">
        <f>SUM(C94:C96)</f>
        <v>11819424772</v>
      </c>
      <c r="D93" s="124">
        <f>SUM(D95:D96)</f>
        <v>838441600.31000006</v>
      </c>
      <c r="E93" s="124">
        <f>SUM(E95:E96)</f>
        <v>0</v>
      </c>
      <c r="F93" s="124">
        <f>SUM(F95:F96)</f>
        <v>11597051263.77</v>
      </c>
      <c r="G93" s="124">
        <f>SUM(G95:G96)</f>
        <v>218387783.22999999</v>
      </c>
      <c r="H93" s="125">
        <f>+IFERROR(Hoja4!L89,0)</f>
        <v>0.98141959211498575</v>
      </c>
      <c r="I93" s="125">
        <f>+IFERROR(Hoja4!M89,0)</f>
        <v>1.8580407885014121E-2</v>
      </c>
      <c r="J93" s="121"/>
      <c r="K93" s="121"/>
    </row>
    <row r="94" spans="1:11" s="74" customFormat="1" x14ac:dyDescent="0.25">
      <c r="A94" s="131" t="str">
        <f>+Hoja4!B90</f>
        <v>E-20202</v>
      </c>
      <c r="B94" s="132" t="str">
        <f>+Hoja4!C89</f>
        <v>ALIMEN Y PRODUC AGRO</v>
      </c>
      <c r="C94" s="133">
        <f>+SUMIF(Hoja4!$B$3:$B$168,$A94,Hoja4!$D$3:$D$168)</f>
        <v>3985725</v>
      </c>
      <c r="D94" s="133">
        <f>+SUMIF(Hoja4!$B$3:$B$168,$A94,Hoja4!$E$3:$E$168)</f>
        <v>0</v>
      </c>
      <c r="E94" s="133">
        <f>+SUMIF(Hoja4!$B$3:$B$168,$A94,Hoja4!$F$3:$F$168)</f>
        <v>0</v>
      </c>
      <c r="F94" s="133">
        <f>+SUMIF(Hoja4!$B$3:$B$168,$A94,Hoja4!$J$3:$J$168)</f>
        <v>2763775</v>
      </c>
      <c r="G94" s="133">
        <f>+SUMIF(Hoja4!$B$3:$B$168,$A94,Hoja4!$K$3:$K$168)</f>
        <v>1221950</v>
      </c>
      <c r="H94" s="134">
        <f>+IFERROR(Hoja4!L89,0)</f>
        <v>0.98141959211498575</v>
      </c>
      <c r="I94" s="134">
        <f>+IFERROR(Hoja4!M89,0)</f>
        <v>1.8580407885014121E-2</v>
      </c>
      <c r="J94" s="121"/>
      <c r="K94" s="121"/>
    </row>
    <row r="95" spans="1:11" x14ac:dyDescent="0.25">
      <c r="A95" s="126" t="str">
        <f>+Hoja4!B91</f>
        <v>E-20203</v>
      </c>
      <c r="B95" s="127" t="str">
        <f>+Hoja4!C91</f>
        <v>ALIMENTOS Y BEBIDAS</v>
      </c>
      <c r="C95" s="128">
        <f>+SUMIF(Hoja4!$B$3:$B$168,$A95,Hoja4!$D$3:$D$168)</f>
        <v>11762576200</v>
      </c>
      <c r="D95" s="128">
        <f>+SUMIF(Hoja4!$B$3:$B$168,$A95,Hoja4!$E$3:$E$168)</f>
        <v>832576467.35000002</v>
      </c>
      <c r="E95" s="128">
        <f>+SUMIF(Hoja4!$B$3:$B$168,$A95,Hoja4!$F$3:$F$168)</f>
        <v>0</v>
      </c>
      <c r="F95" s="128">
        <f>+SUMIF(Hoja4!$B$3:$B$168,$A95,Hoja4!$J$3:$J$168)</f>
        <v>11548489541.57</v>
      </c>
      <c r="G95" s="128">
        <f>+SUMIF(Hoja4!$B$3:$B$168,$A95,Hoja4!$K$3:$K$168)</f>
        <v>214086658.42999998</v>
      </c>
      <c r="H95" s="30">
        <f>+IFERROR(Hoja4!L91,0)</f>
        <v>0.98179933929524721</v>
      </c>
      <c r="I95" s="30">
        <f>+IFERROR(Hoja4!M91,0)</f>
        <v>1.8200660704752753E-2</v>
      </c>
    </row>
    <row r="96" spans="1:11" s="74" customFormat="1" x14ac:dyDescent="0.25">
      <c r="A96" s="126" t="str">
        <f>+Hoja4!B92</f>
        <v>E-20204</v>
      </c>
      <c r="B96" s="127" t="str">
        <f>+Hoja4!C92</f>
        <v>ALIM. PARA ANIMALES</v>
      </c>
      <c r="C96" s="128">
        <f>+SUMIF(Hoja4!$B$3:$B$168,$A96,Hoja4!$D$3:$D$168)</f>
        <v>52862847</v>
      </c>
      <c r="D96" s="128">
        <f>+SUMIF(Hoja4!$B$3:$B$168,$A96,Hoja4!$E$3:$E$168)</f>
        <v>5865132.96</v>
      </c>
      <c r="E96" s="128">
        <f>+SUMIF(Hoja4!$B$3:$B$168,$A96,Hoja4!$F$3:$F$168)</f>
        <v>0</v>
      </c>
      <c r="F96" s="128">
        <f>+SUMIF(Hoja4!$B$3:$B$168,$A96,Hoja4!$J$3:$J$168)</f>
        <v>48561722.200000003</v>
      </c>
      <c r="G96" s="128">
        <f>+SUMIF(Hoja4!$B$3:$B$168,$A96,Hoja4!$K$3:$K$168)</f>
        <v>4301124.8000000007</v>
      </c>
      <c r="H96" s="125">
        <f>+IFERROR(Hoja4!L92,0)</f>
        <v>0.91863614912757163</v>
      </c>
      <c r="I96" s="125">
        <f>+IFERROR(Hoja4!M92,0)</f>
        <v>8.1363850872428437E-2</v>
      </c>
      <c r="J96" s="121"/>
      <c r="K96" s="121"/>
    </row>
    <row r="97" spans="1:11" s="74" customFormat="1" x14ac:dyDescent="0.25">
      <c r="A97" s="122" t="str">
        <f>+Hoja4!B93</f>
        <v>E-203</v>
      </c>
      <c r="B97" s="123" t="str">
        <f>+Hoja4!C93</f>
        <v>MATER P.CONST Y MANT</v>
      </c>
      <c r="C97" s="124">
        <f>SUM(C98:C104)</f>
        <v>546440107</v>
      </c>
      <c r="D97" s="124">
        <f>SUM(D98:D104)</f>
        <v>17084951.259999998</v>
      </c>
      <c r="E97" s="124">
        <f>SUM(E98:E104)</f>
        <v>0</v>
      </c>
      <c r="F97" s="124">
        <f>SUM(F98:F104)</f>
        <v>523966338.12999994</v>
      </c>
      <c r="G97" s="124">
        <f>SUM(G98:G104)</f>
        <v>22473768.869999997</v>
      </c>
      <c r="H97" s="125">
        <f>+IFERROR(Hoja4!L93,0)</f>
        <v>0.95887240233264925</v>
      </c>
      <c r="I97" s="125">
        <f>+IFERROR(Hoja4!M93,0)</f>
        <v>4.1127597667350579E-2</v>
      </c>
      <c r="J97" s="121"/>
      <c r="K97" s="121"/>
    </row>
    <row r="98" spans="1:11" x14ac:dyDescent="0.25">
      <c r="A98" s="126" t="str">
        <f>+Hoja4!B94</f>
        <v>E-20301</v>
      </c>
      <c r="B98" s="127" t="str">
        <f>+Hoja4!C94</f>
        <v>MATERIALES YPROD MET</v>
      </c>
      <c r="C98" s="128">
        <f>+SUMIF(Hoja4!$B$3:$B$168,$A98,Hoja4!$D$3:$D$168)</f>
        <v>142625131</v>
      </c>
      <c r="D98" s="128">
        <f>+SUMIF(Hoja4!$B$3:$B$168,$A98,Hoja4!$E$3:$E$168)</f>
        <v>1508679.8399999999</v>
      </c>
      <c r="E98" s="128">
        <f>+SUMIF(Hoja4!$B$3:$B$168,$A98,Hoja4!$F$3:$F$168)</f>
        <v>0</v>
      </c>
      <c r="F98" s="128">
        <f>+SUMIF(Hoja4!$B$3:$B$168,$A98,Hoja4!$J$3:$J$168)</f>
        <v>134155037.67</v>
      </c>
      <c r="G98" s="128">
        <f>+SUMIF(Hoja4!$B$3:$B$168,$A98,Hoja4!$K$3:$K$168)</f>
        <v>8470093.3300000001</v>
      </c>
      <c r="H98" s="30">
        <f>+IFERROR(Hoja4!L94,0)</f>
        <v>0.94061289710577023</v>
      </c>
      <c r="I98" s="30">
        <f>+IFERROR(Hoja4!M94,0)</f>
        <v>5.9387102894229771E-2</v>
      </c>
    </row>
    <row r="99" spans="1:11" x14ac:dyDescent="0.25">
      <c r="A99" s="126" t="str">
        <f>+Hoja4!B95</f>
        <v>E-20302</v>
      </c>
      <c r="B99" s="127" t="str">
        <f>+Hoja4!C95</f>
        <v>MAT Y PROD.MIN.Y ASF</v>
      </c>
      <c r="C99" s="128">
        <f>+SUMIF(Hoja4!$B$3:$B$168,$A99,Hoja4!$D$3:$D$168)</f>
        <v>100478000</v>
      </c>
      <c r="D99" s="128">
        <f>+SUMIF(Hoja4!$B$3:$B$168,$A99,Hoja4!$E$3:$E$168)</f>
        <v>9173543.4000000004</v>
      </c>
      <c r="E99" s="128">
        <f>+SUMIF(Hoja4!$B$3:$B$168,$A99,Hoja4!$F$3:$F$168)</f>
        <v>0</v>
      </c>
      <c r="F99" s="128">
        <f>+SUMIF(Hoja4!$B$3:$B$168,$A99,Hoja4!$J$3:$J$168)</f>
        <v>98491008.260000005</v>
      </c>
      <c r="G99" s="128">
        <f>+SUMIF(Hoja4!$B$3:$B$168,$A99,Hoja4!$K$3:$K$168)</f>
        <v>1986991.74</v>
      </c>
      <c r="H99" s="30">
        <f>+IFERROR(Hoja4!L95,0)</f>
        <v>0.98022460896912766</v>
      </c>
      <c r="I99" s="30">
        <f>+IFERROR(Hoja4!M95,0)</f>
        <v>1.9775391030872429E-2</v>
      </c>
    </row>
    <row r="100" spans="1:11" x14ac:dyDescent="0.25">
      <c r="A100" s="126" t="str">
        <f>+Hoja4!B96</f>
        <v>E-20303</v>
      </c>
      <c r="B100" s="127" t="str">
        <f>+Hoja4!C96</f>
        <v>MADERA Y SUS DERIV</v>
      </c>
      <c r="C100" s="128">
        <f>+SUMIF(Hoja4!$B$3:$B$168,$A100,Hoja4!$D$3:$D$168)</f>
        <v>124771598</v>
      </c>
      <c r="D100" s="128">
        <f>+SUMIF(Hoja4!$B$3:$B$168,$A100,Hoja4!$E$3:$E$168)</f>
        <v>0</v>
      </c>
      <c r="E100" s="128">
        <f>+SUMIF(Hoja4!$B$3:$B$168,$A100,Hoja4!$F$3:$F$168)</f>
        <v>0</v>
      </c>
      <c r="F100" s="128">
        <f>+SUMIF(Hoja4!$B$3:$B$168,$A100,Hoja4!$J$3:$J$168)</f>
        <v>124567850.02999999</v>
      </c>
      <c r="G100" s="128">
        <f>+SUMIF(Hoja4!$B$3:$B$168,$A100,Hoja4!$K$3:$K$168)</f>
        <v>203747.97</v>
      </c>
      <c r="H100" s="30">
        <f>+IFERROR(Hoja4!L96,0)</f>
        <v>0.99836703245557523</v>
      </c>
      <c r="I100" s="30">
        <f>+IFERROR(Hoja4!M96,0)</f>
        <v>1.6329675444246535E-3</v>
      </c>
    </row>
    <row r="101" spans="1:11" x14ac:dyDescent="0.25">
      <c r="A101" s="126" t="str">
        <f>+Hoja4!B97</f>
        <v>E-20304</v>
      </c>
      <c r="B101" s="127" t="str">
        <f>+Hoja4!C97</f>
        <v>MAT.YPROD.ELÉC,TEL.C</v>
      </c>
      <c r="C101" s="128">
        <f>+SUMIF(Hoja4!$B$3:$B$168,$A101,Hoja4!$D$3:$D$168)</f>
        <v>108668764</v>
      </c>
      <c r="D101" s="128">
        <f>+SUMIF(Hoja4!$B$3:$B$168,$A101,Hoja4!$E$3:$E$168)</f>
        <v>6402728.0199999996</v>
      </c>
      <c r="E101" s="128">
        <f>+SUMIF(Hoja4!$B$3:$B$168,$A101,Hoja4!$F$3:$F$168)</f>
        <v>0</v>
      </c>
      <c r="F101" s="128">
        <f>+SUMIF(Hoja4!$B$3:$B$168,$A101,Hoja4!$J$3:$J$168)</f>
        <v>101836272.71000001</v>
      </c>
      <c r="G101" s="128">
        <f>+SUMIF(Hoja4!$B$3:$B$168,$A101,Hoja4!$K$3:$K$168)</f>
        <v>6832491.2899999991</v>
      </c>
      <c r="H101" s="30">
        <f>+IFERROR(Hoja4!L97,0)</f>
        <v>0.93712552679811478</v>
      </c>
      <c r="I101" s="30">
        <f>+IFERROR(Hoja4!M97,0)</f>
        <v>6.2874473201885314E-2</v>
      </c>
    </row>
    <row r="102" spans="1:11" x14ac:dyDescent="0.25">
      <c r="A102" s="126" t="str">
        <f>+Hoja4!B98</f>
        <v>E-20305</v>
      </c>
      <c r="B102" s="127" t="str">
        <f>+Hoja4!C98</f>
        <v>MATER. Y PROD VIDRIO</v>
      </c>
      <c r="C102" s="128">
        <f>+SUMIF(Hoja4!$B$3:$B$168,$A102,Hoja4!$D$3:$D$168)</f>
        <v>1091036</v>
      </c>
      <c r="D102" s="128">
        <f>+SUMIF(Hoja4!$B$3:$B$168,$A102,Hoja4!$E$3:$E$168)</f>
        <v>0</v>
      </c>
      <c r="E102" s="128">
        <f>+SUMIF(Hoja4!$B$3:$B$168,$A102,Hoja4!$F$3:$F$168)</f>
        <v>0</v>
      </c>
      <c r="F102" s="128">
        <f>+SUMIF(Hoja4!$B$3:$B$168,$A102,Hoja4!$J$3:$J$168)</f>
        <v>1016898.3</v>
      </c>
      <c r="G102" s="128">
        <f>+SUMIF(Hoja4!$B$3:$B$168,$A102,Hoja4!$K$3:$K$168)</f>
        <v>74137.7</v>
      </c>
      <c r="H102" s="30">
        <f>+IFERROR(Hoja4!L98,0)</f>
        <v>0.93204834670899961</v>
      </c>
      <c r="I102" s="30">
        <f>+IFERROR(Hoja4!M98,0)</f>
        <v>6.7951653291000474E-2</v>
      </c>
    </row>
    <row r="103" spans="1:11" x14ac:dyDescent="0.25">
      <c r="A103" s="126" t="str">
        <f>+Hoja4!B99</f>
        <v>E-20306</v>
      </c>
      <c r="B103" s="127" t="str">
        <f>+Hoja4!C99</f>
        <v>MAT. Y PROD PLÁSTICO</v>
      </c>
      <c r="C103" s="128">
        <f>+SUMIF(Hoja4!$B$3:$B$168,$A103,Hoja4!$D$3:$D$168)</f>
        <v>44953920</v>
      </c>
      <c r="D103" s="128">
        <f>+SUMIF(Hoja4!$B$3:$B$168,$A103,Hoja4!$E$3:$E$168)</f>
        <v>0</v>
      </c>
      <c r="E103" s="128">
        <f>+SUMIF(Hoja4!$B$3:$B$168,$A103,Hoja4!$F$3:$F$168)</f>
        <v>0</v>
      </c>
      <c r="F103" s="128">
        <f>+SUMIF(Hoja4!$B$3:$B$168,$A103,Hoja4!$J$3:$J$168)</f>
        <v>40806140.509999998</v>
      </c>
      <c r="G103" s="128">
        <f>+SUMIF(Hoja4!$B$3:$B$168,$A103,Hoja4!$K$3:$K$168)</f>
        <v>4147779.49</v>
      </c>
      <c r="H103" s="30">
        <f>+IFERROR(Hoja4!L99,0)</f>
        <v>0.90773264066848891</v>
      </c>
      <c r="I103" s="30">
        <f>+IFERROR(Hoja4!M99,0)</f>
        <v>9.2267359331511034E-2</v>
      </c>
    </row>
    <row r="104" spans="1:11" x14ac:dyDescent="0.25">
      <c r="A104" s="126" t="str">
        <f>+Hoja4!B100</f>
        <v>E-20399</v>
      </c>
      <c r="B104" s="127" t="str">
        <f>+Hoja4!C100</f>
        <v>OTR.MAT.YP.USO CONST</v>
      </c>
      <c r="C104" s="128">
        <f>+SUMIF(Hoja4!$B$3:$B$168,$A104,Hoja4!$D$3:$D$168)</f>
        <v>23851658</v>
      </c>
      <c r="D104" s="128">
        <f>+SUMIF(Hoja4!$B$3:$B$168,$A104,Hoja4!$E$3:$E$168)</f>
        <v>0</v>
      </c>
      <c r="E104" s="128">
        <f>+SUMIF(Hoja4!$B$3:$B$168,$A104,Hoja4!$F$3:$F$168)</f>
        <v>0</v>
      </c>
      <c r="F104" s="128">
        <f>+SUMIF(Hoja4!$B$3:$B$168,$A104,Hoja4!$J$3:$J$168)</f>
        <v>23093130.650000002</v>
      </c>
      <c r="G104" s="128">
        <f>+SUMIF(Hoja4!$B$3:$B$168,$A104,Hoja4!$K$3:$K$168)</f>
        <v>758527.35</v>
      </c>
      <c r="H104" s="30">
        <f>+IFERROR(Hoja4!L100,0)</f>
        <v>0.96819812903572577</v>
      </c>
      <c r="I104" s="30">
        <f>+IFERROR(Hoja4!M100,0)</f>
        <v>3.1801870964274268E-2</v>
      </c>
    </row>
    <row r="105" spans="1:11" s="74" customFormat="1" x14ac:dyDescent="0.25">
      <c r="A105" s="122" t="str">
        <f>+Hoja4!B101</f>
        <v>E-204</v>
      </c>
      <c r="B105" s="123" t="str">
        <f>+Hoja4!C101</f>
        <v>HERRAM REPUE Y ACCES</v>
      </c>
      <c r="C105" s="124">
        <f>SUM(C106:C107)</f>
        <v>150042990</v>
      </c>
      <c r="D105" s="124">
        <f>SUM(D106:D107)</f>
        <v>19732129.379999999</v>
      </c>
      <c r="E105" s="124">
        <f>SUM(E106:E107)</f>
        <v>0</v>
      </c>
      <c r="F105" s="124">
        <f>SUM(F106:F107)</f>
        <v>136471806.81</v>
      </c>
      <c r="G105" s="124">
        <f>SUM(G106:G107)</f>
        <v>13571183.189999999</v>
      </c>
      <c r="H105" s="125">
        <f>+IFERROR(Hoja4!L101,0)</f>
        <v>0.90955136797793756</v>
      </c>
      <c r="I105" s="125">
        <f>+IFERROR(Hoja4!M101,0)</f>
        <v>9.0448632022062492E-2</v>
      </c>
      <c r="J105" s="121"/>
      <c r="K105" s="121"/>
    </row>
    <row r="106" spans="1:11" x14ac:dyDescent="0.25">
      <c r="A106" s="126" t="str">
        <f>+Hoja4!B102</f>
        <v>E-20401</v>
      </c>
      <c r="B106" s="127" t="str">
        <f>+Hoja4!C102</f>
        <v>HERRAM.E INSTRUMENTO</v>
      </c>
      <c r="C106" s="128">
        <f>+SUMIF(Hoja4!$B$3:$B$168,$A106,Hoja4!$D$3:$D$168)</f>
        <v>23465695</v>
      </c>
      <c r="D106" s="128">
        <f>+SUMIF(Hoja4!$B$3:$B$168,$A106,Hoja4!$E$3:$E$168)</f>
        <v>0</v>
      </c>
      <c r="E106" s="128">
        <f>+SUMIF(Hoja4!$B$3:$B$168,$A106,Hoja4!$F$3:$F$168)</f>
        <v>0</v>
      </c>
      <c r="F106" s="128">
        <f>+SUMIF(Hoja4!$B$3:$B$168,$A106,Hoja4!$J$3:$J$168)</f>
        <v>16739852.390000001</v>
      </c>
      <c r="G106" s="128">
        <f>+SUMIF(Hoja4!$B$3:$B$168,$A106,Hoja4!$K$3:$K$168)</f>
        <v>6725842.6099999994</v>
      </c>
      <c r="H106" s="30">
        <f>+IFERROR(Hoja4!L102,0)</f>
        <v>0.71337552073356447</v>
      </c>
      <c r="I106" s="30">
        <f>+IFERROR(Hoja4!M102,0)</f>
        <v>0.28662447926643553</v>
      </c>
    </row>
    <row r="107" spans="1:11" x14ac:dyDescent="0.25">
      <c r="A107" s="126" t="str">
        <f>+Hoja4!B103</f>
        <v>E-20402</v>
      </c>
      <c r="B107" s="127" t="str">
        <f>+Hoja4!C103</f>
        <v>REP.Y ACCESORIOS</v>
      </c>
      <c r="C107" s="128">
        <f>+SUMIF(Hoja4!$B$3:$B$168,$A107,Hoja4!$D$3:$D$168)</f>
        <v>126577295</v>
      </c>
      <c r="D107" s="128">
        <f>+SUMIF(Hoja4!$B$3:$B$168,$A107,Hoja4!$E$3:$E$168)</f>
        <v>19732129.379999999</v>
      </c>
      <c r="E107" s="128">
        <f>+SUMIF(Hoja4!$B$3:$B$168,$A107,Hoja4!$F$3:$F$168)</f>
        <v>0</v>
      </c>
      <c r="F107" s="128">
        <f>+SUMIF(Hoja4!$B$3:$B$168,$A107,Hoja4!$J$3:$J$168)</f>
        <v>119731954.41999999</v>
      </c>
      <c r="G107" s="128">
        <f>+SUMIF(Hoja4!$B$3:$B$168,$A107,Hoja4!$K$3:$K$168)</f>
        <v>6845340.5800000001</v>
      </c>
      <c r="H107" s="30">
        <f>+IFERROR(Hoja4!L103,0)</f>
        <v>0.94591968030285356</v>
      </c>
      <c r="I107" s="30">
        <f>+IFERROR(Hoja4!M103,0)</f>
        <v>5.4080319697146315E-2</v>
      </c>
    </row>
    <row r="108" spans="1:11" x14ac:dyDescent="0.25">
      <c r="A108" s="122" t="str">
        <f>+Hoja4!B104</f>
        <v>E-205</v>
      </c>
      <c r="B108" s="123" t="str">
        <f>+Hoja4!C104</f>
        <v>BIENES PARA LA PRODUCCION Y COMERCIALIZACION</v>
      </c>
      <c r="C108" s="124">
        <f>+C109</f>
        <v>6277196</v>
      </c>
      <c r="D108" s="124">
        <f>+D109</f>
        <v>0</v>
      </c>
      <c r="E108" s="124">
        <f>+E109</f>
        <v>0</v>
      </c>
      <c r="F108" s="124">
        <f>+F109</f>
        <v>6277195.2000000002</v>
      </c>
      <c r="G108" s="124">
        <f>+G109</f>
        <v>0.8</v>
      </c>
      <c r="H108" s="125">
        <f>+IFERROR(Hoja4!L104,0)</f>
        <v>0.99999987255456102</v>
      </c>
      <c r="I108" s="125">
        <f>+IFERROR(Hoja4!M104,0)</f>
        <v>1.2744543901448992E-7</v>
      </c>
    </row>
    <row r="109" spans="1:11" x14ac:dyDescent="0.25">
      <c r="A109" s="126" t="str">
        <f>+Hoja4!B105</f>
        <v>E-20599</v>
      </c>
      <c r="B109" s="127" t="str">
        <f>+Hoja4!C105</f>
        <v>OTROS BIENES PARA LA PRODUCCION Y COMERCIALIZACION</v>
      </c>
      <c r="C109" s="128">
        <f>+SUMIF(Hoja4!$B$3:$B$168,$A109,Hoja4!$D$3:$D$168)</f>
        <v>6277196</v>
      </c>
      <c r="D109" s="128">
        <f>+SUMIF(Hoja4!$B$3:$B$168,$A109,Hoja4!$E$3:$E$168)</f>
        <v>0</v>
      </c>
      <c r="E109" s="128">
        <f>+SUMIF(Hoja4!$B$3:$B$168,$A109,Hoja4!$F$3:$F$168)</f>
        <v>0</v>
      </c>
      <c r="F109" s="128">
        <f>+SUMIF(Hoja4!$B$3:$B$168,$A109,Hoja4!$J$3:$J$168)</f>
        <v>6277195.2000000002</v>
      </c>
      <c r="G109" s="128">
        <f>+SUMIF(Hoja4!$B$3:$B$168,$A109,Hoja4!$K$3:$K$168)</f>
        <v>0.8</v>
      </c>
      <c r="H109" s="30">
        <f>+IFERROR(Hoja4!L105,0)</f>
        <v>0.99999987255456102</v>
      </c>
      <c r="I109" s="30">
        <f>+IFERROR(Hoja4!M105,0)</f>
        <v>1.2744543901448992E-7</v>
      </c>
    </row>
    <row r="110" spans="1:11" s="74" customFormat="1" x14ac:dyDescent="0.25">
      <c r="A110" s="122" t="str">
        <f>+Hoja4!B106</f>
        <v>E-299</v>
      </c>
      <c r="B110" s="123" t="str">
        <f>+Hoja4!C106</f>
        <v>ÚTILES MAT Y SUM DIV</v>
      </c>
      <c r="C110" s="124">
        <f>SUM(C111:C118)</f>
        <v>2972440708</v>
      </c>
      <c r="D110" s="124">
        <f>SUM(D111:D118)</f>
        <v>87412846.689999983</v>
      </c>
      <c r="E110" s="124">
        <f>SUM(E111:E118)</f>
        <v>0</v>
      </c>
      <c r="F110" s="124">
        <f>SUM(F111:F118)</f>
        <v>2835434809.4899998</v>
      </c>
      <c r="G110" s="124">
        <f>SUM(G111:G118)</f>
        <v>137005898.50999999</v>
      </c>
      <c r="H110" s="125">
        <f>+IFERROR(Hoja4!L106,0)</f>
        <v>0.9539079457022428</v>
      </c>
      <c r="I110" s="125">
        <f>+IFERROR(Hoja4!M106,0)</f>
        <v>4.6092054297757243E-2</v>
      </c>
      <c r="J110" s="121"/>
      <c r="K110" s="121"/>
    </row>
    <row r="111" spans="1:11" x14ac:dyDescent="0.25">
      <c r="A111" s="126" t="str">
        <f>+Hoja4!B107</f>
        <v>E-29901</v>
      </c>
      <c r="B111" s="127" t="str">
        <f>+Hoja4!C107</f>
        <v>ÚT.Y MAT.OF.Y COMP.</v>
      </c>
      <c r="C111" s="128">
        <f>+SUMIF(Hoja4!$B$3:$B$168,$A111,Hoja4!$D$3:$D$168)</f>
        <v>26309805</v>
      </c>
      <c r="D111" s="128">
        <f>+SUMIF(Hoja4!$B$3:$B$168,$A111,Hoja4!$E$3:$E$168)</f>
        <v>1595168.26</v>
      </c>
      <c r="E111" s="128">
        <f>+SUMIF(Hoja4!$B$3:$B$168,$A111,Hoja4!$F$3:$F$168)</f>
        <v>0</v>
      </c>
      <c r="F111" s="128">
        <f>+SUMIF(Hoja4!$B$3:$B$168,$A111,Hoja4!$J$3:$J$168)</f>
        <v>25020259.120000005</v>
      </c>
      <c r="G111" s="128">
        <f>+SUMIF(Hoja4!$B$3:$B$168,$A111,Hoja4!$K$3:$K$168)</f>
        <v>1289545.8800000001</v>
      </c>
      <c r="H111" s="30">
        <f>+IFERROR(Hoja4!L107,0)</f>
        <v>0.95098611031134606</v>
      </c>
      <c r="I111" s="30">
        <f>+IFERROR(Hoja4!M107,0)</f>
        <v>4.9013889688654104E-2</v>
      </c>
    </row>
    <row r="112" spans="1:11" x14ac:dyDescent="0.25">
      <c r="A112" s="126" t="str">
        <f>+Hoja4!B108</f>
        <v>E-29902</v>
      </c>
      <c r="B112" s="127" t="str">
        <f>+Hoja4!C108</f>
        <v>UT.Y MAT.MÉD,H.Y INV</v>
      </c>
      <c r="C112" s="128">
        <f>+SUMIF(Hoja4!$B$3:$B$168,$A112,Hoja4!$D$3:$D$168)</f>
        <v>34292411</v>
      </c>
      <c r="D112" s="128">
        <f>+SUMIF(Hoja4!$B$3:$B$168,$A112,Hoja4!$E$3:$E$168)</f>
        <v>846249.95</v>
      </c>
      <c r="E112" s="128">
        <f>+SUMIF(Hoja4!$B$3:$B$168,$A112,Hoja4!$F$3:$F$168)</f>
        <v>0</v>
      </c>
      <c r="F112" s="128">
        <f>+SUMIF(Hoja4!$B$3:$B$168,$A112,Hoja4!$J$3:$J$168)</f>
        <v>23376269.419999998</v>
      </c>
      <c r="G112" s="128">
        <f>+SUMIF(Hoja4!$B$3:$B$168,$A112,Hoja4!$K$3:$K$168)</f>
        <v>10916141.58</v>
      </c>
      <c r="H112" s="30">
        <f>+IFERROR(Hoja4!L108,0)</f>
        <v>0.68167471281036485</v>
      </c>
      <c r="I112" s="30">
        <f>+IFERROR(Hoja4!M108,0)</f>
        <v>0.31832528718963504</v>
      </c>
    </row>
    <row r="113" spans="1:11" x14ac:dyDescent="0.25">
      <c r="A113" s="126" t="str">
        <f>+Hoja4!B109</f>
        <v>E-29903</v>
      </c>
      <c r="B113" s="127" t="str">
        <f>+Hoja4!C109</f>
        <v>PROD.PAPEL,CART.EIMP</v>
      </c>
      <c r="C113" s="128">
        <f>+SUMIF(Hoja4!$B$3:$B$168,$A113,Hoja4!$D$3:$D$168)</f>
        <v>101825391</v>
      </c>
      <c r="D113" s="128">
        <f>+SUMIF(Hoja4!$B$3:$B$168,$A113,Hoja4!$E$3:$E$168)</f>
        <v>76086.7</v>
      </c>
      <c r="E113" s="128">
        <f>+SUMIF(Hoja4!$B$3:$B$168,$A113,Hoja4!$F$3:$F$168)</f>
        <v>0</v>
      </c>
      <c r="F113" s="128">
        <f>+SUMIF(Hoja4!$B$3:$B$168,$A113,Hoja4!$J$3:$J$168)</f>
        <v>76323166.939999998</v>
      </c>
      <c r="G113" s="128">
        <f>+SUMIF(Hoja4!$B$3:$B$168,$A113,Hoja4!$K$3:$K$168)</f>
        <v>25502224.059999995</v>
      </c>
      <c r="H113" s="30">
        <f>+IFERROR(Hoja4!L109,0)</f>
        <v>0.74954946099838693</v>
      </c>
      <c r="I113" s="30">
        <f>+IFERROR(Hoja4!M109,0)</f>
        <v>0.25045053900161302</v>
      </c>
    </row>
    <row r="114" spans="1:11" x14ac:dyDescent="0.25">
      <c r="A114" s="126" t="str">
        <f>+Hoja4!B110</f>
        <v>E-29904</v>
      </c>
      <c r="B114" s="127" t="str">
        <f>+Hoja4!C110</f>
        <v>TEXTILES Y VESTUARIO</v>
      </c>
      <c r="C114" s="128">
        <f>+SUMIF(Hoja4!$B$3:$B$168,$A114,Hoja4!$D$3:$D$168)</f>
        <v>1246468498</v>
      </c>
      <c r="D114" s="128">
        <f>+SUMIF(Hoja4!$B$3:$B$168,$A114,Hoja4!$E$3:$E$168)</f>
        <v>77025776.389999986</v>
      </c>
      <c r="E114" s="128">
        <f>+SUMIF(Hoja4!$B$3:$B$168,$A114,Hoja4!$F$3:$F$168)</f>
        <v>0</v>
      </c>
      <c r="F114" s="128">
        <f>+SUMIF(Hoja4!$B$3:$B$168,$A114,Hoja4!$J$3:$J$168)</f>
        <v>1189997459.5699997</v>
      </c>
      <c r="G114" s="128">
        <f>+SUMIF(Hoja4!$B$3:$B$168,$A114,Hoja4!$K$3:$K$168)</f>
        <v>56471038.429999992</v>
      </c>
      <c r="H114" s="30">
        <f>+IFERROR(Hoja4!L110,0)</f>
        <v>0.95469517398906589</v>
      </c>
      <c r="I114" s="30">
        <f>+IFERROR(Hoja4!M110,0)</f>
        <v>4.5304826010933809E-2</v>
      </c>
    </row>
    <row r="115" spans="1:11" x14ac:dyDescent="0.25">
      <c r="A115" s="126" t="str">
        <f>+Hoja4!B111</f>
        <v>E-29905</v>
      </c>
      <c r="B115" s="127" t="str">
        <f>+Hoja4!C111</f>
        <v>ÚTILES Y MATER.LIMP</v>
      </c>
      <c r="C115" s="128">
        <f>+SUMIF(Hoja4!$B$3:$B$168,$A115,Hoja4!$D$3:$D$168)</f>
        <v>380052645</v>
      </c>
      <c r="D115" s="128">
        <f>+SUMIF(Hoja4!$B$3:$B$168,$A115,Hoja4!$E$3:$E$168)</f>
        <v>1354719.16</v>
      </c>
      <c r="E115" s="128">
        <f>+SUMIF(Hoja4!$B$3:$B$168,$A115,Hoja4!$F$3:$F$168)</f>
        <v>0</v>
      </c>
      <c r="F115" s="128">
        <f>+SUMIF(Hoja4!$B$3:$B$168,$A115,Hoja4!$J$3:$J$168)</f>
        <v>378241708.24000001</v>
      </c>
      <c r="G115" s="128">
        <f>+SUMIF(Hoja4!$B$3:$B$168,$A115,Hoja4!$K$3:$K$168)</f>
        <v>1810936.76</v>
      </c>
      <c r="H115" s="30">
        <f>+IFERROR(Hoja4!L111,0)</f>
        <v>0.99523503708282313</v>
      </c>
      <c r="I115" s="30">
        <f>+IFERROR(Hoja4!M111,0)</f>
        <v>4.7649629171769084E-3</v>
      </c>
    </row>
    <row r="116" spans="1:11" x14ac:dyDescent="0.25">
      <c r="A116" s="126" t="str">
        <f>+Hoja4!B112</f>
        <v>E-29906</v>
      </c>
      <c r="B116" s="127" t="str">
        <f>+Hoja4!C112</f>
        <v>ÚTILES YMAT.RESG.SEG</v>
      </c>
      <c r="C116" s="128">
        <f>+SUMIF(Hoja4!$B$3:$B$168,$A116,Hoja4!$D$3:$D$168)</f>
        <v>890861693</v>
      </c>
      <c r="D116" s="128">
        <f>+SUMIF(Hoja4!$B$3:$B$168,$A116,Hoja4!$E$3:$E$168)</f>
        <v>0</v>
      </c>
      <c r="E116" s="128">
        <f>+SUMIF(Hoja4!$B$3:$B$168,$A116,Hoja4!$F$3:$F$168)</f>
        <v>0</v>
      </c>
      <c r="F116" s="128">
        <f>+SUMIF(Hoja4!$B$3:$B$168,$A116,Hoja4!$J$3:$J$168)</f>
        <v>857195208.00999987</v>
      </c>
      <c r="G116" s="128">
        <f>+SUMIF(Hoja4!$B$3:$B$168,$A116,Hoja4!$K$3:$K$168)</f>
        <v>33666484.990000002</v>
      </c>
      <c r="H116" s="30">
        <f>+IFERROR(Hoja4!L112,0)</f>
        <v>0.96220907773391018</v>
      </c>
      <c r="I116" s="30">
        <f>+IFERROR(Hoja4!M112,0)</f>
        <v>3.7790922266089627E-2</v>
      </c>
    </row>
    <row r="117" spans="1:11" x14ac:dyDescent="0.25">
      <c r="A117" s="126" t="str">
        <f>+Hoja4!B113</f>
        <v>E-29907</v>
      </c>
      <c r="B117" s="127" t="str">
        <f>+Hoja4!C113</f>
        <v>ÚTILES YMAT.COC.YCOM</v>
      </c>
      <c r="C117" s="128">
        <f>+SUMIF(Hoja4!$B$3:$B$168,$A117,Hoja4!$D$3:$D$168)</f>
        <v>108118713</v>
      </c>
      <c r="D117" s="128">
        <f>+SUMIF(Hoja4!$B$3:$B$168,$A117,Hoja4!$E$3:$E$168)</f>
        <v>6514846.2300000004</v>
      </c>
      <c r="E117" s="128">
        <f>+SUMIF(Hoja4!$B$3:$B$168,$A117,Hoja4!$F$3:$F$168)</f>
        <v>0</v>
      </c>
      <c r="F117" s="128">
        <f>+SUMIF(Hoja4!$B$3:$B$168,$A117,Hoja4!$J$3:$J$168)</f>
        <v>107300587.41</v>
      </c>
      <c r="G117" s="128">
        <f>+SUMIF(Hoja4!$B$3:$B$168,$A117,Hoja4!$K$3:$K$168)</f>
        <v>818125.59</v>
      </c>
      <c r="H117" s="30">
        <f>+IFERROR(Hoja4!L113,0)</f>
        <v>0.99243308057135304</v>
      </c>
      <c r="I117" s="30">
        <f>+IFERROR(Hoja4!M113,0)</f>
        <v>7.5669194286469166E-3</v>
      </c>
    </row>
    <row r="118" spans="1:11" x14ac:dyDescent="0.25">
      <c r="A118" s="126" t="str">
        <f>+Hoja4!B114</f>
        <v>E-29999</v>
      </c>
      <c r="B118" s="127" t="str">
        <f>+Hoja4!C114</f>
        <v>OTR.UT,MAT Y SUM.DIV</v>
      </c>
      <c r="C118" s="128">
        <f>+SUMIF(Hoja4!$B$3:$B$168,$A118,Hoja4!$D$3:$D$168)</f>
        <v>184511552</v>
      </c>
      <c r="D118" s="128">
        <f>+SUMIF(Hoja4!$B$3:$B$168,$A118,Hoja4!$E$3:$E$168)</f>
        <v>0</v>
      </c>
      <c r="E118" s="128">
        <f>+SUMIF(Hoja4!$B$3:$B$168,$A118,Hoja4!$F$3:$F$168)</f>
        <v>0</v>
      </c>
      <c r="F118" s="128">
        <f>+SUMIF(Hoja4!$B$3:$B$168,$A118,Hoja4!$J$3:$J$168)</f>
        <v>177980150.78</v>
      </c>
      <c r="G118" s="128">
        <f>+SUMIF(Hoja4!$B$3:$B$168,$A118,Hoja4!$K$3:$K$168)</f>
        <v>6531401.2199999997</v>
      </c>
      <c r="H118" s="30">
        <f>+IFERROR(Hoja4!L114,0)</f>
        <v>0.96460166775899214</v>
      </c>
      <c r="I118" s="30">
        <f>+IFERROR(Hoja4!M114,0)</f>
        <v>3.5398332241007871E-2</v>
      </c>
    </row>
    <row r="119" spans="1:11" s="136" customFormat="1" x14ac:dyDescent="0.25">
      <c r="A119" s="117" t="str">
        <f>+Hoja4!B115</f>
        <v>E-5</v>
      </c>
      <c r="B119" s="118" t="str">
        <f>+Hoja4!C115</f>
        <v>BIENES DURADEROS</v>
      </c>
      <c r="C119" s="119">
        <f>+C120+C129+C132</f>
        <v>2276506415</v>
      </c>
      <c r="D119" s="119">
        <f>+D120+D129+D132</f>
        <v>114707718.09999999</v>
      </c>
      <c r="E119" s="119">
        <f>+E120+E129+E132</f>
        <v>0</v>
      </c>
      <c r="F119" s="119">
        <f>+F120+F129+F132</f>
        <v>1626490613.4499998</v>
      </c>
      <c r="G119" s="119">
        <f>+G120+G129+G132</f>
        <v>650015801.55000007</v>
      </c>
      <c r="H119" s="120">
        <f>+IFERROR(Hoja4!L115,0)</f>
        <v>0.71446783665224145</v>
      </c>
      <c r="I119" s="120">
        <f>+IFERROR(Hoja4!M115,0)</f>
        <v>0.28553216334775855</v>
      </c>
      <c r="J119" s="135"/>
      <c r="K119" s="135">
        <f>+C119-Estado!C208</f>
        <v>0</v>
      </c>
    </row>
    <row r="120" spans="1:11" s="74" customFormat="1" x14ac:dyDescent="0.25">
      <c r="A120" s="122" t="str">
        <f>+Hoja4!B116</f>
        <v>E-501</v>
      </c>
      <c r="B120" s="123" t="str">
        <f>+Hoja4!C116</f>
        <v>MAQ, EQUIPO Y MOB</v>
      </c>
      <c r="C120" s="124">
        <f>SUM(C121:C128)</f>
        <v>1592177015</v>
      </c>
      <c r="D120" s="124">
        <f>SUM(D121:D128)</f>
        <v>36985993.640000001</v>
      </c>
      <c r="E120" s="124">
        <f>SUM(E121:E128)</f>
        <v>0</v>
      </c>
      <c r="F120" s="124">
        <f>SUM(F121:F128)</f>
        <v>1253054063.6599998</v>
      </c>
      <c r="G120" s="124">
        <f>SUM(G121:G128)</f>
        <v>339122951.34000003</v>
      </c>
      <c r="H120" s="125">
        <f>+IFERROR(Hoja4!L116,0)</f>
        <v>0.78700675355497463</v>
      </c>
      <c r="I120" s="125">
        <f>+IFERROR(Hoja4!M116,0)</f>
        <v>0.21299324644502551</v>
      </c>
      <c r="J120" s="121"/>
      <c r="K120" s="121"/>
    </row>
    <row r="121" spans="1:11" x14ac:dyDescent="0.25">
      <c r="A121" s="126" t="str">
        <f>+Hoja4!B117</f>
        <v>E-50101</v>
      </c>
      <c r="B121" s="127" t="str">
        <f>+Hoja4!C117</f>
        <v>MAQ.Y EQ. PRODUCCIÓN</v>
      </c>
      <c r="C121" s="128">
        <f>+SUMIF(Hoja4!$B$3:$B$168,$A121,Hoja4!$D$3:$D$168)</f>
        <v>54705000</v>
      </c>
      <c r="D121" s="128">
        <f>+SUMIF(Hoja4!$B$3:$B$168,$A121,Hoja4!$E$3:$E$168)</f>
        <v>0</v>
      </c>
      <c r="E121" s="128">
        <f>+SUMIF(Hoja4!$B$3:$B$168,$A121,Hoja4!$F$3:$F$168)</f>
        <v>0</v>
      </c>
      <c r="F121" s="128">
        <f>+SUMIF(Hoja4!$B$3:$B$168,$A121,Hoja4!$J$3:$J$168)</f>
        <v>42965380.960000008</v>
      </c>
      <c r="G121" s="128">
        <f>+SUMIF(Hoja4!$B$3:$B$168,$A121,Hoja4!$K$3:$K$168)</f>
        <v>11739619.040000001</v>
      </c>
      <c r="H121" s="30">
        <f>+IFERROR(Hoja4!L117,0)</f>
        <v>0.78540135197879546</v>
      </c>
      <c r="I121" s="30">
        <f>+IFERROR(Hoja4!M117,0)</f>
        <v>0.21459864802120465</v>
      </c>
    </row>
    <row r="122" spans="1:11" x14ac:dyDescent="0.25">
      <c r="A122" s="126" t="str">
        <f>+Hoja4!B118</f>
        <v>E-50102</v>
      </c>
      <c r="B122" s="127" t="str">
        <f>+Hoja4!C118</f>
        <v>EQUIPO DE TRANSPORTE</v>
      </c>
      <c r="C122" s="128">
        <f>+SUMIF(Hoja4!$B$3:$B$168,$A122,Hoja4!$D$3:$D$168)</f>
        <v>815400</v>
      </c>
      <c r="D122" s="128">
        <f>+SUMIF(Hoja4!$B$3:$B$168,$A122,Hoja4!$E$3:$E$168)</f>
        <v>0</v>
      </c>
      <c r="E122" s="128">
        <f>+SUMIF(Hoja4!$B$3:$B$168,$A122,Hoja4!$F$3:$F$168)</f>
        <v>0</v>
      </c>
      <c r="F122" s="128">
        <f>+SUMIF(Hoja4!$B$3:$B$168,$A122,Hoja4!$J$3:$J$168)</f>
        <v>0</v>
      </c>
      <c r="G122" s="128">
        <f>+SUMIF(Hoja4!$B$3:$B$168,$A122,Hoja4!$K$3:$K$168)</f>
        <v>815400</v>
      </c>
      <c r="H122" s="30">
        <f>+IFERROR(Hoja4!L118,0)</f>
        <v>0</v>
      </c>
      <c r="I122" s="30">
        <f>+IFERROR(Hoja4!M118,0)</f>
        <v>1</v>
      </c>
    </row>
    <row r="123" spans="1:11" x14ac:dyDescent="0.25">
      <c r="A123" s="126" t="str">
        <f>+Hoja4!B119</f>
        <v>E-50103</v>
      </c>
      <c r="B123" s="127" t="str">
        <f>+Hoja4!C119</f>
        <v>EQ. DE COMUNICACIÓN</v>
      </c>
      <c r="C123" s="128">
        <f>+SUMIF(Hoja4!$B$3:$B$168,$A123,Hoja4!$D$3:$D$168)</f>
        <v>288013606</v>
      </c>
      <c r="D123" s="128">
        <f>+SUMIF(Hoja4!$B$3:$B$168,$A123,Hoja4!$E$3:$E$168)</f>
        <v>0</v>
      </c>
      <c r="E123" s="128">
        <f>+SUMIF(Hoja4!$B$3:$B$168,$A123,Hoja4!$F$3:$F$168)</f>
        <v>0</v>
      </c>
      <c r="F123" s="128">
        <f>+SUMIF(Hoja4!$B$3:$B$168,$A123,Hoja4!$J$3:$J$168)</f>
        <v>261985859.01000002</v>
      </c>
      <c r="G123" s="128">
        <f>+SUMIF(Hoja4!$B$3:$B$168,$A123,Hoja4!$K$3:$K$168)</f>
        <v>26027746.990000002</v>
      </c>
      <c r="H123" s="30">
        <f>+IFERROR(Hoja4!L119,0)</f>
        <v>0.90963014785488994</v>
      </c>
      <c r="I123" s="30">
        <f>+IFERROR(Hoja4!M119,0)</f>
        <v>9.0369852145110119E-2</v>
      </c>
    </row>
    <row r="124" spans="1:11" x14ac:dyDescent="0.25">
      <c r="A124" s="126" t="str">
        <f>+Hoja4!B120</f>
        <v>E-50104</v>
      </c>
      <c r="B124" s="127" t="str">
        <f>+Hoja4!C120</f>
        <v>EQUIPO Y MOB. OFIC.</v>
      </c>
      <c r="C124" s="128">
        <f>+SUMIF(Hoja4!$B$3:$B$168,$A124,Hoja4!$D$3:$D$168)</f>
        <v>150544519</v>
      </c>
      <c r="D124" s="128">
        <f>+SUMIF(Hoja4!$B$3:$B$168,$A124,Hoja4!$E$3:$E$168)</f>
        <v>0</v>
      </c>
      <c r="E124" s="128">
        <f>+SUMIF(Hoja4!$B$3:$B$168,$A124,Hoja4!$F$3:$F$168)</f>
        <v>0</v>
      </c>
      <c r="F124" s="128">
        <f>+SUMIF(Hoja4!$B$3:$B$168,$A124,Hoja4!$J$3:$J$168)</f>
        <v>127164871.00999999</v>
      </c>
      <c r="G124" s="128">
        <f>+SUMIF(Hoja4!$B$3:$B$168,$A124,Hoja4!$K$3:$K$168)</f>
        <v>23379647.990000002</v>
      </c>
      <c r="H124" s="30">
        <f>+IFERROR(Hoja4!L120,0)</f>
        <v>0.84469944076808268</v>
      </c>
      <c r="I124" s="30">
        <f>+IFERROR(Hoja4!M120,0)</f>
        <v>0.15530055923191732</v>
      </c>
    </row>
    <row r="125" spans="1:11" x14ac:dyDescent="0.25">
      <c r="A125" s="126" t="str">
        <f>+Hoja4!B121</f>
        <v>E-50105</v>
      </c>
      <c r="B125" s="127" t="str">
        <f>+Hoja4!C121</f>
        <v>EQ.Y PROGR. CÓMPUTO</v>
      </c>
      <c r="C125" s="128">
        <f>+SUMIF(Hoja4!$B$3:$B$168,$A125,Hoja4!$D$3:$D$168)</f>
        <v>135500480</v>
      </c>
      <c r="D125" s="128">
        <f>+SUMIF(Hoja4!$B$3:$B$168,$A125,Hoja4!$E$3:$E$168)</f>
        <v>0</v>
      </c>
      <c r="E125" s="128">
        <f>+SUMIF(Hoja4!$B$3:$B$168,$A125,Hoja4!$F$3:$F$168)</f>
        <v>0</v>
      </c>
      <c r="F125" s="128">
        <f>+SUMIF(Hoja4!$B$3:$B$168,$A125,Hoja4!$J$3:$J$168)</f>
        <v>129193277.26000001</v>
      </c>
      <c r="G125" s="128">
        <f>+SUMIF(Hoja4!$B$3:$B$168,$A125,Hoja4!$K$3:$K$168)</f>
        <v>6307202.7400000002</v>
      </c>
      <c r="H125" s="30">
        <f>+IFERROR(Hoja4!L121,0)</f>
        <v>0.95345254319394301</v>
      </c>
      <c r="I125" s="30">
        <f>+IFERROR(Hoja4!M121,0)</f>
        <v>4.6547456806057069E-2</v>
      </c>
    </row>
    <row r="126" spans="1:11" x14ac:dyDescent="0.25">
      <c r="A126" s="126" t="str">
        <f>+Hoja4!B122</f>
        <v>E-50106</v>
      </c>
      <c r="B126" s="127" t="str">
        <f>+Hoja4!C122</f>
        <v>EQ.SANIT, LAB. E INV</v>
      </c>
      <c r="C126" s="128">
        <f>+SUMIF(Hoja4!$B$3:$B$168,$A126,Hoja4!$D$3:$D$168)</f>
        <v>44040000</v>
      </c>
      <c r="D126" s="128">
        <f>+SUMIF(Hoja4!$B$3:$B$168,$A126,Hoja4!$E$3:$E$168)</f>
        <v>0</v>
      </c>
      <c r="E126" s="128">
        <f>+SUMIF(Hoja4!$B$3:$B$168,$A126,Hoja4!$F$3:$F$168)</f>
        <v>0</v>
      </c>
      <c r="F126" s="128">
        <f>+SUMIF(Hoja4!$B$3:$B$168,$A126,Hoja4!$J$3:$J$168)</f>
        <v>1943790.56</v>
      </c>
      <c r="G126" s="128">
        <f>+SUMIF(Hoja4!$B$3:$B$168,$A126,Hoja4!$K$3:$K$168)</f>
        <v>42096209.439999998</v>
      </c>
      <c r="H126" s="30">
        <f>+IFERROR(Hoja4!L122,0)</f>
        <v>4.4136933696639423E-2</v>
      </c>
      <c r="I126" s="30">
        <f>+IFERROR(Hoja4!M122,0)</f>
        <v>0.95586306630336049</v>
      </c>
    </row>
    <row r="127" spans="1:11" x14ac:dyDescent="0.25">
      <c r="A127" s="126" t="str">
        <f>+Hoja4!B123</f>
        <v>E-50107</v>
      </c>
      <c r="B127" s="127" t="str">
        <f>+Hoja4!C123</f>
        <v>EQ.YMOB.EDUC,DEP.Y R</v>
      </c>
      <c r="C127" s="128">
        <f>+SUMIF(Hoja4!$B$3:$B$168,$A127,Hoja4!$D$3:$D$168)</f>
        <v>10710660</v>
      </c>
      <c r="D127" s="128">
        <f>+SUMIF(Hoja4!$B$3:$B$168,$A127,Hoja4!$E$3:$E$168)</f>
        <v>0</v>
      </c>
      <c r="E127" s="128">
        <f>+SUMIF(Hoja4!$B$3:$B$168,$A127,Hoja4!$F$3:$F$168)</f>
        <v>0</v>
      </c>
      <c r="F127" s="128">
        <f>+SUMIF(Hoja4!$B$3:$B$168,$A127,Hoja4!$J$3:$J$168)</f>
        <v>10129452.48</v>
      </c>
      <c r="G127" s="128">
        <f>+SUMIF(Hoja4!$B$3:$B$168,$A127,Hoja4!$K$3:$K$168)</f>
        <v>581207.52</v>
      </c>
      <c r="H127" s="30">
        <f>+IFERROR(Hoja4!L123,0)</f>
        <v>0.94573560172762472</v>
      </c>
      <c r="I127" s="30">
        <f>+IFERROR(Hoja4!M123,0)</f>
        <v>5.4264398272375371E-2</v>
      </c>
    </row>
    <row r="128" spans="1:11" x14ac:dyDescent="0.25">
      <c r="A128" s="126" t="str">
        <f>+Hoja4!B124</f>
        <v>E-50199</v>
      </c>
      <c r="B128" s="127" t="str">
        <f>+Hoja4!C124</f>
        <v>MAQ,EQ Y MOV.DIVERSO</v>
      </c>
      <c r="C128" s="128">
        <f>+SUMIF(Hoja4!$B$3:$B$168,$A128,Hoja4!$D$3:$D$168)</f>
        <v>907847350</v>
      </c>
      <c r="D128" s="128">
        <f>+SUMIF(Hoja4!$B$3:$B$168,$A128,Hoja4!$E$3:$E$168)</f>
        <v>36985993.640000001</v>
      </c>
      <c r="E128" s="128">
        <f>+SUMIF(Hoja4!$B$3:$B$168,$A128,Hoja4!$F$3:$F$168)</f>
        <v>0</v>
      </c>
      <c r="F128" s="128">
        <f>+SUMIF(Hoja4!$B$3:$B$168,$A128,Hoja4!$J$3:$J$168)</f>
        <v>679671432.37999988</v>
      </c>
      <c r="G128" s="128">
        <f>+SUMIF(Hoja4!$B$3:$B$168,$A128,Hoja4!$K$3:$K$168)</f>
        <v>228175917.62</v>
      </c>
      <c r="H128" s="30">
        <f>+IFERROR(Hoja4!L124,0)</f>
        <v>0.7486626825313748</v>
      </c>
      <c r="I128" s="30">
        <f>+IFERROR(Hoja4!M124,0)</f>
        <v>0.25133731746862509</v>
      </c>
    </row>
    <row r="129" spans="1:11" s="74" customFormat="1" x14ac:dyDescent="0.25">
      <c r="A129" s="122" t="str">
        <f>+Hoja4!B125</f>
        <v>E-502</v>
      </c>
      <c r="B129" s="123" t="str">
        <f>+Hoja4!C125</f>
        <v>CONST, ADIC YMEJORAS</v>
      </c>
      <c r="C129" s="124">
        <f>SUM(C130:C131)</f>
        <v>124148000</v>
      </c>
      <c r="D129" s="124">
        <f>SUM(D130:D131)</f>
        <v>77695620.25</v>
      </c>
      <c r="E129" s="124">
        <f>SUM(E130:E131)</f>
        <v>0</v>
      </c>
      <c r="F129" s="124">
        <f>SUM(F130:F131)</f>
        <v>105557118.77000001</v>
      </c>
      <c r="G129" s="124">
        <f>SUM(G130:G131)</f>
        <v>18590881.23</v>
      </c>
      <c r="H129" s="125">
        <f>+IFERROR(Hoja4!L125,0)</f>
        <v>0.85025226962979661</v>
      </c>
      <c r="I129" s="125">
        <f>+IFERROR(Hoja4!M125,0)</f>
        <v>0.14974773037020331</v>
      </c>
      <c r="J129" s="121"/>
      <c r="K129" s="121"/>
    </row>
    <row r="130" spans="1:11" x14ac:dyDescent="0.25">
      <c r="A130" s="126" t="str">
        <f>+Hoja4!B126</f>
        <v>E-50201</v>
      </c>
      <c r="B130" s="127" t="str">
        <f>+Hoja4!C126</f>
        <v>EDIFICIOS</v>
      </c>
      <c r="C130" s="128">
        <f>+SUMIF(Hoja4!$B$3:$B$168,$A130,Hoja4!$D$3:$D$168)</f>
        <v>122800000</v>
      </c>
      <c r="D130" s="128">
        <f>+SUMIF(Hoja4!$B$3:$B$168,$A130,Hoja4!$E$3:$E$168)</f>
        <v>77695620.25</v>
      </c>
      <c r="E130" s="128">
        <f>+SUMIF(Hoja4!$B$3:$B$168,$A130,Hoja4!$F$3:$F$168)</f>
        <v>0</v>
      </c>
      <c r="F130" s="128">
        <f>+SUMIF(Hoja4!$B$3:$B$168,$A130,Hoja4!$J$3:$J$168)</f>
        <v>105127050.59</v>
      </c>
      <c r="G130" s="128">
        <f>+SUMIF(Hoja4!$B$3:$B$168,$A130,Hoja4!$K$3:$K$168)</f>
        <v>17672949.41</v>
      </c>
      <c r="H130" s="30">
        <f>+IFERROR(Hoja4!L126,0)</f>
        <v>0.85608347385993488</v>
      </c>
      <c r="I130" s="30">
        <f>+IFERROR(Hoja4!M126,0)</f>
        <v>0.14391652614006514</v>
      </c>
    </row>
    <row r="131" spans="1:11" x14ac:dyDescent="0.25">
      <c r="A131" s="126" t="str">
        <f>+Hoja4!B127</f>
        <v>E-50207</v>
      </c>
      <c r="B131" s="127" t="str">
        <f>+Hoja4!C127</f>
        <v>INSTALACIONES</v>
      </c>
      <c r="C131" s="128">
        <f>+SUMIF(Hoja4!$B$3:$B$168,$A131,Hoja4!$D$3:$D$168)</f>
        <v>1348000</v>
      </c>
      <c r="D131" s="128">
        <f>+SUMIF(Hoja4!$B$3:$B$168,$A131,Hoja4!$E$3:$E$168)</f>
        <v>0</v>
      </c>
      <c r="E131" s="128">
        <f>+SUMIF(Hoja4!$B$3:$B$168,$A131,Hoja4!$F$3:$F$168)</f>
        <v>0</v>
      </c>
      <c r="F131" s="128">
        <f>+SUMIF(Hoja4!$B$3:$B$168,$A131,Hoja4!$J$3:$J$168)</f>
        <v>430068.18</v>
      </c>
      <c r="G131" s="128">
        <f>+SUMIF(Hoja4!$B$3:$B$168,$A131,Hoja4!$K$3:$K$168)</f>
        <v>917931.82</v>
      </c>
      <c r="H131" s="30">
        <f>+IFERROR(Hoja4!L127,0)</f>
        <v>0.31904167655786347</v>
      </c>
      <c r="I131" s="30">
        <f>+IFERROR(Hoja4!M127,0)</f>
        <v>0.68095832344213647</v>
      </c>
    </row>
    <row r="132" spans="1:11" s="74" customFormat="1" x14ac:dyDescent="0.25">
      <c r="A132" s="122" t="str">
        <f>+Hoja4!B128</f>
        <v>E-599</v>
      </c>
      <c r="B132" s="123" t="str">
        <f>+Hoja4!C128</f>
        <v>BIENES DURADEROS DIV</v>
      </c>
      <c r="C132" s="124">
        <f>SUM(C133:C134)</f>
        <v>560181400</v>
      </c>
      <c r="D132" s="124">
        <f>SUM(D133:D134)</f>
        <v>26104.21</v>
      </c>
      <c r="E132" s="124">
        <f>SUM(E133:E134)</f>
        <v>0</v>
      </c>
      <c r="F132" s="124">
        <f>SUM(F133:F134)</f>
        <v>267879431.02000001</v>
      </c>
      <c r="G132" s="124">
        <f>SUM(G133:G134)</f>
        <v>292301968.98000002</v>
      </c>
      <c r="H132" s="125">
        <f>+IFERROR(Hoja4!L100,0)</f>
        <v>0.96819812903572577</v>
      </c>
      <c r="I132" s="125">
        <f>+IFERROR(Hoja4!M100,0)</f>
        <v>3.1801870964274268E-2</v>
      </c>
      <c r="J132" s="121"/>
      <c r="K132" s="121"/>
    </row>
    <row r="133" spans="1:11" s="74" customFormat="1" x14ac:dyDescent="0.25">
      <c r="A133" s="131" t="str">
        <f>+Hoja4!B129</f>
        <v>E-59901</v>
      </c>
      <c r="B133" s="132" t="str">
        <f>+Hoja4!C128</f>
        <v>BIENES DURADEROS DIV</v>
      </c>
      <c r="C133" s="133">
        <f>+SUMIF(Hoja4!$B$3:$B$168,$A133,Hoja4!$D$3:$D$168)</f>
        <v>8892000</v>
      </c>
      <c r="D133" s="133">
        <f>+SUMIF(Hoja4!$B$3:$B$168,$A133,Hoja4!$E$3:$E$168)</f>
        <v>0</v>
      </c>
      <c r="E133" s="133">
        <f>+SUMIF(Hoja4!$B$3:$B$168,$A133,Hoja4!$F$3:$F$168)</f>
        <v>0</v>
      </c>
      <c r="F133" s="133">
        <f>+SUMIF(Hoja4!$B$3:$B$168,$A133,Hoja4!$J$3:$J$168)</f>
        <v>8875000</v>
      </c>
      <c r="G133" s="133">
        <f>+SUMIF(Hoja4!$B$3:$B$168,$A133,Hoja4!$K$3:$K$168)</f>
        <v>17000</v>
      </c>
      <c r="H133" s="134">
        <f>+IFERROR(Hoja4!L128,0)</f>
        <v>0.47820122378215346</v>
      </c>
      <c r="I133" s="134">
        <f>+IFERROR(Hoja4!M128,0)</f>
        <v>0.52179877621784665</v>
      </c>
      <c r="J133" s="121"/>
      <c r="K133" s="121"/>
    </row>
    <row r="134" spans="1:11" x14ac:dyDescent="0.25">
      <c r="A134" s="126" t="str">
        <f>+Hoja4!B130</f>
        <v>E-59903</v>
      </c>
      <c r="B134" s="127" t="str">
        <f>+Hoja4!C130</f>
        <v>BIENES INTANGIBLES</v>
      </c>
      <c r="C134" s="128">
        <f>+SUMIF(Hoja4!$B$3:$B$168,$A134,Hoja4!$D$3:$D$168)</f>
        <v>551289400</v>
      </c>
      <c r="D134" s="128">
        <f>+SUMIF(Hoja4!$B$3:$B$168,$A134,Hoja4!$E$3:$E$168)</f>
        <v>26104.21</v>
      </c>
      <c r="E134" s="128">
        <f>+SUMIF(Hoja4!$B$3:$B$168,$A134,Hoja4!$F$3:$F$168)</f>
        <v>0</v>
      </c>
      <c r="F134" s="128">
        <f>+SUMIF(Hoja4!$B$3:$B$168,$A134,Hoja4!$J$3:$J$168)</f>
        <v>259004431.02000001</v>
      </c>
      <c r="G134" s="128">
        <f>+SUMIF(Hoja4!$B$3:$B$168,$A134,Hoja4!$K$3:$K$168)</f>
        <v>292284968.98000002</v>
      </c>
      <c r="H134" s="30">
        <f>+IFERROR(Hoja4!L130,0)</f>
        <v>0.46981572839963914</v>
      </c>
      <c r="I134" s="30">
        <f>+IFERROR(Hoja4!M130,0)</f>
        <v>0.53018427160036097</v>
      </c>
    </row>
    <row r="135" spans="1:11" s="136" customFormat="1" x14ac:dyDescent="0.25">
      <c r="A135" s="117" t="str">
        <f>+Hoja4!B131</f>
        <v>E-6</v>
      </c>
      <c r="B135" s="118" t="str">
        <f>+Hoja4!C131</f>
        <v>TRANSF. CORRIENTES</v>
      </c>
      <c r="C135" s="129">
        <f>+C136+C139+C141+C144+C147</f>
        <v>15226061857.5</v>
      </c>
      <c r="D135" s="129">
        <f>+D136+D139+D141+D144+D147</f>
        <v>202182548.19999999</v>
      </c>
      <c r="E135" s="129">
        <f>+E136+E139+E141+E144+E147</f>
        <v>0</v>
      </c>
      <c r="F135" s="129">
        <f>+F136+F139+F141+F144+F147</f>
        <v>14246710115.180002</v>
      </c>
      <c r="G135" s="129">
        <f>+G136+G139+G141+G144+G147</f>
        <v>979351742.32000005</v>
      </c>
      <c r="H135" s="120">
        <f>+IFERROR(Hoja4!L131,0)</f>
        <v>0.93567924841723982</v>
      </c>
      <c r="I135" s="120">
        <f>+IFERROR(Hoja4!M131,0)</f>
        <v>6.4320751582760349E-2</v>
      </c>
      <c r="J135" s="135"/>
      <c r="K135" s="135">
        <f>+C135-Estado!C224</f>
        <v>0</v>
      </c>
    </row>
    <row r="136" spans="1:11" s="74" customFormat="1" x14ac:dyDescent="0.25">
      <c r="A136" s="122" t="str">
        <f>+Hoja4!B132</f>
        <v>E-601</v>
      </c>
      <c r="B136" s="123" t="str">
        <f>+Hoja4!C132</f>
        <v>TRANSF CTES S. PUB</v>
      </c>
      <c r="C136" s="137">
        <f>SUM(C137:C138)</f>
        <v>11928087754</v>
      </c>
      <c r="D136" s="137">
        <f>SUM(D137:D138)</f>
        <v>0</v>
      </c>
      <c r="E136" s="137">
        <f>SUM(E137:E138)</f>
        <v>0</v>
      </c>
      <c r="F136" s="137">
        <f>SUM(F137:F138)</f>
        <v>11442966464.09</v>
      </c>
      <c r="G136" s="137">
        <f>SUM(G137:G138)</f>
        <v>485121289.91000003</v>
      </c>
      <c r="H136" s="125">
        <f>+IFERROR(Hoja4!L132,0)</f>
        <v>0.95932950025897334</v>
      </c>
      <c r="I136" s="125">
        <f>+IFERROR(Hoja4!M132,0)</f>
        <v>4.0670499741026642E-2</v>
      </c>
      <c r="J136" s="121"/>
      <c r="K136" s="121">
        <f>+C136-Estado!C225</f>
        <v>0</v>
      </c>
    </row>
    <row r="137" spans="1:11" s="74" customFormat="1" x14ac:dyDescent="0.25">
      <c r="A137" s="131" t="str">
        <f>+Hoja4!B133</f>
        <v>E-60102</v>
      </c>
      <c r="B137" s="132" t="str">
        <f>+Hoja4!C133</f>
        <v>TRANSF.CTE ORG.DESC</v>
      </c>
      <c r="C137" s="133">
        <f>+SUMIF(Hoja4!$B$3:$B$168,$A137,Hoja4!$D$3:$D$168)</f>
        <v>303500000</v>
      </c>
      <c r="D137" s="133">
        <f>+SUMIF(Hoja4!$B$3:$B$168,$A137,Hoja4!$E$3:$E$168)</f>
        <v>0</v>
      </c>
      <c r="E137" s="133">
        <f>+SUMIF(Hoja4!$B$3:$B$168,$A137,Hoja4!$F$3:$F$168)</f>
        <v>0</v>
      </c>
      <c r="F137" s="133">
        <f>+SUMIF(Hoja4!$B$3:$B$168,$A137,Hoja4!$J$3:$J$168)</f>
        <v>283509137.94</v>
      </c>
      <c r="G137" s="133">
        <f>+SUMIF(Hoja4!$B$3:$B$168,$A137,Hoja4!$K$3:$K$168)</f>
        <v>19990862.059999999</v>
      </c>
      <c r="H137" s="134">
        <f>+IFERROR(Hoja4!L133,0)</f>
        <v>0.93413225021416801</v>
      </c>
      <c r="I137" s="134">
        <f>+IFERROR(Hoja4!M133,0)</f>
        <v>6.5867749785831958E-2</v>
      </c>
      <c r="J137" s="121"/>
      <c r="K137" s="121"/>
    </row>
    <row r="138" spans="1:11" x14ac:dyDescent="0.25">
      <c r="A138" s="126" t="str">
        <f>+Hoja4!B134</f>
        <v>E-60103</v>
      </c>
      <c r="B138" s="127" t="str">
        <f>+Hoja4!C134</f>
        <v>TRANSF.CTE I.D.NOE</v>
      </c>
      <c r="C138" s="128">
        <f>+SUMIF(Hoja4!$B$3:$B$168,$A138,Hoja4!$D$3:$D$168)</f>
        <v>11624587754</v>
      </c>
      <c r="D138" s="128">
        <f>+SUMIF(Hoja4!$B$3:$B$168,$A138,Hoja4!$E$3:$E$168)</f>
        <v>0</v>
      </c>
      <c r="E138" s="128">
        <f>+SUMIF(Hoja4!$B$3:$B$168,$A138,Hoja4!$F$3:$F$168)</f>
        <v>0</v>
      </c>
      <c r="F138" s="128">
        <f>+SUMIF(Hoja4!$B$3:$B$168,$A138,Hoja4!$J$3:$J$168)</f>
        <v>11159457326.15</v>
      </c>
      <c r="G138" s="128">
        <f>+SUMIF(Hoja4!$B$3:$B$168,$A138,Hoja4!$K$3:$K$168)</f>
        <v>465130427.85000002</v>
      </c>
      <c r="H138" s="30">
        <f>+IFERROR(Hoja4!L134,0)</f>
        <v>0.95998736147095198</v>
      </c>
      <c r="I138" s="30">
        <f>+IFERROR(Hoja4!M134,0)</f>
        <v>4.0012638529048003E-2</v>
      </c>
    </row>
    <row r="139" spans="1:11" s="74" customFormat="1" x14ac:dyDescent="0.25">
      <c r="A139" s="122" t="str">
        <f>+Hoja4!B135</f>
        <v>E-602</v>
      </c>
      <c r="B139" s="123" t="str">
        <f>+Hoja4!C135</f>
        <v>TRANSF CTES A PERS</v>
      </c>
      <c r="C139" s="137">
        <f>+C140</f>
        <v>666000000</v>
      </c>
      <c r="D139" s="137">
        <f>+D140</f>
        <v>49950000</v>
      </c>
      <c r="E139" s="137">
        <f>+E140</f>
        <v>0</v>
      </c>
      <c r="F139" s="137">
        <f>+F140</f>
        <v>649350000</v>
      </c>
      <c r="G139" s="137">
        <f>+G140</f>
        <v>16650000</v>
      </c>
      <c r="H139" s="125">
        <f>+IFERROR(Hoja4!L135,0)</f>
        <v>0.97499999999999998</v>
      </c>
      <c r="I139" s="125">
        <f>+IFERROR(Hoja4!M135,0)</f>
        <v>2.5000000000000001E-2</v>
      </c>
      <c r="J139" s="121"/>
      <c r="K139" s="121">
        <f>+C139-Estado!C260</f>
        <v>0</v>
      </c>
    </row>
    <row r="140" spans="1:11" x14ac:dyDescent="0.25">
      <c r="A140" s="126" t="str">
        <f>+Hoja4!B136</f>
        <v>E-60299</v>
      </c>
      <c r="B140" s="127" t="str">
        <f>+Hoja4!C136</f>
        <v>OTRAS TRANSF. A PERS</v>
      </c>
      <c r="C140" s="128">
        <f>+SUMIF(Hoja4!$B$3:$B$168,$A140,Hoja4!$D$3:$D$168)</f>
        <v>666000000</v>
      </c>
      <c r="D140" s="128">
        <f>+SUMIF(Hoja4!$B$3:$B$168,$A140,Hoja4!$E$3:$E$168)</f>
        <v>49950000</v>
      </c>
      <c r="E140" s="128">
        <f>+SUMIF(Hoja4!$B$3:$B$168,$A140,Hoja4!$F$3:$F$168)</f>
        <v>0</v>
      </c>
      <c r="F140" s="128">
        <f>+SUMIF(Hoja4!$B$3:$B$168,$A140,Hoja4!$J$3:$J$168)</f>
        <v>649350000</v>
      </c>
      <c r="G140" s="128">
        <f>+SUMIF(Hoja4!$B$3:$B$168,$A140,Hoja4!$K$3:$K$168)</f>
        <v>16650000</v>
      </c>
      <c r="H140" s="30">
        <f>+IFERROR(Hoja4!L136,0)</f>
        <v>0.97499999999999998</v>
      </c>
      <c r="I140" s="30">
        <f>+IFERROR(Hoja4!M136,0)</f>
        <v>2.5000000000000001E-2</v>
      </c>
    </row>
    <row r="141" spans="1:11" s="74" customFormat="1" x14ac:dyDescent="0.25">
      <c r="A141" s="122" t="str">
        <f>+Hoja4!B137</f>
        <v>E-603</v>
      </c>
      <c r="B141" s="123" t="str">
        <f>+Hoja4!C137</f>
        <v>PRESTACIONES</v>
      </c>
      <c r="C141" s="137">
        <f>SUM(C142:C143)</f>
        <v>2020779208.5</v>
      </c>
      <c r="D141" s="137">
        <f>SUM(D142:D143)</f>
        <v>151786645.44</v>
      </c>
      <c r="E141" s="137">
        <f>SUM(E142:E143)</f>
        <v>0</v>
      </c>
      <c r="F141" s="137">
        <f>SUM(F142:F143)</f>
        <v>1688445870.2000003</v>
      </c>
      <c r="G141" s="137">
        <f>SUM(G142:G143)</f>
        <v>332333338.29999995</v>
      </c>
      <c r="H141" s="125">
        <f>+IFERROR(Hoja4!L137,0)</f>
        <v>0.83554198454630435</v>
      </c>
      <c r="I141" s="125">
        <f>+IFERROR(Hoja4!M137,0)</f>
        <v>0.16445801545369571</v>
      </c>
      <c r="J141" s="121"/>
      <c r="K141" s="121">
        <f>+C141-Estado!C262</f>
        <v>0</v>
      </c>
    </row>
    <row r="142" spans="1:11" x14ac:dyDescent="0.25">
      <c r="A142" s="126" t="str">
        <f>+Hoja4!B138</f>
        <v>E-60301</v>
      </c>
      <c r="B142" s="127" t="str">
        <f>+Hoja4!C138</f>
        <v>PRESTACIONES LEGALES</v>
      </c>
      <c r="C142" s="128">
        <f>+SUMIF(Hoja4!$B$3:$B$168,$A142,Hoja4!$D$3:$D$168)</f>
        <v>1469891208.5</v>
      </c>
      <c r="D142" s="128">
        <f>+SUMIF(Hoja4!$B$3:$B$168,$A142,Hoja4!$E$3:$E$168)</f>
        <v>151786645.44</v>
      </c>
      <c r="E142" s="128">
        <f>+SUMIF(Hoja4!$B$3:$B$168,$A142,Hoja4!$F$3:$F$168)</f>
        <v>0</v>
      </c>
      <c r="F142" s="128">
        <f>+SUMIF(Hoja4!$B$3:$B$168,$A142,Hoja4!$J$3:$J$168)</f>
        <v>1333408664.3400002</v>
      </c>
      <c r="G142" s="128">
        <f>+SUMIF(Hoja4!$B$3:$B$168,$A142,Hoja4!$K$3:$K$168)</f>
        <v>136482544.16</v>
      </c>
      <c r="H142" s="30">
        <f>+IFERROR(Hoja4!L138,0)</f>
        <v>0.90714786007919723</v>
      </c>
      <c r="I142" s="30">
        <f>+IFERROR(Hoja4!M138,0)</f>
        <v>9.2852139920802851E-2</v>
      </c>
    </row>
    <row r="143" spans="1:11" x14ac:dyDescent="0.25">
      <c r="A143" s="126" t="str">
        <f>+Hoja4!B139</f>
        <v>E-60399</v>
      </c>
      <c r="B143" s="127" t="str">
        <f>+Hoja4!C139</f>
        <v>OTRAS PRESTACIONES</v>
      </c>
      <c r="C143" s="128">
        <f>+SUMIF(Hoja4!$B$3:$B$168,$A143,Hoja4!$D$3:$D$168)</f>
        <v>550888000</v>
      </c>
      <c r="D143" s="128">
        <f>+SUMIF(Hoja4!$B$3:$B$168,$A143,Hoja4!$E$3:$E$168)</f>
        <v>0</v>
      </c>
      <c r="E143" s="128">
        <f>+SUMIF(Hoja4!$B$3:$B$168,$A143,Hoja4!$F$3:$F$168)</f>
        <v>0</v>
      </c>
      <c r="F143" s="128">
        <f>+SUMIF(Hoja4!$B$3:$B$168,$A143,Hoja4!$J$3:$J$168)</f>
        <v>355037205.86000001</v>
      </c>
      <c r="G143" s="128">
        <f>+SUMIF(Hoja4!$B$3:$B$168,$A143,Hoja4!$K$3:$K$168)</f>
        <v>195850794.13999999</v>
      </c>
      <c r="H143" s="30">
        <f>+IFERROR(Hoja4!L139,0)</f>
        <v>0.64448164755812432</v>
      </c>
      <c r="I143" s="30">
        <f>+IFERROR(Hoja4!M139,0)</f>
        <v>0.35551835244187563</v>
      </c>
    </row>
    <row r="144" spans="1:11" s="74" customFormat="1" x14ac:dyDescent="0.25">
      <c r="A144" s="122" t="str">
        <f>+Hoja4!B140</f>
        <v>E-606</v>
      </c>
      <c r="B144" s="123" t="str">
        <f>+Hoja4!C140</f>
        <v>OTR.TRANSF.CTE SPRIV</v>
      </c>
      <c r="C144" s="124">
        <f>SUM(C145:C146)</f>
        <v>188500000</v>
      </c>
      <c r="D144" s="124">
        <f>SUM(D145:D146)</f>
        <v>0</v>
      </c>
      <c r="E144" s="124">
        <f>SUM(E145:E146)</f>
        <v>0</v>
      </c>
      <c r="F144" s="124">
        <f>SUM(F145:F146)</f>
        <v>43260305.789999999</v>
      </c>
      <c r="G144" s="124">
        <f>SUM(G145:G146)</f>
        <v>145239694.21000001</v>
      </c>
      <c r="H144" s="125">
        <f>+IFERROR(Hoja4!L147,0)</f>
        <v>0.21635145455796354</v>
      </c>
      <c r="I144" s="125">
        <f>+IFERROR(Hoja4!M147,0)</f>
        <v>0.78364854544203644</v>
      </c>
      <c r="J144" s="121"/>
      <c r="K144" s="121">
        <f>+C144-Estado!C265</f>
        <v>0</v>
      </c>
    </row>
    <row r="145" spans="1:11" x14ac:dyDescent="0.25">
      <c r="A145" s="126" t="str">
        <f>+Hoja4!B141</f>
        <v>E-60601</v>
      </c>
      <c r="B145" s="127" t="str">
        <f>+Hoja4!C141</f>
        <v>INDEMNIZACIONES</v>
      </c>
      <c r="C145" s="128">
        <f>+SUMIF(Hoja4!$B$3:$B$168,$A145,Hoja4!$D$3:$D$168)</f>
        <v>123500000</v>
      </c>
      <c r="D145" s="128">
        <f>+SUMIF(Hoja4!$B$3:$B$168,$A145,Hoja4!$E$3:$E$168)</f>
        <v>0</v>
      </c>
      <c r="E145" s="128">
        <f>+SUMIF(Hoja4!$B$3:$B$168,$A145,Hoja4!$F$3:$F$168)</f>
        <v>0</v>
      </c>
      <c r="F145" s="128">
        <f>+SUMIF(Hoja4!$B$3:$B$168,$A145,Hoja4!$J$3:$J$168)</f>
        <v>8350065.6699999999</v>
      </c>
      <c r="G145" s="128">
        <f>+SUMIF(Hoja4!$B$3:$B$168,$A145,Hoja4!$K$3:$K$168)</f>
        <v>115149934.33</v>
      </c>
      <c r="H145" s="30">
        <f>+IFERROR(Hoja4!L141,0)</f>
        <v>6.7611867773279349E-2</v>
      </c>
      <c r="I145" s="30">
        <f>+IFERROR(Hoja4!M141,0)</f>
        <v>0.93238813222672068</v>
      </c>
    </row>
    <row r="146" spans="1:11" s="74" customFormat="1" x14ac:dyDescent="0.25">
      <c r="A146" s="126" t="str">
        <f>+Hoja4!B142</f>
        <v>E-60602</v>
      </c>
      <c r="B146" s="127" t="str">
        <f>+Hoja4!C142</f>
        <v>REINTEGROS O DEVOL.</v>
      </c>
      <c r="C146" s="128">
        <f>+SUMIF(Hoja4!$B$3:$B$168,$A146,Hoja4!$D$3:$D$168)</f>
        <v>65000000</v>
      </c>
      <c r="D146" s="128">
        <f>+SUMIF(Hoja4!$B$3:$B$168,$A146,Hoja4!$E$3:$E$168)</f>
        <v>0</v>
      </c>
      <c r="E146" s="128">
        <f>+SUMIF(Hoja4!$B$3:$B$168,$A146,Hoja4!$F$3:$F$168)</f>
        <v>0</v>
      </c>
      <c r="F146" s="128">
        <f>+SUMIF(Hoja4!$B$3:$B$168,$A146,Hoja4!$J$3:$J$168)</f>
        <v>34910240.119999997</v>
      </c>
      <c r="G146" s="128">
        <f>+SUMIF(Hoja4!$B$3:$B$168,$A146,Hoja4!$K$3:$K$168)</f>
        <v>30089759.880000003</v>
      </c>
      <c r="H146" s="30">
        <f>+IFERROR(Hoja4!L142,0)</f>
        <v>0.53708061723076916</v>
      </c>
      <c r="I146" s="30">
        <f>+IFERROR(Hoja4!M142,0)</f>
        <v>0.46291938276923084</v>
      </c>
      <c r="J146" s="121"/>
      <c r="K146" s="121"/>
    </row>
    <row r="147" spans="1:11" s="74" customFormat="1" x14ac:dyDescent="0.25">
      <c r="A147" s="122" t="str">
        <f>+Hoja4!B143</f>
        <v>E-607</v>
      </c>
      <c r="B147" s="123" t="str">
        <f>+Hoja4!C143</f>
        <v>TRANSF CTES AL S.EXT</v>
      </c>
      <c r="C147" s="124">
        <f>+C148</f>
        <v>422694895</v>
      </c>
      <c r="D147" s="124">
        <f>+D148</f>
        <v>445902.76</v>
      </c>
      <c r="E147" s="124">
        <f>+E148</f>
        <v>0</v>
      </c>
      <c r="F147" s="124">
        <f>+F148</f>
        <v>422687475.10000002</v>
      </c>
      <c r="G147" s="124">
        <f>+G148</f>
        <v>7419.9</v>
      </c>
      <c r="H147" s="30">
        <f>+IFERROR(Hoja4!L143,0)</f>
        <v>0.99998244620389831</v>
      </c>
      <c r="I147" s="30">
        <f>+IFERROR(Hoja4!M143,0)</f>
        <v>1.7553796101559257E-5</v>
      </c>
      <c r="J147" s="121"/>
      <c r="K147" s="121">
        <f>+C147-Estado!C268</f>
        <v>0</v>
      </c>
    </row>
    <row r="148" spans="1:11" s="74" customFormat="1" x14ac:dyDescent="0.25">
      <c r="A148" s="126" t="str">
        <f>+Hoja4!B144</f>
        <v>E-60701</v>
      </c>
      <c r="B148" s="127" t="str">
        <f>+Hoja4!C144</f>
        <v>TRANSF.C.TE ORG.INT.</v>
      </c>
      <c r="C148" s="128">
        <f>+SUMIF(Hoja4!$B$3:$B$168,$A148,Hoja4!$D$3:$D$168)</f>
        <v>422694895</v>
      </c>
      <c r="D148" s="128">
        <f>+SUMIF(Hoja4!$B$3:$B$168,$A148,Hoja4!$E$3:$E$168)</f>
        <v>445902.76</v>
      </c>
      <c r="E148" s="128">
        <f>+SUMIF(Hoja4!$B$3:$B$168,$A148,Hoja4!$F$3:$F$168)</f>
        <v>0</v>
      </c>
      <c r="F148" s="128">
        <f>+SUMIF(Hoja4!$B$3:$B$168,$A148,Hoja4!$J$3:$J$168)</f>
        <v>422687475.10000002</v>
      </c>
      <c r="G148" s="128">
        <f>+SUMIF(Hoja4!$B$3:$B$168,$A148,Hoja4!$K$3:$K$168)</f>
        <v>7419.9</v>
      </c>
      <c r="H148" s="30">
        <f>+IFERROR(Hoja4!L144,0)</f>
        <v>0.99998244620389853</v>
      </c>
      <c r="I148" s="30">
        <f>+IFERROR(Hoja4!M144,0)</f>
        <v>1.7553796101559257E-5</v>
      </c>
      <c r="J148" s="121"/>
      <c r="K148" s="121"/>
    </row>
    <row r="149" spans="1:11" s="136" customFormat="1" x14ac:dyDescent="0.25">
      <c r="A149" s="117" t="str">
        <f>+Hoja4!B145</f>
        <v>E-7</v>
      </c>
      <c r="B149" s="118" t="str">
        <f>+Hoja4!C145</f>
        <v>TRANSF. DE CAPITAL</v>
      </c>
      <c r="C149" s="119">
        <f t="shared" ref="C149:C150" si="0">+C150</f>
        <v>581400000</v>
      </c>
      <c r="D149" s="119">
        <f t="shared" ref="D149:D150" si="1">+D150</f>
        <v>0</v>
      </c>
      <c r="E149" s="119">
        <f t="shared" ref="E149:E150" si="2">+E150</f>
        <v>0</v>
      </c>
      <c r="F149" s="119">
        <f t="shared" ref="F149:F150" si="3">+F150</f>
        <v>125786735.68000001</v>
      </c>
      <c r="G149" s="119">
        <f t="shared" ref="G149:G150" si="4">+G150</f>
        <v>455613264.31999999</v>
      </c>
      <c r="H149" s="120">
        <f>+IFERROR(Hoja4!L145,0)</f>
        <v>0.21635145455796354</v>
      </c>
      <c r="I149" s="120">
        <f>+IFERROR(Hoja4!M145,0)</f>
        <v>0.78364854544203644</v>
      </c>
      <c r="J149" s="135"/>
      <c r="K149" s="135">
        <f>+C149-Estado!C273</f>
        <v>0</v>
      </c>
    </row>
    <row r="150" spans="1:11" s="74" customFormat="1" x14ac:dyDescent="0.25">
      <c r="A150" s="122" t="str">
        <f>+Hoja4!B146</f>
        <v>E-701</v>
      </c>
      <c r="B150" s="123" t="str">
        <f>+Hoja4!C146</f>
        <v>TRANSF DE CTAL S PUB</v>
      </c>
      <c r="C150" s="124">
        <f t="shared" si="0"/>
        <v>581400000</v>
      </c>
      <c r="D150" s="124">
        <f t="shared" si="1"/>
        <v>0</v>
      </c>
      <c r="E150" s="124">
        <f t="shared" si="2"/>
        <v>0</v>
      </c>
      <c r="F150" s="124">
        <f t="shared" si="3"/>
        <v>125786735.68000001</v>
      </c>
      <c r="G150" s="124">
        <f t="shared" si="4"/>
        <v>455613264.31999999</v>
      </c>
      <c r="H150" s="125">
        <f>+IFERROR(Hoja4!L146,0)</f>
        <v>0.21635145455796354</v>
      </c>
      <c r="I150" s="125">
        <f>+IFERROR(Hoja4!M146,0)</f>
        <v>0.78364854544203644</v>
      </c>
      <c r="J150" s="121"/>
      <c r="K150" s="121"/>
    </row>
    <row r="151" spans="1:11" s="74" customFormat="1" x14ac:dyDescent="0.25">
      <c r="A151" s="126" t="str">
        <f>+Hoja4!B147</f>
        <v>E-70102</v>
      </c>
      <c r="B151" s="127" t="str">
        <f>+Hoja4!C147</f>
        <v>TRANSF.CTAL ORG.DESC</v>
      </c>
      <c r="C151" s="128">
        <f>+SUMIF(Hoja4!$B$3:$B$168,$A151,Hoja4!$D$3:$D$168)</f>
        <v>581400000</v>
      </c>
      <c r="D151" s="128">
        <f>+SUMIF(Hoja4!$B$3:$B$168,$A151,Hoja4!$E$3:$E$168)</f>
        <v>0</v>
      </c>
      <c r="E151" s="128">
        <f>+SUMIF(Hoja4!$B$3:$B$168,$A151,Hoja4!$F$3:$F$168)</f>
        <v>0</v>
      </c>
      <c r="F151" s="128">
        <f>+SUMIF(Hoja4!$B$3:$B$168,$A151,Hoja4!$J$3:$J$168)</f>
        <v>125786735.68000001</v>
      </c>
      <c r="G151" s="128">
        <f>+SUMIF(Hoja4!$B$3:$B$168,$A151,Hoja4!$K$3:$K$168)</f>
        <v>455613264.31999999</v>
      </c>
      <c r="H151" s="30">
        <f>+IFERROR(Hoja4!L147,0)</f>
        <v>0.21635145455796354</v>
      </c>
      <c r="I151" s="30">
        <f>+IFERROR(Hoja4!M147,0)</f>
        <v>0.78364854544203644</v>
      </c>
      <c r="J151" s="121"/>
      <c r="K151" s="121"/>
    </row>
    <row r="152" spans="1:11" s="136" customFormat="1" x14ac:dyDescent="0.25">
      <c r="A152" s="117" t="str">
        <f>+Hoja4!B148</f>
        <v>E-9</v>
      </c>
      <c r="B152" s="118" t="str">
        <f>+Hoja4!C148</f>
        <v>CUENTAS ESPECIALES</v>
      </c>
      <c r="C152" s="119">
        <f t="shared" ref="C152:C153" si="5">+C153</f>
        <v>0</v>
      </c>
      <c r="D152" s="119">
        <f t="shared" ref="D152:D153" si="6">+D153</f>
        <v>0</v>
      </c>
      <c r="E152" s="119">
        <f t="shared" ref="E152:E153" si="7">+E153</f>
        <v>0</v>
      </c>
      <c r="F152" s="119">
        <f t="shared" ref="F152:F153" si="8">+F153</f>
        <v>0</v>
      </c>
      <c r="G152" s="119">
        <f t="shared" ref="G152:G153" si="9">+G153</f>
        <v>0</v>
      </c>
      <c r="H152" s="120">
        <f>+IFERROR(Hoja4!L148,0)</f>
        <v>0</v>
      </c>
      <c r="I152" s="120">
        <f>+IFERROR(Hoja4!M148,0)</f>
        <v>0</v>
      </c>
      <c r="J152" s="135"/>
      <c r="K152" s="135"/>
    </row>
    <row r="153" spans="1:11" s="74" customFormat="1" x14ac:dyDescent="0.25">
      <c r="A153" s="126" t="str">
        <f>+Hoja4!B149</f>
        <v>E-902</v>
      </c>
      <c r="B153" s="127" t="str">
        <f>+Hoja4!C149</f>
        <v>SUMAS SIN ASIGNACION PRESUPUESTARIA</v>
      </c>
      <c r="C153" s="138">
        <f t="shared" si="5"/>
        <v>0</v>
      </c>
      <c r="D153" s="138">
        <f t="shared" si="6"/>
        <v>0</v>
      </c>
      <c r="E153" s="138">
        <f t="shared" si="7"/>
        <v>0</v>
      </c>
      <c r="F153" s="138">
        <f t="shared" si="8"/>
        <v>0</v>
      </c>
      <c r="G153" s="138">
        <f t="shared" si="9"/>
        <v>0</v>
      </c>
      <c r="H153" s="30">
        <f>+IFERROR(Hoja4!L149,0)</f>
        <v>0</v>
      </c>
      <c r="I153" s="30">
        <f>+IFERROR(Hoja4!M149,0)</f>
        <v>0</v>
      </c>
      <c r="J153" s="121"/>
      <c r="K153" s="121"/>
    </row>
    <row r="154" spans="1:11" s="74" customFormat="1" x14ac:dyDescent="0.25">
      <c r="A154" s="126" t="str">
        <f>+Hoja4!B150</f>
        <v>E-90201</v>
      </c>
      <c r="B154" s="127" t="str">
        <f>+Hoja4!C150</f>
        <v>SUMAS LIBRES SIN ASIGNACION PRESUPUESTARIA</v>
      </c>
      <c r="C154" s="128">
        <f>+SUMIF(Hoja4!$B$3:$B$168,$A154,Hoja4!$D$3:$D$168)</f>
        <v>0</v>
      </c>
      <c r="D154" s="128">
        <f>+SUMIF(Hoja4!$B$3:$B$168,$A154,Hoja4!$E$3:$E$168)</f>
        <v>0</v>
      </c>
      <c r="E154" s="128">
        <f>+SUMIF(Hoja4!$B$3:$B$168,$A154,Hoja4!$F$3:$F$168)</f>
        <v>0</v>
      </c>
      <c r="F154" s="128">
        <f>+SUMIF(Hoja4!$B$3:$B$168,$A154,Hoja4!$J$3:$J$168)</f>
        <v>0</v>
      </c>
      <c r="G154" s="128">
        <f>+SUMIF(Hoja4!$B$3:$B$168,$A154,Hoja4!$K$3:$K$168)</f>
        <v>0</v>
      </c>
      <c r="H154" s="30">
        <f>+IFERROR(Hoja4!L150,0)</f>
        <v>0</v>
      </c>
      <c r="I154" s="30">
        <f>+IFERROR(Hoja4!M150,0)</f>
        <v>0</v>
      </c>
      <c r="J154" s="121"/>
      <c r="K154" s="121"/>
    </row>
    <row r="155" spans="1:11" x14ac:dyDescent="0.25">
      <c r="A155" s="139" t="s">
        <v>23</v>
      </c>
      <c r="B155" s="140"/>
      <c r="C155" s="141">
        <f>+C149+C135+C119+C86+C32+C7+C152</f>
        <v>148398411720</v>
      </c>
      <c r="D155" s="141">
        <f>+D149+D135+D119+D86+D32+D7+D152</f>
        <v>2231171633.8500004</v>
      </c>
      <c r="E155" s="141">
        <f>+E149+E135+E119+E86+E32+E7+E152</f>
        <v>0</v>
      </c>
      <c r="F155" s="141">
        <f>+F149+F135+F119+F86+F32+F7+F152</f>
        <v>138861257786.38</v>
      </c>
      <c r="G155" s="141">
        <f>+G149+G135+G119+G86+G32+G7+G152</f>
        <v>9537153933.6199989</v>
      </c>
      <c r="H155" s="142">
        <f>+IFERROR(Hoja4!L151,0)</f>
        <v>0.93573277622664308</v>
      </c>
      <c r="I155" s="142">
        <f>+IFERROR(Hoja4!M151,0)</f>
        <v>6.426722377335696E-2</v>
      </c>
    </row>
    <row r="156" spans="1:11" x14ac:dyDescent="0.25">
      <c r="A156" s="39"/>
      <c r="B156" s="39"/>
      <c r="C156" s="40">
        <f>+C155-Hoja4!D151</f>
        <v>0</v>
      </c>
      <c r="D156" s="40">
        <f>+D155-Hoja4!E151</f>
        <v>0</v>
      </c>
      <c r="E156" s="40">
        <f>+E155-Hoja4!F151</f>
        <v>0</v>
      </c>
      <c r="F156" s="40">
        <f>SUM(Hoja4!G151:I151)-F155</f>
        <v>0</v>
      </c>
      <c r="G156" s="40">
        <f>+G155-Hoja4!K151</f>
        <v>0</v>
      </c>
      <c r="H156" s="41"/>
      <c r="I156" s="41"/>
    </row>
    <row r="157" spans="1:11" x14ac:dyDescent="0.25">
      <c r="C157" s="34">
        <f>+C155-Estado!C281</f>
        <v>0</v>
      </c>
    </row>
  </sheetData>
  <sheetProtection selectLockedCells="1" selectUnlockedCells="1"/>
  <mergeCells count="11">
    <mergeCell ref="I5:I6"/>
    <mergeCell ref="A1:I1"/>
    <mergeCell ref="A2:I2"/>
    <mergeCell ref="A3:I3"/>
    <mergeCell ref="A5:A6"/>
    <mergeCell ref="B5:B6"/>
    <mergeCell ref="C5:C6"/>
    <mergeCell ref="D5:D6"/>
    <mergeCell ref="E5:E6"/>
    <mergeCell ref="G5:G6"/>
    <mergeCell ref="H5:H6"/>
  </mergeCells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baseColWidth="10" defaultColWidth="11" defaultRowHeight="15" x14ac:dyDescent="0.25"/>
  <sheetData/>
  <sheetProtection selectLockedCells="1" selectUnlockedCells="1"/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31</vt:i4>
      </vt:variant>
    </vt:vector>
  </HeadingPairs>
  <TitlesOfParts>
    <vt:vector size="90" baseType="lpstr">
      <vt:lpstr>Resumen Estado</vt:lpstr>
      <vt:lpstr>analisis 789-06</vt:lpstr>
      <vt:lpstr>analisis 789 al 06</vt:lpstr>
      <vt:lpstr>ANALISIS POR PROG</vt:lpstr>
      <vt:lpstr>Partidas mayor al 50%</vt:lpstr>
      <vt:lpstr>Estado</vt:lpstr>
      <vt:lpstr>Hoja4</vt:lpstr>
      <vt:lpstr>Resumen por Partida</vt:lpstr>
      <vt:lpstr>SIGAF 2018</vt:lpstr>
      <vt:lpstr>SUB 100% 2020 Octubre</vt:lpstr>
      <vt:lpstr>SUB 100% 2020 Agosto</vt:lpstr>
      <vt:lpstr>SIGAF DIC 20</vt:lpstr>
      <vt:lpstr>COMPORT. RESUMEN</vt:lpstr>
      <vt:lpstr>MENSUAL</vt:lpstr>
      <vt:lpstr>Ejecucion por Programas</vt:lpstr>
      <vt:lpstr>Comprometido por programas</vt:lpstr>
      <vt:lpstr>Ejecución 78900 al 78906</vt:lpstr>
      <vt:lpstr>Comprometido 78900 al 78906</vt:lpstr>
      <vt:lpstr>2018-1</vt:lpstr>
      <vt:lpstr>2018</vt:lpstr>
      <vt:lpstr>FEBRERO</vt:lpstr>
      <vt:lpstr>cuota marzo</vt:lpstr>
      <vt:lpstr>Por cuenta Abril</vt:lpstr>
      <vt:lpstr>MARZO</vt:lpstr>
      <vt:lpstr>Hoja1</vt:lpstr>
      <vt:lpstr>Hoja3</vt:lpstr>
      <vt:lpstr>RESUMEN OCTUBRE-DICIEMBRE 2020</vt:lpstr>
      <vt:lpstr>Resumen programa Noviembre 2020</vt:lpstr>
      <vt:lpstr>Resumen programa octubre</vt:lpstr>
      <vt:lpstr>MAYO</vt:lpstr>
      <vt:lpstr>Abril</vt:lpstr>
      <vt:lpstr>Hoja16</vt:lpstr>
      <vt:lpstr>Hoja15</vt:lpstr>
      <vt:lpstr>Hoja14</vt:lpstr>
      <vt:lpstr>Hoja13</vt:lpstr>
      <vt:lpstr>Hoja12</vt:lpstr>
      <vt:lpstr>Hoja11</vt:lpstr>
      <vt:lpstr>Hoja8</vt:lpstr>
      <vt:lpstr>Hoja7</vt:lpstr>
      <vt:lpstr>Hoja6</vt:lpstr>
      <vt:lpstr>Hoja5</vt:lpstr>
      <vt:lpstr>Hoja2</vt:lpstr>
      <vt:lpstr>2019</vt:lpstr>
      <vt:lpstr>RESUMEN</vt:lpstr>
      <vt:lpstr>COMPARATIVO</vt:lpstr>
      <vt:lpstr>DEVENGADO MENSUAL</vt:lpstr>
      <vt:lpstr>AGOST</vt:lpstr>
      <vt:lpstr>JULIO 2019</vt:lpstr>
      <vt:lpstr>JUNIO 2019</vt:lpstr>
      <vt:lpstr>MAYO 2019</vt:lpstr>
      <vt:lpstr>ABRIL 2019</vt:lpstr>
      <vt:lpstr>MARZO 2019</vt:lpstr>
      <vt:lpstr>ENERO 2019</vt:lpstr>
      <vt:lpstr>FEBRERO 2019</vt:lpstr>
      <vt:lpstr>DICIEMBRE 2018</vt:lpstr>
      <vt:lpstr>NOVIEMBRE 2018</vt:lpstr>
      <vt:lpstr>Hoja9</vt:lpstr>
      <vt:lpstr>Hoja10</vt:lpstr>
      <vt:lpstr>proyeccion</vt:lpstr>
      <vt:lpstr>Abril!_xlnm._FilterDatabase</vt:lpstr>
      <vt:lpstr>'cuota marzo'!_xlnm._FilterDatabase</vt:lpstr>
      <vt:lpstr>FEBRERO!_xlnm._FilterDatabase</vt:lpstr>
      <vt:lpstr>Hoja1!_xlnm._FilterDatabase</vt:lpstr>
      <vt:lpstr>Hoja3!_xlnm._FilterDatabase</vt:lpstr>
      <vt:lpstr>MARZO!_xlnm._FilterDatabase</vt:lpstr>
      <vt:lpstr>MAYO!_xlnm._FilterDatabase</vt:lpstr>
      <vt:lpstr>'Resumen programa Noviembre 2020'!_xlnm._FilterDatabase</vt:lpstr>
      <vt:lpstr>'Resumen programa octubre'!_xlnm._FilterDatabase</vt:lpstr>
      <vt:lpstr>'SIGAF DIC 20'!_xlnm._FilterDatabase</vt:lpstr>
      <vt:lpstr>'SUB 100% 2020 Agosto'!_xlnm._FilterDatabase</vt:lpstr>
      <vt:lpstr>'ANALISIS POR PROG'!_xlnm.Print_Area</vt:lpstr>
      <vt:lpstr>Estado!_xlnm.Print_Area</vt:lpstr>
      <vt:lpstr>RESUMEN!_xlnm.Print_Area</vt:lpstr>
      <vt:lpstr>Abril!_xlnm__FilterDatabase</vt:lpstr>
      <vt:lpstr>'cuota marzo'!_xlnm__FilterDatabase</vt:lpstr>
      <vt:lpstr>FEBRERO!_xlnm__FilterDatabase</vt:lpstr>
      <vt:lpstr>Hoja1!_xlnm__FilterDatabase</vt:lpstr>
      <vt:lpstr>Hoja3!_xlnm__FilterDatabase</vt:lpstr>
      <vt:lpstr>MARZO!_xlnm__FilterDatabase</vt:lpstr>
      <vt:lpstr>MAYO!_xlnm__FilterDatabase</vt:lpstr>
      <vt:lpstr>'Resumen programa Noviembre 2020'!_xlnm__FilterDatabase</vt:lpstr>
      <vt:lpstr>'Resumen programa octubre'!_xlnm__FilterDatabase</vt:lpstr>
      <vt:lpstr>'SIGAF DIC 20'!_xlnm__FilterDatabase</vt:lpstr>
      <vt:lpstr>'SUB 100% 2020 Agosto'!_xlnm__FilterDatabase</vt:lpstr>
      <vt:lpstr>'ANALISIS POR PROG'!_xlnm_Print_Area</vt:lpstr>
      <vt:lpstr>Estado!_xlnm_Print_Area</vt:lpstr>
      <vt:lpstr>RESUMEN!_xlnm_Print_Area</vt:lpstr>
      <vt:lpstr>'ANALISIS POR PROG'!Área_de_impresión</vt:lpstr>
      <vt:lpstr>Estado!Área_de_impresión</vt:lpstr>
      <vt:lpstr>RESUMEN!Área_de_impresión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Angie Mariana Monge Duran</dc:creator>
  <cp:lastModifiedBy>Angie Mariana Monge Duran</cp:lastModifiedBy>
  <dcterms:created xsi:type="dcterms:W3CDTF">2021-02-11T21:24:21Z</dcterms:created>
  <dcterms:modified xsi:type="dcterms:W3CDTF">2021-02-11T21:25:00Z</dcterms:modified>
</cp:coreProperties>
</file>